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xml"/>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charts/chart10.xml" ContentType="application/vnd.openxmlformats-officedocument.drawingml.chart+xml"/>
  <Override PartName="/xl/drawings/drawing16.xml" ContentType="application/vnd.openxmlformats-officedocument.drawing+xml"/>
  <Override PartName="/xl/charts/chart11.xml" ContentType="application/vnd.openxmlformats-officedocument.drawingml.chart+xml"/>
  <Override PartName="/xl/drawings/drawing17.xml" ContentType="application/vnd.openxmlformats-officedocument.drawing+xml"/>
  <Override PartName="/xl/charts/chart12.xml" ContentType="application/vnd.openxmlformats-officedocument.drawingml.chart+xml"/>
  <Override PartName="/xl/drawings/drawing18.xml" ContentType="application/vnd.openxmlformats-officedocument.drawing+xml"/>
  <Override PartName="/xl/charts/chart13.xml" ContentType="application/vnd.openxmlformats-officedocument.drawingml.chart+xml"/>
  <Override PartName="/xl/drawings/drawing19.xml" ContentType="application/vnd.openxmlformats-officedocument.drawing+xml"/>
  <Override PartName="/xl/charts/chart14.xml" ContentType="application/vnd.openxmlformats-officedocument.drawingml.chart+xml"/>
  <Override PartName="/xl/drawings/drawing20.xml" ContentType="application/vnd.openxmlformats-officedocument.drawing+xml"/>
  <Override PartName="/xl/charts/chart15.xml" ContentType="application/vnd.openxmlformats-officedocument.drawingml.chart+xml"/>
  <Override PartName="/xl/drawings/drawing21.xml" ContentType="application/vnd.openxmlformats-officedocument.drawing+xml"/>
  <Override PartName="/xl/charts/chart16.xml" ContentType="application/vnd.openxmlformats-officedocument.drawingml.chart+xml"/>
  <Override PartName="/xl/drawings/drawing22.xml" ContentType="application/vnd.openxmlformats-officedocument.drawing+xml"/>
  <Override PartName="/xl/charts/chart17.xml" ContentType="application/vnd.openxmlformats-officedocument.drawingml.chart+xml"/>
  <Override PartName="/xl/drawings/drawing23.xml" ContentType="application/vnd.openxmlformats-officedocument.drawing+xml"/>
  <Override PartName="/xl/charts/chart18.xml" ContentType="application/vnd.openxmlformats-officedocument.drawingml.chart+xml"/>
  <Override PartName="/xl/drawings/drawing24.xml" ContentType="application/vnd.openxmlformats-officedocument.drawing+xml"/>
  <Override PartName="/xl/charts/chart19.xml" ContentType="application/vnd.openxmlformats-officedocument.drawingml.chart+xml"/>
  <Override PartName="/xl/drawings/drawing25.xml" ContentType="application/vnd.openxmlformats-officedocument.drawing+xml"/>
  <Override PartName="/xl/charts/chart20.xml" ContentType="application/vnd.openxmlformats-officedocument.drawingml.chart+xml"/>
  <Override PartName="/xl/drawings/drawing26.xml" ContentType="application/vnd.openxmlformats-officedocument.drawing+xml"/>
  <Override PartName="/xl/charts/chart21.xml" ContentType="application/vnd.openxmlformats-officedocument.drawingml.chart+xml"/>
  <Override PartName="/xl/drawings/drawing27.xml" ContentType="application/vnd.openxmlformats-officedocument.drawing+xml"/>
  <Override PartName="/xl/charts/chart22.xml" ContentType="application/vnd.openxmlformats-officedocument.drawingml.chart+xml"/>
  <Override PartName="/xl/drawings/drawing28.xml" ContentType="application/vnd.openxmlformats-officedocument.drawing+xml"/>
  <Override PartName="/xl/charts/chart23.xml" ContentType="application/vnd.openxmlformats-officedocument.drawingml.chart+xml"/>
  <Override PartName="/xl/drawings/drawing29.xml" ContentType="application/vnd.openxmlformats-officedocument.drawing+xml"/>
  <Override PartName="/xl/charts/chart24.xml" ContentType="application/vnd.openxmlformats-officedocument.drawingml.chart+xml"/>
  <Override PartName="/xl/drawings/drawing30.xml" ContentType="application/vnd.openxmlformats-officedocument.drawing+xml"/>
  <Override PartName="/xl/charts/chart25.xml" ContentType="application/vnd.openxmlformats-officedocument.drawingml.chart+xml"/>
  <Override PartName="/xl/drawings/drawing31.xml" ContentType="application/vnd.openxmlformats-officedocument.drawing+xml"/>
  <Override PartName="/xl/charts/chart26.xml" ContentType="application/vnd.openxmlformats-officedocument.drawingml.chart+xml"/>
  <Override PartName="/xl/drawings/drawing32.xml" ContentType="application/vnd.openxmlformats-officedocument.drawing+xml"/>
  <Override PartName="/xl/charts/chart27.xml" ContentType="application/vnd.openxmlformats-officedocument.drawingml.chart+xml"/>
  <Override PartName="/xl/drawings/drawing33.xml" ContentType="application/vnd.openxmlformats-officedocument.drawing+xml"/>
  <Override PartName="/xl/charts/chart28.xml" ContentType="application/vnd.openxmlformats-officedocument.drawingml.chart+xml"/>
  <Override PartName="/xl/drawings/drawing34.xml" ContentType="application/vnd.openxmlformats-officedocument.drawing+xml"/>
  <Override PartName="/xl/charts/chart29.xml" ContentType="application/vnd.openxmlformats-officedocument.drawingml.chart+xml"/>
  <Override PartName="/xl/drawings/drawing35.xml" ContentType="application/vnd.openxmlformats-officedocument.drawing+xml"/>
  <Override PartName="/xl/charts/chart30.xml" ContentType="application/vnd.openxmlformats-officedocument.drawingml.chart+xml"/>
  <Override PartName="/xl/drawings/drawing36.xml" ContentType="application/vnd.openxmlformats-officedocument.drawing+xml"/>
  <Override PartName="/xl/charts/chart31.xml" ContentType="application/vnd.openxmlformats-officedocument.drawingml.chart+xml"/>
  <Override PartName="/xl/drawings/drawing37.xml" ContentType="application/vnd.openxmlformats-officedocument.drawing+xml"/>
  <Override PartName="/xl/charts/chart32.xml" ContentType="application/vnd.openxmlformats-officedocument.drawingml.chart+xml"/>
  <Override PartName="/xl/drawings/drawing38.xml" ContentType="application/vnd.openxmlformats-officedocument.drawing+xml"/>
  <Override PartName="/xl/charts/chart33.xml" ContentType="application/vnd.openxmlformats-officedocument.drawingml.chart+xml"/>
  <Override PartName="/xl/drawings/drawing39.xml" ContentType="application/vnd.openxmlformats-officedocument.drawing+xml"/>
  <Override PartName="/xl/charts/chart34.xml" ContentType="application/vnd.openxmlformats-officedocument.drawingml.chart+xml"/>
  <Override PartName="/xl/drawings/drawing40.xml" ContentType="application/vnd.openxmlformats-officedocument.drawing+xml"/>
  <Override PartName="/xl/charts/chart35.xml" ContentType="application/vnd.openxmlformats-officedocument.drawingml.chart+xml"/>
  <Override PartName="/xl/drawings/drawing41.xml" ContentType="application/vnd.openxmlformats-officedocument.drawing+xml"/>
  <Override PartName="/xl/charts/chart36.xml" ContentType="application/vnd.openxmlformats-officedocument.drawingml.chart+xml"/>
  <Override PartName="/xl/drawings/drawing42.xml" ContentType="application/vnd.openxmlformats-officedocument.drawing+xml"/>
  <Override PartName="/xl/charts/chart37.xml" ContentType="application/vnd.openxmlformats-officedocument.drawingml.chart+xml"/>
  <Override PartName="/xl/drawings/drawing43.xml" ContentType="application/vnd.openxmlformats-officedocument.drawing+xml"/>
  <Override PartName="/xl/charts/chart38.xml" ContentType="application/vnd.openxmlformats-officedocument.drawingml.chart+xml"/>
  <Override PartName="/xl/drawings/drawing44.xml" ContentType="application/vnd.openxmlformats-officedocument.drawing+xml"/>
  <Override PartName="/xl/charts/chart39.xml" ContentType="application/vnd.openxmlformats-officedocument.drawingml.chart+xml"/>
  <Override PartName="/xl/drawings/drawing45.xml" ContentType="application/vnd.openxmlformats-officedocument.drawing+xml"/>
  <Override PartName="/xl/charts/chart40.xml" ContentType="application/vnd.openxmlformats-officedocument.drawingml.chart+xml"/>
  <Override PartName="/xl/drawings/drawing46.xml" ContentType="application/vnd.openxmlformats-officedocument.drawing+xml"/>
  <Override PartName="/xl/charts/chart41.xml" ContentType="application/vnd.openxmlformats-officedocument.drawingml.chart+xml"/>
  <Override PartName="/xl/drawings/drawing47.xml" ContentType="application/vnd.openxmlformats-officedocument.drawing+xml"/>
  <Override PartName="/xl/charts/chart42.xml" ContentType="application/vnd.openxmlformats-officedocument.drawingml.chart+xml"/>
  <Override PartName="/xl/drawings/drawing48.xml" ContentType="application/vnd.openxmlformats-officedocument.drawing+xml"/>
  <Override PartName="/xl/charts/chart43.xml" ContentType="application/vnd.openxmlformats-officedocument.drawingml.chart+xml"/>
  <Override PartName="/xl/drawings/drawing49.xml" ContentType="application/vnd.openxmlformats-officedocument.drawing+xml"/>
  <Override PartName="/xl/charts/chart44.xml" ContentType="application/vnd.openxmlformats-officedocument.drawingml.chart+xml"/>
  <Override PartName="/xl/drawings/drawing50.xml" ContentType="application/vnd.openxmlformats-officedocument.drawing+xml"/>
  <Override PartName="/xl/charts/chart45.xml" ContentType="application/vnd.openxmlformats-officedocument.drawingml.chart+xml"/>
  <Override PartName="/xl/drawings/drawing51.xml" ContentType="application/vnd.openxmlformats-officedocument.drawing+xml"/>
  <Override PartName="/xl/charts/chart46.xml" ContentType="application/vnd.openxmlformats-officedocument.drawingml.chart+xml"/>
  <Override PartName="/xl/drawings/drawing52.xml" ContentType="application/vnd.openxmlformats-officedocument.drawing+xml"/>
  <Override PartName="/xl/charts/chart47.xml" ContentType="application/vnd.openxmlformats-officedocument.drawingml.chart+xml"/>
  <Override PartName="/xl/drawings/drawing53.xml" ContentType="application/vnd.openxmlformats-officedocument.drawing+xml"/>
  <Override PartName="/xl/charts/chart48.xml" ContentType="application/vnd.openxmlformats-officedocument.drawingml.chart+xml"/>
  <Override PartName="/xl/drawings/drawing54.xml" ContentType="application/vnd.openxmlformats-officedocument.drawing+xml"/>
  <Override PartName="/xl/charts/chart49.xml" ContentType="application/vnd.openxmlformats-officedocument.drawingml.chart+xml"/>
  <Override PartName="/xl/drawings/drawing55.xml" ContentType="application/vnd.openxmlformats-officedocument.drawing+xml"/>
  <Override PartName="/xl/charts/chart50.xml" ContentType="application/vnd.openxmlformats-officedocument.drawingml.chart+xml"/>
  <Override PartName="/xl/drawings/drawing56.xml" ContentType="application/vnd.openxmlformats-officedocument.drawing+xml"/>
  <Override PartName="/xl/charts/chart51.xml" ContentType="application/vnd.openxmlformats-officedocument.drawingml.chart+xml"/>
  <Override PartName="/xl/drawings/drawing57.xml" ContentType="application/vnd.openxmlformats-officedocument.drawing+xml"/>
  <Override PartName="/xl/charts/chart52.xml" ContentType="application/vnd.openxmlformats-officedocument.drawingml.chart+xml"/>
  <Override PartName="/xl/drawings/drawing58.xml" ContentType="application/vnd.openxmlformats-officedocument.drawing+xml"/>
  <Override PartName="/xl/charts/chart53.xml" ContentType="application/vnd.openxmlformats-officedocument.drawingml.chart+xml"/>
  <Override PartName="/xl/drawings/drawing59.xml" ContentType="application/vnd.openxmlformats-officedocument.drawing+xml"/>
  <Override PartName="/xl/charts/chart54.xml" ContentType="application/vnd.openxmlformats-officedocument.drawingml.chart+xml"/>
  <Override PartName="/xl/drawings/drawing60.xml" ContentType="application/vnd.openxmlformats-officedocument.drawing+xml"/>
  <Override PartName="/xl/charts/chart55.xml" ContentType="application/vnd.openxmlformats-officedocument.drawingml.chart+xml"/>
  <Override PartName="/xl/drawings/drawing61.xml" ContentType="application/vnd.openxmlformats-officedocument.drawing+xml"/>
  <Override PartName="/xl/charts/chart56.xml" ContentType="application/vnd.openxmlformats-officedocument.drawingml.chart+xml"/>
  <Override PartName="/xl/drawings/drawing62.xml" ContentType="application/vnd.openxmlformats-officedocument.drawing+xml"/>
  <Override PartName="/xl/charts/chart57.xml" ContentType="application/vnd.openxmlformats-officedocument.drawingml.chart+xml"/>
  <Override PartName="/xl/drawings/drawing63.xml" ContentType="application/vnd.openxmlformats-officedocument.drawing+xml"/>
  <Override PartName="/xl/charts/chart58.xml" ContentType="application/vnd.openxmlformats-officedocument.drawingml.chart+xml"/>
  <Override PartName="/xl/drawings/drawing64.xml" ContentType="application/vnd.openxmlformats-officedocument.drawing+xml"/>
  <Override PartName="/xl/charts/chart59.xml" ContentType="application/vnd.openxmlformats-officedocument.drawingml.chart+xml"/>
  <Override PartName="/xl/drawings/drawing65.xml" ContentType="application/vnd.openxmlformats-officedocument.drawing+xml"/>
  <Override PartName="/xl/charts/chart60.xml" ContentType="application/vnd.openxmlformats-officedocument.drawingml.chart+xml"/>
  <Override PartName="/xl/drawings/drawing66.xml" ContentType="application/vnd.openxmlformats-officedocument.drawing+xml"/>
  <Override PartName="/xl/charts/chart61.xml" ContentType="application/vnd.openxmlformats-officedocument.drawingml.chart+xml"/>
  <Override PartName="/xl/drawings/drawing67.xml" ContentType="application/vnd.openxmlformats-officedocument.drawing+xml"/>
  <Override PartName="/xl/charts/chart62.xml" ContentType="application/vnd.openxmlformats-officedocument.drawingml.chart+xml"/>
  <Override PartName="/xl/drawings/drawing68.xml" ContentType="application/vnd.openxmlformats-officedocument.drawing+xml"/>
  <Override PartName="/xl/charts/chart63.xml" ContentType="application/vnd.openxmlformats-officedocument.drawingml.chart+xml"/>
  <Override PartName="/xl/drawings/drawing69.xml" ContentType="application/vnd.openxmlformats-officedocument.drawing+xml"/>
  <Override PartName="/xl/charts/chart64.xml" ContentType="application/vnd.openxmlformats-officedocument.drawingml.chart+xml"/>
  <Override PartName="/xl/drawings/drawing70.xml" ContentType="application/vnd.openxmlformats-officedocument.drawing+xml"/>
  <Override PartName="/xl/charts/chart65.xml" ContentType="application/vnd.openxmlformats-officedocument.drawingml.chart+xml"/>
  <Override PartName="/xl/drawings/drawing71.xml" ContentType="application/vnd.openxmlformats-officedocument.drawing+xml"/>
  <Override PartName="/xl/charts/chart66.xml" ContentType="application/vnd.openxmlformats-officedocument.drawingml.chart+xml"/>
  <Override PartName="/xl/drawings/drawing72.xml" ContentType="application/vnd.openxmlformats-officedocument.drawing+xml"/>
  <Override PartName="/xl/charts/chart67.xml" ContentType="application/vnd.openxmlformats-officedocument.drawingml.chart+xml"/>
  <Override PartName="/xl/drawings/drawing73.xml" ContentType="application/vnd.openxmlformats-officedocument.drawing+xml"/>
  <Override PartName="/xl/charts/chart68.xml" ContentType="application/vnd.openxmlformats-officedocument.drawingml.chart+xml"/>
  <Override PartName="/xl/drawings/drawing74.xml" ContentType="application/vnd.openxmlformats-officedocument.drawing+xml"/>
  <Override PartName="/xl/charts/chart69.xml" ContentType="application/vnd.openxmlformats-officedocument.drawingml.chart+xml"/>
  <Override PartName="/xl/drawings/drawing75.xml" ContentType="application/vnd.openxmlformats-officedocument.drawing+xml"/>
  <Override PartName="/xl/charts/chart7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YBORG\Documents\ANALISIS E - 2\"/>
    </mc:Choice>
  </mc:AlternateContent>
  <xr:revisionPtr revIDLastSave="0" documentId="8_{DE6BC153-E415-4676-98E3-AB663D5C1ABC}" xr6:coauthVersionLast="47" xr6:coauthVersionMax="47" xr10:uidLastSave="{00000000-0000-0000-0000-000000000000}"/>
  <bookViews>
    <workbookView xWindow="-108" yWindow="-108" windowWidth="23256" windowHeight="12456" firstSheet="2" activeTab="2" xr2:uid="{00000000-000D-0000-FFFF-FFFF00000000}"/>
  </bookViews>
  <sheets>
    <sheet name="MANUAL_DE_USUARIO_Y_TEORIA" sheetId="1" r:id="rId1"/>
    <sheet name="MANUAL_ISOSTATICA_3R" sheetId="2" r:id="rId2"/>
    <sheet name="MANUAL_ISOSTATICA_3R (4)" sheetId="146" r:id="rId3"/>
    <sheet name="MANUAL_ISOSTATICA_3R (3)" sheetId="145" r:id="rId4"/>
    <sheet name="MANUAL_ISOSTATICA_3R (2)" sheetId="144" r:id="rId5"/>
    <sheet name="MANUAL_HIPERESTATICA_4R" sheetId="3" r:id="rId6"/>
    <sheet name="GRAFICA_01" sheetId="4" r:id="rId7"/>
    <sheet name="AUTOMATIZADA_01" sheetId="5" r:id="rId8"/>
    <sheet name="GRAFICA_02" sheetId="6" r:id="rId9"/>
    <sheet name="AUTOMATIZADA_02" sheetId="7" r:id="rId10"/>
    <sheet name="GRAFICA_03" sheetId="8" r:id="rId11"/>
    <sheet name="AUTOMATIZADA_03" sheetId="9" r:id="rId12"/>
    <sheet name="GRAFICA_04" sheetId="10" r:id="rId13"/>
    <sheet name="AUTOMATIZADA_04" sheetId="11" r:id="rId14"/>
    <sheet name="GRAFICA_05" sheetId="12" r:id="rId15"/>
    <sheet name="AUTOMATIZADA_05" sheetId="13" r:id="rId16"/>
    <sheet name="GRAFICA_06" sheetId="14" r:id="rId17"/>
    <sheet name="AUTOMATIZADA_06" sheetId="15" r:id="rId18"/>
    <sheet name="GRAFICA_07" sheetId="16" r:id="rId19"/>
    <sheet name="AUTOMATIZADA_07" sheetId="17" r:id="rId20"/>
    <sheet name="GRAFICA_08" sheetId="18" r:id="rId21"/>
    <sheet name="AUTOMATIZADA_08" sheetId="19" r:id="rId22"/>
    <sheet name="GRAFICA_09" sheetId="20" r:id="rId23"/>
    <sheet name="AUTOMATIZADA_09" sheetId="21" r:id="rId24"/>
    <sheet name="GRAFICA_10" sheetId="22" r:id="rId25"/>
    <sheet name="AUTOMATIZADA_10" sheetId="23" r:id="rId26"/>
    <sheet name="GRAFICA_11" sheetId="24" r:id="rId27"/>
    <sheet name="AUTOMATIZADA_11" sheetId="25" r:id="rId28"/>
    <sheet name="GRAFICA_12" sheetId="26" r:id="rId29"/>
    <sheet name="AUTOMATIZADA_12" sheetId="27" r:id="rId30"/>
    <sheet name="GRAFICA_13" sheetId="28" r:id="rId31"/>
    <sheet name="AUTOMATIZADA_13" sheetId="29" r:id="rId32"/>
    <sheet name="GRAFICA_14" sheetId="30" r:id="rId33"/>
    <sheet name="AUTOMATIZADA_14" sheetId="31" r:id="rId34"/>
    <sheet name="GRAFICA_15" sheetId="32" r:id="rId35"/>
    <sheet name="AUTOMATIZADA_15" sheetId="33" r:id="rId36"/>
    <sheet name="GRAFICA_16" sheetId="34" r:id="rId37"/>
    <sheet name="AUTOMATIZADA_16" sheetId="35" r:id="rId38"/>
    <sheet name="GRAFICA_17" sheetId="36" r:id="rId39"/>
    <sheet name="AUTOMATIZADA_17" sheetId="37" r:id="rId40"/>
    <sheet name="GRAFICA_18" sheetId="38" r:id="rId41"/>
    <sheet name="AUTOMATIZADA_18" sheetId="39" r:id="rId42"/>
    <sheet name="GRAFICA_19" sheetId="40" r:id="rId43"/>
    <sheet name="AUTOMATIZADA_19" sheetId="41" r:id="rId44"/>
    <sheet name="GRAFICA_20" sheetId="42" r:id="rId45"/>
    <sheet name="AUTOMATIZADA_20" sheetId="43" r:id="rId46"/>
    <sheet name="GRAFICA_21" sheetId="44" r:id="rId47"/>
    <sheet name="AUTOMATIZADA_21" sheetId="45" r:id="rId48"/>
    <sheet name="GRAFICA_22" sheetId="46" r:id="rId49"/>
    <sheet name="AUTOMATIZADA_22" sheetId="47" r:id="rId50"/>
    <sheet name="GRAFICA_23" sheetId="48" r:id="rId51"/>
    <sheet name="AUTOMATIZADA_23" sheetId="49" r:id="rId52"/>
    <sheet name="GRAFICA_24" sheetId="50" r:id="rId53"/>
    <sheet name="AUTOMATIZADA_24" sheetId="51" r:id="rId54"/>
    <sheet name="GRAFICA_25" sheetId="52" r:id="rId55"/>
    <sheet name="AUTOMATIZADA_25" sheetId="53" r:id="rId56"/>
    <sheet name="GRAFICA_26" sheetId="54" r:id="rId57"/>
    <sheet name="AUTOMATIZADA_26" sheetId="55" r:id="rId58"/>
    <sheet name="GRAFICA_27" sheetId="56" r:id="rId59"/>
    <sheet name="AUTOMATIZADA_27" sheetId="57" r:id="rId60"/>
    <sheet name="GRAFICA_28" sheetId="58" r:id="rId61"/>
    <sheet name="AUTOMATIZADA_28" sheetId="59" r:id="rId62"/>
    <sheet name="GRAFICA_29" sheetId="60" r:id="rId63"/>
    <sheet name="AUTOMATIZADA_29" sheetId="61" r:id="rId64"/>
    <sheet name="GRAFICA_30" sheetId="62" r:id="rId65"/>
    <sheet name="AUTOMATIZADA_30" sheetId="63" r:id="rId66"/>
    <sheet name="GRAFICA_31" sheetId="64" r:id="rId67"/>
    <sheet name="AUTOMATIZADA_31" sheetId="65" r:id="rId68"/>
    <sheet name="GRAFICA_32" sheetId="66" r:id="rId69"/>
    <sheet name="AUTOMATIZADA_32" sheetId="67" r:id="rId70"/>
    <sheet name="GRAFICA_33" sheetId="68" r:id="rId71"/>
    <sheet name="AUTOMATIZADA_33" sheetId="69" r:id="rId72"/>
    <sheet name="GRAFICA_34" sheetId="70" r:id="rId73"/>
    <sheet name="AUTOMATIZADA_34" sheetId="71" r:id="rId74"/>
    <sheet name="GRAFICA_35" sheetId="72" r:id="rId75"/>
    <sheet name="AUTOMATIZADA_35" sheetId="73" r:id="rId76"/>
    <sheet name="GRAFICA_36" sheetId="74" r:id="rId77"/>
    <sheet name="AUTOMATIZADA_36" sheetId="75" r:id="rId78"/>
    <sheet name="GRAFICA_37" sheetId="76" r:id="rId79"/>
    <sheet name="AUTOMATIZADA_37" sheetId="77" r:id="rId80"/>
    <sheet name="GRAFICA_38" sheetId="78" r:id="rId81"/>
    <sheet name="AUTOMATIZADA_38" sheetId="79" r:id="rId82"/>
    <sheet name="GRAFICA_39" sheetId="80" r:id="rId83"/>
    <sheet name="AUTOMATIZADA_39" sheetId="81" r:id="rId84"/>
    <sheet name="GRAFICA_40" sheetId="82" r:id="rId85"/>
    <sheet name="AUTOMATIZADA_40" sheetId="83" r:id="rId86"/>
    <sheet name="GRAFICA_41" sheetId="84" r:id="rId87"/>
    <sheet name="AUTOMATIZADA_41" sheetId="85" r:id="rId88"/>
    <sheet name="GRAFICA_42" sheetId="86" r:id="rId89"/>
    <sheet name="AUTOMATIZADA_42" sheetId="87" r:id="rId90"/>
    <sheet name="GRAFICA_43" sheetId="88" r:id="rId91"/>
    <sheet name="AUTOMATIZADA_43" sheetId="89" r:id="rId92"/>
    <sheet name="GRAFICA_44" sheetId="90" r:id="rId93"/>
    <sheet name="AUTOMATIZADA_44" sheetId="91" r:id="rId94"/>
    <sheet name="GRAFICA_45" sheetId="92" r:id="rId95"/>
    <sheet name="AUTOMATIZADA_45" sheetId="93" r:id="rId96"/>
    <sheet name="GRAFICA_46" sheetId="94" r:id="rId97"/>
    <sheet name="AUTOMATIZADA_46" sheetId="95" r:id="rId98"/>
    <sheet name="GRAFICA_47" sheetId="96" r:id="rId99"/>
    <sheet name="AUTOMATIZADA_47" sheetId="97" r:id="rId100"/>
    <sheet name="GRAFICA_48" sheetId="98" r:id="rId101"/>
    <sheet name="AUTOMATIZADA_48" sheetId="99" r:id="rId102"/>
    <sheet name="GRAFICA_49" sheetId="100" r:id="rId103"/>
    <sheet name="AUTOMATIZADA_49" sheetId="101" r:id="rId104"/>
    <sheet name="GRAFICA_50" sheetId="102" r:id="rId105"/>
    <sheet name="AUTOMATIZADA_50" sheetId="103" r:id="rId106"/>
    <sheet name="GRAFICA_51" sheetId="104" r:id="rId107"/>
    <sheet name="AUTOMATIZADA_51" sheetId="105" r:id="rId108"/>
    <sheet name="GRAFICA_52" sheetId="106" r:id="rId109"/>
    <sheet name="AUTOMATIZADA_52" sheetId="107" r:id="rId110"/>
    <sheet name="GRAFICA_53" sheetId="108" r:id="rId111"/>
    <sheet name="AUTOMATIZADA_53" sheetId="109" r:id="rId112"/>
    <sheet name="GRAFICA_54" sheetId="110" r:id="rId113"/>
    <sheet name="AUTOMATIZADA_54" sheetId="111" r:id="rId114"/>
    <sheet name="GRAFICA_55" sheetId="112" r:id="rId115"/>
    <sheet name="AUTOMATIZADA_55" sheetId="113" r:id="rId116"/>
    <sheet name="GRAFICA_56" sheetId="114" r:id="rId117"/>
    <sheet name="AUTOMATIZADA_56" sheetId="115" r:id="rId118"/>
    <sheet name="GRAFICA_57" sheetId="116" r:id="rId119"/>
    <sheet name="AUTOMATIZADA_57" sheetId="117" r:id="rId120"/>
    <sheet name="GRAFICA_58" sheetId="118" r:id="rId121"/>
    <sheet name="AUTOMATIZADA_58" sheetId="119" r:id="rId122"/>
    <sheet name="GRAFICA_59" sheetId="120" r:id="rId123"/>
    <sheet name="AUTOMATIZADA_59" sheetId="121" r:id="rId124"/>
    <sheet name="GRAFICA_60" sheetId="122" r:id="rId125"/>
    <sheet name="AUTOMATIZADA_60" sheetId="123" r:id="rId126"/>
    <sheet name="GRAFICA_61" sheetId="124" r:id="rId127"/>
    <sheet name="AUTOMATIZADA_61" sheetId="125" r:id="rId128"/>
    <sheet name="GRAFICA_62" sheetId="126" r:id="rId129"/>
    <sheet name="AUTOMATIZADA_62" sheetId="127" r:id="rId130"/>
    <sheet name="GRAFICA_63" sheetId="128" r:id="rId131"/>
    <sheet name="AUTOMATIZADA_63" sheetId="129" r:id="rId132"/>
    <sheet name="GRAFICA_64" sheetId="130" r:id="rId133"/>
    <sheet name="AUTOMATIZADA_64" sheetId="131" r:id="rId134"/>
    <sheet name="GRAFICA_65" sheetId="132" r:id="rId135"/>
    <sheet name="AUTOMATIZADA_65" sheetId="133" r:id="rId136"/>
    <sheet name="GRAFICA_66" sheetId="134" r:id="rId137"/>
    <sheet name="AUTOMATIZADA_66" sheetId="135" r:id="rId138"/>
    <sheet name="GRAFICA_67" sheetId="136" r:id="rId139"/>
    <sheet name="AUTOMATIZADA_67" sheetId="137" r:id="rId140"/>
    <sheet name="GRAFICA_68" sheetId="138" r:id="rId141"/>
    <sheet name="AUTOMATIZADA_68" sheetId="139" r:id="rId142"/>
    <sheet name="GRAFICA_69" sheetId="140" r:id="rId143"/>
    <sheet name="AUTOMATIZADA_69" sheetId="141" r:id="rId144"/>
    <sheet name="GRAFICA_70" sheetId="142" r:id="rId145"/>
    <sheet name="AUTOMATIZADA_70" sheetId="143" r:id="rId1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146" l="1"/>
  <c r="D6" i="146"/>
  <c r="E6" i="146"/>
  <c r="F6" i="146"/>
  <c r="C7" i="146"/>
  <c r="D7" i="146"/>
  <c r="E7" i="146"/>
  <c r="F7" i="146"/>
  <c r="C8" i="146"/>
  <c r="D8" i="146"/>
  <c r="E8" i="146"/>
  <c r="F8" i="146"/>
  <c r="C9" i="146"/>
  <c r="D9" i="146"/>
  <c r="E9" i="146"/>
  <c r="F9" i="146"/>
  <c r="C10" i="146"/>
  <c r="D10" i="146"/>
  <c r="E10" i="146"/>
  <c r="F10" i="146"/>
  <c r="L6" i="146"/>
  <c r="M6" i="146"/>
  <c r="L7" i="146"/>
  <c r="M7" i="146"/>
  <c r="L8" i="146"/>
  <c r="M8" i="146"/>
  <c r="L9" i="146"/>
  <c r="M9" i="146"/>
  <c r="L10" i="146"/>
  <c r="M10" i="146"/>
  <c r="T6" i="146"/>
  <c r="U6" i="146"/>
  <c r="T7" i="146"/>
  <c r="U7" i="146"/>
  <c r="T8" i="146"/>
  <c r="U8" i="146"/>
  <c r="T9" i="146"/>
  <c r="E217" i="146" s="1"/>
  <c r="A247" i="146" s="1"/>
  <c r="U9" i="146"/>
  <c r="E232" i="146" s="1"/>
  <c r="F397" i="146"/>
  <c r="F395" i="146"/>
  <c r="H10" i="146"/>
  <c r="G10" i="146"/>
  <c r="H9" i="146"/>
  <c r="H8" i="146"/>
  <c r="G8" i="146"/>
  <c r="G7" i="146"/>
  <c r="G6" i="146"/>
  <c r="H401" i="146"/>
  <c r="G401" i="146"/>
  <c r="F401" i="146"/>
  <c r="D401" i="146"/>
  <c r="C401" i="146"/>
  <c r="B401" i="146"/>
  <c r="H400" i="146"/>
  <c r="G400" i="146"/>
  <c r="F400" i="146"/>
  <c r="D400" i="146"/>
  <c r="C400" i="146"/>
  <c r="B400" i="146"/>
  <c r="H399" i="146"/>
  <c r="G399" i="146"/>
  <c r="F399" i="146"/>
  <c r="D399" i="146"/>
  <c r="C399" i="146"/>
  <c r="B399" i="146"/>
  <c r="D398" i="146"/>
  <c r="C398" i="146"/>
  <c r="B398" i="146"/>
  <c r="D397" i="146"/>
  <c r="C397" i="146"/>
  <c r="B397" i="146"/>
  <c r="D396" i="146"/>
  <c r="C396" i="146"/>
  <c r="B396" i="146"/>
  <c r="D395" i="146"/>
  <c r="C395" i="146"/>
  <c r="B395" i="146"/>
  <c r="D394" i="146"/>
  <c r="C394" i="146"/>
  <c r="B394" i="146"/>
  <c r="C389" i="146"/>
  <c r="H388" i="146"/>
  <c r="G388" i="146"/>
  <c r="H387" i="146"/>
  <c r="G387" i="146" s="1"/>
  <c r="H386" i="146"/>
  <c r="G386" i="146"/>
  <c r="H385" i="146"/>
  <c r="G385" i="146"/>
  <c r="C381" i="146"/>
  <c r="H380" i="146"/>
  <c r="G380" i="146"/>
  <c r="H379" i="146"/>
  <c r="G379" i="146"/>
  <c r="H378" i="146"/>
  <c r="G378" i="146" s="1"/>
  <c r="H377" i="146"/>
  <c r="G377" i="146" s="1"/>
  <c r="C373" i="146"/>
  <c r="H372" i="146"/>
  <c r="G372" i="146" s="1"/>
  <c r="H371" i="146"/>
  <c r="G371" i="146"/>
  <c r="H370" i="146"/>
  <c r="G370" i="146" s="1"/>
  <c r="H369" i="146"/>
  <c r="G369" i="146"/>
  <c r="H364" i="146"/>
  <c r="H363" i="146"/>
  <c r="H362" i="146"/>
  <c r="H361" i="146"/>
  <c r="H356" i="146"/>
  <c r="H355" i="146"/>
  <c r="H354" i="146"/>
  <c r="H353" i="146"/>
  <c r="H348" i="146"/>
  <c r="H347" i="146"/>
  <c r="H346" i="146"/>
  <c r="H345" i="146"/>
  <c r="H340" i="146"/>
  <c r="H339" i="146"/>
  <c r="H338" i="146"/>
  <c r="H337" i="146"/>
  <c r="H332" i="146"/>
  <c r="H331" i="146"/>
  <c r="H330" i="146"/>
  <c r="H329" i="146"/>
  <c r="E236" i="146"/>
  <c r="P252" i="146" s="1"/>
  <c r="E235" i="146"/>
  <c r="P251" i="146" s="1"/>
  <c r="E234" i="146"/>
  <c r="P250" i="146" s="1"/>
  <c r="E233" i="146"/>
  <c r="P249" i="146" s="1"/>
  <c r="E222" i="146"/>
  <c r="E221" i="146"/>
  <c r="G235" i="146" s="1"/>
  <c r="E220" i="146"/>
  <c r="E219" i="146"/>
  <c r="A249" i="146" s="1"/>
  <c r="F156" i="146"/>
  <c r="D132" i="146"/>
  <c r="B132" i="146"/>
  <c r="F115" i="146"/>
  <c r="F112" i="146"/>
  <c r="C90" i="146"/>
  <c r="B90" i="146"/>
  <c r="F71" i="146"/>
  <c r="D48" i="146"/>
  <c r="C48" i="146"/>
  <c r="F31" i="146"/>
  <c r="H24" i="146"/>
  <c r="G24" i="146"/>
  <c r="E24" i="146"/>
  <c r="C174" i="146" s="1"/>
  <c r="D24" i="146"/>
  <c r="H23" i="146"/>
  <c r="G23" i="146"/>
  <c r="D153" i="146" s="1"/>
  <c r="E23" i="146"/>
  <c r="D23" i="146"/>
  <c r="H22" i="146"/>
  <c r="G22" i="146"/>
  <c r="F135" i="146" s="1"/>
  <c r="E22" i="146"/>
  <c r="D22" i="146"/>
  <c r="F133" i="146" s="1"/>
  <c r="H21" i="146"/>
  <c r="E111" i="146" s="1"/>
  <c r="G21" i="146"/>
  <c r="F114" i="146" s="1"/>
  <c r="E21" i="146"/>
  <c r="D21" i="146"/>
  <c r="B111" i="146" s="1"/>
  <c r="H20" i="146"/>
  <c r="E90" i="146" s="1"/>
  <c r="G20" i="146"/>
  <c r="D90" i="146" s="1"/>
  <c r="E20" i="146"/>
  <c r="F92" i="146" s="1"/>
  <c r="D20" i="146"/>
  <c r="F91" i="146" s="1"/>
  <c r="H19" i="146"/>
  <c r="F73" i="146" s="1"/>
  <c r="G19" i="146"/>
  <c r="E19" i="146"/>
  <c r="C69" i="146" s="1"/>
  <c r="D19" i="146"/>
  <c r="B69" i="146" s="1"/>
  <c r="H18" i="146"/>
  <c r="G18" i="146"/>
  <c r="F51" i="146" s="1"/>
  <c r="E18" i="146"/>
  <c r="F50" i="146" s="1"/>
  <c r="D18" i="146"/>
  <c r="B48" i="146" s="1"/>
  <c r="H17" i="146"/>
  <c r="E27" i="146" s="1"/>
  <c r="G17" i="146"/>
  <c r="D27" i="146" s="1"/>
  <c r="E17" i="146"/>
  <c r="F29" i="146" s="1"/>
  <c r="D17" i="146"/>
  <c r="F28" i="146" s="1"/>
  <c r="M13" i="146"/>
  <c r="L13" i="146"/>
  <c r="F13" i="146"/>
  <c r="E13" i="146"/>
  <c r="D13" i="146"/>
  <c r="C13" i="146"/>
  <c r="G13" i="146" s="1"/>
  <c r="M12" i="146"/>
  <c r="L12" i="146"/>
  <c r="F12" i="146"/>
  <c r="H12" i="146" s="1"/>
  <c r="E12" i="146"/>
  <c r="D12" i="146"/>
  <c r="C12" i="146"/>
  <c r="U11" i="146"/>
  <c r="T11" i="146"/>
  <c r="M11" i="146"/>
  <c r="L11" i="146"/>
  <c r="H11" i="146"/>
  <c r="F11" i="146"/>
  <c r="E11" i="146"/>
  <c r="D11" i="146"/>
  <c r="C11" i="146"/>
  <c r="G11" i="146" s="1"/>
  <c r="I11" i="146" s="1"/>
  <c r="U10" i="146"/>
  <c r="T10" i="146"/>
  <c r="F398" i="146"/>
  <c r="F396" i="146"/>
  <c r="E211" i="146"/>
  <c r="A241" i="146" s="1"/>
  <c r="F394" i="146"/>
  <c r="H401" i="145"/>
  <c r="G401" i="145"/>
  <c r="F401" i="145"/>
  <c r="D401" i="145"/>
  <c r="C401" i="145"/>
  <c r="B401" i="145"/>
  <c r="H400" i="145"/>
  <c r="G400" i="145"/>
  <c r="F400" i="145"/>
  <c r="D400" i="145"/>
  <c r="C400" i="145"/>
  <c r="B400" i="145"/>
  <c r="H399" i="145"/>
  <c r="G399" i="145"/>
  <c r="F399" i="145"/>
  <c r="D399" i="145"/>
  <c r="C399" i="145"/>
  <c r="B399" i="145"/>
  <c r="D398" i="145"/>
  <c r="C398" i="145"/>
  <c r="B398" i="145"/>
  <c r="D397" i="145"/>
  <c r="C397" i="145"/>
  <c r="B397" i="145"/>
  <c r="D396" i="145"/>
  <c r="C396" i="145"/>
  <c r="B396" i="145"/>
  <c r="D395" i="145"/>
  <c r="C395" i="145"/>
  <c r="B395" i="145"/>
  <c r="D394" i="145"/>
  <c r="C394" i="145"/>
  <c r="B394" i="145"/>
  <c r="C389" i="145"/>
  <c r="H388" i="145"/>
  <c r="G388" i="145" s="1"/>
  <c r="H387" i="145"/>
  <c r="G387" i="145" s="1"/>
  <c r="H386" i="145"/>
  <c r="G386" i="145" s="1"/>
  <c r="H385" i="145"/>
  <c r="G385" i="145"/>
  <c r="C381" i="145"/>
  <c r="H380" i="145"/>
  <c r="G380" i="145"/>
  <c r="H379" i="145"/>
  <c r="G379" i="145" s="1"/>
  <c r="H378" i="145"/>
  <c r="G378" i="145"/>
  <c r="H377" i="145"/>
  <c r="G377" i="145" s="1"/>
  <c r="C373" i="145"/>
  <c r="H372" i="145"/>
  <c r="G372" i="145" s="1"/>
  <c r="H371" i="145"/>
  <c r="G371" i="145" s="1"/>
  <c r="H370" i="145"/>
  <c r="G370" i="145" s="1"/>
  <c r="H369" i="145"/>
  <c r="G369" i="145" s="1"/>
  <c r="H364" i="145"/>
  <c r="H363" i="145"/>
  <c r="H362" i="145"/>
  <c r="H361" i="145"/>
  <c r="H356" i="145"/>
  <c r="H355" i="145"/>
  <c r="H354" i="145"/>
  <c r="H353" i="145"/>
  <c r="H348" i="145"/>
  <c r="H347" i="145"/>
  <c r="H346" i="145"/>
  <c r="H345" i="145"/>
  <c r="H340" i="145"/>
  <c r="H339" i="145"/>
  <c r="H338" i="145"/>
  <c r="H337" i="145"/>
  <c r="H332" i="145"/>
  <c r="H331" i="145"/>
  <c r="H330" i="145"/>
  <c r="H329" i="145"/>
  <c r="E236" i="145"/>
  <c r="F236" i="145" s="1"/>
  <c r="E235" i="145"/>
  <c r="F235" i="145" s="1"/>
  <c r="E234" i="145"/>
  <c r="P250" i="145" s="1"/>
  <c r="E233" i="145"/>
  <c r="E228" i="145"/>
  <c r="P244" i="145" s="1"/>
  <c r="E222" i="145"/>
  <c r="G236" i="145" s="1"/>
  <c r="E221" i="145"/>
  <c r="G235" i="145" s="1"/>
  <c r="E220" i="145"/>
  <c r="A250" i="145" s="1"/>
  <c r="E219" i="145"/>
  <c r="F156" i="145"/>
  <c r="F134" i="145"/>
  <c r="D132" i="145"/>
  <c r="C132" i="145"/>
  <c r="F113" i="145"/>
  <c r="F73" i="145"/>
  <c r="F72" i="145"/>
  <c r="E69" i="145"/>
  <c r="C69" i="145"/>
  <c r="E27" i="145"/>
  <c r="H24" i="145"/>
  <c r="G24" i="145"/>
  <c r="D174" i="145" s="1"/>
  <c r="E24" i="145"/>
  <c r="C174" i="145" s="1"/>
  <c r="D24" i="145"/>
  <c r="F175" i="145" s="1"/>
  <c r="H23" i="145"/>
  <c r="G23" i="145"/>
  <c r="D153" i="145" s="1"/>
  <c r="E23" i="145"/>
  <c r="D23" i="145"/>
  <c r="H22" i="145"/>
  <c r="G22" i="145"/>
  <c r="F135" i="145" s="1"/>
  <c r="E22" i="145"/>
  <c r="D22" i="145"/>
  <c r="H21" i="145"/>
  <c r="F115" i="145" s="1"/>
  <c r="G21" i="145"/>
  <c r="F114" i="145" s="1"/>
  <c r="E21" i="145"/>
  <c r="C111" i="145" s="1"/>
  <c r="D21" i="145"/>
  <c r="H20" i="145"/>
  <c r="E90" i="145" s="1"/>
  <c r="G20" i="145"/>
  <c r="D90" i="145" s="1"/>
  <c r="E20" i="145"/>
  <c r="F92" i="145" s="1"/>
  <c r="D20" i="145"/>
  <c r="B90" i="145" s="1"/>
  <c r="H19" i="145"/>
  <c r="G19" i="145"/>
  <c r="D69" i="145" s="1"/>
  <c r="E19" i="145"/>
  <c r="F71" i="145" s="1"/>
  <c r="D19" i="145"/>
  <c r="H18" i="145"/>
  <c r="G18" i="145"/>
  <c r="E18" i="145"/>
  <c r="D18" i="145"/>
  <c r="H17" i="145"/>
  <c r="F31" i="145" s="1"/>
  <c r="G17" i="145"/>
  <c r="F30" i="145" s="1"/>
  <c r="E17" i="145"/>
  <c r="F29" i="145" s="1"/>
  <c r="D17" i="145"/>
  <c r="B27" i="145" s="1"/>
  <c r="M13" i="145"/>
  <c r="L13" i="145"/>
  <c r="F13" i="145"/>
  <c r="E13" i="145"/>
  <c r="D13" i="145"/>
  <c r="C13" i="145"/>
  <c r="M12" i="145"/>
  <c r="L12" i="145"/>
  <c r="F12" i="145"/>
  <c r="E12" i="145"/>
  <c r="D12" i="145"/>
  <c r="C12" i="145"/>
  <c r="U11" i="145"/>
  <c r="T11" i="145"/>
  <c r="M11" i="145"/>
  <c r="L11" i="145"/>
  <c r="F11" i="145"/>
  <c r="E11" i="145"/>
  <c r="D11" i="145"/>
  <c r="C11" i="145"/>
  <c r="U10" i="145"/>
  <c r="T10" i="145"/>
  <c r="M10" i="145"/>
  <c r="L10" i="145"/>
  <c r="F398" i="145" s="1"/>
  <c r="F10" i="145"/>
  <c r="E10" i="145"/>
  <c r="D10" i="145"/>
  <c r="C10" i="145"/>
  <c r="U9" i="145"/>
  <c r="E218" i="145" s="1"/>
  <c r="T9" i="145"/>
  <c r="E231" i="145" s="1"/>
  <c r="P247" i="145" s="1"/>
  <c r="M9" i="145"/>
  <c r="L9" i="145"/>
  <c r="F397" i="145" s="1"/>
  <c r="F9" i="145"/>
  <c r="E9" i="145"/>
  <c r="D9" i="145"/>
  <c r="C9" i="145"/>
  <c r="U8" i="145"/>
  <c r="E230" i="145" s="1"/>
  <c r="P246" i="145" s="1"/>
  <c r="T8" i="145"/>
  <c r="E229" i="145" s="1"/>
  <c r="M8" i="145"/>
  <c r="L8" i="145"/>
  <c r="F396" i="145" s="1"/>
  <c r="F8" i="145"/>
  <c r="E8" i="145"/>
  <c r="D8" i="145"/>
  <c r="C8" i="145"/>
  <c r="U7" i="145"/>
  <c r="E214" i="145" s="1"/>
  <c r="A244" i="145" s="1"/>
  <c r="T7" i="145"/>
  <c r="M7" i="145"/>
  <c r="L7" i="145"/>
  <c r="F395" i="145" s="1"/>
  <c r="F7" i="145"/>
  <c r="E7" i="145"/>
  <c r="D7" i="145"/>
  <c r="C7" i="145"/>
  <c r="U6" i="145"/>
  <c r="T6" i="145"/>
  <c r="M6" i="145"/>
  <c r="L6" i="145"/>
  <c r="F394" i="145" s="1"/>
  <c r="F6" i="145"/>
  <c r="E6" i="145"/>
  <c r="D6" i="145"/>
  <c r="C6" i="145"/>
  <c r="L7" i="144"/>
  <c r="L8" i="144"/>
  <c r="L9" i="144"/>
  <c r="L10" i="144"/>
  <c r="L6" i="144"/>
  <c r="M7" i="144"/>
  <c r="M8" i="144"/>
  <c r="M9" i="144"/>
  <c r="M10" i="144"/>
  <c r="M6" i="144"/>
  <c r="H401" i="144"/>
  <c r="G401" i="144"/>
  <c r="F401" i="144"/>
  <c r="D401" i="144"/>
  <c r="C401" i="144"/>
  <c r="B401" i="144"/>
  <c r="H400" i="144"/>
  <c r="G400" i="144"/>
  <c r="F400" i="144"/>
  <c r="D400" i="144"/>
  <c r="C400" i="144"/>
  <c r="B400" i="144"/>
  <c r="H399" i="144"/>
  <c r="G399" i="144"/>
  <c r="F399" i="144"/>
  <c r="D399" i="144"/>
  <c r="C399" i="144"/>
  <c r="B399" i="144"/>
  <c r="D398" i="144"/>
  <c r="C398" i="144"/>
  <c r="B398" i="144"/>
  <c r="F397" i="144"/>
  <c r="D397" i="144"/>
  <c r="C397" i="144"/>
  <c r="B397" i="144"/>
  <c r="D396" i="144"/>
  <c r="C396" i="144"/>
  <c r="B396" i="144"/>
  <c r="D395" i="144"/>
  <c r="C395" i="144"/>
  <c r="B395" i="144"/>
  <c r="D394" i="144"/>
  <c r="C394" i="144"/>
  <c r="B394" i="144"/>
  <c r="C389" i="144"/>
  <c r="H388" i="144"/>
  <c r="G388" i="144"/>
  <c r="H387" i="144"/>
  <c r="G387" i="144" s="1"/>
  <c r="H386" i="144"/>
  <c r="G386" i="144" s="1"/>
  <c r="H385" i="144"/>
  <c r="G385" i="144"/>
  <c r="C381" i="144"/>
  <c r="H380" i="144"/>
  <c r="G380" i="144" s="1"/>
  <c r="H379" i="144"/>
  <c r="G379" i="144"/>
  <c r="H378" i="144"/>
  <c r="G378" i="144"/>
  <c r="H377" i="144"/>
  <c r="G377" i="144" s="1"/>
  <c r="C373" i="144"/>
  <c r="H372" i="144"/>
  <c r="G372" i="144" s="1"/>
  <c r="H371" i="144"/>
  <c r="G371" i="144" s="1"/>
  <c r="H370" i="144"/>
  <c r="G370" i="144"/>
  <c r="H369" i="144"/>
  <c r="G369" i="144" s="1"/>
  <c r="H364" i="144"/>
  <c r="H363" i="144"/>
  <c r="H362" i="144"/>
  <c r="H361" i="144"/>
  <c r="H356" i="144"/>
  <c r="H355" i="144"/>
  <c r="H354" i="144"/>
  <c r="H353" i="144"/>
  <c r="H348" i="144"/>
  <c r="H347" i="144"/>
  <c r="H346" i="144"/>
  <c r="H345" i="144"/>
  <c r="H340" i="144"/>
  <c r="H339" i="144"/>
  <c r="H338" i="144"/>
  <c r="H337" i="144"/>
  <c r="H332" i="144"/>
  <c r="H331" i="144"/>
  <c r="H330" i="144"/>
  <c r="H329" i="144"/>
  <c r="E236" i="144"/>
  <c r="F236" i="144" s="1"/>
  <c r="E235" i="144"/>
  <c r="F235" i="144" s="1"/>
  <c r="E234" i="144"/>
  <c r="P250" i="144" s="1"/>
  <c r="E233" i="144"/>
  <c r="P249" i="144" s="1"/>
  <c r="E222" i="144"/>
  <c r="G236" i="144" s="1"/>
  <c r="E221" i="144"/>
  <c r="A251" i="144" s="1"/>
  <c r="E220" i="144"/>
  <c r="A250" i="144" s="1"/>
  <c r="E219" i="144"/>
  <c r="A249" i="144" s="1"/>
  <c r="F157" i="144"/>
  <c r="F156" i="144"/>
  <c r="D153" i="144"/>
  <c r="C132" i="144"/>
  <c r="F113" i="144"/>
  <c r="J85" i="144"/>
  <c r="B83" i="144"/>
  <c r="B80" i="144"/>
  <c r="F77" i="144"/>
  <c r="D77" i="144"/>
  <c r="C77" i="144"/>
  <c r="F71" i="144"/>
  <c r="F70" i="144"/>
  <c r="E69" i="144"/>
  <c r="F52" i="144"/>
  <c r="F30" i="144"/>
  <c r="F29" i="144"/>
  <c r="H24" i="144"/>
  <c r="G24" i="144"/>
  <c r="E24" i="144"/>
  <c r="D24" i="144"/>
  <c r="F175" i="144" s="1"/>
  <c r="H23" i="144"/>
  <c r="E153" i="144" s="1"/>
  <c r="G23" i="144"/>
  <c r="E23" i="144"/>
  <c r="D23" i="144"/>
  <c r="H22" i="144"/>
  <c r="E132" i="144" s="1"/>
  <c r="G22" i="144"/>
  <c r="D132" i="144" s="1"/>
  <c r="E22" i="144"/>
  <c r="F134" i="144" s="1"/>
  <c r="D22" i="144"/>
  <c r="H21" i="144"/>
  <c r="F115" i="144" s="1"/>
  <c r="G21" i="144"/>
  <c r="E21" i="144"/>
  <c r="C111" i="144" s="1"/>
  <c r="D21" i="144"/>
  <c r="F112" i="144" s="1"/>
  <c r="H20" i="144"/>
  <c r="E90" i="144" s="1"/>
  <c r="G20" i="144"/>
  <c r="E20" i="144"/>
  <c r="D20" i="144"/>
  <c r="B90" i="144" s="1"/>
  <c r="H19" i="144"/>
  <c r="F73" i="144" s="1"/>
  <c r="G19" i="144"/>
  <c r="D69" i="144" s="1"/>
  <c r="L85" i="144" s="1"/>
  <c r="E19" i="144"/>
  <c r="C69" i="144" s="1"/>
  <c r="D19" i="144"/>
  <c r="B69" i="144" s="1"/>
  <c r="H87" i="144" s="1"/>
  <c r="H18" i="144"/>
  <c r="E48" i="144" s="1"/>
  <c r="G18" i="144"/>
  <c r="F51" i="144" s="1"/>
  <c r="E18" i="144"/>
  <c r="C48" i="144" s="1"/>
  <c r="D18" i="144"/>
  <c r="B48" i="144" s="1"/>
  <c r="H17" i="144"/>
  <c r="F31" i="144" s="1"/>
  <c r="G17" i="144"/>
  <c r="D27" i="144" s="1"/>
  <c r="E17" i="144"/>
  <c r="C27" i="144" s="1"/>
  <c r="D17" i="144"/>
  <c r="F28" i="144" s="1"/>
  <c r="M13" i="144"/>
  <c r="L13" i="144"/>
  <c r="F13" i="144"/>
  <c r="E13" i="144"/>
  <c r="D13" i="144"/>
  <c r="C13" i="144"/>
  <c r="G13" i="144" s="1"/>
  <c r="M12" i="144"/>
  <c r="L12" i="144"/>
  <c r="F12" i="144"/>
  <c r="E12" i="144"/>
  <c r="D12" i="144"/>
  <c r="C12" i="144"/>
  <c r="U11" i="144"/>
  <c r="T11" i="144"/>
  <c r="M11" i="144"/>
  <c r="L11" i="144"/>
  <c r="F11" i="144"/>
  <c r="E11" i="144"/>
  <c r="D11" i="144"/>
  <c r="C11" i="144"/>
  <c r="U10" i="144"/>
  <c r="T10" i="144"/>
  <c r="F398" i="144"/>
  <c r="F10" i="144"/>
  <c r="E10" i="144"/>
  <c r="D10" i="144"/>
  <c r="C10" i="144"/>
  <c r="U9" i="144"/>
  <c r="T9" i="144"/>
  <c r="E231" i="144" s="1"/>
  <c r="F9" i="144"/>
  <c r="E9" i="144"/>
  <c r="D9" i="144"/>
  <c r="C9" i="144"/>
  <c r="U8" i="144"/>
  <c r="T8" i="144"/>
  <c r="F396" i="144"/>
  <c r="F8" i="144"/>
  <c r="E8" i="144"/>
  <c r="D8" i="144"/>
  <c r="C8" i="144"/>
  <c r="U7" i="144"/>
  <c r="E214" i="144" s="1"/>
  <c r="A244" i="144" s="1"/>
  <c r="T7" i="144"/>
  <c r="E213" i="144" s="1"/>
  <c r="A243" i="144" s="1"/>
  <c r="F395" i="144"/>
  <c r="F7" i="144"/>
  <c r="E7" i="144"/>
  <c r="D7" i="144"/>
  <c r="C7" i="144"/>
  <c r="G7" i="144" s="1"/>
  <c r="U6" i="144"/>
  <c r="T6" i="144"/>
  <c r="F394" i="144"/>
  <c r="F6" i="144"/>
  <c r="E6" i="144"/>
  <c r="D6" i="144"/>
  <c r="C6" i="144"/>
  <c r="G6" i="144" s="1"/>
  <c r="M7" i="2"/>
  <c r="M8" i="2"/>
  <c r="M9" i="2"/>
  <c r="M10" i="2"/>
  <c r="M6" i="2"/>
  <c r="L7" i="2"/>
  <c r="L8" i="2"/>
  <c r="L9" i="2"/>
  <c r="L10" i="2"/>
  <c r="L6" i="2"/>
  <c r="H453" i="143"/>
  <c r="H421" i="143"/>
  <c r="E304" i="143"/>
  <c r="F298" i="143"/>
  <c r="E296" i="143"/>
  <c r="E284" i="143"/>
  <c r="A314" i="143" s="1"/>
  <c r="B201" i="143"/>
  <c r="D180" i="143"/>
  <c r="F183" i="143" s="1"/>
  <c r="B180" i="143"/>
  <c r="E138" i="143"/>
  <c r="F142" i="143" s="1"/>
  <c r="E117" i="143"/>
  <c r="F121" i="143" s="1"/>
  <c r="B117" i="143"/>
  <c r="F118" i="143" s="1"/>
  <c r="F99" i="143"/>
  <c r="D96" i="143"/>
  <c r="F30" i="143"/>
  <c r="E30" i="143"/>
  <c r="D30" i="143"/>
  <c r="C30" i="143"/>
  <c r="F29" i="143"/>
  <c r="E29" i="143"/>
  <c r="D29" i="143"/>
  <c r="C29" i="143"/>
  <c r="F28" i="143"/>
  <c r="E28" i="143"/>
  <c r="D28" i="143"/>
  <c r="C28" i="143"/>
  <c r="C486" i="143" s="1"/>
  <c r="F27" i="143"/>
  <c r="H448" i="143" s="1"/>
  <c r="E27" i="143"/>
  <c r="D27" i="143"/>
  <c r="C27" i="143"/>
  <c r="F26" i="143"/>
  <c r="E26" i="143"/>
  <c r="D26" i="143"/>
  <c r="C26" i="143"/>
  <c r="F25" i="143"/>
  <c r="H432" i="143" s="1"/>
  <c r="E25" i="143"/>
  <c r="D25" i="143"/>
  <c r="C25" i="143"/>
  <c r="F24" i="143"/>
  <c r="H424" i="143" s="1"/>
  <c r="E24" i="143"/>
  <c r="D24" i="143"/>
  <c r="C117" i="143" s="1"/>
  <c r="F119" i="143" s="1"/>
  <c r="C24" i="143"/>
  <c r="C482" i="143" s="1"/>
  <c r="F23" i="143"/>
  <c r="E23" i="143"/>
  <c r="D23" i="143"/>
  <c r="H414" i="143" s="1"/>
  <c r="C23" i="143"/>
  <c r="H413" i="143" s="1"/>
  <c r="F22" i="143"/>
  <c r="E22" i="143"/>
  <c r="D480" i="143" s="1"/>
  <c r="D22" i="143"/>
  <c r="C22" i="143"/>
  <c r="F21" i="143"/>
  <c r="E21" i="143"/>
  <c r="D21" i="143"/>
  <c r="C21" i="143"/>
  <c r="F20" i="143"/>
  <c r="E20" i="143"/>
  <c r="D20" i="143"/>
  <c r="C20" i="143"/>
  <c r="B33" i="143" s="1"/>
  <c r="M16" i="143"/>
  <c r="L16" i="143"/>
  <c r="C16" i="143"/>
  <c r="M15" i="143"/>
  <c r="L15" i="143"/>
  <c r="F15" i="143"/>
  <c r="M14" i="143"/>
  <c r="L14" i="143"/>
  <c r="F486" i="143" s="1"/>
  <c r="M13" i="143"/>
  <c r="L13" i="143"/>
  <c r="F485" i="143" s="1"/>
  <c r="E13" i="143"/>
  <c r="M12" i="143"/>
  <c r="L12" i="143"/>
  <c r="M11" i="143"/>
  <c r="L11" i="143"/>
  <c r="C11" i="143"/>
  <c r="M10" i="143"/>
  <c r="L10" i="143"/>
  <c r="E10" i="143"/>
  <c r="D10" i="143"/>
  <c r="M9" i="143"/>
  <c r="L9" i="143"/>
  <c r="F481" i="143" s="1"/>
  <c r="F9" i="143"/>
  <c r="D9" i="143"/>
  <c r="M8" i="143"/>
  <c r="L8" i="143"/>
  <c r="F480" i="143" s="1"/>
  <c r="M7" i="143"/>
  <c r="L7" i="143"/>
  <c r="F479" i="143" s="1"/>
  <c r="E7" i="143"/>
  <c r="C7" i="143"/>
  <c r="M6" i="143"/>
  <c r="L6" i="143"/>
  <c r="C6" i="143"/>
  <c r="E3" i="143"/>
  <c r="B3" i="143"/>
  <c r="AB48" i="142"/>
  <c r="H42" i="142"/>
  <c r="J42" i="142" s="1"/>
  <c r="G42" i="142"/>
  <c r="AA48" i="142" s="1"/>
  <c r="F42" i="142"/>
  <c r="AB47" i="142" s="1"/>
  <c r="E42" i="142"/>
  <c r="AA47" i="142" s="1"/>
  <c r="AB41" i="142"/>
  <c r="H41" i="142"/>
  <c r="G41" i="142"/>
  <c r="I41" i="142" s="1"/>
  <c r="K41" i="142" s="1"/>
  <c r="F41" i="142"/>
  <c r="AB44" i="142" s="1"/>
  <c r="E41" i="142"/>
  <c r="AA44" i="142" s="1"/>
  <c r="H40" i="142"/>
  <c r="AB42" i="142" s="1"/>
  <c r="G40" i="142"/>
  <c r="F40" i="142"/>
  <c r="E40" i="142"/>
  <c r="AA41" i="142" s="1"/>
  <c r="J39" i="142"/>
  <c r="H39" i="142"/>
  <c r="AB39" i="142" s="1"/>
  <c r="G39" i="142"/>
  <c r="AA39" i="142" s="1"/>
  <c r="F39" i="142"/>
  <c r="AB38" i="142" s="1"/>
  <c r="E39" i="142"/>
  <c r="AA38" i="142"/>
  <c r="H38" i="142"/>
  <c r="F16" i="143" s="1"/>
  <c r="H16" i="143" s="1"/>
  <c r="G38" i="142"/>
  <c r="E16" i="143" s="1"/>
  <c r="F38" i="142"/>
  <c r="D16" i="143" s="1"/>
  <c r="E38" i="142"/>
  <c r="AA35" i="142" s="1"/>
  <c r="H37" i="142"/>
  <c r="G37" i="142"/>
  <c r="F37" i="142"/>
  <c r="E37" i="142"/>
  <c r="AB36" i="142"/>
  <c r="AA36" i="142"/>
  <c r="H36" i="142"/>
  <c r="F14" i="143" s="1"/>
  <c r="G36" i="142"/>
  <c r="E14" i="143" s="1"/>
  <c r="F36" i="142"/>
  <c r="E36" i="142"/>
  <c r="J35" i="142"/>
  <c r="H35" i="142"/>
  <c r="F13" i="143" s="1"/>
  <c r="G35" i="142"/>
  <c r="F35" i="142"/>
  <c r="E35" i="142"/>
  <c r="H34" i="142"/>
  <c r="G34" i="142"/>
  <c r="F34" i="142"/>
  <c r="E34" i="142"/>
  <c r="AA23" i="142" s="1"/>
  <c r="AB33" i="142"/>
  <c r="H33" i="142"/>
  <c r="AB21" i="142" s="1"/>
  <c r="G33" i="142"/>
  <c r="F33" i="142"/>
  <c r="E33" i="142"/>
  <c r="I33" i="142" s="1"/>
  <c r="AB32" i="142"/>
  <c r="H32" i="142"/>
  <c r="J32" i="142" s="1"/>
  <c r="G32" i="142"/>
  <c r="F32" i="142"/>
  <c r="AB17" i="142" s="1"/>
  <c r="E32" i="142"/>
  <c r="H31" i="142"/>
  <c r="G31" i="142"/>
  <c r="F31" i="142"/>
  <c r="AB14" i="142" s="1"/>
  <c r="E31" i="142"/>
  <c r="C9" i="143" s="1"/>
  <c r="AB30" i="142"/>
  <c r="AA30" i="142"/>
  <c r="I30" i="142"/>
  <c r="H30" i="142"/>
  <c r="G30" i="142"/>
  <c r="E8" i="143" s="1"/>
  <c r="F30" i="142"/>
  <c r="D8" i="143" s="1"/>
  <c r="E30" i="142"/>
  <c r="C8" i="143" s="1"/>
  <c r="H29" i="142"/>
  <c r="G29" i="142"/>
  <c r="F29" i="142"/>
  <c r="D7" i="143" s="1"/>
  <c r="E29" i="142"/>
  <c r="J28" i="142"/>
  <c r="H28" i="142"/>
  <c r="G28" i="142"/>
  <c r="E6" i="143" s="1"/>
  <c r="F28" i="142"/>
  <c r="D6" i="143" s="1"/>
  <c r="E28" i="142"/>
  <c r="AA5" i="142" s="1"/>
  <c r="AB27" i="142"/>
  <c r="AA27" i="142"/>
  <c r="AA26" i="142"/>
  <c r="G23" i="142"/>
  <c r="F23" i="142"/>
  <c r="G22" i="142"/>
  <c r="F22" i="142"/>
  <c r="G21" i="142"/>
  <c r="F21" i="142"/>
  <c r="AA20" i="142"/>
  <c r="G20" i="142"/>
  <c r="F20" i="142"/>
  <c r="G19" i="142"/>
  <c r="F19" i="142"/>
  <c r="E290" i="143" s="1"/>
  <c r="A320" i="143" s="1"/>
  <c r="AA18" i="142"/>
  <c r="G18" i="142"/>
  <c r="E303" i="143" s="1"/>
  <c r="G303" i="143" s="1"/>
  <c r="F18" i="142"/>
  <c r="G17" i="142"/>
  <c r="F17" i="142"/>
  <c r="G16" i="142"/>
  <c r="F16" i="142"/>
  <c r="E298" i="143" s="1"/>
  <c r="AB15" i="142"/>
  <c r="G15" i="142"/>
  <c r="F15" i="142"/>
  <c r="E282" i="143" s="1"/>
  <c r="A312" i="143" s="1"/>
  <c r="G14" i="142"/>
  <c r="F14" i="142"/>
  <c r="AB11" i="142"/>
  <c r="AA11" i="142"/>
  <c r="AB9" i="142"/>
  <c r="AA9" i="142"/>
  <c r="D6" i="142"/>
  <c r="B6" i="142"/>
  <c r="AB5" i="142"/>
  <c r="E3" i="142"/>
  <c r="B3" i="142"/>
  <c r="D494" i="141"/>
  <c r="C491" i="141"/>
  <c r="D490" i="141"/>
  <c r="F489" i="141"/>
  <c r="C489" i="141"/>
  <c r="C487" i="141"/>
  <c r="D486" i="141"/>
  <c r="H476" i="141"/>
  <c r="H445" i="141"/>
  <c r="H435" i="141"/>
  <c r="H430" i="141"/>
  <c r="H413" i="141"/>
  <c r="H403" i="141"/>
  <c r="G302" i="141"/>
  <c r="G300" i="141"/>
  <c r="E300" i="141"/>
  <c r="P316" i="141" s="1"/>
  <c r="E288" i="141"/>
  <c r="A318" i="141" s="1"/>
  <c r="E286" i="141"/>
  <c r="A316" i="141" s="1"/>
  <c r="E281" i="141"/>
  <c r="A311" i="141" s="1"/>
  <c r="D243" i="141"/>
  <c r="F246" i="141" s="1"/>
  <c r="B180" i="141"/>
  <c r="F119" i="141"/>
  <c r="F78" i="141"/>
  <c r="D75" i="141"/>
  <c r="F30" i="141"/>
  <c r="E30" i="141"/>
  <c r="H477" i="141" s="1"/>
  <c r="D30" i="141"/>
  <c r="C243" i="141" s="1"/>
  <c r="F245" i="141" s="1"/>
  <c r="C30" i="141"/>
  <c r="F29" i="141"/>
  <c r="H470" i="141" s="1"/>
  <c r="E29" i="141"/>
  <c r="D29" i="141"/>
  <c r="C29" i="141"/>
  <c r="F28" i="141"/>
  <c r="E28" i="141"/>
  <c r="D201" i="141" s="1"/>
  <c r="F204" i="141" s="1"/>
  <c r="D28" i="141"/>
  <c r="C28" i="141"/>
  <c r="F27" i="141"/>
  <c r="E27" i="141"/>
  <c r="D27" i="141"/>
  <c r="C27" i="141"/>
  <c r="H451" i="141" s="1"/>
  <c r="F26" i="141"/>
  <c r="E26" i="141"/>
  <c r="D159" i="141" s="1"/>
  <c r="F162" i="141" s="1"/>
  <c r="D26" i="141"/>
  <c r="H444" i="141" s="1"/>
  <c r="C26" i="141"/>
  <c r="F25" i="141"/>
  <c r="E25" i="141"/>
  <c r="D25" i="141"/>
  <c r="C25" i="141"/>
  <c r="B138" i="141" s="1"/>
  <c r="F24" i="141"/>
  <c r="E117" i="141" s="1"/>
  <c r="F121" i="141" s="1"/>
  <c r="E24" i="141"/>
  <c r="D24" i="141"/>
  <c r="C117" i="141" s="1"/>
  <c r="C24" i="141"/>
  <c r="F23" i="141"/>
  <c r="E96" i="141" s="1"/>
  <c r="F100" i="141" s="1"/>
  <c r="E23" i="141"/>
  <c r="D23" i="141"/>
  <c r="C23" i="141"/>
  <c r="F22" i="141"/>
  <c r="E22" i="141"/>
  <c r="D22" i="141"/>
  <c r="C22" i="141"/>
  <c r="F21" i="141"/>
  <c r="E21" i="141"/>
  <c r="D21" i="141"/>
  <c r="C21" i="141"/>
  <c r="C485" i="141" s="1"/>
  <c r="F20" i="141"/>
  <c r="E33" i="141" s="1"/>
  <c r="F37" i="141" s="1"/>
  <c r="E20" i="141"/>
  <c r="D20" i="141"/>
  <c r="H396" i="141" s="1"/>
  <c r="C20" i="141"/>
  <c r="M16" i="141"/>
  <c r="L16" i="141"/>
  <c r="M15" i="141"/>
  <c r="L15" i="141"/>
  <c r="M14" i="141"/>
  <c r="L14" i="141"/>
  <c r="F492" i="141" s="1"/>
  <c r="F14" i="141"/>
  <c r="H14" i="141" s="1"/>
  <c r="E14" i="141"/>
  <c r="G14" i="141" s="1"/>
  <c r="C14" i="141"/>
  <c r="M13" i="141"/>
  <c r="L13" i="141"/>
  <c r="M12" i="141"/>
  <c r="L12" i="141"/>
  <c r="M11" i="141"/>
  <c r="L11" i="141"/>
  <c r="M10" i="141"/>
  <c r="L10" i="141"/>
  <c r="F488" i="141" s="1"/>
  <c r="M9" i="141"/>
  <c r="L9" i="141"/>
  <c r="E9" i="141"/>
  <c r="D9" i="141"/>
  <c r="M8" i="141"/>
  <c r="L8" i="141"/>
  <c r="E8" i="141"/>
  <c r="M7" i="141"/>
  <c r="L7" i="141"/>
  <c r="F485" i="141" s="1"/>
  <c r="M6" i="141"/>
  <c r="L6" i="141"/>
  <c r="F484" i="141" s="1"/>
  <c r="E6" i="141"/>
  <c r="E3" i="141"/>
  <c r="B3" i="141"/>
  <c r="AA48" i="140"/>
  <c r="AA45" i="140"/>
  <c r="K42" i="140"/>
  <c r="M42" i="140" s="1"/>
  <c r="J42" i="140"/>
  <c r="H42" i="140"/>
  <c r="AB48" i="140" s="1"/>
  <c r="G42" i="140"/>
  <c r="I42" i="140" s="1"/>
  <c r="F42" i="140"/>
  <c r="AB47" i="140" s="1"/>
  <c r="E42" i="140"/>
  <c r="AA47" i="140" s="1"/>
  <c r="H41" i="140"/>
  <c r="G41" i="140"/>
  <c r="I41" i="140" s="1"/>
  <c r="K41" i="140" s="1"/>
  <c r="F41" i="140"/>
  <c r="AB44" i="140" s="1"/>
  <c r="E41" i="140"/>
  <c r="AA44" i="140" s="1"/>
  <c r="H40" i="140"/>
  <c r="AB42" i="140" s="1"/>
  <c r="G40" i="140"/>
  <c r="F40" i="140"/>
  <c r="AB41" i="140" s="1"/>
  <c r="E40" i="140"/>
  <c r="AA41" i="140" s="1"/>
  <c r="AA39" i="140"/>
  <c r="K39" i="140"/>
  <c r="J39" i="140"/>
  <c r="H39" i="140"/>
  <c r="AB39" i="140" s="1"/>
  <c r="G39" i="140"/>
  <c r="I39" i="140" s="1"/>
  <c r="F39" i="140"/>
  <c r="AB38" i="140" s="1"/>
  <c r="E39" i="140"/>
  <c r="AA38" i="140"/>
  <c r="H38" i="140"/>
  <c r="G38" i="140"/>
  <c r="F38" i="140"/>
  <c r="E38" i="140"/>
  <c r="H37" i="140"/>
  <c r="F15" i="141" s="1"/>
  <c r="G37" i="140"/>
  <c r="AA33" i="140" s="1"/>
  <c r="F37" i="140"/>
  <c r="AB32" i="140" s="1"/>
  <c r="E37" i="140"/>
  <c r="H36" i="140"/>
  <c r="G36" i="140"/>
  <c r="F36" i="140"/>
  <c r="D14" i="141" s="1"/>
  <c r="E36" i="140"/>
  <c r="AA29" i="140" s="1"/>
  <c r="H35" i="140"/>
  <c r="G35" i="140"/>
  <c r="F35" i="140"/>
  <c r="E35" i="140"/>
  <c r="H34" i="140"/>
  <c r="G34" i="140"/>
  <c r="AA24" i="140" s="1"/>
  <c r="F34" i="140"/>
  <c r="E34" i="140"/>
  <c r="J33" i="140"/>
  <c r="H33" i="140"/>
  <c r="F11" i="141" s="1"/>
  <c r="H11" i="141" s="1"/>
  <c r="G33" i="140"/>
  <c r="I33" i="140" s="1"/>
  <c r="F33" i="140"/>
  <c r="D11" i="141" s="1"/>
  <c r="E33" i="140"/>
  <c r="H32" i="140"/>
  <c r="G32" i="140"/>
  <c r="E10" i="141" s="1"/>
  <c r="F32" i="140"/>
  <c r="E32" i="140"/>
  <c r="AA17" i="140" s="1"/>
  <c r="H31" i="140"/>
  <c r="G31" i="140"/>
  <c r="F31" i="140"/>
  <c r="E31" i="140"/>
  <c r="AB30" i="140"/>
  <c r="H30" i="140"/>
  <c r="F8" i="141" s="1"/>
  <c r="G30" i="140"/>
  <c r="F30" i="140"/>
  <c r="E30" i="140"/>
  <c r="AB29" i="140"/>
  <c r="H29" i="140"/>
  <c r="G29" i="140"/>
  <c r="F29" i="140"/>
  <c r="E29" i="140"/>
  <c r="H28" i="140"/>
  <c r="G28" i="140"/>
  <c r="F28" i="140"/>
  <c r="E28" i="140"/>
  <c r="G23" i="140"/>
  <c r="F23" i="140"/>
  <c r="G22" i="140"/>
  <c r="F22" i="140"/>
  <c r="AB21" i="140"/>
  <c r="G21" i="140"/>
  <c r="F21" i="140"/>
  <c r="G20" i="140"/>
  <c r="F20" i="140"/>
  <c r="G19" i="140"/>
  <c r="E305" i="141" s="1"/>
  <c r="G305" i="141" s="1"/>
  <c r="F19" i="140"/>
  <c r="AA18" i="140"/>
  <c r="G18" i="140"/>
  <c r="E289" i="141" s="1"/>
  <c r="A319" i="141" s="1"/>
  <c r="F18" i="140"/>
  <c r="E302" i="141" s="1"/>
  <c r="P318" i="141" s="1"/>
  <c r="G17" i="140"/>
  <c r="F17" i="140"/>
  <c r="G16" i="140"/>
  <c r="F16" i="140"/>
  <c r="G15" i="140"/>
  <c r="F15" i="140"/>
  <c r="G14" i="140"/>
  <c r="E295" i="141" s="1"/>
  <c r="F295" i="141" s="1"/>
  <c r="F14" i="140"/>
  <c r="AB12" i="140"/>
  <c r="AA12" i="140"/>
  <c r="AA6" i="140"/>
  <c r="D6" i="140"/>
  <c r="B6" i="140"/>
  <c r="E3" i="140"/>
  <c r="B3" i="140"/>
  <c r="C460" i="139"/>
  <c r="F457" i="139"/>
  <c r="C456" i="139"/>
  <c r="H429" i="139"/>
  <c r="H423" i="139"/>
  <c r="H390" i="139"/>
  <c r="E273" i="139"/>
  <c r="E262" i="139"/>
  <c r="A292" i="139" s="1"/>
  <c r="F221" i="139"/>
  <c r="B178" i="139"/>
  <c r="F179" i="139" s="1"/>
  <c r="D157" i="139"/>
  <c r="F160" i="139" s="1"/>
  <c r="D136" i="139"/>
  <c r="F139" i="139" s="1"/>
  <c r="B94" i="139"/>
  <c r="F95" i="139" s="1"/>
  <c r="F76" i="139"/>
  <c r="D73" i="139"/>
  <c r="E52" i="139"/>
  <c r="F56" i="139" s="1"/>
  <c r="F28" i="139"/>
  <c r="H447" i="139" s="1"/>
  <c r="E28" i="139"/>
  <c r="D220" i="139" s="1"/>
  <c r="F223" i="139" s="1"/>
  <c r="D28" i="139"/>
  <c r="C28" i="139"/>
  <c r="B220" i="139" s="1"/>
  <c r="F27" i="139"/>
  <c r="E27" i="139"/>
  <c r="D27" i="139"/>
  <c r="H437" i="139" s="1"/>
  <c r="C27" i="139"/>
  <c r="B199" i="139" s="1"/>
  <c r="F200" i="139" s="1"/>
  <c r="F26" i="139"/>
  <c r="E26" i="139"/>
  <c r="D26" i="139"/>
  <c r="C178" i="139" s="1"/>
  <c r="F180" i="139" s="1"/>
  <c r="C26" i="139"/>
  <c r="H428" i="139" s="1"/>
  <c r="F25" i="139"/>
  <c r="E157" i="139" s="1"/>
  <c r="F161" i="139" s="1"/>
  <c r="E25" i="139"/>
  <c r="D459" i="139" s="1"/>
  <c r="D25" i="139"/>
  <c r="C25" i="139"/>
  <c r="F24" i="139"/>
  <c r="E24" i="139"/>
  <c r="D24" i="139"/>
  <c r="C24" i="139"/>
  <c r="B136" i="139" s="1"/>
  <c r="F23" i="139"/>
  <c r="E23" i="139"/>
  <c r="H406" i="139" s="1"/>
  <c r="D23" i="139"/>
  <c r="H405" i="139" s="1"/>
  <c r="C23" i="139"/>
  <c r="F22" i="139"/>
  <c r="E22" i="139"/>
  <c r="H398" i="139" s="1"/>
  <c r="D22" i="139"/>
  <c r="H397" i="139" s="1"/>
  <c r="C22" i="139"/>
  <c r="H396" i="139" s="1"/>
  <c r="F21" i="139"/>
  <c r="E73" i="139" s="1"/>
  <c r="F77" i="139" s="1"/>
  <c r="E21" i="139"/>
  <c r="D455" i="139" s="1"/>
  <c r="D21" i="139"/>
  <c r="C21" i="139"/>
  <c r="F20" i="139"/>
  <c r="H383" i="139" s="1"/>
  <c r="E20" i="139"/>
  <c r="D52" i="139" s="1"/>
  <c r="F55" i="139" s="1"/>
  <c r="D20" i="139"/>
  <c r="C20" i="139"/>
  <c r="F19" i="139"/>
  <c r="E19" i="139"/>
  <c r="D453" i="139" s="1"/>
  <c r="D19" i="139"/>
  <c r="C19" i="139"/>
  <c r="M15" i="139"/>
  <c r="L15" i="139"/>
  <c r="F462" i="139" s="1"/>
  <c r="E15" i="139"/>
  <c r="M14" i="139"/>
  <c r="L14" i="139"/>
  <c r="F461" i="139" s="1"/>
  <c r="M13" i="139"/>
  <c r="L13" i="139"/>
  <c r="F460" i="139" s="1"/>
  <c r="F13" i="139"/>
  <c r="D13" i="139"/>
  <c r="M12" i="139"/>
  <c r="L12" i="139"/>
  <c r="F459" i="139" s="1"/>
  <c r="M11" i="139"/>
  <c r="L11" i="139"/>
  <c r="F458" i="139" s="1"/>
  <c r="H11" i="139"/>
  <c r="F11" i="139"/>
  <c r="M10" i="139"/>
  <c r="L10" i="139"/>
  <c r="M9" i="139"/>
  <c r="L9" i="139"/>
  <c r="F456" i="139" s="1"/>
  <c r="M8" i="139"/>
  <c r="L8" i="139"/>
  <c r="F8" i="139"/>
  <c r="C8" i="139"/>
  <c r="M7" i="139"/>
  <c r="L7" i="139"/>
  <c r="F454" i="139" s="1"/>
  <c r="F7" i="139"/>
  <c r="E7" i="139"/>
  <c r="C7" i="139"/>
  <c r="M6" i="139"/>
  <c r="L6" i="139"/>
  <c r="E3" i="139"/>
  <c r="B3" i="139"/>
  <c r="AB47" i="138"/>
  <c r="AB45" i="138"/>
  <c r="AA44" i="138"/>
  <c r="J42" i="138"/>
  <c r="H42" i="138"/>
  <c r="AB48" i="138" s="1"/>
  <c r="G42" i="138"/>
  <c r="F42" i="138"/>
  <c r="E42" i="138"/>
  <c r="AA47" i="138" s="1"/>
  <c r="J41" i="138"/>
  <c r="H41" i="138"/>
  <c r="G41" i="138"/>
  <c r="F41" i="138"/>
  <c r="AB44" i="138" s="1"/>
  <c r="E41" i="138"/>
  <c r="J40" i="138"/>
  <c r="H40" i="138"/>
  <c r="AB42" i="138" s="1"/>
  <c r="G40" i="138"/>
  <c r="F40" i="138"/>
  <c r="AB41" i="138" s="1"/>
  <c r="E40" i="138"/>
  <c r="AA41" i="138" s="1"/>
  <c r="AB39" i="138"/>
  <c r="J39" i="138"/>
  <c r="H39" i="138"/>
  <c r="G39" i="138"/>
  <c r="I39" i="138" s="1"/>
  <c r="K39" i="138" s="1"/>
  <c r="F39" i="138"/>
  <c r="AB38" i="138" s="1"/>
  <c r="E39" i="138"/>
  <c r="AA38" i="138" s="1"/>
  <c r="J38" i="138"/>
  <c r="H38" i="138"/>
  <c r="G38" i="138"/>
  <c r="F38" i="138"/>
  <c r="AB35" i="138" s="1"/>
  <c r="E38" i="138"/>
  <c r="AA35" i="138" s="1"/>
  <c r="J37" i="138"/>
  <c r="H37" i="138"/>
  <c r="G37" i="138"/>
  <c r="F37" i="138"/>
  <c r="E37" i="138"/>
  <c r="AB36" i="138"/>
  <c r="H36" i="138"/>
  <c r="G36" i="138"/>
  <c r="E14" i="139" s="1"/>
  <c r="F36" i="138"/>
  <c r="E36" i="138"/>
  <c r="AA29" i="138" s="1"/>
  <c r="H35" i="138"/>
  <c r="G35" i="138"/>
  <c r="E13" i="139" s="1"/>
  <c r="F35" i="138"/>
  <c r="E35" i="138"/>
  <c r="H34" i="138"/>
  <c r="G34" i="138"/>
  <c r="F34" i="138"/>
  <c r="E34" i="138"/>
  <c r="AA33" i="138"/>
  <c r="H33" i="138"/>
  <c r="G33" i="138"/>
  <c r="F33" i="138"/>
  <c r="D11" i="139" s="1"/>
  <c r="E33" i="138"/>
  <c r="H32" i="138"/>
  <c r="F10" i="139" s="1"/>
  <c r="G32" i="138"/>
  <c r="E10" i="139" s="1"/>
  <c r="F32" i="138"/>
  <c r="E32" i="138"/>
  <c r="H31" i="138"/>
  <c r="AB15" i="138" s="1"/>
  <c r="G31" i="138"/>
  <c r="F31" i="138"/>
  <c r="D9" i="139" s="1"/>
  <c r="E31" i="138"/>
  <c r="H30" i="138"/>
  <c r="G30" i="138"/>
  <c r="E8" i="139" s="1"/>
  <c r="G8" i="139" s="1"/>
  <c r="F30" i="138"/>
  <c r="E30" i="138"/>
  <c r="H29" i="138"/>
  <c r="G29" i="138"/>
  <c r="F29" i="138"/>
  <c r="E29" i="138"/>
  <c r="AA8" i="138" s="1"/>
  <c r="H28" i="138"/>
  <c r="G28" i="138"/>
  <c r="F28" i="138"/>
  <c r="E28" i="138"/>
  <c r="AB27" i="138"/>
  <c r="AA27" i="138"/>
  <c r="AB26" i="138"/>
  <c r="G23" i="138"/>
  <c r="F23" i="138"/>
  <c r="G22" i="138"/>
  <c r="F22" i="138"/>
  <c r="G21" i="138"/>
  <c r="F21" i="138"/>
  <c r="AB20" i="138"/>
  <c r="G20" i="138"/>
  <c r="F20" i="138"/>
  <c r="G19" i="138"/>
  <c r="F19" i="138"/>
  <c r="AB18" i="138"/>
  <c r="AA18" i="138"/>
  <c r="G18" i="138"/>
  <c r="F18" i="138"/>
  <c r="G17" i="138"/>
  <c r="F17" i="138"/>
  <c r="G16" i="138"/>
  <c r="E276" i="139" s="1"/>
  <c r="F16" i="138"/>
  <c r="G15" i="138"/>
  <c r="F15" i="138"/>
  <c r="E259" i="139" s="1"/>
  <c r="A289" i="139" s="1"/>
  <c r="AA14" i="138"/>
  <c r="G14" i="138"/>
  <c r="F14" i="138"/>
  <c r="AA11" i="138"/>
  <c r="AB9" i="138"/>
  <c r="D6" i="138"/>
  <c r="B6" i="138"/>
  <c r="E3" i="138"/>
  <c r="B3" i="138"/>
  <c r="F273" i="137"/>
  <c r="D273" i="137"/>
  <c r="C273" i="137"/>
  <c r="D271" i="137"/>
  <c r="C271" i="137"/>
  <c r="D270" i="137"/>
  <c r="D269" i="137"/>
  <c r="H262" i="137"/>
  <c r="H221" i="137"/>
  <c r="H220" i="137"/>
  <c r="L164" i="137"/>
  <c r="E153" i="137"/>
  <c r="G152" i="137"/>
  <c r="E151" i="137"/>
  <c r="G151" i="137" s="1"/>
  <c r="E148" i="137"/>
  <c r="F148" i="137" s="1"/>
  <c r="D108" i="137"/>
  <c r="F111" i="137" s="1"/>
  <c r="C108" i="137"/>
  <c r="F110" i="137" s="1"/>
  <c r="E74" i="137"/>
  <c r="F78" i="137" s="1"/>
  <c r="D57" i="137"/>
  <c r="F60" i="137" s="1"/>
  <c r="F20" i="137"/>
  <c r="E20" i="137"/>
  <c r="D274" i="137" s="1"/>
  <c r="D20" i="137"/>
  <c r="H261" i="137" s="1"/>
  <c r="C20" i="137"/>
  <c r="B108" i="137" s="1"/>
  <c r="F19" i="137"/>
  <c r="E19" i="137"/>
  <c r="D19" i="137"/>
  <c r="C91" i="137" s="1"/>
  <c r="C19" i="137"/>
  <c r="F18" i="137"/>
  <c r="H247" i="137" s="1"/>
  <c r="E18" i="137"/>
  <c r="D18" i="137"/>
  <c r="C18" i="137"/>
  <c r="F17" i="137"/>
  <c r="H239" i="137" s="1"/>
  <c r="E17" i="137"/>
  <c r="H238" i="137" s="1"/>
  <c r="D17" i="137"/>
  <c r="C57" i="137" s="1"/>
  <c r="F59" i="137" s="1"/>
  <c r="C17" i="137"/>
  <c r="H236" i="137" s="1"/>
  <c r="F16" i="137"/>
  <c r="E16" i="137"/>
  <c r="D16" i="137"/>
  <c r="C16" i="137"/>
  <c r="H228" i="137" s="1"/>
  <c r="F15" i="137"/>
  <c r="E15" i="137"/>
  <c r="D15" i="137"/>
  <c r="C23" i="137" s="1"/>
  <c r="F25" i="137" s="1"/>
  <c r="C15" i="137"/>
  <c r="M11" i="137"/>
  <c r="L11" i="137"/>
  <c r="F274" i="137" s="1"/>
  <c r="M10" i="137"/>
  <c r="L10" i="137"/>
  <c r="D10" i="137"/>
  <c r="M9" i="137"/>
  <c r="L9" i="137"/>
  <c r="F272" i="137" s="1"/>
  <c r="M8" i="137"/>
  <c r="L8" i="137"/>
  <c r="M7" i="137"/>
  <c r="L7" i="137"/>
  <c r="F270" i="137" s="1"/>
  <c r="F7" i="137"/>
  <c r="C7" i="137"/>
  <c r="M6" i="137"/>
  <c r="L6" i="137"/>
  <c r="F269" i="137" s="1"/>
  <c r="E3" i="137"/>
  <c r="B3" i="137"/>
  <c r="AA48" i="136"/>
  <c r="M42" i="136"/>
  <c r="K42" i="136"/>
  <c r="L42" i="136" s="1"/>
  <c r="I42" i="136"/>
  <c r="H42" i="136"/>
  <c r="G42" i="136"/>
  <c r="F42" i="136"/>
  <c r="AB47" i="136" s="1"/>
  <c r="E42" i="136"/>
  <c r="AA47" i="136" s="1"/>
  <c r="H41" i="136"/>
  <c r="G41" i="136"/>
  <c r="F41" i="136"/>
  <c r="AB44" i="136" s="1"/>
  <c r="E41" i="136"/>
  <c r="AA44" i="136" s="1"/>
  <c r="I40" i="136"/>
  <c r="K40" i="136" s="1"/>
  <c r="H40" i="136"/>
  <c r="G40" i="136"/>
  <c r="AA42" i="136" s="1"/>
  <c r="F40" i="136"/>
  <c r="AB41" i="136" s="1"/>
  <c r="E40" i="136"/>
  <c r="AA41" i="136" s="1"/>
  <c r="AB39" i="136"/>
  <c r="J39" i="136"/>
  <c r="H39" i="136"/>
  <c r="G39" i="136"/>
  <c r="F39" i="136"/>
  <c r="AB38" i="136" s="1"/>
  <c r="E39" i="136"/>
  <c r="AA38" i="136" s="1"/>
  <c r="H38" i="136"/>
  <c r="G38" i="136"/>
  <c r="F38" i="136"/>
  <c r="E38" i="136"/>
  <c r="AA35" i="136" s="1"/>
  <c r="J37" i="136"/>
  <c r="I37" i="136"/>
  <c r="K37" i="136" s="1"/>
  <c r="L37" i="136" s="1"/>
  <c r="H37" i="136"/>
  <c r="G37" i="136"/>
  <c r="AA33" i="136" s="1"/>
  <c r="F37" i="136"/>
  <c r="AB32" i="136" s="1"/>
  <c r="E37" i="136"/>
  <c r="AA32" i="136" s="1"/>
  <c r="H36" i="136"/>
  <c r="G36" i="136"/>
  <c r="F36" i="136"/>
  <c r="AB29" i="136" s="1"/>
  <c r="E36" i="136"/>
  <c r="AA29" i="136" s="1"/>
  <c r="AB35" i="136"/>
  <c r="I35" i="136"/>
  <c r="K35" i="136" s="1"/>
  <c r="H35" i="136"/>
  <c r="G35" i="136"/>
  <c r="AA27" i="136" s="1"/>
  <c r="F35" i="136"/>
  <c r="E35" i="136"/>
  <c r="AA26" i="136" s="1"/>
  <c r="J34" i="136"/>
  <c r="H34" i="136"/>
  <c r="G34" i="136"/>
  <c r="I34" i="136" s="1"/>
  <c r="K34" i="136" s="1"/>
  <c r="F34" i="136"/>
  <c r="E34" i="136"/>
  <c r="AB33" i="136"/>
  <c r="H33" i="136"/>
  <c r="G33" i="136"/>
  <c r="F33" i="136"/>
  <c r="E33" i="136"/>
  <c r="H32" i="136"/>
  <c r="J32" i="136" s="1"/>
  <c r="G32" i="136"/>
  <c r="E10" i="137" s="1"/>
  <c r="F32" i="136"/>
  <c r="E32" i="136"/>
  <c r="H31" i="136"/>
  <c r="G31" i="136"/>
  <c r="F31" i="136"/>
  <c r="D9" i="137" s="1"/>
  <c r="E31" i="136"/>
  <c r="C9" i="137" s="1"/>
  <c r="H30" i="136"/>
  <c r="G30" i="136"/>
  <c r="F30" i="136"/>
  <c r="E30" i="136"/>
  <c r="C8" i="137" s="1"/>
  <c r="J29" i="136"/>
  <c r="H29" i="136"/>
  <c r="G29" i="136"/>
  <c r="I29" i="136" s="1"/>
  <c r="F29" i="136"/>
  <c r="AB8" i="136" s="1"/>
  <c r="E29" i="136"/>
  <c r="AA8" i="136" s="1"/>
  <c r="H28" i="136"/>
  <c r="F6" i="137" s="1"/>
  <c r="G28" i="136"/>
  <c r="F28" i="136"/>
  <c r="E28" i="136"/>
  <c r="AB26" i="136"/>
  <c r="AB24" i="136"/>
  <c r="AA24" i="136"/>
  <c r="AB23" i="136"/>
  <c r="AA23" i="136"/>
  <c r="G23" i="136"/>
  <c r="F23" i="136"/>
  <c r="G22" i="136"/>
  <c r="F22" i="136"/>
  <c r="G21" i="136"/>
  <c r="F21" i="136"/>
  <c r="AB20" i="136"/>
  <c r="G20" i="136"/>
  <c r="F20" i="136"/>
  <c r="G19" i="136"/>
  <c r="F19" i="136"/>
  <c r="AB18" i="136"/>
  <c r="AA18" i="136"/>
  <c r="G18" i="136"/>
  <c r="F18" i="136"/>
  <c r="AB17" i="136"/>
  <c r="G17" i="136"/>
  <c r="E144" i="137" s="1"/>
  <c r="A166" i="137" s="1"/>
  <c r="F17" i="136"/>
  <c r="E143" i="137" s="1"/>
  <c r="A165" i="137" s="1"/>
  <c r="G16" i="136"/>
  <c r="E152" i="137" s="1"/>
  <c r="F16" i="136"/>
  <c r="E141" i="137" s="1"/>
  <c r="A163" i="137" s="1"/>
  <c r="G15" i="136"/>
  <c r="F15" i="136"/>
  <c r="AB14" i="136"/>
  <c r="AA14" i="136"/>
  <c r="G14" i="136"/>
  <c r="E138" i="137" s="1"/>
  <c r="A160" i="137" s="1"/>
  <c r="F14" i="136"/>
  <c r="AB9" i="136"/>
  <c r="AB6" i="136"/>
  <c r="D6" i="136"/>
  <c r="B6" i="136"/>
  <c r="E3" i="136"/>
  <c r="B3" i="136"/>
  <c r="F526" i="135"/>
  <c r="D525" i="135"/>
  <c r="C521" i="135"/>
  <c r="D520" i="135"/>
  <c r="C520" i="135"/>
  <c r="F518" i="135"/>
  <c r="H510" i="135"/>
  <c r="H477" i="135"/>
  <c r="H472" i="135"/>
  <c r="H471" i="135"/>
  <c r="H447" i="135"/>
  <c r="H438" i="135"/>
  <c r="A339" i="135"/>
  <c r="E322" i="135"/>
  <c r="E320" i="135"/>
  <c r="F317" i="135"/>
  <c r="E309" i="135"/>
  <c r="E308" i="135"/>
  <c r="A338" i="135" s="1"/>
  <c r="E307" i="135"/>
  <c r="A337" i="135" s="1"/>
  <c r="E306" i="135"/>
  <c r="A336" i="135" s="1"/>
  <c r="E303" i="135"/>
  <c r="A333" i="135" s="1"/>
  <c r="F163" i="135"/>
  <c r="C161" i="135"/>
  <c r="D98" i="135"/>
  <c r="F101" i="135" s="1"/>
  <c r="C98" i="135"/>
  <c r="C77" i="135"/>
  <c r="F79" i="135" s="1"/>
  <c r="F32" i="135"/>
  <c r="E32" i="135"/>
  <c r="D32" i="135"/>
  <c r="C266" i="135" s="1"/>
  <c r="C32" i="135"/>
  <c r="F31" i="135"/>
  <c r="E31" i="135"/>
  <c r="D31" i="135"/>
  <c r="C31" i="135"/>
  <c r="H501" i="135" s="1"/>
  <c r="F30" i="135"/>
  <c r="E30" i="135"/>
  <c r="H495" i="135" s="1"/>
  <c r="D30" i="135"/>
  <c r="C30" i="135"/>
  <c r="F29" i="135"/>
  <c r="E29" i="135"/>
  <c r="D526" i="135" s="1"/>
  <c r="D29" i="135"/>
  <c r="H486" i="135" s="1"/>
  <c r="C29" i="135"/>
  <c r="F28" i="135"/>
  <c r="E28" i="135"/>
  <c r="H479" i="135" s="1"/>
  <c r="D28" i="135"/>
  <c r="H478" i="135" s="1"/>
  <c r="C28" i="135"/>
  <c r="F27" i="135"/>
  <c r="E161" i="135" s="1"/>
  <c r="F165" i="135" s="1"/>
  <c r="E27" i="135"/>
  <c r="D27" i="135"/>
  <c r="H470" i="135" s="1"/>
  <c r="C27" i="135"/>
  <c r="F26" i="135"/>
  <c r="E26" i="135"/>
  <c r="D26" i="135"/>
  <c r="C26" i="135"/>
  <c r="F25" i="135"/>
  <c r="E25" i="135"/>
  <c r="D25" i="135"/>
  <c r="C25" i="135"/>
  <c r="F24" i="135"/>
  <c r="E24" i="135"/>
  <c r="D521" i="135" s="1"/>
  <c r="D24" i="135"/>
  <c r="H446" i="135" s="1"/>
  <c r="C24" i="135"/>
  <c r="F23" i="135"/>
  <c r="H440" i="135" s="1"/>
  <c r="E23" i="135"/>
  <c r="D23" i="135"/>
  <c r="C23" i="135"/>
  <c r="F22" i="135"/>
  <c r="E22" i="135"/>
  <c r="D56" i="135" s="1"/>
  <c r="F59" i="135" s="1"/>
  <c r="D22" i="135"/>
  <c r="H430" i="135" s="1"/>
  <c r="C22" i="135"/>
  <c r="F21" i="135"/>
  <c r="H424" i="135" s="1"/>
  <c r="E21" i="135"/>
  <c r="D21" i="135"/>
  <c r="H422" i="135" s="1"/>
  <c r="C21" i="135"/>
  <c r="M17" i="135"/>
  <c r="L17" i="135"/>
  <c r="F529" i="135" s="1"/>
  <c r="C17" i="135"/>
  <c r="M16" i="135"/>
  <c r="L16" i="135"/>
  <c r="F528" i="135" s="1"/>
  <c r="M15" i="135"/>
  <c r="L15" i="135"/>
  <c r="F527" i="135" s="1"/>
  <c r="F15" i="135"/>
  <c r="D15" i="135"/>
  <c r="M14" i="135"/>
  <c r="L14" i="135"/>
  <c r="M13" i="135"/>
  <c r="L13" i="135"/>
  <c r="F525" i="135" s="1"/>
  <c r="C13" i="135"/>
  <c r="M12" i="135"/>
  <c r="L12" i="135"/>
  <c r="F12" i="135"/>
  <c r="M11" i="135"/>
  <c r="L11" i="135"/>
  <c r="F523" i="135" s="1"/>
  <c r="M10" i="135"/>
  <c r="L10" i="135"/>
  <c r="F522" i="135" s="1"/>
  <c r="M9" i="135"/>
  <c r="L9" i="135"/>
  <c r="F521" i="135" s="1"/>
  <c r="E9" i="135"/>
  <c r="M8" i="135"/>
  <c r="L8" i="135"/>
  <c r="F520" i="135" s="1"/>
  <c r="E8" i="135"/>
  <c r="D8" i="135"/>
  <c r="C8" i="135"/>
  <c r="M7" i="135"/>
  <c r="L7" i="135"/>
  <c r="F519" i="135" s="1"/>
  <c r="M6" i="135"/>
  <c r="L6" i="135"/>
  <c r="D6" i="135"/>
  <c r="C6" i="135"/>
  <c r="E3" i="135"/>
  <c r="B3" i="135"/>
  <c r="AB47" i="134"/>
  <c r="AB45" i="134"/>
  <c r="I42" i="134"/>
  <c r="K42" i="134" s="1"/>
  <c r="H42" i="134"/>
  <c r="G42" i="134"/>
  <c r="AA48" i="134" s="1"/>
  <c r="F42" i="134"/>
  <c r="E42" i="134"/>
  <c r="AA47" i="134" s="1"/>
  <c r="H41" i="134"/>
  <c r="J41" i="134" s="1"/>
  <c r="G41" i="134"/>
  <c r="AA45" i="134" s="1"/>
  <c r="F41" i="134"/>
  <c r="AB44" i="134" s="1"/>
  <c r="E41" i="134"/>
  <c r="AA44" i="134" s="1"/>
  <c r="H40" i="134"/>
  <c r="G40" i="134"/>
  <c r="F40" i="134"/>
  <c r="AB41" i="134" s="1"/>
  <c r="E40" i="134"/>
  <c r="AA41" i="134" s="1"/>
  <c r="AA39" i="134"/>
  <c r="I39" i="134"/>
  <c r="H39" i="134"/>
  <c r="G39" i="134"/>
  <c r="E17" i="135" s="1"/>
  <c r="F39" i="134"/>
  <c r="AB38" i="134" s="1"/>
  <c r="E39" i="134"/>
  <c r="AA38" i="134"/>
  <c r="H38" i="134"/>
  <c r="G38" i="134"/>
  <c r="F38" i="134"/>
  <c r="E38" i="134"/>
  <c r="H37" i="134"/>
  <c r="AB33" i="134" s="1"/>
  <c r="G37" i="134"/>
  <c r="AA33" i="134" s="1"/>
  <c r="F37" i="134"/>
  <c r="AB32" i="134" s="1"/>
  <c r="E37" i="134"/>
  <c r="AA36" i="134"/>
  <c r="H36" i="134"/>
  <c r="G36" i="134"/>
  <c r="F36" i="134"/>
  <c r="E36" i="134"/>
  <c r="C14" i="135" s="1"/>
  <c r="H35" i="134"/>
  <c r="G35" i="134"/>
  <c r="AA27" i="134" s="1"/>
  <c r="F35" i="134"/>
  <c r="AB26" i="134" s="1"/>
  <c r="E35" i="134"/>
  <c r="AA26" i="134" s="1"/>
  <c r="H34" i="134"/>
  <c r="G34" i="134"/>
  <c r="F34" i="134"/>
  <c r="E34" i="134"/>
  <c r="H33" i="134"/>
  <c r="G33" i="134"/>
  <c r="E11" i="135" s="1"/>
  <c r="G11" i="135" s="1"/>
  <c r="F33" i="134"/>
  <c r="E33" i="134"/>
  <c r="C11" i="135" s="1"/>
  <c r="H32" i="134"/>
  <c r="F10" i="135" s="1"/>
  <c r="G32" i="134"/>
  <c r="E10" i="135" s="1"/>
  <c r="F32" i="134"/>
  <c r="E32" i="134"/>
  <c r="H31" i="134"/>
  <c r="G31" i="134"/>
  <c r="F31" i="134"/>
  <c r="E31" i="134"/>
  <c r="I30" i="134"/>
  <c r="H30" i="134"/>
  <c r="G30" i="134"/>
  <c r="AA12" i="134" s="1"/>
  <c r="F30" i="134"/>
  <c r="E30" i="134"/>
  <c r="AA29" i="134"/>
  <c r="H29" i="134"/>
  <c r="G29" i="134"/>
  <c r="E7" i="135" s="1"/>
  <c r="F29" i="134"/>
  <c r="AB8" i="134" s="1"/>
  <c r="E29" i="134"/>
  <c r="C7" i="135" s="1"/>
  <c r="H28" i="134"/>
  <c r="F6" i="135" s="1"/>
  <c r="G28" i="134"/>
  <c r="F28" i="134"/>
  <c r="AB5" i="134" s="1"/>
  <c r="E28" i="134"/>
  <c r="AB24" i="134"/>
  <c r="G23" i="134"/>
  <c r="F23" i="134"/>
  <c r="G22" i="134"/>
  <c r="F22" i="134"/>
  <c r="G21" i="134"/>
  <c r="F21" i="134"/>
  <c r="AA20" i="134"/>
  <c r="G20" i="134"/>
  <c r="F20" i="134"/>
  <c r="G19" i="134"/>
  <c r="E328" i="135" s="1"/>
  <c r="P344" i="135" s="1"/>
  <c r="F19" i="134"/>
  <c r="AB18" i="134"/>
  <c r="AA18" i="134"/>
  <c r="G18" i="134"/>
  <c r="F18" i="134"/>
  <c r="E325" i="135" s="1"/>
  <c r="G325" i="135" s="1"/>
  <c r="AA17" i="134"/>
  <c r="G17" i="134"/>
  <c r="F17" i="134"/>
  <c r="E323" i="135" s="1"/>
  <c r="G16" i="134"/>
  <c r="F16" i="134"/>
  <c r="E321" i="135" s="1"/>
  <c r="G15" i="134"/>
  <c r="F15" i="134"/>
  <c r="E305" i="135" s="1"/>
  <c r="A335" i="135" s="1"/>
  <c r="G14" i="134"/>
  <c r="F14" i="134"/>
  <c r="E317" i="135" s="1"/>
  <c r="G317" i="135" s="1"/>
  <c r="AB11" i="134"/>
  <c r="AA11" i="134"/>
  <c r="AA8" i="134"/>
  <c r="AB6" i="134"/>
  <c r="D6" i="134"/>
  <c r="B6" i="134"/>
  <c r="E3" i="134"/>
  <c r="B3" i="134"/>
  <c r="D455" i="133"/>
  <c r="C452" i="133"/>
  <c r="H444" i="133"/>
  <c r="H443" i="133"/>
  <c r="H434" i="133"/>
  <c r="H401" i="133"/>
  <c r="H388" i="133"/>
  <c r="H387" i="133"/>
  <c r="H380" i="133"/>
  <c r="H379" i="133"/>
  <c r="G273" i="133"/>
  <c r="E266" i="133"/>
  <c r="A296" i="133" s="1"/>
  <c r="E264" i="133"/>
  <c r="A294" i="133" s="1"/>
  <c r="E257" i="133"/>
  <c r="A287" i="133" s="1"/>
  <c r="E220" i="133"/>
  <c r="F224" i="133" s="1"/>
  <c r="D220" i="133"/>
  <c r="F223" i="133" s="1"/>
  <c r="C199" i="133"/>
  <c r="F201" i="133" s="1"/>
  <c r="L145" i="133"/>
  <c r="E136" i="133"/>
  <c r="F140" i="133" s="1"/>
  <c r="D136" i="133"/>
  <c r="F139" i="133" s="1"/>
  <c r="C136" i="133"/>
  <c r="C115" i="133"/>
  <c r="F117" i="133" s="1"/>
  <c r="B115" i="133"/>
  <c r="B31" i="133"/>
  <c r="F28" i="133"/>
  <c r="E28" i="133"/>
  <c r="D459" i="133" s="1"/>
  <c r="D28" i="133"/>
  <c r="H442" i="133" s="1"/>
  <c r="C28" i="133"/>
  <c r="F27" i="133"/>
  <c r="E27" i="133"/>
  <c r="D27" i="133"/>
  <c r="C27" i="133"/>
  <c r="F26" i="133"/>
  <c r="E26" i="133"/>
  <c r="D26" i="133"/>
  <c r="C26" i="133"/>
  <c r="H425" i="133" s="1"/>
  <c r="F25" i="133"/>
  <c r="H420" i="133" s="1"/>
  <c r="E25" i="133"/>
  <c r="D25" i="133"/>
  <c r="C25" i="133"/>
  <c r="F24" i="133"/>
  <c r="H412" i="133" s="1"/>
  <c r="E24" i="133"/>
  <c r="H411" i="133" s="1"/>
  <c r="D24" i="133"/>
  <c r="H410" i="133" s="1"/>
  <c r="C24" i="133"/>
  <c r="B136" i="133" s="1"/>
  <c r="F23" i="133"/>
  <c r="E23" i="133"/>
  <c r="D115" i="133" s="1"/>
  <c r="D23" i="133"/>
  <c r="H402" i="133" s="1"/>
  <c r="C23" i="133"/>
  <c r="C454" i="133" s="1"/>
  <c r="F22" i="133"/>
  <c r="E22" i="133"/>
  <c r="D22" i="133"/>
  <c r="C22" i="133"/>
  <c r="F21" i="133"/>
  <c r="E73" i="133" s="1"/>
  <c r="F77" i="133" s="1"/>
  <c r="E21" i="133"/>
  <c r="D21" i="133"/>
  <c r="C21" i="133"/>
  <c r="F20" i="133"/>
  <c r="E52" i="133" s="1"/>
  <c r="F56" i="133" s="1"/>
  <c r="E20" i="133"/>
  <c r="D52" i="133" s="1"/>
  <c r="F55" i="133" s="1"/>
  <c r="D20" i="133"/>
  <c r="C20" i="133"/>
  <c r="C451" i="133" s="1"/>
  <c r="F19" i="133"/>
  <c r="E19" i="133"/>
  <c r="D450" i="133" s="1"/>
  <c r="D19" i="133"/>
  <c r="C31" i="133" s="1"/>
  <c r="C19" i="133"/>
  <c r="C450" i="133" s="1"/>
  <c r="M15" i="133"/>
  <c r="L15" i="133"/>
  <c r="M14" i="133"/>
  <c r="L14" i="133"/>
  <c r="F458" i="133" s="1"/>
  <c r="D14" i="133"/>
  <c r="C14" i="133"/>
  <c r="G14" i="133" s="1"/>
  <c r="M13" i="133"/>
  <c r="L13" i="133"/>
  <c r="F457" i="133" s="1"/>
  <c r="F13" i="133"/>
  <c r="M12" i="133"/>
  <c r="L12" i="133"/>
  <c r="F456" i="133" s="1"/>
  <c r="M11" i="133"/>
  <c r="L11" i="133"/>
  <c r="M10" i="133"/>
  <c r="L10" i="133"/>
  <c r="F454" i="133" s="1"/>
  <c r="M9" i="133"/>
  <c r="L9" i="133"/>
  <c r="F453" i="133" s="1"/>
  <c r="C9" i="133"/>
  <c r="M8" i="133"/>
  <c r="L8" i="133"/>
  <c r="F452" i="133" s="1"/>
  <c r="D8" i="133"/>
  <c r="M7" i="133"/>
  <c r="L7" i="133"/>
  <c r="F451" i="133" s="1"/>
  <c r="M6" i="133"/>
  <c r="L6" i="133"/>
  <c r="F450" i="133" s="1"/>
  <c r="C6" i="133"/>
  <c r="E3" i="133"/>
  <c r="B3" i="133"/>
  <c r="AB48" i="132"/>
  <c r="AB47" i="132"/>
  <c r="AB42" i="132"/>
  <c r="H42" i="132"/>
  <c r="J42" i="132" s="1"/>
  <c r="G42" i="132"/>
  <c r="AA48" i="132" s="1"/>
  <c r="F42" i="132"/>
  <c r="E42" i="132"/>
  <c r="AA47" i="132" s="1"/>
  <c r="H41" i="132"/>
  <c r="G41" i="132"/>
  <c r="F41" i="132"/>
  <c r="AB44" i="132" s="1"/>
  <c r="E41" i="132"/>
  <c r="AA44" i="132" s="1"/>
  <c r="H40" i="132"/>
  <c r="J40" i="132" s="1"/>
  <c r="G40" i="132"/>
  <c r="AA42" i="132" s="1"/>
  <c r="F40" i="132"/>
  <c r="AB41" i="132" s="1"/>
  <c r="E40" i="132"/>
  <c r="AA41" i="132" s="1"/>
  <c r="H39" i="132"/>
  <c r="J39" i="132" s="1"/>
  <c r="G39" i="132"/>
  <c r="F39" i="132"/>
  <c r="E39" i="132"/>
  <c r="AB38" i="132"/>
  <c r="AA38" i="132"/>
  <c r="K38" i="132"/>
  <c r="I38" i="132"/>
  <c r="H38" i="132"/>
  <c r="G38" i="132"/>
  <c r="F38" i="132"/>
  <c r="E38" i="132"/>
  <c r="H37" i="132"/>
  <c r="G37" i="132"/>
  <c r="E15" i="133" s="1"/>
  <c r="F37" i="132"/>
  <c r="E37" i="132"/>
  <c r="AA36" i="132"/>
  <c r="I36" i="132"/>
  <c r="H36" i="132"/>
  <c r="G36" i="132"/>
  <c r="E14" i="133" s="1"/>
  <c r="F36" i="132"/>
  <c r="E36" i="132"/>
  <c r="AB35" i="132"/>
  <c r="AA35" i="132"/>
  <c r="H35" i="132"/>
  <c r="G35" i="132"/>
  <c r="F35" i="132"/>
  <c r="E35" i="132"/>
  <c r="AA26" i="132" s="1"/>
  <c r="H34" i="132"/>
  <c r="AB24" i="132" s="1"/>
  <c r="G34" i="132"/>
  <c r="AA24" i="132" s="1"/>
  <c r="F34" i="132"/>
  <c r="E34" i="132"/>
  <c r="AA23" i="132" s="1"/>
  <c r="AA33" i="132"/>
  <c r="H33" i="132"/>
  <c r="G33" i="132"/>
  <c r="F33" i="132"/>
  <c r="E33" i="132"/>
  <c r="C11" i="133" s="1"/>
  <c r="H32" i="132"/>
  <c r="F10" i="133" s="1"/>
  <c r="G32" i="132"/>
  <c r="F32" i="132"/>
  <c r="AB17" i="132" s="1"/>
  <c r="E32" i="132"/>
  <c r="H31" i="132"/>
  <c r="G31" i="132"/>
  <c r="AA15" i="132" s="1"/>
  <c r="F31" i="132"/>
  <c r="D9" i="133" s="1"/>
  <c r="E31" i="132"/>
  <c r="AA14" i="132" s="1"/>
  <c r="AA30" i="132"/>
  <c r="H30" i="132"/>
  <c r="G30" i="132"/>
  <c r="I30" i="132" s="1"/>
  <c r="F30" i="132"/>
  <c r="E30" i="132"/>
  <c r="AB29" i="132"/>
  <c r="AA29" i="132"/>
  <c r="H29" i="132"/>
  <c r="J29" i="132" s="1"/>
  <c r="G29" i="132"/>
  <c r="F29" i="132"/>
  <c r="E29" i="132"/>
  <c r="H28" i="132"/>
  <c r="G28" i="132"/>
  <c r="F28" i="132"/>
  <c r="E28" i="132"/>
  <c r="G23" i="132"/>
  <c r="F23" i="132"/>
  <c r="G22" i="132"/>
  <c r="F22" i="132"/>
  <c r="G21" i="132"/>
  <c r="F21" i="132"/>
  <c r="AA20" i="132"/>
  <c r="G20" i="132"/>
  <c r="F20" i="132"/>
  <c r="G19" i="132"/>
  <c r="F19" i="132"/>
  <c r="AB18" i="132"/>
  <c r="AA18" i="132"/>
  <c r="G18" i="132"/>
  <c r="E280" i="133" s="1"/>
  <c r="F18" i="132"/>
  <c r="G17" i="132"/>
  <c r="E278" i="133" s="1"/>
  <c r="F17" i="132"/>
  <c r="G16" i="132"/>
  <c r="E262" i="133" s="1"/>
  <c r="A292" i="133" s="1"/>
  <c r="F16" i="132"/>
  <c r="G15" i="132"/>
  <c r="F15" i="132"/>
  <c r="E273" i="133" s="1"/>
  <c r="AB14" i="132"/>
  <c r="G14" i="132"/>
  <c r="F14" i="132"/>
  <c r="AB12" i="132"/>
  <c r="AB11" i="132"/>
  <c r="D6" i="132"/>
  <c r="B6" i="132"/>
  <c r="AB5" i="132"/>
  <c r="AA5" i="132"/>
  <c r="E3" i="132"/>
  <c r="B3" i="132"/>
  <c r="D497" i="131"/>
  <c r="F493" i="131"/>
  <c r="F490" i="131"/>
  <c r="H464" i="131"/>
  <c r="H456" i="131"/>
  <c r="H447" i="131"/>
  <c r="H440" i="131"/>
  <c r="H432" i="131"/>
  <c r="H430" i="131"/>
  <c r="H417" i="131"/>
  <c r="H409" i="131"/>
  <c r="A311" i="131"/>
  <c r="G304" i="131"/>
  <c r="E304" i="131"/>
  <c r="P320" i="131" s="1"/>
  <c r="E303" i="131"/>
  <c r="P319" i="131" s="1"/>
  <c r="E302" i="131"/>
  <c r="P318" i="131" s="1"/>
  <c r="E298" i="131"/>
  <c r="G298" i="131" s="1"/>
  <c r="E295" i="131"/>
  <c r="E291" i="131"/>
  <c r="A321" i="131" s="1"/>
  <c r="D222" i="131"/>
  <c r="F225" i="131" s="1"/>
  <c r="B222" i="131"/>
  <c r="F204" i="131"/>
  <c r="E180" i="131"/>
  <c r="F184" i="131" s="1"/>
  <c r="D180" i="131"/>
  <c r="F183" i="131" s="1"/>
  <c r="E159" i="131"/>
  <c r="F163" i="131" s="1"/>
  <c r="E117" i="131"/>
  <c r="F121" i="131" s="1"/>
  <c r="C33" i="131"/>
  <c r="F35" i="131" s="1"/>
  <c r="B33" i="131"/>
  <c r="F30" i="131"/>
  <c r="E30" i="131"/>
  <c r="H480" i="131" s="1"/>
  <c r="D30" i="131"/>
  <c r="C30" i="131"/>
  <c r="F29" i="131"/>
  <c r="E29" i="131"/>
  <c r="D29" i="131"/>
  <c r="C29" i="131"/>
  <c r="C496" i="131" s="1"/>
  <c r="F28" i="131"/>
  <c r="E28" i="131"/>
  <c r="D201" i="131" s="1"/>
  <c r="D28" i="131"/>
  <c r="C28" i="131"/>
  <c r="F27" i="131"/>
  <c r="H457" i="131" s="1"/>
  <c r="E27" i="131"/>
  <c r="D494" i="131" s="1"/>
  <c r="D27" i="131"/>
  <c r="H455" i="131" s="1"/>
  <c r="C27" i="131"/>
  <c r="F26" i="131"/>
  <c r="H449" i="131" s="1"/>
  <c r="E26" i="131"/>
  <c r="D26" i="131"/>
  <c r="C159" i="131" s="1"/>
  <c r="F161" i="131" s="1"/>
  <c r="C26" i="131"/>
  <c r="F25" i="131"/>
  <c r="E25" i="131"/>
  <c r="D138" i="131" s="1"/>
  <c r="F141" i="131" s="1"/>
  <c r="D25" i="131"/>
  <c r="C25" i="131"/>
  <c r="B138" i="131" s="1"/>
  <c r="F24" i="131"/>
  <c r="H433" i="131" s="1"/>
  <c r="E24" i="131"/>
  <c r="D117" i="131" s="1"/>
  <c r="F120" i="131" s="1"/>
  <c r="D24" i="131"/>
  <c r="H431" i="131" s="1"/>
  <c r="C24" i="131"/>
  <c r="C491" i="131" s="1"/>
  <c r="F23" i="131"/>
  <c r="H425" i="131" s="1"/>
  <c r="E23" i="131"/>
  <c r="D23" i="131"/>
  <c r="H423" i="131" s="1"/>
  <c r="C23" i="131"/>
  <c r="F22" i="131"/>
  <c r="E75" i="131" s="1"/>
  <c r="F79" i="131" s="1"/>
  <c r="E22" i="131"/>
  <c r="D489" i="131" s="1"/>
  <c r="D22" i="131"/>
  <c r="C22" i="131"/>
  <c r="F21" i="131"/>
  <c r="E54" i="131" s="1"/>
  <c r="F58" i="131" s="1"/>
  <c r="E21" i="131"/>
  <c r="H408" i="131" s="1"/>
  <c r="D21" i="131"/>
  <c r="C21" i="131"/>
  <c r="F20" i="131"/>
  <c r="E20" i="131"/>
  <c r="D20" i="131"/>
  <c r="H399" i="131" s="1"/>
  <c r="C20" i="131"/>
  <c r="C487" i="131" s="1"/>
  <c r="M16" i="131"/>
  <c r="L16" i="131"/>
  <c r="M15" i="131"/>
  <c r="L15" i="131"/>
  <c r="F496" i="131" s="1"/>
  <c r="F15" i="131"/>
  <c r="D15" i="131"/>
  <c r="M14" i="131"/>
  <c r="L14" i="131"/>
  <c r="M13" i="131"/>
  <c r="L13" i="131"/>
  <c r="M12" i="131"/>
  <c r="L12" i="131"/>
  <c r="E12" i="131"/>
  <c r="G12" i="131" s="1"/>
  <c r="M11" i="131"/>
  <c r="L11" i="131"/>
  <c r="F492" i="131" s="1"/>
  <c r="D11" i="131"/>
  <c r="M10" i="131"/>
  <c r="L10" i="131"/>
  <c r="F491" i="131" s="1"/>
  <c r="M9" i="131"/>
  <c r="L9" i="131"/>
  <c r="M8" i="131"/>
  <c r="L8" i="131"/>
  <c r="F489" i="131" s="1"/>
  <c r="M7" i="131"/>
  <c r="L7" i="131"/>
  <c r="F488" i="131" s="1"/>
  <c r="E7" i="131"/>
  <c r="M6" i="131"/>
  <c r="L6" i="131"/>
  <c r="F487" i="131" s="1"/>
  <c r="C6" i="131"/>
  <c r="E3" i="131"/>
  <c r="B3" i="131"/>
  <c r="AB48" i="130"/>
  <c r="AB47" i="130"/>
  <c r="H42" i="130"/>
  <c r="J42" i="130" s="1"/>
  <c r="G42" i="130"/>
  <c r="F42" i="130"/>
  <c r="E42" i="130"/>
  <c r="AA47" i="130" s="1"/>
  <c r="M41" i="130"/>
  <c r="I41" i="130"/>
  <c r="K41" i="130" s="1"/>
  <c r="L41" i="130" s="1"/>
  <c r="H41" i="130"/>
  <c r="AB45" i="130" s="1"/>
  <c r="G41" i="130"/>
  <c r="AA45" i="130" s="1"/>
  <c r="F41" i="130"/>
  <c r="AB44" i="130" s="1"/>
  <c r="E41" i="130"/>
  <c r="AA44" i="130" s="1"/>
  <c r="H40" i="130"/>
  <c r="AB42" i="130" s="1"/>
  <c r="G40" i="130"/>
  <c r="F40" i="130"/>
  <c r="AB41" i="130" s="1"/>
  <c r="E40" i="130"/>
  <c r="AA41" i="130" s="1"/>
  <c r="H39" i="130"/>
  <c r="G39" i="130"/>
  <c r="AA39" i="130" s="1"/>
  <c r="F39" i="130"/>
  <c r="AB38" i="130" s="1"/>
  <c r="E39" i="130"/>
  <c r="AA38" i="130" s="1"/>
  <c r="H38" i="130"/>
  <c r="G38" i="130"/>
  <c r="F38" i="130"/>
  <c r="E38" i="130"/>
  <c r="H37" i="130"/>
  <c r="AB33" i="130" s="1"/>
  <c r="G37" i="130"/>
  <c r="I37" i="130" s="1"/>
  <c r="F37" i="130"/>
  <c r="E37" i="130"/>
  <c r="H36" i="130"/>
  <c r="G36" i="130"/>
  <c r="F36" i="130"/>
  <c r="AB29" i="130" s="1"/>
  <c r="E36" i="130"/>
  <c r="I35" i="130"/>
  <c r="H35" i="130"/>
  <c r="G35" i="130"/>
  <c r="F35" i="130"/>
  <c r="E35" i="130"/>
  <c r="H34" i="130"/>
  <c r="G34" i="130"/>
  <c r="F34" i="130"/>
  <c r="E34" i="130"/>
  <c r="C12" i="131" s="1"/>
  <c r="AA33" i="130"/>
  <c r="H33" i="130"/>
  <c r="G33" i="130"/>
  <c r="AA21" i="130" s="1"/>
  <c r="F33" i="130"/>
  <c r="AB20" i="130" s="1"/>
  <c r="E33" i="130"/>
  <c r="C11" i="131" s="1"/>
  <c r="AB32" i="130"/>
  <c r="H32" i="130"/>
  <c r="G32" i="130"/>
  <c r="F32" i="130"/>
  <c r="AB17" i="130" s="1"/>
  <c r="E32" i="130"/>
  <c r="C10" i="131" s="1"/>
  <c r="H31" i="130"/>
  <c r="G31" i="130"/>
  <c r="E9" i="131" s="1"/>
  <c r="F31" i="130"/>
  <c r="D9" i="131" s="1"/>
  <c r="E31" i="130"/>
  <c r="AB30" i="130"/>
  <c r="H30" i="130"/>
  <c r="F8" i="131" s="1"/>
  <c r="G30" i="130"/>
  <c r="F30" i="130"/>
  <c r="E30" i="130"/>
  <c r="H29" i="130"/>
  <c r="G29" i="130"/>
  <c r="AA9" i="130" s="1"/>
  <c r="F29" i="130"/>
  <c r="E29" i="130"/>
  <c r="J28" i="130"/>
  <c r="H28" i="130"/>
  <c r="AB6" i="130" s="1"/>
  <c r="G28" i="130"/>
  <c r="F28" i="130"/>
  <c r="D6" i="131" s="1"/>
  <c r="E28" i="130"/>
  <c r="AA5" i="130" s="1"/>
  <c r="AA23" i="130"/>
  <c r="G23" i="130"/>
  <c r="F23" i="130"/>
  <c r="G22" i="130"/>
  <c r="F22" i="130"/>
  <c r="G21" i="130"/>
  <c r="F21" i="130"/>
  <c r="AA20" i="130"/>
  <c r="G20" i="130"/>
  <c r="F20" i="130"/>
  <c r="G19" i="130"/>
  <c r="E305" i="131" s="1"/>
  <c r="F19" i="130"/>
  <c r="E290" i="131" s="1"/>
  <c r="A320" i="131" s="1"/>
  <c r="G18" i="130"/>
  <c r="E289" i="131" s="1"/>
  <c r="A319" i="131" s="1"/>
  <c r="F18" i="130"/>
  <c r="E288" i="131" s="1"/>
  <c r="A318" i="131" s="1"/>
  <c r="AA17" i="130"/>
  <c r="G17" i="130"/>
  <c r="E301" i="131" s="1"/>
  <c r="P317" i="131" s="1"/>
  <c r="F17" i="130"/>
  <c r="G16" i="130"/>
  <c r="F16" i="130"/>
  <c r="E284" i="131" s="1"/>
  <c r="A314" i="131" s="1"/>
  <c r="AA15" i="130"/>
  <c r="G15" i="130"/>
  <c r="F15" i="130"/>
  <c r="AB14" i="130"/>
  <c r="G14" i="130"/>
  <c r="E281" i="131" s="1"/>
  <c r="F14" i="130"/>
  <c r="AB12" i="130"/>
  <c r="AA6" i="130"/>
  <c r="D6" i="130"/>
  <c r="B6" i="130"/>
  <c r="E3" i="130"/>
  <c r="B3" i="130"/>
  <c r="F334" i="129"/>
  <c r="D333" i="129"/>
  <c r="F330" i="129"/>
  <c r="D330" i="129"/>
  <c r="H322" i="129"/>
  <c r="H298" i="129"/>
  <c r="H297" i="129"/>
  <c r="H296" i="129"/>
  <c r="H290" i="129"/>
  <c r="H288" i="129"/>
  <c r="H287" i="129"/>
  <c r="H272" i="129"/>
  <c r="F185" i="129"/>
  <c r="E185" i="129"/>
  <c r="E181" i="129"/>
  <c r="A207" i="129" s="1"/>
  <c r="E174" i="129"/>
  <c r="A200" i="129" s="1"/>
  <c r="E173" i="129"/>
  <c r="A199" i="129" s="1"/>
  <c r="D139" i="129"/>
  <c r="F142" i="129" s="1"/>
  <c r="B139" i="129"/>
  <c r="F85" i="129"/>
  <c r="E82" i="129"/>
  <c r="F86" i="129" s="1"/>
  <c r="C82" i="129"/>
  <c r="F84" i="129" s="1"/>
  <c r="F79" i="129"/>
  <c r="K78" i="129"/>
  <c r="I78" i="129"/>
  <c r="J77" i="129"/>
  <c r="F67" i="129"/>
  <c r="F64" i="129"/>
  <c r="E63" i="129"/>
  <c r="D63" i="129"/>
  <c r="F66" i="129" s="1"/>
  <c r="B63" i="129"/>
  <c r="D44" i="129"/>
  <c r="F47" i="129" s="1"/>
  <c r="F22" i="129"/>
  <c r="E139" i="129" s="1"/>
  <c r="F143" i="129" s="1"/>
  <c r="E22" i="129"/>
  <c r="H321" i="129" s="1"/>
  <c r="D22" i="129"/>
  <c r="C22" i="129"/>
  <c r="H319" i="129" s="1"/>
  <c r="F21" i="129"/>
  <c r="E21" i="129"/>
  <c r="D21" i="129"/>
  <c r="C21" i="129"/>
  <c r="H311" i="129" s="1"/>
  <c r="F20" i="129"/>
  <c r="E20" i="129"/>
  <c r="D20" i="129"/>
  <c r="C20" i="129"/>
  <c r="F19" i="129"/>
  <c r="E19" i="129"/>
  <c r="D82" i="129" s="1"/>
  <c r="D19" i="129"/>
  <c r="C19" i="129"/>
  <c r="F18" i="129"/>
  <c r="E18" i="129"/>
  <c r="H289" i="129" s="1"/>
  <c r="D18" i="129"/>
  <c r="C63" i="129" s="1"/>
  <c r="F71" i="129" s="1"/>
  <c r="C18" i="129"/>
  <c r="C330" i="129" s="1"/>
  <c r="F17" i="129"/>
  <c r="E17" i="129"/>
  <c r="D329" i="129" s="1"/>
  <c r="D17" i="129"/>
  <c r="C17" i="129"/>
  <c r="C329" i="129" s="1"/>
  <c r="F16" i="129"/>
  <c r="E16" i="129"/>
  <c r="D16" i="129"/>
  <c r="C25" i="129" s="1"/>
  <c r="F27" i="129" s="1"/>
  <c r="C16" i="129"/>
  <c r="M12" i="129"/>
  <c r="L12" i="129"/>
  <c r="M11" i="129"/>
  <c r="L11" i="129"/>
  <c r="F333" i="129" s="1"/>
  <c r="M10" i="129"/>
  <c r="L10" i="129"/>
  <c r="E10" i="129"/>
  <c r="D10" i="129"/>
  <c r="C10" i="129"/>
  <c r="M9" i="129"/>
  <c r="L9" i="129"/>
  <c r="M8" i="129"/>
  <c r="L8" i="129"/>
  <c r="M7" i="129"/>
  <c r="L7" i="129"/>
  <c r="F329" i="129" s="1"/>
  <c r="C7" i="129"/>
  <c r="M6" i="129"/>
  <c r="L6" i="129"/>
  <c r="C6" i="129"/>
  <c r="E3" i="129"/>
  <c r="B3" i="129"/>
  <c r="AB47" i="128"/>
  <c r="H42" i="128"/>
  <c r="G42" i="128"/>
  <c r="F42" i="128"/>
  <c r="E42" i="128"/>
  <c r="AA47" i="128" s="1"/>
  <c r="H41" i="128"/>
  <c r="G41" i="128"/>
  <c r="F41" i="128"/>
  <c r="AB44" i="128" s="1"/>
  <c r="E41" i="128"/>
  <c r="AA44" i="128" s="1"/>
  <c r="J40" i="128"/>
  <c r="H40" i="128"/>
  <c r="AB42" i="128" s="1"/>
  <c r="G40" i="128"/>
  <c r="I40" i="128" s="1"/>
  <c r="K40" i="128" s="1"/>
  <c r="F40" i="128"/>
  <c r="AB41" i="128" s="1"/>
  <c r="E40" i="128"/>
  <c r="AA41" i="128" s="1"/>
  <c r="J39" i="128"/>
  <c r="H39" i="128"/>
  <c r="AB39" i="128" s="1"/>
  <c r="G39" i="128"/>
  <c r="F39" i="128"/>
  <c r="E39" i="128"/>
  <c r="AB38" i="128"/>
  <c r="AA38" i="128"/>
  <c r="H38" i="128"/>
  <c r="G38" i="128"/>
  <c r="F38" i="128"/>
  <c r="E38" i="128"/>
  <c r="AA35" i="128" s="1"/>
  <c r="J37" i="128"/>
  <c r="H37" i="128"/>
  <c r="G37" i="128"/>
  <c r="F37" i="128"/>
  <c r="E37" i="128"/>
  <c r="AA32" i="128" s="1"/>
  <c r="I36" i="128"/>
  <c r="K36" i="128" s="1"/>
  <c r="H36" i="128"/>
  <c r="G36" i="128"/>
  <c r="F36" i="128"/>
  <c r="E36" i="128"/>
  <c r="AB35" i="128"/>
  <c r="K35" i="128"/>
  <c r="J35" i="128"/>
  <c r="I35" i="128"/>
  <c r="H35" i="128"/>
  <c r="AB27" i="128" s="1"/>
  <c r="G35" i="128"/>
  <c r="F35" i="128"/>
  <c r="E35" i="128"/>
  <c r="H34" i="128"/>
  <c r="G34" i="128"/>
  <c r="E12" i="129" s="1"/>
  <c r="G12" i="129" s="1"/>
  <c r="F34" i="128"/>
  <c r="E34" i="128"/>
  <c r="C12" i="129" s="1"/>
  <c r="AB33" i="128"/>
  <c r="H33" i="128"/>
  <c r="G33" i="128"/>
  <c r="F33" i="128"/>
  <c r="E33" i="128"/>
  <c r="I33" i="128" s="1"/>
  <c r="AB32" i="128"/>
  <c r="I32" i="128"/>
  <c r="H32" i="128"/>
  <c r="G32" i="128"/>
  <c r="F32" i="128"/>
  <c r="E32" i="128"/>
  <c r="AA17" i="128" s="1"/>
  <c r="H31" i="128"/>
  <c r="G31" i="128"/>
  <c r="F31" i="128"/>
  <c r="E31" i="128"/>
  <c r="AA30" i="128"/>
  <c r="H30" i="128"/>
  <c r="G30" i="128"/>
  <c r="F30" i="128"/>
  <c r="E30" i="128"/>
  <c r="AB29" i="128"/>
  <c r="AA29" i="128"/>
  <c r="H29" i="128"/>
  <c r="F7" i="129" s="1"/>
  <c r="G29" i="128"/>
  <c r="F29" i="128"/>
  <c r="D7" i="129" s="1"/>
  <c r="H7" i="129" s="1"/>
  <c r="E29" i="128"/>
  <c r="H28" i="128"/>
  <c r="F6" i="129" s="1"/>
  <c r="G28" i="128"/>
  <c r="F28" i="128"/>
  <c r="E28" i="128"/>
  <c r="AA5" i="128" s="1"/>
  <c r="AA27" i="128"/>
  <c r="AB26" i="128"/>
  <c r="AA26" i="128"/>
  <c r="G23" i="128"/>
  <c r="F23" i="128"/>
  <c r="G22" i="128"/>
  <c r="F22" i="128"/>
  <c r="G21" i="128"/>
  <c r="F21" i="128"/>
  <c r="G20" i="128"/>
  <c r="F20" i="128"/>
  <c r="G19" i="128"/>
  <c r="F19" i="128"/>
  <c r="AA18" i="128"/>
  <c r="G18" i="128"/>
  <c r="E193" i="129" s="1"/>
  <c r="N207" i="129" s="1"/>
  <c r="F18" i="128"/>
  <c r="AB17" i="128"/>
  <c r="G17" i="128"/>
  <c r="F17" i="128"/>
  <c r="G16" i="128"/>
  <c r="F16" i="128"/>
  <c r="G15" i="128"/>
  <c r="F15" i="128"/>
  <c r="E186" i="129" s="1"/>
  <c r="G186" i="129" s="1"/>
  <c r="G14" i="128"/>
  <c r="F14" i="128"/>
  <c r="AA12" i="128"/>
  <c r="AB9" i="128"/>
  <c r="AB8" i="128"/>
  <c r="AA8" i="128"/>
  <c r="AA6" i="128"/>
  <c r="D6" i="128"/>
  <c r="B6" i="128"/>
  <c r="E3" i="128"/>
  <c r="B3" i="128"/>
  <c r="F363" i="127"/>
  <c r="C363" i="127"/>
  <c r="C362" i="127"/>
  <c r="F361" i="127"/>
  <c r="H351" i="127"/>
  <c r="H338" i="127"/>
  <c r="H337" i="127"/>
  <c r="H306" i="127"/>
  <c r="H295" i="127"/>
  <c r="A228" i="127"/>
  <c r="E214" i="127"/>
  <c r="E213" i="127"/>
  <c r="E212" i="127"/>
  <c r="E122" i="127"/>
  <c r="F126" i="127" s="1"/>
  <c r="E103" i="127"/>
  <c r="F107" i="127" s="1"/>
  <c r="E46" i="127"/>
  <c r="F50" i="127" s="1"/>
  <c r="C46" i="127"/>
  <c r="F48" i="127" s="1"/>
  <c r="E27" i="127"/>
  <c r="F31" i="127" s="1"/>
  <c r="D27" i="127"/>
  <c r="F30" i="127" s="1"/>
  <c r="F24" i="127"/>
  <c r="E24" i="127"/>
  <c r="D367" i="127" s="1"/>
  <c r="D24" i="127"/>
  <c r="C24" i="127"/>
  <c r="F23" i="127"/>
  <c r="E23" i="127"/>
  <c r="D366" i="127" s="1"/>
  <c r="D23" i="127"/>
  <c r="C23" i="127"/>
  <c r="F22" i="127"/>
  <c r="E22" i="127"/>
  <c r="D365" i="127" s="1"/>
  <c r="D22" i="127"/>
  <c r="H336" i="127" s="1"/>
  <c r="C22" i="127"/>
  <c r="F21" i="127"/>
  <c r="H330" i="127" s="1"/>
  <c r="E21" i="127"/>
  <c r="D21" i="127"/>
  <c r="C21" i="127"/>
  <c r="F20" i="127"/>
  <c r="E20" i="127"/>
  <c r="D20" i="127"/>
  <c r="C20" i="127"/>
  <c r="F19" i="127"/>
  <c r="E19" i="127"/>
  <c r="D19" i="127"/>
  <c r="C19" i="127"/>
  <c r="B65" i="127" s="1"/>
  <c r="F18" i="127"/>
  <c r="E18" i="127"/>
  <c r="H305" i="127" s="1"/>
  <c r="D18" i="127"/>
  <c r="H304" i="127" s="1"/>
  <c r="C18" i="127"/>
  <c r="H303" i="127" s="1"/>
  <c r="F17" i="127"/>
  <c r="H298" i="127" s="1"/>
  <c r="E17" i="127"/>
  <c r="D17" i="127"/>
  <c r="C17" i="127"/>
  <c r="M13" i="127"/>
  <c r="L13" i="127"/>
  <c r="F367" i="127" s="1"/>
  <c r="M12" i="127"/>
  <c r="L12" i="127"/>
  <c r="F366" i="127" s="1"/>
  <c r="F12" i="127"/>
  <c r="M11" i="127"/>
  <c r="L11" i="127"/>
  <c r="F365" i="127" s="1"/>
  <c r="M10" i="127"/>
  <c r="L10" i="127"/>
  <c r="F10" i="127"/>
  <c r="E10" i="127"/>
  <c r="M9" i="127"/>
  <c r="L9" i="127"/>
  <c r="C9" i="127"/>
  <c r="M8" i="127"/>
  <c r="L8" i="127"/>
  <c r="F362" i="127" s="1"/>
  <c r="M7" i="127"/>
  <c r="L7" i="127"/>
  <c r="M6" i="127"/>
  <c r="L6" i="127"/>
  <c r="F360" i="127" s="1"/>
  <c r="F6" i="127"/>
  <c r="E3" i="127"/>
  <c r="B3" i="127"/>
  <c r="AB48" i="126"/>
  <c r="AA47" i="126"/>
  <c r="AA45" i="126"/>
  <c r="AB44" i="126"/>
  <c r="J42" i="126"/>
  <c r="H42" i="126"/>
  <c r="G42" i="126"/>
  <c r="F42" i="126"/>
  <c r="AB47" i="126" s="1"/>
  <c r="E42" i="126"/>
  <c r="AA41" i="126"/>
  <c r="H41" i="126"/>
  <c r="G41" i="126"/>
  <c r="I41" i="126" s="1"/>
  <c r="K41" i="126" s="1"/>
  <c r="F41" i="126"/>
  <c r="E41" i="126"/>
  <c r="AA44" i="126" s="1"/>
  <c r="H40" i="126"/>
  <c r="AB42" i="126" s="1"/>
  <c r="G40" i="126"/>
  <c r="AA42" i="126" s="1"/>
  <c r="F40" i="126"/>
  <c r="AB41" i="126" s="1"/>
  <c r="E40" i="126"/>
  <c r="J39" i="126"/>
  <c r="H39" i="126"/>
  <c r="AB39" i="126" s="1"/>
  <c r="G39" i="126"/>
  <c r="F39" i="126"/>
  <c r="AB38" i="126" s="1"/>
  <c r="E39" i="126"/>
  <c r="AA38" i="126" s="1"/>
  <c r="H38" i="126"/>
  <c r="AB36" i="126" s="1"/>
  <c r="G38" i="126"/>
  <c r="F38" i="126"/>
  <c r="E38" i="126"/>
  <c r="AA35" i="126" s="1"/>
  <c r="H37" i="126"/>
  <c r="AB33" i="126" s="1"/>
  <c r="G37" i="126"/>
  <c r="AA33" i="126" s="1"/>
  <c r="F37" i="126"/>
  <c r="E37" i="126"/>
  <c r="H36" i="126"/>
  <c r="G36" i="126"/>
  <c r="F36" i="126"/>
  <c r="AB29" i="126" s="1"/>
  <c r="E36" i="126"/>
  <c r="AB35" i="126"/>
  <c r="H35" i="126"/>
  <c r="AB27" i="126" s="1"/>
  <c r="G35" i="126"/>
  <c r="F35" i="126"/>
  <c r="AB26" i="126" s="1"/>
  <c r="E35" i="126"/>
  <c r="AA26" i="126" s="1"/>
  <c r="H34" i="126"/>
  <c r="AB24" i="126" s="1"/>
  <c r="G34" i="126"/>
  <c r="E12" i="127" s="1"/>
  <c r="G12" i="127" s="1"/>
  <c r="F34" i="126"/>
  <c r="AB23" i="126" s="1"/>
  <c r="E34" i="126"/>
  <c r="C12" i="127" s="1"/>
  <c r="H33" i="126"/>
  <c r="G33" i="126"/>
  <c r="E11" i="127" s="1"/>
  <c r="F33" i="126"/>
  <c r="AB20" i="126" s="1"/>
  <c r="E33" i="126"/>
  <c r="AA20" i="126" s="1"/>
  <c r="AB32" i="126"/>
  <c r="AA32" i="126"/>
  <c r="H32" i="126"/>
  <c r="AB18" i="126" s="1"/>
  <c r="G32" i="126"/>
  <c r="AA18" i="126" s="1"/>
  <c r="F32" i="126"/>
  <c r="E32" i="126"/>
  <c r="H31" i="126"/>
  <c r="G31" i="126"/>
  <c r="F31" i="126"/>
  <c r="E31" i="126"/>
  <c r="AA14" i="126" s="1"/>
  <c r="H30" i="126"/>
  <c r="G30" i="126"/>
  <c r="AA12" i="126" s="1"/>
  <c r="F30" i="126"/>
  <c r="E30" i="126"/>
  <c r="AA29" i="126"/>
  <c r="H29" i="126"/>
  <c r="G29" i="126"/>
  <c r="F29" i="126"/>
  <c r="E29" i="126"/>
  <c r="AA8" i="126" s="1"/>
  <c r="H28" i="126"/>
  <c r="AB6" i="126" s="1"/>
  <c r="G28" i="126"/>
  <c r="AA6" i="126" s="1"/>
  <c r="F28" i="126"/>
  <c r="E28" i="126"/>
  <c r="AA23" i="126"/>
  <c r="G23" i="126"/>
  <c r="F23" i="126"/>
  <c r="G22" i="126"/>
  <c r="F22" i="126"/>
  <c r="G21" i="126"/>
  <c r="F21" i="126"/>
  <c r="G20" i="126"/>
  <c r="F20" i="126"/>
  <c r="G19" i="126"/>
  <c r="F19" i="126"/>
  <c r="G18" i="126"/>
  <c r="E202" i="127" s="1"/>
  <c r="F18" i="126"/>
  <c r="E201" i="127" s="1"/>
  <c r="A227" i="127" s="1"/>
  <c r="G17" i="126"/>
  <c r="E200" i="127" s="1"/>
  <c r="A226" i="127" s="1"/>
  <c r="F17" i="126"/>
  <c r="G16" i="126"/>
  <c r="F16" i="126"/>
  <c r="G15" i="126"/>
  <c r="F15" i="126"/>
  <c r="G14" i="126"/>
  <c r="F14" i="126"/>
  <c r="AB12" i="126"/>
  <c r="D6" i="126"/>
  <c r="B6" i="126"/>
  <c r="E3" i="126"/>
  <c r="B3" i="126"/>
  <c r="C274" i="125"/>
  <c r="F273" i="125"/>
  <c r="C273" i="125"/>
  <c r="C270" i="125"/>
  <c r="H252" i="125"/>
  <c r="H238" i="125"/>
  <c r="H231" i="125"/>
  <c r="H223" i="125"/>
  <c r="H222" i="125"/>
  <c r="H221" i="125"/>
  <c r="H220" i="125"/>
  <c r="A166" i="125"/>
  <c r="E154" i="125"/>
  <c r="G154" i="125" s="1"/>
  <c r="E142" i="125"/>
  <c r="A164" i="125" s="1"/>
  <c r="E139" i="125"/>
  <c r="A161" i="125" s="1"/>
  <c r="E108" i="125"/>
  <c r="F112" i="125" s="1"/>
  <c r="D108" i="125"/>
  <c r="F111" i="125" s="1"/>
  <c r="B108" i="125"/>
  <c r="F109" i="125" s="1"/>
  <c r="F93" i="125"/>
  <c r="F92" i="125"/>
  <c r="E91" i="125"/>
  <c r="F95" i="125" s="1"/>
  <c r="C91" i="125"/>
  <c r="B40" i="125"/>
  <c r="I37" i="125"/>
  <c r="F32" i="125"/>
  <c r="I31" i="125"/>
  <c r="F26" i="125"/>
  <c r="E23" i="125"/>
  <c r="F27" i="125" s="1"/>
  <c r="D23" i="125"/>
  <c r="C23" i="125"/>
  <c r="F25" i="125" s="1"/>
  <c r="B23" i="125"/>
  <c r="F20" i="125"/>
  <c r="H263" i="125" s="1"/>
  <c r="E20" i="125"/>
  <c r="D20" i="125"/>
  <c r="C20" i="125"/>
  <c r="H260" i="125" s="1"/>
  <c r="F19" i="125"/>
  <c r="H255" i="125" s="1"/>
  <c r="E19" i="125"/>
  <c r="D273" i="125" s="1"/>
  <c r="D19" i="125"/>
  <c r="H253" i="125" s="1"/>
  <c r="C19" i="125"/>
  <c r="B91" i="125" s="1"/>
  <c r="F18" i="125"/>
  <c r="E18" i="125"/>
  <c r="D18" i="125"/>
  <c r="C18" i="125"/>
  <c r="H244" i="125" s="1"/>
  <c r="F17" i="125"/>
  <c r="E17" i="125"/>
  <c r="D17" i="125"/>
  <c r="C17" i="125"/>
  <c r="C271" i="125" s="1"/>
  <c r="F16" i="125"/>
  <c r="E40" i="125" s="1"/>
  <c r="F44" i="125" s="1"/>
  <c r="E16" i="125"/>
  <c r="D16" i="125"/>
  <c r="C40" i="125" s="1"/>
  <c r="F42" i="125" s="1"/>
  <c r="C16" i="125"/>
  <c r="H228" i="125" s="1"/>
  <c r="F15" i="125"/>
  <c r="E15" i="125"/>
  <c r="D269" i="125" s="1"/>
  <c r="D15" i="125"/>
  <c r="C15" i="125"/>
  <c r="C269" i="125" s="1"/>
  <c r="M11" i="125"/>
  <c r="L11" i="125"/>
  <c r="M10" i="125"/>
  <c r="L10" i="125"/>
  <c r="D10" i="125"/>
  <c r="C10" i="125"/>
  <c r="M9" i="125"/>
  <c r="L9" i="125"/>
  <c r="F272" i="125" s="1"/>
  <c r="M8" i="125"/>
  <c r="L8" i="125"/>
  <c r="F271" i="125" s="1"/>
  <c r="M7" i="125"/>
  <c r="L7" i="125"/>
  <c r="M6" i="125"/>
  <c r="L6" i="125"/>
  <c r="F269" i="125" s="1"/>
  <c r="C6" i="125"/>
  <c r="E3" i="125"/>
  <c r="B3" i="125"/>
  <c r="AB44" i="124"/>
  <c r="AA42" i="124"/>
  <c r="H42" i="124"/>
  <c r="G42" i="124"/>
  <c r="AA48" i="124" s="1"/>
  <c r="F42" i="124"/>
  <c r="AB47" i="124" s="1"/>
  <c r="E42" i="124"/>
  <c r="AA47" i="124" s="1"/>
  <c r="H41" i="124"/>
  <c r="AB45" i="124" s="1"/>
  <c r="G41" i="124"/>
  <c r="F41" i="124"/>
  <c r="E41" i="124"/>
  <c r="AA44" i="124" s="1"/>
  <c r="H40" i="124"/>
  <c r="G40" i="124"/>
  <c r="I40" i="124" s="1"/>
  <c r="K40" i="124" s="1"/>
  <c r="F40" i="124"/>
  <c r="AB41" i="124" s="1"/>
  <c r="E40" i="124"/>
  <c r="AA41" i="124" s="1"/>
  <c r="AA39" i="124"/>
  <c r="I39" i="124"/>
  <c r="K39" i="124" s="1"/>
  <c r="H39" i="124"/>
  <c r="AB39" i="124" s="1"/>
  <c r="G39" i="124"/>
  <c r="F39" i="124"/>
  <c r="AB38" i="124" s="1"/>
  <c r="E39" i="124"/>
  <c r="AA38" i="124" s="1"/>
  <c r="H38" i="124"/>
  <c r="G38" i="124"/>
  <c r="I38" i="124" s="1"/>
  <c r="K38" i="124" s="1"/>
  <c r="F38" i="124"/>
  <c r="AB35" i="124" s="1"/>
  <c r="E38" i="124"/>
  <c r="J37" i="124"/>
  <c r="H37" i="124"/>
  <c r="AB33" i="124" s="1"/>
  <c r="G37" i="124"/>
  <c r="AA33" i="124" s="1"/>
  <c r="F37" i="124"/>
  <c r="AB32" i="124" s="1"/>
  <c r="E37" i="124"/>
  <c r="AA32" i="124" s="1"/>
  <c r="AA36" i="124"/>
  <c r="M36" i="124"/>
  <c r="H36" i="124"/>
  <c r="AB30" i="124" s="1"/>
  <c r="G36" i="124"/>
  <c r="I36" i="124" s="1"/>
  <c r="K36" i="124" s="1"/>
  <c r="L36" i="124" s="1"/>
  <c r="F36" i="124"/>
  <c r="E36" i="124"/>
  <c r="AA35" i="124"/>
  <c r="J35" i="124"/>
  <c r="H35" i="124"/>
  <c r="G35" i="124"/>
  <c r="F35" i="124"/>
  <c r="AB26" i="124" s="1"/>
  <c r="E35" i="124"/>
  <c r="L34" i="124"/>
  <c r="J34" i="124"/>
  <c r="I34" i="124"/>
  <c r="K34" i="124" s="1"/>
  <c r="M34" i="124" s="1"/>
  <c r="H34" i="124"/>
  <c r="G34" i="124"/>
  <c r="F34" i="124"/>
  <c r="E34" i="124"/>
  <c r="AA23" i="124" s="1"/>
  <c r="H33" i="124"/>
  <c r="G33" i="124"/>
  <c r="F33" i="124"/>
  <c r="D11" i="125" s="1"/>
  <c r="E33" i="124"/>
  <c r="I32" i="124"/>
  <c r="H32" i="124"/>
  <c r="G32" i="124"/>
  <c r="E10" i="125" s="1"/>
  <c r="F32" i="124"/>
  <c r="E32" i="124"/>
  <c r="AA17" i="124" s="1"/>
  <c r="H31" i="124"/>
  <c r="J31" i="124" s="1"/>
  <c r="G31" i="124"/>
  <c r="F31" i="124"/>
  <c r="D9" i="125" s="1"/>
  <c r="E31" i="124"/>
  <c r="C9" i="125" s="1"/>
  <c r="AA30" i="124"/>
  <c r="H30" i="124"/>
  <c r="G30" i="124"/>
  <c r="AA12" i="124" s="1"/>
  <c r="F30" i="124"/>
  <c r="D8" i="125" s="1"/>
  <c r="E30" i="124"/>
  <c r="AB29" i="124"/>
  <c r="AA29" i="124"/>
  <c r="I29" i="124"/>
  <c r="H29" i="124"/>
  <c r="G29" i="124"/>
  <c r="E7" i="125" s="1"/>
  <c r="G7" i="125" s="1"/>
  <c r="F29" i="124"/>
  <c r="AB8" i="124" s="1"/>
  <c r="E29" i="124"/>
  <c r="C7" i="125" s="1"/>
  <c r="H28" i="124"/>
  <c r="G28" i="124"/>
  <c r="F28" i="124"/>
  <c r="AB5" i="124" s="1"/>
  <c r="E28" i="124"/>
  <c r="AB27" i="124"/>
  <c r="AA26" i="124"/>
  <c r="AB24" i="124"/>
  <c r="AA24" i="124"/>
  <c r="AB23" i="124"/>
  <c r="G23" i="124"/>
  <c r="F23" i="124"/>
  <c r="G22" i="124"/>
  <c r="F22" i="124"/>
  <c r="G21" i="124"/>
  <c r="F21" i="124"/>
  <c r="AB20" i="124"/>
  <c r="G20" i="124"/>
  <c r="F20" i="124"/>
  <c r="G19" i="124"/>
  <c r="F19" i="124"/>
  <c r="AA18" i="124"/>
  <c r="G18" i="124"/>
  <c r="F18" i="124"/>
  <c r="AB17" i="124"/>
  <c r="G17" i="124"/>
  <c r="E144" i="125" s="1"/>
  <c r="F17" i="124"/>
  <c r="G16" i="124"/>
  <c r="E152" i="125" s="1"/>
  <c r="F16" i="124"/>
  <c r="E141" i="125" s="1"/>
  <c r="A163" i="125" s="1"/>
  <c r="G15" i="124"/>
  <c r="F15" i="124"/>
  <c r="E149" i="125" s="1"/>
  <c r="AB14" i="124"/>
  <c r="AA14" i="124"/>
  <c r="G14" i="124"/>
  <c r="F14" i="124"/>
  <c r="AB12" i="124"/>
  <c r="AB11" i="124"/>
  <c r="AA9" i="124"/>
  <c r="AA8" i="124"/>
  <c r="D6" i="124"/>
  <c r="B6" i="124"/>
  <c r="AA5" i="124"/>
  <c r="E3" i="124"/>
  <c r="B3" i="124"/>
  <c r="C523" i="123"/>
  <c r="F521" i="123"/>
  <c r="D519" i="123"/>
  <c r="F516" i="123"/>
  <c r="F513" i="123"/>
  <c r="C513" i="123"/>
  <c r="H503" i="123"/>
  <c r="H471" i="123"/>
  <c r="H447" i="123"/>
  <c r="H433" i="123"/>
  <c r="H432" i="123"/>
  <c r="H415" i="123"/>
  <c r="P343" i="123"/>
  <c r="E309" i="123"/>
  <c r="A339" i="123" s="1"/>
  <c r="F268" i="123"/>
  <c r="F267" i="123"/>
  <c r="D266" i="123"/>
  <c r="F269" i="123" s="1"/>
  <c r="B266" i="123"/>
  <c r="B245" i="123"/>
  <c r="D182" i="123"/>
  <c r="F185" i="123" s="1"/>
  <c r="B119" i="123"/>
  <c r="F120" i="123" s="1"/>
  <c r="B98" i="123"/>
  <c r="F99" i="123" s="1"/>
  <c r="C77" i="123"/>
  <c r="B77" i="123"/>
  <c r="F78" i="123" s="1"/>
  <c r="F32" i="123"/>
  <c r="E32" i="123"/>
  <c r="D523" i="123" s="1"/>
  <c r="D32" i="123"/>
  <c r="C266" i="123" s="1"/>
  <c r="C32" i="123"/>
  <c r="F31" i="123"/>
  <c r="E31" i="123"/>
  <c r="D31" i="123"/>
  <c r="C31" i="123"/>
  <c r="C522" i="123" s="1"/>
  <c r="F30" i="123"/>
  <c r="E30" i="123"/>
  <c r="D30" i="123"/>
  <c r="C30" i="123"/>
  <c r="F29" i="123"/>
  <c r="E29" i="123"/>
  <c r="D29" i="123"/>
  <c r="C29" i="123"/>
  <c r="F28" i="123"/>
  <c r="E28" i="123"/>
  <c r="H473" i="123" s="1"/>
  <c r="D28" i="123"/>
  <c r="H472" i="123" s="1"/>
  <c r="C28" i="123"/>
  <c r="C519" i="123" s="1"/>
  <c r="F27" i="123"/>
  <c r="E161" i="123" s="1"/>
  <c r="F165" i="123" s="1"/>
  <c r="E27" i="123"/>
  <c r="D27" i="123"/>
  <c r="C27" i="123"/>
  <c r="B161" i="123" s="1"/>
  <c r="F162" i="123" s="1"/>
  <c r="F26" i="123"/>
  <c r="E26" i="123"/>
  <c r="D26" i="123"/>
  <c r="C26" i="123"/>
  <c r="F25" i="123"/>
  <c r="E25" i="123"/>
  <c r="D25" i="123"/>
  <c r="H448" i="123" s="1"/>
  <c r="C25" i="123"/>
  <c r="C516" i="123" s="1"/>
  <c r="F24" i="123"/>
  <c r="E24" i="123"/>
  <c r="D515" i="123" s="1"/>
  <c r="D24" i="123"/>
  <c r="H440" i="123" s="1"/>
  <c r="C24" i="123"/>
  <c r="C515" i="123" s="1"/>
  <c r="F23" i="123"/>
  <c r="E23" i="123"/>
  <c r="D77" i="123" s="1"/>
  <c r="F80" i="123" s="1"/>
  <c r="D23" i="123"/>
  <c r="C23" i="123"/>
  <c r="F22" i="123"/>
  <c r="E22" i="123"/>
  <c r="D22" i="123"/>
  <c r="C22" i="123"/>
  <c r="F21" i="123"/>
  <c r="E21" i="123"/>
  <c r="D21" i="123"/>
  <c r="C21" i="123"/>
  <c r="B35" i="123" s="1"/>
  <c r="M17" i="123"/>
  <c r="L17" i="123"/>
  <c r="F523" i="123" s="1"/>
  <c r="E17" i="123"/>
  <c r="D17" i="123"/>
  <c r="M16" i="123"/>
  <c r="L16" i="123"/>
  <c r="F522" i="123" s="1"/>
  <c r="M15" i="123"/>
  <c r="L15" i="123"/>
  <c r="M14" i="123"/>
  <c r="L14" i="123"/>
  <c r="F520" i="123" s="1"/>
  <c r="F14" i="123"/>
  <c r="M13" i="123"/>
  <c r="L13" i="123"/>
  <c r="F519" i="123" s="1"/>
  <c r="F13" i="123"/>
  <c r="M12" i="123"/>
  <c r="L12" i="123"/>
  <c r="F518" i="123" s="1"/>
  <c r="M11" i="123"/>
  <c r="L11" i="123"/>
  <c r="G11" i="123"/>
  <c r="M10" i="123"/>
  <c r="L10" i="123"/>
  <c r="C10" i="123"/>
  <c r="M9" i="123"/>
  <c r="L9" i="123"/>
  <c r="M8" i="123"/>
  <c r="L8" i="123"/>
  <c r="E8" i="123"/>
  <c r="C8" i="123"/>
  <c r="M7" i="123"/>
  <c r="L7" i="123"/>
  <c r="M6" i="123"/>
  <c r="L6" i="123"/>
  <c r="F512" i="123" s="1"/>
  <c r="E6" i="123"/>
  <c r="E3" i="123"/>
  <c r="B3" i="123"/>
  <c r="AB48" i="122"/>
  <c r="AB45" i="122"/>
  <c r="J42" i="122"/>
  <c r="H42" i="122"/>
  <c r="G42" i="122"/>
  <c r="F42" i="122"/>
  <c r="AB47" i="122" s="1"/>
  <c r="E42" i="122"/>
  <c r="AA47" i="122" s="1"/>
  <c r="AB41" i="122"/>
  <c r="J41" i="122"/>
  <c r="H41" i="122"/>
  <c r="G41" i="122"/>
  <c r="F41" i="122"/>
  <c r="AB44" i="122" s="1"/>
  <c r="E41" i="122"/>
  <c r="AA44" i="122" s="1"/>
  <c r="H40" i="122"/>
  <c r="G40" i="122"/>
  <c r="F40" i="122"/>
  <c r="E40" i="122"/>
  <c r="AA41" i="122" s="1"/>
  <c r="H39" i="122"/>
  <c r="G39" i="122"/>
  <c r="F39" i="122"/>
  <c r="E39" i="122"/>
  <c r="C17" i="123" s="1"/>
  <c r="AB38" i="122"/>
  <c r="AA38" i="122"/>
  <c r="H38" i="122"/>
  <c r="G38" i="122"/>
  <c r="F38" i="122"/>
  <c r="AB35" i="122" s="1"/>
  <c r="E38" i="122"/>
  <c r="C16" i="123" s="1"/>
  <c r="H37" i="122"/>
  <c r="AB33" i="122" s="1"/>
  <c r="G37" i="122"/>
  <c r="E15" i="123" s="1"/>
  <c r="F37" i="122"/>
  <c r="E37" i="122"/>
  <c r="AA36" i="122"/>
  <c r="H36" i="122"/>
  <c r="G36" i="122"/>
  <c r="F36" i="122"/>
  <c r="E36" i="122"/>
  <c r="AA35" i="122"/>
  <c r="H35" i="122"/>
  <c r="G35" i="122"/>
  <c r="F35" i="122"/>
  <c r="D13" i="123" s="1"/>
  <c r="E35" i="122"/>
  <c r="C13" i="123" s="1"/>
  <c r="J34" i="122"/>
  <c r="H34" i="122"/>
  <c r="G34" i="122"/>
  <c r="F34" i="122"/>
  <c r="D12" i="123" s="1"/>
  <c r="E34" i="122"/>
  <c r="H33" i="122"/>
  <c r="F11" i="123" s="1"/>
  <c r="G33" i="122"/>
  <c r="E11" i="123" s="1"/>
  <c r="F33" i="122"/>
  <c r="E33" i="122"/>
  <c r="C11" i="123" s="1"/>
  <c r="J32" i="122"/>
  <c r="H32" i="122"/>
  <c r="G32" i="122"/>
  <c r="I32" i="122" s="1"/>
  <c r="F32" i="122"/>
  <c r="E32" i="122"/>
  <c r="AA17" i="122" s="1"/>
  <c r="H31" i="122"/>
  <c r="G31" i="122"/>
  <c r="F31" i="122"/>
  <c r="D9" i="123" s="1"/>
  <c r="E31" i="122"/>
  <c r="AB30" i="122"/>
  <c r="H30" i="122"/>
  <c r="G30" i="122"/>
  <c r="F30" i="122"/>
  <c r="E30" i="122"/>
  <c r="H29" i="122"/>
  <c r="G29" i="122"/>
  <c r="E7" i="123" s="1"/>
  <c r="F29" i="122"/>
  <c r="AB8" i="122" s="1"/>
  <c r="E29" i="122"/>
  <c r="AA8" i="122" s="1"/>
  <c r="H28" i="122"/>
  <c r="F6" i="123" s="1"/>
  <c r="G28" i="122"/>
  <c r="F28" i="122"/>
  <c r="AB5" i="122" s="1"/>
  <c r="E28" i="122"/>
  <c r="AB26" i="122"/>
  <c r="AA26" i="122"/>
  <c r="G23" i="122"/>
  <c r="F23" i="122"/>
  <c r="G22" i="122"/>
  <c r="F22" i="122"/>
  <c r="AA21" i="122"/>
  <c r="G21" i="122"/>
  <c r="F21" i="122"/>
  <c r="G20" i="122"/>
  <c r="F20" i="122"/>
  <c r="G19" i="122"/>
  <c r="E328" i="123" s="1"/>
  <c r="F19" i="122"/>
  <c r="E327" i="123" s="1"/>
  <c r="G18" i="122"/>
  <c r="F18" i="122"/>
  <c r="G17" i="122"/>
  <c r="F17" i="122"/>
  <c r="E323" i="123" s="1"/>
  <c r="G16" i="122"/>
  <c r="F16" i="122"/>
  <c r="AB15" i="122"/>
  <c r="AA15" i="122"/>
  <c r="G15" i="122"/>
  <c r="E306" i="123" s="1"/>
  <c r="A336" i="123" s="1"/>
  <c r="F15" i="122"/>
  <c r="AB14" i="122"/>
  <c r="G14" i="122"/>
  <c r="F14" i="122"/>
  <c r="AA12" i="122"/>
  <c r="AB6" i="122"/>
  <c r="AA6" i="122"/>
  <c r="D6" i="122"/>
  <c r="B6" i="122"/>
  <c r="E3" i="122"/>
  <c r="B3" i="122"/>
  <c r="F521" i="121"/>
  <c r="D520" i="121"/>
  <c r="D519" i="121"/>
  <c r="C517" i="121"/>
  <c r="C516" i="121"/>
  <c r="H505" i="121"/>
  <c r="H497" i="121"/>
  <c r="H488" i="121"/>
  <c r="H482" i="121"/>
  <c r="H481" i="121"/>
  <c r="H479" i="121"/>
  <c r="H458" i="121"/>
  <c r="H450" i="121"/>
  <c r="H433" i="121"/>
  <c r="H432" i="121"/>
  <c r="H424" i="121"/>
  <c r="E319" i="121"/>
  <c r="E318" i="121"/>
  <c r="C245" i="121"/>
  <c r="F247" i="121" s="1"/>
  <c r="E224" i="121"/>
  <c r="F228" i="121" s="1"/>
  <c r="B224" i="121"/>
  <c r="F225" i="121" s="1"/>
  <c r="F207" i="121"/>
  <c r="D182" i="121"/>
  <c r="F185" i="121" s="1"/>
  <c r="F163" i="121"/>
  <c r="E140" i="121"/>
  <c r="F144" i="121" s="1"/>
  <c r="C140" i="121"/>
  <c r="F142" i="121" s="1"/>
  <c r="B140" i="121"/>
  <c r="B119" i="121"/>
  <c r="F79" i="121"/>
  <c r="E56" i="121"/>
  <c r="B56" i="121"/>
  <c r="F32" i="121"/>
  <c r="E32" i="121"/>
  <c r="D32" i="121"/>
  <c r="H504" i="121" s="1"/>
  <c r="C32" i="121"/>
  <c r="F31" i="121"/>
  <c r="E31" i="121"/>
  <c r="D245" i="121" s="1"/>
  <c r="F248" i="121" s="1"/>
  <c r="D31" i="121"/>
  <c r="H496" i="121" s="1"/>
  <c r="C31" i="121"/>
  <c r="F30" i="121"/>
  <c r="H490" i="121" s="1"/>
  <c r="E30" i="121"/>
  <c r="D30" i="121"/>
  <c r="C224" i="121" s="1"/>
  <c r="C30" i="121"/>
  <c r="C521" i="121" s="1"/>
  <c r="F29" i="121"/>
  <c r="E203" i="121" s="1"/>
  <c r="E29" i="121"/>
  <c r="D203" i="121" s="1"/>
  <c r="F206" i="121" s="1"/>
  <c r="D29" i="121"/>
  <c r="C29" i="121"/>
  <c r="B203" i="121" s="1"/>
  <c r="F28" i="121"/>
  <c r="E28" i="121"/>
  <c r="H473" i="121" s="1"/>
  <c r="D28" i="121"/>
  <c r="C28" i="121"/>
  <c r="F27" i="121"/>
  <c r="E27" i="121"/>
  <c r="H465" i="121" s="1"/>
  <c r="D27" i="121"/>
  <c r="C161" i="121" s="1"/>
  <c r="C27" i="121"/>
  <c r="B161" i="121" s="1"/>
  <c r="F26" i="121"/>
  <c r="E26" i="121"/>
  <c r="D26" i="121"/>
  <c r="H456" i="121" s="1"/>
  <c r="C26" i="121"/>
  <c r="H455" i="121" s="1"/>
  <c r="F25" i="121"/>
  <c r="E119" i="121" s="1"/>
  <c r="F123" i="121" s="1"/>
  <c r="E25" i="121"/>
  <c r="D25" i="121"/>
  <c r="C25" i="121"/>
  <c r="H447" i="121" s="1"/>
  <c r="F24" i="121"/>
  <c r="E24" i="121"/>
  <c r="D24" i="121"/>
  <c r="C24" i="121"/>
  <c r="F23" i="121"/>
  <c r="E23" i="121"/>
  <c r="D77" i="121" s="1"/>
  <c r="F80" i="121" s="1"/>
  <c r="D23" i="121"/>
  <c r="C77" i="121" s="1"/>
  <c r="C23" i="121"/>
  <c r="F22" i="121"/>
  <c r="H426" i="121" s="1"/>
  <c r="E22" i="121"/>
  <c r="D22" i="121"/>
  <c r="C56" i="121" s="1"/>
  <c r="C22" i="121"/>
  <c r="F21" i="121"/>
  <c r="H418" i="121" s="1"/>
  <c r="E21" i="121"/>
  <c r="H417" i="121" s="1"/>
  <c r="D21" i="121"/>
  <c r="C21" i="121"/>
  <c r="M17" i="121"/>
  <c r="L17" i="121"/>
  <c r="F523" i="121" s="1"/>
  <c r="M16" i="121"/>
  <c r="L16" i="121"/>
  <c r="M15" i="121"/>
  <c r="L15" i="121"/>
  <c r="C15" i="121"/>
  <c r="M14" i="121"/>
  <c r="L14" i="121"/>
  <c r="F520" i="121" s="1"/>
  <c r="M13" i="121"/>
  <c r="L13" i="121"/>
  <c r="F519" i="121" s="1"/>
  <c r="D13" i="121"/>
  <c r="C13" i="121"/>
  <c r="M12" i="121"/>
  <c r="L12" i="121"/>
  <c r="M11" i="121"/>
  <c r="L11" i="121"/>
  <c r="F517" i="121" s="1"/>
  <c r="C11" i="121"/>
  <c r="M10" i="121"/>
  <c r="L10" i="121"/>
  <c r="F516" i="121" s="1"/>
  <c r="D10" i="121"/>
  <c r="C10" i="121"/>
  <c r="M9" i="121"/>
  <c r="L9" i="121"/>
  <c r="M8" i="121"/>
  <c r="L8" i="121"/>
  <c r="F514" i="121" s="1"/>
  <c r="F8" i="121"/>
  <c r="C8" i="121"/>
  <c r="M7" i="121"/>
  <c r="L7" i="121"/>
  <c r="F513" i="121" s="1"/>
  <c r="G7" i="121"/>
  <c r="C7" i="121"/>
  <c r="M6" i="121"/>
  <c r="L6" i="121"/>
  <c r="F6" i="121"/>
  <c r="E3" i="121"/>
  <c r="B3" i="121"/>
  <c r="AB48" i="120"/>
  <c r="AB47" i="120"/>
  <c r="AA45" i="120"/>
  <c r="J42" i="120"/>
  <c r="I42" i="120"/>
  <c r="K42" i="120" s="1"/>
  <c r="H42" i="120"/>
  <c r="G42" i="120"/>
  <c r="AA48" i="120" s="1"/>
  <c r="F42" i="120"/>
  <c r="E42" i="120"/>
  <c r="AA47" i="120" s="1"/>
  <c r="M41" i="120"/>
  <c r="L41" i="120"/>
  <c r="J41" i="120"/>
  <c r="I41" i="120"/>
  <c r="K41" i="120" s="1"/>
  <c r="H41" i="120"/>
  <c r="AB45" i="120" s="1"/>
  <c r="G41" i="120"/>
  <c r="F41" i="120"/>
  <c r="AB44" i="120" s="1"/>
  <c r="E41" i="120"/>
  <c r="AA44" i="120" s="1"/>
  <c r="H40" i="120"/>
  <c r="AB42" i="120" s="1"/>
  <c r="G40" i="120"/>
  <c r="AA42" i="120" s="1"/>
  <c r="F40" i="120"/>
  <c r="AB41" i="120" s="1"/>
  <c r="E40" i="120"/>
  <c r="AA41" i="120" s="1"/>
  <c r="AA39" i="120"/>
  <c r="H39" i="120"/>
  <c r="AB39" i="120" s="1"/>
  <c r="G39" i="120"/>
  <c r="E17" i="121" s="1"/>
  <c r="F39" i="120"/>
  <c r="D17" i="121" s="1"/>
  <c r="E39" i="120"/>
  <c r="C17" i="121" s="1"/>
  <c r="AB38" i="120"/>
  <c r="AA38" i="120"/>
  <c r="H38" i="120"/>
  <c r="G38" i="120"/>
  <c r="F38" i="120"/>
  <c r="E38" i="120"/>
  <c r="C16" i="121" s="1"/>
  <c r="H37" i="120"/>
  <c r="AB33" i="120" s="1"/>
  <c r="G37" i="120"/>
  <c r="F37" i="120"/>
  <c r="AB32" i="120" s="1"/>
  <c r="E37" i="120"/>
  <c r="AA32" i="120" s="1"/>
  <c r="AB36" i="120"/>
  <c r="H36" i="120"/>
  <c r="G36" i="120"/>
  <c r="F36" i="120"/>
  <c r="AB29" i="120" s="1"/>
  <c r="E36" i="120"/>
  <c r="C14" i="121" s="1"/>
  <c r="AA35" i="120"/>
  <c r="H35" i="120"/>
  <c r="G35" i="120"/>
  <c r="F35" i="120"/>
  <c r="E35" i="120"/>
  <c r="AA26" i="120" s="1"/>
  <c r="H34" i="120"/>
  <c r="F12" i="121" s="1"/>
  <c r="G34" i="120"/>
  <c r="E12" i="121" s="1"/>
  <c r="F34" i="120"/>
  <c r="E34" i="120"/>
  <c r="H33" i="120"/>
  <c r="F11" i="121" s="1"/>
  <c r="G33" i="120"/>
  <c r="F33" i="120"/>
  <c r="E33" i="120"/>
  <c r="J32" i="120"/>
  <c r="H32" i="120"/>
  <c r="AB18" i="120" s="1"/>
  <c r="G32" i="120"/>
  <c r="F32" i="120"/>
  <c r="E32" i="120"/>
  <c r="AA17" i="120" s="1"/>
  <c r="H31" i="120"/>
  <c r="G31" i="120"/>
  <c r="F31" i="120"/>
  <c r="E31" i="120"/>
  <c r="AB30" i="120"/>
  <c r="H30" i="120"/>
  <c r="G30" i="120"/>
  <c r="F30" i="120"/>
  <c r="J30" i="120" s="1"/>
  <c r="E30" i="120"/>
  <c r="AA11" i="120" s="1"/>
  <c r="AA29" i="120"/>
  <c r="I29" i="120"/>
  <c r="H29" i="120"/>
  <c r="G29" i="120"/>
  <c r="E7" i="121" s="1"/>
  <c r="F29" i="120"/>
  <c r="E29" i="120"/>
  <c r="AA8" i="120" s="1"/>
  <c r="H28" i="120"/>
  <c r="G28" i="120"/>
  <c r="F28" i="120"/>
  <c r="E28" i="120"/>
  <c r="AB26" i="120"/>
  <c r="AA24" i="120"/>
  <c r="G23" i="120"/>
  <c r="F23" i="120"/>
  <c r="G22" i="120"/>
  <c r="F22" i="120"/>
  <c r="G21" i="120"/>
  <c r="F21" i="120"/>
  <c r="AA20" i="120"/>
  <c r="G20" i="120"/>
  <c r="F20" i="120"/>
  <c r="G19" i="120"/>
  <c r="E328" i="121" s="1"/>
  <c r="F19" i="120"/>
  <c r="G18" i="120"/>
  <c r="F18" i="120"/>
  <c r="AB17" i="120"/>
  <c r="G17" i="120"/>
  <c r="F17" i="120"/>
  <c r="E309" i="121" s="1"/>
  <c r="A339" i="121" s="1"/>
  <c r="G16" i="120"/>
  <c r="F16" i="120"/>
  <c r="E321" i="121" s="1"/>
  <c r="G15" i="120"/>
  <c r="E320" i="121" s="1"/>
  <c r="F15" i="120"/>
  <c r="G14" i="120"/>
  <c r="E304" i="121" s="1"/>
  <c r="A334" i="121" s="1"/>
  <c r="F14" i="120"/>
  <c r="AB12" i="120"/>
  <c r="AB11" i="120"/>
  <c r="AA9" i="120"/>
  <c r="AB6" i="120"/>
  <c r="D6" i="120"/>
  <c r="B6" i="120"/>
  <c r="E3" i="120"/>
  <c r="B3" i="120"/>
  <c r="C494" i="119"/>
  <c r="F493" i="119"/>
  <c r="F490" i="119"/>
  <c r="F489" i="119"/>
  <c r="C489" i="119"/>
  <c r="D488" i="119"/>
  <c r="F485" i="119"/>
  <c r="H476" i="119"/>
  <c r="H460" i="119"/>
  <c r="H429" i="119"/>
  <c r="H397" i="119"/>
  <c r="A317" i="119"/>
  <c r="P315" i="119"/>
  <c r="A315" i="119"/>
  <c r="E304" i="119"/>
  <c r="F299" i="119"/>
  <c r="E299" i="119"/>
  <c r="C243" i="119"/>
  <c r="D222" i="119"/>
  <c r="F225" i="119" s="1"/>
  <c r="B222" i="119"/>
  <c r="C201" i="119"/>
  <c r="F203" i="119" s="1"/>
  <c r="D180" i="119"/>
  <c r="F183" i="119" s="1"/>
  <c r="C159" i="119"/>
  <c r="F161" i="119" s="1"/>
  <c r="B159" i="119"/>
  <c r="E138" i="119"/>
  <c r="F142" i="119" s="1"/>
  <c r="E117" i="119"/>
  <c r="F121" i="119" s="1"/>
  <c r="C75" i="119"/>
  <c r="F77" i="119" s="1"/>
  <c r="D54" i="119"/>
  <c r="F57" i="119" s="1"/>
  <c r="E33" i="119"/>
  <c r="F37" i="119" s="1"/>
  <c r="D33" i="119"/>
  <c r="F36" i="119" s="1"/>
  <c r="C33" i="119"/>
  <c r="F35" i="119" s="1"/>
  <c r="B33" i="119"/>
  <c r="F30" i="119"/>
  <c r="E30" i="119"/>
  <c r="D30" i="119"/>
  <c r="C30" i="119"/>
  <c r="F29" i="119"/>
  <c r="E29" i="119"/>
  <c r="H469" i="119" s="1"/>
  <c r="D29" i="119"/>
  <c r="C29" i="119"/>
  <c r="F28" i="119"/>
  <c r="E28" i="119"/>
  <c r="H461" i="119" s="1"/>
  <c r="D28" i="119"/>
  <c r="C28" i="119"/>
  <c r="F27" i="119"/>
  <c r="H454" i="119" s="1"/>
  <c r="E27" i="119"/>
  <c r="D27" i="119"/>
  <c r="C27" i="119"/>
  <c r="F26" i="119"/>
  <c r="H446" i="119" s="1"/>
  <c r="E26" i="119"/>
  <c r="D26" i="119"/>
  <c r="H444" i="119" s="1"/>
  <c r="C26" i="119"/>
  <c r="F25" i="119"/>
  <c r="H438" i="119" s="1"/>
  <c r="E25" i="119"/>
  <c r="D25" i="119"/>
  <c r="C25" i="119"/>
  <c r="F24" i="119"/>
  <c r="H430" i="119" s="1"/>
  <c r="E24" i="119"/>
  <c r="D117" i="119" s="1"/>
  <c r="F120" i="119" s="1"/>
  <c r="D24" i="119"/>
  <c r="H428" i="119" s="1"/>
  <c r="C24" i="119"/>
  <c r="F23" i="119"/>
  <c r="E23" i="119"/>
  <c r="H421" i="119" s="1"/>
  <c r="D23" i="119"/>
  <c r="C23" i="119"/>
  <c r="F22" i="119"/>
  <c r="E22" i="119"/>
  <c r="D22" i="119"/>
  <c r="H412" i="119" s="1"/>
  <c r="C22" i="119"/>
  <c r="F21" i="119"/>
  <c r="E54" i="119" s="1"/>
  <c r="F58" i="119" s="1"/>
  <c r="E21" i="119"/>
  <c r="D21" i="119"/>
  <c r="C21" i="119"/>
  <c r="B54" i="119" s="1"/>
  <c r="F20" i="119"/>
  <c r="H398" i="119" s="1"/>
  <c r="E20" i="119"/>
  <c r="D484" i="119" s="1"/>
  <c r="D20" i="119"/>
  <c r="H396" i="119" s="1"/>
  <c r="C20" i="119"/>
  <c r="M16" i="119"/>
  <c r="L16" i="119"/>
  <c r="M15" i="119"/>
  <c r="L15" i="119"/>
  <c r="M14" i="119"/>
  <c r="L14" i="119"/>
  <c r="F492" i="119" s="1"/>
  <c r="M13" i="119"/>
  <c r="L13" i="119"/>
  <c r="F491" i="119" s="1"/>
  <c r="C13" i="119"/>
  <c r="M12" i="119"/>
  <c r="L12" i="119"/>
  <c r="M11" i="119"/>
  <c r="L11" i="119"/>
  <c r="D11" i="119"/>
  <c r="M10" i="119"/>
  <c r="L10" i="119"/>
  <c r="F488" i="119" s="1"/>
  <c r="E10" i="119"/>
  <c r="D10" i="119"/>
  <c r="C10" i="119"/>
  <c r="M9" i="119"/>
  <c r="L9" i="119"/>
  <c r="F487" i="119" s="1"/>
  <c r="M8" i="119"/>
  <c r="L8" i="119"/>
  <c r="F486" i="119" s="1"/>
  <c r="D8" i="119"/>
  <c r="C8" i="119"/>
  <c r="M7" i="119"/>
  <c r="L7" i="119"/>
  <c r="M6" i="119"/>
  <c r="L6" i="119"/>
  <c r="D6" i="119"/>
  <c r="E3" i="119"/>
  <c r="B3" i="119"/>
  <c r="AA48" i="118"/>
  <c r="AA47" i="118"/>
  <c r="AA44" i="118"/>
  <c r="AA42" i="118"/>
  <c r="J42" i="118"/>
  <c r="I42" i="118"/>
  <c r="K42" i="118" s="1"/>
  <c r="H42" i="118"/>
  <c r="AB48" i="118" s="1"/>
  <c r="G42" i="118"/>
  <c r="F42" i="118"/>
  <c r="AB47" i="118" s="1"/>
  <c r="E42" i="118"/>
  <c r="H41" i="118"/>
  <c r="G41" i="118"/>
  <c r="F41" i="118"/>
  <c r="AB44" i="118" s="1"/>
  <c r="E41" i="118"/>
  <c r="I40" i="118"/>
  <c r="K40" i="118" s="1"/>
  <c r="H40" i="118"/>
  <c r="AB42" i="118" s="1"/>
  <c r="G40" i="118"/>
  <c r="F40" i="118"/>
  <c r="AB41" i="118" s="1"/>
  <c r="E40" i="118"/>
  <c r="AA41" i="118" s="1"/>
  <c r="I39" i="118"/>
  <c r="K39" i="118" s="1"/>
  <c r="H39" i="118"/>
  <c r="G39" i="118"/>
  <c r="AA39" i="118" s="1"/>
  <c r="F39" i="118"/>
  <c r="AB38" i="118" s="1"/>
  <c r="E39" i="118"/>
  <c r="AA38" i="118" s="1"/>
  <c r="H38" i="118"/>
  <c r="AB36" i="118" s="1"/>
  <c r="G38" i="118"/>
  <c r="F38" i="118"/>
  <c r="E38" i="118"/>
  <c r="C16" i="119" s="1"/>
  <c r="H37" i="118"/>
  <c r="G37" i="118"/>
  <c r="F37" i="118"/>
  <c r="E37" i="118"/>
  <c r="H36" i="118"/>
  <c r="G36" i="118"/>
  <c r="F36" i="118"/>
  <c r="E36" i="118"/>
  <c r="AA35" i="118"/>
  <c r="H35" i="118"/>
  <c r="F13" i="119" s="1"/>
  <c r="G35" i="118"/>
  <c r="F35" i="118"/>
  <c r="D13" i="119" s="1"/>
  <c r="E35" i="118"/>
  <c r="AA26" i="118" s="1"/>
  <c r="H34" i="118"/>
  <c r="F12" i="119" s="1"/>
  <c r="G34" i="118"/>
  <c r="F34" i="118"/>
  <c r="E34" i="118"/>
  <c r="C12" i="119" s="1"/>
  <c r="AB33" i="118"/>
  <c r="H33" i="118"/>
  <c r="G33" i="118"/>
  <c r="E11" i="119" s="1"/>
  <c r="F33" i="118"/>
  <c r="E33" i="118"/>
  <c r="H32" i="118"/>
  <c r="F10" i="119" s="1"/>
  <c r="G32" i="118"/>
  <c r="I32" i="118" s="1"/>
  <c r="F32" i="118"/>
  <c r="AB17" i="118" s="1"/>
  <c r="E32" i="118"/>
  <c r="AA17" i="118" s="1"/>
  <c r="H31" i="118"/>
  <c r="G31" i="118"/>
  <c r="F31" i="118"/>
  <c r="E31" i="118"/>
  <c r="H30" i="118"/>
  <c r="G30" i="118"/>
  <c r="F30" i="118"/>
  <c r="E30" i="118"/>
  <c r="H29" i="118"/>
  <c r="G29" i="118"/>
  <c r="F29" i="118"/>
  <c r="E29" i="118"/>
  <c r="H28" i="118"/>
  <c r="F6" i="119" s="1"/>
  <c r="G28" i="118"/>
  <c r="F28" i="118"/>
  <c r="E28" i="118"/>
  <c r="AB27" i="118"/>
  <c r="AA23" i="118"/>
  <c r="G23" i="118"/>
  <c r="F23" i="118"/>
  <c r="G22" i="118"/>
  <c r="F22" i="118"/>
  <c r="G21" i="118"/>
  <c r="F21" i="118"/>
  <c r="AB20" i="118"/>
  <c r="G20" i="118"/>
  <c r="F20" i="118"/>
  <c r="G19" i="118"/>
  <c r="F19" i="118"/>
  <c r="E290" i="119" s="1"/>
  <c r="A320" i="119" s="1"/>
  <c r="AB18" i="118"/>
  <c r="AA18" i="118"/>
  <c r="G18" i="118"/>
  <c r="F18" i="118"/>
  <c r="G17" i="118"/>
  <c r="E287" i="119" s="1"/>
  <c r="F17" i="118"/>
  <c r="G16" i="118"/>
  <c r="E285" i="119" s="1"/>
  <c r="F16" i="118"/>
  <c r="AA15" i="118"/>
  <c r="G15" i="118"/>
  <c r="F15" i="118"/>
  <c r="G14" i="118"/>
  <c r="F14" i="118"/>
  <c r="AB11" i="118"/>
  <c r="AA11" i="118"/>
  <c r="AB6" i="118"/>
  <c r="D6" i="118"/>
  <c r="B6" i="118"/>
  <c r="E3" i="118"/>
  <c r="B3" i="118"/>
  <c r="C493" i="117"/>
  <c r="C490" i="117"/>
  <c r="D489" i="117"/>
  <c r="C489" i="117"/>
  <c r="C486" i="117"/>
  <c r="H478" i="117"/>
  <c r="H476" i="117"/>
  <c r="H468" i="117"/>
  <c r="H467" i="117"/>
  <c r="H444" i="117"/>
  <c r="H443" i="117"/>
  <c r="H437" i="117"/>
  <c r="H430" i="117"/>
  <c r="H429" i="117"/>
  <c r="H428" i="117"/>
  <c r="H414" i="117"/>
  <c r="H411" i="117"/>
  <c r="E303" i="117"/>
  <c r="E300" i="117"/>
  <c r="E291" i="117"/>
  <c r="A321" i="117" s="1"/>
  <c r="F245" i="117"/>
  <c r="C243" i="117"/>
  <c r="F225" i="117"/>
  <c r="F224" i="117"/>
  <c r="D222" i="117"/>
  <c r="B222" i="117"/>
  <c r="E201" i="117"/>
  <c r="F205" i="117" s="1"/>
  <c r="D201" i="117"/>
  <c r="F204" i="117" s="1"/>
  <c r="C201" i="117"/>
  <c r="F203" i="117" s="1"/>
  <c r="F160" i="117"/>
  <c r="C159" i="117"/>
  <c r="F141" i="117"/>
  <c r="D138" i="117"/>
  <c r="B138" i="117"/>
  <c r="F76" i="117"/>
  <c r="B54" i="117"/>
  <c r="E33" i="117"/>
  <c r="F37" i="117" s="1"/>
  <c r="B33" i="117"/>
  <c r="F30" i="117"/>
  <c r="E243" i="117" s="1"/>
  <c r="F247" i="117" s="1"/>
  <c r="E30" i="117"/>
  <c r="D30" i="117"/>
  <c r="C30" i="117"/>
  <c r="F29" i="117"/>
  <c r="E29" i="117"/>
  <c r="D493" i="117" s="1"/>
  <c r="D29" i="117"/>
  <c r="C222" i="117" s="1"/>
  <c r="C29" i="117"/>
  <c r="F28" i="117"/>
  <c r="H462" i="117" s="1"/>
  <c r="E28" i="117"/>
  <c r="D28" i="117"/>
  <c r="H460" i="117" s="1"/>
  <c r="C28" i="117"/>
  <c r="F27" i="117"/>
  <c r="E27" i="117"/>
  <c r="D27" i="117"/>
  <c r="C27" i="117"/>
  <c r="F26" i="117"/>
  <c r="E26" i="117"/>
  <c r="D26" i="117"/>
  <c r="C26" i="117"/>
  <c r="B159" i="117" s="1"/>
  <c r="F25" i="117"/>
  <c r="E25" i="117"/>
  <c r="D25" i="117"/>
  <c r="C25" i="117"/>
  <c r="H435" i="117" s="1"/>
  <c r="F24" i="117"/>
  <c r="E117" i="117" s="1"/>
  <c r="F121" i="117" s="1"/>
  <c r="E24" i="117"/>
  <c r="D488" i="117" s="1"/>
  <c r="D24" i="117"/>
  <c r="C117" i="117" s="1"/>
  <c r="F119" i="117" s="1"/>
  <c r="C24" i="117"/>
  <c r="F23" i="117"/>
  <c r="E23" i="117"/>
  <c r="D23" i="117"/>
  <c r="H420" i="117" s="1"/>
  <c r="C23" i="117"/>
  <c r="F22" i="117"/>
  <c r="E75" i="117" s="1"/>
  <c r="F79" i="117" s="1"/>
  <c r="E22" i="117"/>
  <c r="D22" i="117"/>
  <c r="H412" i="117" s="1"/>
  <c r="C22" i="117"/>
  <c r="B75" i="117" s="1"/>
  <c r="F21" i="117"/>
  <c r="E21" i="117"/>
  <c r="D485" i="117" s="1"/>
  <c r="D21" i="117"/>
  <c r="H404" i="117" s="1"/>
  <c r="C21" i="117"/>
  <c r="F20" i="117"/>
  <c r="H398" i="117" s="1"/>
  <c r="E20" i="117"/>
  <c r="H397" i="117" s="1"/>
  <c r="D20" i="117"/>
  <c r="C20" i="117"/>
  <c r="M16" i="117"/>
  <c r="L16" i="117"/>
  <c r="F494" i="117" s="1"/>
  <c r="F16" i="117"/>
  <c r="D16" i="117"/>
  <c r="M15" i="117"/>
  <c r="L15" i="117"/>
  <c r="F493" i="117" s="1"/>
  <c r="M14" i="117"/>
  <c r="L14" i="117"/>
  <c r="C14" i="117"/>
  <c r="M13" i="117"/>
  <c r="L13" i="117"/>
  <c r="F491" i="117" s="1"/>
  <c r="E13" i="117"/>
  <c r="G13" i="117" s="1"/>
  <c r="D13" i="117"/>
  <c r="C13" i="117"/>
  <c r="M12" i="117"/>
  <c r="L12" i="117"/>
  <c r="F490" i="117" s="1"/>
  <c r="F12" i="117"/>
  <c r="C12" i="117"/>
  <c r="M11" i="117"/>
  <c r="L11" i="117"/>
  <c r="E11" i="117"/>
  <c r="M10" i="117"/>
  <c r="L10" i="117"/>
  <c r="F488" i="117" s="1"/>
  <c r="F10" i="117"/>
  <c r="D10" i="117"/>
  <c r="H10" i="117" s="1"/>
  <c r="M9" i="117"/>
  <c r="L9" i="117"/>
  <c r="F487" i="117" s="1"/>
  <c r="F9" i="117"/>
  <c r="C9" i="117"/>
  <c r="M8" i="117"/>
  <c r="L8" i="117"/>
  <c r="F486" i="117" s="1"/>
  <c r="M7" i="117"/>
  <c r="L7" i="117"/>
  <c r="F485" i="117" s="1"/>
  <c r="M6" i="117"/>
  <c r="L6" i="117"/>
  <c r="E6" i="117"/>
  <c r="D6" i="117"/>
  <c r="E3" i="117"/>
  <c r="B3" i="117"/>
  <c r="AB45" i="116"/>
  <c r="AA42" i="116"/>
  <c r="H42" i="116"/>
  <c r="G42" i="116"/>
  <c r="I42" i="116" s="1"/>
  <c r="K42" i="116" s="1"/>
  <c r="F42" i="116"/>
  <c r="AB47" i="116" s="1"/>
  <c r="E42" i="116"/>
  <c r="AA47" i="116" s="1"/>
  <c r="H41" i="116"/>
  <c r="J41" i="116" s="1"/>
  <c r="G41" i="116"/>
  <c r="F41" i="116"/>
  <c r="AB44" i="116" s="1"/>
  <c r="E41" i="116"/>
  <c r="AA44" i="116" s="1"/>
  <c r="H40" i="116"/>
  <c r="J40" i="116" s="1"/>
  <c r="G40" i="116"/>
  <c r="I40" i="116" s="1"/>
  <c r="K40" i="116" s="1"/>
  <c r="F40" i="116"/>
  <c r="AB41" i="116" s="1"/>
  <c r="E40" i="116"/>
  <c r="AA41" i="116" s="1"/>
  <c r="AB39" i="116"/>
  <c r="AA39" i="116"/>
  <c r="K39" i="116"/>
  <c r="J39" i="116"/>
  <c r="H39" i="116"/>
  <c r="G39" i="116"/>
  <c r="I39" i="116" s="1"/>
  <c r="F39" i="116"/>
  <c r="AB38" i="116" s="1"/>
  <c r="E39" i="116"/>
  <c r="AA38" i="116"/>
  <c r="H38" i="116"/>
  <c r="G38" i="116"/>
  <c r="F38" i="116"/>
  <c r="AB35" i="116" s="1"/>
  <c r="E38" i="116"/>
  <c r="H37" i="116"/>
  <c r="G37" i="116"/>
  <c r="F37" i="116"/>
  <c r="E37" i="116"/>
  <c r="H36" i="116"/>
  <c r="G36" i="116"/>
  <c r="F36" i="116"/>
  <c r="E36" i="116"/>
  <c r="AA29" i="116" s="1"/>
  <c r="H35" i="116"/>
  <c r="G35" i="116"/>
  <c r="AA27" i="116" s="1"/>
  <c r="F35" i="116"/>
  <c r="E35" i="116"/>
  <c r="AA26" i="116" s="1"/>
  <c r="H34" i="116"/>
  <c r="G34" i="116"/>
  <c r="AA24" i="116" s="1"/>
  <c r="F34" i="116"/>
  <c r="E34" i="116"/>
  <c r="AA23" i="116" s="1"/>
  <c r="H33" i="116"/>
  <c r="AB21" i="116" s="1"/>
  <c r="G33" i="116"/>
  <c r="AA21" i="116" s="1"/>
  <c r="F33" i="116"/>
  <c r="D11" i="117" s="1"/>
  <c r="E33" i="116"/>
  <c r="H32" i="116"/>
  <c r="J32" i="116" s="1"/>
  <c r="G32" i="116"/>
  <c r="F32" i="116"/>
  <c r="AB17" i="116" s="1"/>
  <c r="E32" i="116"/>
  <c r="H31" i="116"/>
  <c r="G31" i="116"/>
  <c r="F31" i="116"/>
  <c r="E31" i="116"/>
  <c r="I30" i="116"/>
  <c r="H30" i="116"/>
  <c r="G30" i="116"/>
  <c r="F30" i="116"/>
  <c r="D8" i="117" s="1"/>
  <c r="E30" i="116"/>
  <c r="H29" i="116"/>
  <c r="AB9" i="116" s="1"/>
  <c r="G29" i="116"/>
  <c r="F29" i="116"/>
  <c r="E29" i="116"/>
  <c r="C7" i="117" s="1"/>
  <c r="H28" i="116"/>
  <c r="G28" i="116"/>
  <c r="F28" i="116"/>
  <c r="E28" i="116"/>
  <c r="C6" i="117" s="1"/>
  <c r="AB26" i="116"/>
  <c r="AB24" i="116"/>
  <c r="G23" i="116"/>
  <c r="F23" i="116"/>
  <c r="G22" i="116"/>
  <c r="F22" i="116"/>
  <c r="G21" i="116"/>
  <c r="F21" i="116"/>
  <c r="AB20" i="116"/>
  <c r="G20" i="116"/>
  <c r="F20" i="116"/>
  <c r="G19" i="116"/>
  <c r="E305" i="117" s="1"/>
  <c r="F19" i="116"/>
  <c r="AB18" i="116"/>
  <c r="G18" i="116"/>
  <c r="E289" i="117" s="1"/>
  <c r="A319" i="117" s="1"/>
  <c r="F18" i="116"/>
  <c r="E288" i="117" s="1"/>
  <c r="A318" i="117" s="1"/>
  <c r="G17" i="116"/>
  <c r="F17" i="116"/>
  <c r="E286" i="117" s="1"/>
  <c r="A316" i="117" s="1"/>
  <c r="G16" i="116"/>
  <c r="F16" i="116"/>
  <c r="AB15" i="116"/>
  <c r="G15" i="116"/>
  <c r="F15" i="116"/>
  <c r="AA14" i="116"/>
  <c r="G14" i="116"/>
  <c r="F14" i="116"/>
  <c r="AB11" i="116"/>
  <c r="D6" i="116"/>
  <c r="B6" i="116"/>
  <c r="AB5" i="116"/>
  <c r="E3" i="116"/>
  <c r="B3" i="116"/>
  <c r="D363" i="115"/>
  <c r="C363" i="115"/>
  <c r="F361" i="115"/>
  <c r="F360" i="115"/>
  <c r="D358" i="115"/>
  <c r="H341" i="115"/>
  <c r="H335" i="115"/>
  <c r="H318" i="115"/>
  <c r="H310" i="115"/>
  <c r="H303" i="115"/>
  <c r="H302" i="115"/>
  <c r="A225" i="115"/>
  <c r="E211" i="115"/>
  <c r="G211" i="115" s="1"/>
  <c r="E201" i="115"/>
  <c r="A227" i="115" s="1"/>
  <c r="E197" i="115"/>
  <c r="A223" i="115" s="1"/>
  <c r="F143" i="115"/>
  <c r="E122" i="115"/>
  <c r="F126" i="115" s="1"/>
  <c r="E103" i="115"/>
  <c r="F107" i="115" s="1"/>
  <c r="D65" i="115"/>
  <c r="F68" i="115" s="1"/>
  <c r="E46" i="115"/>
  <c r="F50" i="115" s="1"/>
  <c r="D46" i="115"/>
  <c r="F49" i="115" s="1"/>
  <c r="F24" i="115"/>
  <c r="E24" i="115"/>
  <c r="D24" i="115"/>
  <c r="C24" i="115"/>
  <c r="H348" i="115" s="1"/>
  <c r="F23" i="115"/>
  <c r="H343" i="115" s="1"/>
  <c r="E23" i="115"/>
  <c r="H342" i="115" s="1"/>
  <c r="D23" i="115"/>
  <c r="C141" i="115" s="1"/>
  <c r="C23" i="115"/>
  <c r="F22" i="115"/>
  <c r="E22" i="115"/>
  <c r="D22" i="115"/>
  <c r="C22" i="115"/>
  <c r="F21" i="115"/>
  <c r="H327" i="115" s="1"/>
  <c r="E21" i="115"/>
  <c r="D21" i="115"/>
  <c r="C21" i="115"/>
  <c r="F20" i="115"/>
  <c r="E20" i="115"/>
  <c r="D20" i="115"/>
  <c r="C20" i="115"/>
  <c r="B84" i="115" s="1"/>
  <c r="F19" i="115"/>
  <c r="E19" i="115"/>
  <c r="D359" i="115" s="1"/>
  <c r="D19" i="115"/>
  <c r="H309" i="115" s="1"/>
  <c r="C19" i="115"/>
  <c r="F18" i="115"/>
  <c r="E18" i="115"/>
  <c r="D18" i="115"/>
  <c r="C18" i="115"/>
  <c r="F17" i="115"/>
  <c r="H295" i="115" s="1"/>
  <c r="E17" i="115"/>
  <c r="D27" i="115" s="1"/>
  <c r="F30" i="115" s="1"/>
  <c r="D17" i="115"/>
  <c r="C17" i="115"/>
  <c r="M13" i="115"/>
  <c r="L13" i="115"/>
  <c r="F364" i="115" s="1"/>
  <c r="F13" i="115"/>
  <c r="M12" i="115"/>
  <c r="L12" i="115"/>
  <c r="F363" i="115" s="1"/>
  <c r="F12" i="115"/>
  <c r="C12" i="115"/>
  <c r="M11" i="115"/>
  <c r="L11" i="115"/>
  <c r="M10" i="115"/>
  <c r="L10" i="115"/>
  <c r="F10" i="115"/>
  <c r="E10" i="115"/>
  <c r="D10" i="115"/>
  <c r="C10" i="115"/>
  <c r="M9" i="115"/>
  <c r="L9" i="115"/>
  <c r="M8" i="115"/>
  <c r="L8" i="115"/>
  <c r="F359" i="115" s="1"/>
  <c r="M7" i="115"/>
  <c r="L7" i="115"/>
  <c r="F358" i="115" s="1"/>
  <c r="M6" i="115"/>
  <c r="L6" i="115"/>
  <c r="F357" i="115" s="1"/>
  <c r="E3" i="115"/>
  <c r="B3" i="115"/>
  <c r="AA47" i="114"/>
  <c r="H42" i="114"/>
  <c r="G42" i="114"/>
  <c r="F42" i="114"/>
  <c r="AB47" i="114" s="1"/>
  <c r="E42" i="114"/>
  <c r="J41" i="114"/>
  <c r="H41" i="114"/>
  <c r="AB45" i="114" s="1"/>
  <c r="G41" i="114"/>
  <c r="F41" i="114"/>
  <c r="AB44" i="114" s="1"/>
  <c r="E41" i="114"/>
  <c r="AA44" i="114" s="1"/>
  <c r="H40" i="114"/>
  <c r="G40" i="114"/>
  <c r="F40" i="114"/>
  <c r="AB41" i="114" s="1"/>
  <c r="E40" i="114"/>
  <c r="AA41" i="114" s="1"/>
  <c r="AA39" i="114"/>
  <c r="J39" i="114"/>
  <c r="I39" i="114"/>
  <c r="K39" i="114" s="1"/>
  <c r="H39" i="114"/>
  <c r="AB39" i="114" s="1"/>
  <c r="G39" i="114"/>
  <c r="F39" i="114"/>
  <c r="E39" i="114"/>
  <c r="AA38" i="114" s="1"/>
  <c r="AB38" i="114"/>
  <c r="H38" i="114"/>
  <c r="J38" i="114" s="1"/>
  <c r="G38" i="114"/>
  <c r="F38" i="114"/>
  <c r="AB35" i="114" s="1"/>
  <c r="E38" i="114"/>
  <c r="AA35" i="114" s="1"/>
  <c r="I37" i="114"/>
  <c r="K37" i="114" s="1"/>
  <c r="H37" i="114"/>
  <c r="J37" i="114" s="1"/>
  <c r="G37" i="114"/>
  <c r="F37" i="114"/>
  <c r="E37" i="114"/>
  <c r="H36" i="114"/>
  <c r="G36" i="114"/>
  <c r="F36" i="114"/>
  <c r="AB29" i="114" s="1"/>
  <c r="E36" i="114"/>
  <c r="AA29" i="114" s="1"/>
  <c r="H35" i="114"/>
  <c r="AB27" i="114" s="1"/>
  <c r="G35" i="114"/>
  <c r="F35" i="114"/>
  <c r="E35" i="114"/>
  <c r="H34" i="114"/>
  <c r="AB24" i="114" s="1"/>
  <c r="G34" i="114"/>
  <c r="F34" i="114"/>
  <c r="E34" i="114"/>
  <c r="AB33" i="114"/>
  <c r="AA33" i="114"/>
  <c r="H33" i="114"/>
  <c r="G33" i="114"/>
  <c r="F33" i="114"/>
  <c r="E33" i="114"/>
  <c r="AB32" i="114"/>
  <c r="AA32" i="114"/>
  <c r="H32" i="114"/>
  <c r="G32" i="114"/>
  <c r="I32" i="114" s="1"/>
  <c r="F32" i="114"/>
  <c r="AB17" i="114" s="1"/>
  <c r="E32" i="114"/>
  <c r="AA17" i="114" s="1"/>
  <c r="I31" i="114"/>
  <c r="H31" i="114"/>
  <c r="G31" i="114"/>
  <c r="F31" i="114"/>
  <c r="E31" i="114"/>
  <c r="H30" i="114"/>
  <c r="AB12" i="114" s="1"/>
  <c r="G30" i="114"/>
  <c r="F30" i="114"/>
  <c r="E30" i="114"/>
  <c r="H29" i="114"/>
  <c r="G29" i="114"/>
  <c r="I29" i="114" s="1"/>
  <c r="F29" i="114"/>
  <c r="AB8" i="114" s="1"/>
  <c r="E29" i="114"/>
  <c r="H28" i="114"/>
  <c r="AB6" i="114" s="1"/>
  <c r="G28" i="114"/>
  <c r="F28" i="114"/>
  <c r="E28" i="114"/>
  <c r="AA23" i="114"/>
  <c r="G23" i="114"/>
  <c r="F23" i="114"/>
  <c r="G22" i="114"/>
  <c r="F22" i="114"/>
  <c r="AA21" i="114"/>
  <c r="G21" i="114"/>
  <c r="F21" i="114"/>
  <c r="G20" i="114"/>
  <c r="F20" i="114"/>
  <c r="G19" i="114"/>
  <c r="F19" i="114"/>
  <c r="G18" i="114"/>
  <c r="F18" i="114"/>
  <c r="E213" i="115" s="1"/>
  <c r="G17" i="114"/>
  <c r="E200" i="115" s="1"/>
  <c r="A226" i="115" s="1"/>
  <c r="F17" i="114"/>
  <c r="E199" i="115" s="1"/>
  <c r="G16" i="114"/>
  <c r="F16" i="114"/>
  <c r="E209" i="115" s="1"/>
  <c r="G209" i="115" s="1"/>
  <c r="G15" i="114"/>
  <c r="F15" i="114"/>
  <c r="G14" i="114"/>
  <c r="F14" i="114"/>
  <c r="AA12" i="114"/>
  <c r="AA9" i="114"/>
  <c r="D6" i="114"/>
  <c r="B6" i="114"/>
  <c r="E3" i="114"/>
  <c r="B3" i="114"/>
  <c r="C274" i="113"/>
  <c r="F273" i="113"/>
  <c r="C273" i="113"/>
  <c r="C270" i="113"/>
  <c r="D269" i="113"/>
  <c r="C269" i="113"/>
  <c r="H263" i="113"/>
  <c r="H255" i="113"/>
  <c r="H252" i="113"/>
  <c r="H239" i="113"/>
  <c r="A163" i="113"/>
  <c r="E152" i="113"/>
  <c r="E142" i="113"/>
  <c r="A164" i="113" s="1"/>
  <c r="E141" i="113"/>
  <c r="F112" i="113"/>
  <c r="E91" i="113"/>
  <c r="F95" i="113" s="1"/>
  <c r="D91" i="113"/>
  <c r="F94" i="113" s="1"/>
  <c r="B91" i="113"/>
  <c r="E23" i="113"/>
  <c r="F27" i="113" s="1"/>
  <c r="D23" i="113"/>
  <c r="F26" i="113" s="1"/>
  <c r="B23" i="113"/>
  <c r="F20" i="113"/>
  <c r="E108" i="113" s="1"/>
  <c r="E20" i="113"/>
  <c r="D20" i="113"/>
  <c r="C20" i="113"/>
  <c r="H260" i="113" s="1"/>
  <c r="F19" i="113"/>
  <c r="E19" i="113"/>
  <c r="H254" i="113" s="1"/>
  <c r="D19" i="113"/>
  <c r="C19" i="113"/>
  <c r="F18" i="113"/>
  <c r="E18" i="113"/>
  <c r="D18" i="113"/>
  <c r="C18" i="113"/>
  <c r="F17" i="113"/>
  <c r="E57" i="113" s="1"/>
  <c r="F61" i="113" s="1"/>
  <c r="E17" i="113"/>
  <c r="D17" i="113"/>
  <c r="H237" i="113" s="1"/>
  <c r="C17" i="113"/>
  <c r="F16" i="113"/>
  <c r="E16" i="113"/>
  <c r="D270" i="113" s="1"/>
  <c r="D16" i="113"/>
  <c r="C16" i="113"/>
  <c r="F15" i="113"/>
  <c r="H223" i="113" s="1"/>
  <c r="E15" i="113"/>
  <c r="H222" i="113" s="1"/>
  <c r="D15" i="113"/>
  <c r="C15" i="113"/>
  <c r="H220" i="113" s="1"/>
  <c r="M11" i="113"/>
  <c r="L11" i="113"/>
  <c r="E11" i="113"/>
  <c r="D11" i="113"/>
  <c r="M10" i="113"/>
  <c r="L10" i="113"/>
  <c r="E10" i="113"/>
  <c r="D10" i="113"/>
  <c r="M9" i="113"/>
  <c r="L9" i="113"/>
  <c r="F272" i="113" s="1"/>
  <c r="M8" i="113"/>
  <c r="L8" i="113"/>
  <c r="F271" i="113" s="1"/>
  <c r="D8" i="113"/>
  <c r="M7" i="113"/>
  <c r="L7" i="113"/>
  <c r="F270" i="113" s="1"/>
  <c r="E7" i="113"/>
  <c r="M6" i="113"/>
  <c r="L6" i="113"/>
  <c r="E3" i="113"/>
  <c r="B3" i="113"/>
  <c r="AB42" i="112"/>
  <c r="J42" i="112"/>
  <c r="H42" i="112"/>
  <c r="AB48" i="112" s="1"/>
  <c r="G42" i="112"/>
  <c r="F42" i="112"/>
  <c r="AB47" i="112" s="1"/>
  <c r="E42" i="112"/>
  <c r="AA47" i="112" s="1"/>
  <c r="AA41" i="112"/>
  <c r="H41" i="112"/>
  <c r="G41" i="112"/>
  <c r="AA45" i="112" s="1"/>
  <c r="F41" i="112"/>
  <c r="AB44" i="112" s="1"/>
  <c r="E41" i="112"/>
  <c r="AA44" i="112" s="1"/>
  <c r="H40" i="112"/>
  <c r="J40" i="112" s="1"/>
  <c r="G40" i="112"/>
  <c r="F40" i="112"/>
  <c r="AB41" i="112" s="1"/>
  <c r="E40" i="112"/>
  <c r="H39" i="112"/>
  <c r="G39" i="112"/>
  <c r="F39" i="112"/>
  <c r="AB38" i="112" s="1"/>
  <c r="E39" i="112"/>
  <c r="AA38" i="112" s="1"/>
  <c r="H38" i="112"/>
  <c r="G38" i="112"/>
  <c r="F38" i="112"/>
  <c r="AB35" i="112" s="1"/>
  <c r="E38" i="112"/>
  <c r="AA35" i="112" s="1"/>
  <c r="M37" i="112"/>
  <c r="J37" i="112"/>
  <c r="H37" i="112"/>
  <c r="AB33" i="112" s="1"/>
  <c r="G37" i="112"/>
  <c r="I37" i="112" s="1"/>
  <c r="K37" i="112" s="1"/>
  <c r="L37" i="112" s="1"/>
  <c r="F37" i="112"/>
  <c r="AB32" i="112" s="1"/>
  <c r="E37" i="112"/>
  <c r="AA32" i="112" s="1"/>
  <c r="H36" i="112"/>
  <c r="AB30" i="112" s="1"/>
  <c r="G36" i="112"/>
  <c r="F36" i="112"/>
  <c r="AB29" i="112" s="1"/>
  <c r="E36" i="112"/>
  <c r="H35" i="112"/>
  <c r="G35" i="112"/>
  <c r="AA27" i="112" s="1"/>
  <c r="F35" i="112"/>
  <c r="AB26" i="112" s="1"/>
  <c r="E35" i="112"/>
  <c r="I34" i="112"/>
  <c r="K34" i="112" s="1"/>
  <c r="H34" i="112"/>
  <c r="G34" i="112"/>
  <c r="AA24" i="112" s="1"/>
  <c r="F34" i="112"/>
  <c r="E34" i="112"/>
  <c r="AA23" i="112" s="1"/>
  <c r="AA33" i="112"/>
  <c r="J33" i="112"/>
  <c r="H33" i="112"/>
  <c r="G33" i="112"/>
  <c r="AA21" i="112" s="1"/>
  <c r="F33" i="112"/>
  <c r="AB20" i="112" s="1"/>
  <c r="E33" i="112"/>
  <c r="I32" i="112"/>
  <c r="H32" i="112"/>
  <c r="G32" i="112"/>
  <c r="F32" i="112"/>
  <c r="E32" i="112"/>
  <c r="C10" i="113" s="1"/>
  <c r="I31" i="112"/>
  <c r="H31" i="112"/>
  <c r="G31" i="112"/>
  <c r="E9" i="113" s="1"/>
  <c r="F31" i="112"/>
  <c r="E31" i="112"/>
  <c r="J30" i="112"/>
  <c r="H30" i="112"/>
  <c r="F8" i="113" s="1"/>
  <c r="G30" i="112"/>
  <c r="E8" i="113" s="1"/>
  <c r="F30" i="112"/>
  <c r="E30" i="112"/>
  <c r="AA11" i="112" s="1"/>
  <c r="AA29" i="112"/>
  <c r="H29" i="112"/>
  <c r="G29" i="112"/>
  <c r="AA9" i="112" s="1"/>
  <c r="F29" i="112"/>
  <c r="E29" i="112"/>
  <c r="J28" i="112"/>
  <c r="H28" i="112"/>
  <c r="G28" i="112"/>
  <c r="F28" i="112"/>
  <c r="E28" i="112"/>
  <c r="AA26" i="112"/>
  <c r="AB23" i="112"/>
  <c r="G23" i="112"/>
  <c r="F23" i="112"/>
  <c r="G22" i="112"/>
  <c r="F22" i="112"/>
  <c r="G21" i="112"/>
  <c r="F21" i="112"/>
  <c r="G20" i="112"/>
  <c r="F20" i="112"/>
  <c r="G19" i="112"/>
  <c r="F19" i="112"/>
  <c r="AB18" i="112"/>
  <c r="AA18" i="112"/>
  <c r="G18" i="112"/>
  <c r="F18" i="112"/>
  <c r="AB17" i="112"/>
  <c r="AA17" i="112"/>
  <c r="G17" i="112"/>
  <c r="F17" i="112"/>
  <c r="G16" i="112"/>
  <c r="F16" i="112"/>
  <c r="E151" i="113" s="1"/>
  <c r="G151" i="113" s="1"/>
  <c r="AA15" i="112"/>
  <c r="G15" i="112"/>
  <c r="F15" i="112"/>
  <c r="E149" i="113" s="1"/>
  <c r="F149" i="113" s="1"/>
  <c r="G14" i="112"/>
  <c r="F14" i="112"/>
  <c r="E137" i="113" s="1"/>
  <c r="A159" i="113" s="1"/>
  <c r="AB12" i="112"/>
  <c r="AB11" i="112"/>
  <c r="D6" i="112"/>
  <c r="B6" i="112"/>
  <c r="E3" i="112"/>
  <c r="B3" i="112"/>
  <c r="F430" i="111"/>
  <c r="F429" i="111"/>
  <c r="D428" i="111"/>
  <c r="F426" i="111"/>
  <c r="H408" i="111"/>
  <c r="H406" i="111"/>
  <c r="H365" i="111"/>
  <c r="H352" i="111"/>
  <c r="H351" i="111"/>
  <c r="E258" i="111"/>
  <c r="F251" i="111"/>
  <c r="E251" i="111"/>
  <c r="G250" i="111"/>
  <c r="B71" i="111"/>
  <c r="E29" i="111"/>
  <c r="F33" i="111" s="1"/>
  <c r="D29" i="111"/>
  <c r="F32" i="111" s="1"/>
  <c r="C29" i="111"/>
  <c r="F31" i="111" s="1"/>
  <c r="B29" i="111"/>
  <c r="F26" i="111"/>
  <c r="H416" i="111" s="1"/>
  <c r="E26" i="111"/>
  <c r="D430" i="111" s="1"/>
  <c r="D26" i="111"/>
  <c r="C26" i="111"/>
  <c r="B197" i="111" s="1"/>
  <c r="F25" i="111"/>
  <c r="E176" i="111" s="1"/>
  <c r="F180" i="111" s="1"/>
  <c r="E25" i="111"/>
  <c r="D25" i="111"/>
  <c r="C176" i="111" s="1"/>
  <c r="F178" i="111" s="1"/>
  <c r="C25" i="111"/>
  <c r="F24" i="111"/>
  <c r="E24" i="111"/>
  <c r="D24" i="111"/>
  <c r="C24" i="111"/>
  <c r="F23" i="111"/>
  <c r="E23" i="111"/>
  <c r="D23" i="111"/>
  <c r="C134" i="111" s="1"/>
  <c r="F136" i="111" s="1"/>
  <c r="C23" i="111"/>
  <c r="F22" i="111"/>
  <c r="H384" i="111" s="1"/>
  <c r="E22" i="111"/>
  <c r="H383" i="111" s="1"/>
  <c r="D22" i="111"/>
  <c r="C22" i="111"/>
  <c r="F21" i="111"/>
  <c r="E21" i="111"/>
  <c r="D21" i="111"/>
  <c r="C21" i="111"/>
  <c r="F20" i="111"/>
  <c r="H368" i="111" s="1"/>
  <c r="E20" i="111"/>
  <c r="D20" i="111"/>
  <c r="H366" i="111" s="1"/>
  <c r="C20" i="111"/>
  <c r="C424" i="111" s="1"/>
  <c r="F19" i="111"/>
  <c r="E19" i="111"/>
  <c r="D19" i="111"/>
  <c r="C19" i="111"/>
  <c r="F18" i="111"/>
  <c r="E18" i="111"/>
  <c r="D422" i="111" s="1"/>
  <c r="D18" i="111"/>
  <c r="H350" i="111" s="1"/>
  <c r="C18" i="111"/>
  <c r="C422" i="111" s="1"/>
  <c r="M14" i="111"/>
  <c r="L14" i="111"/>
  <c r="D14" i="111"/>
  <c r="M13" i="111"/>
  <c r="L13" i="111"/>
  <c r="M12" i="111"/>
  <c r="L12" i="111"/>
  <c r="F428" i="111" s="1"/>
  <c r="E12" i="111"/>
  <c r="C12" i="111"/>
  <c r="G12" i="111" s="1"/>
  <c r="M11" i="111"/>
  <c r="L11" i="111"/>
  <c r="E11" i="111"/>
  <c r="D11" i="111"/>
  <c r="M10" i="111"/>
  <c r="L10" i="111"/>
  <c r="M9" i="111"/>
  <c r="L9" i="111"/>
  <c r="F425" i="111" s="1"/>
  <c r="E9" i="111"/>
  <c r="D9" i="111"/>
  <c r="M8" i="111"/>
  <c r="L8" i="111"/>
  <c r="M7" i="111"/>
  <c r="L7" i="111"/>
  <c r="F423" i="111" s="1"/>
  <c r="F7" i="111"/>
  <c r="M6" i="111"/>
  <c r="L6" i="111"/>
  <c r="F422" i="111" s="1"/>
  <c r="D6" i="111"/>
  <c r="E3" i="111"/>
  <c r="B3" i="111"/>
  <c r="AA42" i="110"/>
  <c r="H42" i="110"/>
  <c r="AB48" i="110" s="1"/>
  <c r="G42" i="110"/>
  <c r="F42" i="110"/>
  <c r="AB47" i="110" s="1"/>
  <c r="E42" i="110"/>
  <c r="AA47" i="110" s="1"/>
  <c r="H41" i="110"/>
  <c r="G41" i="110"/>
  <c r="F41" i="110"/>
  <c r="AB44" i="110" s="1"/>
  <c r="E41" i="110"/>
  <c r="AA44" i="110" s="1"/>
  <c r="I40" i="110"/>
  <c r="K40" i="110" s="1"/>
  <c r="M40" i="110" s="1"/>
  <c r="H40" i="110"/>
  <c r="AB42" i="110" s="1"/>
  <c r="G40" i="110"/>
  <c r="F40" i="110"/>
  <c r="AB41" i="110" s="1"/>
  <c r="E40" i="110"/>
  <c r="AA41" i="110" s="1"/>
  <c r="I39" i="110"/>
  <c r="K39" i="110" s="1"/>
  <c r="H39" i="110"/>
  <c r="G39" i="110"/>
  <c r="AA39" i="110" s="1"/>
  <c r="F39" i="110"/>
  <c r="AB38" i="110" s="1"/>
  <c r="E39" i="110"/>
  <c r="AA38" i="110" s="1"/>
  <c r="J38" i="110"/>
  <c r="H38" i="110"/>
  <c r="AB36" i="110" s="1"/>
  <c r="G38" i="110"/>
  <c r="F38" i="110"/>
  <c r="AB35" i="110" s="1"/>
  <c r="E38" i="110"/>
  <c r="I37" i="110"/>
  <c r="K37" i="110" s="1"/>
  <c r="H37" i="110"/>
  <c r="AB33" i="110" s="1"/>
  <c r="G37" i="110"/>
  <c r="AA33" i="110" s="1"/>
  <c r="F37" i="110"/>
  <c r="E37" i="110"/>
  <c r="AA32" i="110" s="1"/>
  <c r="J36" i="110"/>
  <c r="H36" i="110"/>
  <c r="G36" i="110"/>
  <c r="F36" i="110"/>
  <c r="E36" i="110"/>
  <c r="I36" i="110" s="1"/>
  <c r="AA35" i="110"/>
  <c r="H35" i="110"/>
  <c r="G35" i="110"/>
  <c r="AA27" i="110" s="1"/>
  <c r="F35" i="110"/>
  <c r="D13" i="111" s="1"/>
  <c r="E35" i="110"/>
  <c r="I34" i="110"/>
  <c r="H34" i="110"/>
  <c r="G34" i="110"/>
  <c r="F34" i="110"/>
  <c r="E34" i="110"/>
  <c r="AA23" i="110" s="1"/>
  <c r="H33" i="110"/>
  <c r="J33" i="110" s="1"/>
  <c r="G33" i="110"/>
  <c r="F33" i="110"/>
  <c r="E33" i="110"/>
  <c r="AA20" i="110" s="1"/>
  <c r="AB32" i="110"/>
  <c r="H32" i="110"/>
  <c r="G32" i="110"/>
  <c r="E10" i="111" s="1"/>
  <c r="F32" i="110"/>
  <c r="E32" i="110"/>
  <c r="H31" i="110"/>
  <c r="G31" i="110"/>
  <c r="F31" i="110"/>
  <c r="E31" i="110"/>
  <c r="J30" i="110"/>
  <c r="H30" i="110"/>
  <c r="F8" i="111" s="1"/>
  <c r="H8" i="111" s="1"/>
  <c r="G30" i="110"/>
  <c r="F30" i="110"/>
  <c r="D8" i="111" s="1"/>
  <c r="E30" i="110"/>
  <c r="AB29" i="110"/>
  <c r="H29" i="110"/>
  <c r="AB9" i="110" s="1"/>
  <c r="G29" i="110"/>
  <c r="E7" i="111" s="1"/>
  <c r="F29" i="110"/>
  <c r="E29" i="110"/>
  <c r="H28" i="110"/>
  <c r="G28" i="110"/>
  <c r="AA6" i="110" s="1"/>
  <c r="F28" i="110"/>
  <c r="E28" i="110"/>
  <c r="C6" i="111" s="1"/>
  <c r="AB26" i="110"/>
  <c r="AA24" i="110"/>
  <c r="G23" i="110"/>
  <c r="F23" i="110"/>
  <c r="G22" i="110"/>
  <c r="F22" i="110"/>
  <c r="AA21" i="110"/>
  <c r="G21" i="110"/>
  <c r="F21" i="110"/>
  <c r="AB20" i="110"/>
  <c r="G20" i="110"/>
  <c r="F20" i="110"/>
  <c r="G19" i="110"/>
  <c r="E259" i="111" s="1"/>
  <c r="F19" i="110"/>
  <c r="E244" i="111" s="1"/>
  <c r="A274" i="111" s="1"/>
  <c r="AA18" i="110"/>
  <c r="G18" i="110"/>
  <c r="F18" i="110"/>
  <c r="G17" i="110"/>
  <c r="F17" i="110"/>
  <c r="E254" i="111" s="1"/>
  <c r="G16" i="110"/>
  <c r="F16" i="110"/>
  <c r="AA15" i="110"/>
  <c r="G15" i="110"/>
  <c r="E237" i="111" s="1"/>
  <c r="A267" i="111" s="1"/>
  <c r="F15" i="110"/>
  <c r="E250" i="111" s="1"/>
  <c r="G14" i="110"/>
  <c r="F14" i="110"/>
  <c r="AB12" i="110"/>
  <c r="AB11" i="110"/>
  <c r="AA9" i="110"/>
  <c r="AB8" i="110"/>
  <c r="AA8" i="110"/>
  <c r="D6" i="110"/>
  <c r="B6" i="110"/>
  <c r="AB5" i="110"/>
  <c r="AA5" i="110"/>
  <c r="E3" i="110"/>
  <c r="B3" i="110"/>
  <c r="D242" i="109"/>
  <c r="F240" i="109"/>
  <c r="H233" i="109"/>
  <c r="H232" i="109"/>
  <c r="H223" i="109"/>
  <c r="L146" i="109"/>
  <c r="A146" i="109"/>
  <c r="E135" i="109"/>
  <c r="G134" i="109"/>
  <c r="E133" i="109"/>
  <c r="E132" i="109"/>
  <c r="E128" i="109"/>
  <c r="E124" i="109"/>
  <c r="E121" i="109"/>
  <c r="A143" i="109" s="1"/>
  <c r="E120" i="109"/>
  <c r="A142" i="109" s="1"/>
  <c r="D38" i="109"/>
  <c r="F41" i="109" s="1"/>
  <c r="E21" i="109"/>
  <c r="F25" i="109" s="1"/>
  <c r="F18" i="109"/>
  <c r="E18" i="109"/>
  <c r="D89" i="109" s="1"/>
  <c r="F92" i="109" s="1"/>
  <c r="D18" i="109"/>
  <c r="C89" i="109" s="1"/>
  <c r="F91" i="109" s="1"/>
  <c r="C18" i="109"/>
  <c r="F17" i="109"/>
  <c r="E17" i="109"/>
  <c r="D17" i="109"/>
  <c r="C17" i="109"/>
  <c r="C243" i="109" s="1"/>
  <c r="F16" i="109"/>
  <c r="E16" i="109"/>
  <c r="D55" i="109" s="1"/>
  <c r="F58" i="109" s="1"/>
  <c r="D16" i="109"/>
  <c r="C55" i="109" s="1"/>
  <c r="F57" i="109" s="1"/>
  <c r="C16" i="109"/>
  <c r="F15" i="109"/>
  <c r="E15" i="109"/>
  <c r="D15" i="109"/>
  <c r="C15" i="109"/>
  <c r="F14" i="109"/>
  <c r="H202" i="109" s="1"/>
  <c r="E14" i="109"/>
  <c r="D14" i="109"/>
  <c r="C14" i="109"/>
  <c r="M10" i="109"/>
  <c r="L10" i="109"/>
  <c r="F244" i="109" s="1"/>
  <c r="M9" i="109"/>
  <c r="L9" i="109"/>
  <c r="F243" i="109" s="1"/>
  <c r="E9" i="109"/>
  <c r="M8" i="109"/>
  <c r="L8" i="109"/>
  <c r="F8" i="109"/>
  <c r="H8" i="109" s="1"/>
  <c r="D8" i="109"/>
  <c r="M7" i="109"/>
  <c r="L7" i="109"/>
  <c r="F241" i="109" s="1"/>
  <c r="F7" i="109"/>
  <c r="M6" i="109"/>
  <c r="L6" i="109"/>
  <c r="E3" i="109"/>
  <c r="B3" i="109"/>
  <c r="AA45" i="108"/>
  <c r="AB44" i="108"/>
  <c r="AA44" i="108"/>
  <c r="H42" i="108"/>
  <c r="G42" i="108"/>
  <c r="AA48" i="108" s="1"/>
  <c r="F42" i="108"/>
  <c r="AB47" i="108" s="1"/>
  <c r="E42" i="108"/>
  <c r="AA47" i="108" s="1"/>
  <c r="H41" i="108"/>
  <c r="G41" i="108"/>
  <c r="I41" i="108" s="1"/>
  <c r="K41" i="108" s="1"/>
  <c r="M41" i="108" s="1"/>
  <c r="F41" i="108"/>
  <c r="E41" i="108"/>
  <c r="H40" i="108"/>
  <c r="AB42" i="108" s="1"/>
  <c r="G40" i="108"/>
  <c r="F40" i="108"/>
  <c r="AB41" i="108" s="1"/>
  <c r="E40" i="108"/>
  <c r="AA41" i="108" s="1"/>
  <c r="AB39" i="108"/>
  <c r="H39" i="108"/>
  <c r="J39" i="108" s="1"/>
  <c r="G39" i="108"/>
  <c r="F39" i="108"/>
  <c r="AB38" i="108" s="1"/>
  <c r="E39" i="108"/>
  <c r="AA38" i="108" s="1"/>
  <c r="H38" i="108"/>
  <c r="AB36" i="108" s="1"/>
  <c r="G38" i="108"/>
  <c r="AA36" i="108" s="1"/>
  <c r="F38" i="108"/>
  <c r="E38" i="108"/>
  <c r="J37" i="108"/>
  <c r="I37" i="108"/>
  <c r="K37" i="108" s="1"/>
  <c r="H37" i="108"/>
  <c r="AB33" i="108" s="1"/>
  <c r="G37" i="108"/>
  <c r="AA33" i="108" s="1"/>
  <c r="F37" i="108"/>
  <c r="AB32" i="108" s="1"/>
  <c r="E37" i="108"/>
  <c r="AA32" i="108" s="1"/>
  <c r="M36" i="108"/>
  <c r="H36" i="108"/>
  <c r="J36" i="108" s="1"/>
  <c r="G36" i="108"/>
  <c r="I36" i="108" s="1"/>
  <c r="K36" i="108" s="1"/>
  <c r="L36" i="108" s="1"/>
  <c r="F36" i="108"/>
  <c r="AB29" i="108" s="1"/>
  <c r="E36" i="108"/>
  <c r="AA29" i="108" s="1"/>
  <c r="AB35" i="108"/>
  <c r="AA35" i="108"/>
  <c r="H35" i="108"/>
  <c r="G35" i="108"/>
  <c r="F35" i="108"/>
  <c r="AB26" i="108" s="1"/>
  <c r="E35" i="108"/>
  <c r="AA26" i="108" s="1"/>
  <c r="H34" i="108"/>
  <c r="G34" i="108"/>
  <c r="AA24" i="108" s="1"/>
  <c r="F34" i="108"/>
  <c r="AB23" i="108" s="1"/>
  <c r="E34" i="108"/>
  <c r="J33" i="108"/>
  <c r="H33" i="108"/>
  <c r="G33" i="108"/>
  <c r="I33" i="108" s="1"/>
  <c r="K33" i="108" s="1"/>
  <c r="F33" i="108"/>
  <c r="E33" i="108"/>
  <c r="AA20" i="108" s="1"/>
  <c r="H32" i="108"/>
  <c r="F10" i="109" s="1"/>
  <c r="G32" i="108"/>
  <c r="F32" i="108"/>
  <c r="E32" i="108"/>
  <c r="H31" i="108"/>
  <c r="F9" i="109" s="1"/>
  <c r="G31" i="108"/>
  <c r="F31" i="108"/>
  <c r="E31" i="108"/>
  <c r="AB30" i="108"/>
  <c r="AA30" i="108"/>
  <c r="H30" i="108"/>
  <c r="G30" i="108"/>
  <c r="F30" i="108"/>
  <c r="E30" i="108"/>
  <c r="H29" i="108"/>
  <c r="G29" i="108"/>
  <c r="F29" i="108"/>
  <c r="E29" i="108"/>
  <c r="J28" i="108"/>
  <c r="H28" i="108"/>
  <c r="G28" i="108"/>
  <c r="F28" i="108"/>
  <c r="D6" i="109" s="1"/>
  <c r="E28" i="108"/>
  <c r="AA23" i="108"/>
  <c r="G23" i="108"/>
  <c r="F23" i="108"/>
  <c r="G22" i="108"/>
  <c r="F22" i="108"/>
  <c r="AB21" i="108"/>
  <c r="AA21" i="108"/>
  <c r="G21" i="108"/>
  <c r="F21" i="108"/>
  <c r="AB20" i="108"/>
  <c r="G20" i="108"/>
  <c r="F20" i="108"/>
  <c r="G19" i="108"/>
  <c r="F19" i="108"/>
  <c r="AB18" i="108"/>
  <c r="G18" i="108"/>
  <c r="F18" i="108"/>
  <c r="G17" i="108"/>
  <c r="E125" i="109" s="1"/>
  <c r="A147" i="109" s="1"/>
  <c r="F17" i="108"/>
  <c r="E134" i="109" s="1"/>
  <c r="G16" i="108"/>
  <c r="E123" i="109" s="1"/>
  <c r="A145" i="109" s="1"/>
  <c r="F16" i="108"/>
  <c r="E122" i="109" s="1"/>
  <c r="A144" i="109" s="1"/>
  <c r="AB15" i="108"/>
  <c r="AA15" i="108"/>
  <c r="G15" i="108"/>
  <c r="E131" i="109" s="1"/>
  <c r="F15" i="108"/>
  <c r="E130" i="109" s="1"/>
  <c r="G14" i="108"/>
  <c r="F14" i="108"/>
  <c r="AB12" i="108"/>
  <c r="AB9" i="108"/>
  <c r="D6" i="108"/>
  <c r="B6" i="108"/>
  <c r="AB5" i="108"/>
  <c r="E3" i="108"/>
  <c r="B3" i="108"/>
  <c r="F334" i="107"/>
  <c r="D334" i="107"/>
  <c r="D328" i="107"/>
  <c r="H320" i="107"/>
  <c r="H319" i="107"/>
  <c r="H313" i="107"/>
  <c r="H296" i="107"/>
  <c r="H289" i="107"/>
  <c r="H287" i="107"/>
  <c r="H280" i="107"/>
  <c r="A207" i="107"/>
  <c r="E193" i="107"/>
  <c r="G185" i="107"/>
  <c r="E185" i="107"/>
  <c r="F185" i="107" s="1"/>
  <c r="F184" i="107"/>
  <c r="E184" i="107"/>
  <c r="G184" i="107" s="1"/>
  <c r="E180" i="107"/>
  <c r="A206" i="107" s="1"/>
  <c r="E179" i="107"/>
  <c r="A205" i="107" s="1"/>
  <c r="B139" i="107"/>
  <c r="F84" i="107"/>
  <c r="D63" i="107"/>
  <c r="F66" i="107" s="1"/>
  <c r="E44" i="107"/>
  <c r="F48" i="107" s="1"/>
  <c r="F22" i="107"/>
  <c r="E139" i="107" s="1"/>
  <c r="E22" i="107"/>
  <c r="D22" i="107"/>
  <c r="C139" i="107" s="1"/>
  <c r="F141" i="107" s="1"/>
  <c r="C22" i="107"/>
  <c r="C334" i="107" s="1"/>
  <c r="F21" i="107"/>
  <c r="E21" i="107"/>
  <c r="D21" i="107"/>
  <c r="H312" i="107" s="1"/>
  <c r="C21" i="107"/>
  <c r="B120" i="107" s="1"/>
  <c r="F20" i="107"/>
  <c r="H306" i="107" s="1"/>
  <c r="E20" i="107"/>
  <c r="D20" i="107"/>
  <c r="C20" i="107"/>
  <c r="C332" i="107" s="1"/>
  <c r="F19" i="107"/>
  <c r="E19" i="107"/>
  <c r="D82" i="107" s="1"/>
  <c r="F85" i="107" s="1"/>
  <c r="D19" i="107"/>
  <c r="C82" i="107" s="1"/>
  <c r="C19" i="107"/>
  <c r="F18" i="107"/>
  <c r="E18" i="107"/>
  <c r="D330" i="107" s="1"/>
  <c r="D18" i="107"/>
  <c r="C18" i="107"/>
  <c r="F17" i="107"/>
  <c r="H282" i="107" s="1"/>
  <c r="E17" i="107"/>
  <c r="D17" i="107"/>
  <c r="C44" i="107" s="1"/>
  <c r="F46" i="107" s="1"/>
  <c r="C17" i="107"/>
  <c r="F16" i="107"/>
  <c r="E25" i="107" s="1"/>
  <c r="F29" i="107" s="1"/>
  <c r="E16" i="107"/>
  <c r="D16" i="107"/>
  <c r="C16" i="107"/>
  <c r="H271" i="107" s="1"/>
  <c r="M12" i="107"/>
  <c r="L12" i="107"/>
  <c r="M11" i="107"/>
  <c r="L11" i="107"/>
  <c r="F333" i="107" s="1"/>
  <c r="F11" i="107"/>
  <c r="H11" i="107" s="1"/>
  <c r="M10" i="107"/>
  <c r="L10" i="107"/>
  <c r="F332" i="107" s="1"/>
  <c r="C10" i="107"/>
  <c r="M9" i="107"/>
  <c r="L9" i="107"/>
  <c r="F331" i="107" s="1"/>
  <c r="M8" i="107"/>
  <c r="L8" i="107"/>
  <c r="M7" i="107"/>
  <c r="L7" i="107"/>
  <c r="F329" i="107" s="1"/>
  <c r="M6" i="107"/>
  <c r="L6" i="107"/>
  <c r="F328" i="107" s="1"/>
  <c r="E3" i="107"/>
  <c r="B3" i="107"/>
  <c r="AA48" i="106"/>
  <c r="AB42" i="106"/>
  <c r="AA42" i="106"/>
  <c r="H42" i="106"/>
  <c r="G42" i="106"/>
  <c r="I42" i="106" s="1"/>
  <c r="K42" i="106" s="1"/>
  <c r="F42" i="106"/>
  <c r="AB47" i="106" s="1"/>
  <c r="E42" i="106"/>
  <c r="AA47" i="106" s="1"/>
  <c r="AB41" i="106"/>
  <c r="AA41" i="106"/>
  <c r="H41" i="106"/>
  <c r="AB45" i="106" s="1"/>
  <c r="G41" i="106"/>
  <c r="F41" i="106"/>
  <c r="AB44" i="106" s="1"/>
  <c r="E41" i="106"/>
  <c r="AA44" i="106" s="1"/>
  <c r="K40" i="106"/>
  <c r="H40" i="106"/>
  <c r="J40" i="106" s="1"/>
  <c r="G40" i="106"/>
  <c r="I40" i="106" s="1"/>
  <c r="F40" i="106"/>
  <c r="E40" i="106"/>
  <c r="I39" i="106"/>
  <c r="K39" i="106" s="1"/>
  <c r="H39" i="106"/>
  <c r="G39" i="106"/>
  <c r="AA39" i="106" s="1"/>
  <c r="F39" i="106"/>
  <c r="AB38" i="106" s="1"/>
  <c r="E39" i="106"/>
  <c r="AA38" i="106" s="1"/>
  <c r="I38" i="106"/>
  <c r="K38" i="106" s="1"/>
  <c r="H38" i="106"/>
  <c r="G38" i="106"/>
  <c r="AA36" i="106" s="1"/>
  <c r="F38" i="106"/>
  <c r="AB35" i="106" s="1"/>
  <c r="E38" i="106"/>
  <c r="AA35" i="106" s="1"/>
  <c r="H37" i="106"/>
  <c r="G37" i="106"/>
  <c r="AA33" i="106" s="1"/>
  <c r="F37" i="106"/>
  <c r="AB32" i="106" s="1"/>
  <c r="E37" i="106"/>
  <c r="H36" i="106"/>
  <c r="G36" i="106"/>
  <c r="F36" i="106"/>
  <c r="AB29" i="106" s="1"/>
  <c r="E36" i="106"/>
  <c r="AA29" i="106" s="1"/>
  <c r="J35" i="106"/>
  <c r="H35" i="106"/>
  <c r="AB27" i="106" s="1"/>
  <c r="G35" i="106"/>
  <c r="F35" i="106"/>
  <c r="AB26" i="106" s="1"/>
  <c r="E35" i="106"/>
  <c r="AA26" i="106" s="1"/>
  <c r="H34" i="106"/>
  <c r="G34" i="106"/>
  <c r="F34" i="106"/>
  <c r="E34" i="106"/>
  <c r="H33" i="106"/>
  <c r="AB21" i="106" s="1"/>
  <c r="G33" i="106"/>
  <c r="E11" i="107" s="1"/>
  <c r="F33" i="106"/>
  <c r="D11" i="107" s="1"/>
  <c r="E33" i="106"/>
  <c r="C11" i="107" s="1"/>
  <c r="G11" i="107" s="1"/>
  <c r="AA32" i="106"/>
  <c r="H32" i="106"/>
  <c r="G32" i="106"/>
  <c r="F32" i="106"/>
  <c r="E32" i="106"/>
  <c r="H31" i="106"/>
  <c r="F9" i="107" s="1"/>
  <c r="G31" i="106"/>
  <c r="E9" i="107" s="1"/>
  <c r="F31" i="106"/>
  <c r="D9" i="107" s="1"/>
  <c r="E31" i="106"/>
  <c r="H30" i="106"/>
  <c r="G30" i="106"/>
  <c r="F30" i="106"/>
  <c r="E30" i="106"/>
  <c r="H29" i="106"/>
  <c r="F7" i="107" s="1"/>
  <c r="G29" i="106"/>
  <c r="F29" i="106"/>
  <c r="E29" i="106"/>
  <c r="H28" i="106"/>
  <c r="AB6" i="106" s="1"/>
  <c r="G28" i="106"/>
  <c r="AA6" i="106" s="1"/>
  <c r="F28" i="106"/>
  <c r="E28" i="106"/>
  <c r="G23" i="106"/>
  <c r="F23" i="106"/>
  <c r="G22" i="106"/>
  <c r="F22" i="106"/>
  <c r="AA21" i="106"/>
  <c r="G21" i="106"/>
  <c r="F21" i="106"/>
  <c r="AB20" i="106"/>
  <c r="AA20" i="106"/>
  <c r="G20" i="106"/>
  <c r="F20" i="106"/>
  <c r="G19" i="106"/>
  <c r="F19" i="106"/>
  <c r="G18" i="106"/>
  <c r="E181" i="107" s="1"/>
  <c r="F18" i="106"/>
  <c r="E192" i="107" s="1"/>
  <c r="G192" i="107" s="1"/>
  <c r="AA17" i="106"/>
  <c r="G17" i="106"/>
  <c r="E191" i="107" s="1"/>
  <c r="N205" i="107" s="1"/>
  <c r="F17" i="106"/>
  <c r="G16" i="106"/>
  <c r="F16" i="106"/>
  <c r="AB15" i="106"/>
  <c r="AA15" i="106"/>
  <c r="G15" i="106"/>
  <c r="F15" i="106"/>
  <c r="G14" i="106"/>
  <c r="E173" i="107" s="1"/>
  <c r="A199" i="107" s="1"/>
  <c r="F14" i="106"/>
  <c r="E172" i="107" s="1"/>
  <c r="A198" i="107" s="1"/>
  <c r="D6" i="106"/>
  <c r="B6" i="106"/>
  <c r="E3" i="106"/>
  <c r="B3" i="106"/>
  <c r="F246" i="105"/>
  <c r="D246" i="105"/>
  <c r="C246" i="105"/>
  <c r="D242" i="105"/>
  <c r="C242" i="105"/>
  <c r="H228" i="105"/>
  <c r="H203" i="105"/>
  <c r="H202" i="105"/>
  <c r="H201" i="105"/>
  <c r="A143" i="105"/>
  <c r="F130" i="105"/>
  <c r="E128" i="105"/>
  <c r="E125" i="105"/>
  <c r="A147" i="105" s="1"/>
  <c r="E120" i="105"/>
  <c r="A142" i="105" s="1"/>
  <c r="E89" i="105"/>
  <c r="F93" i="105" s="1"/>
  <c r="D89" i="105"/>
  <c r="F92" i="105" s="1"/>
  <c r="C89" i="105"/>
  <c r="F91" i="105" s="1"/>
  <c r="B89" i="105"/>
  <c r="F24" i="105"/>
  <c r="F22" i="105"/>
  <c r="E21" i="105"/>
  <c r="B21" i="105"/>
  <c r="F18" i="105"/>
  <c r="H236" i="105" s="1"/>
  <c r="E18" i="105"/>
  <c r="H235" i="105" s="1"/>
  <c r="D18" i="105"/>
  <c r="H234" i="105" s="1"/>
  <c r="C18" i="105"/>
  <c r="H233" i="105" s="1"/>
  <c r="F17" i="105"/>
  <c r="E72" i="105" s="1"/>
  <c r="F76" i="105" s="1"/>
  <c r="E17" i="105"/>
  <c r="D17" i="105"/>
  <c r="C17" i="105"/>
  <c r="F16" i="105"/>
  <c r="E16" i="105"/>
  <c r="D16" i="105"/>
  <c r="C16" i="105"/>
  <c r="F15" i="105"/>
  <c r="E15" i="105"/>
  <c r="D15" i="105"/>
  <c r="C15" i="105"/>
  <c r="B38" i="105" s="1"/>
  <c r="F14" i="105"/>
  <c r="H204" i="105" s="1"/>
  <c r="E14" i="105"/>
  <c r="D21" i="105" s="1"/>
  <c r="D14" i="105"/>
  <c r="C21" i="105" s="1"/>
  <c r="C14" i="105"/>
  <c r="M10" i="105"/>
  <c r="L10" i="105"/>
  <c r="C10" i="105"/>
  <c r="M9" i="105"/>
  <c r="L9" i="105"/>
  <c r="F245" i="105" s="1"/>
  <c r="F9" i="105"/>
  <c r="E9" i="105"/>
  <c r="D9" i="105"/>
  <c r="H9" i="105" s="1"/>
  <c r="M8" i="105"/>
  <c r="L8" i="105"/>
  <c r="M7" i="105"/>
  <c r="L7" i="105"/>
  <c r="F243" i="105" s="1"/>
  <c r="M6" i="105"/>
  <c r="L6" i="105"/>
  <c r="F242" i="105" s="1"/>
  <c r="F6" i="105"/>
  <c r="E6" i="105"/>
  <c r="G6" i="105" s="1"/>
  <c r="D6" i="105"/>
  <c r="C6" i="105"/>
  <c r="E3" i="105"/>
  <c r="B3" i="105"/>
  <c r="AB47" i="104"/>
  <c r="AA47" i="104"/>
  <c r="I42" i="104"/>
  <c r="K42" i="104" s="1"/>
  <c r="H42" i="104"/>
  <c r="G42" i="104"/>
  <c r="AA48" i="104" s="1"/>
  <c r="F42" i="104"/>
  <c r="E42" i="104"/>
  <c r="AB41" i="104"/>
  <c r="H41" i="104"/>
  <c r="G41" i="104"/>
  <c r="F41" i="104"/>
  <c r="AB44" i="104" s="1"/>
  <c r="E41" i="104"/>
  <c r="AA44" i="104" s="1"/>
  <c r="M40" i="104"/>
  <c r="L40" i="104"/>
  <c r="H40" i="104"/>
  <c r="G40" i="104"/>
  <c r="I40" i="104" s="1"/>
  <c r="K40" i="104" s="1"/>
  <c r="F40" i="104"/>
  <c r="E40" i="104"/>
  <c r="AA41" i="104" s="1"/>
  <c r="H39" i="104"/>
  <c r="G39" i="104"/>
  <c r="F39" i="104"/>
  <c r="AB38" i="104" s="1"/>
  <c r="E39" i="104"/>
  <c r="AA38" i="104"/>
  <c r="I38" i="104"/>
  <c r="K38" i="104" s="1"/>
  <c r="H38" i="104"/>
  <c r="J38" i="104" s="1"/>
  <c r="G38" i="104"/>
  <c r="AA36" i="104" s="1"/>
  <c r="F38" i="104"/>
  <c r="AB35" i="104" s="1"/>
  <c r="E38" i="104"/>
  <c r="AA35" i="104" s="1"/>
  <c r="H37" i="104"/>
  <c r="J37" i="104" s="1"/>
  <c r="G37" i="104"/>
  <c r="I37" i="104" s="1"/>
  <c r="K37" i="104" s="1"/>
  <c r="F37" i="104"/>
  <c r="AB32" i="104" s="1"/>
  <c r="E37" i="104"/>
  <c r="AA32" i="104" s="1"/>
  <c r="AB36" i="104"/>
  <c r="K36" i="104"/>
  <c r="H36" i="104"/>
  <c r="G36" i="104"/>
  <c r="I36" i="104" s="1"/>
  <c r="F36" i="104"/>
  <c r="AB29" i="104" s="1"/>
  <c r="E36" i="104"/>
  <c r="I35" i="104"/>
  <c r="K35" i="104" s="1"/>
  <c r="H35" i="104"/>
  <c r="AB27" i="104" s="1"/>
  <c r="G35" i="104"/>
  <c r="AA27" i="104" s="1"/>
  <c r="F35" i="104"/>
  <c r="E35" i="104"/>
  <c r="AA26" i="104" s="1"/>
  <c r="I34" i="104"/>
  <c r="K34" i="104" s="1"/>
  <c r="H34" i="104"/>
  <c r="J34" i="104" s="1"/>
  <c r="G34" i="104"/>
  <c r="F34" i="104"/>
  <c r="E34" i="104"/>
  <c r="AB33" i="104"/>
  <c r="H33" i="104"/>
  <c r="G33" i="104"/>
  <c r="F33" i="104"/>
  <c r="AB20" i="104" s="1"/>
  <c r="E33" i="104"/>
  <c r="AA20" i="104" s="1"/>
  <c r="H32" i="104"/>
  <c r="G32" i="104"/>
  <c r="F32" i="104"/>
  <c r="D10" i="105" s="1"/>
  <c r="E32" i="104"/>
  <c r="H31" i="104"/>
  <c r="G31" i="104"/>
  <c r="AA15" i="104" s="1"/>
  <c r="F31" i="104"/>
  <c r="AB14" i="104" s="1"/>
  <c r="E31" i="104"/>
  <c r="AA30" i="104"/>
  <c r="H30" i="104"/>
  <c r="G30" i="104"/>
  <c r="E8" i="105" s="1"/>
  <c r="F30" i="104"/>
  <c r="D8" i="105" s="1"/>
  <c r="E30" i="104"/>
  <c r="AA29" i="104"/>
  <c r="H29" i="104"/>
  <c r="G29" i="104"/>
  <c r="F29" i="104"/>
  <c r="E29" i="104"/>
  <c r="J28" i="104"/>
  <c r="H28" i="104"/>
  <c r="G28" i="104"/>
  <c r="F28" i="104"/>
  <c r="E28" i="104"/>
  <c r="AB26" i="104"/>
  <c r="AB24" i="104"/>
  <c r="AA24" i="104"/>
  <c r="AB23" i="104"/>
  <c r="AA23" i="104"/>
  <c r="G23" i="104"/>
  <c r="F23" i="104"/>
  <c r="G22" i="104"/>
  <c r="F22" i="104"/>
  <c r="G21" i="104"/>
  <c r="F21" i="104"/>
  <c r="G20" i="104"/>
  <c r="F20" i="104"/>
  <c r="G19" i="104"/>
  <c r="F19" i="104"/>
  <c r="G18" i="104"/>
  <c r="F18" i="104"/>
  <c r="AB17" i="104"/>
  <c r="AA17" i="104"/>
  <c r="G17" i="104"/>
  <c r="E135" i="105" s="1"/>
  <c r="F17" i="104"/>
  <c r="E134" i="105" s="1"/>
  <c r="G16" i="104"/>
  <c r="E133" i="105" s="1"/>
  <c r="F16" i="104"/>
  <c r="E132" i="105" s="1"/>
  <c r="G132" i="105" s="1"/>
  <c r="AB15" i="104"/>
  <c r="G15" i="104"/>
  <c r="E121" i="105" s="1"/>
  <c r="F15" i="104"/>
  <c r="E130" i="105" s="1"/>
  <c r="AA14" i="104"/>
  <c r="G14" i="104"/>
  <c r="E129" i="105" s="1"/>
  <c r="F14" i="104"/>
  <c r="AA12" i="104"/>
  <c r="AB11" i="104"/>
  <c r="AB6" i="104"/>
  <c r="D6" i="104"/>
  <c r="B6" i="104"/>
  <c r="AB5" i="104"/>
  <c r="AA5" i="104"/>
  <c r="E3" i="104"/>
  <c r="B3" i="104"/>
  <c r="C166" i="103"/>
  <c r="F165" i="103"/>
  <c r="H156" i="103"/>
  <c r="H148" i="103"/>
  <c r="J93" i="103"/>
  <c r="E85" i="103"/>
  <c r="F85" i="103" s="1"/>
  <c r="E82" i="103"/>
  <c r="F82" i="103" s="1"/>
  <c r="E81" i="103"/>
  <c r="E77" i="103"/>
  <c r="A95" i="103" s="1"/>
  <c r="E76" i="103"/>
  <c r="A94" i="103" s="1"/>
  <c r="E75" i="103"/>
  <c r="A93" i="103" s="1"/>
  <c r="E74" i="103"/>
  <c r="A92" i="103" s="1"/>
  <c r="B32" i="103"/>
  <c r="E17" i="103"/>
  <c r="F21" i="103" s="1"/>
  <c r="F14" i="103"/>
  <c r="E14" i="103"/>
  <c r="D14" i="103"/>
  <c r="C14" i="103"/>
  <c r="F13" i="103"/>
  <c r="E13" i="103"/>
  <c r="D166" i="103" s="1"/>
  <c r="D13" i="103"/>
  <c r="C13" i="103"/>
  <c r="F12" i="103"/>
  <c r="H143" i="103" s="1"/>
  <c r="E12" i="103"/>
  <c r="D12" i="103"/>
  <c r="C12" i="103"/>
  <c r="H140" i="103" s="1"/>
  <c r="M8" i="103"/>
  <c r="L8" i="103"/>
  <c r="F167" i="103" s="1"/>
  <c r="M7" i="103"/>
  <c r="L7" i="103"/>
  <c r="F7" i="103"/>
  <c r="E7" i="103"/>
  <c r="G7" i="103" s="1"/>
  <c r="D7" i="103"/>
  <c r="C7" i="103"/>
  <c r="M6" i="103"/>
  <c r="L6" i="103"/>
  <c r="D6" i="103"/>
  <c r="E3" i="103"/>
  <c r="B3" i="103"/>
  <c r="AA44" i="102"/>
  <c r="AA42" i="102"/>
  <c r="H42" i="102"/>
  <c r="G42" i="102"/>
  <c r="F42" i="102"/>
  <c r="AB47" i="102" s="1"/>
  <c r="E42" i="102"/>
  <c r="AA47" i="102" s="1"/>
  <c r="AB41" i="102"/>
  <c r="H41" i="102"/>
  <c r="AB45" i="102" s="1"/>
  <c r="G41" i="102"/>
  <c r="F41" i="102"/>
  <c r="AB44" i="102" s="1"/>
  <c r="E41" i="102"/>
  <c r="H40" i="102"/>
  <c r="AB42" i="102" s="1"/>
  <c r="G40" i="102"/>
  <c r="I40" i="102" s="1"/>
  <c r="K40" i="102" s="1"/>
  <c r="F40" i="102"/>
  <c r="E40" i="102"/>
  <c r="AA41" i="102" s="1"/>
  <c r="AB39" i="102"/>
  <c r="AA39" i="102"/>
  <c r="H39" i="102"/>
  <c r="J39" i="102" s="1"/>
  <c r="G39" i="102"/>
  <c r="I39" i="102" s="1"/>
  <c r="K39" i="102" s="1"/>
  <c r="F39" i="102"/>
  <c r="E39" i="102"/>
  <c r="AA38" i="102" s="1"/>
  <c r="AB38" i="102"/>
  <c r="H38" i="102"/>
  <c r="G38" i="102"/>
  <c r="F38" i="102"/>
  <c r="E38" i="102"/>
  <c r="AA35" i="102" s="1"/>
  <c r="J37" i="102"/>
  <c r="I37" i="102"/>
  <c r="K37" i="102" s="1"/>
  <c r="H37" i="102"/>
  <c r="AB33" i="102" s="1"/>
  <c r="G37" i="102"/>
  <c r="AA33" i="102" s="1"/>
  <c r="F37" i="102"/>
  <c r="AB32" i="102" s="1"/>
  <c r="E37" i="102"/>
  <c r="AA32" i="102" s="1"/>
  <c r="H36" i="102"/>
  <c r="G36" i="102"/>
  <c r="F36" i="102"/>
  <c r="E36" i="102"/>
  <c r="AB35" i="102"/>
  <c r="H35" i="102"/>
  <c r="G35" i="102"/>
  <c r="F35" i="102"/>
  <c r="AB26" i="102" s="1"/>
  <c r="E35" i="102"/>
  <c r="AA26" i="102" s="1"/>
  <c r="I34" i="102"/>
  <c r="K34" i="102" s="1"/>
  <c r="H34" i="102"/>
  <c r="G34" i="102"/>
  <c r="F34" i="102"/>
  <c r="E34" i="102"/>
  <c r="AA23" i="102" s="1"/>
  <c r="I33" i="102"/>
  <c r="K33" i="102" s="1"/>
  <c r="H33" i="102"/>
  <c r="G33" i="102"/>
  <c r="AA21" i="102" s="1"/>
  <c r="F33" i="102"/>
  <c r="E33" i="102"/>
  <c r="AA20" i="102" s="1"/>
  <c r="M32" i="102"/>
  <c r="L32" i="102"/>
  <c r="H32" i="102"/>
  <c r="J32" i="102" s="1"/>
  <c r="G32" i="102"/>
  <c r="I32" i="102" s="1"/>
  <c r="K32" i="102" s="1"/>
  <c r="F32" i="102"/>
  <c r="AB17" i="102" s="1"/>
  <c r="E32" i="102"/>
  <c r="AA17" i="102" s="1"/>
  <c r="I31" i="102"/>
  <c r="K31" i="102" s="1"/>
  <c r="H31" i="102"/>
  <c r="G31" i="102"/>
  <c r="AA15" i="102" s="1"/>
  <c r="F31" i="102"/>
  <c r="AB14" i="102" s="1"/>
  <c r="E31" i="102"/>
  <c r="H30" i="102"/>
  <c r="F8" i="103" s="1"/>
  <c r="G30" i="102"/>
  <c r="F30" i="102"/>
  <c r="E30" i="102"/>
  <c r="AB29" i="102"/>
  <c r="AA29" i="102"/>
  <c r="H29" i="102"/>
  <c r="G29" i="102"/>
  <c r="F29" i="102"/>
  <c r="AB8" i="102" s="1"/>
  <c r="E29" i="102"/>
  <c r="AA8" i="102" s="1"/>
  <c r="H28" i="102"/>
  <c r="G28" i="102"/>
  <c r="E6" i="103" s="1"/>
  <c r="F28" i="102"/>
  <c r="AB5" i="102" s="1"/>
  <c r="E28" i="102"/>
  <c r="AA24" i="102"/>
  <c r="AB23" i="102"/>
  <c r="G23" i="102"/>
  <c r="F23" i="102"/>
  <c r="G22" i="102"/>
  <c r="F22" i="102"/>
  <c r="G21" i="102"/>
  <c r="F21" i="102"/>
  <c r="AB20" i="102"/>
  <c r="G20" i="102"/>
  <c r="F20" i="102"/>
  <c r="G19" i="102"/>
  <c r="F19" i="102"/>
  <c r="AB18" i="102"/>
  <c r="AA18" i="102"/>
  <c r="G18" i="102"/>
  <c r="F18" i="102"/>
  <c r="G17" i="102"/>
  <c r="F17" i="102"/>
  <c r="G16" i="102"/>
  <c r="F16" i="102"/>
  <c r="E84" i="103" s="1"/>
  <c r="G15" i="102"/>
  <c r="E83" i="103" s="1"/>
  <c r="F15" i="102"/>
  <c r="AA14" i="102"/>
  <c r="G14" i="102"/>
  <c r="E73" i="103" s="1"/>
  <c r="A91" i="103" s="1"/>
  <c r="F14" i="102"/>
  <c r="AB12" i="102"/>
  <c r="AB9" i="102"/>
  <c r="D6" i="102"/>
  <c r="B6" i="102"/>
  <c r="E3" i="102"/>
  <c r="B3" i="102"/>
  <c r="F168" i="101"/>
  <c r="H144" i="101"/>
  <c r="H143" i="101"/>
  <c r="H142" i="101"/>
  <c r="J95" i="101"/>
  <c r="F85" i="101"/>
  <c r="E84" i="101"/>
  <c r="J94" i="101" s="1"/>
  <c r="E75" i="101"/>
  <c r="A93" i="101" s="1"/>
  <c r="C32" i="101"/>
  <c r="F34" i="101" s="1"/>
  <c r="F19" i="101"/>
  <c r="B17" i="101"/>
  <c r="F14" i="101"/>
  <c r="E14" i="101"/>
  <c r="D14" i="101"/>
  <c r="C14" i="101"/>
  <c r="F13" i="101"/>
  <c r="E13" i="101"/>
  <c r="D13" i="101"/>
  <c r="H150" i="101" s="1"/>
  <c r="C13" i="101"/>
  <c r="F12" i="101"/>
  <c r="E17" i="101" s="1"/>
  <c r="F21" i="101" s="1"/>
  <c r="E12" i="101"/>
  <c r="D17" i="101" s="1"/>
  <c r="F20" i="101" s="1"/>
  <c r="D12" i="101"/>
  <c r="C17" i="101" s="1"/>
  <c r="C12" i="101"/>
  <c r="H141" i="101" s="1"/>
  <c r="M8" i="101"/>
  <c r="L8" i="101"/>
  <c r="F8" i="101"/>
  <c r="E8" i="101"/>
  <c r="G8" i="101" s="1"/>
  <c r="D8" i="101"/>
  <c r="H8" i="101" s="1"/>
  <c r="C8" i="101"/>
  <c r="M7" i="101"/>
  <c r="L7" i="101"/>
  <c r="F167" i="101" s="1"/>
  <c r="M6" i="101"/>
  <c r="L6" i="101"/>
  <c r="F166" i="101" s="1"/>
  <c r="C6" i="101"/>
  <c r="E3" i="101"/>
  <c r="B3" i="101"/>
  <c r="AB45" i="100"/>
  <c r="AA45" i="100"/>
  <c r="AB44" i="100"/>
  <c r="AB42" i="100"/>
  <c r="H42" i="100"/>
  <c r="G42" i="100"/>
  <c r="F42" i="100"/>
  <c r="AB47" i="100" s="1"/>
  <c r="E42" i="100"/>
  <c r="AA47" i="100" s="1"/>
  <c r="J41" i="100"/>
  <c r="I41" i="100"/>
  <c r="K41" i="100" s="1"/>
  <c r="H41" i="100"/>
  <c r="G41" i="100"/>
  <c r="F41" i="100"/>
  <c r="E41" i="100"/>
  <c r="AA44" i="100" s="1"/>
  <c r="J40" i="100"/>
  <c r="H40" i="100"/>
  <c r="G40" i="100"/>
  <c r="F40" i="100"/>
  <c r="AB41" i="100" s="1"/>
  <c r="E40" i="100"/>
  <c r="AA41" i="100" s="1"/>
  <c r="AA39" i="100"/>
  <c r="M39" i="100"/>
  <c r="H39" i="100"/>
  <c r="AB39" i="100" s="1"/>
  <c r="G39" i="100"/>
  <c r="I39" i="100" s="1"/>
  <c r="K39" i="100" s="1"/>
  <c r="L39" i="100" s="1"/>
  <c r="F39" i="100"/>
  <c r="AB38" i="100" s="1"/>
  <c r="E39" i="100"/>
  <c r="AA38" i="100" s="1"/>
  <c r="H38" i="100"/>
  <c r="J38" i="100" s="1"/>
  <c r="G38" i="100"/>
  <c r="I38" i="100" s="1"/>
  <c r="K38" i="100" s="1"/>
  <c r="F38" i="100"/>
  <c r="AB35" i="100" s="1"/>
  <c r="E38" i="100"/>
  <c r="AA35" i="100" s="1"/>
  <c r="H37" i="100"/>
  <c r="J37" i="100" s="1"/>
  <c r="G37" i="100"/>
  <c r="AA33" i="100" s="1"/>
  <c r="F37" i="100"/>
  <c r="AB32" i="100" s="1"/>
  <c r="E37" i="100"/>
  <c r="AA32" i="100" s="1"/>
  <c r="AB36" i="100"/>
  <c r="AA36" i="100"/>
  <c r="H36" i="100"/>
  <c r="G36" i="100"/>
  <c r="AA30" i="100" s="1"/>
  <c r="F36" i="100"/>
  <c r="AB29" i="100" s="1"/>
  <c r="E36" i="100"/>
  <c r="AA29" i="100" s="1"/>
  <c r="H35" i="100"/>
  <c r="J35" i="100" s="1"/>
  <c r="G35" i="100"/>
  <c r="F35" i="100"/>
  <c r="AB26" i="100" s="1"/>
  <c r="E35" i="100"/>
  <c r="H34" i="100"/>
  <c r="G34" i="100"/>
  <c r="F34" i="100"/>
  <c r="AB23" i="100" s="1"/>
  <c r="E34" i="100"/>
  <c r="AA23" i="100" s="1"/>
  <c r="K33" i="100"/>
  <c r="M33" i="100" s="1"/>
  <c r="H33" i="100"/>
  <c r="J33" i="100" s="1"/>
  <c r="G33" i="100"/>
  <c r="I33" i="100" s="1"/>
  <c r="F33" i="100"/>
  <c r="AB20" i="100" s="1"/>
  <c r="E33" i="100"/>
  <c r="AA20" i="100" s="1"/>
  <c r="J32" i="100"/>
  <c r="I32" i="100"/>
  <c r="K32" i="100" s="1"/>
  <c r="H32" i="100"/>
  <c r="AB18" i="100" s="1"/>
  <c r="G32" i="100"/>
  <c r="F32" i="100"/>
  <c r="AB17" i="100" s="1"/>
  <c r="E32" i="100"/>
  <c r="AA17" i="100" s="1"/>
  <c r="I31" i="100"/>
  <c r="K31" i="100" s="1"/>
  <c r="H31" i="100"/>
  <c r="G31" i="100"/>
  <c r="AA15" i="100" s="1"/>
  <c r="F31" i="100"/>
  <c r="AB14" i="100" s="1"/>
  <c r="E31" i="100"/>
  <c r="AA14" i="100" s="1"/>
  <c r="H30" i="100"/>
  <c r="G30" i="100"/>
  <c r="F30" i="100"/>
  <c r="E30" i="100"/>
  <c r="H29" i="100"/>
  <c r="F7" i="101" s="1"/>
  <c r="G29" i="100"/>
  <c r="F29" i="100"/>
  <c r="J29" i="100" s="1"/>
  <c r="E29" i="100"/>
  <c r="I29" i="100" s="1"/>
  <c r="K29" i="100" s="1"/>
  <c r="H28" i="100"/>
  <c r="F6" i="101" s="1"/>
  <c r="G28" i="100"/>
  <c r="E6" i="101" s="1"/>
  <c r="F28" i="100"/>
  <c r="E28" i="100"/>
  <c r="AA5" i="100" s="1"/>
  <c r="AA26" i="100"/>
  <c r="G23" i="100"/>
  <c r="F23" i="100"/>
  <c r="G22" i="100"/>
  <c r="F22" i="100"/>
  <c r="AA21" i="100"/>
  <c r="G21" i="100"/>
  <c r="F21" i="100"/>
  <c r="G20" i="100"/>
  <c r="F20" i="100"/>
  <c r="G19" i="100"/>
  <c r="F19" i="100"/>
  <c r="AA18" i="100"/>
  <c r="G18" i="100"/>
  <c r="F18" i="100"/>
  <c r="G17" i="100"/>
  <c r="F17" i="100"/>
  <c r="G16" i="100"/>
  <c r="E85" i="101" s="1"/>
  <c r="F16" i="100"/>
  <c r="E76" i="101" s="1"/>
  <c r="A94" i="101" s="1"/>
  <c r="G15" i="100"/>
  <c r="E83" i="101" s="1"/>
  <c r="F15" i="100"/>
  <c r="G14" i="100"/>
  <c r="F14" i="100"/>
  <c r="AB12" i="100"/>
  <c r="AA11" i="100"/>
  <c r="AB9" i="100"/>
  <c r="D6" i="100"/>
  <c r="B6" i="100"/>
  <c r="E3" i="100"/>
  <c r="B3" i="100"/>
  <c r="C497" i="99"/>
  <c r="F495" i="99"/>
  <c r="C491" i="99"/>
  <c r="C489" i="99"/>
  <c r="F487" i="99"/>
  <c r="H473" i="99"/>
  <c r="H465" i="99"/>
  <c r="H455" i="99"/>
  <c r="H449" i="99"/>
  <c r="H441" i="99"/>
  <c r="H440" i="99"/>
  <c r="H414" i="99"/>
  <c r="H406" i="99"/>
  <c r="H401" i="99"/>
  <c r="E300" i="99"/>
  <c r="E299" i="99"/>
  <c r="G298" i="99"/>
  <c r="E290" i="99"/>
  <c r="A320" i="99" s="1"/>
  <c r="E288" i="99"/>
  <c r="A318" i="99" s="1"/>
  <c r="E284" i="99"/>
  <c r="A314" i="99" s="1"/>
  <c r="F244" i="99"/>
  <c r="D243" i="99"/>
  <c r="F246" i="99" s="1"/>
  <c r="E201" i="99"/>
  <c r="F205" i="99" s="1"/>
  <c r="D180" i="99"/>
  <c r="F183" i="99" s="1"/>
  <c r="C180" i="99"/>
  <c r="F182" i="99" s="1"/>
  <c r="B159" i="99"/>
  <c r="F160" i="99" s="1"/>
  <c r="F142" i="99"/>
  <c r="E117" i="99"/>
  <c r="F121" i="99" s="1"/>
  <c r="D96" i="99"/>
  <c r="F99" i="99" s="1"/>
  <c r="C96" i="99"/>
  <c r="F98" i="99" s="1"/>
  <c r="B75" i="99"/>
  <c r="F76" i="99" s="1"/>
  <c r="E33" i="99"/>
  <c r="F37" i="99" s="1"/>
  <c r="F30" i="99"/>
  <c r="E30" i="99"/>
  <c r="D30" i="99"/>
  <c r="H479" i="99" s="1"/>
  <c r="C30" i="99"/>
  <c r="B243" i="99" s="1"/>
  <c r="F29" i="99"/>
  <c r="E222" i="99" s="1"/>
  <c r="F226" i="99" s="1"/>
  <c r="E29" i="99"/>
  <c r="D29" i="99"/>
  <c r="H471" i="99" s="1"/>
  <c r="C29" i="99"/>
  <c r="H470" i="99" s="1"/>
  <c r="F28" i="99"/>
  <c r="E28" i="99"/>
  <c r="D28" i="99"/>
  <c r="H463" i="99" s="1"/>
  <c r="C28" i="99"/>
  <c r="F27" i="99"/>
  <c r="E180" i="99" s="1"/>
  <c r="F184" i="99" s="1"/>
  <c r="E27" i="99"/>
  <c r="D27" i="99"/>
  <c r="C27" i="99"/>
  <c r="F26" i="99"/>
  <c r="E159" i="99" s="1"/>
  <c r="F163" i="99" s="1"/>
  <c r="E26" i="99"/>
  <c r="H448" i="99" s="1"/>
  <c r="D26" i="99"/>
  <c r="C26" i="99"/>
  <c r="C493" i="99" s="1"/>
  <c r="F25" i="99"/>
  <c r="E138" i="99" s="1"/>
  <c r="E25" i="99"/>
  <c r="D25" i="99"/>
  <c r="C25" i="99"/>
  <c r="C492" i="99" s="1"/>
  <c r="F24" i="99"/>
  <c r="H433" i="99" s="1"/>
  <c r="E24" i="99"/>
  <c r="D24" i="99"/>
  <c r="C24" i="99"/>
  <c r="F23" i="99"/>
  <c r="E96" i="99" s="1"/>
  <c r="F100" i="99" s="1"/>
  <c r="E23" i="99"/>
  <c r="H424" i="99" s="1"/>
  <c r="D23" i="99"/>
  <c r="H423" i="99" s="1"/>
  <c r="C23" i="99"/>
  <c r="F22" i="99"/>
  <c r="E75" i="99" s="1"/>
  <c r="F79" i="99" s="1"/>
  <c r="E22" i="99"/>
  <c r="D22" i="99"/>
  <c r="C22" i="99"/>
  <c r="F21" i="99"/>
  <c r="H409" i="99" s="1"/>
  <c r="E21" i="99"/>
  <c r="D21" i="99"/>
  <c r="C21" i="99"/>
  <c r="C488" i="99" s="1"/>
  <c r="F20" i="99"/>
  <c r="E20" i="99"/>
  <c r="D20" i="99"/>
  <c r="H399" i="99" s="1"/>
  <c r="C20" i="99"/>
  <c r="M16" i="99"/>
  <c r="L16" i="99"/>
  <c r="F497" i="99" s="1"/>
  <c r="D16" i="99"/>
  <c r="M15" i="99"/>
  <c r="L15" i="99"/>
  <c r="M14" i="99"/>
  <c r="L14" i="99"/>
  <c r="M13" i="99"/>
  <c r="L13" i="99"/>
  <c r="F494" i="99" s="1"/>
  <c r="D13" i="99"/>
  <c r="C13" i="99"/>
  <c r="M12" i="99"/>
  <c r="L12" i="99"/>
  <c r="F493" i="99" s="1"/>
  <c r="E12" i="99"/>
  <c r="M11" i="99"/>
  <c r="L11" i="99"/>
  <c r="G11" i="99"/>
  <c r="M10" i="99"/>
  <c r="L10" i="99"/>
  <c r="M9" i="99"/>
  <c r="L9" i="99"/>
  <c r="F490" i="99" s="1"/>
  <c r="E9" i="99"/>
  <c r="C9" i="99"/>
  <c r="M8" i="99"/>
  <c r="L8" i="99"/>
  <c r="F489" i="99" s="1"/>
  <c r="E8" i="99"/>
  <c r="M7" i="99"/>
  <c r="L7" i="99"/>
  <c r="F7" i="99"/>
  <c r="M6" i="99"/>
  <c r="L6" i="99"/>
  <c r="F6" i="99"/>
  <c r="E3" i="99"/>
  <c r="B3" i="99"/>
  <c r="AB47" i="98"/>
  <c r="AA47" i="98"/>
  <c r="AA42" i="98"/>
  <c r="H42" i="98"/>
  <c r="AB48" i="98" s="1"/>
  <c r="G42" i="98"/>
  <c r="AA48" i="98" s="1"/>
  <c r="F42" i="98"/>
  <c r="E42" i="98"/>
  <c r="I41" i="98"/>
  <c r="K41" i="98" s="1"/>
  <c r="H41" i="98"/>
  <c r="AB45" i="98" s="1"/>
  <c r="G41" i="98"/>
  <c r="AA45" i="98" s="1"/>
  <c r="F41" i="98"/>
  <c r="AB44" i="98" s="1"/>
  <c r="E41" i="98"/>
  <c r="AA44" i="98" s="1"/>
  <c r="K40" i="98"/>
  <c r="H40" i="98"/>
  <c r="G40" i="98"/>
  <c r="I40" i="98" s="1"/>
  <c r="F40" i="98"/>
  <c r="AB41" i="98" s="1"/>
  <c r="E40" i="98"/>
  <c r="AA41" i="98" s="1"/>
  <c r="J39" i="98"/>
  <c r="H39" i="98"/>
  <c r="AB39" i="98" s="1"/>
  <c r="G39" i="98"/>
  <c r="AA39" i="98" s="1"/>
  <c r="F39" i="98"/>
  <c r="AB38" i="98" s="1"/>
  <c r="E39" i="98"/>
  <c r="AA38" i="98"/>
  <c r="H38" i="98"/>
  <c r="G38" i="98"/>
  <c r="F38" i="98"/>
  <c r="AB35" i="98" s="1"/>
  <c r="E38" i="98"/>
  <c r="H37" i="98"/>
  <c r="G37" i="98"/>
  <c r="F37" i="98"/>
  <c r="E37" i="98"/>
  <c r="H36" i="98"/>
  <c r="G36" i="98"/>
  <c r="F36" i="98"/>
  <c r="E36" i="98"/>
  <c r="H35" i="98"/>
  <c r="G35" i="98"/>
  <c r="AA27" i="98" s="1"/>
  <c r="F35" i="98"/>
  <c r="AB26" i="98" s="1"/>
  <c r="E35" i="98"/>
  <c r="AA26" i="98" s="1"/>
  <c r="H34" i="98"/>
  <c r="F12" i="99" s="1"/>
  <c r="G34" i="98"/>
  <c r="AA24" i="98" s="1"/>
  <c r="F34" i="98"/>
  <c r="E34" i="98"/>
  <c r="AA23" i="98" s="1"/>
  <c r="AB33" i="98"/>
  <c r="I33" i="98"/>
  <c r="H33" i="98"/>
  <c r="G33" i="98"/>
  <c r="E11" i="99" s="1"/>
  <c r="F33" i="98"/>
  <c r="D11" i="99" s="1"/>
  <c r="E33" i="98"/>
  <c r="C11" i="99" s="1"/>
  <c r="H32" i="98"/>
  <c r="G32" i="98"/>
  <c r="AA18" i="98" s="1"/>
  <c r="F32" i="98"/>
  <c r="D10" i="99" s="1"/>
  <c r="E32" i="98"/>
  <c r="H31" i="98"/>
  <c r="F9" i="99" s="1"/>
  <c r="G31" i="98"/>
  <c r="I31" i="98" s="1"/>
  <c r="F31" i="98"/>
  <c r="E31" i="98"/>
  <c r="AA14" i="98" s="1"/>
  <c r="H30" i="98"/>
  <c r="F8" i="99" s="1"/>
  <c r="G30" i="98"/>
  <c r="I30" i="98" s="1"/>
  <c r="F30" i="98"/>
  <c r="E30" i="98"/>
  <c r="H29" i="98"/>
  <c r="G29" i="98"/>
  <c r="F29" i="98"/>
  <c r="E29" i="98"/>
  <c r="J28" i="98"/>
  <c r="H28" i="98"/>
  <c r="AB6" i="98" s="1"/>
  <c r="G28" i="98"/>
  <c r="F28" i="98"/>
  <c r="D6" i="99" s="1"/>
  <c r="E28" i="98"/>
  <c r="AB24" i="98"/>
  <c r="AB23" i="98"/>
  <c r="G23" i="98"/>
  <c r="F23" i="98"/>
  <c r="G22" i="98"/>
  <c r="F22" i="98"/>
  <c r="AA21" i="98"/>
  <c r="G21" i="98"/>
  <c r="F21" i="98"/>
  <c r="AB20" i="98"/>
  <c r="AA20" i="98"/>
  <c r="G20" i="98"/>
  <c r="F20" i="98"/>
  <c r="G19" i="98"/>
  <c r="F19" i="98"/>
  <c r="E304" i="99" s="1"/>
  <c r="P320" i="99" s="1"/>
  <c r="G18" i="98"/>
  <c r="F18" i="98"/>
  <c r="E302" i="99" s="1"/>
  <c r="P318" i="99" s="1"/>
  <c r="AB17" i="98"/>
  <c r="G17" i="98"/>
  <c r="F17" i="98"/>
  <c r="E286" i="99" s="1"/>
  <c r="A316" i="99" s="1"/>
  <c r="G16" i="98"/>
  <c r="E285" i="99" s="1"/>
  <c r="A315" i="99" s="1"/>
  <c r="F16" i="98"/>
  <c r="E298" i="99" s="1"/>
  <c r="AA15" i="98"/>
  <c r="G15" i="98"/>
  <c r="F15" i="98"/>
  <c r="G14" i="98"/>
  <c r="F14" i="98"/>
  <c r="AA12" i="98"/>
  <c r="AB9" i="98"/>
  <c r="D6" i="98"/>
  <c r="B6" i="98"/>
  <c r="AB5" i="98"/>
  <c r="E3" i="98"/>
  <c r="B3" i="98"/>
  <c r="C529" i="97"/>
  <c r="F527" i="97"/>
  <c r="C527" i="97"/>
  <c r="F525" i="97"/>
  <c r="F523" i="97"/>
  <c r="C523" i="97"/>
  <c r="F522" i="97"/>
  <c r="H512" i="97"/>
  <c r="H493" i="97"/>
  <c r="H488" i="97"/>
  <c r="H480" i="97"/>
  <c r="H461" i="97"/>
  <c r="H456" i="97"/>
  <c r="H448" i="97"/>
  <c r="A336" i="97"/>
  <c r="E327" i="97"/>
  <c r="P343" i="97" s="1"/>
  <c r="G326" i="97"/>
  <c r="E317" i="97"/>
  <c r="E313" i="97"/>
  <c r="A343" i="97" s="1"/>
  <c r="E312" i="97"/>
  <c r="A342" i="97" s="1"/>
  <c r="E311" i="97"/>
  <c r="A341" i="97" s="1"/>
  <c r="D266" i="97"/>
  <c r="F269" i="97" s="1"/>
  <c r="F225" i="97"/>
  <c r="B224" i="97"/>
  <c r="E182" i="97"/>
  <c r="F186" i="97" s="1"/>
  <c r="D182" i="97"/>
  <c r="F185" i="97" s="1"/>
  <c r="B140" i="97"/>
  <c r="F123" i="97"/>
  <c r="D119" i="97"/>
  <c r="F122" i="97" s="1"/>
  <c r="E98" i="97"/>
  <c r="F102" i="97" s="1"/>
  <c r="F81" i="97"/>
  <c r="B56" i="97"/>
  <c r="F57" i="97" s="1"/>
  <c r="F32" i="97"/>
  <c r="E266" i="97" s="1"/>
  <c r="F270" i="97" s="1"/>
  <c r="E32" i="97"/>
  <c r="D32" i="97"/>
  <c r="C32" i="97"/>
  <c r="F31" i="97"/>
  <c r="E31" i="97"/>
  <c r="D31" i="97"/>
  <c r="C31" i="97"/>
  <c r="F30" i="97"/>
  <c r="E30" i="97"/>
  <c r="D30" i="97"/>
  <c r="C30" i="97"/>
  <c r="F29" i="97"/>
  <c r="E203" i="97" s="1"/>
  <c r="F207" i="97" s="1"/>
  <c r="E29" i="97"/>
  <c r="D29" i="97"/>
  <c r="C29" i="97"/>
  <c r="F28" i="97"/>
  <c r="E28" i="97"/>
  <c r="D28" i="97"/>
  <c r="C28" i="97"/>
  <c r="F27" i="97"/>
  <c r="E27" i="97"/>
  <c r="D27" i="97"/>
  <c r="C27" i="97"/>
  <c r="F26" i="97"/>
  <c r="H464" i="97" s="1"/>
  <c r="E26" i="97"/>
  <c r="D26" i="97"/>
  <c r="C140" i="97" s="1"/>
  <c r="C26" i="97"/>
  <c r="F25" i="97"/>
  <c r="E119" i="97" s="1"/>
  <c r="E25" i="97"/>
  <c r="D25" i="97"/>
  <c r="C25" i="97"/>
  <c r="H453" i="97" s="1"/>
  <c r="F24" i="97"/>
  <c r="E24" i="97"/>
  <c r="D24" i="97"/>
  <c r="C24" i="97"/>
  <c r="F23" i="97"/>
  <c r="E77" i="97" s="1"/>
  <c r="E23" i="97"/>
  <c r="D23" i="97"/>
  <c r="C23" i="97"/>
  <c r="F22" i="97"/>
  <c r="E22" i="97"/>
  <c r="D22" i="97"/>
  <c r="C22" i="97"/>
  <c r="H429" i="97" s="1"/>
  <c r="F21" i="97"/>
  <c r="E21" i="97"/>
  <c r="D21" i="97"/>
  <c r="C21" i="97"/>
  <c r="M17" i="97"/>
  <c r="L17" i="97"/>
  <c r="M16" i="97"/>
  <c r="L16" i="97"/>
  <c r="F16" i="97"/>
  <c r="E16" i="97"/>
  <c r="M15" i="97"/>
  <c r="L15" i="97"/>
  <c r="E15" i="97"/>
  <c r="G15" i="97" s="1"/>
  <c r="D15" i="97"/>
  <c r="M14" i="97"/>
  <c r="L14" i="97"/>
  <c r="F526" i="97" s="1"/>
  <c r="M13" i="97"/>
  <c r="L13" i="97"/>
  <c r="E13" i="97"/>
  <c r="G13" i="97" s="1"/>
  <c r="D13" i="97"/>
  <c r="M12" i="97"/>
  <c r="L12" i="97"/>
  <c r="M11" i="97"/>
  <c r="L11" i="97"/>
  <c r="C11" i="97"/>
  <c r="M10" i="97"/>
  <c r="L10" i="97"/>
  <c r="D10" i="97"/>
  <c r="M9" i="97"/>
  <c r="L9" i="97"/>
  <c r="F9" i="97"/>
  <c r="H9" i="97" s="1"/>
  <c r="D9" i="97"/>
  <c r="M8" i="97"/>
  <c r="L8" i="97"/>
  <c r="M7" i="97"/>
  <c r="L7" i="97"/>
  <c r="F519" i="97" s="1"/>
  <c r="C7" i="97"/>
  <c r="M6" i="97"/>
  <c r="L6" i="97"/>
  <c r="F518" i="97" s="1"/>
  <c r="E6" i="97"/>
  <c r="E3" i="97"/>
  <c r="B3" i="97"/>
  <c r="AA45" i="96"/>
  <c r="H42" i="96"/>
  <c r="G42" i="96"/>
  <c r="I42" i="96" s="1"/>
  <c r="K42" i="96" s="1"/>
  <c r="F42" i="96"/>
  <c r="AB47" i="96" s="1"/>
  <c r="E42" i="96"/>
  <c r="AA47" i="96" s="1"/>
  <c r="M41" i="96"/>
  <c r="L41" i="96"/>
  <c r="H41" i="96"/>
  <c r="AB45" i="96" s="1"/>
  <c r="G41" i="96"/>
  <c r="I41" i="96" s="1"/>
  <c r="K41" i="96" s="1"/>
  <c r="F41" i="96"/>
  <c r="AB44" i="96" s="1"/>
  <c r="E41" i="96"/>
  <c r="AA44" i="96" s="1"/>
  <c r="H40" i="96"/>
  <c r="G40" i="96"/>
  <c r="AA42" i="96" s="1"/>
  <c r="F40" i="96"/>
  <c r="AB41" i="96" s="1"/>
  <c r="E40" i="96"/>
  <c r="AA41" i="96" s="1"/>
  <c r="H39" i="96"/>
  <c r="G39" i="96"/>
  <c r="F39" i="96"/>
  <c r="D17" i="97" s="1"/>
  <c r="E39" i="96"/>
  <c r="C17" i="97" s="1"/>
  <c r="AA38" i="96"/>
  <c r="H38" i="96"/>
  <c r="G38" i="96"/>
  <c r="F38" i="96"/>
  <c r="AB35" i="96" s="1"/>
  <c r="E38" i="96"/>
  <c r="J37" i="96"/>
  <c r="H37" i="96"/>
  <c r="F15" i="97" s="1"/>
  <c r="G37" i="96"/>
  <c r="I37" i="96" s="1"/>
  <c r="K37" i="96" s="1"/>
  <c r="L37" i="96" s="1"/>
  <c r="F37" i="96"/>
  <c r="E37" i="96"/>
  <c r="C15" i="97" s="1"/>
  <c r="AB36" i="96"/>
  <c r="AA36" i="96"/>
  <c r="H36" i="96"/>
  <c r="G36" i="96"/>
  <c r="E14" i="97" s="1"/>
  <c r="F36" i="96"/>
  <c r="E36" i="96"/>
  <c r="AA35" i="96"/>
  <c r="I35" i="96"/>
  <c r="H35" i="96"/>
  <c r="G35" i="96"/>
  <c r="F35" i="96"/>
  <c r="E35" i="96"/>
  <c r="C13" i="97" s="1"/>
  <c r="H34" i="96"/>
  <c r="G34" i="96"/>
  <c r="F34" i="96"/>
  <c r="E34" i="96"/>
  <c r="AB33" i="96"/>
  <c r="AA33" i="96"/>
  <c r="H33" i="96"/>
  <c r="AB21" i="96" s="1"/>
  <c r="G33" i="96"/>
  <c r="F33" i="96"/>
  <c r="E33" i="96"/>
  <c r="AB32" i="96"/>
  <c r="AA32" i="96"/>
  <c r="H32" i="96"/>
  <c r="G32" i="96"/>
  <c r="F32" i="96"/>
  <c r="E32" i="96"/>
  <c r="C10" i="97" s="1"/>
  <c r="H31" i="96"/>
  <c r="G31" i="96"/>
  <c r="F31" i="96"/>
  <c r="AB14" i="96" s="1"/>
  <c r="E31" i="96"/>
  <c r="C9" i="97" s="1"/>
  <c r="AA30" i="96"/>
  <c r="H30" i="96"/>
  <c r="G30" i="96"/>
  <c r="E8" i="97" s="1"/>
  <c r="F30" i="96"/>
  <c r="E30" i="96"/>
  <c r="H29" i="96"/>
  <c r="AB9" i="96" s="1"/>
  <c r="G29" i="96"/>
  <c r="F29" i="96"/>
  <c r="E29" i="96"/>
  <c r="H28" i="96"/>
  <c r="F6" i="97" s="1"/>
  <c r="G28" i="96"/>
  <c r="F28" i="96"/>
  <c r="E28" i="96"/>
  <c r="AA27" i="96"/>
  <c r="AB26" i="96"/>
  <c r="AA26" i="96"/>
  <c r="G23" i="96"/>
  <c r="F23" i="96"/>
  <c r="G22" i="96"/>
  <c r="F22" i="96"/>
  <c r="G21" i="96"/>
  <c r="F21" i="96"/>
  <c r="G20" i="96"/>
  <c r="F20" i="96"/>
  <c r="G19" i="96"/>
  <c r="E328" i="97" s="1"/>
  <c r="F19" i="96"/>
  <c r="G18" i="96"/>
  <c r="E326" i="97" s="1"/>
  <c r="P342" i="97" s="1"/>
  <c r="F18" i="96"/>
  <c r="E325" i="97" s="1"/>
  <c r="P341" i="97" s="1"/>
  <c r="AB17" i="96"/>
  <c r="AA17" i="96"/>
  <c r="G17" i="96"/>
  <c r="E324" i="97" s="1"/>
  <c r="F17" i="96"/>
  <c r="G16" i="96"/>
  <c r="F16" i="96"/>
  <c r="AA15" i="96"/>
  <c r="G15" i="96"/>
  <c r="E306" i="97" s="1"/>
  <c r="F15" i="96"/>
  <c r="E305" i="97" s="1"/>
  <c r="A335" i="97" s="1"/>
  <c r="G14" i="96"/>
  <c r="E318" i="97" s="1"/>
  <c r="F14" i="96"/>
  <c r="E303" i="97" s="1"/>
  <c r="A333" i="97" s="1"/>
  <c r="AA8" i="96"/>
  <c r="AB6" i="96"/>
  <c r="AA6" i="96"/>
  <c r="D6" i="96"/>
  <c r="B6" i="96"/>
  <c r="E3" i="96"/>
  <c r="B3" i="96"/>
  <c r="F277" i="95"/>
  <c r="D277" i="95"/>
  <c r="C275" i="95"/>
  <c r="H266" i="95"/>
  <c r="H257" i="95"/>
  <c r="H241" i="95"/>
  <c r="H239" i="95"/>
  <c r="H232" i="95"/>
  <c r="H225" i="95"/>
  <c r="E149" i="95"/>
  <c r="G149" i="95" s="1"/>
  <c r="E147" i="95"/>
  <c r="E137" i="95"/>
  <c r="A159" i="95" s="1"/>
  <c r="E108" i="95"/>
  <c r="F112" i="95" s="1"/>
  <c r="C108" i="95"/>
  <c r="F110" i="95" s="1"/>
  <c r="D91" i="95"/>
  <c r="F94" i="95" s="1"/>
  <c r="B91" i="95"/>
  <c r="D74" i="95"/>
  <c r="F77" i="95" s="1"/>
  <c r="C74" i="95"/>
  <c r="F76" i="95" s="1"/>
  <c r="B57" i="95"/>
  <c r="D23" i="95"/>
  <c r="F26" i="95" s="1"/>
  <c r="F20" i="95"/>
  <c r="E20" i="95"/>
  <c r="D108" i="95" s="1"/>
  <c r="F111" i="95" s="1"/>
  <c r="D20" i="95"/>
  <c r="H264" i="95" s="1"/>
  <c r="C20" i="95"/>
  <c r="F19" i="95"/>
  <c r="E19" i="95"/>
  <c r="D276" i="95" s="1"/>
  <c r="D19" i="95"/>
  <c r="C19" i="95"/>
  <c r="F18" i="95"/>
  <c r="E18" i="95"/>
  <c r="D18" i="95"/>
  <c r="H248" i="95" s="1"/>
  <c r="C18" i="95"/>
  <c r="F17" i="95"/>
  <c r="E17" i="95"/>
  <c r="D17" i="95"/>
  <c r="C17" i="95"/>
  <c r="C274" i="95" s="1"/>
  <c r="F16" i="95"/>
  <c r="H234" i="95" s="1"/>
  <c r="E16" i="95"/>
  <c r="D273" i="95" s="1"/>
  <c r="D16" i="95"/>
  <c r="C40" i="95" s="1"/>
  <c r="F42" i="95" s="1"/>
  <c r="C16" i="95"/>
  <c r="F15" i="95"/>
  <c r="E15" i="95"/>
  <c r="D272" i="95" s="1"/>
  <c r="D15" i="95"/>
  <c r="C15" i="95"/>
  <c r="M11" i="95"/>
  <c r="L11" i="95"/>
  <c r="M10" i="95"/>
  <c r="L10" i="95"/>
  <c r="F276" i="95" s="1"/>
  <c r="E10" i="95"/>
  <c r="M9" i="95"/>
  <c r="L9" i="95"/>
  <c r="F275" i="95" s="1"/>
  <c r="F9" i="95"/>
  <c r="M8" i="95"/>
  <c r="L8" i="95"/>
  <c r="C8" i="95"/>
  <c r="M7" i="95"/>
  <c r="L7" i="95"/>
  <c r="F273" i="95" s="1"/>
  <c r="F7" i="95"/>
  <c r="E7" i="95"/>
  <c r="C7" i="95"/>
  <c r="M6" i="95"/>
  <c r="L6" i="95"/>
  <c r="F272" i="95" s="1"/>
  <c r="E6" i="95"/>
  <c r="G6" i="95" s="1"/>
  <c r="E3" i="95"/>
  <c r="B3" i="95"/>
  <c r="H42" i="94"/>
  <c r="G42" i="94"/>
  <c r="F42" i="94"/>
  <c r="AB47" i="94" s="1"/>
  <c r="E42" i="94"/>
  <c r="AA47" i="94" s="1"/>
  <c r="AA41" i="94"/>
  <c r="J41" i="94"/>
  <c r="H41" i="94"/>
  <c r="AB45" i="94" s="1"/>
  <c r="G41" i="94"/>
  <c r="F41" i="94"/>
  <c r="AB44" i="94" s="1"/>
  <c r="E41" i="94"/>
  <c r="AA44" i="94" s="1"/>
  <c r="H40" i="94"/>
  <c r="G40" i="94"/>
  <c r="AA42" i="94" s="1"/>
  <c r="F40" i="94"/>
  <c r="AB41" i="94" s="1"/>
  <c r="E40" i="94"/>
  <c r="H39" i="94"/>
  <c r="G39" i="94"/>
  <c r="AA39" i="94" s="1"/>
  <c r="F39" i="94"/>
  <c r="E39" i="94"/>
  <c r="AB38" i="94"/>
  <c r="AA38" i="94"/>
  <c r="K38" i="94"/>
  <c r="I38" i="94"/>
  <c r="H38" i="94"/>
  <c r="AB36" i="94" s="1"/>
  <c r="G38" i="94"/>
  <c r="F38" i="94"/>
  <c r="AB35" i="94" s="1"/>
  <c r="E38" i="94"/>
  <c r="AA35" i="94" s="1"/>
  <c r="H37" i="94"/>
  <c r="J37" i="94" s="1"/>
  <c r="G37" i="94"/>
  <c r="F37" i="94"/>
  <c r="AB32" i="94" s="1"/>
  <c r="E37" i="94"/>
  <c r="AA32" i="94" s="1"/>
  <c r="AA36" i="94"/>
  <c r="J36" i="94"/>
  <c r="H36" i="94"/>
  <c r="AB30" i="94" s="1"/>
  <c r="G36" i="94"/>
  <c r="I36" i="94" s="1"/>
  <c r="K36" i="94" s="1"/>
  <c r="F36" i="94"/>
  <c r="AB29" i="94" s="1"/>
  <c r="E36" i="94"/>
  <c r="AA29" i="94" s="1"/>
  <c r="H35" i="94"/>
  <c r="J35" i="94" s="1"/>
  <c r="G35" i="94"/>
  <c r="I35" i="94" s="1"/>
  <c r="K35" i="94" s="1"/>
  <c r="F35" i="94"/>
  <c r="E35" i="94"/>
  <c r="H34" i="94"/>
  <c r="G34" i="94"/>
  <c r="F34" i="94"/>
  <c r="AB23" i="94" s="1"/>
  <c r="E34" i="94"/>
  <c r="AA23" i="94" s="1"/>
  <c r="AB33" i="94"/>
  <c r="H33" i="94"/>
  <c r="G33" i="94"/>
  <c r="F33" i="94"/>
  <c r="D11" i="95" s="1"/>
  <c r="E33" i="94"/>
  <c r="H32" i="94"/>
  <c r="G32" i="94"/>
  <c r="AA18" i="94" s="1"/>
  <c r="F32" i="94"/>
  <c r="E32" i="94"/>
  <c r="H31" i="94"/>
  <c r="AB15" i="94" s="1"/>
  <c r="G31" i="94"/>
  <c r="F31" i="94"/>
  <c r="E31" i="94"/>
  <c r="AA14" i="94" s="1"/>
  <c r="AA30" i="94"/>
  <c r="H30" i="94"/>
  <c r="J30" i="94" s="1"/>
  <c r="G30" i="94"/>
  <c r="AA12" i="94" s="1"/>
  <c r="F30" i="94"/>
  <c r="D8" i="95" s="1"/>
  <c r="E30" i="94"/>
  <c r="AA11" i="94" s="1"/>
  <c r="J29" i="94"/>
  <c r="H29" i="94"/>
  <c r="G29" i="94"/>
  <c r="I29" i="94" s="1"/>
  <c r="F29" i="94"/>
  <c r="AB8" i="94" s="1"/>
  <c r="E29" i="94"/>
  <c r="AA8" i="94" s="1"/>
  <c r="J28" i="94"/>
  <c r="K28" i="94" s="1"/>
  <c r="H28" i="94"/>
  <c r="F6" i="95" s="1"/>
  <c r="G28" i="94"/>
  <c r="I28" i="94" s="1"/>
  <c r="F28" i="94"/>
  <c r="AB5" i="94" s="1"/>
  <c r="E28" i="94"/>
  <c r="C6" i="95" s="1"/>
  <c r="AB27" i="94"/>
  <c r="AA27" i="94"/>
  <c r="AB26" i="94"/>
  <c r="AA26" i="94"/>
  <c r="G23" i="94"/>
  <c r="F23" i="94"/>
  <c r="G22" i="94"/>
  <c r="F22" i="94"/>
  <c r="G21" i="94"/>
  <c r="F21" i="94"/>
  <c r="AB20" i="94"/>
  <c r="G20" i="94"/>
  <c r="F20" i="94"/>
  <c r="G19" i="94"/>
  <c r="F19" i="94"/>
  <c r="G18" i="94"/>
  <c r="F18" i="94"/>
  <c r="G17" i="94"/>
  <c r="E154" i="95" s="1"/>
  <c r="F17" i="94"/>
  <c r="G16" i="94"/>
  <c r="F16" i="94"/>
  <c r="G15" i="94"/>
  <c r="E150" i="95" s="1"/>
  <c r="F15" i="94"/>
  <c r="E139" i="95" s="1"/>
  <c r="A161" i="95" s="1"/>
  <c r="G14" i="94"/>
  <c r="F14" i="94"/>
  <c r="AB9" i="94"/>
  <c r="AB6" i="94"/>
  <c r="D6" i="94"/>
  <c r="B6" i="94"/>
  <c r="AA5" i="94"/>
  <c r="E3" i="94"/>
  <c r="B3" i="94"/>
  <c r="D497" i="93"/>
  <c r="F492" i="93"/>
  <c r="C489" i="93"/>
  <c r="H465" i="93"/>
  <c r="H456" i="93"/>
  <c r="H432" i="93"/>
  <c r="H417" i="93"/>
  <c r="H401" i="93"/>
  <c r="H400" i="93"/>
  <c r="P317" i="93"/>
  <c r="E305" i="93"/>
  <c r="E289" i="93"/>
  <c r="A319" i="93" s="1"/>
  <c r="E287" i="93"/>
  <c r="A317" i="93" s="1"/>
  <c r="E284" i="93"/>
  <c r="A314" i="93" s="1"/>
  <c r="E280" i="93"/>
  <c r="A310" i="93" s="1"/>
  <c r="E222" i="93"/>
  <c r="F226" i="93" s="1"/>
  <c r="D222" i="93"/>
  <c r="F225" i="93" s="1"/>
  <c r="B159" i="93"/>
  <c r="B117" i="93"/>
  <c r="B75" i="93"/>
  <c r="E33" i="93"/>
  <c r="F37" i="93" s="1"/>
  <c r="C33" i="93"/>
  <c r="F35" i="93" s="1"/>
  <c r="B33" i="93"/>
  <c r="F30" i="93"/>
  <c r="E243" i="93" s="1"/>
  <c r="F247" i="93" s="1"/>
  <c r="E30" i="93"/>
  <c r="D30" i="93"/>
  <c r="C30" i="93"/>
  <c r="H478" i="93" s="1"/>
  <c r="F29" i="93"/>
  <c r="H473" i="93" s="1"/>
  <c r="E29" i="93"/>
  <c r="D496" i="93" s="1"/>
  <c r="D29" i="93"/>
  <c r="C29" i="93"/>
  <c r="F28" i="93"/>
  <c r="E201" i="93" s="1"/>
  <c r="F205" i="93" s="1"/>
  <c r="E28" i="93"/>
  <c r="D28" i="93"/>
  <c r="C28" i="93"/>
  <c r="H462" i="93" s="1"/>
  <c r="F27" i="93"/>
  <c r="E180" i="93" s="1"/>
  <c r="F184" i="93" s="1"/>
  <c r="E27" i="93"/>
  <c r="D180" i="93" s="1"/>
  <c r="F183" i="93" s="1"/>
  <c r="D27" i="93"/>
  <c r="C27" i="93"/>
  <c r="F26" i="93"/>
  <c r="E26" i="93"/>
  <c r="D26" i="93"/>
  <c r="C26" i="93"/>
  <c r="H446" i="93" s="1"/>
  <c r="F25" i="93"/>
  <c r="E25" i="93"/>
  <c r="D138" i="93" s="1"/>
  <c r="F141" i="93" s="1"/>
  <c r="D25" i="93"/>
  <c r="C25" i="93"/>
  <c r="F24" i="93"/>
  <c r="H433" i="93" s="1"/>
  <c r="E24" i="93"/>
  <c r="D24" i="93"/>
  <c r="C24" i="93"/>
  <c r="C491" i="93" s="1"/>
  <c r="F23" i="93"/>
  <c r="E23" i="93"/>
  <c r="D23" i="93"/>
  <c r="C23" i="93"/>
  <c r="F22" i="93"/>
  <c r="E75" i="93" s="1"/>
  <c r="F79" i="93" s="1"/>
  <c r="E22" i="93"/>
  <c r="D22" i="93"/>
  <c r="C22" i="93"/>
  <c r="H414" i="93" s="1"/>
  <c r="F21" i="93"/>
  <c r="H409" i="93" s="1"/>
  <c r="E21" i="93"/>
  <c r="D21" i="93"/>
  <c r="C21" i="93"/>
  <c r="C488" i="93" s="1"/>
  <c r="F20" i="93"/>
  <c r="E20" i="93"/>
  <c r="D20" i="93"/>
  <c r="H399" i="93" s="1"/>
  <c r="C20" i="93"/>
  <c r="M16" i="93"/>
  <c r="L16" i="93"/>
  <c r="M15" i="93"/>
  <c r="L15" i="93"/>
  <c r="M14" i="93"/>
  <c r="L14" i="93"/>
  <c r="C14" i="93"/>
  <c r="M13" i="93"/>
  <c r="L13" i="93"/>
  <c r="F494" i="93" s="1"/>
  <c r="D13" i="93"/>
  <c r="M12" i="93"/>
  <c r="L12" i="93"/>
  <c r="F493" i="93" s="1"/>
  <c r="E12" i="93"/>
  <c r="M11" i="93"/>
  <c r="L11" i="93"/>
  <c r="M10" i="93"/>
  <c r="L10" i="93"/>
  <c r="F491" i="93" s="1"/>
  <c r="M9" i="93"/>
  <c r="L9" i="93"/>
  <c r="F490" i="93" s="1"/>
  <c r="F9" i="93"/>
  <c r="D9" i="93"/>
  <c r="M8" i="93"/>
  <c r="L8" i="93"/>
  <c r="F489" i="93" s="1"/>
  <c r="D8" i="93"/>
  <c r="M7" i="93"/>
  <c r="L7" i="93"/>
  <c r="E7" i="93"/>
  <c r="M6" i="93"/>
  <c r="L6" i="93"/>
  <c r="E3" i="93"/>
  <c r="B3" i="93"/>
  <c r="AA45" i="92"/>
  <c r="L42" i="92"/>
  <c r="K42" i="92"/>
  <c r="M42" i="92" s="1"/>
  <c r="J42" i="92"/>
  <c r="I42" i="92"/>
  <c r="H42" i="92"/>
  <c r="AB48" i="92" s="1"/>
  <c r="G42" i="92"/>
  <c r="AA48" i="92" s="1"/>
  <c r="F42" i="92"/>
  <c r="AB47" i="92" s="1"/>
  <c r="E42" i="92"/>
  <c r="AA47" i="92" s="1"/>
  <c r="H41" i="92"/>
  <c r="G41" i="92"/>
  <c r="I41" i="92" s="1"/>
  <c r="K41" i="92" s="1"/>
  <c r="F41" i="92"/>
  <c r="AB44" i="92" s="1"/>
  <c r="E41" i="92"/>
  <c r="AA44" i="92" s="1"/>
  <c r="H40" i="92"/>
  <c r="J40" i="92" s="1"/>
  <c r="G40" i="92"/>
  <c r="F40" i="92"/>
  <c r="AB41" i="92" s="1"/>
  <c r="E40" i="92"/>
  <c r="AA41" i="92" s="1"/>
  <c r="AA39" i="92"/>
  <c r="H39" i="92"/>
  <c r="AB39" i="92" s="1"/>
  <c r="G39" i="92"/>
  <c r="I39" i="92" s="1"/>
  <c r="K39" i="92" s="1"/>
  <c r="M39" i="92" s="1"/>
  <c r="F39" i="92"/>
  <c r="AB38" i="92" s="1"/>
  <c r="E39" i="92"/>
  <c r="AA38" i="92" s="1"/>
  <c r="H38" i="92"/>
  <c r="G38" i="92"/>
  <c r="F38" i="92"/>
  <c r="E38" i="92"/>
  <c r="H37" i="92"/>
  <c r="F15" i="93" s="1"/>
  <c r="G37" i="92"/>
  <c r="E15" i="93" s="1"/>
  <c r="F37" i="92"/>
  <c r="E37" i="92"/>
  <c r="AB36" i="92"/>
  <c r="J36" i="92"/>
  <c r="H36" i="92"/>
  <c r="G36" i="92"/>
  <c r="F36" i="92"/>
  <c r="D14" i="93" s="1"/>
  <c r="E36" i="92"/>
  <c r="H35" i="92"/>
  <c r="G35" i="92"/>
  <c r="F35" i="92"/>
  <c r="AB26" i="92" s="1"/>
  <c r="E35" i="92"/>
  <c r="H34" i="92"/>
  <c r="G34" i="92"/>
  <c r="AA24" i="92" s="1"/>
  <c r="F34" i="92"/>
  <c r="E34" i="92"/>
  <c r="AA23" i="92" s="1"/>
  <c r="AA33" i="92"/>
  <c r="H33" i="92"/>
  <c r="G33" i="92"/>
  <c r="F33" i="92"/>
  <c r="E33" i="92"/>
  <c r="C11" i="93" s="1"/>
  <c r="H32" i="92"/>
  <c r="F10" i="93" s="1"/>
  <c r="G32" i="92"/>
  <c r="F32" i="92"/>
  <c r="AB17" i="92" s="1"/>
  <c r="E32" i="92"/>
  <c r="C10" i="93" s="1"/>
  <c r="H31" i="92"/>
  <c r="G31" i="92"/>
  <c r="F31" i="92"/>
  <c r="AB14" i="92" s="1"/>
  <c r="E31" i="92"/>
  <c r="H30" i="92"/>
  <c r="G30" i="92"/>
  <c r="F30" i="92"/>
  <c r="AB11" i="92" s="1"/>
  <c r="E30" i="92"/>
  <c r="AB29" i="92"/>
  <c r="AA29" i="92"/>
  <c r="H29" i="92"/>
  <c r="AB9" i="92" s="1"/>
  <c r="G29" i="92"/>
  <c r="F29" i="92"/>
  <c r="E29" i="92"/>
  <c r="H28" i="92"/>
  <c r="G28" i="92"/>
  <c r="E6" i="93" s="1"/>
  <c r="F28" i="92"/>
  <c r="E28" i="92"/>
  <c r="C6" i="93" s="1"/>
  <c r="AA27" i="92"/>
  <c r="G23" i="92"/>
  <c r="F23" i="92"/>
  <c r="G22" i="92"/>
  <c r="F22" i="92"/>
  <c r="G21" i="92"/>
  <c r="F21" i="92"/>
  <c r="AA20" i="92"/>
  <c r="G20" i="92"/>
  <c r="F20" i="92"/>
  <c r="G19" i="92"/>
  <c r="E291" i="93" s="1"/>
  <c r="A321" i="93" s="1"/>
  <c r="F19" i="92"/>
  <c r="AB18" i="92"/>
  <c r="G18" i="92"/>
  <c r="E303" i="93" s="1"/>
  <c r="F18" i="92"/>
  <c r="AA17" i="92"/>
  <c r="G17" i="92"/>
  <c r="E301" i="93" s="1"/>
  <c r="G301" i="93" s="1"/>
  <c r="F17" i="92"/>
  <c r="E286" i="93" s="1"/>
  <c r="A316" i="93" s="1"/>
  <c r="G16" i="92"/>
  <c r="F16" i="92"/>
  <c r="E298" i="93" s="1"/>
  <c r="G15" i="92"/>
  <c r="F15" i="92"/>
  <c r="E282" i="93" s="1"/>
  <c r="A312" i="93" s="1"/>
  <c r="G14" i="92"/>
  <c r="F14" i="92"/>
  <c r="AA9" i="92"/>
  <c r="AB6" i="92"/>
  <c r="D6" i="92"/>
  <c r="B6" i="92"/>
  <c r="E3" i="92"/>
  <c r="B3" i="92"/>
  <c r="F391" i="91"/>
  <c r="F390" i="91"/>
  <c r="D390" i="91"/>
  <c r="C390" i="91"/>
  <c r="H373" i="91"/>
  <c r="H357" i="91"/>
  <c r="H327" i="91"/>
  <c r="H317" i="91"/>
  <c r="N249" i="91"/>
  <c r="E230" i="91"/>
  <c r="G230" i="91" s="1"/>
  <c r="G226" i="91"/>
  <c r="E223" i="91"/>
  <c r="A249" i="91" s="1"/>
  <c r="E214" i="91"/>
  <c r="A240" i="91" s="1"/>
  <c r="C181" i="91"/>
  <c r="F183" i="91" s="1"/>
  <c r="E143" i="91"/>
  <c r="F147" i="91" s="1"/>
  <c r="I139" i="91"/>
  <c r="E136" i="91"/>
  <c r="I134" i="91"/>
  <c r="E124" i="91"/>
  <c r="F128" i="91" s="1"/>
  <c r="D124" i="91"/>
  <c r="B124" i="91"/>
  <c r="C105" i="91"/>
  <c r="F107" i="91" s="1"/>
  <c r="E86" i="91"/>
  <c r="F90" i="91" s="1"/>
  <c r="E48" i="91"/>
  <c r="F52" i="91" s="1"/>
  <c r="C29" i="91"/>
  <c r="F31" i="91" s="1"/>
  <c r="F26" i="91"/>
  <c r="E181" i="91" s="1"/>
  <c r="F185" i="91" s="1"/>
  <c r="E26" i="91"/>
  <c r="D26" i="91"/>
  <c r="H381" i="91" s="1"/>
  <c r="C26" i="91"/>
  <c r="B181" i="91" s="1"/>
  <c r="F25" i="91"/>
  <c r="E25" i="91"/>
  <c r="H374" i="91" s="1"/>
  <c r="D25" i="91"/>
  <c r="C162" i="91" s="1"/>
  <c r="F164" i="91" s="1"/>
  <c r="C25" i="91"/>
  <c r="F24" i="91"/>
  <c r="H367" i="91" s="1"/>
  <c r="E24" i="91"/>
  <c r="D395" i="91" s="1"/>
  <c r="D24" i="91"/>
  <c r="C24" i="91"/>
  <c r="F23" i="91"/>
  <c r="H359" i="91" s="1"/>
  <c r="E23" i="91"/>
  <c r="H358" i="91" s="1"/>
  <c r="D23" i="91"/>
  <c r="C124" i="91" s="1"/>
  <c r="F126" i="91" s="1"/>
  <c r="C23" i="91"/>
  <c r="H356" i="91" s="1"/>
  <c r="F22" i="91"/>
  <c r="E22" i="91"/>
  <c r="D22" i="91"/>
  <c r="H349" i="91" s="1"/>
  <c r="C22" i="91"/>
  <c r="F21" i="91"/>
  <c r="H343" i="91" s="1"/>
  <c r="E21" i="91"/>
  <c r="D21" i="91"/>
  <c r="C21" i="91"/>
  <c r="F20" i="91"/>
  <c r="E20" i="91"/>
  <c r="D20" i="91"/>
  <c r="C20" i="91"/>
  <c r="F19" i="91"/>
  <c r="E19" i="91"/>
  <c r="D19" i="91"/>
  <c r="H325" i="91" s="1"/>
  <c r="C19" i="91"/>
  <c r="F18" i="91"/>
  <c r="E18" i="91"/>
  <c r="D18" i="91"/>
  <c r="C18" i="91"/>
  <c r="M14" i="91"/>
  <c r="L14" i="91"/>
  <c r="M13" i="91"/>
  <c r="L13" i="91"/>
  <c r="F396" i="91" s="1"/>
  <c r="F13" i="91"/>
  <c r="H13" i="91" s="1"/>
  <c r="E13" i="91"/>
  <c r="C13" i="91"/>
  <c r="M12" i="91"/>
  <c r="L12" i="91"/>
  <c r="F395" i="91" s="1"/>
  <c r="M11" i="91"/>
  <c r="L11" i="91"/>
  <c r="F394" i="91" s="1"/>
  <c r="C11" i="91"/>
  <c r="M10" i="91"/>
  <c r="L10" i="91"/>
  <c r="F393" i="91" s="1"/>
  <c r="D10" i="91"/>
  <c r="C10" i="91"/>
  <c r="M9" i="91"/>
  <c r="L9" i="91"/>
  <c r="F392" i="91" s="1"/>
  <c r="F9" i="91"/>
  <c r="E9" i="91"/>
  <c r="M8" i="91"/>
  <c r="L8" i="91"/>
  <c r="D8" i="91"/>
  <c r="C8" i="91"/>
  <c r="M7" i="91"/>
  <c r="L7" i="91"/>
  <c r="F7" i="91"/>
  <c r="H7" i="91" s="1"/>
  <c r="E7" i="91"/>
  <c r="G7" i="91" s="1"/>
  <c r="C7" i="91"/>
  <c r="M6" i="91"/>
  <c r="L6" i="91"/>
  <c r="F389" i="91" s="1"/>
  <c r="E3" i="91"/>
  <c r="B3" i="91"/>
  <c r="AB47" i="90"/>
  <c r="AB44" i="90"/>
  <c r="J42" i="90"/>
  <c r="H42" i="90"/>
  <c r="AB48" i="90" s="1"/>
  <c r="G42" i="90"/>
  <c r="F42" i="90"/>
  <c r="E42" i="90"/>
  <c r="AA47" i="90" s="1"/>
  <c r="J41" i="90"/>
  <c r="H41" i="90"/>
  <c r="AB45" i="90" s="1"/>
  <c r="G41" i="90"/>
  <c r="F41" i="90"/>
  <c r="E41" i="90"/>
  <c r="AA44" i="90" s="1"/>
  <c r="H40" i="90"/>
  <c r="G40" i="90"/>
  <c r="F40" i="90"/>
  <c r="AB41" i="90" s="1"/>
  <c r="E40" i="90"/>
  <c r="AA41" i="90" s="1"/>
  <c r="I39" i="90"/>
  <c r="K39" i="90" s="1"/>
  <c r="H39" i="90"/>
  <c r="G39" i="90"/>
  <c r="AA39" i="90" s="1"/>
  <c r="F39" i="90"/>
  <c r="AB38" i="90" s="1"/>
  <c r="E39" i="90"/>
  <c r="AA38" i="90" s="1"/>
  <c r="K38" i="90"/>
  <c r="L38" i="90" s="1"/>
  <c r="J38" i="90"/>
  <c r="I38" i="90"/>
  <c r="H38" i="90"/>
  <c r="G38" i="90"/>
  <c r="AA36" i="90" s="1"/>
  <c r="F38" i="90"/>
  <c r="E38" i="90"/>
  <c r="H37" i="90"/>
  <c r="G37" i="90"/>
  <c r="F37" i="90"/>
  <c r="AB32" i="90" s="1"/>
  <c r="E37" i="90"/>
  <c r="AB36" i="90"/>
  <c r="H36" i="90"/>
  <c r="G36" i="90"/>
  <c r="F36" i="90"/>
  <c r="D14" i="91" s="1"/>
  <c r="E36" i="90"/>
  <c r="C14" i="91" s="1"/>
  <c r="AB35" i="90"/>
  <c r="AA35" i="90"/>
  <c r="J35" i="90"/>
  <c r="H35" i="90"/>
  <c r="G35" i="90"/>
  <c r="AA27" i="90" s="1"/>
  <c r="F35" i="90"/>
  <c r="D13" i="91" s="1"/>
  <c r="E35" i="90"/>
  <c r="H34" i="90"/>
  <c r="F12" i="91" s="1"/>
  <c r="G34" i="90"/>
  <c r="F34" i="90"/>
  <c r="E34" i="90"/>
  <c r="H33" i="90"/>
  <c r="G33" i="90"/>
  <c r="E11" i="91" s="1"/>
  <c r="G11" i="91" s="1"/>
  <c r="F33" i="90"/>
  <c r="D11" i="91" s="1"/>
  <c r="E33" i="90"/>
  <c r="AA20" i="90" s="1"/>
  <c r="AA32" i="90"/>
  <c r="I32" i="90"/>
  <c r="H32" i="90"/>
  <c r="G32" i="90"/>
  <c r="AA18" i="90" s="1"/>
  <c r="F32" i="90"/>
  <c r="E32" i="90"/>
  <c r="I31" i="90"/>
  <c r="H31" i="90"/>
  <c r="G31" i="90"/>
  <c r="AA15" i="90" s="1"/>
  <c r="F31" i="90"/>
  <c r="E31" i="90"/>
  <c r="H30" i="90"/>
  <c r="G30" i="90"/>
  <c r="F30" i="90"/>
  <c r="E30" i="90"/>
  <c r="AB29" i="90"/>
  <c r="AA29" i="90"/>
  <c r="H29" i="90"/>
  <c r="AB9" i="90" s="1"/>
  <c r="G29" i="90"/>
  <c r="AA9" i="90" s="1"/>
  <c r="F29" i="90"/>
  <c r="D7" i="91" s="1"/>
  <c r="E29" i="90"/>
  <c r="H28" i="90"/>
  <c r="G28" i="90"/>
  <c r="E6" i="91" s="1"/>
  <c r="F28" i="90"/>
  <c r="E28" i="90"/>
  <c r="C6" i="91" s="1"/>
  <c r="AB27" i="90"/>
  <c r="AB26" i="90"/>
  <c r="AA26" i="90"/>
  <c r="AB24" i="90"/>
  <c r="G23" i="90"/>
  <c r="F23" i="90"/>
  <c r="G22" i="90"/>
  <c r="F22" i="90"/>
  <c r="G21" i="90"/>
  <c r="F21" i="90"/>
  <c r="G20" i="90"/>
  <c r="F20" i="90"/>
  <c r="G19" i="90"/>
  <c r="F19" i="90"/>
  <c r="G18" i="90"/>
  <c r="E235" i="91" s="1"/>
  <c r="F18" i="90"/>
  <c r="AB17" i="90"/>
  <c r="AA17" i="90"/>
  <c r="G17" i="90"/>
  <c r="F17" i="90"/>
  <c r="G16" i="90"/>
  <c r="F16" i="90"/>
  <c r="E218" i="91" s="1"/>
  <c r="A244" i="91" s="1"/>
  <c r="AB15" i="90"/>
  <c r="G15" i="90"/>
  <c r="F15" i="90"/>
  <c r="G14" i="90"/>
  <c r="E215" i="91" s="1"/>
  <c r="A241" i="91" s="1"/>
  <c r="F14" i="90"/>
  <c r="E226" i="91" s="1"/>
  <c r="F226" i="91" s="1"/>
  <c r="AB11" i="90"/>
  <c r="AA11" i="90"/>
  <c r="AB8" i="90"/>
  <c r="AA8" i="90"/>
  <c r="AA6" i="90"/>
  <c r="F6" i="90"/>
  <c r="H6" i="90" s="1"/>
  <c r="J6" i="90" s="1"/>
  <c r="D6" i="90"/>
  <c r="B6" i="90"/>
  <c r="E3" i="90"/>
  <c r="B3" i="90"/>
  <c r="C365" i="89"/>
  <c r="D364" i="89"/>
  <c r="C360" i="89"/>
  <c r="H344" i="89"/>
  <c r="H338" i="89"/>
  <c r="H337" i="89"/>
  <c r="H330" i="89"/>
  <c r="H312" i="89"/>
  <c r="H298" i="89"/>
  <c r="G209" i="89"/>
  <c r="E207" i="89"/>
  <c r="G207" i="89" s="1"/>
  <c r="E205" i="89"/>
  <c r="G205" i="89" s="1"/>
  <c r="E202" i="89"/>
  <c r="A228" i="89" s="1"/>
  <c r="E193" i="89"/>
  <c r="A219" i="89" s="1"/>
  <c r="D103" i="89"/>
  <c r="F106" i="89" s="1"/>
  <c r="B103" i="89"/>
  <c r="E46" i="89"/>
  <c r="F50" i="89" s="1"/>
  <c r="F24" i="89"/>
  <c r="E24" i="89"/>
  <c r="D24" i="89"/>
  <c r="C24" i="89"/>
  <c r="F23" i="89"/>
  <c r="E23" i="89"/>
  <c r="D366" i="89" s="1"/>
  <c r="D23" i="89"/>
  <c r="C141" i="89" s="1"/>
  <c r="F143" i="89" s="1"/>
  <c r="C23" i="89"/>
  <c r="F22" i="89"/>
  <c r="E122" i="89" s="1"/>
  <c r="F126" i="89" s="1"/>
  <c r="E22" i="89"/>
  <c r="D22" i="89"/>
  <c r="C22" i="89"/>
  <c r="B122" i="89" s="1"/>
  <c r="F21" i="89"/>
  <c r="E103" i="89" s="1"/>
  <c r="F107" i="89" s="1"/>
  <c r="E21" i="89"/>
  <c r="H329" i="89" s="1"/>
  <c r="D21" i="89"/>
  <c r="C21" i="89"/>
  <c r="H327" i="89" s="1"/>
  <c r="F20" i="89"/>
  <c r="E20" i="89"/>
  <c r="D20" i="89"/>
  <c r="C20" i="89"/>
  <c r="F19" i="89"/>
  <c r="E65" i="89" s="1"/>
  <c r="F69" i="89" s="1"/>
  <c r="E19" i="89"/>
  <c r="D65" i="89" s="1"/>
  <c r="F68" i="89" s="1"/>
  <c r="D19" i="89"/>
  <c r="C65" i="89" s="1"/>
  <c r="C19" i="89"/>
  <c r="F18" i="89"/>
  <c r="H306" i="89" s="1"/>
  <c r="E18" i="89"/>
  <c r="D18" i="89"/>
  <c r="C18" i="89"/>
  <c r="H303" i="89" s="1"/>
  <c r="F17" i="89"/>
  <c r="E27" i="89" s="1"/>
  <c r="F31" i="89" s="1"/>
  <c r="E17" i="89"/>
  <c r="D17" i="89"/>
  <c r="H296" i="89" s="1"/>
  <c r="C17" i="89"/>
  <c r="H295" i="89" s="1"/>
  <c r="M13" i="89"/>
  <c r="L13" i="89"/>
  <c r="F367" i="89" s="1"/>
  <c r="E13" i="89"/>
  <c r="D13" i="89"/>
  <c r="C13" i="89"/>
  <c r="M12" i="89"/>
  <c r="L12" i="89"/>
  <c r="M11" i="89"/>
  <c r="L11" i="89"/>
  <c r="E11" i="89"/>
  <c r="M10" i="89"/>
  <c r="L10" i="89"/>
  <c r="F364" i="89" s="1"/>
  <c r="M9" i="89"/>
  <c r="L9" i="89"/>
  <c r="F363" i="89" s="1"/>
  <c r="D9" i="89"/>
  <c r="C9" i="89"/>
  <c r="M8" i="89"/>
  <c r="L8" i="89"/>
  <c r="M7" i="89"/>
  <c r="L7" i="89"/>
  <c r="F361" i="89" s="1"/>
  <c r="C7" i="89"/>
  <c r="M6" i="89"/>
  <c r="L6" i="89"/>
  <c r="F360" i="89" s="1"/>
  <c r="C6" i="89"/>
  <c r="E3" i="89"/>
  <c r="B3" i="89"/>
  <c r="AB45" i="88"/>
  <c r="J42" i="88"/>
  <c r="I42" i="88"/>
  <c r="K42" i="88" s="1"/>
  <c r="H42" i="88"/>
  <c r="AB48" i="88" s="1"/>
  <c r="G42" i="88"/>
  <c r="AA48" i="88" s="1"/>
  <c r="F42" i="88"/>
  <c r="AB47" i="88" s="1"/>
  <c r="E42" i="88"/>
  <c r="AA47" i="88" s="1"/>
  <c r="AB41" i="88"/>
  <c r="J41" i="88"/>
  <c r="H41" i="88"/>
  <c r="G41" i="88"/>
  <c r="F41" i="88"/>
  <c r="AB44" i="88" s="1"/>
  <c r="E41" i="88"/>
  <c r="AA44" i="88" s="1"/>
  <c r="H40" i="88"/>
  <c r="G40" i="88"/>
  <c r="AA42" i="88" s="1"/>
  <c r="F40" i="88"/>
  <c r="E40" i="88"/>
  <c r="AA41" i="88" s="1"/>
  <c r="H39" i="88"/>
  <c r="G39" i="88"/>
  <c r="F39" i="88"/>
  <c r="AB38" i="88" s="1"/>
  <c r="E39" i="88"/>
  <c r="AA38" i="88" s="1"/>
  <c r="J38" i="88"/>
  <c r="H38" i="88"/>
  <c r="AB36" i="88" s="1"/>
  <c r="G38" i="88"/>
  <c r="AA36" i="88" s="1"/>
  <c r="F38" i="88"/>
  <c r="AB35" i="88" s="1"/>
  <c r="E38" i="88"/>
  <c r="AA35" i="88" s="1"/>
  <c r="H37" i="88"/>
  <c r="G37" i="88"/>
  <c r="AA33" i="88" s="1"/>
  <c r="F37" i="88"/>
  <c r="E37" i="88"/>
  <c r="H36" i="88"/>
  <c r="AB30" i="88" s="1"/>
  <c r="G36" i="88"/>
  <c r="F36" i="88"/>
  <c r="E36" i="88"/>
  <c r="H35" i="88"/>
  <c r="G35" i="88"/>
  <c r="AA27" i="88" s="1"/>
  <c r="F35" i="88"/>
  <c r="E35" i="88"/>
  <c r="H34" i="88"/>
  <c r="G34" i="88"/>
  <c r="F34" i="88"/>
  <c r="D12" i="89" s="1"/>
  <c r="E34" i="88"/>
  <c r="C12" i="89" s="1"/>
  <c r="H33" i="88"/>
  <c r="G33" i="88"/>
  <c r="AA21" i="88" s="1"/>
  <c r="F33" i="88"/>
  <c r="E33" i="88"/>
  <c r="AB32" i="88"/>
  <c r="AA32" i="88"/>
  <c r="H32" i="88"/>
  <c r="AB18" i="88" s="1"/>
  <c r="G32" i="88"/>
  <c r="F32" i="88"/>
  <c r="D10" i="89" s="1"/>
  <c r="E32" i="88"/>
  <c r="AA17" i="88" s="1"/>
  <c r="J31" i="88"/>
  <c r="H31" i="88"/>
  <c r="G31" i="88"/>
  <c r="AA15" i="88" s="1"/>
  <c r="F31" i="88"/>
  <c r="E31" i="88"/>
  <c r="AA14" i="88" s="1"/>
  <c r="H30" i="88"/>
  <c r="G30" i="88"/>
  <c r="AA12" i="88" s="1"/>
  <c r="F30" i="88"/>
  <c r="D8" i="89" s="1"/>
  <c r="E30" i="88"/>
  <c r="C8" i="89" s="1"/>
  <c r="AB29" i="88"/>
  <c r="AA29" i="88"/>
  <c r="H29" i="88"/>
  <c r="G29" i="88"/>
  <c r="AA9" i="88" s="1"/>
  <c r="F29" i="88"/>
  <c r="D7" i="89" s="1"/>
  <c r="E29" i="88"/>
  <c r="AA8" i="88" s="1"/>
  <c r="I28" i="88"/>
  <c r="H28" i="88"/>
  <c r="G28" i="88"/>
  <c r="AA6" i="88" s="1"/>
  <c r="F28" i="88"/>
  <c r="E28" i="88"/>
  <c r="AB26" i="88"/>
  <c r="AB23" i="88"/>
  <c r="G23" i="88"/>
  <c r="F23" i="88"/>
  <c r="G22" i="88"/>
  <c r="F22" i="88"/>
  <c r="G21" i="88"/>
  <c r="F21" i="88"/>
  <c r="G20" i="88"/>
  <c r="F20" i="88"/>
  <c r="G19" i="88"/>
  <c r="F19" i="88"/>
  <c r="G18" i="88"/>
  <c r="E214" i="89" s="1"/>
  <c r="F18" i="88"/>
  <c r="G17" i="88"/>
  <c r="F17" i="88"/>
  <c r="G16" i="88"/>
  <c r="F16" i="88"/>
  <c r="E209" i="89" s="1"/>
  <c r="G15" i="88"/>
  <c r="E208" i="89" s="1"/>
  <c r="F15" i="88"/>
  <c r="E195" i="89" s="1"/>
  <c r="A221" i="89" s="1"/>
  <c r="AB14" i="88"/>
  <c r="G14" i="88"/>
  <c r="E206" i="89" s="1"/>
  <c r="F14" i="88"/>
  <c r="AA11" i="88"/>
  <c r="D6" i="88"/>
  <c r="B6" i="88"/>
  <c r="AA5" i="88"/>
  <c r="E3" i="88"/>
  <c r="B3" i="88"/>
  <c r="C275" i="87"/>
  <c r="H250" i="87"/>
  <c r="H240" i="87"/>
  <c r="A161" i="87"/>
  <c r="G149" i="87"/>
  <c r="E149" i="87"/>
  <c r="E140" i="87"/>
  <c r="A162" i="87" s="1"/>
  <c r="E139" i="87"/>
  <c r="E137" i="87"/>
  <c r="A159" i="87" s="1"/>
  <c r="E74" i="87"/>
  <c r="F78" i="87" s="1"/>
  <c r="F20" i="87"/>
  <c r="H266" i="87" s="1"/>
  <c r="E20" i="87"/>
  <c r="D20" i="87"/>
  <c r="C20" i="87"/>
  <c r="F19" i="87"/>
  <c r="E19" i="87"/>
  <c r="D19" i="87"/>
  <c r="H256" i="87" s="1"/>
  <c r="C19" i="87"/>
  <c r="F18" i="87"/>
  <c r="E18" i="87"/>
  <c r="D18" i="87"/>
  <c r="C18" i="87"/>
  <c r="F17" i="87"/>
  <c r="H242" i="87" s="1"/>
  <c r="E17" i="87"/>
  <c r="D17" i="87"/>
  <c r="C57" i="87" s="1"/>
  <c r="F59" i="87" s="1"/>
  <c r="C17" i="87"/>
  <c r="F16" i="87"/>
  <c r="E16" i="87"/>
  <c r="D16" i="87"/>
  <c r="C16" i="87"/>
  <c r="F15" i="87"/>
  <c r="E15" i="87"/>
  <c r="D15" i="87"/>
  <c r="H224" i="87" s="1"/>
  <c r="C15" i="87"/>
  <c r="M11" i="87"/>
  <c r="L11" i="87"/>
  <c r="F277" i="87" s="1"/>
  <c r="F11" i="87"/>
  <c r="M10" i="87"/>
  <c r="L10" i="87"/>
  <c r="F276" i="87" s="1"/>
  <c r="M9" i="87"/>
  <c r="L9" i="87"/>
  <c r="C9" i="87"/>
  <c r="M8" i="87"/>
  <c r="L8" i="87"/>
  <c r="F274" i="87" s="1"/>
  <c r="E8" i="87"/>
  <c r="M7" i="87"/>
  <c r="L7" i="87"/>
  <c r="F273" i="87" s="1"/>
  <c r="E7" i="87"/>
  <c r="D7" i="87"/>
  <c r="M6" i="87"/>
  <c r="L6" i="87"/>
  <c r="F272" i="87" s="1"/>
  <c r="E3" i="87"/>
  <c r="B3" i="87"/>
  <c r="AB47" i="86"/>
  <c r="AA47" i="86"/>
  <c r="AA42" i="86"/>
  <c r="J42" i="86"/>
  <c r="H42" i="86"/>
  <c r="AB48" i="86" s="1"/>
  <c r="G42" i="86"/>
  <c r="F42" i="86"/>
  <c r="E42" i="86"/>
  <c r="AB41" i="86"/>
  <c r="AA41" i="86"/>
  <c r="H41" i="86"/>
  <c r="G41" i="86"/>
  <c r="F41" i="86"/>
  <c r="AB44" i="86" s="1"/>
  <c r="E41" i="86"/>
  <c r="AA44" i="86" s="1"/>
  <c r="J40" i="86"/>
  <c r="H40" i="86"/>
  <c r="AB42" i="86" s="1"/>
  <c r="G40" i="86"/>
  <c r="I40" i="86" s="1"/>
  <c r="K40" i="86" s="1"/>
  <c r="M40" i="86" s="1"/>
  <c r="F40" i="86"/>
  <c r="E40" i="86"/>
  <c r="H39" i="86"/>
  <c r="G39" i="86"/>
  <c r="F39" i="86"/>
  <c r="AB38" i="86" s="1"/>
  <c r="E39" i="86"/>
  <c r="AA38" i="86"/>
  <c r="H38" i="86"/>
  <c r="G38" i="86"/>
  <c r="F38" i="86"/>
  <c r="AB35" i="86" s="1"/>
  <c r="E38" i="86"/>
  <c r="J37" i="86"/>
  <c r="H37" i="86"/>
  <c r="AB33" i="86" s="1"/>
  <c r="G37" i="86"/>
  <c r="F37" i="86"/>
  <c r="E37" i="86"/>
  <c r="AA32" i="86" s="1"/>
  <c r="H36" i="86"/>
  <c r="AB30" i="86" s="1"/>
  <c r="G36" i="86"/>
  <c r="F36" i="86"/>
  <c r="AB29" i="86" s="1"/>
  <c r="E36" i="86"/>
  <c r="AA35" i="86"/>
  <c r="H35" i="86"/>
  <c r="J35" i="86" s="1"/>
  <c r="G35" i="86"/>
  <c r="F35" i="86"/>
  <c r="AB26" i="86" s="1"/>
  <c r="E35" i="86"/>
  <c r="AA26" i="86" s="1"/>
  <c r="H34" i="86"/>
  <c r="G34" i="86"/>
  <c r="F34" i="86"/>
  <c r="AB23" i="86" s="1"/>
  <c r="E34" i="86"/>
  <c r="AA23" i="86" s="1"/>
  <c r="H33" i="86"/>
  <c r="G33" i="86"/>
  <c r="F33" i="86"/>
  <c r="AB20" i="86" s="1"/>
  <c r="E33" i="86"/>
  <c r="AA20" i="86" s="1"/>
  <c r="AB32" i="86"/>
  <c r="H32" i="86"/>
  <c r="G32" i="86"/>
  <c r="F32" i="86"/>
  <c r="E32" i="86"/>
  <c r="C10" i="87" s="1"/>
  <c r="H31" i="86"/>
  <c r="G31" i="86"/>
  <c r="F31" i="86"/>
  <c r="E31" i="86"/>
  <c r="AA14" i="86" s="1"/>
  <c r="H30" i="86"/>
  <c r="G30" i="86"/>
  <c r="I30" i="86" s="1"/>
  <c r="F30" i="86"/>
  <c r="E30" i="86"/>
  <c r="AA29" i="86"/>
  <c r="H29" i="86"/>
  <c r="G29" i="86"/>
  <c r="F29" i="86"/>
  <c r="E29" i="86"/>
  <c r="J28" i="86"/>
  <c r="H28" i="86"/>
  <c r="G28" i="86"/>
  <c r="F28" i="86"/>
  <c r="E28" i="86"/>
  <c r="AB27" i="86"/>
  <c r="G23" i="86"/>
  <c r="F23" i="86"/>
  <c r="G22" i="86"/>
  <c r="F22" i="86"/>
  <c r="AB21" i="86"/>
  <c r="G21" i="86"/>
  <c r="F21" i="86"/>
  <c r="G20" i="86"/>
  <c r="F20" i="86"/>
  <c r="G19" i="86"/>
  <c r="F19" i="86"/>
  <c r="G18" i="86"/>
  <c r="F18" i="86"/>
  <c r="AB17" i="86"/>
  <c r="AA17" i="86"/>
  <c r="G17" i="86"/>
  <c r="F17" i="86"/>
  <c r="E143" i="87" s="1"/>
  <c r="A165" i="87" s="1"/>
  <c r="G16" i="86"/>
  <c r="F16" i="86"/>
  <c r="AB15" i="86"/>
  <c r="G15" i="86"/>
  <c r="E150" i="87" s="1"/>
  <c r="F15" i="86"/>
  <c r="G14" i="86"/>
  <c r="F14" i="86"/>
  <c r="AA12" i="86"/>
  <c r="AA9" i="86"/>
  <c r="AB8" i="86"/>
  <c r="D6" i="86"/>
  <c r="B6" i="86"/>
  <c r="AA5" i="86"/>
  <c r="E3" i="86"/>
  <c r="B3" i="86"/>
  <c r="F277" i="85"/>
  <c r="D277" i="85"/>
  <c r="C276" i="85"/>
  <c r="C275" i="85"/>
  <c r="H263" i="85"/>
  <c r="H242" i="85"/>
  <c r="H241" i="85"/>
  <c r="H234" i="85"/>
  <c r="H233" i="85"/>
  <c r="H226" i="85"/>
  <c r="E153" i="85"/>
  <c r="E147" i="85"/>
  <c r="F147" i="85" s="1"/>
  <c r="D108" i="85"/>
  <c r="F111" i="85" s="1"/>
  <c r="B108" i="85"/>
  <c r="C91" i="85"/>
  <c r="F93" i="85" s="1"/>
  <c r="C74" i="85"/>
  <c r="F76" i="85" s="1"/>
  <c r="D57" i="85"/>
  <c r="F60" i="85" s="1"/>
  <c r="F43" i="85"/>
  <c r="E40" i="85"/>
  <c r="F44" i="85" s="1"/>
  <c r="D40" i="85"/>
  <c r="C23" i="85"/>
  <c r="F20" i="85"/>
  <c r="H266" i="85" s="1"/>
  <c r="E20" i="85"/>
  <c r="H265" i="85" s="1"/>
  <c r="D20" i="85"/>
  <c r="C20" i="85"/>
  <c r="C277" i="85" s="1"/>
  <c r="F19" i="85"/>
  <c r="E19" i="85"/>
  <c r="D19" i="85"/>
  <c r="H256" i="85" s="1"/>
  <c r="C19" i="85"/>
  <c r="F18" i="85"/>
  <c r="E18" i="85"/>
  <c r="D18" i="85"/>
  <c r="H248" i="85" s="1"/>
  <c r="C18" i="85"/>
  <c r="H247" i="85" s="1"/>
  <c r="F17" i="85"/>
  <c r="E57" i="85" s="1"/>
  <c r="F61" i="85" s="1"/>
  <c r="E17" i="85"/>
  <c r="D274" i="85" s="1"/>
  <c r="D17" i="85"/>
  <c r="C17" i="85"/>
  <c r="F16" i="85"/>
  <c r="E16" i="85"/>
  <c r="D273" i="85" s="1"/>
  <c r="D16" i="85"/>
  <c r="C16" i="85"/>
  <c r="F15" i="85"/>
  <c r="E23" i="85" s="1"/>
  <c r="F27" i="85" s="1"/>
  <c r="E15" i="85"/>
  <c r="D15" i="85"/>
  <c r="H224" i="85" s="1"/>
  <c r="C15" i="85"/>
  <c r="M11" i="85"/>
  <c r="L11" i="85"/>
  <c r="D11" i="85"/>
  <c r="M10" i="85"/>
  <c r="L10" i="85"/>
  <c r="M9" i="85"/>
  <c r="L9" i="85"/>
  <c r="M8" i="85"/>
  <c r="L8" i="85"/>
  <c r="F8" i="85"/>
  <c r="E8" i="85"/>
  <c r="D8" i="85"/>
  <c r="C8" i="85"/>
  <c r="M7" i="85"/>
  <c r="L7" i="85"/>
  <c r="F273" i="85" s="1"/>
  <c r="D7" i="85"/>
  <c r="M6" i="85"/>
  <c r="L6" i="85"/>
  <c r="E3" i="85"/>
  <c r="B3" i="85"/>
  <c r="AB45" i="84"/>
  <c r="H42" i="84"/>
  <c r="G42" i="84"/>
  <c r="F42" i="84"/>
  <c r="AB47" i="84" s="1"/>
  <c r="E42" i="84"/>
  <c r="AA47" i="84" s="1"/>
  <c r="J41" i="84"/>
  <c r="H41" i="84"/>
  <c r="G41" i="84"/>
  <c r="F41" i="84"/>
  <c r="AB44" i="84" s="1"/>
  <c r="E41" i="84"/>
  <c r="AA44" i="84" s="1"/>
  <c r="J40" i="84"/>
  <c r="H40" i="84"/>
  <c r="AB42" i="84" s="1"/>
  <c r="G40" i="84"/>
  <c r="F40" i="84"/>
  <c r="AB41" i="84" s="1"/>
  <c r="E40" i="84"/>
  <c r="AA41" i="84" s="1"/>
  <c r="I39" i="84"/>
  <c r="K39" i="84" s="1"/>
  <c r="H39" i="84"/>
  <c r="AB39" i="84" s="1"/>
  <c r="G39" i="84"/>
  <c r="AA39" i="84" s="1"/>
  <c r="F39" i="84"/>
  <c r="AB38" i="84" s="1"/>
  <c r="E39" i="84"/>
  <c r="AA38" i="84" s="1"/>
  <c r="J38" i="84"/>
  <c r="I38" i="84"/>
  <c r="K38" i="84" s="1"/>
  <c r="H38" i="84"/>
  <c r="G38" i="84"/>
  <c r="AA36" i="84" s="1"/>
  <c r="F38" i="84"/>
  <c r="AB35" i="84" s="1"/>
  <c r="E38" i="84"/>
  <c r="AA35" i="84" s="1"/>
  <c r="H37" i="84"/>
  <c r="J37" i="84" s="1"/>
  <c r="G37" i="84"/>
  <c r="F37" i="84"/>
  <c r="AB32" i="84" s="1"/>
  <c r="E37" i="84"/>
  <c r="AA32" i="84" s="1"/>
  <c r="AB36" i="84"/>
  <c r="I36" i="84"/>
  <c r="K36" i="84" s="1"/>
  <c r="H36" i="84"/>
  <c r="G36" i="84"/>
  <c r="F36" i="84"/>
  <c r="AB29" i="84" s="1"/>
  <c r="E36" i="84"/>
  <c r="AA29" i="84" s="1"/>
  <c r="J35" i="84"/>
  <c r="H35" i="84"/>
  <c r="G35" i="84"/>
  <c r="AA27" i="84" s="1"/>
  <c r="F35" i="84"/>
  <c r="AB26" i="84" s="1"/>
  <c r="E35" i="84"/>
  <c r="AA26" i="84" s="1"/>
  <c r="I34" i="84"/>
  <c r="K34" i="84" s="1"/>
  <c r="H34" i="84"/>
  <c r="G34" i="84"/>
  <c r="AA24" i="84" s="1"/>
  <c r="F34" i="84"/>
  <c r="AB23" i="84" s="1"/>
  <c r="E34" i="84"/>
  <c r="AA23" i="84" s="1"/>
  <c r="H33" i="84"/>
  <c r="AB21" i="84" s="1"/>
  <c r="G33" i="84"/>
  <c r="F33" i="84"/>
  <c r="E33" i="84"/>
  <c r="I32" i="84"/>
  <c r="H32" i="84"/>
  <c r="G32" i="84"/>
  <c r="F32" i="84"/>
  <c r="E32" i="84"/>
  <c r="H31" i="84"/>
  <c r="G31" i="84"/>
  <c r="F31" i="84"/>
  <c r="E31" i="84"/>
  <c r="AA30" i="84"/>
  <c r="H30" i="84"/>
  <c r="G30" i="84"/>
  <c r="F30" i="84"/>
  <c r="AB11" i="84" s="1"/>
  <c r="E30" i="84"/>
  <c r="H29" i="84"/>
  <c r="G29" i="84"/>
  <c r="F29" i="84"/>
  <c r="E29" i="84"/>
  <c r="C7" i="85" s="1"/>
  <c r="H28" i="84"/>
  <c r="G28" i="84"/>
  <c r="F28" i="84"/>
  <c r="E28" i="84"/>
  <c r="AB27" i="84"/>
  <c r="G23" i="84"/>
  <c r="F23" i="84"/>
  <c r="G22" i="84"/>
  <c r="F22" i="84"/>
  <c r="AA21" i="84"/>
  <c r="G21" i="84"/>
  <c r="F21" i="84"/>
  <c r="AB20" i="84"/>
  <c r="G20" i="84"/>
  <c r="F20" i="84"/>
  <c r="G19" i="84"/>
  <c r="F19" i="84"/>
  <c r="G18" i="84"/>
  <c r="F18" i="84"/>
  <c r="G17" i="84"/>
  <c r="F17" i="84"/>
  <c r="E143" i="85" s="1"/>
  <c r="A165" i="85" s="1"/>
  <c r="G16" i="84"/>
  <c r="F16" i="84"/>
  <c r="G15" i="84"/>
  <c r="E140" i="85" s="1"/>
  <c r="A162" i="85" s="1"/>
  <c r="F15" i="84"/>
  <c r="G14" i="84"/>
  <c r="F14" i="84"/>
  <c r="E137" i="85" s="1"/>
  <c r="A159" i="85" s="1"/>
  <c r="AA11" i="84"/>
  <c r="AB9" i="84"/>
  <c r="AA9" i="84"/>
  <c r="AB8" i="84"/>
  <c r="AA8" i="84"/>
  <c r="AA6" i="84"/>
  <c r="D6" i="84"/>
  <c r="B6" i="84"/>
  <c r="E3" i="84"/>
  <c r="B3" i="84"/>
  <c r="C647" i="83"/>
  <c r="F646" i="83"/>
  <c r="C646" i="83"/>
  <c r="D644" i="83"/>
  <c r="D642" i="83"/>
  <c r="C642" i="83"/>
  <c r="D638" i="83"/>
  <c r="H613" i="83"/>
  <c r="H612" i="83"/>
  <c r="H604" i="83"/>
  <c r="H581" i="83"/>
  <c r="H572" i="83"/>
  <c r="H567" i="83"/>
  <c r="H556" i="83"/>
  <c r="H542" i="83"/>
  <c r="H533" i="83"/>
  <c r="G406" i="83"/>
  <c r="E392" i="83"/>
  <c r="A430" i="83" s="1"/>
  <c r="E391" i="83"/>
  <c r="A429" i="83" s="1"/>
  <c r="C312" i="83"/>
  <c r="F314" i="83" s="1"/>
  <c r="F289" i="83"/>
  <c r="E262" i="83"/>
  <c r="F266" i="83" s="1"/>
  <c r="D212" i="83"/>
  <c r="F215" i="83" s="1"/>
  <c r="C212" i="83"/>
  <c r="F214" i="83" s="1"/>
  <c r="F189" i="83"/>
  <c r="E162" i="83"/>
  <c r="F166" i="83" s="1"/>
  <c r="D162" i="83"/>
  <c r="F165" i="83" s="1"/>
  <c r="B162" i="83"/>
  <c r="D62" i="83"/>
  <c r="F65" i="83" s="1"/>
  <c r="D37" i="83"/>
  <c r="F40" i="83" s="1"/>
  <c r="F34" i="83"/>
  <c r="E34" i="83"/>
  <c r="D649" i="83" s="1"/>
  <c r="D34" i="83"/>
  <c r="C34" i="83"/>
  <c r="F33" i="83"/>
  <c r="E33" i="83"/>
  <c r="D312" i="83" s="1"/>
  <c r="F315" i="83" s="1"/>
  <c r="D33" i="83"/>
  <c r="H621" i="83" s="1"/>
  <c r="C33" i="83"/>
  <c r="F32" i="83"/>
  <c r="E32" i="83"/>
  <c r="D647" i="83" s="1"/>
  <c r="D32" i="83"/>
  <c r="C287" i="83" s="1"/>
  <c r="C32" i="83"/>
  <c r="B287" i="83" s="1"/>
  <c r="F31" i="83"/>
  <c r="H607" i="83" s="1"/>
  <c r="E31" i="83"/>
  <c r="D646" i="83" s="1"/>
  <c r="D31" i="83"/>
  <c r="H605" i="83" s="1"/>
  <c r="C31" i="83"/>
  <c r="B262" i="83" s="1"/>
  <c r="F30" i="83"/>
  <c r="E30" i="83"/>
  <c r="D30" i="83"/>
  <c r="C30" i="83"/>
  <c r="F29" i="83"/>
  <c r="E29" i="83"/>
  <c r="H590" i="83" s="1"/>
  <c r="D29" i="83"/>
  <c r="H589" i="83" s="1"/>
  <c r="C29" i="83"/>
  <c r="H588" i="83" s="1"/>
  <c r="F28" i="83"/>
  <c r="E28" i="83"/>
  <c r="D187" i="83" s="1"/>
  <c r="F190" i="83" s="1"/>
  <c r="D28" i="83"/>
  <c r="C187" i="83" s="1"/>
  <c r="C28" i="83"/>
  <c r="F27" i="83"/>
  <c r="H575" i="83" s="1"/>
  <c r="E27" i="83"/>
  <c r="H574" i="83" s="1"/>
  <c r="D27" i="83"/>
  <c r="C27" i="83"/>
  <c r="F26" i="83"/>
  <c r="E137" i="83" s="1"/>
  <c r="F141" i="83" s="1"/>
  <c r="E26" i="83"/>
  <c r="D26" i="83"/>
  <c r="H565" i="83" s="1"/>
  <c r="C26" i="83"/>
  <c r="F25" i="83"/>
  <c r="E25" i="83"/>
  <c r="D25" i="83"/>
  <c r="C25" i="83"/>
  <c r="F24" i="83"/>
  <c r="H551" i="83" s="1"/>
  <c r="E24" i="83"/>
  <c r="D639" i="83" s="1"/>
  <c r="D24" i="83"/>
  <c r="H549" i="83" s="1"/>
  <c r="C24" i="83"/>
  <c r="C639" i="83" s="1"/>
  <c r="F23" i="83"/>
  <c r="E23" i="83"/>
  <c r="D23" i="83"/>
  <c r="C23" i="83"/>
  <c r="F22" i="83"/>
  <c r="E22" i="83"/>
  <c r="D22" i="83"/>
  <c r="C37" i="83" s="1"/>
  <c r="F39" i="83" s="1"/>
  <c r="C22" i="83"/>
  <c r="M18" i="83"/>
  <c r="L18" i="83"/>
  <c r="F649" i="83" s="1"/>
  <c r="E18" i="83"/>
  <c r="D18" i="83"/>
  <c r="M17" i="83"/>
  <c r="L17" i="83"/>
  <c r="F648" i="83" s="1"/>
  <c r="M16" i="83"/>
  <c r="L16" i="83"/>
  <c r="F647" i="83" s="1"/>
  <c r="D16" i="83"/>
  <c r="C16" i="83"/>
  <c r="M15" i="83"/>
  <c r="L15" i="83"/>
  <c r="E15" i="83"/>
  <c r="D15" i="83"/>
  <c r="M14" i="83"/>
  <c r="L14" i="83"/>
  <c r="M13" i="83"/>
  <c r="L13" i="83"/>
  <c r="D13" i="83"/>
  <c r="M12" i="83"/>
  <c r="L12" i="83"/>
  <c r="F643" i="83" s="1"/>
  <c r="E12" i="83"/>
  <c r="C12" i="83"/>
  <c r="M11" i="83"/>
  <c r="L11" i="83"/>
  <c r="F642" i="83" s="1"/>
  <c r="M10" i="83"/>
  <c r="L10" i="83"/>
  <c r="F641" i="83" s="1"/>
  <c r="M9" i="83"/>
  <c r="L9" i="83"/>
  <c r="F640" i="83" s="1"/>
  <c r="M8" i="83"/>
  <c r="L8" i="83"/>
  <c r="M7" i="83"/>
  <c r="L7" i="83"/>
  <c r="F638" i="83" s="1"/>
  <c r="F7" i="83"/>
  <c r="H7" i="83" s="1"/>
  <c r="E7" i="83"/>
  <c r="D7" i="83"/>
  <c r="C7" i="83"/>
  <c r="M6" i="83"/>
  <c r="L6" i="83"/>
  <c r="F637" i="83" s="1"/>
  <c r="F6" i="83"/>
  <c r="E3" i="83"/>
  <c r="B3" i="83"/>
  <c r="AB45" i="82"/>
  <c r="AB44" i="82"/>
  <c r="AA44" i="82"/>
  <c r="AB42" i="82"/>
  <c r="H42" i="82"/>
  <c r="G42" i="82"/>
  <c r="F42" i="82"/>
  <c r="AB47" i="82" s="1"/>
  <c r="E42" i="82"/>
  <c r="AA47" i="82" s="1"/>
  <c r="AB41" i="82"/>
  <c r="H41" i="82"/>
  <c r="J41" i="82" s="1"/>
  <c r="G41" i="82"/>
  <c r="AA45" i="82" s="1"/>
  <c r="F41" i="82"/>
  <c r="E41" i="82"/>
  <c r="H40" i="82"/>
  <c r="F18" i="83" s="1"/>
  <c r="G40" i="82"/>
  <c r="AA42" i="82" s="1"/>
  <c r="F40" i="82"/>
  <c r="E40" i="82"/>
  <c r="C18" i="83" s="1"/>
  <c r="AB39" i="82"/>
  <c r="AA39" i="82"/>
  <c r="H39" i="82"/>
  <c r="F17" i="83" s="1"/>
  <c r="H17" i="83" s="1"/>
  <c r="G39" i="82"/>
  <c r="E17" i="83" s="1"/>
  <c r="F39" i="82"/>
  <c r="D17" i="83" s="1"/>
  <c r="E39" i="82"/>
  <c r="AB38" i="82"/>
  <c r="H38" i="82"/>
  <c r="G38" i="82"/>
  <c r="F38" i="82"/>
  <c r="E38" i="82"/>
  <c r="H37" i="82"/>
  <c r="J37" i="82" s="1"/>
  <c r="G37" i="82"/>
  <c r="AA33" i="82" s="1"/>
  <c r="F37" i="82"/>
  <c r="E37" i="82"/>
  <c r="H36" i="82"/>
  <c r="G36" i="82"/>
  <c r="AA30" i="82" s="1"/>
  <c r="F36" i="82"/>
  <c r="E36" i="82"/>
  <c r="AB35" i="82"/>
  <c r="AA35" i="82"/>
  <c r="H35" i="82"/>
  <c r="G35" i="82"/>
  <c r="E13" i="83" s="1"/>
  <c r="G13" i="83" s="1"/>
  <c r="F35" i="82"/>
  <c r="AB26" i="82" s="1"/>
  <c r="E35" i="82"/>
  <c r="C13" i="83" s="1"/>
  <c r="H34" i="82"/>
  <c r="AB24" i="82" s="1"/>
  <c r="G34" i="82"/>
  <c r="AA24" i="82" s="1"/>
  <c r="F34" i="82"/>
  <c r="E34" i="82"/>
  <c r="AA23" i="82" s="1"/>
  <c r="H33" i="82"/>
  <c r="G33" i="82"/>
  <c r="F33" i="82"/>
  <c r="D11" i="83" s="1"/>
  <c r="E33" i="82"/>
  <c r="AB32" i="82"/>
  <c r="H32" i="82"/>
  <c r="G32" i="82"/>
  <c r="E10" i="83" s="1"/>
  <c r="F32" i="82"/>
  <c r="E32" i="82"/>
  <c r="AA17" i="82" s="1"/>
  <c r="H31" i="82"/>
  <c r="G31" i="82"/>
  <c r="F31" i="82"/>
  <c r="E31" i="82"/>
  <c r="H30" i="82"/>
  <c r="G30" i="82"/>
  <c r="F30" i="82"/>
  <c r="E30" i="82"/>
  <c r="J29" i="82"/>
  <c r="I29" i="82"/>
  <c r="K29" i="82" s="1"/>
  <c r="H29" i="82"/>
  <c r="AB9" i="82" s="1"/>
  <c r="G29" i="82"/>
  <c r="AA9" i="82" s="1"/>
  <c r="F29" i="82"/>
  <c r="AB8" i="82" s="1"/>
  <c r="E29" i="82"/>
  <c r="H28" i="82"/>
  <c r="AB6" i="82" s="1"/>
  <c r="G28" i="82"/>
  <c r="E6" i="83" s="1"/>
  <c r="F28" i="82"/>
  <c r="AB5" i="82" s="1"/>
  <c r="E28" i="82"/>
  <c r="G23" i="82"/>
  <c r="F23" i="82"/>
  <c r="G22" i="82"/>
  <c r="F22" i="82"/>
  <c r="G21" i="82"/>
  <c r="F21" i="82"/>
  <c r="AB20" i="82"/>
  <c r="G20" i="82"/>
  <c r="E395" i="83" s="1"/>
  <c r="A433" i="83" s="1"/>
  <c r="F20" i="82"/>
  <c r="E394" i="83" s="1"/>
  <c r="A432" i="83" s="1"/>
  <c r="G19" i="82"/>
  <c r="E393" i="83" s="1"/>
  <c r="A431" i="83" s="1"/>
  <c r="F19" i="82"/>
  <c r="E410" i="83" s="1"/>
  <c r="AA18" i="82"/>
  <c r="G18" i="82"/>
  <c r="E409" i="83" s="1"/>
  <c r="F18" i="82"/>
  <c r="G17" i="82"/>
  <c r="F17" i="82"/>
  <c r="E406" i="83" s="1"/>
  <c r="T426" i="83" s="1"/>
  <c r="G16" i="82"/>
  <c r="E405" i="83" s="1"/>
  <c r="F16" i="82"/>
  <c r="E404" i="83" s="1"/>
  <c r="G15" i="82"/>
  <c r="F15" i="82"/>
  <c r="G14" i="82"/>
  <c r="F14" i="82"/>
  <c r="AA8" i="82"/>
  <c r="AA6" i="82"/>
  <c r="D6" i="82"/>
  <c r="B6" i="82"/>
  <c r="E3" i="82"/>
  <c r="B3" i="82"/>
  <c r="D649" i="81"/>
  <c r="D646" i="81"/>
  <c r="C643" i="81"/>
  <c r="D640" i="81"/>
  <c r="F638" i="81"/>
  <c r="D637" i="81"/>
  <c r="H607" i="81"/>
  <c r="H606" i="81"/>
  <c r="H605" i="81"/>
  <c r="H599" i="81"/>
  <c r="H598" i="81"/>
  <c r="H558" i="81"/>
  <c r="H534" i="81"/>
  <c r="E406" i="81"/>
  <c r="F314" i="81"/>
  <c r="C312" i="81"/>
  <c r="E262" i="81"/>
  <c r="F266" i="81" s="1"/>
  <c r="C262" i="81"/>
  <c r="F264" i="81" s="1"/>
  <c r="B262" i="81"/>
  <c r="E237" i="81"/>
  <c r="F241" i="81" s="1"/>
  <c r="C212" i="81"/>
  <c r="F214" i="81" s="1"/>
  <c r="C112" i="81"/>
  <c r="F114" i="81" s="1"/>
  <c r="E37" i="81"/>
  <c r="F41" i="81" s="1"/>
  <c r="F34" i="81"/>
  <c r="E34" i="81"/>
  <c r="D337" i="81" s="1"/>
  <c r="F340" i="81" s="1"/>
  <c r="D34" i="81"/>
  <c r="C34" i="81"/>
  <c r="F33" i="81"/>
  <c r="E33" i="81"/>
  <c r="D648" i="81" s="1"/>
  <c r="D33" i="81"/>
  <c r="H621" i="81" s="1"/>
  <c r="C33" i="81"/>
  <c r="B312" i="81" s="1"/>
  <c r="F32" i="81"/>
  <c r="E32" i="81"/>
  <c r="D647" i="81" s="1"/>
  <c r="D32" i="81"/>
  <c r="C32" i="81"/>
  <c r="C647" i="81" s="1"/>
  <c r="F31" i="81"/>
  <c r="E31" i="81"/>
  <c r="D262" i="81" s="1"/>
  <c r="F265" i="81" s="1"/>
  <c r="D31" i="81"/>
  <c r="C31" i="81"/>
  <c r="F30" i="81"/>
  <c r="E30" i="81"/>
  <c r="D237" i="81" s="1"/>
  <c r="F240" i="81" s="1"/>
  <c r="D30" i="81"/>
  <c r="C30" i="81"/>
  <c r="F29" i="81"/>
  <c r="E29" i="81"/>
  <c r="D29" i="81"/>
  <c r="H589" i="81" s="1"/>
  <c r="C29" i="81"/>
  <c r="C644" i="81" s="1"/>
  <c r="F28" i="81"/>
  <c r="E28" i="81"/>
  <c r="D28" i="81"/>
  <c r="C28" i="81"/>
  <c r="F27" i="81"/>
  <c r="E27" i="81"/>
  <c r="D27" i="81"/>
  <c r="C27" i="81"/>
  <c r="B162" i="81" s="1"/>
  <c r="F26" i="81"/>
  <c r="E26" i="81"/>
  <c r="D137" i="81" s="1"/>
  <c r="F140" i="81" s="1"/>
  <c r="D26" i="81"/>
  <c r="C26" i="81"/>
  <c r="F25" i="81"/>
  <c r="E25" i="81"/>
  <c r="D112" i="81" s="1"/>
  <c r="D25" i="81"/>
  <c r="H557" i="81" s="1"/>
  <c r="C25" i="81"/>
  <c r="B112" i="81" s="1"/>
  <c r="F24" i="81"/>
  <c r="E24" i="81"/>
  <c r="H550" i="81" s="1"/>
  <c r="D24" i="81"/>
  <c r="C24" i="81"/>
  <c r="F23" i="81"/>
  <c r="E62" i="81" s="1"/>
  <c r="F66" i="81" s="1"/>
  <c r="E23" i="81"/>
  <c r="D638" i="81" s="1"/>
  <c r="D23" i="81"/>
  <c r="C23" i="81"/>
  <c r="F22" i="81"/>
  <c r="H535" i="81" s="1"/>
  <c r="E22" i="81"/>
  <c r="D37" i="81" s="1"/>
  <c r="F40" i="81" s="1"/>
  <c r="D22" i="81"/>
  <c r="C22" i="81"/>
  <c r="M18" i="81"/>
  <c r="L18" i="81"/>
  <c r="F649" i="81" s="1"/>
  <c r="M17" i="81"/>
  <c r="L17" i="81"/>
  <c r="F648" i="81" s="1"/>
  <c r="D17" i="81"/>
  <c r="C17" i="81"/>
  <c r="M16" i="81"/>
  <c r="L16" i="81"/>
  <c r="F647" i="81" s="1"/>
  <c r="D16" i="81"/>
  <c r="C16" i="81"/>
  <c r="M15" i="81"/>
  <c r="L15" i="81"/>
  <c r="C15" i="81"/>
  <c r="M14" i="81"/>
  <c r="L14" i="81"/>
  <c r="D14" i="81"/>
  <c r="M13" i="81"/>
  <c r="L13" i="81"/>
  <c r="F13" i="81"/>
  <c r="E13" i="81"/>
  <c r="D13" i="81"/>
  <c r="H13" i="81" s="1"/>
  <c r="M12" i="81"/>
  <c r="L12" i="81"/>
  <c r="F643" i="81" s="1"/>
  <c r="D12" i="81"/>
  <c r="M11" i="81"/>
  <c r="L11" i="81"/>
  <c r="E11" i="81"/>
  <c r="C11" i="81"/>
  <c r="M10" i="81"/>
  <c r="L10" i="81"/>
  <c r="F641" i="81" s="1"/>
  <c r="F10" i="81"/>
  <c r="M9" i="81"/>
  <c r="L9" i="81"/>
  <c r="M8" i="81"/>
  <c r="L8" i="81"/>
  <c r="F639" i="81" s="1"/>
  <c r="F8" i="81"/>
  <c r="H8" i="81" s="1"/>
  <c r="C8" i="81"/>
  <c r="G8" i="81" s="1"/>
  <c r="M7" i="81"/>
  <c r="L7" i="81"/>
  <c r="M6" i="81"/>
  <c r="L6" i="81"/>
  <c r="F637" i="81" s="1"/>
  <c r="E3" i="81"/>
  <c r="B3" i="81"/>
  <c r="AA44" i="80"/>
  <c r="AB42" i="80"/>
  <c r="H42" i="80"/>
  <c r="J42" i="80" s="1"/>
  <c r="G42" i="80"/>
  <c r="F42" i="80"/>
  <c r="AB47" i="80" s="1"/>
  <c r="E42" i="80"/>
  <c r="AA47" i="80" s="1"/>
  <c r="J41" i="80"/>
  <c r="H41" i="80"/>
  <c r="AB45" i="80" s="1"/>
  <c r="G41" i="80"/>
  <c r="AA45" i="80" s="1"/>
  <c r="F41" i="80"/>
  <c r="AB44" i="80" s="1"/>
  <c r="E41" i="80"/>
  <c r="H40" i="80"/>
  <c r="F18" i="81" s="1"/>
  <c r="G40" i="80"/>
  <c r="F40" i="80"/>
  <c r="E40" i="80"/>
  <c r="AA39" i="80"/>
  <c r="H39" i="80"/>
  <c r="G39" i="80"/>
  <c r="I39" i="80" s="1"/>
  <c r="F39" i="80"/>
  <c r="E39" i="80"/>
  <c r="AA38" i="80" s="1"/>
  <c r="H38" i="80"/>
  <c r="G38" i="80"/>
  <c r="I38" i="80" s="1"/>
  <c r="F38" i="80"/>
  <c r="E38" i="80"/>
  <c r="H37" i="80"/>
  <c r="F15" i="81" s="1"/>
  <c r="G37" i="80"/>
  <c r="I37" i="80" s="1"/>
  <c r="F37" i="80"/>
  <c r="E37" i="80"/>
  <c r="H36" i="80"/>
  <c r="F14" i="81" s="1"/>
  <c r="G36" i="80"/>
  <c r="E14" i="81" s="1"/>
  <c r="F36" i="80"/>
  <c r="E36" i="80"/>
  <c r="AB35" i="80"/>
  <c r="AA35" i="80"/>
  <c r="I35" i="80"/>
  <c r="H35" i="80"/>
  <c r="AB27" i="80" s="1"/>
  <c r="G35" i="80"/>
  <c r="F35" i="80"/>
  <c r="E35" i="80"/>
  <c r="C13" i="81" s="1"/>
  <c r="H34" i="80"/>
  <c r="G34" i="80"/>
  <c r="F34" i="80"/>
  <c r="AB23" i="80" s="1"/>
  <c r="E34" i="80"/>
  <c r="AB33" i="80"/>
  <c r="AA33" i="80"/>
  <c r="J33" i="80"/>
  <c r="H33" i="80"/>
  <c r="F11" i="81" s="1"/>
  <c r="G33" i="80"/>
  <c r="AA21" i="80" s="1"/>
  <c r="F33" i="80"/>
  <c r="AB20" i="80" s="1"/>
  <c r="E33" i="80"/>
  <c r="I33" i="80" s="1"/>
  <c r="AA32" i="80"/>
  <c r="H32" i="80"/>
  <c r="AB18" i="80" s="1"/>
  <c r="G32" i="80"/>
  <c r="F32" i="80"/>
  <c r="E32" i="80"/>
  <c r="H31" i="80"/>
  <c r="F9" i="81" s="1"/>
  <c r="G31" i="80"/>
  <c r="F31" i="80"/>
  <c r="E31" i="80"/>
  <c r="AB30" i="80"/>
  <c r="AA30" i="80"/>
  <c r="K30" i="80"/>
  <c r="J30" i="80"/>
  <c r="I30" i="80"/>
  <c r="H30" i="80"/>
  <c r="G30" i="80"/>
  <c r="E8" i="81" s="1"/>
  <c r="F30" i="80"/>
  <c r="D8" i="81" s="1"/>
  <c r="E30" i="80"/>
  <c r="H29" i="80"/>
  <c r="G29" i="80"/>
  <c r="F29" i="80"/>
  <c r="E29" i="80"/>
  <c r="H28" i="80"/>
  <c r="F6" i="81" s="1"/>
  <c r="G28" i="80"/>
  <c r="AA6" i="80" s="1"/>
  <c r="F28" i="80"/>
  <c r="E28" i="80"/>
  <c r="AA27" i="80"/>
  <c r="AB26" i="80"/>
  <c r="AA26" i="80"/>
  <c r="G23" i="80"/>
  <c r="F23" i="80"/>
  <c r="G22" i="80"/>
  <c r="F22" i="80"/>
  <c r="G21" i="80"/>
  <c r="F21" i="80"/>
  <c r="E414" i="81" s="1"/>
  <c r="AA20" i="80"/>
  <c r="G20" i="80"/>
  <c r="E413" i="81" s="1"/>
  <c r="F20" i="80"/>
  <c r="E412" i="81" s="1"/>
  <c r="T432" i="81" s="1"/>
  <c r="G19" i="80"/>
  <c r="E411" i="81" s="1"/>
  <c r="F19" i="80"/>
  <c r="G18" i="80"/>
  <c r="F18" i="80"/>
  <c r="E408" i="81" s="1"/>
  <c r="G17" i="80"/>
  <c r="E389" i="81" s="1"/>
  <c r="A427" i="81" s="1"/>
  <c r="F17" i="80"/>
  <c r="E388" i="81" s="1"/>
  <c r="A426" i="81" s="1"/>
  <c r="G16" i="80"/>
  <c r="F16" i="80"/>
  <c r="G15" i="80"/>
  <c r="F15" i="80"/>
  <c r="G14" i="80"/>
  <c r="F14" i="80"/>
  <c r="AB12" i="80"/>
  <c r="AA12" i="80"/>
  <c r="AB11" i="80"/>
  <c r="AA11" i="80"/>
  <c r="D6" i="80"/>
  <c r="B6" i="80"/>
  <c r="E3" i="80"/>
  <c r="B3" i="80"/>
  <c r="C536" i="79"/>
  <c r="D532" i="79"/>
  <c r="D531" i="79"/>
  <c r="D528" i="79"/>
  <c r="C528" i="79"/>
  <c r="H521" i="79"/>
  <c r="H489" i="79"/>
  <c r="H457" i="79"/>
  <c r="H448" i="79"/>
  <c r="H440" i="79"/>
  <c r="R343" i="79"/>
  <c r="E326" i="79"/>
  <c r="E324" i="79"/>
  <c r="E307" i="79"/>
  <c r="A341" i="79" s="1"/>
  <c r="E306" i="79"/>
  <c r="A340" i="79" s="1"/>
  <c r="D240" i="79"/>
  <c r="F243" i="79" s="1"/>
  <c r="B240" i="79"/>
  <c r="D217" i="79"/>
  <c r="F220" i="79" s="1"/>
  <c r="C217" i="79"/>
  <c r="F219" i="79" s="1"/>
  <c r="E171" i="79"/>
  <c r="F175" i="79" s="1"/>
  <c r="C148" i="79"/>
  <c r="F150" i="79" s="1"/>
  <c r="E79" i="79"/>
  <c r="F83" i="79" s="1"/>
  <c r="B56" i="79"/>
  <c r="F37" i="79"/>
  <c r="F36" i="79"/>
  <c r="D33" i="79"/>
  <c r="F30" i="79"/>
  <c r="E263" i="79" s="1"/>
  <c r="F267" i="79" s="1"/>
  <c r="E30" i="79"/>
  <c r="D30" i="79"/>
  <c r="C30" i="79"/>
  <c r="F29" i="79"/>
  <c r="E29" i="79"/>
  <c r="D29" i="79"/>
  <c r="H511" i="79" s="1"/>
  <c r="C29" i="79"/>
  <c r="H510" i="79" s="1"/>
  <c r="F28" i="79"/>
  <c r="E28" i="79"/>
  <c r="D28" i="79"/>
  <c r="H503" i="79" s="1"/>
  <c r="C28" i="79"/>
  <c r="F27" i="79"/>
  <c r="E194" i="79" s="1"/>
  <c r="F198" i="79" s="1"/>
  <c r="E27" i="79"/>
  <c r="D27" i="79"/>
  <c r="C194" i="79" s="1"/>
  <c r="F196" i="79" s="1"/>
  <c r="C27" i="79"/>
  <c r="F26" i="79"/>
  <c r="E26" i="79"/>
  <c r="D26" i="79"/>
  <c r="C26" i="79"/>
  <c r="F25" i="79"/>
  <c r="E25" i="79"/>
  <c r="D25" i="79"/>
  <c r="H479" i="79" s="1"/>
  <c r="C25" i="79"/>
  <c r="H478" i="79" s="1"/>
  <c r="F24" i="79"/>
  <c r="E24" i="79"/>
  <c r="H472" i="79" s="1"/>
  <c r="D24" i="79"/>
  <c r="H471" i="79" s="1"/>
  <c r="C24" i="79"/>
  <c r="F23" i="79"/>
  <c r="E102" i="79" s="1"/>
  <c r="F106" i="79" s="1"/>
  <c r="E23" i="79"/>
  <c r="D102" i="79" s="1"/>
  <c r="F105" i="79" s="1"/>
  <c r="D23" i="79"/>
  <c r="C23" i="79"/>
  <c r="F22" i="79"/>
  <c r="E22" i="79"/>
  <c r="D22" i="79"/>
  <c r="C22" i="79"/>
  <c r="F21" i="79"/>
  <c r="E21" i="79"/>
  <c r="D56" i="79" s="1"/>
  <c r="D21" i="79"/>
  <c r="C21" i="79"/>
  <c r="H446" i="79" s="1"/>
  <c r="F20" i="79"/>
  <c r="E33" i="79" s="1"/>
  <c r="E20" i="79"/>
  <c r="D527" i="79" s="1"/>
  <c r="D20" i="79"/>
  <c r="C20" i="79"/>
  <c r="B33" i="79" s="1"/>
  <c r="M16" i="79"/>
  <c r="L16" i="79"/>
  <c r="M15" i="79"/>
  <c r="L15" i="79"/>
  <c r="M14" i="79"/>
  <c r="L14" i="79"/>
  <c r="F535" i="79" s="1"/>
  <c r="M13" i="79"/>
  <c r="L13" i="79"/>
  <c r="M12" i="79"/>
  <c r="L12" i="79"/>
  <c r="M11" i="79"/>
  <c r="L11" i="79"/>
  <c r="F532" i="79" s="1"/>
  <c r="D11" i="79"/>
  <c r="M10" i="79"/>
  <c r="L10" i="79"/>
  <c r="E10" i="79"/>
  <c r="D10" i="79"/>
  <c r="C10" i="79"/>
  <c r="M9" i="79"/>
  <c r="L9" i="79"/>
  <c r="F530" i="79" s="1"/>
  <c r="M8" i="79"/>
  <c r="L8" i="79"/>
  <c r="M7" i="79"/>
  <c r="L7" i="79"/>
  <c r="D7" i="79"/>
  <c r="C7" i="79"/>
  <c r="M6" i="79"/>
  <c r="L6" i="79"/>
  <c r="F527" i="79" s="1"/>
  <c r="E6" i="79"/>
  <c r="C6" i="79"/>
  <c r="E3" i="79"/>
  <c r="B3" i="79"/>
  <c r="AB47" i="78"/>
  <c r="AA47" i="78"/>
  <c r="AB45" i="78"/>
  <c r="AA45" i="78"/>
  <c r="H42" i="78"/>
  <c r="AB48" i="78" s="1"/>
  <c r="G42" i="78"/>
  <c r="F42" i="78"/>
  <c r="E42" i="78"/>
  <c r="H41" i="78"/>
  <c r="J41" i="78" s="1"/>
  <c r="G41" i="78"/>
  <c r="I41" i="78" s="1"/>
  <c r="K41" i="78" s="1"/>
  <c r="F41" i="78"/>
  <c r="AB44" i="78" s="1"/>
  <c r="E41" i="78"/>
  <c r="AA44" i="78" s="1"/>
  <c r="I40" i="78"/>
  <c r="K40" i="78" s="1"/>
  <c r="H40" i="78"/>
  <c r="G40" i="78"/>
  <c r="AA42" i="78" s="1"/>
  <c r="F40" i="78"/>
  <c r="AB41" i="78" s="1"/>
  <c r="E40" i="78"/>
  <c r="AA41" i="78" s="1"/>
  <c r="H39" i="78"/>
  <c r="AB39" i="78" s="1"/>
  <c r="G39" i="78"/>
  <c r="F39" i="78"/>
  <c r="AB38" i="78" s="1"/>
  <c r="E39" i="78"/>
  <c r="AA38" i="78" s="1"/>
  <c r="H38" i="78"/>
  <c r="G38" i="78"/>
  <c r="F38" i="78"/>
  <c r="E38" i="78"/>
  <c r="H37" i="78"/>
  <c r="G37" i="78"/>
  <c r="AA33" i="78" s="1"/>
  <c r="F37" i="78"/>
  <c r="E37" i="78"/>
  <c r="C15" i="79" s="1"/>
  <c r="H36" i="78"/>
  <c r="F14" i="79" s="1"/>
  <c r="G36" i="78"/>
  <c r="F36" i="78"/>
  <c r="E36" i="78"/>
  <c r="H35" i="78"/>
  <c r="G35" i="78"/>
  <c r="F35" i="78"/>
  <c r="E35" i="78"/>
  <c r="I34" i="78"/>
  <c r="H34" i="78"/>
  <c r="G34" i="78"/>
  <c r="E12" i="79" s="1"/>
  <c r="F34" i="78"/>
  <c r="D12" i="79" s="1"/>
  <c r="E34" i="78"/>
  <c r="C12" i="79" s="1"/>
  <c r="H33" i="78"/>
  <c r="F11" i="79" s="1"/>
  <c r="H11" i="79" s="1"/>
  <c r="G33" i="78"/>
  <c r="E11" i="79" s="1"/>
  <c r="F33" i="78"/>
  <c r="AB20" i="78" s="1"/>
  <c r="E33" i="78"/>
  <c r="AA32" i="78"/>
  <c r="J32" i="78"/>
  <c r="K32" i="78" s="1"/>
  <c r="H32" i="78"/>
  <c r="G32" i="78"/>
  <c r="I32" i="78" s="1"/>
  <c r="F32" i="78"/>
  <c r="E32" i="78"/>
  <c r="AA17" i="78" s="1"/>
  <c r="H31" i="78"/>
  <c r="G31" i="78"/>
  <c r="F31" i="78"/>
  <c r="E31" i="78"/>
  <c r="AB30" i="78"/>
  <c r="H30" i="78"/>
  <c r="F8" i="79" s="1"/>
  <c r="G30" i="78"/>
  <c r="F30" i="78"/>
  <c r="E30" i="78"/>
  <c r="AA29" i="78"/>
  <c r="H29" i="78"/>
  <c r="J29" i="78" s="1"/>
  <c r="G29" i="78"/>
  <c r="F29" i="78"/>
  <c r="AB8" i="78" s="1"/>
  <c r="E29" i="78"/>
  <c r="AA8" i="78" s="1"/>
  <c r="H28" i="78"/>
  <c r="F6" i="79" s="1"/>
  <c r="G28" i="78"/>
  <c r="F28" i="78"/>
  <c r="E28" i="78"/>
  <c r="AA24" i="78"/>
  <c r="AB23" i="78"/>
  <c r="AA23" i="78"/>
  <c r="G23" i="78"/>
  <c r="F23" i="78"/>
  <c r="G22" i="78"/>
  <c r="F22" i="78"/>
  <c r="AA21" i="78"/>
  <c r="G21" i="78"/>
  <c r="F21" i="78"/>
  <c r="AA20" i="78"/>
  <c r="G20" i="78"/>
  <c r="E317" i="79" s="1"/>
  <c r="A351" i="79" s="1"/>
  <c r="F20" i="78"/>
  <c r="G19" i="78"/>
  <c r="F19" i="78"/>
  <c r="AA18" i="78"/>
  <c r="G18" i="78"/>
  <c r="F18" i="78"/>
  <c r="E328" i="79" s="1"/>
  <c r="AB17" i="78"/>
  <c r="G17" i="78"/>
  <c r="E311" i="79" s="1"/>
  <c r="A345" i="79" s="1"/>
  <c r="F17" i="78"/>
  <c r="E310" i="79" s="1"/>
  <c r="A344" i="79" s="1"/>
  <c r="G16" i="78"/>
  <c r="E325" i="79" s="1"/>
  <c r="F16" i="78"/>
  <c r="E308" i="79" s="1"/>
  <c r="A342" i="79" s="1"/>
  <c r="AB15" i="78"/>
  <c r="G15" i="78"/>
  <c r="E323" i="79" s="1"/>
  <c r="G323" i="79" s="1"/>
  <c r="F15" i="78"/>
  <c r="E322" i="79" s="1"/>
  <c r="G322" i="79" s="1"/>
  <c r="G14" i="78"/>
  <c r="E321" i="79" s="1"/>
  <c r="F321" i="79" s="1"/>
  <c r="F14" i="78"/>
  <c r="AB12" i="78"/>
  <c r="AB6" i="78"/>
  <c r="AA6" i="78"/>
  <c r="D6" i="78"/>
  <c r="B6" i="78"/>
  <c r="AA5" i="78"/>
  <c r="E3" i="78"/>
  <c r="B3" i="78"/>
  <c r="C534" i="77"/>
  <c r="C531" i="77"/>
  <c r="H518" i="77"/>
  <c r="H511" i="77"/>
  <c r="H488" i="77"/>
  <c r="H479" i="77"/>
  <c r="H472" i="77"/>
  <c r="H471" i="77"/>
  <c r="H470" i="77"/>
  <c r="H462" i="77"/>
  <c r="H454" i="77"/>
  <c r="H449" i="77"/>
  <c r="H447" i="77"/>
  <c r="A342" i="77"/>
  <c r="E325" i="77"/>
  <c r="E324" i="77"/>
  <c r="G324" i="77" s="1"/>
  <c r="C240" i="77"/>
  <c r="F242" i="77" s="1"/>
  <c r="C217" i="77"/>
  <c r="F219" i="77" s="1"/>
  <c r="B217" i="77"/>
  <c r="F173" i="77"/>
  <c r="F150" i="77"/>
  <c r="E148" i="77"/>
  <c r="F152" i="77" s="1"/>
  <c r="C148" i="77"/>
  <c r="F128" i="77"/>
  <c r="C79" i="77"/>
  <c r="F81" i="77" s="1"/>
  <c r="B79" i="77"/>
  <c r="C56" i="77"/>
  <c r="F58" i="77" s="1"/>
  <c r="B33" i="77"/>
  <c r="F30" i="77"/>
  <c r="E30" i="77"/>
  <c r="D30" i="77"/>
  <c r="C30" i="77"/>
  <c r="F29" i="77"/>
  <c r="H513" i="77" s="1"/>
  <c r="E29" i="77"/>
  <c r="D29" i="77"/>
  <c r="C29" i="77"/>
  <c r="F28" i="77"/>
  <c r="E28" i="77"/>
  <c r="D28" i="77"/>
  <c r="H503" i="77" s="1"/>
  <c r="C28" i="77"/>
  <c r="F27" i="77"/>
  <c r="E27" i="77"/>
  <c r="D27" i="77"/>
  <c r="C27" i="77"/>
  <c r="F26" i="77"/>
  <c r="E26" i="77"/>
  <c r="D26" i="77"/>
  <c r="C171" i="77" s="1"/>
  <c r="C26" i="77"/>
  <c r="F25" i="77"/>
  <c r="H481" i="77" s="1"/>
  <c r="E25" i="77"/>
  <c r="D25" i="77"/>
  <c r="C25" i="77"/>
  <c r="F24" i="77"/>
  <c r="E24" i="77"/>
  <c r="D125" i="77" s="1"/>
  <c r="D24" i="77"/>
  <c r="C125" i="77" s="1"/>
  <c r="C24" i="77"/>
  <c r="B125" i="77" s="1"/>
  <c r="F23" i="77"/>
  <c r="E23" i="77"/>
  <c r="D530" i="77" s="1"/>
  <c r="D23" i="77"/>
  <c r="C23" i="77"/>
  <c r="F22" i="77"/>
  <c r="E22" i="77"/>
  <c r="D22" i="77"/>
  <c r="H455" i="77" s="1"/>
  <c r="C22" i="77"/>
  <c r="C529" i="77" s="1"/>
  <c r="F21" i="77"/>
  <c r="E56" i="77" s="1"/>
  <c r="F60" i="77" s="1"/>
  <c r="E21" i="77"/>
  <c r="H448" i="77" s="1"/>
  <c r="D21" i="77"/>
  <c r="C21" i="77"/>
  <c r="F20" i="77"/>
  <c r="E20" i="77"/>
  <c r="D20" i="77"/>
  <c r="H439" i="77" s="1"/>
  <c r="C20" i="77"/>
  <c r="M16" i="77"/>
  <c r="L16" i="77"/>
  <c r="F537" i="77" s="1"/>
  <c r="F16" i="77"/>
  <c r="M15" i="77"/>
  <c r="L15" i="77"/>
  <c r="F536" i="77" s="1"/>
  <c r="M14" i="77"/>
  <c r="L14" i="77"/>
  <c r="F535" i="77" s="1"/>
  <c r="D14" i="77"/>
  <c r="C14" i="77"/>
  <c r="M13" i="77"/>
  <c r="L13" i="77"/>
  <c r="F534" i="77" s="1"/>
  <c r="E13" i="77"/>
  <c r="M12" i="77"/>
  <c r="L12" i="77"/>
  <c r="F533" i="77" s="1"/>
  <c r="F12" i="77"/>
  <c r="M11" i="77"/>
  <c r="L11" i="77"/>
  <c r="F532" i="77" s="1"/>
  <c r="D11" i="77"/>
  <c r="M10" i="77"/>
  <c r="L10" i="77"/>
  <c r="M9" i="77"/>
  <c r="L9" i="77"/>
  <c r="F530" i="77" s="1"/>
  <c r="E9" i="77"/>
  <c r="G9" i="77" s="1"/>
  <c r="D9" i="77"/>
  <c r="M8" i="77"/>
  <c r="L8" i="77"/>
  <c r="F529" i="77" s="1"/>
  <c r="M7" i="77"/>
  <c r="L7" i="77"/>
  <c r="F528" i="77" s="1"/>
  <c r="M6" i="77"/>
  <c r="L6" i="77"/>
  <c r="F6" i="77"/>
  <c r="C6" i="77"/>
  <c r="E3" i="77"/>
  <c r="B3" i="77"/>
  <c r="AB47" i="76"/>
  <c r="AA47" i="76"/>
  <c r="AB44" i="76"/>
  <c r="AB42" i="76"/>
  <c r="H42" i="76"/>
  <c r="G42" i="76"/>
  <c r="I42" i="76" s="1"/>
  <c r="K42" i="76" s="1"/>
  <c r="M42" i="76" s="1"/>
  <c r="F42" i="76"/>
  <c r="E42" i="76"/>
  <c r="H41" i="76"/>
  <c r="AB45" i="76" s="1"/>
  <c r="G41" i="76"/>
  <c r="F41" i="76"/>
  <c r="E41" i="76"/>
  <c r="AA44" i="76" s="1"/>
  <c r="J40" i="76"/>
  <c r="H40" i="76"/>
  <c r="G40" i="76"/>
  <c r="F40" i="76"/>
  <c r="AB41" i="76" s="1"/>
  <c r="E40" i="76"/>
  <c r="AA41" i="76" s="1"/>
  <c r="AB39" i="76"/>
  <c r="AA39" i="76"/>
  <c r="I39" i="76"/>
  <c r="K39" i="76" s="1"/>
  <c r="M39" i="76" s="1"/>
  <c r="H39" i="76"/>
  <c r="J39" i="76" s="1"/>
  <c r="G39" i="76"/>
  <c r="F39" i="76"/>
  <c r="E39" i="76"/>
  <c r="AA38" i="76" s="1"/>
  <c r="AB38" i="76"/>
  <c r="H38" i="76"/>
  <c r="J38" i="76" s="1"/>
  <c r="G38" i="76"/>
  <c r="F38" i="76"/>
  <c r="E38" i="76"/>
  <c r="H37" i="76"/>
  <c r="G37" i="76"/>
  <c r="E15" i="77" s="1"/>
  <c r="F37" i="76"/>
  <c r="E37" i="76"/>
  <c r="AB36" i="76"/>
  <c r="H36" i="76"/>
  <c r="G36" i="76"/>
  <c r="F36" i="76"/>
  <c r="E36" i="76"/>
  <c r="AA29" i="76" s="1"/>
  <c r="I35" i="76"/>
  <c r="H35" i="76"/>
  <c r="G35" i="76"/>
  <c r="AA27" i="76" s="1"/>
  <c r="F35" i="76"/>
  <c r="E35" i="76"/>
  <c r="H34" i="76"/>
  <c r="AB24" i="76" s="1"/>
  <c r="G34" i="76"/>
  <c r="F34" i="76"/>
  <c r="E34" i="76"/>
  <c r="AA33" i="76"/>
  <c r="H33" i="76"/>
  <c r="F11" i="77" s="1"/>
  <c r="G33" i="76"/>
  <c r="E11" i="77" s="1"/>
  <c r="F33" i="76"/>
  <c r="AB20" i="76" s="1"/>
  <c r="E33" i="76"/>
  <c r="AA20" i="76" s="1"/>
  <c r="H32" i="76"/>
  <c r="G32" i="76"/>
  <c r="AA18" i="76" s="1"/>
  <c r="F32" i="76"/>
  <c r="E32" i="76"/>
  <c r="J31" i="76"/>
  <c r="I31" i="76"/>
  <c r="H31" i="76"/>
  <c r="AB15" i="76" s="1"/>
  <c r="G31" i="76"/>
  <c r="F31" i="76"/>
  <c r="E31" i="76"/>
  <c r="C9" i="77" s="1"/>
  <c r="H30" i="76"/>
  <c r="G30" i="76"/>
  <c r="F30" i="76"/>
  <c r="E30" i="76"/>
  <c r="C8" i="77" s="1"/>
  <c r="AB29" i="76"/>
  <c r="H29" i="76"/>
  <c r="G29" i="76"/>
  <c r="F29" i="76"/>
  <c r="E29" i="76"/>
  <c r="H28" i="76"/>
  <c r="G28" i="76"/>
  <c r="F28" i="76"/>
  <c r="E28" i="76"/>
  <c r="AA5" i="76" s="1"/>
  <c r="G23" i="76"/>
  <c r="F23" i="76"/>
  <c r="G22" i="76"/>
  <c r="F22" i="76"/>
  <c r="G21" i="76"/>
  <c r="F21" i="76"/>
  <c r="G20" i="76"/>
  <c r="F20" i="76"/>
  <c r="G19" i="76"/>
  <c r="F19" i="76"/>
  <c r="G18" i="76"/>
  <c r="F18" i="76"/>
  <c r="G17" i="76"/>
  <c r="E327" i="77" s="1"/>
  <c r="R345" i="77" s="1"/>
  <c r="F17" i="76"/>
  <c r="E326" i="77" s="1"/>
  <c r="G326" i="77" s="1"/>
  <c r="G16" i="76"/>
  <c r="E309" i="77" s="1"/>
  <c r="A343" i="77" s="1"/>
  <c r="F16" i="76"/>
  <c r="E308" i="77" s="1"/>
  <c r="AA15" i="76"/>
  <c r="G15" i="76"/>
  <c r="F15" i="76"/>
  <c r="E322" i="77" s="1"/>
  <c r="AB14" i="76"/>
  <c r="AA14" i="76"/>
  <c r="G14" i="76"/>
  <c r="F14" i="76"/>
  <c r="AA11" i="76"/>
  <c r="AB9" i="76"/>
  <c r="D6" i="76"/>
  <c r="B6" i="76"/>
  <c r="E3" i="76"/>
  <c r="B3" i="76"/>
  <c r="C537" i="75"/>
  <c r="C535" i="75"/>
  <c r="D534" i="75"/>
  <c r="F532" i="75"/>
  <c r="C532" i="75"/>
  <c r="D530" i="75"/>
  <c r="F529" i="75"/>
  <c r="H502" i="75"/>
  <c r="H496" i="75"/>
  <c r="H494" i="75"/>
  <c r="H481" i="75"/>
  <c r="H478" i="75"/>
  <c r="H439" i="75"/>
  <c r="E332" i="75"/>
  <c r="R350" i="75" s="1"/>
  <c r="E329" i="75"/>
  <c r="R347" i="75" s="1"/>
  <c r="E326" i="75"/>
  <c r="E325" i="75"/>
  <c r="R343" i="75" s="1"/>
  <c r="E322" i="75"/>
  <c r="E313" i="75"/>
  <c r="A347" i="75" s="1"/>
  <c r="E308" i="75"/>
  <c r="A342" i="75" s="1"/>
  <c r="D194" i="75"/>
  <c r="F197" i="75" s="1"/>
  <c r="E148" i="75"/>
  <c r="F152" i="75" s="1"/>
  <c r="C125" i="75"/>
  <c r="F127" i="75" s="1"/>
  <c r="E102" i="75"/>
  <c r="F106" i="75" s="1"/>
  <c r="D79" i="75"/>
  <c r="F82" i="75" s="1"/>
  <c r="C79" i="75"/>
  <c r="F81" i="75" s="1"/>
  <c r="B79" i="75"/>
  <c r="E56" i="75"/>
  <c r="F60" i="75" s="1"/>
  <c r="B56" i="75"/>
  <c r="E33" i="75"/>
  <c r="F37" i="75" s="1"/>
  <c r="F30" i="75"/>
  <c r="E30" i="75"/>
  <c r="D30" i="75"/>
  <c r="H519" i="75" s="1"/>
  <c r="C30" i="75"/>
  <c r="H518" i="75" s="1"/>
  <c r="F29" i="75"/>
  <c r="H513" i="75" s="1"/>
  <c r="E29" i="75"/>
  <c r="H512" i="75" s="1"/>
  <c r="D29" i="75"/>
  <c r="C29" i="75"/>
  <c r="C536" i="75" s="1"/>
  <c r="F28" i="75"/>
  <c r="E28" i="75"/>
  <c r="D217" i="75" s="1"/>
  <c r="F220" i="75" s="1"/>
  <c r="D28" i="75"/>
  <c r="C217" i="75" s="1"/>
  <c r="C28" i="75"/>
  <c r="B217" i="75" s="1"/>
  <c r="F27" i="75"/>
  <c r="H497" i="75" s="1"/>
  <c r="E27" i="75"/>
  <c r="D27" i="75"/>
  <c r="C27" i="75"/>
  <c r="F26" i="75"/>
  <c r="E26" i="75"/>
  <c r="D26" i="75"/>
  <c r="C26" i="75"/>
  <c r="H486" i="75" s="1"/>
  <c r="F25" i="75"/>
  <c r="E25" i="75"/>
  <c r="D25" i="75"/>
  <c r="C25" i="75"/>
  <c r="B148" i="75" s="1"/>
  <c r="F24" i="75"/>
  <c r="E24" i="75"/>
  <c r="H472" i="75" s="1"/>
  <c r="D24" i="75"/>
  <c r="H471" i="75" s="1"/>
  <c r="C24" i="75"/>
  <c r="B125" i="75" s="1"/>
  <c r="F126" i="75" s="1"/>
  <c r="F23" i="75"/>
  <c r="H465" i="75" s="1"/>
  <c r="E23" i="75"/>
  <c r="D23" i="75"/>
  <c r="C102" i="75" s="1"/>
  <c r="F104" i="75" s="1"/>
  <c r="C23" i="75"/>
  <c r="F22" i="75"/>
  <c r="E22" i="75"/>
  <c r="D22" i="75"/>
  <c r="H455" i="75" s="1"/>
  <c r="C22" i="75"/>
  <c r="H454" i="75" s="1"/>
  <c r="F21" i="75"/>
  <c r="H449" i="75" s="1"/>
  <c r="E21" i="75"/>
  <c r="D21" i="75"/>
  <c r="C21" i="75"/>
  <c r="C528" i="75" s="1"/>
  <c r="F20" i="75"/>
  <c r="H441" i="75" s="1"/>
  <c r="E20" i="75"/>
  <c r="D527" i="75" s="1"/>
  <c r="D20" i="75"/>
  <c r="C33" i="75" s="1"/>
  <c r="F35" i="75" s="1"/>
  <c r="C20" i="75"/>
  <c r="M16" i="75"/>
  <c r="L16" i="75"/>
  <c r="F537" i="75" s="1"/>
  <c r="D16" i="75"/>
  <c r="M15" i="75"/>
  <c r="L15" i="75"/>
  <c r="F536" i="75" s="1"/>
  <c r="M14" i="75"/>
  <c r="L14" i="75"/>
  <c r="F535" i="75" s="1"/>
  <c r="D14" i="75"/>
  <c r="M13" i="75"/>
  <c r="L13" i="75"/>
  <c r="F534" i="75" s="1"/>
  <c r="F13" i="75"/>
  <c r="M12" i="75"/>
  <c r="L12" i="75"/>
  <c r="F533" i="75" s="1"/>
  <c r="E12" i="75"/>
  <c r="M11" i="75"/>
  <c r="L11" i="75"/>
  <c r="D11" i="75"/>
  <c r="C11" i="75"/>
  <c r="M10" i="75"/>
  <c r="L10" i="75"/>
  <c r="F531" i="75" s="1"/>
  <c r="M9" i="75"/>
  <c r="L9" i="75"/>
  <c r="F9" i="75"/>
  <c r="E9" i="75"/>
  <c r="G9" i="75" s="1"/>
  <c r="D9" i="75"/>
  <c r="H9" i="75" s="1"/>
  <c r="M8" i="75"/>
  <c r="L8" i="75"/>
  <c r="F8" i="75"/>
  <c r="M7" i="75"/>
  <c r="L7" i="75"/>
  <c r="C7" i="75"/>
  <c r="M6" i="75"/>
  <c r="L6" i="75"/>
  <c r="F527" i="75" s="1"/>
  <c r="D6" i="75"/>
  <c r="E3" i="75"/>
  <c r="B3" i="75"/>
  <c r="AB48" i="74"/>
  <c r="AA48" i="74"/>
  <c r="AB47" i="74"/>
  <c r="AA47" i="74"/>
  <c r="J42" i="74"/>
  <c r="I42" i="74"/>
  <c r="K42" i="74" s="1"/>
  <c r="H42" i="74"/>
  <c r="G42" i="74"/>
  <c r="F42" i="74"/>
  <c r="E42" i="74"/>
  <c r="I41" i="74"/>
  <c r="K41" i="74" s="1"/>
  <c r="H41" i="74"/>
  <c r="J41" i="74" s="1"/>
  <c r="G41" i="74"/>
  <c r="AA45" i="74" s="1"/>
  <c r="F41" i="74"/>
  <c r="AB44" i="74" s="1"/>
  <c r="E41" i="74"/>
  <c r="AA44" i="74" s="1"/>
  <c r="H40" i="74"/>
  <c r="G40" i="74"/>
  <c r="F40" i="74"/>
  <c r="AB41" i="74" s="1"/>
  <c r="E40" i="74"/>
  <c r="AA41" i="74" s="1"/>
  <c r="AB39" i="74"/>
  <c r="H39" i="74"/>
  <c r="J39" i="74" s="1"/>
  <c r="G39" i="74"/>
  <c r="F39" i="74"/>
  <c r="E39" i="74"/>
  <c r="AB38" i="74"/>
  <c r="AA38" i="74"/>
  <c r="J38" i="74"/>
  <c r="H38" i="74"/>
  <c r="G38" i="74"/>
  <c r="F38" i="74"/>
  <c r="E38" i="74"/>
  <c r="H37" i="74"/>
  <c r="G37" i="74"/>
  <c r="F37" i="74"/>
  <c r="AB32" i="74" s="1"/>
  <c r="E37" i="74"/>
  <c r="H36" i="74"/>
  <c r="G36" i="74"/>
  <c r="E14" i="75" s="1"/>
  <c r="F36" i="74"/>
  <c r="E36" i="74"/>
  <c r="AB35" i="74"/>
  <c r="J35" i="74"/>
  <c r="I35" i="74"/>
  <c r="K35" i="74" s="1"/>
  <c r="M35" i="74" s="1"/>
  <c r="H35" i="74"/>
  <c r="AB27" i="74" s="1"/>
  <c r="G35" i="74"/>
  <c r="F35" i="74"/>
  <c r="E35" i="74"/>
  <c r="H34" i="74"/>
  <c r="G34" i="74"/>
  <c r="F34" i="74"/>
  <c r="E34" i="74"/>
  <c r="AA33" i="74"/>
  <c r="H33" i="74"/>
  <c r="G33" i="74"/>
  <c r="F33" i="74"/>
  <c r="AB20" i="74" s="1"/>
  <c r="E33" i="74"/>
  <c r="H32" i="74"/>
  <c r="AB18" i="74" s="1"/>
  <c r="G32" i="74"/>
  <c r="AA18" i="74" s="1"/>
  <c r="F32" i="74"/>
  <c r="D10" i="75" s="1"/>
  <c r="E32" i="74"/>
  <c r="J31" i="74"/>
  <c r="H31" i="74"/>
  <c r="G31" i="74"/>
  <c r="AA15" i="74" s="1"/>
  <c r="F31" i="74"/>
  <c r="AB14" i="74" s="1"/>
  <c r="E31" i="74"/>
  <c r="C9" i="75" s="1"/>
  <c r="AA30" i="74"/>
  <c r="J30" i="74"/>
  <c r="H30" i="74"/>
  <c r="G30" i="74"/>
  <c r="E8" i="75" s="1"/>
  <c r="F30" i="74"/>
  <c r="E30" i="74"/>
  <c r="AB29" i="74"/>
  <c r="H29" i="74"/>
  <c r="G29" i="74"/>
  <c r="F29" i="74"/>
  <c r="E29" i="74"/>
  <c r="AA8" i="74" s="1"/>
  <c r="H28" i="74"/>
  <c r="G28" i="74"/>
  <c r="F28" i="74"/>
  <c r="E28" i="74"/>
  <c r="AA5" i="74" s="1"/>
  <c r="AA24" i="74"/>
  <c r="G23" i="74"/>
  <c r="F23" i="74"/>
  <c r="G22" i="74"/>
  <c r="F22" i="74"/>
  <c r="AA21" i="74"/>
  <c r="G21" i="74"/>
  <c r="F21" i="74"/>
  <c r="AA20" i="74"/>
  <c r="G20" i="74"/>
  <c r="E333" i="75" s="1"/>
  <c r="R351" i="75" s="1"/>
  <c r="F20" i="74"/>
  <c r="E316" i="75" s="1"/>
  <c r="A350" i="75" s="1"/>
  <c r="G19" i="74"/>
  <c r="F19" i="74"/>
  <c r="G18" i="74"/>
  <c r="F18" i="74"/>
  <c r="AB17" i="74"/>
  <c r="G17" i="74"/>
  <c r="F17" i="74"/>
  <c r="E310" i="75" s="1"/>
  <c r="A344" i="75" s="1"/>
  <c r="G16" i="74"/>
  <c r="E309" i="75" s="1"/>
  <c r="A343" i="75" s="1"/>
  <c r="F16" i="74"/>
  <c r="E324" i="75" s="1"/>
  <c r="G324" i="75" s="1"/>
  <c r="AB15" i="74"/>
  <c r="G15" i="74"/>
  <c r="F15" i="74"/>
  <c r="E306" i="75" s="1"/>
  <c r="A340" i="75" s="1"/>
  <c r="G14" i="74"/>
  <c r="F14" i="74"/>
  <c r="AB12" i="74"/>
  <c r="AA12" i="74"/>
  <c r="D6" i="74"/>
  <c r="B6" i="74"/>
  <c r="AB5" i="74"/>
  <c r="E3" i="74"/>
  <c r="B3" i="74"/>
  <c r="F431" i="73"/>
  <c r="D431" i="73"/>
  <c r="C431" i="73"/>
  <c r="H402" i="73"/>
  <c r="H401" i="73"/>
  <c r="H393" i="73"/>
  <c r="H387" i="73"/>
  <c r="H386" i="73"/>
  <c r="H384" i="73"/>
  <c r="H370" i="73"/>
  <c r="H369" i="73"/>
  <c r="E255" i="73"/>
  <c r="E250" i="73"/>
  <c r="E249" i="73"/>
  <c r="E248" i="73"/>
  <c r="G248" i="73" s="1"/>
  <c r="E237" i="73"/>
  <c r="A267" i="73" s="1"/>
  <c r="E236" i="73"/>
  <c r="A266" i="73" s="1"/>
  <c r="E234" i="73"/>
  <c r="A264" i="73" s="1"/>
  <c r="B197" i="73"/>
  <c r="D155" i="73"/>
  <c r="F158" i="73" s="1"/>
  <c r="C155" i="73"/>
  <c r="E134" i="73"/>
  <c r="F138" i="73" s="1"/>
  <c r="F117" i="73"/>
  <c r="E92" i="73"/>
  <c r="F96" i="73" s="1"/>
  <c r="F75" i="73"/>
  <c r="D71" i="73"/>
  <c r="C71" i="73"/>
  <c r="F73" i="73" s="1"/>
  <c r="C50" i="73"/>
  <c r="B50" i="73"/>
  <c r="B29" i="73"/>
  <c r="F26" i="73"/>
  <c r="E26" i="73"/>
  <c r="D197" i="73" s="1"/>
  <c r="F200" i="73" s="1"/>
  <c r="D26" i="73"/>
  <c r="C26" i="73"/>
  <c r="F25" i="73"/>
  <c r="H411" i="73" s="1"/>
  <c r="E25" i="73"/>
  <c r="D25" i="73"/>
  <c r="C25" i="73"/>
  <c r="F24" i="73"/>
  <c r="E24" i="73"/>
  <c r="D24" i="73"/>
  <c r="C24" i="73"/>
  <c r="H400" i="73" s="1"/>
  <c r="F23" i="73"/>
  <c r="H395" i="73" s="1"/>
  <c r="E23" i="73"/>
  <c r="H394" i="73" s="1"/>
  <c r="D23" i="73"/>
  <c r="C134" i="73" s="1"/>
  <c r="F136" i="73" s="1"/>
  <c r="C23" i="73"/>
  <c r="F22" i="73"/>
  <c r="E113" i="73" s="1"/>
  <c r="E22" i="73"/>
  <c r="D113" i="73" s="1"/>
  <c r="F116" i="73" s="1"/>
  <c r="D22" i="73"/>
  <c r="C22" i="73"/>
  <c r="F21" i="73"/>
  <c r="H379" i="73" s="1"/>
  <c r="E21" i="73"/>
  <c r="D21" i="73"/>
  <c r="C21" i="73"/>
  <c r="F20" i="73"/>
  <c r="E71" i="73" s="1"/>
  <c r="E20" i="73"/>
  <c r="D427" i="73" s="1"/>
  <c r="D20" i="73"/>
  <c r="C20" i="73"/>
  <c r="C427" i="73" s="1"/>
  <c r="F19" i="73"/>
  <c r="E19" i="73"/>
  <c r="D19" i="73"/>
  <c r="H361" i="73" s="1"/>
  <c r="C19" i="73"/>
  <c r="F18" i="73"/>
  <c r="E18" i="73"/>
  <c r="D29" i="73" s="1"/>
  <c r="F32" i="73" s="1"/>
  <c r="D18" i="73"/>
  <c r="H353" i="73" s="1"/>
  <c r="C18" i="73"/>
  <c r="M14" i="73"/>
  <c r="L14" i="73"/>
  <c r="F433" i="73" s="1"/>
  <c r="E14" i="73"/>
  <c r="D14" i="73"/>
  <c r="M13" i="73"/>
  <c r="L13" i="73"/>
  <c r="F432" i="73" s="1"/>
  <c r="M12" i="73"/>
  <c r="L12" i="73"/>
  <c r="E12" i="73"/>
  <c r="D12" i="73"/>
  <c r="C12" i="73"/>
  <c r="M11" i="73"/>
  <c r="L11" i="73"/>
  <c r="F430" i="73" s="1"/>
  <c r="M10" i="73"/>
  <c r="L10" i="73"/>
  <c r="F429" i="73" s="1"/>
  <c r="M9" i="73"/>
  <c r="L9" i="73"/>
  <c r="F9" i="73"/>
  <c r="H9" i="73" s="1"/>
  <c r="E9" i="73"/>
  <c r="G9" i="73" s="1"/>
  <c r="C9" i="73"/>
  <c r="M8" i="73"/>
  <c r="L8" i="73"/>
  <c r="M7" i="73"/>
  <c r="L7" i="73"/>
  <c r="F426" i="73" s="1"/>
  <c r="D7" i="73"/>
  <c r="C7" i="73"/>
  <c r="M6" i="73"/>
  <c r="L6" i="73"/>
  <c r="F425" i="73" s="1"/>
  <c r="E3" i="73"/>
  <c r="B3" i="73"/>
  <c r="AB48" i="72"/>
  <c r="AA48" i="72"/>
  <c r="AB47" i="72"/>
  <c r="AA47" i="72"/>
  <c r="AA44" i="72"/>
  <c r="L42" i="72"/>
  <c r="J42" i="72"/>
  <c r="I42" i="72"/>
  <c r="K42" i="72" s="1"/>
  <c r="M42" i="72" s="1"/>
  <c r="H42" i="72"/>
  <c r="G42" i="72"/>
  <c r="F42" i="72"/>
  <c r="E42" i="72"/>
  <c r="AB41" i="72"/>
  <c r="AA41" i="72"/>
  <c r="H41" i="72"/>
  <c r="G41" i="72"/>
  <c r="F41" i="72"/>
  <c r="AB44" i="72" s="1"/>
  <c r="E41" i="72"/>
  <c r="H40" i="72"/>
  <c r="J40" i="72" s="1"/>
  <c r="G40" i="72"/>
  <c r="F40" i="72"/>
  <c r="E40" i="72"/>
  <c r="H39" i="72"/>
  <c r="G39" i="72"/>
  <c r="F39" i="72"/>
  <c r="E39" i="72"/>
  <c r="AB38" i="72"/>
  <c r="AA38" i="72"/>
  <c r="I38" i="72"/>
  <c r="K38" i="72" s="1"/>
  <c r="H38" i="72"/>
  <c r="G38" i="72"/>
  <c r="F38" i="72"/>
  <c r="AB35" i="72" s="1"/>
  <c r="E38" i="72"/>
  <c r="AA35" i="72" s="1"/>
  <c r="H37" i="72"/>
  <c r="J37" i="72" s="1"/>
  <c r="G37" i="72"/>
  <c r="F37" i="72"/>
  <c r="AB32" i="72" s="1"/>
  <c r="E37" i="72"/>
  <c r="AA32" i="72" s="1"/>
  <c r="AA36" i="72"/>
  <c r="H36" i="72"/>
  <c r="G36" i="72"/>
  <c r="F36" i="72"/>
  <c r="AB29" i="72" s="1"/>
  <c r="E36" i="72"/>
  <c r="H35" i="72"/>
  <c r="G35" i="72"/>
  <c r="F35" i="72"/>
  <c r="E35" i="72"/>
  <c r="H34" i="72"/>
  <c r="F12" i="73" s="1"/>
  <c r="G34" i="72"/>
  <c r="F34" i="72"/>
  <c r="J34" i="72" s="1"/>
  <c r="E34" i="72"/>
  <c r="AB33" i="72"/>
  <c r="H33" i="72"/>
  <c r="G33" i="72"/>
  <c r="F33" i="72"/>
  <c r="E33" i="72"/>
  <c r="H32" i="72"/>
  <c r="G32" i="72"/>
  <c r="I32" i="72" s="1"/>
  <c r="F32" i="72"/>
  <c r="AB17" i="72" s="1"/>
  <c r="E32" i="72"/>
  <c r="C10" i="73" s="1"/>
  <c r="H31" i="72"/>
  <c r="AB15" i="72" s="1"/>
  <c r="G31" i="72"/>
  <c r="F31" i="72"/>
  <c r="D9" i="73" s="1"/>
  <c r="E31" i="72"/>
  <c r="AA14" i="72" s="1"/>
  <c r="H30" i="72"/>
  <c r="G30" i="72"/>
  <c r="F30" i="72"/>
  <c r="E30" i="72"/>
  <c r="H29" i="72"/>
  <c r="AB9" i="72" s="1"/>
  <c r="G29" i="72"/>
  <c r="F29" i="72"/>
  <c r="E29" i="72"/>
  <c r="H28" i="72"/>
  <c r="G28" i="72"/>
  <c r="I28" i="72" s="1"/>
  <c r="F28" i="72"/>
  <c r="AB5" i="72" s="1"/>
  <c r="E28" i="72"/>
  <c r="C6" i="73" s="1"/>
  <c r="AB24" i="72"/>
  <c r="AA24" i="72"/>
  <c r="AB23" i="72"/>
  <c r="G23" i="72"/>
  <c r="F23" i="72"/>
  <c r="G22" i="72"/>
  <c r="F22" i="72"/>
  <c r="AB21" i="72"/>
  <c r="G21" i="72"/>
  <c r="F21" i="72"/>
  <c r="G20" i="72"/>
  <c r="F20" i="72"/>
  <c r="G19" i="72"/>
  <c r="E245" i="73" s="1"/>
  <c r="A275" i="73" s="1"/>
  <c r="F19" i="72"/>
  <c r="G18" i="72"/>
  <c r="F18" i="72"/>
  <c r="AA17" i="72"/>
  <c r="G17" i="72"/>
  <c r="E241" i="73" s="1"/>
  <c r="A271" i="73" s="1"/>
  <c r="F17" i="72"/>
  <c r="E240" i="73" s="1"/>
  <c r="A270" i="73" s="1"/>
  <c r="G16" i="72"/>
  <c r="F16" i="72"/>
  <c r="AA15" i="72"/>
  <c r="G15" i="72"/>
  <c r="E251" i="73" s="1"/>
  <c r="F15" i="72"/>
  <c r="G14" i="72"/>
  <c r="F14" i="72"/>
  <c r="AA9" i="72"/>
  <c r="AB8" i="72"/>
  <c r="AA8" i="72"/>
  <c r="D6" i="72"/>
  <c r="B6" i="72"/>
  <c r="AA5" i="72"/>
  <c r="E3" i="72"/>
  <c r="B3" i="72"/>
  <c r="F431" i="71"/>
  <c r="D430" i="71"/>
  <c r="C428" i="71"/>
  <c r="H418" i="71"/>
  <c r="H403" i="71"/>
  <c r="H402" i="71"/>
  <c r="H401" i="71"/>
  <c r="H387" i="71"/>
  <c r="H386" i="71"/>
  <c r="H377" i="71"/>
  <c r="H376" i="71"/>
  <c r="H369" i="71"/>
  <c r="H361" i="71"/>
  <c r="E259" i="71"/>
  <c r="E256" i="71"/>
  <c r="E255" i="71"/>
  <c r="P271" i="71" s="1"/>
  <c r="E241" i="71"/>
  <c r="A271" i="71" s="1"/>
  <c r="E237" i="71"/>
  <c r="A267" i="71" s="1"/>
  <c r="E197" i="71"/>
  <c r="F201" i="71" s="1"/>
  <c r="D197" i="71"/>
  <c r="F200" i="71" s="1"/>
  <c r="B176" i="71"/>
  <c r="E155" i="71"/>
  <c r="F159" i="71" s="1"/>
  <c r="D134" i="71"/>
  <c r="F137" i="71" s="1"/>
  <c r="C134" i="71"/>
  <c r="F136" i="71" s="1"/>
  <c r="B134" i="71"/>
  <c r="E50" i="71"/>
  <c r="F54" i="71" s="1"/>
  <c r="F26" i="71"/>
  <c r="H419" i="71" s="1"/>
  <c r="E26" i="71"/>
  <c r="D433" i="71" s="1"/>
  <c r="D26" i="71"/>
  <c r="C197" i="71" s="1"/>
  <c r="F199" i="71" s="1"/>
  <c r="C26" i="71"/>
  <c r="F25" i="71"/>
  <c r="E25" i="71"/>
  <c r="D25" i="71"/>
  <c r="C25" i="71"/>
  <c r="F24" i="71"/>
  <c r="E24" i="71"/>
  <c r="D155" i="71" s="1"/>
  <c r="F158" i="71" s="1"/>
  <c r="D24" i="71"/>
  <c r="C155" i="71" s="1"/>
  <c r="F157" i="71" s="1"/>
  <c r="C24" i="71"/>
  <c r="F23" i="71"/>
  <c r="H395" i="71" s="1"/>
  <c r="E23" i="71"/>
  <c r="H394" i="71" s="1"/>
  <c r="D23" i="71"/>
  <c r="H393" i="71" s="1"/>
  <c r="C23" i="71"/>
  <c r="F22" i="71"/>
  <c r="E113" i="71" s="1"/>
  <c r="F117" i="71" s="1"/>
  <c r="E22" i="71"/>
  <c r="D22" i="71"/>
  <c r="C22" i="71"/>
  <c r="F21" i="71"/>
  <c r="E21" i="71"/>
  <c r="D428" i="71" s="1"/>
  <c r="D21" i="71"/>
  <c r="C92" i="71" s="1"/>
  <c r="F94" i="71" s="1"/>
  <c r="C21" i="71"/>
  <c r="B92" i="71" s="1"/>
  <c r="F20" i="71"/>
  <c r="E20" i="71"/>
  <c r="D20" i="71"/>
  <c r="C71" i="71" s="1"/>
  <c r="F73" i="71" s="1"/>
  <c r="C20" i="71"/>
  <c r="F19" i="71"/>
  <c r="H363" i="71" s="1"/>
  <c r="E19" i="71"/>
  <c r="H362" i="71" s="1"/>
  <c r="D19" i="71"/>
  <c r="C50" i="71" s="1"/>
  <c r="C19" i="71"/>
  <c r="F18" i="71"/>
  <c r="H355" i="71" s="1"/>
  <c r="E18" i="71"/>
  <c r="D18" i="71"/>
  <c r="C29" i="71" s="1"/>
  <c r="F31" i="71" s="1"/>
  <c r="C18" i="71"/>
  <c r="M14" i="71"/>
  <c r="L14" i="71"/>
  <c r="F433" i="71" s="1"/>
  <c r="M13" i="71"/>
  <c r="L13" i="71"/>
  <c r="F432" i="71" s="1"/>
  <c r="E13" i="71"/>
  <c r="M12" i="71"/>
  <c r="L12" i="71"/>
  <c r="M11" i="71"/>
  <c r="L11" i="71"/>
  <c r="D11" i="71"/>
  <c r="C11" i="71"/>
  <c r="M10" i="71"/>
  <c r="L10" i="71"/>
  <c r="F429" i="71" s="1"/>
  <c r="M9" i="71"/>
  <c r="L9" i="71"/>
  <c r="F428" i="71" s="1"/>
  <c r="M8" i="71"/>
  <c r="L8" i="71"/>
  <c r="F427" i="71" s="1"/>
  <c r="E8" i="71"/>
  <c r="D8" i="71"/>
  <c r="M7" i="71"/>
  <c r="L7" i="71"/>
  <c r="F426" i="71" s="1"/>
  <c r="M6" i="71"/>
  <c r="L6" i="71"/>
  <c r="F6" i="71"/>
  <c r="E3" i="71"/>
  <c r="B3" i="71"/>
  <c r="AA45" i="70"/>
  <c r="AB44" i="70"/>
  <c r="H42" i="70"/>
  <c r="AB48" i="70" s="1"/>
  <c r="G42" i="70"/>
  <c r="F42" i="70"/>
  <c r="AB47" i="70" s="1"/>
  <c r="E42" i="70"/>
  <c r="AA47" i="70" s="1"/>
  <c r="AB41" i="70"/>
  <c r="M41" i="70"/>
  <c r="L41" i="70"/>
  <c r="I41" i="70"/>
  <c r="K41" i="70" s="1"/>
  <c r="H41" i="70"/>
  <c r="AB45" i="70" s="1"/>
  <c r="G41" i="70"/>
  <c r="F41" i="70"/>
  <c r="E41" i="70"/>
  <c r="AA44" i="70" s="1"/>
  <c r="J40" i="70"/>
  <c r="H40" i="70"/>
  <c r="AB42" i="70" s="1"/>
  <c r="G40" i="70"/>
  <c r="F40" i="70"/>
  <c r="E40" i="70"/>
  <c r="AA41" i="70" s="1"/>
  <c r="AB39" i="70"/>
  <c r="AA39" i="70"/>
  <c r="M39" i="70"/>
  <c r="I39" i="70"/>
  <c r="K39" i="70" s="1"/>
  <c r="L39" i="70" s="1"/>
  <c r="H39" i="70"/>
  <c r="J39" i="70" s="1"/>
  <c r="G39" i="70"/>
  <c r="F39" i="70"/>
  <c r="E39" i="70"/>
  <c r="AA38" i="70" s="1"/>
  <c r="AB38" i="70"/>
  <c r="I38" i="70"/>
  <c r="K38" i="70" s="1"/>
  <c r="H38" i="70"/>
  <c r="G38" i="70"/>
  <c r="AA36" i="70" s="1"/>
  <c r="F38" i="70"/>
  <c r="AB35" i="70" s="1"/>
  <c r="E38" i="70"/>
  <c r="AA35" i="70" s="1"/>
  <c r="H37" i="70"/>
  <c r="J37" i="70" s="1"/>
  <c r="G37" i="70"/>
  <c r="F37" i="70"/>
  <c r="AB32" i="70" s="1"/>
  <c r="E37" i="70"/>
  <c r="H36" i="70"/>
  <c r="G36" i="70"/>
  <c r="E14" i="71" s="1"/>
  <c r="F36" i="70"/>
  <c r="D14" i="71" s="1"/>
  <c r="E36" i="70"/>
  <c r="J35" i="70"/>
  <c r="I35" i="70"/>
  <c r="H35" i="70"/>
  <c r="G35" i="70"/>
  <c r="AA27" i="70" s="1"/>
  <c r="F35" i="70"/>
  <c r="E35" i="70"/>
  <c r="H34" i="70"/>
  <c r="AB24" i="70" s="1"/>
  <c r="G34" i="70"/>
  <c r="AA24" i="70" s="1"/>
  <c r="F34" i="70"/>
  <c r="AB23" i="70" s="1"/>
  <c r="E34" i="70"/>
  <c r="AB33" i="70"/>
  <c r="H33" i="70"/>
  <c r="F11" i="71" s="1"/>
  <c r="G33" i="70"/>
  <c r="I33" i="70" s="1"/>
  <c r="F33" i="70"/>
  <c r="E33" i="70"/>
  <c r="AA32" i="70"/>
  <c r="H32" i="70"/>
  <c r="G32" i="70"/>
  <c r="F32" i="70"/>
  <c r="E32" i="70"/>
  <c r="H31" i="70"/>
  <c r="F9" i="71" s="1"/>
  <c r="G31" i="70"/>
  <c r="F31" i="70"/>
  <c r="E31" i="70"/>
  <c r="AB30" i="70"/>
  <c r="H30" i="70"/>
  <c r="G30" i="70"/>
  <c r="F30" i="70"/>
  <c r="E30" i="70"/>
  <c r="AA11" i="70" s="1"/>
  <c r="AB29" i="70"/>
  <c r="AA29" i="70"/>
  <c r="H29" i="70"/>
  <c r="G29" i="70"/>
  <c r="F29" i="70"/>
  <c r="E29" i="70"/>
  <c r="H28" i="70"/>
  <c r="G28" i="70"/>
  <c r="E6" i="71" s="1"/>
  <c r="F28" i="70"/>
  <c r="AB5" i="70" s="1"/>
  <c r="E28" i="70"/>
  <c r="G23" i="70"/>
  <c r="F23" i="70"/>
  <c r="G22" i="70"/>
  <c r="F22" i="70"/>
  <c r="AA21" i="70"/>
  <c r="G21" i="70"/>
  <c r="F21" i="70"/>
  <c r="AB20" i="70"/>
  <c r="AA20" i="70"/>
  <c r="G20" i="70"/>
  <c r="F20" i="70"/>
  <c r="G19" i="70"/>
  <c r="E245" i="71" s="1"/>
  <c r="A275" i="71" s="1"/>
  <c r="F19" i="70"/>
  <c r="G18" i="70"/>
  <c r="E243" i="71" s="1"/>
  <c r="A273" i="71" s="1"/>
  <c r="F18" i="70"/>
  <c r="E242" i="71" s="1"/>
  <c r="A272" i="71" s="1"/>
  <c r="G17" i="70"/>
  <c r="F17" i="70"/>
  <c r="G16" i="70"/>
  <c r="F16" i="70"/>
  <c r="AB15" i="70"/>
  <c r="G15" i="70"/>
  <c r="E251" i="71" s="1"/>
  <c r="F15" i="70"/>
  <c r="G14" i="70"/>
  <c r="E249" i="71" s="1"/>
  <c r="F249" i="71" s="1"/>
  <c r="F14" i="70"/>
  <c r="AB12" i="70"/>
  <c r="AB11" i="70"/>
  <c r="AB6" i="70"/>
  <c r="AA6" i="70"/>
  <c r="D6" i="70"/>
  <c r="B6" i="70"/>
  <c r="E3" i="70"/>
  <c r="B3" i="70"/>
  <c r="F432" i="69"/>
  <c r="D432" i="69"/>
  <c r="C432" i="69"/>
  <c r="D430" i="69"/>
  <c r="H394" i="69"/>
  <c r="A270" i="69"/>
  <c r="G253" i="69"/>
  <c r="E251" i="69"/>
  <c r="E250" i="69"/>
  <c r="E248" i="69"/>
  <c r="E239" i="69"/>
  <c r="A269" i="69" s="1"/>
  <c r="E238" i="69"/>
  <c r="A268" i="69" s="1"/>
  <c r="E236" i="69"/>
  <c r="A266" i="69" s="1"/>
  <c r="F137" i="69"/>
  <c r="F30" i="69"/>
  <c r="F26" i="69"/>
  <c r="E26" i="69"/>
  <c r="D26" i="69"/>
  <c r="C26" i="69"/>
  <c r="C433" i="69" s="1"/>
  <c r="F25" i="69"/>
  <c r="E25" i="69"/>
  <c r="D176" i="69" s="1"/>
  <c r="F179" i="69" s="1"/>
  <c r="D25" i="69"/>
  <c r="C176" i="69" s="1"/>
  <c r="F178" i="69" s="1"/>
  <c r="C25" i="69"/>
  <c r="F24" i="69"/>
  <c r="E24" i="69"/>
  <c r="D24" i="69"/>
  <c r="C155" i="69" s="1"/>
  <c r="F157" i="69" s="1"/>
  <c r="C24" i="69"/>
  <c r="F23" i="69"/>
  <c r="E134" i="69" s="1"/>
  <c r="F138" i="69" s="1"/>
  <c r="E23" i="69"/>
  <c r="D134" i="69" s="1"/>
  <c r="D23" i="69"/>
  <c r="C23" i="69"/>
  <c r="F22" i="69"/>
  <c r="E22" i="69"/>
  <c r="D22" i="69"/>
  <c r="C22" i="69"/>
  <c r="F21" i="69"/>
  <c r="H379" i="69" s="1"/>
  <c r="E21" i="69"/>
  <c r="D21" i="69"/>
  <c r="C21" i="69"/>
  <c r="F20" i="69"/>
  <c r="E20" i="69"/>
  <c r="D20" i="69"/>
  <c r="C20" i="69"/>
  <c r="H368" i="69" s="1"/>
  <c r="F19" i="69"/>
  <c r="E19" i="69"/>
  <c r="D50" i="69" s="1"/>
  <c r="F53" i="69" s="1"/>
  <c r="D19" i="69"/>
  <c r="C19" i="69"/>
  <c r="F18" i="69"/>
  <c r="H355" i="69" s="1"/>
  <c r="E18" i="69"/>
  <c r="D18" i="69"/>
  <c r="C18" i="69"/>
  <c r="B29" i="69" s="1"/>
  <c r="M14" i="69"/>
  <c r="L14" i="69"/>
  <c r="F433" i="69" s="1"/>
  <c r="E14" i="69"/>
  <c r="G14" i="69" s="1"/>
  <c r="M13" i="69"/>
  <c r="L13" i="69"/>
  <c r="M12" i="69"/>
  <c r="L12" i="69"/>
  <c r="M11" i="69"/>
  <c r="L11" i="69"/>
  <c r="F430" i="69" s="1"/>
  <c r="E11" i="69"/>
  <c r="D11" i="69"/>
  <c r="C11" i="69"/>
  <c r="M10" i="69"/>
  <c r="L10" i="69"/>
  <c r="F429" i="69" s="1"/>
  <c r="M9" i="69"/>
  <c r="L9" i="69"/>
  <c r="M8" i="69"/>
  <c r="L8" i="69"/>
  <c r="F427" i="69" s="1"/>
  <c r="M7" i="69"/>
  <c r="L7" i="69"/>
  <c r="F426" i="69" s="1"/>
  <c r="M6" i="69"/>
  <c r="L6" i="69"/>
  <c r="E3" i="69"/>
  <c r="B3" i="69"/>
  <c r="AB45" i="68"/>
  <c r="AA45" i="68"/>
  <c r="AA44" i="68"/>
  <c r="H42" i="68"/>
  <c r="G42" i="68"/>
  <c r="F42" i="68"/>
  <c r="AB47" i="68" s="1"/>
  <c r="E42" i="68"/>
  <c r="AA47" i="68" s="1"/>
  <c r="AA41" i="68"/>
  <c r="J41" i="68"/>
  <c r="H41" i="68"/>
  <c r="G41" i="68"/>
  <c r="I41" i="68" s="1"/>
  <c r="K41" i="68" s="1"/>
  <c r="F41" i="68"/>
  <c r="AB44" i="68" s="1"/>
  <c r="E41" i="68"/>
  <c r="I40" i="68"/>
  <c r="K40" i="68" s="1"/>
  <c r="M40" i="68" s="1"/>
  <c r="H40" i="68"/>
  <c r="G40" i="68"/>
  <c r="AA42" i="68" s="1"/>
  <c r="F40" i="68"/>
  <c r="AB41" i="68" s="1"/>
  <c r="E40" i="68"/>
  <c r="H39" i="68"/>
  <c r="AB39" i="68" s="1"/>
  <c r="G39" i="68"/>
  <c r="F39" i="68"/>
  <c r="AB38" i="68" s="1"/>
  <c r="E39" i="68"/>
  <c r="AA38" i="68" s="1"/>
  <c r="H38" i="68"/>
  <c r="J38" i="68" s="1"/>
  <c r="G38" i="68"/>
  <c r="F38" i="68"/>
  <c r="AB35" i="68" s="1"/>
  <c r="E38" i="68"/>
  <c r="AA35" i="68" s="1"/>
  <c r="H37" i="68"/>
  <c r="G37" i="68"/>
  <c r="F37" i="68"/>
  <c r="AB32" i="68" s="1"/>
  <c r="E37" i="68"/>
  <c r="AA32" i="68" s="1"/>
  <c r="AB36" i="68"/>
  <c r="I36" i="68"/>
  <c r="H36" i="68"/>
  <c r="F14" i="69" s="1"/>
  <c r="G36" i="68"/>
  <c r="F36" i="68"/>
  <c r="E36" i="68"/>
  <c r="C14" i="69" s="1"/>
  <c r="H35" i="68"/>
  <c r="G35" i="68"/>
  <c r="F35" i="68"/>
  <c r="E35" i="68"/>
  <c r="H34" i="68"/>
  <c r="G34" i="68"/>
  <c r="F34" i="68"/>
  <c r="E34" i="68"/>
  <c r="C12" i="69" s="1"/>
  <c r="H33" i="68"/>
  <c r="G33" i="68"/>
  <c r="I33" i="68" s="1"/>
  <c r="F33" i="68"/>
  <c r="E33" i="68"/>
  <c r="AA20" i="68" s="1"/>
  <c r="H32" i="68"/>
  <c r="G32" i="68"/>
  <c r="F32" i="68"/>
  <c r="AB17" i="68" s="1"/>
  <c r="E32" i="68"/>
  <c r="H31" i="68"/>
  <c r="G31" i="68"/>
  <c r="F31" i="68"/>
  <c r="E31" i="68"/>
  <c r="AB30" i="68"/>
  <c r="AA30" i="68"/>
  <c r="H30" i="68"/>
  <c r="G30" i="68"/>
  <c r="F30" i="68"/>
  <c r="E30" i="68"/>
  <c r="C8" i="69" s="1"/>
  <c r="AA29" i="68"/>
  <c r="H29" i="68"/>
  <c r="G29" i="68"/>
  <c r="F29" i="68"/>
  <c r="E29" i="68"/>
  <c r="H28" i="68"/>
  <c r="F6" i="69" s="1"/>
  <c r="G28" i="68"/>
  <c r="F28" i="68"/>
  <c r="E28" i="68"/>
  <c r="C6" i="69" s="1"/>
  <c r="AA23" i="68"/>
  <c r="G23" i="68"/>
  <c r="F23" i="68"/>
  <c r="G22" i="68"/>
  <c r="F22" i="68"/>
  <c r="AB21" i="68"/>
  <c r="G21" i="68"/>
  <c r="F21" i="68"/>
  <c r="AB20" i="68"/>
  <c r="G20" i="68"/>
  <c r="F20" i="68"/>
  <c r="G19" i="68"/>
  <c r="F19" i="68"/>
  <c r="G18" i="68"/>
  <c r="F18" i="68"/>
  <c r="G17" i="68"/>
  <c r="F17" i="68"/>
  <c r="E240" i="69" s="1"/>
  <c r="G16" i="68"/>
  <c r="E253" i="69" s="1"/>
  <c r="P269" i="69" s="1"/>
  <c r="F16" i="68"/>
  <c r="E252" i="69" s="1"/>
  <c r="G15" i="68"/>
  <c r="E237" i="69" s="1"/>
  <c r="A267" i="69" s="1"/>
  <c r="F15" i="68"/>
  <c r="G14" i="68"/>
  <c r="F14" i="68"/>
  <c r="E234" i="69" s="1"/>
  <c r="A264" i="69" s="1"/>
  <c r="AB6" i="68"/>
  <c r="D6" i="68"/>
  <c r="B6" i="68"/>
  <c r="AA5" i="68"/>
  <c r="E3" i="68"/>
  <c r="B3" i="68"/>
  <c r="C433" i="67"/>
  <c r="D432" i="67"/>
  <c r="C432" i="67"/>
  <c r="C430" i="67"/>
  <c r="F426" i="67"/>
  <c r="C426" i="67"/>
  <c r="H416" i="67"/>
  <c r="H409" i="67"/>
  <c r="H395" i="67"/>
  <c r="H392" i="67"/>
  <c r="H378" i="67"/>
  <c r="H360" i="67"/>
  <c r="H352" i="67"/>
  <c r="A270" i="67"/>
  <c r="E256" i="67"/>
  <c r="E255" i="67"/>
  <c r="E249" i="67"/>
  <c r="E241" i="67"/>
  <c r="A271" i="67" s="1"/>
  <c r="E240" i="67"/>
  <c r="E239" i="67"/>
  <c r="A269" i="67" s="1"/>
  <c r="F158" i="67"/>
  <c r="B50" i="67"/>
  <c r="F26" i="67"/>
  <c r="E26" i="67"/>
  <c r="D26" i="67"/>
  <c r="C197" i="67" s="1"/>
  <c r="C26" i="67"/>
  <c r="B197" i="67" s="1"/>
  <c r="F198" i="67" s="1"/>
  <c r="F25" i="67"/>
  <c r="E25" i="67"/>
  <c r="D25" i="67"/>
  <c r="C176" i="67" s="1"/>
  <c r="F178" i="67" s="1"/>
  <c r="C25" i="67"/>
  <c r="F24" i="67"/>
  <c r="E24" i="67"/>
  <c r="D155" i="67" s="1"/>
  <c r="D24" i="67"/>
  <c r="C24" i="67"/>
  <c r="F23" i="67"/>
  <c r="E134" i="67" s="1"/>
  <c r="F138" i="67" s="1"/>
  <c r="E23" i="67"/>
  <c r="D134" i="67" s="1"/>
  <c r="F137" i="67" s="1"/>
  <c r="D23" i="67"/>
  <c r="C23" i="67"/>
  <c r="B134" i="67" s="1"/>
  <c r="F22" i="67"/>
  <c r="E22" i="67"/>
  <c r="D22" i="67"/>
  <c r="C22" i="67"/>
  <c r="F21" i="67"/>
  <c r="E92" i="67" s="1"/>
  <c r="F96" i="67" s="1"/>
  <c r="E21" i="67"/>
  <c r="D21" i="67"/>
  <c r="C21" i="67"/>
  <c r="C428" i="67" s="1"/>
  <c r="F20" i="67"/>
  <c r="E20" i="67"/>
  <c r="D20" i="67"/>
  <c r="C20" i="67"/>
  <c r="F19" i="67"/>
  <c r="E19" i="67"/>
  <c r="H362" i="67" s="1"/>
  <c r="D19" i="67"/>
  <c r="C19" i="67"/>
  <c r="F18" i="67"/>
  <c r="H355" i="67" s="1"/>
  <c r="E18" i="67"/>
  <c r="D18" i="67"/>
  <c r="C18" i="67"/>
  <c r="B29" i="67" s="1"/>
  <c r="F30" i="67" s="1"/>
  <c r="M14" i="67"/>
  <c r="L14" i="67"/>
  <c r="F433" i="67" s="1"/>
  <c r="F14" i="67"/>
  <c r="E14" i="67"/>
  <c r="D14" i="67"/>
  <c r="M13" i="67"/>
  <c r="L13" i="67"/>
  <c r="F432" i="67" s="1"/>
  <c r="M12" i="67"/>
  <c r="L12" i="67"/>
  <c r="C12" i="67"/>
  <c r="M11" i="67"/>
  <c r="L11" i="67"/>
  <c r="M10" i="67"/>
  <c r="L10" i="67"/>
  <c r="F429" i="67" s="1"/>
  <c r="M9" i="67"/>
  <c r="L9" i="67"/>
  <c r="M8" i="67"/>
  <c r="L8" i="67"/>
  <c r="F427" i="67" s="1"/>
  <c r="M7" i="67"/>
  <c r="L7" i="67"/>
  <c r="M6" i="67"/>
  <c r="L6" i="67"/>
  <c r="F425" i="67" s="1"/>
  <c r="D6" i="67"/>
  <c r="E3" i="67"/>
  <c r="B3" i="67"/>
  <c r="H42" i="66"/>
  <c r="G42" i="66"/>
  <c r="AA48" i="66" s="1"/>
  <c r="F42" i="66"/>
  <c r="AB47" i="66" s="1"/>
  <c r="E42" i="66"/>
  <c r="AA47" i="66" s="1"/>
  <c r="J41" i="66"/>
  <c r="H41" i="66"/>
  <c r="AB45" i="66" s="1"/>
  <c r="G41" i="66"/>
  <c r="F41" i="66"/>
  <c r="AB44" i="66" s="1"/>
  <c r="E41" i="66"/>
  <c r="AA44" i="66" s="1"/>
  <c r="H40" i="66"/>
  <c r="G40" i="66"/>
  <c r="AA42" i="66" s="1"/>
  <c r="F40" i="66"/>
  <c r="AB41" i="66" s="1"/>
  <c r="E40" i="66"/>
  <c r="AA41" i="66" s="1"/>
  <c r="AB39" i="66"/>
  <c r="H39" i="66"/>
  <c r="J39" i="66" s="1"/>
  <c r="G39" i="66"/>
  <c r="I39" i="66" s="1"/>
  <c r="K39" i="66" s="1"/>
  <c r="F39" i="66"/>
  <c r="AB38" i="66" s="1"/>
  <c r="E39" i="66"/>
  <c r="AA38" i="66" s="1"/>
  <c r="I38" i="66"/>
  <c r="K38" i="66" s="1"/>
  <c r="M38" i="66" s="1"/>
  <c r="H38" i="66"/>
  <c r="G38" i="66"/>
  <c r="AA36" i="66" s="1"/>
  <c r="F38" i="66"/>
  <c r="AB35" i="66" s="1"/>
  <c r="E38" i="66"/>
  <c r="J37" i="66"/>
  <c r="I37" i="66"/>
  <c r="K37" i="66" s="1"/>
  <c r="H37" i="66"/>
  <c r="AB33" i="66" s="1"/>
  <c r="G37" i="66"/>
  <c r="AA33" i="66" s="1"/>
  <c r="F37" i="66"/>
  <c r="AB32" i="66" s="1"/>
  <c r="E37" i="66"/>
  <c r="H36" i="66"/>
  <c r="G36" i="66"/>
  <c r="F36" i="66"/>
  <c r="J36" i="66" s="1"/>
  <c r="E36" i="66"/>
  <c r="AA35" i="66"/>
  <c r="H35" i="66"/>
  <c r="AB27" i="66" s="1"/>
  <c r="G35" i="66"/>
  <c r="F35" i="66"/>
  <c r="E35" i="66"/>
  <c r="H34" i="66"/>
  <c r="G34" i="66"/>
  <c r="F34" i="66"/>
  <c r="E34" i="66"/>
  <c r="H33" i="66"/>
  <c r="G33" i="66"/>
  <c r="F33" i="66"/>
  <c r="E33" i="66"/>
  <c r="C11" i="67" s="1"/>
  <c r="AA32" i="66"/>
  <c r="H32" i="66"/>
  <c r="J32" i="66" s="1"/>
  <c r="G32" i="66"/>
  <c r="F32" i="66"/>
  <c r="E32" i="66"/>
  <c r="C10" i="67" s="1"/>
  <c r="H31" i="66"/>
  <c r="F9" i="67" s="1"/>
  <c r="G31" i="66"/>
  <c r="E9" i="67" s="1"/>
  <c r="F31" i="66"/>
  <c r="E31" i="66"/>
  <c r="AB30" i="66"/>
  <c r="H30" i="66"/>
  <c r="G30" i="66"/>
  <c r="F30" i="66"/>
  <c r="D8" i="67" s="1"/>
  <c r="E30" i="66"/>
  <c r="H29" i="66"/>
  <c r="AB9" i="66" s="1"/>
  <c r="G29" i="66"/>
  <c r="F29" i="66"/>
  <c r="E29" i="66"/>
  <c r="H28" i="66"/>
  <c r="G28" i="66"/>
  <c r="F28" i="66"/>
  <c r="E28" i="66"/>
  <c r="C6" i="67" s="1"/>
  <c r="AA23" i="66"/>
  <c r="G23" i="66"/>
  <c r="F23" i="66"/>
  <c r="G22" i="66"/>
  <c r="F22" i="66"/>
  <c r="AB21" i="66"/>
  <c r="AA21" i="66"/>
  <c r="G21" i="66"/>
  <c r="F21" i="66"/>
  <c r="AA20" i="66"/>
  <c r="G20" i="66"/>
  <c r="F20" i="66"/>
  <c r="G19" i="66"/>
  <c r="F19" i="66"/>
  <c r="E244" i="67" s="1"/>
  <c r="A274" i="67" s="1"/>
  <c r="G18" i="66"/>
  <c r="F18" i="66"/>
  <c r="E242" i="67" s="1"/>
  <c r="A272" i="67" s="1"/>
  <c r="G17" i="66"/>
  <c r="F17" i="66"/>
  <c r="E254" i="67" s="1"/>
  <c r="P270" i="67" s="1"/>
  <c r="G16" i="66"/>
  <c r="E253" i="67" s="1"/>
  <c r="F16" i="66"/>
  <c r="E252" i="67" s="1"/>
  <c r="G252" i="67" s="1"/>
  <c r="AB15" i="66"/>
  <c r="AA15" i="66"/>
  <c r="G15" i="66"/>
  <c r="E251" i="67" s="1"/>
  <c r="F15" i="66"/>
  <c r="G14" i="66"/>
  <c r="E235" i="67" s="1"/>
  <c r="A265" i="67" s="1"/>
  <c r="F14" i="66"/>
  <c r="E234" i="67" s="1"/>
  <c r="A264" i="67" s="1"/>
  <c r="AB11" i="66"/>
  <c r="AA6" i="66"/>
  <c r="D6" i="66"/>
  <c r="B6" i="66"/>
  <c r="AB5" i="66"/>
  <c r="AA5" i="66"/>
  <c r="E3" i="66"/>
  <c r="B3" i="66"/>
  <c r="C431" i="65"/>
  <c r="F430" i="65"/>
  <c r="C430" i="65"/>
  <c r="C429" i="65"/>
  <c r="F428" i="65"/>
  <c r="H417" i="65"/>
  <c r="H409" i="65"/>
  <c r="H387" i="65"/>
  <c r="H377" i="65"/>
  <c r="H363" i="65"/>
  <c r="H360" i="65"/>
  <c r="E258" i="65"/>
  <c r="E256" i="65"/>
  <c r="E244" i="65"/>
  <c r="A274" i="65" s="1"/>
  <c r="E241" i="65"/>
  <c r="A271" i="65" s="1"/>
  <c r="E240" i="65"/>
  <c r="A270" i="65" s="1"/>
  <c r="E239" i="65"/>
  <c r="A269" i="65" s="1"/>
  <c r="C176" i="65"/>
  <c r="B176" i="65"/>
  <c r="D134" i="65"/>
  <c r="F137" i="65" s="1"/>
  <c r="B134" i="65"/>
  <c r="F114" i="65"/>
  <c r="D113" i="65"/>
  <c r="B113" i="65"/>
  <c r="F26" i="65"/>
  <c r="H419" i="65" s="1"/>
  <c r="E26" i="65"/>
  <c r="D433" i="65" s="1"/>
  <c r="D26" i="65"/>
  <c r="C197" i="65" s="1"/>
  <c r="F199" i="65" s="1"/>
  <c r="C26" i="65"/>
  <c r="B197" i="65" s="1"/>
  <c r="F198" i="65" s="1"/>
  <c r="F25" i="65"/>
  <c r="E25" i="65"/>
  <c r="D25" i="65"/>
  <c r="C25" i="65"/>
  <c r="H408" i="65" s="1"/>
  <c r="F24" i="65"/>
  <c r="E24" i="65"/>
  <c r="D24" i="65"/>
  <c r="C155" i="65" s="1"/>
  <c r="F157" i="65" s="1"/>
  <c r="C24" i="65"/>
  <c r="F23" i="65"/>
  <c r="E23" i="65"/>
  <c r="D430" i="65" s="1"/>
  <c r="D23" i="65"/>
  <c r="C23" i="65"/>
  <c r="H392" i="65" s="1"/>
  <c r="F22" i="65"/>
  <c r="E113" i="65" s="1"/>
  <c r="F117" i="65" s="1"/>
  <c r="E22" i="65"/>
  <c r="D429" i="65" s="1"/>
  <c r="D22" i="65"/>
  <c r="C22" i="65"/>
  <c r="H384" i="65" s="1"/>
  <c r="F21" i="65"/>
  <c r="E21" i="65"/>
  <c r="D21" i="65"/>
  <c r="C92" i="65" s="1"/>
  <c r="F94" i="65" s="1"/>
  <c r="C21" i="65"/>
  <c r="F20" i="65"/>
  <c r="E20" i="65"/>
  <c r="D20" i="65"/>
  <c r="C20" i="65"/>
  <c r="B71" i="65" s="1"/>
  <c r="F72" i="65" s="1"/>
  <c r="F19" i="65"/>
  <c r="E50" i="65" s="1"/>
  <c r="F54" i="65" s="1"/>
  <c r="E19" i="65"/>
  <c r="D19" i="65"/>
  <c r="C50" i="65" s="1"/>
  <c r="F52" i="65" s="1"/>
  <c r="C19" i="65"/>
  <c r="C426" i="65" s="1"/>
  <c r="F18" i="65"/>
  <c r="H355" i="65" s="1"/>
  <c r="E18" i="65"/>
  <c r="D18" i="65"/>
  <c r="C18" i="65"/>
  <c r="M14" i="65"/>
  <c r="L14" i="65"/>
  <c r="F433" i="65" s="1"/>
  <c r="M13" i="65"/>
  <c r="L13" i="65"/>
  <c r="F432" i="65" s="1"/>
  <c r="C13" i="65"/>
  <c r="M12" i="65"/>
  <c r="L12" i="65"/>
  <c r="F12" i="65"/>
  <c r="C12" i="65"/>
  <c r="M11" i="65"/>
  <c r="L11" i="65"/>
  <c r="M10" i="65"/>
  <c r="L10" i="65"/>
  <c r="F429" i="65" s="1"/>
  <c r="E10" i="65"/>
  <c r="M9" i="65"/>
  <c r="L9" i="65"/>
  <c r="F9" i="65"/>
  <c r="E9" i="65"/>
  <c r="C9" i="65"/>
  <c r="M8" i="65"/>
  <c r="L8" i="65"/>
  <c r="F427" i="65" s="1"/>
  <c r="M7" i="65"/>
  <c r="L7" i="65"/>
  <c r="F426" i="65" s="1"/>
  <c r="M6" i="65"/>
  <c r="L6" i="65"/>
  <c r="F425" i="65" s="1"/>
  <c r="E6" i="65"/>
  <c r="D6" i="65"/>
  <c r="C6" i="65"/>
  <c r="E3" i="65"/>
  <c r="B3" i="65"/>
  <c r="AA48" i="64"/>
  <c r="AB47" i="64"/>
  <c r="AA44" i="64"/>
  <c r="H42" i="64"/>
  <c r="G42" i="64"/>
  <c r="I42" i="64" s="1"/>
  <c r="K42" i="64" s="1"/>
  <c r="L42" i="64" s="1"/>
  <c r="F42" i="64"/>
  <c r="E42" i="64"/>
  <c r="AA47" i="64" s="1"/>
  <c r="H41" i="64"/>
  <c r="G41" i="64"/>
  <c r="I41" i="64" s="1"/>
  <c r="K41" i="64" s="1"/>
  <c r="F41" i="64"/>
  <c r="AB44" i="64" s="1"/>
  <c r="E41" i="64"/>
  <c r="H40" i="64"/>
  <c r="J40" i="64" s="1"/>
  <c r="G40" i="64"/>
  <c r="AA42" i="64" s="1"/>
  <c r="F40" i="64"/>
  <c r="AB41" i="64" s="1"/>
  <c r="E40" i="64"/>
  <c r="AA41" i="64" s="1"/>
  <c r="H39" i="64"/>
  <c r="AB39" i="64" s="1"/>
  <c r="G39" i="64"/>
  <c r="F39" i="64"/>
  <c r="E39" i="64"/>
  <c r="AA38" i="64" s="1"/>
  <c r="AB38" i="64"/>
  <c r="J38" i="64"/>
  <c r="H38" i="64"/>
  <c r="AB36" i="64" s="1"/>
  <c r="G38" i="64"/>
  <c r="F38" i="64"/>
  <c r="AB35" i="64" s="1"/>
  <c r="E38" i="64"/>
  <c r="AA35" i="64" s="1"/>
  <c r="K37" i="64"/>
  <c r="M37" i="64" s="1"/>
  <c r="H37" i="64"/>
  <c r="G37" i="64"/>
  <c r="I37" i="64" s="1"/>
  <c r="F37" i="64"/>
  <c r="AB32" i="64" s="1"/>
  <c r="E37" i="64"/>
  <c r="AA32" i="64" s="1"/>
  <c r="H36" i="64"/>
  <c r="G36" i="64"/>
  <c r="F36" i="64"/>
  <c r="E36" i="64"/>
  <c r="I35" i="64"/>
  <c r="H35" i="64"/>
  <c r="G35" i="64"/>
  <c r="F35" i="64"/>
  <c r="E35" i="64"/>
  <c r="H34" i="64"/>
  <c r="J34" i="64" s="1"/>
  <c r="G34" i="64"/>
  <c r="F34" i="64"/>
  <c r="AB23" i="64" s="1"/>
  <c r="E34" i="64"/>
  <c r="AA33" i="64"/>
  <c r="H33" i="64"/>
  <c r="F11" i="65" s="1"/>
  <c r="G33" i="64"/>
  <c r="F33" i="64"/>
  <c r="J33" i="64" s="1"/>
  <c r="E33" i="64"/>
  <c r="H32" i="64"/>
  <c r="F10" i="65" s="1"/>
  <c r="G32" i="64"/>
  <c r="F32" i="64"/>
  <c r="E32" i="64"/>
  <c r="I32" i="64" s="1"/>
  <c r="H31" i="64"/>
  <c r="G31" i="64"/>
  <c r="F31" i="64"/>
  <c r="E31" i="64"/>
  <c r="H30" i="64"/>
  <c r="G30" i="64"/>
  <c r="F30" i="64"/>
  <c r="E30" i="64"/>
  <c r="H29" i="64"/>
  <c r="G29" i="64"/>
  <c r="F29" i="64"/>
  <c r="E29" i="64"/>
  <c r="H28" i="64"/>
  <c r="J28" i="64" s="1"/>
  <c r="G28" i="64"/>
  <c r="AA6" i="64" s="1"/>
  <c r="F28" i="64"/>
  <c r="E28" i="64"/>
  <c r="AA26" i="64"/>
  <c r="AB24" i="64"/>
  <c r="AA23" i="64"/>
  <c r="G23" i="64"/>
  <c r="F23" i="64"/>
  <c r="G22" i="64"/>
  <c r="F22" i="64"/>
  <c r="AB21" i="64"/>
  <c r="G21" i="64"/>
  <c r="F21" i="64"/>
  <c r="G20" i="64"/>
  <c r="F20" i="64"/>
  <c r="G19" i="64"/>
  <c r="F19" i="64"/>
  <c r="AA18" i="64"/>
  <c r="G18" i="64"/>
  <c r="E243" i="65" s="1"/>
  <c r="A273" i="65" s="1"/>
  <c r="F18" i="64"/>
  <c r="E242" i="65" s="1"/>
  <c r="A272" i="65" s="1"/>
  <c r="G17" i="64"/>
  <c r="E255" i="65" s="1"/>
  <c r="P271" i="65" s="1"/>
  <c r="F17" i="64"/>
  <c r="E254" i="65" s="1"/>
  <c r="G16" i="64"/>
  <c r="E253" i="65" s="1"/>
  <c r="F16" i="64"/>
  <c r="AB15" i="64"/>
  <c r="AA15" i="64"/>
  <c r="G15" i="64"/>
  <c r="F15" i="64"/>
  <c r="G14" i="64"/>
  <c r="E249" i="65" s="1"/>
  <c r="F14" i="64"/>
  <c r="D6" i="64"/>
  <c r="B6" i="64"/>
  <c r="AB5" i="64"/>
  <c r="AA5" i="64"/>
  <c r="E3" i="64"/>
  <c r="B3" i="64"/>
  <c r="F432" i="63"/>
  <c r="C432" i="63"/>
  <c r="D431" i="63"/>
  <c r="H410" i="63"/>
  <c r="H408" i="63"/>
  <c r="H402" i="63"/>
  <c r="H385" i="63"/>
  <c r="H376" i="63"/>
  <c r="H370" i="63"/>
  <c r="H368" i="63"/>
  <c r="P272" i="63"/>
  <c r="E257" i="63"/>
  <c r="P273" i="63" s="1"/>
  <c r="E253" i="63"/>
  <c r="E252" i="63"/>
  <c r="G252" i="63" s="1"/>
  <c r="E248" i="63"/>
  <c r="E197" i="63"/>
  <c r="F201" i="63" s="1"/>
  <c r="D197" i="63"/>
  <c r="F200" i="63" s="1"/>
  <c r="B176" i="63"/>
  <c r="F177" i="63" s="1"/>
  <c r="D155" i="63"/>
  <c r="F158" i="63" s="1"/>
  <c r="B113" i="63"/>
  <c r="F93" i="63"/>
  <c r="B92" i="63"/>
  <c r="D71" i="63"/>
  <c r="F74" i="63" s="1"/>
  <c r="B50" i="63"/>
  <c r="E29" i="63"/>
  <c r="F33" i="63" s="1"/>
  <c r="D29" i="63"/>
  <c r="C29" i="63"/>
  <c r="M47" i="63" s="1"/>
  <c r="B29" i="63"/>
  <c r="F26" i="63"/>
  <c r="H419" i="63" s="1"/>
  <c r="E26" i="63"/>
  <c r="D26" i="63"/>
  <c r="C26" i="63"/>
  <c r="F25" i="63"/>
  <c r="E176" i="63" s="1"/>
  <c r="F180" i="63" s="1"/>
  <c r="E25" i="63"/>
  <c r="D176" i="63" s="1"/>
  <c r="F179" i="63" s="1"/>
  <c r="D25" i="63"/>
  <c r="H409" i="63" s="1"/>
  <c r="C25" i="63"/>
  <c r="F24" i="63"/>
  <c r="E24" i="63"/>
  <c r="D24" i="63"/>
  <c r="C24" i="63"/>
  <c r="F23" i="63"/>
  <c r="E23" i="63"/>
  <c r="D23" i="63"/>
  <c r="C23" i="63"/>
  <c r="F22" i="63"/>
  <c r="E22" i="63"/>
  <c r="D22" i="63"/>
  <c r="C113" i="63" s="1"/>
  <c r="C22" i="63"/>
  <c r="F21" i="63"/>
  <c r="H379" i="63" s="1"/>
  <c r="E21" i="63"/>
  <c r="D428" i="63" s="1"/>
  <c r="D21" i="63"/>
  <c r="C21" i="63"/>
  <c r="C428" i="63" s="1"/>
  <c r="F20" i="63"/>
  <c r="H371" i="63" s="1"/>
  <c r="E20" i="63"/>
  <c r="D427" i="63" s="1"/>
  <c r="D20" i="63"/>
  <c r="H369" i="63" s="1"/>
  <c r="C20" i="63"/>
  <c r="C427" i="63" s="1"/>
  <c r="F19" i="63"/>
  <c r="E19" i="63"/>
  <c r="D19" i="63"/>
  <c r="C19" i="63"/>
  <c r="F18" i="63"/>
  <c r="H355" i="63" s="1"/>
  <c r="E18" i="63"/>
  <c r="D18" i="63"/>
  <c r="H353" i="63" s="1"/>
  <c r="C18" i="63"/>
  <c r="C425" i="63" s="1"/>
  <c r="M14" i="63"/>
  <c r="L14" i="63"/>
  <c r="M13" i="63"/>
  <c r="L13" i="63"/>
  <c r="D13" i="63"/>
  <c r="C13" i="63"/>
  <c r="M12" i="63"/>
  <c r="L12" i="63"/>
  <c r="E12" i="63"/>
  <c r="D12" i="63"/>
  <c r="C12" i="63"/>
  <c r="G12" i="63" s="1"/>
  <c r="M11" i="63"/>
  <c r="L11" i="63"/>
  <c r="F430" i="63" s="1"/>
  <c r="M10" i="63"/>
  <c r="L10" i="63"/>
  <c r="E10" i="63"/>
  <c r="M9" i="63"/>
  <c r="L9" i="63"/>
  <c r="F428" i="63" s="1"/>
  <c r="M8" i="63"/>
  <c r="L8" i="63"/>
  <c r="F427" i="63" s="1"/>
  <c r="M7" i="63"/>
  <c r="L7" i="63"/>
  <c r="F426" i="63" s="1"/>
  <c r="F7" i="63"/>
  <c r="M6" i="63"/>
  <c r="L6" i="63"/>
  <c r="F6" i="63"/>
  <c r="H6" i="63" s="1"/>
  <c r="E6" i="63"/>
  <c r="D6" i="63"/>
  <c r="E3" i="63"/>
  <c r="B3" i="63"/>
  <c r="AB45" i="62"/>
  <c r="AA45" i="62"/>
  <c r="AB44" i="62"/>
  <c r="I42" i="62"/>
  <c r="K42" i="62" s="1"/>
  <c r="H42" i="62"/>
  <c r="G42" i="62"/>
  <c r="AA48" i="62" s="1"/>
  <c r="F42" i="62"/>
  <c r="AB47" i="62" s="1"/>
  <c r="E42" i="62"/>
  <c r="AA47" i="62" s="1"/>
  <c r="AA41" i="62"/>
  <c r="J41" i="62"/>
  <c r="H41" i="62"/>
  <c r="G41" i="62"/>
  <c r="I41" i="62" s="1"/>
  <c r="K41" i="62" s="1"/>
  <c r="M41" i="62" s="1"/>
  <c r="F41" i="62"/>
  <c r="E41" i="62"/>
  <c r="AA44" i="62" s="1"/>
  <c r="H40" i="62"/>
  <c r="AB42" i="62" s="1"/>
  <c r="G40" i="62"/>
  <c r="F40" i="62"/>
  <c r="AB41" i="62" s="1"/>
  <c r="E40" i="62"/>
  <c r="H39" i="62"/>
  <c r="AB39" i="62" s="1"/>
  <c r="G39" i="62"/>
  <c r="F39" i="62"/>
  <c r="AB38" i="62" s="1"/>
  <c r="E39" i="62"/>
  <c r="AA38" i="62" s="1"/>
  <c r="I38" i="62"/>
  <c r="K38" i="62" s="1"/>
  <c r="H38" i="62"/>
  <c r="G38" i="62"/>
  <c r="AA36" i="62" s="1"/>
  <c r="F38" i="62"/>
  <c r="AB35" i="62" s="1"/>
  <c r="E38" i="62"/>
  <c r="AA35" i="62" s="1"/>
  <c r="H37" i="62"/>
  <c r="J37" i="62" s="1"/>
  <c r="G37" i="62"/>
  <c r="I37" i="62" s="1"/>
  <c r="K37" i="62" s="1"/>
  <c r="F37" i="62"/>
  <c r="AB32" i="62" s="1"/>
  <c r="E37" i="62"/>
  <c r="AA32" i="62" s="1"/>
  <c r="H36" i="62"/>
  <c r="F14" i="63" s="1"/>
  <c r="G36" i="62"/>
  <c r="E14" i="63" s="1"/>
  <c r="F36" i="62"/>
  <c r="E36" i="62"/>
  <c r="H35" i="62"/>
  <c r="G35" i="62"/>
  <c r="AA27" i="62" s="1"/>
  <c r="F35" i="62"/>
  <c r="E35" i="62"/>
  <c r="H34" i="62"/>
  <c r="G34" i="62"/>
  <c r="F34" i="62"/>
  <c r="E34" i="62"/>
  <c r="AA23" i="62" s="1"/>
  <c r="AB33" i="62"/>
  <c r="I33" i="62"/>
  <c r="K33" i="62" s="1"/>
  <c r="H33" i="62"/>
  <c r="AB21" i="62" s="1"/>
  <c r="G33" i="62"/>
  <c r="F33" i="62"/>
  <c r="J33" i="62" s="1"/>
  <c r="E33" i="62"/>
  <c r="C11" i="63" s="1"/>
  <c r="J32" i="62"/>
  <c r="H32" i="62"/>
  <c r="AB18" i="62" s="1"/>
  <c r="G32" i="62"/>
  <c r="I32" i="62" s="1"/>
  <c r="F32" i="62"/>
  <c r="E32" i="62"/>
  <c r="H31" i="62"/>
  <c r="G31" i="62"/>
  <c r="F31" i="62"/>
  <c r="E31" i="62"/>
  <c r="H30" i="62"/>
  <c r="J30" i="62" s="1"/>
  <c r="G30" i="62"/>
  <c r="F30" i="62"/>
  <c r="E30" i="62"/>
  <c r="H29" i="62"/>
  <c r="G29" i="62"/>
  <c r="E7" i="63" s="1"/>
  <c r="F29" i="62"/>
  <c r="E29" i="62"/>
  <c r="H28" i="62"/>
  <c r="AB6" i="62" s="1"/>
  <c r="G28" i="62"/>
  <c r="AA6" i="62" s="1"/>
  <c r="F28" i="62"/>
  <c r="AB5" i="62" s="1"/>
  <c r="E28" i="62"/>
  <c r="AA5" i="62" s="1"/>
  <c r="AB26" i="62"/>
  <c r="AA26" i="62"/>
  <c r="AB23" i="62"/>
  <c r="G23" i="62"/>
  <c r="F23" i="62"/>
  <c r="G22" i="62"/>
  <c r="F22" i="62"/>
  <c r="G21" i="62"/>
  <c r="F21" i="62"/>
  <c r="AA20" i="62"/>
  <c r="G20" i="62"/>
  <c r="F20" i="62"/>
  <c r="G19" i="62"/>
  <c r="F19" i="62"/>
  <c r="G18" i="62"/>
  <c r="E243" i="63" s="1"/>
  <c r="A273" i="63" s="1"/>
  <c r="F18" i="62"/>
  <c r="E256" i="63" s="1"/>
  <c r="G17" i="62"/>
  <c r="F17" i="62"/>
  <c r="E240" i="63" s="1"/>
  <c r="A270" i="63" s="1"/>
  <c r="G16" i="62"/>
  <c r="E239" i="63" s="1"/>
  <c r="A269" i="63" s="1"/>
  <c r="F16" i="62"/>
  <c r="E238" i="63" s="1"/>
  <c r="A268" i="63" s="1"/>
  <c r="G15" i="62"/>
  <c r="F15" i="62"/>
  <c r="G14" i="62"/>
  <c r="F14" i="62"/>
  <c r="AA9" i="62"/>
  <c r="D6" i="62"/>
  <c r="B6" i="62"/>
  <c r="E3" i="62"/>
  <c r="B3" i="62"/>
  <c r="F432" i="61"/>
  <c r="C430" i="61"/>
  <c r="D429" i="61"/>
  <c r="F428" i="61"/>
  <c r="D427" i="61"/>
  <c r="H411" i="61"/>
  <c r="H410" i="61"/>
  <c r="H409" i="61"/>
  <c r="H403" i="61"/>
  <c r="H402" i="61"/>
  <c r="H394" i="61"/>
  <c r="H393" i="61"/>
  <c r="H385" i="61"/>
  <c r="H384" i="61"/>
  <c r="H355" i="61"/>
  <c r="A271" i="61"/>
  <c r="E254" i="61"/>
  <c r="P270" i="61" s="1"/>
  <c r="E252" i="61"/>
  <c r="G252" i="61" s="1"/>
  <c r="F249" i="61"/>
  <c r="E244" i="61"/>
  <c r="A274" i="61" s="1"/>
  <c r="E243" i="61"/>
  <c r="A273" i="61" s="1"/>
  <c r="E242" i="61"/>
  <c r="A272" i="61" s="1"/>
  <c r="E235" i="61"/>
  <c r="A265" i="61" s="1"/>
  <c r="E197" i="61"/>
  <c r="F201" i="61" s="1"/>
  <c r="D197" i="61"/>
  <c r="F200" i="61" s="1"/>
  <c r="C197" i="61"/>
  <c r="F199" i="61" s="1"/>
  <c r="D155" i="61"/>
  <c r="F158" i="61" s="1"/>
  <c r="D134" i="61"/>
  <c r="F137" i="61" s="1"/>
  <c r="C134" i="61"/>
  <c r="F136" i="61" s="1"/>
  <c r="B134" i="61"/>
  <c r="D113" i="61"/>
  <c r="F116" i="61" s="1"/>
  <c r="E71" i="61"/>
  <c r="F75" i="61" s="1"/>
  <c r="D71" i="61"/>
  <c r="F74" i="61" s="1"/>
  <c r="C71" i="61"/>
  <c r="F73" i="61" s="1"/>
  <c r="E29" i="61"/>
  <c r="F33" i="61" s="1"/>
  <c r="D29" i="61"/>
  <c r="F32" i="61" s="1"/>
  <c r="F26" i="61"/>
  <c r="H419" i="61" s="1"/>
  <c r="E26" i="61"/>
  <c r="D433" i="61" s="1"/>
  <c r="D26" i="61"/>
  <c r="H417" i="61" s="1"/>
  <c r="C26" i="61"/>
  <c r="F25" i="61"/>
  <c r="E176" i="61" s="1"/>
  <c r="F180" i="61" s="1"/>
  <c r="E25" i="61"/>
  <c r="D432" i="61" s="1"/>
  <c r="D25" i="61"/>
  <c r="C176" i="61" s="1"/>
  <c r="F178" i="61" s="1"/>
  <c r="C25" i="61"/>
  <c r="F24" i="61"/>
  <c r="E155" i="61" s="1"/>
  <c r="F159" i="61" s="1"/>
  <c r="E24" i="61"/>
  <c r="D431" i="61" s="1"/>
  <c r="D24" i="61"/>
  <c r="C24" i="61"/>
  <c r="F23" i="61"/>
  <c r="E23" i="61"/>
  <c r="D430" i="61" s="1"/>
  <c r="D23" i="61"/>
  <c r="C23" i="61"/>
  <c r="H392" i="61" s="1"/>
  <c r="F22" i="61"/>
  <c r="H387" i="61" s="1"/>
  <c r="E22" i="61"/>
  <c r="H386" i="61" s="1"/>
  <c r="D22" i="61"/>
  <c r="C113" i="61" s="1"/>
  <c r="F115" i="61" s="1"/>
  <c r="C22" i="61"/>
  <c r="F21" i="61"/>
  <c r="H379" i="61" s="1"/>
  <c r="E21" i="61"/>
  <c r="D92" i="61" s="1"/>
  <c r="F95" i="61" s="1"/>
  <c r="D21" i="61"/>
  <c r="C21" i="61"/>
  <c r="F20" i="61"/>
  <c r="H371" i="61" s="1"/>
  <c r="E20" i="61"/>
  <c r="H370" i="61" s="1"/>
  <c r="D20" i="61"/>
  <c r="H369" i="61" s="1"/>
  <c r="C20" i="61"/>
  <c r="C427" i="61" s="1"/>
  <c r="F19" i="61"/>
  <c r="E19" i="61"/>
  <c r="D19" i="61"/>
  <c r="C19" i="61"/>
  <c r="B50" i="61" s="1"/>
  <c r="F18" i="61"/>
  <c r="E18" i="61"/>
  <c r="H354" i="61" s="1"/>
  <c r="D18" i="61"/>
  <c r="C18" i="61"/>
  <c r="M14" i="61"/>
  <c r="L14" i="61"/>
  <c r="F14" i="61"/>
  <c r="H14" i="61" s="1"/>
  <c r="E14" i="61"/>
  <c r="G14" i="61" s="1"/>
  <c r="M13" i="61"/>
  <c r="L13" i="61"/>
  <c r="M12" i="61"/>
  <c r="L12" i="61"/>
  <c r="F431" i="61" s="1"/>
  <c r="C12" i="61"/>
  <c r="M11" i="61"/>
  <c r="L11" i="61"/>
  <c r="D11" i="61"/>
  <c r="C11" i="61"/>
  <c r="M10" i="61"/>
  <c r="L10" i="61"/>
  <c r="F429" i="61" s="1"/>
  <c r="F10" i="61"/>
  <c r="E10" i="61"/>
  <c r="G10" i="61" s="1"/>
  <c r="D10" i="61"/>
  <c r="C10" i="61"/>
  <c r="M9" i="61"/>
  <c r="L9" i="61"/>
  <c r="M8" i="61"/>
  <c r="L8" i="61"/>
  <c r="E8" i="61"/>
  <c r="D8" i="61"/>
  <c r="C8" i="61"/>
  <c r="M7" i="61"/>
  <c r="L7" i="61"/>
  <c r="F426" i="61" s="1"/>
  <c r="F7" i="61"/>
  <c r="M6" i="61"/>
  <c r="L6" i="61"/>
  <c r="E3" i="61"/>
  <c r="B3" i="61"/>
  <c r="AB48" i="60"/>
  <c r="AB47" i="60"/>
  <c r="AA47" i="60"/>
  <c r="AA42" i="60"/>
  <c r="L42" i="60"/>
  <c r="K42" i="60"/>
  <c r="M42" i="60" s="1"/>
  <c r="J42" i="60"/>
  <c r="H42" i="60"/>
  <c r="G42" i="60"/>
  <c r="I42" i="60" s="1"/>
  <c r="F42" i="60"/>
  <c r="E42" i="60"/>
  <c r="H41" i="60"/>
  <c r="J41" i="60" s="1"/>
  <c r="G41" i="60"/>
  <c r="I41" i="60" s="1"/>
  <c r="K41" i="60" s="1"/>
  <c r="F41" i="60"/>
  <c r="AB44" i="60" s="1"/>
  <c r="E41" i="60"/>
  <c r="AA44" i="60" s="1"/>
  <c r="H40" i="60"/>
  <c r="G40" i="60"/>
  <c r="I40" i="60" s="1"/>
  <c r="K40" i="60" s="1"/>
  <c r="F40" i="60"/>
  <c r="AB41" i="60" s="1"/>
  <c r="E40" i="60"/>
  <c r="AA41" i="60" s="1"/>
  <c r="AB39" i="60"/>
  <c r="H39" i="60"/>
  <c r="J39" i="60" s="1"/>
  <c r="G39" i="60"/>
  <c r="F39" i="60"/>
  <c r="AB38" i="60" s="1"/>
  <c r="E39" i="60"/>
  <c r="AA38" i="60" s="1"/>
  <c r="J38" i="60"/>
  <c r="I38" i="60"/>
  <c r="K38" i="60" s="1"/>
  <c r="M38" i="60" s="1"/>
  <c r="H38" i="60"/>
  <c r="AB36" i="60" s="1"/>
  <c r="G38" i="60"/>
  <c r="F38" i="60"/>
  <c r="AB35" i="60" s="1"/>
  <c r="E38" i="60"/>
  <c r="AA35" i="60" s="1"/>
  <c r="H37" i="60"/>
  <c r="J37" i="60" s="1"/>
  <c r="G37" i="60"/>
  <c r="F37" i="60"/>
  <c r="AB32" i="60" s="1"/>
  <c r="E37" i="60"/>
  <c r="AA32" i="60" s="1"/>
  <c r="AA36" i="60"/>
  <c r="K36" i="60"/>
  <c r="M36" i="60" s="1"/>
  <c r="J36" i="60"/>
  <c r="I36" i="60"/>
  <c r="H36" i="60"/>
  <c r="G36" i="60"/>
  <c r="F36" i="60"/>
  <c r="D14" i="61" s="1"/>
  <c r="E36" i="60"/>
  <c r="C14" i="61" s="1"/>
  <c r="H35" i="60"/>
  <c r="AB27" i="60" s="1"/>
  <c r="G35" i="60"/>
  <c r="AA27" i="60" s="1"/>
  <c r="F35" i="60"/>
  <c r="E35" i="60"/>
  <c r="H34" i="60"/>
  <c r="G34" i="60"/>
  <c r="E12" i="61" s="1"/>
  <c r="F34" i="60"/>
  <c r="E34" i="60"/>
  <c r="AB33" i="60"/>
  <c r="J33" i="60"/>
  <c r="H33" i="60"/>
  <c r="G33" i="60"/>
  <c r="F33" i="60"/>
  <c r="E33" i="60"/>
  <c r="H32" i="60"/>
  <c r="J32" i="60" s="1"/>
  <c r="K32" i="60" s="1"/>
  <c r="G32" i="60"/>
  <c r="I32" i="60" s="1"/>
  <c r="F32" i="60"/>
  <c r="AB17" i="60" s="1"/>
  <c r="E32" i="60"/>
  <c r="AA17" i="60" s="1"/>
  <c r="H31" i="60"/>
  <c r="J31" i="60" s="1"/>
  <c r="G31" i="60"/>
  <c r="E9" i="61" s="1"/>
  <c r="G9" i="61" s="1"/>
  <c r="F31" i="60"/>
  <c r="D9" i="61" s="1"/>
  <c r="E31" i="60"/>
  <c r="C9" i="61" s="1"/>
  <c r="AB30" i="60"/>
  <c r="AA30" i="60"/>
  <c r="J30" i="60"/>
  <c r="I30" i="60"/>
  <c r="K30" i="60" s="1"/>
  <c r="H30" i="60"/>
  <c r="F8" i="61" s="1"/>
  <c r="G30" i="60"/>
  <c r="F30" i="60"/>
  <c r="AB11" i="60" s="1"/>
  <c r="E30" i="60"/>
  <c r="AA11" i="60" s="1"/>
  <c r="H29" i="60"/>
  <c r="G29" i="60"/>
  <c r="F29" i="60"/>
  <c r="E29" i="60"/>
  <c r="H28" i="60"/>
  <c r="G28" i="60"/>
  <c r="F28" i="60"/>
  <c r="D6" i="61" s="1"/>
  <c r="E28" i="60"/>
  <c r="C6" i="61" s="1"/>
  <c r="AB24" i="60"/>
  <c r="AA24" i="60"/>
  <c r="G23" i="60"/>
  <c r="F23" i="60"/>
  <c r="G22" i="60"/>
  <c r="F22" i="60"/>
  <c r="G21" i="60"/>
  <c r="F21" i="60"/>
  <c r="AB20" i="60"/>
  <c r="AA20" i="60"/>
  <c r="G20" i="60"/>
  <c r="F20" i="60"/>
  <c r="G19" i="60"/>
  <c r="F19" i="60"/>
  <c r="E258" i="61" s="1"/>
  <c r="AA18" i="60"/>
  <c r="G18" i="60"/>
  <c r="E257" i="61" s="1"/>
  <c r="P273" i="61" s="1"/>
  <c r="F18" i="60"/>
  <c r="E256" i="61" s="1"/>
  <c r="P272" i="61" s="1"/>
  <c r="G17" i="60"/>
  <c r="E241" i="61" s="1"/>
  <c r="F17" i="60"/>
  <c r="E240" i="61" s="1"/>
  <c r="A270" i="61" s="1"/>
  <c r="G16" i="60"/>
  <c r="F16" i="60"/>
  <c r="E238" i="61" s="1"/>
  <c r="A268" i="61" s="1"/>
  <c r="AB15" i="60"/>
  <c r="AA15" i="60"/>
  <c r="G15" i="60"/>
  <c r="F15" i="60"/>
  <c r="AB14" i="60"/>
  <c r="AA14" i="60"/>
  <c r="G14" i="60"/>
  <c r="E249" i="61" s="1"/>
  <c r="F14" i="60"/>
  <c r="AA12" i="60"/>
  <c r="AB9" i="60"/>
  <c r="D6" i="60"/>
  <c r="B6" i="60"/>
  <c r="AB5" i="60"/>
  <c r="AA5" i="60"/>
  <c r="E3" i="60"/>
  <c r="B3" i="60"/>
  <c r="D432" i="59"/>
  <c r="C432" i="59"/>
  <c r="C430" i="59"/>
  <c r="H376" i="59"/>
  <c r="A271" i="59"/>
  <c r="A265" i="59"/>
  <c r="E254" i="59"/>
  <c r="E251" i="59"/>
  <c r="G251" i="59" s="1"/>
  <c r="D176" i="59"/>
  <c r="F179" i="59" s="1"/>
  <c r="D155" i="59"/>
  <c r="F158" i="59" s="1"/>
  <c r="E134" i="59"/>
  <c r="F138" i="59" s="1"/>
  <c r="F95" i="59"/>
  <c r="F26" i="59"/>
  <c r="E26" i="59"/>
  <c r="D26" i="59"/>
  <c r="C26" i="59"/>
  <c r="F25" i="59"/>
  <c r="H411" i="59" s="1"/>
  <c r="E25" i="59"/>
  <c r="H410" i="59" s="1"/>
  <c r="D25" i="59"/>
  <c r="C25" i="59"/>
  <c r="B176" i="59" s="1"/>
  <c r="F24" i="59"/>
  <c r="E24" i="59"/>
  <c r="D431" i="59" s="1"/>
  <c r="D24" i="59"/>
  <c r="H401" i="59" s="1"/>
  <c r="C24" i="59"/>
  <c r="F23" i="59"/>
  <c r="H395" i="59" s="1"/>
  <c r="E23" i="59"/>
  <c r="D23" i="59"/>
  <c r="H393" i="59" s="1"/>
  <c r="C23" i="59"/>
  <c r="F22" i="59"/>
  <c r="H387" i="59" s="1"/>
  <c r="E22" i="59"/>
  <c r="D22" i="59"/>
  <c r="C22" i="59"/>
  <c r="F21" i="59"/>
  <c r="E21" i="59"/>
  <c r="D92" i="59" s="1"/>
  <c r="D21" i="59"/>
  <c r="C21" i="59"/>
  <c r="B92" i="59" s="1"/>
  <c r="F20" i="59"/>
  <c r="E20" i="59"/>
  <c r="D20" i="59"/>
  <c r="H369" i="59" s="1"/>
  <c r="C20" i="59"/>
  <c r="F19" i="59"/>
  <c r="E19" i="59"/>
  <c r="D19" i="59"/>
  <c r="H361" i="59" s="1"/>
  <c r="C19" i="59"/>
  <c r="F18" i="59"/>
  <c r="H355" i="59" s="1"/>
  <c r="E18" i="59"/>
  <c r="D29" i="59" s="1"/>
  <c r="F32" i="59" s="1"/>
  <c r="D18" i="59"/>
  <c r="C18" i="59"/>
  <c r="M14" i="59"/>
  <c r="L14" i="59"/>
  <c r="F14" i="59"/>
  <c r="M13" i="59"/>
  <c r="L13" i="59"/>
  <c r="F432" i="59" s="1"/>
  <c r="M12" i="59"/>
  <c r="L12" i="59"/>
  <c r="F431" i="59" s="1"/>
  <c r="M11" i="59"/>
  <c r="L11" i="59"/>
  <c r="C11" i="59"/>
  <c r="M10" i="59"/>
  <c r="L10" i="59"/>
  <c r="E10" i="59"/>
  <c r="M9" i="59"/>
  <c r="L9" i="59"/>
  <c r="F428" i="59" s="1"/>
  <c r="M8" i="59"/>
  <c r="L8" i="59"/>
  <c r="F427" i="59" s="1"/>
  <c r="M7" i="59"/>
  <c r="L7" i="59"/>
  <c r="F426" i="59" s="1"/>
  <c r="M6" i="59"/>
  <c r="L6" i="59"/>
  <c r="F425" i="59" s="1"/>
  <c r="C6" i="59"/>
  <c r="E3" i="59"/>
  <c r="B3" i="59"/>
  <c r="AA48" i="58"/>
  <c r="AB44" i="58"/>
  <c r="H42" i="58"/>
  <c r="AB48" i="58" s="1"/>
  <c r="G42" i="58"/>
  <c r="I42" i="58" s="1"/>
  <c r="K42" i="58" s="1"/>
  <c r="F42" i="58"/>
  <c r="AB47" i="58" s="1"/>
  <c r="E42" i="58"/>
  <c r="AA47" i="58" s="1"/>
  <c r="AA41" i="58"/>
  <c r="H41" i="58"/>
  <c r="G41" i="58"/>
  <c r="F41" i="58"/>
  <c r="E41" i="58"/>
  <c r="AA44" i="58" s="1"/>
  <c r="I40" i="58"/>
  <c r="K40" i="58" s="1"/>
  <c r="L40" i="58" s="1"/>
  <c r="H40" i="58"/>
  <c r="G40" i="58"/>
  <c r="AA42" i="58" s="1"/>
  <c r="F40" i="58"/>
  <c r="AB41" i="58" s="1"/>
  <c r="E40" i="58"/>
  <c r="H39" i="58"/>
  <c r="G39" i="58"/>
  <c r="AA39" i="58" s="1"/>
  <c r="F39" i="58"/>
  <c r="AB38" i="58" s="1"/>
  <c r="E39" i="58"/>
  <c r="AA38" i="58"/>
  <c r="H38" i="58"/>
  <c r="AB36" i="58" s="1"/>
  <c r="G38" i="58"/>
  <c r="F38" i="58"/>
  <c r="AB35" i="58" s="1"/>
  <c r="E38" i="58"/>
  <c r="AA35" i="58" s="1"/>
  <c r="H37" i="58"/>
  <c r="G37" i="58"/>
  <c r="F37" i="58"/>
  <c r="AB32" i="58" s="1"/>
  <c r="E37" i="58"/>
  <c r="AA32" i="58" s="1"/>
  <c r="H36" i="58"/>
  <c r="G36" i="58"/>
  <c r="F36" i="58"/>
  <c r="E36" i="58"/>
  <c r="C14" i="59" s="1"/>
  <c r="H35" i="58"/>
  <c r="G35" i="58"/>
  <c r="F35" i="58"/>
  <c r="E35" i="58"/>
  <c r="H34" i="58"/>
  <c r="G34" i="58"/>
  <c r="F34" i="58"/>
  <c r="E34" i="58"/>
  <c r="C12" i="59" s="1"/>
  <c r="H33" i="58"/>
  <c r="G33" i="58"/>
  <c r="F33" i="58"/>
  <c r="E33" i="58"/>
  <c r="H32" i="58"/>
  <c r="G32" i="58"/>
  <c r="F32" i="58"/>
  <c r="E32" i="58"/>
  <c r="H31" i="58"/>
  <c r="G31" i="58"/>
  <c r="F31" i="58"/>
  <c r="E31" i="58"/>
  <c r="AB30" i="58"/>
  <c r="H30" i="58"/>
  <c r="F8" i="59" s="1"/>
  <c r="G30" i="58"/>
  <c r="E8" i="59" s="1"/>
  <c r="F30" i="58"/>
  <c r="D8" i="59" s="1"/>
  <c r="E30" i="58"/>
  <c r="AA29" i="58"/>
  <c r="H29" i="58"/>
  <c r="G29" i="58"/>
  <c r="F29" i="58"/>
  <c r="AB8" i="58" s="1"/>
  <c r="E29" i="58"/>
  <c r="H28" i="58"/>
  <c r="G28" i="58"/>
  <c r="AA6" i="58" s="1"/>
  <c r="F28" i="58"/>
  <c r="E28" i="58"/>
  <c r="AA5" i="58" s="1"/>
  <c r="G23" i="58"/>
  <c r="F23" i="58"/>
  <c r="G22" i="58"/>
  <c r="F22" i="58"/>
  <c r="AA21" i="58"/>
  <c r="G21" i="58"/>
  <c r="F21" i="58"/>
  <c r="AA20" i="58"/>
  <c r="G20" i="58"/>
  <c r="F20" i="58"/>
  <c r="G19" i="58"/>
  <c r="F19" i="58"/>
  <c r="G18" i="58"/>
  <c r="F18" i="58"/>
  <c r="G17" i="58"/>
  <c r="E241" i="59" s="1"/>
  <c r="F17" i="58"/>
  <c r="E240" i="59" s="1"/>
  <c r="A270" i="59" s="1"/>
  <c r="G16" i="58"/>
  <c r="F16" i="58"/>
  <c r="G15" i="58"/>
  <c r="E237" i="59" s="1"/>
  <c r="A267" i="59" s="1"/>
  <c r="F15" i="58"/>
  <c r="AB14" i="58"/>
  <c r="G14" i="58"/>
  <c r="E235" i="59" s="1"/>
  <c r="F14" i="58"/>
  <c r="AB12" i="58"/>
  <c r="AA12" i="58"/>
  <c r="AB11" i="58"/>
  <c r="D6" i="58"/>
  <c r="B6" i="58"/>
  <c r="E3" i="58"/>
  <c r="B3" i="58"/>
  <c r="C433" i="57"/>
  <c r="C432" i="57"/>
  <c r="C431" i="57"/>
  <c r="F429" i="57"/>
  <c r="C429" i="57"/>
  <c r="F426" i="57"/>
  <c r="D426" i="57"/>
  <c r="H378" i="57"/>
  <c r="H369" i="57"/>
  <c r="H368" i="57"/>
  <c r="H355" i="57"/>
  <c r="H353" i="57"/>
  <c r="H352" i="57"/>
  <c r="A266" i="57"/>
  <c r="A265" i="57"/>
  <c r="E249" i="57"/>
  <c r="F249" i="57" s="1"/>
  <c r="E243" i="57"/>
  <c r="A273" i="57" s="1"/>
  <c r="E239" i="57"/>
  <c r="A269" i="57" s="1"/>
  <c r="E238" i="57"/>
  <c r="A268" i="57" s="1"/>
  <c r="E237" i="57"/>
  <c r="A267" i="57" s="1"/>
  <c r="E236" i="57"/>
  <c r="E234" i="57"/>
  <c r="A264" i="57" s="1"/>
  <c r="B155" i="57"/>
  <c r="E113" i="57"/>
  <c r="F117" i="57" s="1"/>
  <c r="D113" i="57"/>
  <c r="F116" i="57" s="1"/>
  <c r="C113" i="57"/>
  <c r="B113" i="57"/>
  <c r="C71" i="57"/>
  <c r="F73" i="57" s="1"/>
  <c r="B71" i="57"/>
  <c r="F26" i="57"/>
  <c r="E26" i="57"/>
  <c r="D26" i="57"/>
  <c r="C26" i="57"/>
  <c r="F25" i="57"/>
  <c r="E176" i="57" s="1"/>
  <c r="F180" i="57" s="1"/>
  <c r="E25" i="57"/>
  <c r="D25" i="57"/>
  <c r="C25" i="57"/>
  <c r="F24" i="57"/>
  <c r="H403" i="57" s="1"/>
  <c r="E24" i="57"/>
  <c r="D24" i="57"/>
  <c r="H401" i="57" s="1"/>
  <c r="C24" i="57"/>
  <c r="H400" i="57" s="1"/>
  <c r="F23" i="57"/>
  <c r="E23" i="57"/>
  <c r="D23" i="57"/>
  <c r="C23" i="57"/>
  <c r="H392" i="57" s="1"/>
  <c r="F22" i="57"/>
  <c r="H387" i="57" s="1"/>
  <c r="E22" i="57"/>
  <c r="H386" i="57" s="1"/>
  <c r="D22" i="57"/>
  <c r="H385" i="57" s="1"/>
  <c r="C22" i="57"/>
  <c r="H384" i="57" s="1"/>
  <c r="F21" i="57"/>
  <c r="E21" i="57"/>
  <c r="D428" i="57" s="1"/>
  <c r="D21" i="57"/>
  <c r="H377" i="57" s="1"/>
  <c r="C21" i="57"/>
  <c r="H376" i="57" s="1"/>
  <c r="F20" i="57"/>
  <c r="E20" i="57"/>
  <c r="D20" i="57"/>
  <c r="C20" i="57"/>
  <c r="C427" i="57" s="1"/>
  <c r="F19" i="57"/>
  <c r="E19" i="57"/>
  <c r="D19" i="57"/>
  <c r="C19" i="57"/>
  <c r="C426" i="57" s="1"/>
  <c r="F18" i="57"/>
  <c r="E29" i="57" s="1"/>
  <c r="F33" i="57" s="1"/>
  <c r="E18" i="57"/>
  <c r="D29" i="57" s="1"/>
  <c r="F32" i="57" s="1"/>
  <c r="D18" i="57"/>
  <c r="C29" i="57" s="1"/>
  <c r="C18" i="57"/>
  <c r="M14" i="57"/>
  <c r="L14" i="57"/>
  <c r="H14" i="57"/>
  <c r="F14" i="57"/>
  <c r="D14" i="57"/>
  <c r="M13" i="57"/>
  <c r="L13" i="57"/>
  <c r="F432" i="57" s="1"/>
  <c r="M12" i="57"/>
  <c r="L12" i="57"/>
  <c r="F431" i="57" s="1"/>
  <c r="M11" i="57"/>
  <c r="L11" i="57"/>
  <c r="F430" i="57" s="1"/>
  <c r="M10" i="57"/>
  <c r="L10" i="57"/>
  <c r="F10" i="57"/>
  <c r="D10" i="57"/>
  <c r="C10" i="57"/>
  <c r="M9" i="57"/>
  <c r="L9" i="57"/>
  <c r="F428" i="57" s="1"/>
  <c r="M8" i="57"/>
  <c r="L8" i="57"/>
  <c r="M7" i="57"/>
  <c r="L7" i="57"/>
  <c r="F7" i="57"/>
  <c r="C7" i="57"/>
  <c r="M6" i="57"/>
  <c r="L6" i="57"/>
  <c r="F425" i="57" s="1"/>
  <c r="E3" i="57"/>
  <c r="B3" i="57"/>
  <c r="AB44" i="56"/>
  <c r="J42" i="56"/>
  <c r="H42" i="56"/>
  <c r="AB48" i="56" s="1"/>
  <c r="G42" i="56"/>
  <c r="F42" i="56"/>
  <c r="AB47" i="56" s="1"/>
  <c r="E42" i="56"/>
  <c r="AA47" i="56" s="1"/>
  <c r="AB41" i="56"/>
  <c r="H41" i="56"/>
  <c r="AB45" i="56" s="1"/>
  <c r="G41" i="56"/>
  <c r="F41" i="56"/>
  <c r="E41" i="56"/>
  <c r="AA44" i="56" s="1"/>
  <c r="H40" i="56"/>
  <c r="AB42" i="56" s="1"/>
  <c r="G40" i="56"/>
  <c r="I40" i="56" s="1"/>
  <c r="K40" i="56" s="1"/>
  <c r="L40" i="56" s="1"/>
  <c r="F40" i="56"/>
  <c r="E40" i="56"/>
  <c r="AA41" i="56" s="1"/>
  <c r="AB39" i="56"/>
  <c r="H39" i="56"/>
  <c r="J39" i="56" s="1"/>
  <c r="G39" i="56"/>
  <c r="F39" i="56"/>
  <c r="AB38" i="56" s="1"/>
  <c r="E39" i="56"/>
  <c r="AA38" i="56" s="1"/>
  <c r="J38" i="56"/>
  <c r="I38" i="56"/>
  <c r="K38" i="56" s="1"/>
  <c r="H38" i="56"/>
  <c r="AB36" i="56" s="1"/>
  <c r="G38" i="56"/>
  <c r="F38" i="56"/>
  <c r="AB35" i="56" s="1"/>
  <c r="E38" i="56"/>
  <c r="AA35" i="56" s="1"/>
  <c r="H37" i="56"/>
  <c r="G37" i="56"/>
  <c r="F37" i="56"/>
  <c r="AB32" i="56" s="1"/>
  <c r="E37" i="56"/>
  <c r="AA32" i="56" s="1"/>
  <c r="AA36" i="56"/>
  <c r="I36" i="56"/>
  <c r="H36" i="56"/>
  <c r="AB30" i="56" s="1"/>
  <c r="G36" i="56"/>
  <c r="AA30" i="56" s="1"/>
  <c r="F36" i="56"/>
  <c r="E36" i="56"/>
  <c r="AA29" i="56" s="1"/>
  <c r="H35" i="56"/>
  <c r="AB27" i="56" s="1"/>
  <c r="G35" i="56"/>
  <c r="E13" i="57" s="1"/>
  <c r="F35" i="56"/>
  <c r="E35" i="56"/>
  <c r="I34" i="56"/>
  <c r="H34" i="56"/>
  <c r="G34" i="56"/>
  <c r="F34" i="56"/>
  <c r="D12" i="57" s="1"/>
  <c r="E34" i="56"/>
  <c r="C12" i="57" s="1"/>
  <c r="H33" i="56"/>
  <c r="G33" i="56"/>
  <c r="F33" i="56"/>
  <c r="E33" i="56"/>
  <c r="H32" i="56"/>
  <c r="G32" i="56"/>
  <c r="F32" i="56"/>
  <c r="E32" i="56"/>
  <c r="H31" i="56"/>
  <c r="G31" i="56"/>
  <c r="F31" i="56"/>
  <c r="E31" i="56"/>
  <c r="H30" i="56"/>
  <c r="G30" i="56"/>
  <c r="F30" i="56"/>
  <c r="E30" i="56"/>
  <c r="C8" i="57" s="1"/>
  <c r="AB29" i="56"/>
  <c r="H29" i="56"/>
  <c r="G29" i="56"/>
  <c r="F29" i="56"/>
  <c r="E29" i="56"/>
  <c r="H28" i="56"/>
  <c r="AB6" i="56" s="1"/>
  <c r="G28" i="56"/>
  <c r="AA6" i="56" s="1"/>
  <c r="F28" i="56"/>
  <c r="AB5" i="56" s="1"/>
  <c r="E28" i="56"/>
  <c r="AA27" i="56"/>
  <c r="AB24" i="56"/>
  <c r="AA23" i="56"/>
  <c r="G23" i="56"/>
  <c r="F23" i="56"/>
  <c r="G22" i="56"/>
  <c r="F22" i="56"/>
  <c r="G21" i="56"/>
  <c r="F21" i="56"/>
  <c r="G20" i="56"/>
  <c r="F20" i="56"/>
  <c r="G19" i="56"/>
  <c r="F19" i="56"/>
  <c r="E258" i="57" s="1"/>
  <c r="G18" i="56"/>
  <c r="E257" i="57" s="1"/>
  <c r="F18" i="56"/>
  <c r="E256" i="57" s="1"/>
  <c r="AB17" i="56"/>
  <c r="AA17" i="56"/>
  <c r="G17" i="56"/>
  <c r="F17" i="56"/>
  <c r="G16" i="56"/>
  <c r="E253" i="57" s="1"/>
  <c r="F16" i="56"/>
  <c r="E252" i="57" s="1"/>
  <c r="G252" i="57" s="1"/>
  <c r="G15" i="56"/>
  <c r="E251" i="57" s="1"/>
  <c r="F15" i="56"/>
  <c r="E250" i="57" s="1"/>
  <c r="G14" i="56"/>
  <c r="E235" i="57" s="1"/>
  <c r="F14" i="56"/>
  <c r="E248" i="57" s="1"/>
  <c r="AA11" i="56"/>
  <c r="AB9" i="56"/>
  <c r="AA9" i="56"/>
  <c r="AA8" i="56"/>
  <c r="D6" i="56"/>
  <c r="B6" i="56"/>
  <c r="E3" i="56"/>
  <c r="B3" i="56"/>
  <c r="D432" i="55"/>
  <c r="F431" i="55"/>
  <c r="C431" i="55"/>
  <c r="F430" i="55"/>
  <c r="F429" i="55"/>
  <c r="C429" i="55"/>
  <c r="D428" i="55"/>
  <c r="F425" i="55"/>
  <c r="H409" i="55"/>
  <c r="H400" i="55"/>
  <c r="H384" i="55"/>
  <c r="H379" i="55"/>
  <c r="H377" i="55"/>
  <c r="H371" i="55"/>
  <c r="H369" i="55"/>
  <c r="H362" i="55"/>
  <c r="H355" i="55"/>
  <c r="E252" i="55"/>
  <c r="G252" i="55" s="1"/>
  <c r="E248" i="55"/>
  <c r="F200" i="55"/>
  <c r="E197" i="55"/>
  <c r="D197" i="55"/>
  <c r="C197" i="55"/>
  <c r="F199" i="55" s="1"/>
  <c r="B197" i="55"/>
  <c r="F180" i="55"/>
  <c r="E131" i="55"/>
  <c r="L129" i="55"/>
  <c r="F129" i="55"/>
  <c r="I127" i="55"/>
  <c r="J126" i="55"/>
  <c r="B125" i="55"/>
  <c r="L124" i="55"/>
  <c r="G123" i="55"/>
  <c r="F123" i="55"/>
  <c r="E123" i="55"/>
  <c r="D123" i="55"/>
  <c r="I122" i="55"/>
  <c r="H122" i="55"/>
  <c r="E113" i="55"/>
  <c r="F117" i="55" s="1"/>
  <c r="D113" i="55"/>
  <c r="F116" i="55" s="1"/>
  <c r="C113" i="55"/>
  <c r="F115" i="55" s="1"/>
  <c r="B113" i="55"/>
  <c r="M124" i="55" s="1"/>
  <c r="E29" i="55"/>
  <c r="F33" i="55" s="1"/>
  <c r="C29" i="55"/>
  <c r="F31" i="55" s="1"/>
  <c r="B29" i="55"/>
  <c r="F30" i="55" s="1"/>
  <c r="F26" i="55"/>
  <c r="H419" i="55" s="1"/>
  <c r="E26" i="55"/>
  <c r="D433" i="55" s="1"/>
  <c r="D26" i="55"/>
  <c r="H417" i="55" s="1"/>
  <c r="C26" i="55"/>
  <c r="C433" i="55" s="1"/>
  <c r="F25" i="55"/>
  <c r="E176" i="55" s="1"/>
  <c r="E25" i="55"/>
  <c r="D176" i="55" s="1"/>
  <c r="F179" i="55" s="1"/>
  <c r="D25" i="55"/>
  <c r="C176" i="55" s="1"/>
  <c r="F178" i="55" s="1"/>
  <c r="C25" i="55"/>
  <c r="F24" i="55"/>
  <c r="E24" i="55"/>
  <c r="D24" i="55"/>
  <c r="C155" i="55" s="1"/>
  <c r="F157" i="55" s="1"/>
  <c r="C24" i="55"/>
  <c r="B155" i="55" s="1"/>
  <c r="F156" i="55" s="1"/>
  <c r="F23" i="55"/>
  <c r="E23" i="55"/>
  <c r="D23" i="55"/>
  <c r="C134" i="55" s="1"/>
  <c r="F136" i="55" s="1"/>
  <c r="C23" i="55"/>
  <c r="B134" i="55" s="1"/>
  <c r="F22" i="55"/>
  <c r="H387" i="55" s="1"/>
  <c r="E22" i="55"/>
  <c r="H386" i="55" s="1"/>
  <c r="D22" i="55"/>
  <c r="H385" i="55" s="1"/>
  <c r="C22" i="55"/>
  <c r="F21" i="55"/>
  <c r="E92" i="55" s="1"/>
  <c r="F96" i="55" s="1"/>
  <c r="E21" i="55"/>
  <c r="H378" i="55" s="1"/>
  <c r="D21" i="55"/>
  <c r="C92" i="55" s="1"/>
  <c r="F94" i="55" s="1"/>
  <c r="C21" i="55"/>
  <c r="F20" i="55"/>
  <c r="E71" i="55" s="1"/>
  <c r="F75" i="55" s="1"/>
  <c r="E20" i="55"/>
  <c r="D427" i="55" s="1"/>
  <c r="D20" i="55"/>
  <c r="C71" i="55" s="1"/>
  <c r="F73" i="55" s="1"/>
  <c r="C20" i="55"/>
  <c r="C427" i="55" s="1"/>
  <c r="F19" i="55"/>
  <c r="E50" i="55" s="1"/>
  <c r="F54" i="55" s="1"/>
  <c r="E19" i="55"/>
  <c r="D19" i="55"/>
  <c r="C19" i="55"/>
  <c r="F18" i="55"/>
  <c r="E18" i="55"/>
  <c r="D425" i="55" s="1"/>
  <c r="D18" i="55"/>
  <c r="H353" i="55" s="1"/>
  <c r="C18" i="55"/>
  <c r="C425" i="55" s="1"/>
  <c r="M14" i="55"/>
  <c r="L14" i="55"/>
  <c r="F433" i="55" s="1"/>
  <c r="M13" i="55"/>
  <c r="L13" i="55"/>
  <c r="F432" i="55" s="1"/>
  <c r="M12" i="55"/>
  <c r="L12" i="55"/>
  <c r="C12" i="55"/>
  <c r="M11" i="55"/>
  <c r="L11" i="55"/>
  <c r="M10" i="55"/>
  <c r="L10" i="55"/>
  <c r="M9" i="55"/>
  <c r="L9" i="55"/>
  <c r="F428" i="55" s="1"/>
  <c r="F9" i="55"/>
  <c r="C9" i="55"/>
  <c r="M8" i="55"/>
  <c r="L8" i="55"/>
  <c r="F427" i="55" s="1"/>
  <c r="M7" i="55"/>
  <c r="L7" i="55"/>
  <c r="F426" i="55" s="1"/>
  <c r="D7" i="55"/>
  <c r="M6" i="55"/>
  <c r="L6" i="55"/>
  <c r="E6" i="55"/>
  <c r="C6" i="55"/>
  <c r="G6" i="55" s="1"/>
  <c r="E3" i="55"/>
  <c r="B3" i="55"/>
  <c r="AA47" i="54"/>
  <c r="AA42" i="54"/>
  <c r="H42" i="54"/>
  <c r="AB48" i="54" s="1"/>
  <c r="G42" i="54"/>
  <c r="AA48" i="54" s="1"/>
  <c r="F42" i="54"/>
  <c r="AB47" i="54" s="1"/>
  <c r="E42" i="54"/>
  <c r="H41" i="54"/>
  <c r="G41" i="54"/>
  <c r="F41" i="54"/>
  <c r="AB44" i="54" s="1"/>
  <c r="E41" i="54"/>
  <c r="AA44" i="54" s="1"/>
  <c r="M40" i="54"/>
  <c r="L40" i="54"/>
  <c r="K40" i="54"/>
  <c r="J40" i="54"/>
  <c r="I40" i="54"/>
  <c r="H40" i="54"/>
  <c r="AB42" i="54" s="1"/>
  <c r="G40" i="54"/>
  <c r="F40" i="54"/>
  <c r="AB41" i="54" s="1"/>
  <c r="E40" i="54"/>
  <c r="AA41" i="54" s="1"/>
  <c r="H39" i="54"/>
  <c r="G39" i="54"/>
  <c r="AA39" i="54" s="1"/>
  <c r="F39" i="54"/>
  <c r="AB38" i="54" s="1"/>
  <c r="E39" i="54"/>
  <c r="AA38" i="54" s="1"/>
  <c r="H38" i="54"/>
  <c r="G38" i="54"/>
  <c r="F38" i="54"/>
  <c r="AB35" i="54" s="1"/>
  <c r="E38" i="54"/>
  <c r="AA35" i="54" s="1"/>
  <c r="L37" i="54"/>
  <c r="K37" i="54"/>
  <c r="M37" i="54" s="1"/>
  <c r="J37" i="54"/>
  <c r="H37" i="54"/>
  <c r="G37" i="54"/>
  <c r="I37" i="54" s="1"/>
  <c r="F37" i="54"/>
  <c r="E37" i="54"/>
  <c r="AA32" i="54" s="1"/>
  <c r="H36" i="54"/>
  <c r="G36" i="54"/>
  <c r="F36" i="54"/>
  <c r="E36" i="54"/>
  <c r="C14" i="55" s="1"/>
  <c r="J35" i="54"/>
  <c r="H35" i="54"/>
  <c r="F13" i="55" s="1"/>
  <c r="G35" i="54"/>
  <c r="F35" i="54"/>
  <c r="E35" i="54"/>
  <c r="AA26" i="54" s="1"/>
  <c r="H34" i="54"/>
  <c r="F12" i="55" s="1"/>
  <c r="G34" i="54"/>
  <c r="E12" i="55" s="1"/>
  <c r="F34" i="54"/>
  <c r="D12" i="55" s="1"/>
  <c r="E34" i="54"/>
  <c r="AB33" i="54"/>
  <c r="AA33" i="54"/>
  <c r="H33" i="54"/>
  <c r="G33" i="54"/>
  <c r="F33" i="54"/>
  <c r="E33" i="54"/>
  <c r="AB32" i="54"/>
  <c r="H32" i="54"/>
  <c r="G32" i="54"/>
  <c r="E10" i="55" s="1"/>
  <c r="F32" i="54"/>
  <c r="E32" i="54"/>
  <c r="H31" i="54"/>
  <c r="AB15" i="54" s="1"/>
  <c r="G31" i="54"/>
  <c r="F31" i="54"/>
  <c r="E31" i="54"/>
  <c r="AA14" i="54" s="1"/>
  <c r="H30" i="54"/>
  <c r="G30" i="54"/>
  <c r="F30" i="54"/>
  <c r="E30" i="54"/>
  <c r="AA29" i="54"/>
  <c r="H29" i="54"/>
  <c r="G29" i="54"/>
  <c r="F29" i="54"/>
  <c r="E29" i="54"/>
  <c r="H28" i="54"/>
  <c r="G28" i="54"/>
  <c r="AA6" i="54" s="1"/>
  <c r="F28" i="54"/>
  <c r="D6" i="55" s="1"/>
  <c r="E28" i="54"/>
  <c r="I28" i="54" s="1"/>
  <c r="AB27" i="54"/>
  <c r="AB24" i="54"/>
  <c r="AB23" i="54"/>
  <c r="AA23" i="54"/>
  <c r="G23" i="54"/>
  <c r="F23" i="54"/>
  <c r="G22" i="54"/>
  <c r="F22" i="54"/>
  <c r="G21" i="54"/>
  <c r="F21" i="54"/>
  <c r="G20" i="54"/>
  <c r="F20" i="54"/>
  <c r="G19" i="54"/>
  <c r="F19" i="54"/>
  <c r="E258" i="55" s="1"/>
  <c r="AA18" i="54"/>
  <c r="G18" i="54"/>
  <c r="E243" i="55" s="1"/>
  <c r="A273" i="55" s="1"/>
  <c r="F18" i="54"/>
  <c r="E256" i="55" s="1"/>
  <c r="P272" i="55" s="1"/>
  <c r="G17" i="54"/>
  <c r="F17" i="54"/>
  <c r="E254" i="55" s="1"/>
  <c r="G16" i="54"/>
  <c r="E239" i="55" s="1"/>
  <c r="A269" i="55" s="1"/>
  <c r="F16" i="54"/>
  <c r="E238" i="55" s="1"/>
  <c r="A268" i="55" s="1"/>
  <c r="G15" i="54"/>
  <c r="F15" i="54"/>
  <c r="G14" i="54"/>
  <c r="E235" i="55" s="1"/>
  <c r="A265" i="55" s="1"/>
  <c r="F14" i="54"/>
  <c r="E234" i="55" s="1"/>
  <c r="A264" i="55" s="1"/>
  <c r="AA12" i="54"/>
  <c r="AB8" i="54"/>
  <c r="D6" i="54"/>
  <c r="B6" i="54"/>
  <c r="AB5" i="54"/>
  <c r="AA5" i="54"/>
  <c r="E3" i="54"/>
  <c r="B3" i="54"/>
  <c r="H324" i="53"/>
  <c r="H323" i="53"/>
  <c r="H316" i="53"/>
  <c r="H315" i="53"/>
  <c r="H314" i="53"/>
  <c r="H309" i="53"/>
  <c r="H298" i="53"/>
  <c r="H293" i="53"/>
  <c r="H292" i="53"/>
  <c r="E191" i="53"/>
  <c r="E179" i="53"/>
  <c r="A205" i="53" s="1"/>
  <c r="E176" i="53"/>
  <c r="A202" i="53" s="1"/>
  <c r="E139" i="53"/>
  <c r="F143" i="53" s="1"/>
  <c r="C139" i="53"/>
  <c r="F141" i="53" s="1"/>
  <c r="B139" i="53"/>
  <c r="B120" i="53"/>
  <c r="B82" i="53"/>
  <c r="F83" i="53" s="1"/>
  <c r="E63" i="53"/>
  <c r="F67" i="53" s="1"/>
  <c r="D44" i="53"/>
  <c r="F47" i="53" s="1"/>
  <c r="C44" i="53"/>
  <c r="B44" i="53"/>
  <c r="F22" i="53"/>
  <c r="H325" i="53" s="1"/>
  <c r="E22" i="53"/>
  <c r="D139" i="53" s="1"/>
  <c r="F142" i="53" s="1"/>
  <c r="D22" i="53"/>
  <c r="C22" i="53"/>
  <c r="F21" i="53"/>
  <c r="E21" i="53"/>
  <c r="D336" i="53" s="1"/>
  <c r="D21" i="53"/>
  <c r="C120" i="53" s="1"/>
  <c r="F122" i="53" s="1"/>
  <c r="C21" i="53"/>
  <c r="C336" i="53" s="1"/>
  <c r="F20" i="53"/>
  <c r="E101" i="53" s="1"/>
  <c r="F105" i="53" s="1"/>
  <c r="E20" i="53"/>
  <c r="D335" i="53" s="1"/>
  <c r="D20" i="53"/>
  <c r="C20" i="53"/>
  <c r="C335" i="53" s="1"/>
  <c r="F19" i="53"/>
  <c r="E19" i="53"/>
  <c r="D19" i="53"/>
  <c r="C82" i="53" s="1"/>
  <c r="F84" i="53" s="1"/>
  <c r="C19" i="53"/>
  <c r="C334" i="53" s="1"/>
  <c r="F18" i="53"/>
  <c r="E18" i="53"/>
  <c r="D18" i="53"/>
  <c r="H291" i="53" s="1"/>
  <c r="C18" i="53"/>
  <c r="F17" i="53"/>
  <c r="E17" i="53"/>
  <c r="H284" i="53" s="1"/>
  <c r="D17" i="53"/>
  <c r="H283" i="53" s="1"/>
  <c r="C17" i="53"/>
  <c r="C332" i="53" s="1"/>
  <c r="F16" i="53"/>
  <c r="E16" i="53"/>
  <c r="D331" i="53" s="1"/>
  <c r="D16" i="53"/>
  <c r="C16" i="53"/>
  <c r="M12" i="53"/>
  <c r="L12" i="53"/>
  <c r="F337" i="53" s="1"/>
  <c r="D12" i="53"/>
  <c r="M11" i="53"/>
  <c r="L11" i="53"/>
  <c r="M10" i="53"/>
  <c r="L10" i="53"/>
  <c r="F335" i="53" s="1"/>
  <c r="M9" i="53"/>
  <c r="L9" i="53"/>
  <c r="F9" i="53"/>
  <c r="M8" i="53"/>
  <c r="L8" i="53"/>
  <c r="F333" i="53" s="1"/>
  <c r="D8" i="53"/>
  <c r="C8" i="53"/>
  <c r="G8" i="53" s="1"/>
  <c r="M7" i="53"/>
  <c r="L7" i="53"/>
  <c r="F332" i="53" s="1"/>
  <c r="M6" i="53"/>
  <c r="L6" i="53"/>
  <c r="E3" i="53"/>
  <c r="B3" i="53"/>
  <c r="AB48" i="52"/>
  <c r="AA48" i="52"/>
  <c r="AB47" i="52"/>
  <c r="AB45" i="52"/>
  <c r="AA45" i="52"/>
  <c r="AB44" i="52"/>
  <c r="AA44" i="52"/>
  <c r="AB42" i="52"/>
  <c r="AA42" i="52"/>
  <c r="M42" i="52"/>
  <c r="H42" i="52"/>
  <c r="J42" i="52" s="1"/>
  <c r="G42" i="52"/>
  <c r="I42" i="52" s="1"/>
  <c r="K42" i="52" s="1"/>
  <c r="L42" i="52" s="1"/>
  <c r="F42" i="52"/>
  <c r="E42" i="52"/>
  <c r="AA47" i="52" s="1"/>
  <c r="H41" i="52"/>
  <c r="J41" i="52" s="1"/>
  <c r="G41" i="52"/>
  <c r="I41" i="52" s="1"/>
  <c r="K41" i="52" s="1"/>
  <c r="F41" i="52"/>
  <c r="E41" i="52"/>
  <c r="J40" i="52"/>
  <c r="H40" i="52"/>
  <c r="G40" i="52"/>
  <c r="I40" i="52" s="1"/>
  <c r="K40" i="52" s="1"/>
  <c r="F40" i="52"/>
  <c r="AB41" i="52" s="1"/>
  <c r="E40" i="52"/>
  <c r="AA41" i="52" s="1"/>
  <c r="J39" i="52"/>
  <c r="H39" i="52"/>
  <c r="AB39" i="52" s="1"/>
  <c r="G39" i="52"/>
  <c r="AA39" i="52" s="1"/>
  <c r="F39" i="52"/>
  <c r="AB38" i="52" s="1"/>
  <c r="E39" i="52"/>
  <c r="AA38" i="52" s="1"/>
  <c r="H38" i="52"/>
  <c r="G38" i="52"/>
  <c r="F38" i="52"/>
  <c r="E38" i="52"/>
  <c r="H37" i="52"/>
  <c r="J37" i="52" s="1"/>
  <c r="G37" i="52"/>
  <c r="I37" i="52" s="1"/>
  <c r="K37" i="52" s="1"/>
  <c r="F37" i="52"/>
  <c r="AB32" i="52" s="1"/>
  <c r="E37" i="52"/>
  <c r="J36" i="52"/>
  <c r="H36" i="52"/>
  <c r="AB30" i="52" s="1"/>
  <c r="G36" i="52"/>
  <c r="I36" i="52" s="1"/>
  <c r="K36" i="52" s="1"/>
  <c r="F36" i="52"/>
  <c r="AB29" i="52" s="1"/>
  <c r="E36" i="52"/>
  <c r="AA29" i="52" s="1"/>
  <c r="AB35" i="52"/>
  <c r="AA35" i="52"/>
  <c r="H35" i="52"/>
  <c r="AB27" i="52" s="1"/>
  <c r="G35" i="52"/>
  <c r="I35" i="52" s="1"/>
  <c r="K35" i="52" s="1"/>
  <c r="F35" i="52"/>
  <c r="E35" i="52"/>
  <c r="AA26" i="52" s="1"/>
  <c r="H34" i="52"/>
  <c r="G34" i="52"/>
  <c r="F34" i="52"/>
  <c r="AB23" i="52" s="1"/>
  <c r="E34" i="52"/>
  <c r="AB33" i="52"/>
  <c r="AA33" i="52"/>
  <c r="H33" i="52"/>
  <c r="F11" i="53" s="1"/>
  <c r="G33" i="52"/>
  <c r="E11" i="53" s="1"/>
  <c r="F33" i="52"/>
  <c r="AB20" i="52" s="1"/>
  <c r="E33" i="52"/>
  <c r="C11" i="53" s="1"/>
  <c r="AA32" i="52"/>
  <c r="H32" i="52"/>
  <c r="G32" i="52"/>
  <c r="I32" i="52" s="1"/>
  <c r="K32" i="52" s="1"/>
  <c r="F32" i="52"/>
  <c r="J32" i="52" s="1"/>
  <c r="E32" i="52"/>
  <c r="H31" i="52"/>
  <c r="G31" i="52"/>
  <c r="F31" i="52"/>
  <c r="D9" i="53" s="1"/>
  <c r="E31" i="52"/>
  <c r="C9" i="53" s="1"/>
  <c r="I30" i="52"/>
  <c r="H30" i="52"/>
  <c r="G30" i="52"/>
  <c r="E8" i="53" s="1"/>
  <c r="F30" i="52"/>
  <c r="E30" i="52"/>
  <c r="H29" i="52"/>
  <c r="G29" i="52"/>
  <c r="F29" i="52"/>
  <c r="E29" i="52"/>
  <c r="AA8" i="52" s="1"/>
  <c r="H28" i="52"/>
  <c r="G28" i="52"/>
  <c r="F28" i="52"/>
  <c r="AB5" i="52" s="1"/>
  <c r="E28" i="52"/>
  <c r="C6" i="53" s="1"/>
  <c r="AA27" i="52"/>
  <c r="AB26" i="52"/>
  <c r="G23" i="52"/>
  <c r="F23" i="52"/>
  <c r="G22" i="52"/>
  <c r="F22" i="52"/>
  <c r="AA21" i="52"/>
  <c r="G21" i="52"/>
  <c r="F21" i="52"/>
  <c r="AA20" i="52"/>
  <c r="G20" i="52"/>
  <c r="F20" i="52"/>
  <c r="G19" i="52"/>
  <c r="F19" i="52"/>
  <c r="G18" i="52"/>
  <c r="E181" i="53" s="1"/>
  <c r="A207" i="53" s="1"/>
  <c r="F18" i="52"/>
  <c r="E180" i="53" s="1"/>
  <c r="A206" i="53" s="1"/>
  <c r="G17" i="52"/>
  <c r="F17" i="52"/>
  <c r="E178" i="53" s="1"/>
  <c r="A204" i="53" s="1"/>
  <c r="G16" i="52"/>
  <c r="E189" i="53" s="1"/>
  <c r="F16" i="52"/>
  <c r="E188" i="53" s="1"/>
  <c r="G15" i="52"/>
  <c r="F15" i="52"/>
  <c r="AB14" i="52"/>
  <c r="AA14" i="52"/>
  <c r="G14" i="52"/>
  <c r="E185" i="53" s="1"/>
  <c r="F14" i="52"/>
  <c r="AA12" i="52"/>
  <c r="AB11" i="52"/>
  <c r="AA11" i="52"/>
  <c r="D6" i="52"/>
  <c r="B6" i="52"/>
  <c r="E3" i="52"/>
  <c r="B3" i="52"/>
  <c r="C336" i="51"/>
  <c r="D333" i="51"/>
  <c r="C333" i="51"/>
  <c r="C332" i="51"/>
  <c r="D331" i="51"/>
  <c r="C331" i="51"/>
  <c r="H317" i="51"/>
  <c r="H316" i="51"/>
  <c r="H283" i="51"/>
  <c r="H282" i="51"/>
  <c r="H274" i="51"/>
  <c r="A207" i="51"/>
  <c r="E186" i="51"/>
  <c r="E172" i="51"/>
  <c r="A198" i="51" s="1"/>
  <c r="F123" i="51"/>
  <c r="B120" i="51"/>
  <c r="F103" i="51"/>
  <c r="C101" i="51"/>
  <c r="B101" i="51"/>
  <c r="E82" i="51"/>
  <c r="F86" i="51" s="1"/>
  <c r="D63" i="51"/>
  <c r="F66" i="51" s="1"/>
  <c r="C63" i="51"/>
  <c r="B63" i="51"/>
  <c r="B44" i="51"/>
  <c r="D25" i="51"/>
  <c r="F28" i="51" s="1"/>
  <c r="C25" i="51"/>
  <c r="F27" i="51" s="1"/>
  <c r="B25" i="51"/>
  <c r="F22" i="51"/>
  <c r="H325" i="51" s="1"/>
  <c r="E22" i="51"/>
  <c r="D22" i="51"/>
  <c r="C22" i="51"/>
  <c r="F21" i="51"/>
  <c r="E120" i="51" s="1"/>
  <c r="F124" i="51" s="1"/>
  <c r="E21" i="51"/>
  <c r="D120" i="51" s="1"/>
  <c r="D21" i="51"/>
  <c r="C21" i="51"/>
  <c r="H314" i="51" s="1"/>
  <c r="F20" i="51"/>
  <c r="E101" i="51" s="1"/>
  <c r="F105" i="51" s="1"/>
  <c r="E20" i="51"/>
  <c r="D20" i="51"/>
  <c r="H307" i="51" s="1"/>
  <c r="C20" i="51"/>
  <c r="F19" i="51"/>
  <c r="H301" i="51" s="1"/>
  <c r="E19" i="51"/>
  <c r="D334" i="51" s="1"/>
  <c r="D19" i="51"/>
  <c r="C19" i="51"/>
  <c r="F18" i="51"/>
  <c r="E18" i="51"/>
  <c r="H292" i="51" s="1"/>
  <c r="D18" i="51"/>
  <c r="H291" i="51" s="1"/>
  <c r="C18" i="51"/>
  <c r="H290" i="51" s="1"/>
  <c r="F17" i="51"/>
  <c r="E17" i="51"/>
  <c r="D17" i="51"/>
  <c r="C44" i="51" s="1"/>
  <c r="F46" i="51" s="1"/>
  <c r="C17" i="51"/>
  <c r="F16" i="51"/>
  <c r="E16" i="51"/>
  <c r="H276" i="51" s="1"/>
  <c r="D16" i="51"/>
  <c r="H275" i="51" s="1"/>
  <c r="C16" i="51"/>
  <c r="M12" i="51"/>
  <c r="L12" i="51"/>
  <c r="C12" i="51"/>
  <c r="M11" i="51"/>
  <c r="L11" i="51"/>
  <c r="F336" i="51" s="1"/>
  <c r="M10" i="51"/>
  <c r="L10" i="51"/>
  <c r="F335" i="51" s="1"/>
  <c r="M9" i="51"/>
  <c r="L9" i="51"/>
  <c r="F9" i="51"/>
  <c r="E9" i="51"/>
  <c r="G9" i="51" s="1"/>
  <c r="D9" i="51"/>
  <c r="M8" i="51"/>
  <c r="L8" i="51"/>
  <c r="F333" i="51" s="1"/>
  <c r="M7" i="51"/>
  <c r="L7" i="51"/>
  <c r="F332" i="51" s="1"/>
  <c r="M6" i="51"/>
  <c r="L6" i="51"/>
  <c r="E3" i="51"/>
  <c r="B3" i="51"/>
  <c r="AB44" i="50"/>
  <c r="AA44" i="50"/>
  <c r="AB42" i="50"/>
  <c r="H42" i="50"/>
  <c r="AB48" i="50" s="1"/>
  <c r="G42" i="50"/>
  <c r="F42" i="50"/>
  <c r="AB47" i="50" s="1"/>
  <c r="E42" i="50"/>
  <c r="AA47" i="50" s="1"/>
  <c r="H41" i="50"/>
  <c r="G41" i="50"/>
  <c r="F41" i="50"/>
  <c r="E41" i="50"/>
  <c r="H40" i="50"/>
  <c r="J40" i="50" s="1"/>
  <c r="G40" i="50"/>
  <c r="AA42" i="50" s="1"/>
  <c r="F40" i="50"/>
  <c r="AB41" i="50" s="1"/>
  <c r="E40" i="50"/>
  <c r="AA41" i="50" s="1"/>
  <c r="J39" i="50"/>
  <c r="H39" i="50"/>
  <c r="AB39" i="50" s="1"/>
  <c r="G39" i="50"/>
  <c r="AA39" i="50" s="1"/>
  <c r="F39" i="50"/>
  <c r="E39" i="50"/>
  <c r="AB38" i="50"/>
  <c r="AA38" i="50"/>
  <c r="I38" i="50"/>
  <c r="K38" i="50" s="1"/>
  <c r="H38" i="50"/>
  <c r="G38" i="50"/>
  <c r="AA36" i="50" s="1"/>
  <c r="F38" i="50"/>
  <c r="E38" i="50"/>
  <c r="AA35" i="50" s="1"/>
  <c r="H37" i="50"/>
  <c r="G37" i="50"/>
  <c r="F37" i="50"/>
  <c r="AB32" i="50" s="1"/>
  <c r="E37" i="50"/>
  <c r="I36" i="50"/>
  <c r="K36" i="50" s="1"/>
  <c r="H36" i="50"/>
  <c r="J36" i="50" s="1"/>
  <c r="G36" i="50"/>
  <c r="F36" i="50"/>
  <c r="E36" i="50"/>
  <c r="AB35" i="50"/>
  <c r="I35" i="50"/>
  <c r="K35" i="50" s="1"/>
  <c r="L35" i="50" s="1"/>
  <c r="H35" i="50"/>
  <c r="G35" i="50"/>
  <c r="AA27" i="50" s="1"/>
  <c r="F35" i="50"/>
  <c r="AB26" i="50" s="1"/>
  <c r="E35" i="50"/>
  <c r="H34" i="50"/>
  <c r="G34" i="50"/>
  <c r="E12" i="51" s="1"/>
  <c r="F34" i="50"/>
  <c r="D12" i="51" s="1"/>
  <c r="E34" i="50"/>
  <c r="AA23" i="50" s="1"/>
  <c r="H33" i="50"/>
  <c r="G33" i="50"/>
  <c r="F33" i="50"/>
  <c r="AB20" i="50" s="1"/>
  <c r="E33" i="50"/>
  <c r="AA32" i="50"/>
  <c r="H32" i="50"/>
  <c r="G32" i="50"/>
  <c r="F32" i="50"/>
  <c r="D10" i="51" s="1"/>
  <c r="E32" i="50"/>
  <c r="H31" i="50"/>
  <c r="G31" i="50"/>
  <c r="AA15" i="50" s="1"/>
  <c r="F31" i="50"/>
  <c r="AB14" i="50" s="1"/>
  <c r="E31" i="50"/>
  <c r="C9" i="51" s="1"/>
  <c r="AB30" i="50"/>
  <c r="AA30" i="50"/>
  <c r="H30" i="50"/>
  <c r="G30" i="50"/>
  <c r="F30" i="50"/>
  <c r="AB11" i="50" s="1"/>
  <c r="E30" i="50"/>
  <c r="AB29" i="50"/>
  <c r="AA29" i="50"/>
  <c r="H29" i="50"/>
  <c r="J29" i="50" s="1"/>
  <c r="G29" i="50"/>
  <c r="F29" i="50"/>
  <c r="E29" i="50"/>
  <c r="H28" i="50"/>
  <c r="F6" i="51" s="1"/>
  <c r="G28" i="50"/>
  <c r="E6" i="51" s="1"/>
  <c r="F28" i="50"/>
  <c r="D6" i="51" s="1"/>
  <c r="H6" i="51" s="1"/>
  <c r="E28" i="50"/>
  <c r="AA5" i="50" s="1"/>
  <c r="AA26" i="50"/>
  <c r="AB24" i="50"/>
  <c r="AA24" i="50"/>
  <c r="AB23" i="50"/>
  <c r="G23" i="50"/>
  <c r="F23" i="50"/>
  <c r="G22" i="50"/>
  <c r="F22" i="50"/>
  <c r="G21" i="50"/>
  <c r="F21" i="50"/>
  <c r="G20" i="50"/>
  <c r="F20" i="50"/>
  <c r="G19" i="50"/>
  <c r="F19" i="50"/>
  <c r="AB18" i="50"/>
  <c r="G18" i="50"/>
  <c r="E181" i="51" s="1"/>
  <c r="F18" i="50"/>
  <c r="AB17" i="50"/>
  <c r="G17" i="50"/>
  <c r="E179" i="51" s="1"/>
  <c r="A205" i="51" s="1"/>
  <c r="F17" i="50"/>
  <c r="E190" i="51" s="1"/>
  <c r="G190" i="51" s="1"/>
  <c r="G16" i="50"/>
  <c r="E177" i="51" s="1"/>
  <c r="A203" i="51" s="1"/>
  <c r="F16" i="50"/>
  <c r="G15" i="50"/>
  <c r="E187" i="51" s="1"/>
  <c r="F15" i="50"/>
  <c r="AA14" i="50"/>
  <c r="G14" i="50"/>
  <c r="E185" i="51" s="1"/>
  <c r="F185" i="51" s="1"/>
  <c r="F14" i="50"/>
  <c r="E184" i="51" s="1"/>
  <c r="AB12" i="50"/>
  <c r="AB6" i="50"/>
  <c r="AA6" i="50"/>
  <c r="D6" i="50"/>
  <c r="B6" i="50"/>
  <c r="E3" i="50"/>
  <c r="B3" i="50"/>
  <c r="F335" i="49"/>
  <c r="C333" i="49"/>
  <c r="D332" i="49"/>
  <c r="C332" i="49"/>
  <c r="F331" i="49"/>
  <c r="H314" i="49"/>
  <c r="H309" i="49"/>
  <c r="H275" i="49"/>
  <c r="A207" i="49"/>
  <c r="A206" i="49"/>
  <c r="E189" i="49"/>
  <c r="N203" i="49" s="1"/>
  <c r="E174" i="49"/>
  <c r="A200" i="49" s="1"/>
  <c r="E173" i="49"/>
  <c r="A199" i="49" s="1"/>
  <c r="B120" i="49"/>
  <c r="D101" i="49"/>
  <c r="F104" i="49" s="1"/>
  <c r="C101" i="49"/>
  <c r="F103" i="49" s="1"/>
  <c r="F67" i="49"/>
  <c r="E44" i="49"/>
  <c r="F48" i="49" s="1"/>
  <c r="E25" i="49"/>
  <c r="F29" i="49" s="1"/>
  <c r="D25" i="49"/>
  <c r="C25" i="49"/>
  <c r="F22" i="49"/>
  <c r="E22" i="49"/>
  <c r="D22" i="49"/>
  <c r="C139" i="49" s="1"/>
  <c r="F141" i="49" s="1"/>
  <c r="C22" i="49"/>
  <c r="F21" i="49"/>
  <c r="E21" i="49"/>
  <c r="H316" i="49" s="1"/>
  <c r="D21" i="49"/>
  <c r="H315" i="49" s="1"/>
  <c r="C21" i="49"/>
  <c r="C336" i="49" s="1"/>
  <c r="F20" i="49"/>
  <c r="E101" i="49" s="1"/>
  <c r="F105" i="49" s="1"/>
  <c r="E20" i="49"/>
  <c r="D20" i="49"/>
  <c r="H307" i="49" s="1"/>
  <c r="C20" i="49"/>
  <c r="F19" i="49"/>
  <c r="H301" i="49" s="1"/>
  <c r="E19" i="49"/>
  <c r="D82" i="49" s="1"/>
  <c r="F85" i="49" s="1"/>
  <c r="D19" i="49"/>
  <c r="C19" i="49"/>
  <c r="F18" i="49"/>
  <c r="E63" i="49" s="1"/>
  <c r="E18" i="49"/>
  <c r="D18" i="49"/>
  <c r="C18" i="49"/>
  <c r="F17" i="49"/>
  <c r="H285" i="49" s="1"/>
  <c r="E17" i="49"/>
  <c r="D44" i="49" s="1"/>
  <c r="F47" i="49" s="1"/>
  <c r="D17" i="49"/>
  <c r="C44" i="49" s="1"/>
  <c r="C17" i="49"/>
  <c r="H282" i="49" s="1"/>
  <c r="F16" i="49"/>
  <c r="H277" i="49" s="1"/>
  <c r="E16" i="49"/>
  <c r="D16" i="49"/>
  <c r="C16" i="49"/>
  <c r="M12" i="49"/>
  <c r="L12" i="49"/>
  <c r="F337" i="49" s="1"/>
  <c r="M11" i="49"/>
  <c r="L11" i="49"/>
  <c r="F336" i="49" s="1"/>
  <c r="E11" i="49"/>
  <c r="D11" i="49"/>
  <c r="M10" i="49"/>
  <c r="L10" i="49"/>
  <c r="M9" i="49"/>
  <c r="L9" i="49"/>
  <c r="F334" i="49" s="1"/>
  <c r="D9" i="49"/>
  <c r="M8" i="49"/>
  <c r="L8" i="49"/>
  <c r="F8" i="49"/>
  <c r="M7" i="49"/>
  <c r="L7" i="49"/>
  <c r="M6" i="49"/>
  <c r="L6" i="49"/>
  <c r="F6" i="49"/>
  <c r="H6" i="49" s="1"/>
  <c r="E3" i="49"/>
  <c r="B3" i="49"/>
  <c r="AA47" i="48"/>
  <c r="AB45" i="48"/>
  <c r="H42" i="48"/>
  <c r="G42" i="48"/>
  <c r="F42" i="48"/>
  <c r="AB47" i="48" s="1"/>
  <c r="E42" i="48"/>
  <c r="J41" i="48"/>
  <c r="H41" i="48"/>
  <c r="G41" i="48"/>
  <c r="I41" i="48" s="1"/>
  <c r="K41" i="48" s="1"/>
  <c r="F41" i="48"/>
  <c r="AB44" i="48" s="1"/>
  <c r="E41" i="48"/>
  <c r="AA44" i="48" s="1"/>
  <c r="H40" i="48"/>
  <c r="AB42" i="48" s="1"/>
  <c r="G40" i="48"/>
  <c r="F40" i="48"/>
  <c r="AB41" i="48" s="1"/>
  <c r="E40" i="48"/>
  <c r="AA41" i="48" s="1"/>
  <c r="I39" i="48"/>
  <c r="K39" i="48" s="1"/>
  <c r="H39" i="48"/>
  <c r="G39" i="48"/>
  <c r="AA39" i="48" s="1"/>
  <c r="F39" i="48"/>
  <c r="AB38" i="48" s="1"/>
  <c r="E39" i="48"/>
  <c r="AA38" i="48"/>
  <c r="J38" i="48"/>
  <c r="H38" i="48"/>
  <c r="G38" i="48"/>
  <c r="I38" i="48" s="1"/>
  <c r="K38" i="48" s="1"/>
  <c r="F38" i="48"/>
  <c r="AB35" i="48" s="1"/>
  <c r="E38" i="48"/>
  <c r="AA35" i="48" s="1"/>
  <c r="H37" i="48"/>
  <c r="G37" i="48"/>
  <c r="AA33" i="48" s="1"/>
  <c r="F37" i="48"/>
  <c r="AB32" i="48" s="1"/>
  <c r="E37" i="48"/>
  <c r="AA32" i="48" s="1"/>
  <c r="AB36" i="48"/>
  <c r="AA36" i="48"/>
  <c r="H36" i="48"/>
  <c r="G36" i="48"/>
  <c r="I36" i="48" s="1"/>
  <c r="K36" i="48" s="1"/>
  <c r="F36" i="48"/>
  <c r="AB29" i="48" s="1"/>
  <c r="E36" i="48"/>
  <c r="AA29" i="48" s="1"/>
  <c r="H35" i="48"/>
  <c r="AB27" i="48" s="1"/>
  <c r="G35" i="48"/>
  <c r="F35" i="48"/>
  <c r="AB26" i="48" s="1"/>
  <c r="E35" i="48"/>
  <c r="AA26" i="48" s="1"/>
  <c r="J34" i="48"/>
  <c r="H34" i="48"/>
  <c r="G34" i="48"/>
  <c r="F34" i="48"/>
  <c r="E34" i="48"/>
  <c r="AA23" i="48" s="1"/>
  <c r="H33" i="48"/>
  <c r="G33" i="48"/>
  <c r="F33" i="48"/>
  <c r="E33" i="48"/>
  <c r="H32" i="48"/>
  <c r="G32" i="48"/>
  <c r="F32" i="48"/>
  <c r="E32" i="48"/>
  <c r="H31" i="48"/>
  <c r="G31" i="48"/>
  <c r="I31" i="48" s="1"/>
  <c r="F31" i="48"/>
  <c r="AB14" i="48" s="1"/>
  <c r="E31" i="48"/>
  <c r="C9" i="49" s="1"/>
  <c r="AA30" i="48"/>
  <c r="H30" i="48"/>
  <c r="G30" i="48"/>
  <c r="E8" i="49" s="1"/>
  <c r="F30" i="48"/>
  <c r="E30" i="48"/>
  <c r="H29" i="48"/>
  <c r="F7" i="49" s="1"/>
  <c r="G29" i="48"/>
  <c r="F29" i="48"/>
  <c r="E29" i="48"/>
  <c r="H28" i="48"/>
  <c r="G28" i="48"/>
  <c r="AA6" i="48" s="1"/>
  <c r="F28" i="48"/>
  <c r="D6" i="49" s="1"/>
  <c r="E28" i="48"/>
  <c r="C6" i="49" s="1"/>
  <c r="G23" i="48"/>
  <c r="F23" i="48"/>
  <c r="G22" i="48"/>
  <c r="F22" i="48"/>
  <c r="AA21" i="48"/>
  <c r="G21" i="48"/>
  <c r="F21" i="48"/>
  <c r="AB20" i="48"/>
  <c r="AA20" i="48"/>
  <c r="G20" i="48"/>
  <c r="F20" i="48"/>
  <c r="G19" i="48"/>
  <c r="F19" i="48"/>
  <c r="G18" i="48"/>
  <c r="E181" i="49" s="1"/>
  <c r="F18" i="48"/>
  <c r="E180" i="49" s="1"/>
  <c r="G17" i="48"/>
  <c r="F17" i="48"/>
  <c r="G16" i="48"/>
  <c r="E177" i="49" s="1"/>
  <c r="A203" i="49" s="1"/>
  <c r="F16" i="48"/>
  <c r="E176" i="49" s="1"/>
  <c r="A202" i="49" s="1"/>
  <c r="G15" i="48"/>
  <c r="F15" i="48"/>
  <c r="E186" i="49" s="1"/>
  <c r="G186" i="49" s="1"/>
  <c r="AA14" i="48"/>
  <c r="G14" i="48"/>
  <c r="E185" i="49" s="1"/>
  <c r="F185" i="49" s="1"/>
  <c r="F14" i="48"/>
  <c r="AB12" i="48"/>
  <c r="AA12" i="48"/>
  <c r="D6" i="48"/>
  <c r="B6" i="48"/>
  <c r="E3" i="48"/>
  <c r="B3" i="48"/>
  <c r="D337" i="47"/>
  <c r="F336" i="47"/>
  <c r="D336" i="47"/>
  <c r="D335" i="47"/>
  <c r="C334" i="47"/>
  <c r="F332" i="47"/>
  <c r="H315" i="47"/>
  <c r="H314" i="47"/>
  <c r="H309" i="47"/>
  <c r="H307" i="47"/>
  <c r="H298" i="47"/>
  <c r="H283" i="47"/>
  <c r="H282" i="47"/>
  <c r="H277" i="47"/>
  <c r="G190" i="47"/>
  <c r="E189" i="47"/>
  <c r="F189" i="47" s="1"/>
  <c r="E188" i="47"/>
  <c r="G188" i="47" s="1"/>
  <c r="E185" i="47"/>
  <c r="F185" i="47" s="1"/>
  <c r="E178" i="47"/>
  <c r="A204" i="47" s="1"/>
  <c r="E177" i="47"/>
  <c r="A203" i="47" s="1"/>
  <c r="E176" i="47"/>
  <c r="A202" i="47" s="1"/>
  <c r="B139" i="47"/>
  <c r="F140" i="47" s="1"/>
  <c r="F83" i="47"/>
  <c r="B82" i="47"/>
  <c r="C44" i="47"/>
  <c r="F46" i="47" s="1"/>
  <c r="F28" i="47"/>
  <c r="D25" i="47"/>
  <c r="F22" i="47"/>
  <c r="H325" i="47" s="1"/>
  <c r="E22" i="47"/>
  <c r="H324" i="47" s="1"/>
  <c r="D22" i="47"/>
  <c r="C22" i="47"/>
  <c r="F21" i="47"/>
  <c r="E21" i="47"/>
  <c r="D21" i="47"/>
  <c r="C120" i="47" s="1"/>
  <c r="F122" i="47" s="1"/>
  <c r="C21" i="47"/>
  <c r="F20" i="47"/>
  <c r="E101" i="47" s="1"/>
  <c r="F105" i="47" s="1"/>
  <c r="E20" i="47"/>
  <c r="H308" i="47" s="1"/>
  <c r="D20" i="47"/>
  <c r="C101" i="47" s="1"/>
  <c r="F103" i="47" s="1"/>
  <c r="C20" i="47"/>
  <c r="F19" i="47"/>
  <c r="E19" i="47"/>
  <c r="D19" i="47"/>
  <c r="C82" i="47" s="1"/>
  <c r="C19" i="47"/>
  <c r="F18" i="47"/>
  <c r="E18" i="47"/>
  <c r="H292" i="47" s="1"/>
  <c r="D18" i="47"/>
  <c r="C18" i="47"/>
  <c r="C333" i="47" s="1"/>
  <c r="F17" i="47"/>
  <c r="E17" i="47"/>
  <c r="D17" i="47"/>
  <c r="C17" i="47"/>
  <c r="C332" i="47" s="1"/>
  <c r="F16" i="47"/>
  <c r="E25" i="47" s="1"/>
  <c r="F29" i="47" s="1"/>
  <c r="E16" i="47"/>
  <c r="D16" i="47"/>
  <c r="C16" i="47"/>
  <c r="M12" i="47"/>
  <c r="L12" i="47"/>
  <c r="F337" i="47" s="1"/>
  <c r="M11" i="47"/>
  <c r="L11" i="47"/>
  <c r="D11" i="47"/>
  <c r="C11" i="47"/>
  <c r="M10" i="47"/>
  <c r="L10" i="47"/>
  <c r="F335" i="47" s="1"/>
  <c r="M9" i="47"/>
  <c r="L9" i="47"/>
  <c r="M8" i="47"/>
  <c r="L8" i="47"/>
  <c r="F333" i="47" s="1"/>
  <c r="M7" i="47"/>
  <c r="L7" i="47"/>
  <c r="M6" i="47"/>
  <c r="L6" i="47"/>
  <c r="F331" i="47" s="1"/>
  <c r="D6" i="47"/>
  <c r="C6" i="47"/>
  <c r="E3" i="47"/>
  <c r="B3" i="47"/>
  <c r="AB48" i="46"/>
  <c r="AA45" i="46"/>
  <c r="H42" i="46"/>
  <c r="J42" i="46" s="1"/>
  <c r="G42" i="46"/>
  <c r="I42" i="46" s="1"/>
  <c r="K42" i="46" s="1"/>
  <c r="F42" i="46"/>
  <c r="AB47" i="46" s="1"/>
  <c r="E42" i="46"/>
  <c r="AA47" i="46" s="1"/>
  <c r="L41" i="46"/>
  <c r="H41" i="46"/>
  <c r="G41" i="46"/>
  <c r="I41" i="46" s="1"/>
  <c r="K41" i="46" s="1"/>
  <c r="M41" i="46" s="1"/>
  <c r="F41" i="46"/>
  <c r="AB44" i="46" s="1"/>
  <c r="E41" i="46"/>
  <c r="AA44" i="46" s="1"/>
  <c r="H40" i="46"/>
  <c r="G40" i="46"/>
  <c r="F40" i="46"/>
  <c r="AB41" i="46" s="1"/>
  <c r="E40" i="46"/>
  <c r="AA41" i="46" s="1"/>
  <c r="H39" i="46"/>
  <c r="J39" i="46" s="1"/>
  <c r="G39" i="46"/>
  <c r="F39" i="46"/>
  <c r="AB38" i="46" s="1"/>
  <c r="E39" i="46"/>
  <c r="AA38" i="46" s="1"/>
  <c r="H38" i="46"/>
  <c r="G38" i="46"/>
  <c r="F38" i="46"/>
  <c r="AB35" i="46" s="1"/>
  <c r="E38" i="46"/>
  <c r="J37" i="46"/>
  <c r="I37" i="46"/>
  <c r="K37" i="46" s="1"/>
  <c r="H37" i="46"/>
  <c r="AB33" i="46" s="1"/>
  <c r="G37" i="46"/>
  <c r="AA33" i="46" s="1"/>
  <c r="F37" i="46"/>
  <c r="AB32" i="46" s="1"/>
  <c r="E37" i="46"/>
  <c r="H36" i="46"/>
  <c r="AB30" i="46" s="1"/>
  <c r="G36" i="46"/>
  <c r="I36" i="46" s="1"/>
  <c r="K36" i="46" s="1"/>
  <c r="M36" i="46" s="1"/>
  <c r="F36" i="46"/>
  <c r="AB29" i="46" s="1"/>
  <c r="E36" i="46"/>
  <c r="AA29" i="46" s="1"/>
  <c r="AA35" i="46"/>
  <c r="J35" i="46"/>
  <c r="H35" i="46"/>
  <c r="G35" i="46"/>
  <c r="AA27" i="46" s="1"/>
  <c r="F35" i="46"/>
  <c r="AB26" i="46" s="1"/>
  <c r="E35" i="46"/>
  <c r="AA26" i="46" s="1"/>
  <c r="H34" i="46"/>
  <c r="G34" i="46"/>
  <c r="F34" i="46"/>
  <c r="D12" i="47" s="1"/>
  <c r="E34" i="46"/>
  <c r="C12" i="47" s="1"/>
  <c r="H33" i="46"/>
  <c r="AB21" i="46" s="1"/>
  <c r="G33" i="46"/>
  <c r="E11" i="47" s="1"/>
  <c r="F33" i="46"/>
  <c r="E33" i="46"/>
  <c r="AA20" i="46" s="1"/>
  <c r="AA32" i="46"/>
  <c r="H32" i="46"/>
  <c r="G32" i="46"/>
  <c r="F32" i="46"/>
  <c r="E32" i="46"/>
  <c r="H31" i="46"/>
  <c r="F9" i="47" s="1"/>
  <c r="G31" i="46"/>
  <c r="E9" i="47" s="1"/>
  <c r="G9" i="47" s="1"/>
  <c r="F31" i="46"/>
  <c r="E31" i="46"/>
  <c r="C9" i="47" s="1"/>
  <c r="AA30" i="46"/>
  <c r="H30" i="46"/>
  <c r="G30" i="46"/>
  <c r="F30" i="46"/>
  <c r="D8" i="47" s="1"/>
  <c r="E30" i="46"/>
  <c r="C8" i="47" s="1"/>
  <c r="H29" i="46"/>
  <c r="G29" i="46"/>
  <c r="F29" i="46"/>
  <c r="E29" i="46"/>
  <c r="H28" i="46"/>
  <c r="G28" i="46"/>
  <c r="F28" i="46"/>
  <c r="AB5" i="46" s="1"/>
  <c r="E28" i="46"/>
  <c r="AA5" i="46" s="1"/>
  <c r="AB27" i="46"/>
  <c r="AB23" i="46"/>
  <c r="AA23" i="46"/>
  <c r="G23" i="46"/>
  <c r="F23" i="46"/>
  <c r="G22" i="46"/>
  <c r="F22" i="46"/>
  <c r="AA21" i="46"/>
  <c r="G21" i="46"/>
  <c r="F21" i="46"/>
  <c r="AB20" i="46"/>
  <c r="G20" i="46"/>
  <c r="F20" i="46"/>
  <c r="G19" i="46"/>
  <c r="F19" i="46"/>
  <c r="G18" i="46"/>
  <c r="E193" i="47" s="1"/>
  <c r="F18" i="46"/>
  <c r="E180" i="47" s="1"/>
  <c r="A206" i="47" s="1"/>
  <c r="G17" i="46"/>
  <c r="F17" i="46"/>
  <c r="E190" i="47" s="1"/>
  <c r="N204" i="47" s="1"/>
  <c r="G16" i="46"/>
  <c r="F16" i="46"/>
  <c r="G15" i="46"/>
  <c r="F15" i="46"/>
  <c r="AA14" i="46"/>
  <c r="G14" i="46"/>
  <c r="E173" i="47" s="1"/>
  <c r="A199" i="47" s="1"/>
  <c r="F14" i="46"/>
  <c r="AB11" i="46"/>
  <c r="AA11" i="46"/>
  <c r="AB9" i="46"/>
  <c r="D6" i="46"/>
  <c r="B6" i="46"/>
  <c r="E3" i="46"/>
  <c r="B3" i="46"/>
  <c r="F337" i="45"/>
  <c r="F335" i="45"/>
  <c r="C335" i="45"/>
  <c r="F334" i="45"/>
  <c r="F332" i="45"/>
  <c r="C332" i="45"/>
  <c r="H306" i="45"/>
  <c r="H298" i="45"/>
  <c r="H293" i="45"/>
  <c r="H282" i="45"/>
  <c r="H277" i="45"/>
  <c r="H274" i="45"/>
  <c r="N205" i="45"/>
  <c r="A203" i="45"/>
  <c r="E189" i="45"/>
  <c r="F187" i="45"/>
  <c r="E187" i="45"/>
  <c r="G186" i="45"/>
  <c r="E186" i="45"/>
  <c r="E185" i="45"/>
  <c r="F185" i="45" s="1"/>
  <c r="E175" i="45"/>
  <c r="A201" i="45" s="1"/>
  <c r="E174" i="45"/>
  <c r="A200" i="45" s="1"/>
  <c r="C139" i="45"/>
  <c r="F141" i="45" s="1"/>
  <c r="B120" i="45"/>
  <c r="F121" i="45" s="1"/>
  <c r="F102" i="45"/>
  <c r="C44" i="45"/>
  <c r="F46" i="45" s="1"/>
  <c r="F29" i="45"/>
  <c r="E25" i="45"/>
  <c r="F22" i="45"/>
  <c r="H325" i="45" s="1"/>
  <c r="E22" i="45"/>
  <c r="D22" i="45"/>
  <c r="H323" i="45" s="1"/>
  <c r="C22" i="45"/>
  <c r="F21" i="45"/>
  <c r="E21" i="45"/>
  <c r="D21" i="45"/>
  <c r="C120" i="45" s="1"/>
  <c r="F122" i="45" s="1"/>
  <c r="C21" i="45"/>
  <c r="C336" i="45" s="1"/>
  <c r="F20" i="45"/>
  <c r="E20" i="45"/>
  <c r="D20" i="45"/>
  <c r="C20" i="45"/>
  <c r="B101" i="45" s="1"/>
  <c r="F19" i="45"/>
  <c r="E19" i="45"/>
  <c r="D19" i="45"/>
  <c r="C19" i="45"/>
  <c r="F18" i="45"/>
  <c r="E63" i="45" s="1"/>
  <c r="F67" i="45" s="1"/>
  <c r="E18" i="45"/>
  <c r="D18" i="45"/>
  <c r="C18" i="45"/>
  <c r="H290" i="45" s="1"/>
  <c r="F17" i="45"/>
  <c r="E17" i="45"/>
  <c r="D17" i="45"/>
  <c r="H283" i="45" s="1"/>
  <c r="C17" i="45"/>
  <c r="B44" i="45" s="1"/>
  <c r="F16" i="45"/>
  <c r="E16" i="45"/>
  <c r="D331" i="45" s="1"/>
  <c r="D16" i="45"/>
  <c r="C16" i="45"/>
  <c r="C331" i="45" s="1"/>
  <c r="M12" i="45"/>
  <c r="L12" i="45"/>
  <c r="E12" i="45"/>
  <c r="C12" i="45"/>
  <c r="M11" i="45"/>
  <c r="L11" i="45"/>
  <c r="F336" i="45" s="1"/>
  <c r="D11" i="45"/>
  <c r="M10" i="45"/>
  <c r="L10" i="45"/>
  <c r="M9" i="45"/>
  <c r="L9" i="45"/>
  <c r="M8" i="45"/>
  <c r="L8" i="45"/>
  <c r="F8" i="45"/>
  <c r="M7" i="45"/>
  <c r="L7" i="45"/>
  <c r="M6" i="45"/>
  <c r="L6" i="45"/>
  <c r="F331" i="45" s="1"/>
  <c r="E3" i="45"/>
  <c r="B3" i="45"/>
  <c r="AA48" i="44"/>
  <c r="AB47" i="44"/>
  <c r="AA47" i="44"/>
  <c r="AA44" i="44"/>
  <c r="AB42" i="44"/>
  <c r="J42" i="44"/>
  <c r="I42" i="44"/>
  <c r="K42" i="44" s="1"/>
  <c r="H42" i="44"/>
  <c r="AB48" i="44" s="1"/>
  <c r="G42" i="44"/>
  <c r="F42" i="44"/>
  <c r="E42" i="44"/>
  <c r="I41" i="44"/>
  <c r="K41" i="44" s="1"/>
  <c r="H41" i="44"/>
  <c r="G41" i="44"/>
  <c r="AA45" i="44" s="1"/>
  <c r="F41" i="44"/>
  <c r="AB44" i="44" s="1"/>
  <c r="E41" i="44"/>
  <c r="H40" i="44"/>
  <c r="J40" i="44" s="1"/>
  <c r="G40" i="44"/>
  <c r="F40" i="44"/>
  <c r="AB41" i="44" s="1"/>
  <c r="E40" i="44"/>
  <c r="AA41" i="44" s="1"/>
  <c r="AB39" i="44"/>
  <c r="J39" i="44"/>
  <c r="H39" i="44"/>
  <c r="G39" i="44"/>
  <c r="F39" i="44"/>
  <c r="AB38" i="44" s="1"/>
  <c r="E39" i="44"/>
  <c r="AA38" i="44"/>
  <c r="J38" i="44"/>
  <c r="H38" i="44"/>
  <c r="AB36" i="44" s="1"/>
  <c r="G38" i="44"/>
  <c r="F38" i="44"/>
  <c r="AB35" i="44" s="1"/>
  <c r="E38" i="44"/>
  <c r="AA35" i="44" s="1"/>
  <c r="J37" i="44"/>
  <c r="H37" i="44"/>
  <c r="G37" i="44"/>
  <c r="I37" i="44" s="1"/>
  <c r="K37" i="44" s="1"/>
  <c r="F37" i="44"/>
  <c r="AB32" i="44" s="1"/>
  <c r="E37" i="44"/>
  <c r="AA32" i="44" s="1"/>
  <c r="H36" i="44"/>
  <c r="G36" i="44"/>
  <c r="F36" i="44"/>
  <c r="E36" i="44"/>
  <c r="AA29" i="44" s="1"/>
  <c r="J35" i="44"/>
  <c r="H35" i="44"/>
  <c r="AB27" i="44" s="1"/>
  <c r="G35" i="44"/>
  <c r="F35" i="44"/>
  <c r="AB26" i="44" s="1"/>
  <c r="E35" i="44"/>
  <c r="H34" i="44"/>
  <c r="G34" i="44"/>
  <c r="F34" i="44"/>
  <c r="E34" i="44"/>
  <c r="I34" i="44" s="1"/>
  <c r="AB33" i="44"/>
  <c r="AA33" i="44"/>
  <c r="H33" i="44"/>
  <c r="J33" i="44" s="1"/>
  <c r="G33" i="44"/>
  <c r="F33" i="44"/>
  <c r="AB20" i="44" s="1"/>
  <c r="E33" i="44"/>
  <c r="J32" i="44"/>
  <c r="I32" i="44"/>
  <c r="H32" i="44"/>
  <c r="F10" i="45" s="1"/>
  <c r="H10" i="45" s="1"/>
  <c r="G32" i="44"/>
  <c r="E10" i="45" s="1"/>
  <c r="F32" i="44"/>
  <c r="D10" i="45" s="1"/>
  <c r="E32" i="44"/>
  <c r="H31" i="44"/>
  <c r="G31" i="44"/>
  <c r="F31" i="44"/>
  <c r="E31" i="44"/>
  <c r="C9" i="45" s="1"/>
  <c r="H30" i="44"/>
  <c r="G30" i="44"/>
  <c r="F30" i="44"/>
  <c r="J30" i="44" s="1"/>
  <c r="E30" i="44"/>
  <c r="AB29" i="44"/>
  <c r="H29" i="44"/>
  <c r="G29" i="44"/>
  <c r="F29" i="44"/>
  <c r="D7" i="45" s="1"/>
  <c r="E29" i="44"/>
  <c r="H28" i="44"/>
  <c r="G28" i="44"/>
  <c r="F28" i="44"/>
  <c r="E28" i="44"/>
  <c r="AA26" i="44"/>
  <c r="AA24" i="44"/>
  <c r="AA23" i="44"/>
  <c r="G23" i="44"/>
  <c r="F23" i="44"/>
  <c r="G22" i="44"/>
  <c r="F22" i="44"/>
  <c r="G21" i="44"/>
  <c r="F21" i="44"/>
  <c r="G20" i="44"/>
  <c r="F20" i="44"/>
  <c r="G19" i="44"/>
  <c r="F19" i="44"/>
  <c r="AA18" i="44"/>
  <c r="G18" i="44"/>
  <c r="F18" i="44"/>
  <c r="AB17" i="44"/>
  <c r="G17" i="44"/>
  <c r="E191" i="45" s="1"/>
  <c r="G191" i="45" s="1"/>
  <c r="F17" i="44"/>
  <c r="E178" i="45" s="1"/>
  <c r="A204" i="45" s="1"/>
  <c r="G16" i="44"/>
  <c r="E177" i="45" s="1"/>
  <c r="F16" i="44"/>
  <c r="E188" i="45" s="1"/>
  <c r="G188" i="45" s="1"/>
  <c r="AB15" i="44"/>
  <c r="G15" i="44"/>
  <c r="F15" i="44"/>
  <c r="AA14" i="44"/>
  <c r="G14" i="44"/>
  <c r="E173" i="45" s="1"/>
  <c r="A199" i="45" s="1"/>
  <c r="F14" i="44"/>
  <c r="E172" i="45" s="1"/>
  <c r="A198" i="45" s="1"/>
  <c r="AB12" i="44"/>
  <c r="AA9" i="44"/>
  <c r="AB8" i="44"/>
  <c r="AB6" i="44"/>
  <c r="D6" i="44"/>
  <c r="B6" i="44"/>
  <c r="E3" i="44"/>
  <c r="B3" i="44"/>
  <c r="C336" i="43"/>
  <c r="F335" i="43"/>
  <c r="D335" i="43"/>
  <c r="F334" i="43"/>
  <c r="F331" i="43"/>
  <c r="D331" i="43"/>
  <c r="H308" i="43"/>
  <c r="H283" i="43"/>
  <c r="H277" i="43"/>
  <c r="H276" i="43"/>
  <c r="H275" i="43"/>
  <c r="N207" i="43"/>
  <c r="E192" i="43"/>
  <c r="E187" i="43"/>
  <c r="E180" i="43"/>
  <c r="A206" i="43" s="1"/>
  <c r="E120" i="43"/>
  <c r="F124" i="43" s="1"/>
  <c r="B120" i="43"/>
  <c r="F104" i="43"/>
  <c r="D101" i="43"/>
  <c r="B101" i="43"/>
  <c r="E44" i="43"/>
  <c r="F48" i="43" s="1"/>
  <c r="E25" i="43"/>
  <c r="D25" i="43"/>
  <c r="C25" i="43"/>
  <c r="F22" i="43"/>
  <c r="E22" i="43"/>
  <c r="H324" i="43" s="1"/>
  <c r="D22" i="43"/>
  <c r="C22" i="43"/>
  <c r="F21" i="43"/>
  <c r="H317" i="43" s="1"/>
  <c r="E21" i="43"/>
  <c r="D21" i="43"/>
  <c r="C120" i="43" s="1"/>
  <c r="F122" i="43" s="1"/>
  <c r="C21" i="43"/>
  <c r="H314" i="43" s="1"/>
  <c r="F20" i="43"/>
  <c r="E101" i="43" s="1"/>
  <c r="E20" i="43"/>
  <c r="D20" i="43"/>
  <c r="C20" i="43"/>
  <c r="C335" i="43" s="1"/>
  <c r="F19" i="43"/>
  <c r="E82" i="43" s="1"/>
  <c r="F86" i="43" s="1"/>
  <c r="E19" i="43"/>
  <c r="D334" i="43" s="1"/>
  <c r="D19" i="43"/>
  <c r="C19" i="43"/>
  <c r="F18" i="43"/>
  <c r="E18" i="43"/>
  <c r="D18" i="43"/>
  <c r="C63" i="43" s="1"/>
  <c r="F65" i="43" s="1"/>
  <c r="C18" i="43"/>
  <c r="F17" i="43"/>
  <c r="H285" i="43" s="1"/>
  <c r="E17" i="43"/>
  <c r="D17" i="43"/>
  <c r="C44" i="43" s="1"/>
  <c r="F46" i="43" s="1"/>
  <c r="C17" i="43"/>
  <c r="C332" i="43" s="1"/>
  <c r="F16" i="43"/>
  <c r="E16" i="43"/>
  <c r="D16" i="43"/>
  <c r="C16" i="43"/>
  <c r="M12" i="43"/>
  <c r="L12" i="43"/>
  <c r="F337" i="43" s="1"/>
  <c r="M11" i="43"/>
  <c r="L11" i="43"/>
  <c r="F336" i="43" s="1"/>
  <c r="F11" i="43"/>
  <c r="H11" i="43" s="1"/>
  <c r="D11" i="43"/>
  <c r="M10" i="43"/>
  <c r="L10" i="43"/>
  <c r="E10" i="43"/>
  <c r="M9" i="43"/>
  <c r="L9" i="43"/>
  <c r="M8" i="43"/>
  <c r="L8" i="43"/>
  <c r="M7" i="43"/>
  <c r="L7" i="43"/>
  <c r="F332" i="43" s="1"/>
  <c r="C7" i="43"/>
  <c r="M6" i="43"/>
  <c r="L6" i="43"/>
  <c r="E3" i="43"/>
  <c r="B3" i="43"/>
  <c r="AB44" i="42"/>
  <c r="H42" i="42"/>
  <c r="G42" i="42"/>
  <c r="F42" i="42"/>
  <c r="AB47" i="42" s="1"/>
  <c r="E42" i="42"/>
  <c r="AA47" i="42" s="1"/>
  <c r="H41" i="42"/>
  <c r="G41" i="42"/>
  <c r="F41" i="42"/>
  <c r="E41" i="42"/>
  <c r="AA44" i="42" s="1"/>
  <c r="J40" i="42"/>
  <c r="H40" i="42"/>
  <c r="AB42" i="42" s="1"/>
  <c r="G40" i="42"/>
  <c r="AA42" i="42" s="1"/>
  <c r="F40" i="42"/>
  <c r="AB41" i="42" s="1"/>
  <c r="E40" i="42"/>
  <c r="AA41" i="42" s="1"/>
  <c r="H39" i="42"/>
  <c r="G39" i="42"/>
  <c r="F39" i="42"/>
  <c r="AB38" i="42" s="1"/>
  <c r="E39" i="42"/>
  <c r="AA38" i="42" s="1"/>
  <c r="H38" i="42"/>
  <c r="G38" i="42"/>
  <c r="F38" i="42"/>
  <c r="E38" i="42"/>
  <c r="AA35" i="42" s="1"/>
  <c r="J37" i="42"/>
  <c r="H37" i="42"/>
  <c r="AB33" i="42" s="1"/>
  <c r="G37" i="42"/>
  <c r="I37" i="42" s="1"/>
  <c r="K37" i="42" s="1"/>
  <c r="F37" i="42"/>
  <c r="AB32" i="42" s="1"/>
  <c r="E37" i="42"/>
  <c r="AA32" i="42" s="1"/>
  <c r="I36" i="42"/>
  <c r="K36" i="42" s="1"/>
  <c r="H36" i="42"/>
  <c r="G36" i="42"/>
  <c r="AA30" i="42" s="1"/>
  <c r="F36" i="42"/>
  <c r="AB29" i="42" s="1"/>
  <c r="E36" i="42"/>
  <c r="AA29" i="42" s="1"/>
  <c r="AB35" i="42"/>
  <c r="H35" i="42"/>
  <c r="J35" i="42" s="1"/>
  <c r="G35" i="42"/>
  <c r="F35" i="42"/>
  <c r="AB26" i="42" s="1"/>
  <c r="E35" i="42"/>
  <c r="H34" i="42"/>
  <c r="J34" i="42" s="1"/>
  <c r="G34" i="42"/>
  <c r="F34" i="42"/>
  <c r="E34" i="42"/>
  <c r="AA33" i="42"/>
  <c r="J33" i="42"/>
  <c r="H33" i="42"/>
  <c r="G33" i="42"/>
  <c r="F33" i="42"/>
  <c r="AB20" i="42" s="1"/>
  <c r="E33" i="42"/>
  <c r="I32" i="42"/>
  <c r="H32" i="42"/>
  <c r="G32" i="42"/>
  <c r="AA18" i="42" s="1"/>
  <c r="F32" i="42"/>
  <c r="D10" i="43" s="1"/>
  <c r="E32" i="42"/>
  <c r="C10" i="43" s="1"/>
  <c r="H31" i="42"/>
  <c r="F9" i="43" s="1"/>
  <c r="G31" i="42"/>
  <c r="F31" i="42"/>
  <c r="E31" i="42"/>
  <c r="H30" i="42"/>
  <c r="G30" i="42"/>
  <c r="E8" i="43" s="1"/>
  <c r="F30" i="42"/>
  <c r="E30" i="42"/>
  <c r="H29" i="42"/>
  <c r="G29" i="42"/>
  <c r="F29" i="42"/>
  <c r="E29" i="42"/>
  <c r="AA8" i="42" s="1"/>
  <c r="I28" i="42"/>
  <c r="H28" i="42"/>
  <c r="G28" i="42"/>
  <c r="F28" i="42"/>
  <c r="E28" i="42"/>
  <c r="C6" i="43" s="1"/>
  <c r="AB27" i="42"/>
  <c r="AA26" i="42"/>
  <c r="G23" i="42"/>
  <c r="F23" i="42"/>
  <c r="G22" i="42"/>
  <c r="F22" i="42"/>
  <c r="AB21" i="42"/>
  <c r="AA21" i="42"/>
  <c r="G21" i="42"/>
  <c r="F21" i="42"/>
  <c r="G20" i="42"/>
  <c r="F20" i="42"/>
  <c r="G19" i="42"/>
  <c r="F19" i="42"/>
  <c r="G18" i="42"/>
  <c r="E193" i="43" s="1"/>
  <c r="F18" i="42"/>
  <c r="AB17" i="42"/>
  <c r="AA17" i="42"/>
  <c r="G17" i="42"/>
  <c r="E179" i="43" s="1"/>
  <c r="A205" i="43" s="1"/>
  <c r="F17" i="42"/>
  <c r="G16" i="42"/>
  <c r="F16" i="42"/>
  <c r="G15" i="42"/>
  <c r="E175" i="43" s="1"/>
  <c r="A201" i="43" s="1"/>
  <c r="F15" i="42"/>
  <c r="G14" i="42"/>
  <c r="F14" i="42"/>
  <c r="E184" i="43" s="1"/>
  <c r="AB12" i="42"/>
  <c r="D6" i="42"/>
  <c r="B6" i="42"/>
  <c r="AA5" i="42"/>
  <c r="E3" i="42"/>
  <c r="B3" i="42"/>
  <c r="F336" i="41"/>
  <c r="F335" i="41"/>
  <c r="F334" i="41"/>
  <c r="F331" i="41"/>
  <c r="H316" i="41"/>
  <c r="H315" i="41"/>
  <c r="H306" i="41"/>
  <c r="H285" i="41"/>
  <c r="H284" i="41"/>
  <c r="E190" i="41"/>
  <c r="E186" i="41"/>
  <c r="E176" i="41"/>
  <c r="A202" i="41" s="1"/>
  <c r="F141" i="41"/>
  <c r="F123" i="41"/>
  <c r="E120" i="41"/>
  <c r="F124" i="41" s="1"/>
  <c r="D120" i="41"/>
  <c r="C120" i="41"/>
  <c r="F122" i="41" s="1"/>
  <c r="F48" i="41"/>
  <c r="E44" i="41"/>
  <c r="D44" i="41"/>
  <c r="F47" i="41" s="1"/>
  <c r="C44" i="41"/>
  <c r="F46" i="41" s="1"/>
  <c r="C25" i="41"/>
  <c r="F27" i="41" s="1"/>
  <c r="F22" i="41"/>
  <c r="E22" i="41"/>
  <c r="H324" i="41" s="1"/>
  <c r="D22" i="41"/>
  <c r="C139" i="41" s="1"/>
  <c r="C22" i="41"/>
  <c r="F21" i="41"/>
  <c r="H317" i="41" s="1"/>
  <c r="E21" i="41"/>
  <c r="D336" i="41" s="1"/>
  <c r="D21" i="41"/>
  <c r="C21" i="41"/>
  <c r="F20" i="41"/>
  <c r="E20" i="41"/>
  <c r="D20" i="41"/>
  <c r="C20" i="41"/>
  <c r="B101" i="41" s="1"/>
  <c r="F19" i="41"/>
  <c r="E82" i="41" s="1"/>
  <c r="F86" i="41" s="1"/>
  <c r="E19" i="41"/>
  <c r="D82" i="41" s="1"/>
  <c r="F85" i="41" s="1"/>
  <c r="D19" i="41"/>
  <c r="C19" i="41"/>
  <c r="B82" i="41" s="1"/>
  <c r="F18" i="41"/>
  <c r="E18" i="41"/>
  <c r="D333" i="41" s="1"/>
  <c r="D18" i="41"/>
  <c r="C18" i="41"/>
  <c r="B63" i="41" s="1"/>
  <c r="F64" i="41" s="1"/>
  <c r="F17" i="41"/>
  <c r="E17" i="41"/>
  <c r="D332" i="41" s="1"/>
  <c r="D17" i="41"/>
  <c r="H283" i="41" s="1"/>
  <c r="C17" i="41"/>
  <c r="F16" i="41"/>
  <c r="E16" i="41"/>
  <c r="D16" i="41"/>
  <c r="H275" i="41" s="1"/>
  <c r="C16" i="41"/>
  <c r="M12" i="41"/>
  <c r="L12" i="41"/>
  <c r="F337" i="41" s="1"/>
  <c r="D12" i="41"/>
  <c r="C12" i="41"/>
  <c r="M11" i="41"/>
  <c r="L11" i="41"/>
  <c r="M10" i="41"/>
  <c r="L10" i="41"/>
  <c r="C10" i="41"/>
  <c r="M9" i="41"/>
  <c r="L9" i="41"/>
  <c r="D9" i="41"/>
  <c r="C9" i="41"/>
  <c r="M8" i="41"/>
  <c r="L8" i="41"/>
  <c r="H8" i="41"/>
  <c r="M7" i="41"/>
  <c r="L7" i="41"/>
  <c r="F332" i="41" s="1"/>
  <c r="M6" i="41"/>
  <c r="L6" i="41"/>
  <c r="C6" i="41"/>
  <c r="E3" i="41"/>
  <c r="B3" i="41"/>
  <c r="AB48" i="40"/>
  <c r="AA48" i="40"/>
  <c r="AA44" i="40"/>
  <c r="AA42" i="40"/>
  <c r="H42" i="40"/>
  <c r="J42" i="40" s="1"/>
  <c r="G42" i="40"/>
  <c r="I42" i="40" s="1"/>
  <c r="K42" i="40" s="1"/>
  <c r="F42" i="40"/>
  <c r="AB47" i="40" s="1"/>
  <c r="E42" i="40"/>
  <c r="AA47" i="40" s="1"/>
  <c r="H41" i="40"/>
  <c r="G41" i="40"/>
  <c r="I41" i="40" s="1"/>
  <c r="K41" i="40" s="1"/>
  <c r="F41" i="40"/>
  <c r="AB44" i="40" s="1"/>
  <c r="E41" i="40"/>
  <c r="M40" i="40"/>
  <c r="H40" i="40"/>
  <c r="G40" i="40"/>
  <c r="I40" i="40" s="1"/>
  <c r="K40" i="40" s="1"/>
  <c r="L40" i="40" s="1"/>
  <c r="F40" i="40"/>
  <c r="AB41" i="40" s="1"/>
  <c r="E40" i="40"/>
  <c r="AA41" i="40" s="1"/>
  <c r="H39" i="40"/>
  <c r="G39" i="40"/>
  <c r="AA39" i="40" s="1"/>
  <c r="F39" i="40"/>
  <c r="AB38" i="40" s="1"/>
  <c r="E39" i="40"/>
  <c r="AA38" i="40" s="1"/>
  <c r="H38" i="40"/>
  <c r="G38" i="40"/>
  <c r="F38" i="40"/>
  <c r="AB35" i="40" s="1"/>
  <c r="E38" i="40"/>
  <c r="AA35" i="40" s="1"/>
  <c r="L37" i="40"/>
  <c r="J37" i="40"/>
  <c r="H37" i="40"/>
  <c r="G37" i="40"/>
  <c r="I37" i="40" s="1"/>
  <c r="K37" i="40" s="1"/>
  <c r="M37" i="40" s="1"/>
  <c r="F37" i="40"/>
  <c r="E37" i="40"/>
  <c r="H36" i="40"/>
  <c r="G36" i="40"/>
  <c r="I36" i="40" s="1"/>
  <c r="K36" i="40" s="1"/>
  <c r="F36" i="40"/>
  <c r="E36" i="40"/>
  <c r="AA29" i="40" s="1"/>
  <c r="H35" i="40"/>
  <c r="AB27" i="40" s="1"/>
  <c r="G35" i="40"/>
  <c r="F35" i="40"/>
  <c r="E35" i="40"/>
  <c r="H34" i="40"/>
  <c r="G34" i="40"/>
  <c r="E12" i="41" s="1"/>
  <c r="F34" i="40"/>
  <c r="E34" i="40"/>
  <c r="AB33" i="40"/>
  <c r="AA33" i="40"/>
  <c r="H33" i="40"/>
  <c r="G33" i="40"/>
  <c r="F33" i="40"/>
  <c r="E33" i="40"/>
  <c r="AB32" i="40"/>
  <c r="AA32" i="40"/>
  <c r="H32" i="40"/>
  <c r="F10" i="41" s="1"/>
  <c r="H10" i="41" s="1"/>
  <c r="G32" i="40"/>
  <c r="F32" i="40"/>
  <c r="D10" i="41" s="1"/>
  <c r="E32" i="40"/>
  <c r="H31" i="40"/>
  <c r="G31" i="40"/>
  <c r="F31" i="40"/>
  <c r="J31" i="40" s="1"/>
  <c r="E31" i="40"/>
  <c r="AA14" i="40" s="1"/>
  <c r="AA30" i="40"/>
  <c r="H30" i="40"/>
  <c r="F8" i="41" s="1"/>
  <c r="G30" i="40"/>
  <c r="E8" i="41" s="1"/>
  <c r="F30" i="40"/>
  <c r="D8" i="41" s="1"/>
  <c r="E30" i="40"/>
  <c r="AB29" i="40"/>
  <c r="H29" i="40"/>
  <c r="F7" i="41" s="1"/>
  <c r="G29" i="40"/>
  <c r="F29" i="40"/>
  <c r="D7" i="41" s="1"/>
  <c r="E29" i="40"/>
  <c r="H28" i="40"/>
  <c r="AB6" i="40" s="1"/>
  <c r="G28" i="40"/>
  <c r="F28" i="40"/>
  <c r="E28" i="40"/>
  <c r="AB26" i="40"/>
  <c r="AA26" i="40"/>
  <c r="AA24" i="40"/>
  <c r="AB23" i="40"/>
  <c r="AA23" i="40"/>
  <c r="G23" i="40"/>
  <c r="F23" i="40"/>
  <c r="G22" i="40"/>
  <c r="F22" i="40"/>
  <c r="G21" i="40"/>
  <c r="F21" i="40"/>
  <c r="G20" i="40"/>
  <c r="F20" i="40"/>
  <c r="G19" i="40"/>
  <c r="F19" i="40"/>
  <c r="AB18" i="40"/>
  <c r="G18" i="40"/>
  <c r="F18" i="40"/>
  <c r="AB17" i="40"/>
  <c r="AA17" i="40"/>
  <c r="G17" i="40"/>
  <c r="F17" i="40"/>
  <c r="E178" i="41" s="1"/>
  <c r="A204" i="41" s="1"/>
  <c r="G16" i="40"/>
  <c r="F16" i="40"/>
  <c r="E188" i="41" s="1"/>
  <c r="G15" i="40"/>
  <c r="F15" i="40"/>
  <c r="E174" i="41" s="1"/>
  <c r="A200" i="41" s="1"/>
  <c r="G14" i="40"/>
  <c r="E173" i="41" s="1"/>
  <c r="A199" i="41" s="1"/>
  <c r="F14" i="40"/>
  <c r="AB12" i="40"/>
  <c r="AB11" i="40"/>
  <c r="AB9" i="40"/>
  <c r="AB8" i="40"/>
  <c r="D6" i="40"/>
  <c r="B6" i="40"/>
  <c r="AA5" i="40"/>
  <c r="E3" i="40"/>
  <c r="B3" i="40"/>
  <c r="C334" i="39"/>
  <c r="C332" i="39"/>
  <c r="H323" i="39"/>
  <c r="H314" i="39"/>
  <c r="H291" i="39"/>
  <c r="H290" i="39"/>
  <c r="H284" i="39"/>
  <c r="H283" i="39"/>
  <c r="H282" i="39"/>
  <c r="E184" i="39"/>
  <c r="F184" i="39" s="1"/>
  <c r="E181" i="39"/>
  <c r="A207" i="39" s="1"/>
  <c r="E139" i="39"/>
  <c r="D139" i="39"/>
  <c r="B120" i="39"/>
  <c r="F103" i="39"/>
  <c r="F84" i="39"/>
  <c r="C82" i="39"/>
  <c r="F65" i="39"/>
  <c r="B63" i="39"/>
  <c r="D44" i="39"/>
  <c r="F47" i="39" s="1"/>
  <c r="B44" i="39"/>
  <c r="F22" i="39"/>
  <c r="H325" i="39" s="1"/>
  <c r="E22" i="39"/>
  <c r="D337" i="39" s="1"/>
  <c r="D22" i="39"/>
  <c r="C139" i="39" s="1"/>
  <c r="F141" i="39" s="1"/>
  <c r="C22" i="39"/>
  <c r="F21" i="39"/>
  <c r="E21" i="39"/>
  <c r="D21" i="39"/>
  <c r="C21" i="39"/>
  <c r="C336" i="39" s="1"/>
  <c r="F20" i="39"/>
  <c r="E20" i="39"/>
  <c r="D20" i="39"/>
  <c r="C101" i="39" s="1"/>
  <c r="C20" i="39"/>
  <c r="F19" i="39"/>
  <c r="E19" i="39"/>
  <c r="D82" i="39" s="1"/>
  <c r="F85" i="39" s="1"/>
  <c r="D19" i="39"/>
  <c r="H299" i="39" s="1"/>
  <c r="C19" i="39"/>
  <c r="H298" i="39" s="1"/>
  <c r="F18" i="39"/>
  <c r="E18" i="39"/>
  <c r="D18" i="39"/>
  <c r="C63" i="39" s="1"/>
  <c r="C18" i="39"/>
  <c r="C333" i="39" s="1"/>
  <c r="F17" i="39"/>
  <c r="E17" i="39"/>
  <c r="D332" i="39" s="1"/>
  <c r="D17" i="39"/>
  <c r="C44" i="39" s="1"/>
  <c r="C17" i="39"/>
  <c r="F16" i="39"/>
  <c r="E16" i="39"/>
  <c r="D16" i="39"/>
  <c r="C16" i="39"/>
  <c r="M12" i="39"/>
  <c r="L12" i="39"/>
  <c r="F337" i="39" s="1"/>
  <c r="M11" i="39"/>
  <c r="L11" i="39"/>
  <c r="C11" i="39"/>
  <c r="M10" i="39"/>
  <c r="L10" i="39"/>
  <c r="F335" i="39" s="1"/>
  <c r="M9" i="39"/>
  <c r="L9" i="39"/>
  <c r="M8" i="39"/>
  <c r="L8" i="39"/>
  <c r="M7" i="39"/>
  <c r="L7" i="39"/>
  <c r="D7" i="39"/>
  <c r="H7" i="39" s="1"/>
  <c r="M6" i="39"/>
  <c r="L6" i="39"/>
  <c r="F331" i="39" s="1"/>
  <c r="D6" i="39"/>
  <c r="E3" i="39"/>
  <c r="B3" i="39"/>
  <c r="AB47" i="38"/>
  <c r="AB45" i="38"/>
  <c r="AB44" i="38"/>
  <c r="AA44" i="38"/>
  <c r="AB42" i="38"/>
  <c r="H42" i="38"/>
  <c r="J42" i="38" s="1"/>
  <c r="G42" i="38"/>
  <c r="F42" i="38"/>
  <c r="E42" i="38"/>
  <c r="AA47" i="38" s="1"/>
  <c r="H41" i="38"/>
  <c r="J41" i="38" s="1"/>
  <c r="G41" i="38"/>
  <c r="F41" i="38"/>
  <c r="E41" i="38"/>
  <c r="J40" i="38"/>
  <c r="H40" i="38"/>
  <c r="G40" i="38"/>
  <c r="F40" i="38"/>
  <c r="AB41" i="38" s="1"/>
  <c r="E40" i="38"/>
  <c r="AA41" i="38" s="1"/>
  <c r="AB39" i="38"/>
  <c r="H39" i="38"/>
  <c r="J39" i="38" s="1"/>
  <c r="G39" i="38"/>
  <c r="F39" i="38"/>
  <c r="E39" i="38"/>
  <c r="AA38" i="38" s="1"/>
  <c r="AB38" i="38"/>
  <c r="H38" i="38"/>
  <c r="AB36" i="38" s="1"/>
  <c r="G38" i="38"/>
  <c r="I38" i="38" s="1"/>
  <c r="K38" i="38" s="1"/>
  <c r="F38" i="38"/>
  <c r="AB35" i="38" s="1"/>
  <c r="E38" i="38"/>
  <c r="AA35" i="38" s="1"/>
  <c r="H37" i="38"/>
  <c r="J37" i="38" s="1"/>
  <c r="G37" i="38"/>
  <c r="F37" i="38"/>
  <c r="AB32" i="38" s="1"/>
  <c r="E37" i="38"/>
  <c r="AA36" i="38"/>
  <c r="H36" i="38"/>
  <c r="G36" i="38"/>
  <c r="I36" i="38" s="1"/>
  <c r="K36" i="38" s="1"/>
  <c r="F36" i="38"/>
  <c r="AB29" i="38" s="1"/>
  <c r="E36" i="38"/>
  <c r="I35" i="38"/>
  <c r="K35" i="38" s="1"/>
  <c r="H35" i="38"/>
  <c r="G35" i="38"/>
  <c r="AA27" i="38" s="1"/>
  <c r="F35" i="38"/>
  <c r="AB26" i="38" s="1"/>
  <c r="E35" i="38"/>
  <c r="H34" i="38"/>
  <c r="F12" i="39" s="1"/>
  <c r="G34" i="38"/>
  <c r="F34" i="38"/>
  <c r="E34" i="38"/>
  <c r="AA23" i="38" s="1"/>
  <c r="AB33" i="38"/>
  <c r="H33" i="38"/>
  <c r="F11" i="39" s="1"/>
  <c r="G33" i="38"/>
  <c r="F33" i="38"/>
  <c r="E33" i="38"/>
  <c r="AA20" i="38" s="1"/>
  <c r="AA32" i="38"/>
  <c r="H32" i="38"/>
  <c r="F10" i="39" s="1"/>
  <c r="G32" i="38"/>
  <c r="E10" i="39" s="1"/>
  <c r="F32" i="38"/>
  <c r="E32" i="38"/>
  <c r="H31" i="38"/>
  <c r="G31" i="38"/>
  <c r="F31" i="38"/>
  <c r="E31" i="38"/>
  <c r="C9" i="39" s="1"/>
  <c r="AA30" i="38"/>
  <c r="H30" i="38"/>
  <c r="G30" i="38"/>
  <c r="F30" i="38"/>
  <c r="E30" i="38"/>
  <c r="C8" i="39" s="1"/>
  <c r="AA29" i="38"/>
  <c r="J29" i="38"/>
  <c r="H29" i="38"/>
  <c r="F7" i="39" s="1"/>
  <c r="G29" i="38"/>
  <c r="F29" i="38"/>
  <c r="E29" i="38"/>
  <c r="H28" i="38"/>
  <c r="G28" i="38"/>
  <c r="F28" i="38"/>
  <c r="E28" i="38"/>
  <c r="AA26" i="38"/>
  <c r="AB24" i="38"/>
  <c r="G23" i="38"/>
  <c r="F23" i="38"/>
  <c r="G22" i="38"/>
  <c r="F22" i="38"/>
  <c r="G21" i="38"/>
  <c r="F21" i="38"/>
  <c r="G20" i="38"/>
  <c r="F20" i="38"/>
  <c r="G19" i="38"/>
  <c r="F19" i="38"/>
  <c r="AB18" i="38"/>
  <c r="AA18" i="38"/>
  <c r="G18" i="38"/>
  <c r="E193" i="39" s="1"/>
  <c r="N207" i="39" s="1"/>
  <c r="F18" i="38"/>
  <c r="G17" i="38"/>
  <c r="F17" i="38"/>
  <c r="E178" i="39" s="1"/>
  <c r="A204" i="39" s="1"/>
  <c r="G16" i="38"/>
  <c r="E189" i="39" s="1"/>
  <c r="F16" i="38"/>
  <c r="G15" i="38"/>
  <c r="F15" i="38"/>
  <c r="E174" i="39" s="1"/>
  <c r="A200" i="39" s="1"/>
  <c r="AA14" i="38"/>
  <c r="G14" i="38"/>
  <c r="F14" i="38"/>
  <c r="E172" i="39" s="1"/>
  <c r="A198" i="39" s="1"/>
  <c r="AB9" i="38"/>
  <c r="AB8" i="38"/>
  <c r="AA6" i="38"/>
  <c r="D6" i="38"/>
  <c r="B6" i="38"/>
  <c r="AB5" i="38"/>
  <c r="E3" i="38"/>
  <c r="B3" i="38"/>
  <c r="F337" i="37"/>
  <c r="F333" i="37"/>
  <c r="H325" i="37"/>
  <c r="H324" i="37"/>
  <c r="H317" i="37"/>
  <c r="H307" i="37"/>
  <c r="H293" i="37"/>
  <c r="H290" i="37"/>
  <c r="H283" i="37"/>
  <c r="F185" i="37"/>
  <c r="E177" i="37"/>
  <c r="A203" i="37" s="1"/>
  <c r="E174" i="37"/>
  <c r="A200" i="37" s="1"/>
  <c r="E173" i="37"/>
  <c r="A199" i="37" s="1"/>
  <c r="F142" i="37"/>
  <c r="C101" i="37"/>
  <c r="B101" i="37"/>
  <c r="F102" i="37" s="1"/>
  <c r="E82" i="37"/>
  <c r="F86" i="37" s="1"/>
  <c r="K77" i="37"/>
  <c r="K75" i="37"/>
  <c r="J75" i="37"/>
  <c r="D63" i="37"/>
  <c r="F66" i="37" s="1"/>
  <c r="C63" i="37"/>
  <c r="B63" i="37"/>
  <c r="C44" i="37"/>
  <c r="F46" i="37" s="1"/>
  <c r="C25" i="37"/>
  <c r="F27" i="37" s="1"/>
  <c r="F22" i="37"/>
  <c r="E139" i="37" s="1"/>
  <c r="F143" i="37" s="1"/>
  <c r="E22" i="37"/>
  <c r="D139" i="37" s="1"/>
  <c r="D22" i="37"/>
  <c r="C22" i="37"/>
  <c r="F21" i="37"/>
  <c r="E120" i="37" s="1"/>
  <c r="F124" i="37" s="1"/>
  <c r="E21" i="37"/>
  <c r="H316" i="37" s="1"/>
  <c r="D21" i="37"/>
  <c r="C21" i="37"/>
  <c r="F20" i="37"/>
  <c r="E20" i="37"/>
  <c r="D20" i="37"/>
  <c r="C20" i="37"/>
  <c r="F19" i="37"/>
  <c r="H301" i="37" s="1"/>
  <c r="E19" i="37"/>
  <c r="D19" i="37"/>
  <c r="C19" i="37"/>
  <c r="F18" i="37"/>
  <c r="E63" i="37" s="1"/>
  <c r="F67" i="37" s="1"/>
  <c r="E18" i="37"/>
  <c r="D18" i="37"/>
  <c r="H291" i="37" s="1"/>
  <c r="C18" i="37"/>
  <c r="C333" i="37" s="1"/>
  <c r="F17" i="37"/>
  <c r="E17" i="37"/>
  <c r="H284" i="37" s="1"/>
  <c r="D17" i="37"/>
  <c r="C17" i="37"/>
  <c r="F16" i="37"/>
  <c r="E25" i="37" s="1"/>
  <c r="F29" i="37" s="1"/>
  <c r="E16" i="37"/>
  <c r="D16" i="37"/>
  <c r="H275" i="37" s="1"/>
  <c r="C16" i="37"/>
  <c r="M12" i="37"/>
  <c r="L12" i="37"/>
  <c r="E12" i="37"/>
  <c r="M11" i="37"/>
  <c r="L11" i="37"/>
  <c r="F336" i="37" s="1"/>
  <c r="M10" i="37"/>
  <c r="L10" i="37"/>
  <c r="E10" i="37"/>
  <c r="G10" i="37" s="1"/>
  <c r="C10" i="37"/>
  <c r="M9" i="37"/>
  <c r="L9" i="37"/>
  <c r="F334" i="37" s="1"/>
  <c r="F9" i="37"/>
  <c r="H9" i="37" s="1"/>
  <c r="E9" i="37"/>
  <c r="M8" i="37"/>
  <c r="L8" i="37"/>
  <c r="M7" i="37"/>
  <c r="L7" i="37"/>
  <c r="F332" i="37" s="1"/>
  <c r="F7" i="37"/>
  <c r="E7" i="37"/>
  <c r="D7" i="37"/>
  <c r="C7" i="37"/>
  <c r="M6" i="37"/>
  <c r="L6" i="37"/>
  <c r="F331" i="37" s="1"/>
  <c r="C6" i="37"/>
  <c r="E3" i="37"/>
  <c r="B3" i="37"/>
  <c r="AA48" i="36"/>
  <c r="AB47" i="36"/>
  <c r="AA44" i="36"/>
  <c r="H42" i="36"/>
  <c r="G42" i="36"/>
  <c r="I42" i="36" s="1"/>
  <c r="K42" i="36" s="1"/>
  <c r="L42" i="36" s="1"/>
  <c r="F42" i="36"/>
  <c r="E42" i="36"/>
  <c r="AA47" i="36" s="1"/>
  <c r="AA41" i="36"/>
  <c r="H41" i="36"/>
  <c r="G41" i="36"/>
  <c r="F41" i="36"/>
  <c r="AB44" i="36" s="1"/>
  <c r="E41" i="36"/>
  <c r="I40" i="36"/>
  <c r="K40" i="36" s="1"/>
  <c r="M40" i="36" s="1"/>
  <c r="H40" i="36"/>
  <c r="G40" i="36"/>
  <c r="AA42" i="36" s="1"/>
  <c r="F40" i="36"/>
  <c r="AB41" i="36" s="1"/>
  <c r="E40" i="36"/>
  <c r="I39" i="36"/>
  <c r="K39" i="36" s="1"/>
  <c r="M39" i="36" s="1"/>
  <c r="H39" i="36"/>
  <c r="G39" i="36"/>
  <c r="AA39" i="36" s="1"/>
  <c r="F39" i="36"/>
  <c r="E39" i="36"/>
  <c r="AB38" i="36"/>
  <c r="AA38" i="36"/>
  <c r="K38" i="36"/>
  <c r="L38" i="36" s="1"/>
  <c r="J38" i="36"/>
  <c r="H38" i="36"/>
  <c r="G38" i="36"/>
  <c r="I38" i="36" s="1"/>
  <c r="F38" i="36"/>
  <c r="E38" i="36"/>
  <c r="AA35" i="36" s="1"/>
  <c r="H37" i="36"/>
  <c r="G37" i="36"/>
  <c r="F37" i="36"/>
  <c r="AB32" i="36" s="1"/>
  <c r="E37" i="36"/>
  <c r="AA32" i="36" s="1"/>
  <c r="AB36" i="36"/>
  <c r="AA36" i="36"/>
  <c r="J36" i="36"/>
  <c r="H36" i="36"/>
  <c r="AB30" i="36" s="1"/>
  <c r="G36" i="36"/>
  <c r="AA30" i="36" s="1"/>
  <c r="F36" i="36"/>
  <c r="AB29" i="36" s="1"/>
  <c r="E36" i="36"/>
  <c r="AA29" i="36" s="1"/>
  <c r="AB35" i="36"/>
  <c r="I35" i="36"/>
  <c r="K35" i="36" s="1"/>
  <c r="H35" i="36"/>
  <c r="J35" i="36" s="1"/>
  <c r="G35" i="36"/>
  <c r="F35" i="36"/>
  <c r="E35" i="36"/>
  <c r="AA26" i="36" s="1"/>
  <c r="H34" i="36"/>
  <c r="G34" i="36"/>
  <c r="AA24" i="36" s="1"/>
  <c r="F34" i="36"/>
  <c r="E34" i="36"/>
  <c r="H33" i="36"/>
  <c r="J33" i="36" s="1"/>
  <c r="G33" i="36"/>
  <c r="F33" i="36"/>
  <c r="D11" i="37" s="1"/>
  <c r="E33" i="36"/>
  <c r="C11" i="37" s="1"/>
  <c r="I32" i="36"/>
  <c r="H32" i="36"/>
  <c r="G32" i="36"/>
  <c r="F32" i="36"/>
  <c r="D10" i="37" s="1"/>
  <c r="E32" i="36"/>
  <c r="AA17" i="36" s="1"/>
  <c r="H31" i="36"/>
  <c r="J31" i="36" s="1"/>
  <c r="G31" i="36"/>
  <c r="F31" i="36"/>
  <c r="D9" i="37" s="1"/>
  <c r="E31" i="36"/>
  <c r="H30" i="36"/>
  <c r="G30" i="36"/>
  <c r="F30" i="36"/>
  <c r="E30" i="36"/>
  <c r="H29" i="36"/>
  <c r="AB9" i="36" s="1"/>
  <c r="G29" i="36"/>
  <c r="F29" i="36"/>
  <c r="AB8" i="36" s="1"/>
  <c r="E29" i="36"/>
  <c r="H28" i="36"/>
  <c r="J28" i="36" s="1"/>
  <c r="G28" i="36"/>
  <c r="F28" i="36"/>
  <c r="E28" i="36"/>
  <c r="AA5" i="36" s="1"/>
  <c r="AB27" i="36"/>
  <c r="AA27" i="36"/>
  <c r="AB26" i="36"/>
  <c r="G23" i="36"/>
  <c r="F23" i="36"/>
  <c r="G22" i="36"/>
  <c r="F22" i="36"/>
  <c r="G21" i="36"/>
  <c r="F21" i="36"/>
  <c r="G20" i="36"/>
  <c r="F20" i="36"/>
  <c r="G19" i="36"/>
  <c r="F19" i="36"/>
  <c r="AA18" i="36"/>
  <c r="G18" i="36"/>
  <c r="F18" i="36"/>
  <c r="AB17" i="36"/>
  <c r="G17" i="36"/>
  <c r="E179" i="37" s="1"/>
  <c r="A205" i="37" s="1"/>
  <c r="F17" i="36"/>
  <c r="G16" i="36"/>
  <c r="E189" i="37" s="1"/>
  <c r="F16" i="36"/>
  <c r="AB15" i="36"/>
  <c r="AA15" i="36"/>
  <c r="G15" i="36"/>
  <c r="F15" i="36"/>
  <c r="E186" i="37" s="1"/>
  <c r="AB14" i="36"/>
  <c r="G14" i="36"/>
  <c r="E185" i="37" s="1"/>
  <c r="F14" i="36"/>
  <c r="E184" i="37" s="1"/>
  <c r="G184" i="37" s="1"/>
  <c r="AA8" i="36"/>
  <c r="D6" i="36"/>
  <c r="B6" i="36"/>
  <c r="E3" i="36"/>
  <c r="B3" i="36"/>
  <c r="C337" i="35"/>
  <c r="F335" i="35"/>
  <c r="C332" i="35"/>
  <c r="F331" i="35"/>
  <c r="D331" i="35"/>
  <c r="H316" i="35"/>
  <c r="H315" i="35"/>
  <c r="H309" i="35"/>
  <c r="H301" i="35"/>
  <c r="H285" i="35"/>
  <c r="H284" i="35"/>
  <c r="A200" i="35"/>
  <c r="E189" i="35"/>
  <c r="E186" i="35"/>
  <c r="E185" i="35"/>
  <c r="F185" i="35" s="1"/>
  <c r="E181" i="35"/>
  <c r="A207" i="35" s="1"/>
  <c r="E175" i="35"/>
  <c r="A201" i="35" s="1"/>
  <c r="B139" i="35"/>
  <c r="E120" i="35"/>
  <c r="F124" i="35" s="1"/>
  <c r="D120" i="35"/>
  <c r="F123" i="35" s="1"/>
  <c r="C120" i="35"/>
  <c r="F122" i="35" s="1"/>
  <c r="E82" i="35"/>
  <c r="F86" i="35" s="1"/>
  <c r="D82" i="35"/>
  <c r="D44" i="35"/>
  <c r="F47" i="35" s="1"/>
  <c r="C44" i="35"/>
  <c r="F46" i="35" s="1"/>
  <c r="F22" i="35"/>
  <c r="E22" i="35"/>
  <c r="D337" i="35" s="1"/>
  <c r="D22" i="35"/>
  <c r="C22" i="35"/>
  <c r="H322" i="35" s="1"/>
  <c r="F21" i="35"/>
  <c r="H317" i="35" s="1"/>
  <c r="E21" i="35"/>
  <c r="D336" i="35" s="1"/>
  <c r="D21" i="35"/>
  <c r="C21" i="35"/>
  <c r="F20" i="35"/>
  <c r="E101" i="35" s="1"/>
  <c r="F105" i="35" s="1"/>
  <c r="E20" i="35"/>
  <c r="D20" i="35"/>
  <c r="C20" i="35"/>
  <c r="C335" i="35" s="1"/>
  <c r="F19" i="35"/>
  <c r="E19" i="35"/>
  <c r="D19" i="35"/>
  <c r="C19" i="35"/>
  <c r="H298" i="35" s="1"/>
  <c r="F18" i="35"/>
  <c r="E18" i="35"/>
  <c r="D333" i="35" s="1"/>
  <c r="D18" i="35"/>
  <c r="C18" i="35"/>
  <c r="F17" i="35"/>
  <c r="E44" i="35" s="1"/>
  <c r="F48" i="35" s="1"/>
  <c r="E17" i="35"/>
  <c r="D332" i="35" s="1"/>
  <c r="D17" i="35"/>
  <c r="H283" i="35" s="1"/>
  <c r="C17" i="35"/>
  <c r="F16" i="35"/>
  <c r="E16" i="35"/>
  <c r="D16" i="35"/>
  <c r="C16" i="35"/>
  <c r="C331" i="35" s="1"/>
  <c r="M12" i="35"/>
  <c r="L12" i="35"/>
  <c r="F12" i="35"/>
  <c r="D12" i="35"/>
  <c r="C12" i="35"/>
  <c r="M11" i="35"/>
  <c r="L11" i="35"/>
  <c r="F336" i="35" s="1"/>
  <c r="M10" i="35"/>
  <c r="L10" i="35"/>
  <c r="M9" i="35"/>
  <c r="L9" i="35"/>
  <c r="E9" i="35"/>
  <c r="G9" i="35" s="1"/>
  <c r="C9" i="35"/>
  <c r="M8" i="35"/>
  <c r="L8" i="35"/>
  <c r="F333" i="35" s="1"/>
  <c r="M7" i="35"/>
  <c r="L7" i="35"/>
  <c r="F332" i="35" s="1"/>
  <c r="H7" i="35"/>
  <c r="M6" i="35"/>
  <c r="L6" i="35"/>
  <c r="E6" i="35"/>
  <c r="E3" i="35"/>
  <c r="B3" i="35"/>
  <c r="AB47" i="34"/>
  <c r="AB42" i="34"/>
  <c r="I42" i="34"/>
  <c r="K42" i="34" s="1"/>
  <c r="M42" i="34" s="1"/>
  <c r="H42" i="34"/>
  <c r="AB48" i="34" s="1"/>
  <c r="G42" i="34"/>
  <c r="AA48" i="34" s="1"/>
  <c r="F42" i="34"/>
  <c r="E42" i="34"/>
  <c r="AA47" i="34" s="1"/>
  <c r="H41" i="34"/>
  <c r="G41" i="34"/>
  <c r="F41" i="34"/>
  <c r="AB44" i="34" s="1"/>
  <c r="E41" i="34"/>
  <c r="AA44" i="34" s="1"/>
  <c r="K40" i="34"/>
  <c r="M40" i="34" s="1"/>
  <c r="J40" i="34"/>
  <c r="H40" i="34"/>
  <c r="G40" i="34"/>
  <c r="I40" i="34" s="1"/>
  <c r="F40" i="34"/>
  <c r="AB41" i="34" s="1"/>
  <c r="E40" i="34"/>
  <c r="AA41" i="34" s="1"/>
  <c r="H39" i="34"/>
  <c r="G39" i="34"/>
  <c r="AA39" i="34" s="1"/>
  <c r="F39" i="34"/>
  <c r="E39" i="34"/>
  <c r="AA38" i="34" s="1"/>
  <c r="AB38" i="34"/>
  <c r="H38" i="34"/>
  <c r="J38" i="34" s="1"/>
  <c r="G38" i="34"/>
  <c r="F38" i="34"/>
  <c r="AB35" i="34" s="1"/>
  <c r="E38" i="34"/>
  <c r="AA35" i="34" s="1"/>
  <c r="I37" i="34"/>
  <c r="K37" i="34" s="1"/>
  <c r="H37" i="34"/>
  <c r="G37" i="34"/>
  <c r="AA33" i="34" s="1"/>
  <c r="F37" i="34"/>
  <c r="E37" i="34"/>
  <c r="AA32" i="34" s="1"/>
  <c r="J36" i="34"/>
  <c r="I36" i="34"/>
  <c r="K36" i="34" s="1"/>
  <c r="H36" i="34"/>
  <c r="AB30" i="34" s="1"/>
  <c r="G36" i="34"/>
  <c r="AA30" i="34" s="1"/>
  <c r="F36" i="34"/>
  <c r="AB29" i="34" s="1"/>
  <c r="E36" i="34"/>
  <c r="H35" i="34"/>
  <c r="G35" i="34"/>
  <c r="F35" i="34"/>
  <c r="AB26" i="34" s="1"/>
  <c r="E35" i="34"/>
  <c r="AA26" i="34" s="1"/>
  <c r="J34" i="34"/>
  <c r="H34" i="34"/>
  <c r="AB24" i="34" s="1"/>
  <c r="G34" i="34"/>
  <c r="F34" i="34"/>
  <c r="AB23" i="34" s="1"/>
  <c r="E34" i="34"/>
  <c r="H33" i="34"/>
  <c r="G33" i="34"/>
  <c r="F33" i="34"/>
  <c r="AB20" i="34" s="1"/>
  <c r="E33" i="34"/>
  <c r="AB32" i="34"/>
  <c r="H32" i="34"/>
  <c r="G32" i="34"/>
  <c r="F32" i="34"/>
  <c r="D10" i="35" s="1"/>
  <c r="E32" i="34"/>
  <c r="I31" i="34"/>
  <c r="H31" i="34"/>
  <c r="G31" i="34"/>
  <c r="AA15" i="34" s="1"/>
  <c r="F31" i="34"/>
  <c r="D9" i="35" s="1"/>
  <c r="E31" i="34"/>
  <c r="H30" i="34"/>
  <c r="G30" i="34"/>
  <c r="F30" i="34"/>
  <c r="D8" i="35" s="1"/>
  <c r="E30" i="34"/>
  <c r="AA11" i="34" s="1"/>
  <c r="AA29" i="34"/>
  <c r="H29" i="34"/>
  <c r="F7" i="35" s="1"/>
  <c r="G29" i="34"/>
  <c r="F29" i="34"/>
  <c r="D7" i="35" s="1"/>
  <c r="E29" i="34"/>
  <c r="H28" i="34"/>
  <c r="G28" i="34"/>
  <c r="AA6" i="34" s="1"/>
  <c r="F28" i="34"/>
  <c r="E28" i="34"/>
  <c r="AA23" i="34"/>
  <c r="G23" i="34"/>
  <c r="F23" i="34"/>
  <c r="G22" i="34"/>
  <c r="F22" i="34"/>
  <c r="G21" i="34"/>
  <c r="F21" i="34"/>
  <c r="G20" i="34"/>
  <c r="F20" i="34"/>
  <c r="G19" i="34"/>
  <c r="F19" i="34"/>
  <c r="G18" i="34"/>
  <c r="E193" i="35" s="1"/>
  <c r="F18" i="34"/>
  <c r="G17" i="34"/>
  <c r="F17" i="34"/>
  <c r="G16" i="34"/>
  <c r="E177" i="35" s="1"/>
  <c r="A203" i="35" s="1"/>
  <c r="F16" i="34"/>
  <c r="G15" i="34"/>
  <c r="E187" i="35" s="1"/>
  <c r="G187" i="35" s="1"/>
  <c r="F15" i="34"/>
  <c r="E174" i="35" s="1"/>
  <c r="AB14" i="34"/>
  <c r="AA14" i="34"/>
  <c r="G14" i="34"/>
  <c r="E173" i="35" s="1"/>
  <c r="A199" i="35" s="1"/>
  <c r="F14" i="34"/>
  <c r="AA12" i="34"/>
  <c r="AB11" i="34"/>
  <c r="AB9" i="34"/>
  <c r="AA9" i="34"/>
  <c r="D6" i="34"/>
  <c r="B6" i="34"/>
  <c r="E3" i="34"/>
  <c r="B3" i="34"/>
  <c r="H231" i="33"/>
  <c r="H230" i="33"/>
  <c r="H229" i="33"/>
  <c r="H223" i="33"/>
  <c r="H220" i="33"/>
  <c r="H215" i="33"/>
  <c r="L146" i="33"/>
  <c r="E135" i="33"/>
  <c r="L147" i="33" s="1"/>
  <c r="E132" i="33"/>
  <c r="G132" i="33" s="1"/>
  <c r="E129" i="33"/>
  <c r="F129" i="33" s="1"/>
  <c r="E125" i="33"/>
  <c r="A147" i="33" s="1"/>
  <c r="E124" i="33"/>
  <c r="A146" i="33" s="1"/>
  <c r="E119" i="33"/>
  <c r="A141" i="33" s="1"/>
  <c r="C89" i="33"/>
  <c r="F91" i="33" s="1"/>
  <c r="F76" i="33"/>
  <c r="E55" i="33"/>
  <c r="F59" i="33" s="1"/>
  <c r="C21" i="33"/>
  <c r="F23" i="33" s="1"/>
  <c r="F18" i="33"/>
  <c r="E18" i="33"/>
  <c r="D18" i="33"/>
  <c r="H237" i="33" s="1"/>
  <c r="C18" i="33"/>
  <c r="B89" i="33" s="1"/>
  <c r="F90" i="33" s="1"/>
  <c r="F17" i="33"/>
  <c r="E72" i="33" s="1"/>
  <c r="E17" i="33"/>
  <c r="D17" i="33"/>
  <c r="C72" i="33" s="1"/>
  <c r="F74" i="33" s="1"/>
  <c r="C17" i="33"/>
  <c r="B72" i="33" s="1"/>
  <c r="F16" i="33"/>
  <c r="E16" i="33"/>
  <c r="D16" i="33"/>
  <c r="C16" i="33"/>
  <c r="C247" i="33" s="1"/>
  <c r="F15" i="33"/>
  <c r="E38" i="33" s="1"/>
  <c r="F42" i="33" s="1"/>
  <c r="E15" i="33"/>
  <c r="D15" i="33"/>
  <c r="H213" i="33" s="1"/>
  <c r="C15" i="33"/>
  <c r="F14" i="33"/>
  <c r="H207" i="33" s="1"/>
  <c r="E14" i="33"/>
  <c r="D245" i="33" s="1"/>
  <c r="D14" i="33"/>
  <c r="H205" i="33" s="1"/>
  <c r="C14" i="33"/>
  <c r="M10" i="33"/>
  <c r="L10" i="33"/>
  <c r="F249" i="33" s="1"/>
  <c r="C10" i="33"/>
  <c r="M9" i="33"/>
  <c r="L9" i="33"/>
  <c r="D9" i="33"/>
  <c r="M8" i="33"/>
  <c r="L8" i="33"/>
  <c r="F247" i="33" s="1"/>
  <c r="M7" i="33"/>
  <c r="L7" i="33"/>
  <c r="M6" i="33"/>
  <c r="L6" i="33"/>
  <c r="F6" i="33"/>
  <c r="E3" i="33"/>
  <c r="B3" i="33"/>
  <c r="AA47" i="32"/>
  <c r="H42" i="32"/>
  <c r="J42" i="32" s="1"/>
  <c r="G42" i="32"/>
  <c r="F42" i="32"/>
  <c r="AB47" i="32" s="1"/>
  <c r="E42" i="32"/>
  <c r="AA41" i="32"/>
  <c r="L41" i="32"/>
  <c r="H41" i="32"/>
  <c r="G41" i="32"/>
  <c r="I41" i="32" s="1"/>
  <c r="K41" i="32" s="1"/>
  <c r="M41" i="32" s="1"/>
  <c r="F41" i="32"/>
  <c r="AB44" i="32" s="1"/>
  <c r="E41" i="32"/>
  <c r="AA44" i="32" s="1"/>
  <c r="J40" i="32"/>
  <c r="H40" i="32"/>
  <c r="AB42" i="32" s="1"/>
  <c r="G40" i="32"/>
  <c r="F40" i="32"/>
  <c r="AB41" i="32" s="1"/>
  <c r="E40" i="32"/>
  <c r="I39" i="32"/>
  <c r="K39" i="32" s="1"/>
  <c r="H39" i="32"/>
  <c r="J39" i="32" s="1"/>
  <c r="G39" i="32"/>
  <c r="AA39" i="32" s="1"/>
  <c r="F39" i="32"/>
  <c r="AB38" i="32" s="1"/>
  <c r="E39" i="32"/>
  <c r="AA38" i="32" s="1"/>
  <c r="H38" i="32"/>
  <c r="J38" i="32" s="1"/>
  <c r="G38" i="32"/>
  <c r="F38" i="32"/>
  <c r="AB35" i="32" s="1"/>
  <c r="E38" i="32"/>
  <c r="AA35" i="32" s="1"/>
  <c r="M37" i="32"/>
  <c r="L37" i="32"/>
  <c r="J37" i="32"/>
  <c r="I37" i="32"/>
  <c r="K37" i="32" s="1"/>
  <c r="H37" i="32"/>
  <c r="G37" i="32"/>
  <c r="F37" i="32"/>
  <c r="AB32" i="32" s="1"/>
  <c r="E37" i="32"/>
  <c r="AA32" i="32" s="1"/>
  <c r="AB36" i="32"/>
  <c r="H36" i="32"/>
  <c r="J36" i="32" s="1"/>
  <c r="G36" i="32"/>
  <c r="F36" i="32"/>
  <c r="AB29" i="32" s="1"/>
  <c r="E36" i="32"/>
  <c r="AA29" i="32" s="1"/>
  <c r="H35" i="32"/>
  <c r="AB27" i="32" s="1"/>
  <c r="G35" i="32"/>
  <c r="F35" i="32"/>
  <c r="E35" i="32"/>
  <c r="AA26" i="32" s="1"/>
  <c r="H34" i="32"/>
  <c r="G34" i="32"/>
  <c r="I34" i="32" s="1"/>
  <c r="K34" i="32" s="1"/>
  <c r="F34" i="32"/>
  <c r="AB23" i="32" s="1"/>
  <c r="E34" i="32"/>
  <c r="AA23" i="32" s="1"/>
  <c r="AB33" i="32"/>
  <c r="AA33" i="32"/>
  <c r="I33" i="32"/>
  <c r="K33" i="32" s="1"/>
  <c r="M33" i="32" s="1"/>
  <c r="H33" i="32"/>
  <c r="G33" i="32"/>
  <c r="AA21" i="32" s="1"/>
  <c r="F33" i="32"/>
  <c r="AB20" i="32" s="1"/>
  <c r="E33" i="32"/>
  <c r="AA20" i="32" s="1"/>
  <c r="H32" i="32"/>
  <c r="G32" i="32"/>
  <c r="F32" i="32"/>
  <c r="D10" i="33" s="1"/>
  <c r="E32" i="32"/>
  <c r="H31" i="32"/>
  <c r="AB15" i="32" s="1"/>
  <c r="G31" i="32"/>
  <c r="F31" i="32"/>
  <c r="E31" i="32"/>
  <c r="AB30" i="32"/>
  <c r="H30" i="32"/>
  <c r="G30" i="32"/>
  <c r="E8" i="33" s="1"/>
  <c r="F30" i="32"/>
  <c r="E30" i="32"/>
  <c r="H29" i="32"/>
  <c r="F7" i="33" s="1"/>
  <c r="G29" i="32"/>
  <c r="E7" i="33" s="1"/>
  <c r="F29" i="32"/>
  <c r="E29" i="32"/>
  <c r="H28" i="32"/>
  <c r="AB6" i="32" s="1"/>
  <c r="G28" i="32"/>
  <c r="F28" i="32"/>
  <c r="D6" i="33" s="1"/>
  <c r="E28" i="32"/>
  <c r="C6" i="33" s="1"/>
  <c r="AB26" i="32"/>
  <c r="AA24" i="32"/>
  <c r="G23" i="32"/>
  <c r="F23" i="32"/>
  <c r="G22" i="32"/>
  <c r="F22" i="32"/>
  <c r="G21" i="32"/>
  <c r="F21" i="32"/>
  <c r="G20" i="32"/>
  <c r="F20" i="32"/>
  <c r="G19" i="32"/>
  <c r="F19" i="32"/>
  <c r="G18" i="32"/>
  <c r="F18" i="32"/>
  <c r="AB17" i="32"/>
  <c r="AA17" i="32"/>
  <c r="G17" i="32"/>
  <c r="F17" i="32"/>
  <c r="E134" i="33" s="1"/>
  <c r="G134" i="33" s="1"/>
  <c r="G16" i="32"/>
  <c r="F16" i="32"/>
  <c r="E122" i="33" s="1"/>
  <c r="A144" i="33" s="1"/>
  <c r="G15" i="32"/>
  <c r="F15" i="32"/>
  <c r="AB14" i="32"/>
  <c r="G14" i="32"/>
  <c r="F14" i="32"/>
  <c r="E128" i="33" s="1"/>
  <c r="AA12" i="32"/>
  <c r="AB9" i="32"/>
  <c r="AA9" i="32"/>
  <c r="D6" i="32"/>
  <c r="B6" i="32"/>
  <c r="E3" i="32"/>
  <c r="B3" i="32"/>
  <c r="H237" i="31"/>
  <c r="H236" i="31"/>
  <c r="H231" i="31"/>
  <c r="H229" i="31"/>
  <c r="H222" i="31"/>
  <c r="H215" i="31"/>
  <c r="H205" i="31"/>
  <c r="H204" i="31"/>
  <c r="L147" i="31"/>
  <c r="G133" i="31"/>
  <c r="E123" i="31"/>
  <c r="A145" i="31" s="1"/>
  <c r="E120" i="31"/>
  <c r="A142" i="31" s="1"/>
  <c r="C89" i="31"/>
  <c r="F91" i="31" s="1"/>
  <c r="B89" i="31"/>
  <c r="C55" i="31"/>
  <c r="F57" i="31" s="1"/>
  <c r="D38" i="31"/>
  <c r="F41" i="31" s="1"/>
  <c r="C38" i="31"/>
  <c r="F40" i="31" s="1"/>
  <c r="C21" i="31"/>
  <c r="F23" i="31" s="1"/>
  <c r="F18" i="31"/>
  <c r="E18" i="31"/>
  <c r="D18" i="31"/>
  <c r="C18" i="31"/>
  <c r="C249" i="31" s="1"/>
  <c r="F17" i="31"/>
  <c r="E72" i="31" s="1"/>
  <c r="F76" i="31" s="1"/>
  <c r="E17" i="31"/>
  <c r="D17" i="31"/>
  <c r="C72" i="31" s="1"/>
  <c r="F74" i="31" s="1"/>
  <c r="C17" i="31"/>
  <c r="H228" i="31" s="1"/>
  <c r="F16" i="31"/>
  <c r="E16" i="31"/>
  <c r="D55" i="31" s="1"/>
  <c r="F58" i="31" s="1"/>
  <c r="D16" i="31"/>
  <c r="H221" i="31" s="1"/>
  <c r="C16" i="31"/>
  <c r="F15" i="31"/>
  <c r="E38" i="31" s="1"/>
  <c r="F42" i="31" s="1"/>
  <c r="E15" i="31"/>
  <c r="D15" i="31"/>
  <c r="H213" i="31" s="1"/>
  <c r="C15" i="31"/>
  <c r="F14" i="31"/>
  <c r="H207" i="31" s="1"/>
  <c r="E14" i="31"/>
  <c r="D14" i="31"/>
  <c r="C14" i="31"/>
  <c r="M10" i="31"/>
  <c r="L10" i="31"/>
  <c r="M9" i="31"/>
  <c r="L9" i="31"/>
  <c r="F248" i="31" s="1"/>
  <c r="E9" i="31"/>
  <c r="M8" i="31"/>
  <c r="L8" i="31"/>
  <c r="E8" i="31"/>
  <c r="D8" i="31"/>
  <c r="M7" i="31"/>
  <c r="L7" i="31"/>
  <c r="F246" i="31" s="1"/>
  <c r="M6" i="31"/>
  <c r="L6" i="31"/>
  <c r="D6" i="31"/>
  <c r="E3" i="31"/>
  <c r="B3" i="31"/>
  <c r="AB45" i="30"/>
  <c r="AB44" i="30"/>
  <c r="AB42" i="30"/>
  <c r="I42" i="30"/>
  <c r="K42" i="30" s="1"/>
  <c r="H42" i="30"/>
  <c r="G42" i="30"/>
  <c r="AA48" i="30" s="1"/>
  <c r="F42" i="30"/>
  <c r="AB47" i="30" s="1"/>
  <c r="E42" i="30"/>
  <c r="AA47" i="30" s="1"/>
  <c r="H41" i="30"/>
  <c r="J41" i="30" s="1"/>
  <c r="G41" i="30"/>
  <c r="I41" i="30" s="1"/>
  <c r="K41" i="30" s="1"/>
  <c r="F41" i="30"/>
  <c r="E41" i="30"/>
  <c r="AA44" i="30" s="1"/>
  <c r="H40" i="30"/>
  <c r="J40" i="30" s="1"/>
  <c r="G40" i="30"/>
  <c r="F40" i="30"/>
  <c r="AB41" i="30" s="1"/>
  <c r="E40" i="30"/>
  <c r="AA41" i="30" s="1"/>
  <c r="AB39" i="30"/>
  <c r="AA39" i="30"/>
  <c r="M39" i="30"/>
  <c r="J39" i="30"/>
  <c r="I39" i="30"/>
  <c r="K39" i="30" s="1"/>
  <c r="L39" i="30" s="1"/>
  <c r="H39" i="30"/>
  <c r="G39" i="30"/>
  <c r="F39" i="30"/>
  <c r="AB38" i="30" s="1"/>
  <c r="E39" i="30"/>
  <c r="AA38" i="30"/>
  <c r="H38" i="30"/>
  <c r="AB36" i="30" s="1"/>
  <c r="G38" i="30"/>
  <c r="F38" i="30"/>
  <c r="AB35" i="30" s="1"/>
  <c r="E38" i="30"/>
  <c r="AA35" i="30" s="1"/>
  <c r="H37" i="30"/>
  <c r="G37" i="30"/>
  <c r="F37" i="30"/>
  <c r="AB32" i="30" s="1"/>
  <c r="E37" i="30"/>
  <c r="AA32" i="30" s="1"/>
  <c r="H36" i="30"/>
  <c r="G36" i="30"/>
  <c r="I36" i="30" s="1"/>
  <c r="K36" i="30" s="1"/>
  <c r="F36" i="30"/>
  <c r="AB29" i="30" s="1"/>
  <c r="E36" i="30"/>
  <c r="J35" i="30"/>
  <c r="H35" i="30"/>
  <c r="AB27" i="30" s="1"/>
  <c r="G35" i="30"/>
  <c r="I35" i="30" s="1"/>
  <c r="K35" i="30" s="1"/>
  <c r="F35" i="30"/>
  <c r="E35" i="30"/>
  <c r="AA26" i="30" s="1"/>
  <c r="H34" i="30"/>
  <c r="J34" i="30" s="1"/>
  <c r="G34" i="30"/>
  <c r="F34" i="30"/>
  <c r="AB23" i="30" s="1"/>
  <c r="E34" i="30"/>
  <c r="AA23" i="30" s="1"/>
  <c r="H33" i="30"/>
  <c r="G33" i="30"/>
  <c r="I33" i="30" s="1"/>
  <c r="K33" i="30" s="1"/>
  <c r="F33" i="30"/>
  <c r="AB20" i="30" s="1"/>
  <c r="E33" i="30"/>
  <c r="AA20" i="30" s="1"/>
  <c r="H32" i="30"/>
  <c r="F10" i="31" s="1"/>
  <c r="H10" i="31" s="1"/>
  <c r="G32" i="30"/>
  <c r="F32" i="30"/>
  <c r="D10" i="31" s="1"/>
  <c r="E32" i="30"/>
  <c r="H31" i="30"/>
  <c r="G31" i="30"/>
  <c r="F31" i="30"/>
  <c r="D9" i="31" s="1"/>
  <c r="E31" i="30"/>
  <c r="H30" i="30"/>
  <c r="G30" i="30"/>
  <c r="F30" i="30"/>
  <c r="E30" i="30"/>
  <c r="AA29" i="30"/>
  <c r="H29" i="30"/>
  <c r="AB9" i="30" s="1"/>
  <c r="G29" i="30"/>
  <c r="F29" i="30"/>
  <c r="E29" i="30"/>
  <c r="H28" i="30"/>
  <c r="G28" i="30"/>
  <c r="I28" i="30" s="1"/>
  <c r="F28" i="30"/>
  <c r="E28" i="30"/>
  <c r="AA5" i="30" s="1"/>
  <c r="AA27" i="30"/>
  <c r="AB26" i="30"/>
  <c r="G23" i="30"/>
  <c r="F23" i="30"/>
  <c r="G22" i="30"/>
  <c r="F22" i="30"/>
  <c r="AA21" i="30"/>
  <c r="G21" i="30"/>
  <c r="F21" i="30"/>
  <c r="G20" i="30"/>
  <c r="F20" i="30"/>
  <c r="G19" i="30"/>
  <c r="F19" i="30"/>
  <c r="AB18" i="30"/>
  <c r="G18" i="30"/>
  <c r="F18" i="30"/>
  <c r="AB17" i="30"/>
  <c r="G17" i="30"/>
  <c r="E135" i="31" s="1"/>
  <c r="F17" i="30"/>
  <c r="G16" i="30"/>
  <c r="E133" i="31" s="1"/>
  <c r="F16" i="30"/>
  <c r="E132" i="31" s="1"/>
  <c r="G132" i="31" s="1"/>
  <c r="AA15" i="30"/>
  <c r="G15" i="30"/>
  <c r="F15" i="30"/>
  <c r="E130" i="31" s="1"/>
  <c r="G130" i="31" s="1"/>
  <c r="G14" i="30"/>
  <c r="F14" i="30"/>
  <c r="E118" i="31" s="1"/>
  <c r="A140" i="31" s="1"/>
  <c r="D6" i="30"/>
  <c r="B6" i="30"/>
  <c r="AB5" i="30"/>
  <c r="E3" i="30"/>
  <c r="B3" i="30"/>
  <c r="D247" i="29"/>
  <c r="F245" i="29"/>
  <c r="D245" i="29"/>
  <c r="H238" i="29"/>
  <c r="H222" i="29"/>
  <c r="H213" i="29"/>
  <c r="H207" i="29"/>
  <c r="H205" i="29"/>
  <c r="A143" i="29"/>
  <c r="E131" i="29"/>
  <c r="G130" i="29"/>
  <c r="E89" i="29"/>
  <c r="F93" i="29" s="1"/>
  <c r="B89" i="29"/>
  <c r="F90" i="29" s="1"/>
  <c r="C72" i="29"/>
  <c r="F74" i="29" s="1"/>
  <c r="B72" i="29"/>
  <c r="D55" i="29"/>
  <c r="F58" i="29" s="1"/>
  <c r="C38" i="29"/>
  <c r="F40" i="29" s="1"/>
  <c r="B38" i="29"/>
  <c r="F18" i="29"/>
  <c r="H239" i="29" s="1"/>
  <c r="E18" i="29"/>
  <c r="D18" i="29"/>
  <c r="H237" i="29" s="1"/>
  <c r="C18" i="29"/>
  <c r="H236" i="29" s="1"/>
  <c r="F17" i="29"/>
  <c r="H231" i="29" s="1"/>
  <c r="E17" i="29"/>
  <c r="H230" i="29" s="1"/>
  <c r="D17" i="29"/>
  <c r="H229" i="29" s="1"/>
  <c r="C17" i="29"/>
  <c r="F16" i="29"/>
  <c r="E16" i="29"/>
  <c r="D16" i="29"/>
  <c r="H221" i="29" s="1"/>
  <c r="C16" i="29"/>
  <c r="F15" i="29"/>
  <c r="E15" i="29"/>
  <c r="D15" i="29"/>
  <c r="C15" i="29"/>
  <c r="H212" i="29" s="1"/>
  <c r="F14" i="29"/>
  <c r="E21" i="29" s="1"/>
  <c r="F25" i="29" s="1"/>
  <c r="E14" i="29"/>
  <c r="H206" i="29" s="1"/>
  <c r="D14" i="29"/>
  <c r="C21" i="29" s="1"/>
  <c r="F23" i="29" s="1"/>
  <c r="C14" i="29"/>
  <c r="M10" i="29"/>
  <c r="L10" i="29"/>
  <c r="F249" i="29" s="1"/>
  <c r="F10" i="29"/>
  <c r="M9" i="29"/>
  <c r="L9" i="29"/>
  <c r="F248" i="29" s="1"/>
  <c r="M8" i="29"/>
  <c r="L8" i="29"/>
  <c r="F247" i="29" s="1"/>
  <c r="D8" i="29"/>
  <c r="C8" i="29"/>
  <c r="M7" i="29"/>
  <c r="L7" i="29"/>
  <c r="F246" i="29" s="1"/>
  <c r="M6" i="29"/>
  <c r="L6" i="29"/>
  <c r="E3" i="29"/>
  <c r="B3" i="29"/>
  <c r="AB48" i="28"/>
  <c r="AB42" i="28"/>
  <c r="J42" i="28"/>
  <c r="I42" i="28"/>
  <c r="K42" i="28" s="1"/>
  <c r="M42" i="28" s="1"/>
  <c r="H42" i="28"/>
  <c r="G42" i="28"/>
  <c r="AA48" i="28" s="1"/>
  <c r="F42" i="28"/>
  <c r="AB47" i="28" s="1"/>
  <c r="E42" i="28"/>
  <c r="AA47" i="28" s="1"/>
  <c r="J41" i="28"/>
  <c r="H41" i="28"/>
  <c r="AB45" i="28" s="1"/>
  <c r="G41" i="28"/>
  <c r="F41" i="28"/>
  <c r="AB44" i="28" s="1"/>
  <c r="E41" i="28"/>
  <c r="AA44" i="28" s="1"/>
  <c r="K40" i="28"/>
  <c r="H40" i="28"/>
  <c r="J40" i="28" s="1"/>
  <c r="G40" i="28"/>
  <c r="I40" i="28" s="1"/>
  <c r="F40" i="28"/>
  <c r="AB41" i="28" s="1"/>
  <c r="E40" i="28"/>
  <c r="AA41" i="28" s="1"/>
  <c r="AA39" i="28"/>
  <c r="I39" i="28"/>
  <c r="K39" i="28" s="1"/>
  <c r="L39" i="28" s="1"/>
  <c r="H39" i="28"/>
  <c r="AB39" i="28" s="1"/>
  <c r="G39" i="28"/>
  <c r="F39" i="28"/>
  <c r="AB38" i="28" s="1"/>
  <c r="E39" i="28"/>
  <c r="AA38" i="28"/>
  <c r="H38" i="28"/>
  <c r="G38" i="28"/>
  <c r="I38" i="28" s="1"/>
  <c r="K38" i="28" s="1"/>
  <c r="F38" i="28"/>
  <c r="E38" i="28"/>
  <c r="AA35" i="28" s="1"/>
  <c r="H37" i="28"/>
  <c r="G37" i="28"/>
  <c r="I37" i="28" s="1"/>
  <c r="K37" i="28" s="1"/>
  <c r="F37" i="28"/>
  <c r="AB32" i="28" s="1"/>
  <c r="E37" i="28"/>
  <c r="H36" i="28"/>
  <c r="G36" i="28"/>
  <c r="F36" i="28"/>
  <c r="AB29" i="28" s="1"/>
  <c r="E36" i="28"/>
  <c r="AA29" i="28" s="1"/>
  <c r="AB35" i="28"/>
  <c r="H35" i="28"/>
  <c r="J35" i="28" s="1"/>
  <c r="G35" i="28"/>
  <c r="F35" i="28"/>
  <c r="AB26" i="28" s="1"/>
  <c r="E35" i="28"/>
  <c r="H34" i="28"/>
  <c r="G34" i="28"/>
  <c r="F34" i="28"/>
  <c r="E34" i="28"/>
  <c r="AA23" i="28" s="1"/>
  <c r="J33" i="28"/>
  <c r="I33" i="28"/>
  <c r="K33" i="28" s="1"/>
  <c r="H33" i="28"/>
  <c r="AB21" i="28" s="1"/>
  <c r="G33" i="28"/>
  <c r="F33" i="28"/>
  <c r="AB20" i="28" s="1"/>
  <c r="E33" i="28"/>
  <c r="AA32" i="28"/>
  <c r="H32" i="28"/>
  <c r="G32" i="28"/>
  <c r="E10" i="29" s="1"/>
  <c r="F32" i="28"/>
  <c r="J32" i="28" s="1"/>
  <c r="E32" i="28"/>
  <c r="AA17" i="28" s="1"/>
  <c r="H31" i="28"/>
  <c r="AB15" i="28" s="1"/>
  <c r="G31" i="28"/>
  <c r="AA15" i="28" s="1"/>
  <c r="F31" i="28"/>
  <c r="J31" i="28" s="1"/>
  <c r="E31" i="28"/>
  <c r="H30" i="28"/>
  <c r="G30" i="28"/>
  <c r="E8" i="29" s="1"/>
  <c r="F30" i="28"/>
  <c r="AB11" i="28" s="1"/>
  <c r="E30" i="28"/>
  <c r="AA11" i="28" s="1"/>
  <c r="H29" i="28"/>
  <c r="AB9" i="28" s="1"/>
  <c r="G29" i="28"/>
  <c r="E7" i="29" s="1"/>
  <c r="F29" i="28"/>
  <c r="D7" i="29" s="1"/>
  <c r="E29" i="28"/>
  <c r="C7" i="29" s="1"/>
  <c r="G7" i="29" s="1"/>
  <c r="H28" i="28"/>
  <c r="F6" i="29" s="1"/>
  <c r="G28" i="28"/>
  <c r="E6" i="29" s="1"/>
  <c r="F28" i="28"/>
  <c r="E28" i="28"/>
  <c r="AB27" i="28"/>
  <c r="AA26" i="28"/>
  <c r="AB23" i="28"/>
  <c r="G23" i="28"/>
  <c r="F23" i="28"/>
  <c r="G22" i="28"/>
  <c r="F22" i="28"/>
  <c r="AA21" i="28"/>
  <c r="G21" i="28"/>
  <c r="F21" i="28"/>
  <c r="AA20" i="28"/>
  <c r="G20" i="28"/>
  <c r="F20" i="28"/>
  <c r="G19" i="28"/>
  <c r="F19" i="28"/>
  <c r="AB18" i="28"/>
  <c r="G18" i="28"/>
  <c r="F18" i="28"/>
  <c r="G17" i="28"/>
  <c r="F17" i="28"/>
  <c r="G16" i="28"/>
  <c r="F16" i="28"/>
  <c r="G15" i="28"/>
  <c r="E121" i="29" s="1"/>
  <c r="F15" i="28"/>
  <c r="E130" i="29" s="1"/>
  <c r="G14" i="28"/>
  <c r="E119" i="29" s="1"/>
  <c r="A141" i="29" s="1"/>
  <c r="F14" i="28"/>
  <c r="AB12" i="28"/>
  <c r="AA9" i="28"/>
  <c r="AB8" i="28"/>
  <c r="D6" i="28"/>
  <c r="B6" i="28"/>
  <c r="E3" i="28"/>
  <c r="B3" i="28"/>
  <c r="F247" i="27"/>
  <c r="D247" i="27"/>
  <c r="H237" i="27"/>
  <c r="H236" i="27"/>
  <c r="H230" i="27"/>
  <c r="H220" i="27"/>
  <c r="H215" i="27"/>
  <c r="H212" i="27"/>
  <c r="E131" i="27"/>
  <c r="F131" i="27" s="1"/>
  <c r="B72" i="27"/>
  <c r="C55" i="27"/>
  <c r="F57" i="27" s="1"/>
  <c r="B55" i="27"/>
  <c r="E38" i="27"/>
  <c r="F42" i="27" s="1"/>
  <c r="C38" i="27"/>
  <c r="F40" i="27" s="1"/>
  <c r="F18" i="27"/>
  <c r="E18" i="27"/>
  <c r="D18" i="27"/>
  <c r="C89" i="27" s="1"/>
  <c r="F91" i="27" s="1"/>
  <c r="C18" i="27"/>
  <c r="B89" i="27" s="1"/>
  <c r="F17" i="27"/>
  <c r="E17" i="27"/>
  <c r="D248" i="27" s="1"/>
  <c r="D17" i="27"/>
  <c r="C17" i="27"/>
  <c r="F16" i="27"/>
  <c r="E16" i="27"/>
  <c r="H222" i="27" s="1"/>
  <c r="D16" i="27"/>
  <c r="H221" i="27" s="1"/>
  <c r="C16" i="27"/>
  <c r="C247" i="27" s="1"/>
  <c r="F15" i="27"/>
  <c r="E15" i="27"/>
  <c r="D15" i="27"/>
  <c r="H213" i="27" s="1"/>
  <c r="C15" i="27"/>
  <c r="F14" i="27"/>
  <c r="H207" i="27" s="1"/>
  <c r="E14" i="27"/>
  <c r="D21" i="27" s="1"/>
  <c r="F24" i="27" s="1"/>
  <c r="D14" i="27"/>
  <c r="C14" i="27"/>
  <c r="M10" i="27"/>
  <c r="L10" i="27"/>
  <c r="F249" i="27" s="1"/>
  <c r="C10" i="27"/>
  <c r="M9" i="27"/>
  <c r="L9" i="27"/>
  <c r="F248" i="27" s="1"/>
  <c r="C9" i="27"/>
  <c r="M8" i="27"/>
  <c r="L8" i="27"/>
  <c r="E8" i="27"/>
  <c r="D8" i="27"/>
  <c r="C8" i="27"/>
  <c r="M7" i="27"/>
  <c r="L7" i="27"/>
  <c r="M6" i="27"/>
  <c r="L6" i="27"/>
  <c r="E3" i="27"/>
  <c r="B3" i="27"/>
  <c r="AB48" i="26"/>
  <c r="AA47" i="26"/>
  <c r="AB42" i="26"/>
  <c r="H42" i="26"/>
  <c r="J42" i="26" s="1"/>
  <c r="G42" i="26"/>
  <c r="I42" i="26" s="1"/>
  <c r="K42" i="26" s="1"/>
  <c r="F42" i="26"/>
  <c r="AB47" i="26" s="1"/>
  <c r="E42" i="26"/>
  <c r="AA41" i="26"/>
  <c r="H41" i="26"/>
  <c r="J41" i="26" s="1"/>
  <c r="G41" i="26"/>
  <c r="F41" i="26"/>
  <c r="AB44" i="26" s="1"/>
  <c r="E41" i="26"/>
  <c r="AA44" i="26" s="1"/>
  <c r="J40" i="26"/>
  <c r="H40" i="26"/>
  <c r="G40" i="26"/>
  <c r="F40" i="26"/>
  <c r="AB41" i="26" s="1"/>
  <c r="E40" i="26"/>
  <c r="I39" i="26"/>
  <c r="K39" i="26" s="1"/>
  <c r="H39" i="26"/>
  <c r="G39" i="26"/>
  <c r="AA39" i="26" s="1"/>
  <c r="F39" i="26"/>
  <c r="E39" i="26"/>
  <c r="AA38" i="26" s="1"/>
  <c r="AB38" i="26"/>
  <c r="H38" i="26"/>
  <c r="AB36" i="26" s="1"/>
  <c r="G38" i="26"/>
  <c r="F38" i="26"/>
  <c r="AB35" i="26" s="1"/>
  <c r="E38" i="26"/>
  <c r="AA35" i="26" s="1"/>
  <c r="H37" i="26"/>
  <c r="J37" i="26" s="1"/>
  <c r="G37" i="26"/>
  <c r="I37" i="26" s="1"/>
  <c r="K37" i="26" s="1"/>
  <c r="F37" i="26"/>
  <c r="E37" i="26"/>
  <c r="AA32" i="26" s="1"/>
  <c r="I36" i="26"/>
  <c r="K36" i="26" s="1"/>
  <c r="H36" i="26"/>
  <c r="G36" i="26"/>
  <c r="F36" i="26"/>
  <c r="AB29" i="26" s="1"/>
  <c r="E36" i="26"/>
  <c r="H35" i="26"/>
  <c r="AB27" i="26" s="1"/>
  <c r="G35" i="26"/>
  <c r="AA27" i="26" s="1"/>
  <c r="F35" i="26"/>
  <c r="AB26" i="26" s="1"/>
  <c r="E35" i="26"/>
  <c r="AA26" i="26" s="1"/>
  <c r="H34" i="26"/>
  <c r="J34" i="26" s="1"/>
  <c r="G34" i="26"/>
  <c r="I34" i="26" s="1"/>
  <c r="K34" i="26" s="1"/>
  <c r="F34" i="26"/>
  <c r="E34" i="26"/>
  <c r="K33" i="26"/>
  <c r="M33" i="26" s="1"/>
  <c r="H33" i="26"/>
  <c r="J33" i="26" s="1"/>
  <c r="G33" i="26"/>
  <c r="I33" i="26" s="1"/>
  <c r="F33" i="26"/>
  <c r="AB20" i="26" s="1"/>
  <c r="E33" i="26"/>
  <c r="AA20" i="26" s="1"/>
  <c r="AB32" i="26"/>
  <c r="H32" i="26"/>
  <c r="G32" i="26"/>
  <c r="F32" i="26"/>
  <c r="E32" i="26"/>
  <c r="AA17" i="26" s="1"/>
  <c r="H31" i="26"/>
  <c r="G31" i="26"/>
  <c r="AA15" i="26" s="1"/>
  <c r="F31" i="26"/>
  <c r="AB14" i="26" s="1"/>
  <c r="E31" i="26"/>
  <c r="AA30" i="26"/>
  <c r="H30" i="26"/>
  <c r="G30" i="26"/>
  <c r="AA12" i="26" s="1"/>
  <c r="F30" i="26"/>
  <c r="AB11" i="26" s="1"/>
  <c r="E30" i="26"/>
  <c r="AA11" i="26" s="1"/>
  <c r="AA29" i="26"/>
  <c r="H29" i="26"/>
  <c r="F7" i="27" s="1"/>
  <c r="G29" i="26"/>
  <c r="F29" i="26"/>
  <c r="E29" i="26"/>
  <c r="C7" i="27" s="1"/>
  <c r="H28" i="26"/>
  <c r="F6" i="27" s="1"/>
  <c r="G28" i="26"/>
  <c r="F28" i="26"/>
  <c r="D6" i="27" s="1"/>
  <c r="E28" i="26"/>
  <c r="AB24" i="26"/>
  <c r="AA24" i="26"/>
  <c r="AB23" i="26"/>
  <c r="AA23" i="26"/>
  <c r="G23" i="26"/>
  <c r="F23" i="26"/>
  <c r="G22" i="26"/>
  <c r="F22" i="26"/>
  <c r="AA21" i="26"/>
  <c r="G21" i="26"/>
  <c r="F21" i="26"/>
  <c r="G20" i="26"/>
  <c r="F20" i="26"/>
  <c r="G19" i="26"/>
  <c r="F19" i="26"/>
  <c r="AA18" i="26"/>
  <c r="G18" i="26"/>
  <c r="F18" i="26"/>
  <c r="G17" i="26"/>
  <c r="E125" i="27" s="1"/>
  <c r="A147" i="27" s="1"/>
  <c r="F17" i="26"/>
  <c r="G16" i="26"/>
  <c r="F16" i="26"/>
  <c r="G15" i="26"/>
  <c r="E121" i="27" s="1"/>
  <c r="A143" i="27" s="1"/>
  <c r="F15" i="26"/>
  <c r="E120" i="27" s="1"/>
  <c r="A142" i="27" s="1"/>
  <c r="AA14" i="26"/>
  <c r="G14" i="26"/>
  <c r="E129" i="27" s="1"/>
  <c r="F129" i="27" s="1"/>
  <c r="F14" i="26"/>
  <c r="AB9" i="26"/>
  <c r="AB8" i="26"/>
  <c r="AA8" i="26"/>
  <c r="D6" i="26"/>
  <c r="B6" i="26"/>
  <c r="E3" i="26"/>
  <c r="B3" i="26"/>
  <c r="F247" i="25"/>
  <c r="C246" i="25"/>
  <c r="H238" i="25"/>
  <c r="E118" i="25"/>
  <c r="A140" i="25" s="1"/>
  <c r="E72" i="25"/>
  <c r="F76" i="25" s="1"/>
  <c r="D72" i="25"/>
  <c r="F75" i="25" s="1"/>
  <c r="D55" i="25"/>
  <c r="F58" i="25" s="1"/>
  <c r="E38" i="25"/>
  <c r="F42" i="25" s="1"/>
  <c r="F18" i="25"/>
  <c r="E89" i="25" s="1"/>
  <c r="F93" i="25" s="1"/>
  <c r="E18" i="25"/>
  <c r="D89" i="25" s="1"/>
  <c r="F92" i="25" s="1"/>
  <c r="D18" i="25"/>
  <c r="C18" i="25"/>
  <c r="B89" i="25" s="1"/>
  <c r="F17" i="25"/>
  <c r="H231" i="25" s="1"/>
  <c r="E17" i="25"/>
  <c r="H230" i="25" s="1"/>
  <c r="D17" i="25"/>
  <c r="C17" i="25"/>
  <c r="F16" i="25"/>
  <c r="E16" i="25"/>
  <c r="D16" i="25"/>
  <c r="C16" i="25"/>
  <c r="B55" i="25" s="1"/>
  <c r="F56" i="25" s="1"/>
  <c r="F15" i="25"/>
  <c r="H215" i="25" s="1"/>
  <c r="E15" i="25"/>
  <c r="D15" i="25"/>
  <c r="H213" i="25" s="1"/>
  <c r="C15" i="25"/>
  <c r="H212" i="25" s="1"/>
  <c r="F14" i="25"/>
  <c r="E14" i="25"/>
  <c r="D14" i="25"/>
  <c r="C14" i="25"/>
  <c r="M10" i="25"/>
  <c r="L10" i="25"/>
  <c r="M9" i="25"/>
  <c r="L9" i="25"/>
  <c r="M8" i="25"/>
  <c r="L8" i="25"/>
  <c r="E8" i="25"/>
  <c r="D8" i="25"/>
  <c r="M7" i="25"/>
  <c r="L7" i="25"/>
  <c r="F246" i="25" s="1"/>
  <c r="F7" i="25"/>
  <c r="M6" i="25"/>
  <c r="L6" i="25"/>
  <c r="F245" i="25" s="1"/>
  <c r="E6" i="25"/>
  <c r="E3" i="25"/>
  <c r="B3" i="25"/>
  <c r="AB42" i="24"/>
  <c r="AA42" i="24"/>
  <c r="H42" i="24"/>
  <c r="G42" i="24"/>
  <c r="I42" i="24" s="1"/>
  <c r="K42" i="24" s="1"/>
  <c r="F42" i="24"/>
  <c r="AB47" i="24" s="1"/>
  <c r="E42" i="24"/>
  <c r="AA47" i="24" s="1"/>
  <c r="H41" i="24"/>
  <c r="J41" i="24" s="1"/>
  <c r="G41" i="24"/>
  <c r="I41" i="24" s="1"/>
  <c r="K41" i="24" s="1"/>
  <c r="F41" i="24"/>
  <c r="AB44" i="24" s="1"/>
  <c r="E41" i="24"/>
  <c r="AA44" i="24" s="1"/>
  <c r="H40" i="24"/>
  <c r="J40" i="24" s="1"/>
  <c r="G40" i="24"/>
  <c r="I40" i="24" s="1"/>
  <c r="K40" i="24" s="1"/>
  <c r="F40" i="24"/>
  <c r="AB41" i="24" s="1"/>
  <c r="E40" i="24"/>
  <c r="AA41" i="24" s="1"/>
  <c r="H39" i="24"/>
  <c r="AB39" i="24" s="1"/>
  <c r="G39" i="24"/>
  <c r="F39" i="24"/>
  <c r="E39" i="24"/>
  <c r="AA38" i="24" s="1"/>
  <c r="AB38" i="24"/>
  <c r="H38" i="24"/>
  <c r="J38" i="24" s="1"/>
  <c r="G38" i="24"/>
  <c r="I38" i="24" s="1"/>
  <c r="K38" i="24" s="1"/>
  <c r="F38" i="24"/>
  <c r="AB35" i="24" s="1"/>
  <c r="E38" i="24"/>
  <c r="AA35" i="24" s="1"/>
  <c r="H37" i="24"/>
  <c r="J37" i="24" s="1"/>
  <c r="G37" i="24"/>
  <c r="I37" i="24" s="1"/>
  <c r="K37" i="24" s="1"/>
  <c r="F37" i="24"/>
  <c r="AB32" i="24" s="1"/>
  <c r="E37" i="24"/>
  <c r="AA32" i="24" s="1"/>
  <c r="H36" i="24"/>
  <c r="J36" i="24" s="1"/>
  <c r="G36" i="24"/>
  <c r="F36" i="24"/>
  <c r="AB29" i="24" s="1"/>
  <c r="E36" i="24"/>
  <c r="AA29" i="24" s="1"/>
  <c r="I35" i="24"/>
  <c r="K35" i="24" s="1"/>
  <c r="H35" i="24"/>
  <c r="AB27" i="24" s="1"/>
  <c r="G35" i="24"/>
  <c r="F35" i="24"/>
  <c r="AB26" i="24" s="1"/>
  <c r="E35" i="24"/>
  <c r="AA26" i="24" s="1"/>
  <c r="H34" i="24"/>
  <c r="J34" i="24" s="1"/>
  <c r="G34" i="24"/>
  <c r="I34" i="24" s="1"/>
  <c r="K34" i="24" s="1"/>
  <c r="F34" i="24"/>
  <c r="E34" i="24"/>
  <c r="AA23" i="24" s="1"/>
  <c r="AA33" i="24"/>
  <c r="H33" i="24"/>
  <c r="G33" i="24"/>
  <c r="I33" i="24" s="1"/>
  <c r="K33" i="24" s="1"/>
  <c r="F33" i="24"/>
  <c r="AB20" i="24" s="1"/>
  <c r="E33" i="24"/>
  <c r="AA20" i="24" s="1"/>
  <c r="H32" i="24"/>
  <c r="G32" i="24"/>
  <c r="F32" i="24"/>
  <c r="E32" i="24"/>
  <c r="H31" i="24"/>
  <c r="G31" i="24"/>
  <c r="F31" i="24"/>
  <c r="D9" i="25" s="1"/>
  <c r="E31" i="24"/>
  <c r="C9" i="25" s="1"/>
  <c r="H30" i="24"/>
  <c r="F8" i="25" s="1"/>
  <c r="G30" i="24"/>
  <c r="AA12" i="24" s="1"/>
  <c r="F30" i="24"/>
  <c r="AB11" i="24" s="1"/>
  <c r="E30" i="24"/>
  <c r="H29" i="24"/>
  <c r="AB9" i="24" s="1"/>
  <c r="G29" i="24"/>
  <c r="E7" i="25" s="1"/>
  <c r="F29" i="24"/>
  <c r="E29" i="24"/>
  <c r="I28" i="24"/>
  <c r="H28" i="24"/>
  <c r="AB6" i="24" s="1"/>
  <c r="G28" i="24"/>
  <c r="AA6" i="24" s="1"/>
  <c r="F28" i="24"/>
  <c r="D6" i="25" s="1"/>
  <c r="E28" i="24"/>
  <c r="C6" i="25" s="1"/>
  <c r="G6" i="25" s="1"/>
  <c r="AA27" i="24"/>
  <c r="AB24" i="24"/>
  <c r="AB23" i="24"/>
  <c r="G23" i="24"/>
  <c r="F23" i="24"/>
  <c r="G22" i="24"/>
  <c r="F22" i="24"/>
  <c r="AA21" i="24"/>
  <c r="G21" i="24"/>
  <c r="F21" i="24"/>
  <c r="G20" i="24"/>
  <c r="F20" i="24"/>
  <c r="G19" i="24"/>
  <c r="F19" i="24"/>
  <c r="AB18" i="24"/>
  <c r="AA18" i="24"/>
  <c r="G18" i="24"/>
  <c r="F18" i="24"/>
  <c r="G17" i="24"/>
  <c r="F17" i="24"/>
  <c r="E134" i="25" s="1"/>
  <c r="G16" i="24"/>
  <c r="E123" i="25" s="1"/>
  <c r="A145" i="25" s="1"/>
  <c r="F16" i="24"/>
  <c r="AB15" i="24"/>
  <c r="G15" i="24"/>
  <c r="F15" i="24"/>
  <c r="E130" i="25" s="1"/>
  <c r="F130" i="25" s="1"/>
  <c r="AB14" i="24"/>
  <c r="AA14" i="24"/>
  <c r="G14" i="24"/>
  <c r="F14" i="24"/>
  <c r="D6" i="24"/>
  <c r="B6" i="24"/>
  <c r="E3" i="24"/>
  <c r="B3" i="24"/>
  <c r="D249" i="23"/>
  <c r="F247" i="23"/>
  <c r="C247" i="23"/>
  <c r="F246" i="23"/>
  <c r="D246" i="23"/>
  <c r="H215" i="23"/>
  <c r="E128" i="23"/>
  <c r="F128" i="23" s="1"/>
  <c r="E119" i="23"/>
  <c r="A141" i="23" s="1"/>
  <c r="F18" i="23"/>
  <c r="H239" i="23" s="1"/>
  <c r="E18" i="23"/>
  <c r="D18" i="23"/>
  <c r="C89" i="23" s="1"/>
  <c r="F91" i="23" s="1"/>
  <c r="C18" i="23"/>
  <c r="F17" i="23"/>
  <c r="E72" i="23" s="1"/>
  <c r="F76" i="23" s="1"/>
  <c r="E17" i="23"/>
  <c r="D17" i="23"/>
  <c r="C17" i="23"/>
  <c r="H228" i="23" s="1"/>
  <c r="F16" i="23"/>
  <c r="E16" i="23"/>
  <c r="D16" i="23"/>
  <c r="C55" i="23" s="1"/>
  <c r="F57" i="23" s="1"/>
  <c r="C16" i="23"/>
  <c r="H220" i="23" s="1"/>
  <c r="F15" i="23"/>
  <c r="E38" i="23" s="1"/>
  <c r="F42" i="23" s="1"/>
  <c r="E15" i="23"/>
  <c r="H214" i="23" s="1"/>
  <c r="D15" i="23"/>
  <c r="H213" i="23" s="1"/>
  <c r="C15" i="23"/>
  <c r="B38" i="23" s="1"/>
  <c r="F14" i="23"/>
  <c r="H207" i="23" s="1"/>
  <c r="E14" i="23"/>
  <c r="D14" i="23"/>
  <c r="C14" i="23"/>
  <c r="B21" i="23" s="1"/>
  <c r="M10" i="23"/>
  <c r="L10" i="23"/>
  <c r="M9" i="23"/>
  <c r="L9" i="23"/>
  <c r="D9" i="23"/>
  <c r="M8" i="23"/>
  <c r="L8" i="23"/>
  <c r="M7" i="23"/>
  <c r="L7" i="23"/>
  <c r="D7" i="23"/>
  <c r="C7" i="23"/>
  <c r="M6" i="23"/>
  <c r="L6" i="23"/>
  <c r="E3" i="23"/>
  <c r="B3" i="23"/>
  <c r="AB45" i="22"/>
  <c r="AA45" i="22"/>
  <c r="AB44" i="22"/>
  <c r="AA44" i="22"/>
  <c r="H42" i="22"/>
  <c r="J42" i="22" s="1"/>
  <c r="G42" i="22"/>
  <c r="I42" i="22" s="1"/>
  <c r="K42" i="22" s="1"/>
  <c r="F42" i="22"/>
  <c r="AB47" i="22" s="1"/>
  <c r="E42" i="22"/>
  <c r="AA47" i="22" s="1"/>
  <c r="AA41" i="22"/>
  <c r="J41" i="22"/>
  <c r="H41" i="22"/>
  <c r="G41" i="22"/>
  <c r="I41" i="22" s="1"/>
  <c r="K41" i="22" s="1"/>
  <c r="L41" i="22" s="1"/>
  <c r="F41" i="22"/>
  <c r="E41" i="22"/>
  <c r="H40" i="22"/>
  <c r="J40" i="22" s="1"/>
  <c r="G40" i="22"/>
  <c r="F40" i="22"/>
  <c r="AB41" i="22" s="1"/>
  <c r="E40" i="22"/>
  <c r="H39" i="22"/>
  <c r="G39" i="22"/>
  <c r="F39" i="22"/>
  <c r="AB38" i="22" s="1"/>
  <c r="E39" i="22"/>
  <c r="AA38" i="22" s="1"/>
  <c r="J38" i="22"/>
  <c r="H38" i="22"/>
  <c r="G38" i="22"/>
  <c r="I38" i="22" s="1"/>
  <c r="K38" i="22" s="1"/>
  <c r="F38" i="22"/>
  <c r="E38" i="22"/>
  <c r="AA35" i="22" s="1"/>
  <c r="H37" i="22"/>
  <c r="G37" i="22"/>
  <c r="AA33" i="22" s="1"/>
  <c r="F37" i="22"/>
  <c r="AB32" i="22" s="1"/>
  <c r="E37" i="22"/>
  <c r="AB36" i="22"/>
  <c r="AA36" i="22"/>
  <c r="M36" i="22"/>
  <c r="H36" i="22"/>
  <c r="AB30" i="22" s="1"/>
  <c r="G36" i="22"/>
  <c r="I36" i="22" s="1"/>
  <c r="K36" i="22" s="1"/>
  <c r="L36" i="22" s="1"/>
  <c r="F36" i="22"/>
  <c r="E36" i="22"/>
  <c r="AB35" i="22"/>
  <c r="H35" i="22"/>
  <c r="G35" i="22"/>
  <c r="AA27" i="22" s="1"/>
  <c r="F35" i="22"/>
  <c r="E35" i="22"/>
  <c r="H34" i="22"/>
  <c r="G34" i="22"/>
  <c r="I34" i="22" s="1"/>
  <c r="K34" i="22" s="1"/>
  <c r="F34" i="22"/>
  <c r="AB23" i="22" s="1"/>
  <c r="E34" i="22"/>
  <c r="AA23" i="22" s="1"/>
  <c r="I33" i="22"/>
  <c r="K33" i="22" s="1"/>
  <c r="M33" i="22" s="1"/>
  <c r="H33" i="22"/>
  <c r="J33" i="22" s="1"/>
  <c r="G33" i="22"/>
  <c r="F33" i="22"/>
  <c r="AB20" i="22" s="1"/>
  <c r="E33" i="22"/>
  <c r="AA20" i="22" s="1"/>
  <c r="AA32" i="22"/>
  <c r="H32" i="22"/>
  <c r="G32" i="22"/>
  <c r="F32" i="22"/>
  <c r="E32" i="22"/>
  <c r="AA17" i="22" s="1"/>
  <c r="I31" i="22"/>
  <c r="H31" i="22"/>
  <c r="F9" i="23" s="1"/>
  <c r="H9" i="23" s="1"/>
  <c r="G31" i="22"/>
  <c r="F31" i="22"/>
  <c r="E31" i="22"/>
  <c r="C9" i="23" s="1"/>
  <c r="AA30" i="22"/>
  <c r="H30" i="22"/>
  <c r="G30" i="22"/>
  <c r="E8" i="23" s="1"/>
  <c r="F30" i="22"/>
  <c r="AB11" i="22" s="1"/>
  <c r="E30" i="22"/>
  <c r="AA11" i="22" s="1"/>
  <c r="AB29" i="22"/>
  <c r="AA29" i="22"/>
  <c r="H29" i="22"/>
  <c r="J29" i="22" s="1"/>
  <c r="G29" i="22"/>
  <c r="AA9" i="22" s="1"/>
  <c r="F29" i="22"/>
  <c r="AB8" i="22" s="1"/>
  <c r="E29" i="22"/>
  <c r="AA8" i="22" s="1"/>
  <c r="H28" i="22"/>
  <c r="G28" i="22"/>
  <c r="F28" i="22"/>
  <c r="E28" i="22"/>
  <c r="C6" i="23" s="1"/>
  <c r="AB26" i="22"/>
  <c r="AA26" i="22"/>
  <c r="AA24" i="22"/>
  <c r="G23" i="22"/>
  <c r="F23" i="22"/>
  <c r="G22" i="22"/>
  <c r="F22" i="22"/>
  <c r="AB21" i="22"/>
  <c r="AA21" i="22"/>
  <c r="G21" i="22"/>
  <c r="F21" i="22"/>
  <c r="G20" i="22"/>
  <c r="F20" i="22"/>
  <c r="G19" i="22"/>
  <c r="F19" i="22"/>
  <c r="G18" i="22"/>
  <c r="F18" i="22"/>
  <c r="G17" i="22"/>
  <c r="F17" i="22"/>
  <c r="E134" i="23" s="1"/>
  <c r="G16" i="22"/>
  <c r="E133" i="23" s="1"/>
  <c r="F16" i="22"/>
  <c r="G15" i="22"/>
  <c r="E121" i="23" s="1"/>
  <c r="A143" i="23" s="1"/>
  <c r="F15" i="22"/>
  <c r="E130" i="23" s="1"/>
  <c r="AB14" i="22"/>
  <c r="AA14" i="22"/>
  <c r="G14" i="22"/>
  <c r="E129" i="23" s="1"/>
  <c r="F14" i="22"/>
  <c r="E118" i="23" s="1"/>
  <c r="A140" i="23" s="1"/>
  <c r="AB12" i="22"/>
  <c r="D6" i="22"/>
  <c r="B6" i="22"/>
  <c r="AA5" i="22"/>
  <c r="E3" i="22"/>
  <c r="B3" i="22"/>
  <c r="D248" i="21"/>
  <c r="F245" i="21"/>
  <c r="C245" i="21"/>
  <c r="H238" i="21"/>
  <c r="H213" i="21"/>
  <c r="H212" i="21"/>
  <c r="L146" i="21"/>
  <c r="E129" i="21"/>
  <c r="E128" i="21"/>
  <c r="G128" i="21" s="1"/>
  <c r="J177" i="21" s="1"/>
  <c r="E125" i="21"/>
  <c r="A147" i="21" s="1"/>
  <c r="E124" i="21"/>
  <c r="A146" i="21" s="1"/>
  <c r="E119" i="21"/>
  <c r="A141" i="21" s="1"/>
  <c r="E118" i="21"/>
  <c r="A140" i="21" s="1"/>
  <c r="B89" i="21"/>
  <c r="F90" i="21" s="1"/>
  <c r="D72" i="21"/>
  <c r="F75" i="21" s="1"/>
  <c r="D38" i="21"/>
  <c r="F41" i="21" s="1"/>
  <c r="C38" i="21"/>
  <c r="F18" i="21"/>
  <c r="E18" i="21"/>
  <c r="D18" i="21"/>
  <c r="C18" i="21"/>
  <c r="F17" i="21"/>
  <c r="H231" i="21" s="1"/>
  <c r="E17" i="21"/>
  <c r="H230" i="21" s="1"/>
  <c r="D17" i="21"/>
  <c r="C72" i="21" s="1"/>
  <c r="C17" i="21"/>
  <c r="B72" i="21" s="1"/>
  <c r="F16" i="21"/>
  <c r="E16" i="21"/>
  <c r="D16" i="21"/>
  <c r="C16" i="21"/>
  <c r="F15" i="21"/>
  <c r="H215" i="21" s="1"/>
  <c r="E15" i="21"/>
  <c r="H214" i="21" s="1"/>
  <c r="D15" i="21"/>
  <c r="C15" i="21"/>
  <c r="F14" i="21"/>
  <c r="E14" i="21"/>
  <c r="D14" i="21"/>
  <c r="C14" i="21"/>
  <c r="H204" i="21" s="1"/>
  <c r="M10" i="21"/>
  <c r="L10" i="21"/>
  <c r="F249" i="21" s="1"/>
  <c r="M9" i="21"/>
  <c r="L9" i="21"/>
  <c r="F248" i="21" s="1"/>
  <c r="F9" i="21"/>
  <c r="H9" i="21" s="1"/>
  <c r="E9" i="21"/>
  <c r="M8" i="21"/>
  <c r="L8" i="21"/>
  <c r="F247" i="21" s="1"/>
  <c r="F8" i="21"/>
  <c r="E8" i="21"/>
  <c r="D8" i="21"/>
  <c r="H8" i="21" s="1"/>
  <c r="M7" i="21"/>
  <c r="L7" i="21"/>
  <c r="F246" i="21" s="1"/>
  <c r="M6" i="21"/>
  <c r="L6" i="21"/>
  <c r="D6" i="21"/>
  <c r="E3" i="21"/>
  <c r="B3" i="21"/>
  <c r="AB48" i="20"/>
  <c r="AB47" i="20"/>
  <c r="AA47" i="20"/>
  <c r="AB45" i="20"/>
  <c r="AA45" i="20"/>
  <c r="AB44" i="20"/>
  <c r="AA44" i="20"/>
  <c r="I42" i="20"/>
  <c r="K42" i="20" s="1"/>
  <c r="H42" i="20"/>
  <c r="J42" i="20" s="1"/>
  <c r="G42" i="20"/>
  <c r="AA48" i="20" s="1"/>
  <c r="F42" i="20"/>
  <c r="E42" i="20"/>
  <c r="H41" i="20"/>
  <c r="J41" i="20" s="1"/>
  <c r="G41" i="20"/>
  <c r="I41" i="20" s="1"/>
  <c r="K41" i="20" s="1"/>
  <c r="F41" i="20"/>
  <c r="E41" i="20"/>
  <c r="H40" i="20"/>
  <c r="G40" i="20"/>
  <c r="F40" i="20"/>
  <c r="AB41" i="20" s="1"/>
  <c r="E40" i="20"/>
  <c r="AA41" i="20" s="1"/>
  <c r="H39" i="20"/>
  <c r="J39" i="20" s="1"/>
  <c r="G39" i="20"/>
  <c r="F39" i="20"/>
  <c r="AB38" i="20" s="1"/>
  <c r="E39" i="20"/>
  <c r="AA38" i="20"/>
  <c r="J38" i="20"/>
  <c r="H38" i="20"/>
  <c r="G38" i="20"/>
  <c r="I38" i="20" s="1"/>
  <c r="K38" i="20" s="1"/>
  <c r="F38" i="20"/>
  <c r="AB35" i="20" s="1"/>
  <c r="E38" i="20"/>
  <c r="AA35" i="20" s="1"/>
  <c r="H37" i="20"/>
  <c r="AB33" i="20" s="1"/>
  <c r="G37" i="20"/>
  <c r="I37" i="20" s="1"/>
  <c r="K37" i="20" s="1"/>
  <c r="M37" i="20" s="1"/>
  <c r="F37" i="20"/>
  <c r="AB32" i="20" s="1"/>
  <c r="E37" i="20"/>
  <c r="AA32" i="20" s="1"/>
  <c r="AB36" i="20"/>
  <c r="AA36" i="20"/>
  <c r="H36" i="20"/>
  <c r="J36" i="20" s="1"/>
  <c r="G36" i="20"/>
  <c r="I36" i="20" s="1"/>
  <c r="K36" i="20" s="1"/>
  <c r="F36" i="20"/>
  <c r="AB29" i="20" s="1"/>
  <c r="E36" i="20"/>
  <c r="AA29" i="20" s="1"/>
  <c r="I35" i="20"/>
  <c r="K35" i="20" s="1"/>
  <c r="H35" i="20"/>
  <c r="AB27" i="20" s="1"/>
  <c r="G35" i="20"/>
  <c r="AA27" i="20" s="1"/>
  <c r="F35" i="20"/>
  <c r="AB26" i="20" s="1"/>
  <c r="E35" i="20"/>
  <c r="I34" i="20"/>
  <c r="K34" i="20" s="1"/>
  <c r="H34" i="20"/>
  <c r="J34" i="20" s="1"/>
  <c r="G34" i="20"/>
  <c r="AA24" i="20" s="1"/>
  <c r="F34" i="20"/>
  <c r="AB23" i="20" s="1"/>
  <c r="E34" i="20"/>
  <c r="AA23" i="20" s="1"/>
  <c r="H33" i="20"/>
  <c r="J33" i="20" s="1"/>
  <c r="G33" i="20"/>
  <c r="I33" i="20" s="1"/>
  <c r="K33" i="20" s="1"/>
  <c r="L33" i="20" s="1"/>
  <c r="F33" i="20"/>
  <c r="AB20" i="20" s="1"/>
  <c r="E33" i="20"/>
  <c r="AA20" i="20" s="1"/>
  <c r="H32" i="20"/>
  <c r="G32" i="20"/>
  <c r="F32" i="20"/>
  <c r="D10" i="21" s="1"/>
  <c r="E32" i="20"/>
  <c r="C10" i="21" s="1"/>
  <c r="H31" i="20"/>
  <c r="J31" i="20" s="1"/>
  <c r="G31" i="20"/>
  <c r="F31" i="20"/>
  <c r="D9" i="21" s="1"/>
  <c r="E31" i="20"/>
  <c r="AB30" i="20"/>
  <c r="AA30" i="20"/>
  <c r="H30" i="20"/>
  <c r="G30" i="20"/>
  <c r="AA12" i="20" s="1"/>
  <c r="F30" i="20"/>
  <c r="AB11" i="20" s="1"/>
  <c r="E30" i="20"/>
  <c r="H29" i="20"/>
  <c r="G29" i="20"/>
  <c r="F29" i="20"/>
  <c r="E29" i="20"/>
  <c r="C7" i="21" s="1"/>
  <c r="I28" i="20"/>
  <c r="H28" i="20"/>
  <c r="G28" i="20"/>
  <c r="E6" i="21" s="1"/>
  <c r="F28" i="20"/>
  <c r="E28" i="20"/>
  <c r="AA5" i="20" s="1"/>
  <c r="AA26" i="20"/>
  <c r="G23" i="20"/>
  <c r="F23" i="20"/>
  <c r="G22" i="20"/>
  <c r="F22" i="20"/>
  <c r="AB21" i="20"/>
  <c r="AA21" i="20"/>
  <c r="G21" i="20"/>
  <c r="F21" i="20"/>
  <c r="G20" i="20"/>
  <c r="F20" i="20"/>
  <c r="G19" i="20"/>
  <c r="F19" i="20"/>
  <c r="G18" i="20"/>
  <c r="F18" i="20"/>
  <c r="AB17" i="20"/>
  <c r="AA17" i="20"/>
  <c r="G17" i="20"/>
  <c r="E135" i="21" s="1"/>
  <c r="L147" i="21" s="1"/>
  <c r="F17" i="20"/>
  <c r="E134" i="21" s="1"/>
  <c r="G16" i="20"/>
  <c r="F16" i="20"/>
  <c r="E132" i="21" s="1"/>
  <c r="G132" i="21" s="1"/>
  <c r="AB15" i="20"/>
  <c r="AA15" i="20"/>
  <c r="G15" i="20"/>
  <c r="E121" i="21" s="1"/>
  <c r="A143" i="21" s="1"/>
  <c r="F15" i="20"/>
  <c r="E130" i="21" s="1"/>
  <c r="AB14" i="20"/>
  <c r="G14" i="20"/>
  <c r="F14" i="20"/>
  <c r="AB9" i="20"/>
  <c r="AA8" i="20"/>
  <c r="AA6" i="20"/>
  <c r="D6" i="20"/>
  <c r="B6" i="20"/>
  <c r="AB5" i="20"/>
  <c r="E3" i="20"/>
  <c r="B3" i="20"/>
  <c r="F249" i="19"/>
  <c r="C249" i="19"/>
  <c r="D246" i="19"/>
  <c r="C246" i="19"/>
  <c r="H230" i="19"/>
  <c r="H229" i="19"/>
  <c r="H215" i="19"/>
  <c r="H213" i="19"/>
  <c r="E133" i="19"/>
  <c r="E131" i="19"/>
  <c r="G131" i="19" s="1"/>
  <c r="G130" i="19"/>
  <c r="E125" i="19"/>
  <c r="A147" i="19" s="1"/>
  <c r="E124" i="19"/>
  <c r="A146" i="19" s="1"/>
  <c r="E119" i="19"/>
  <c r="A141" i="19" s="1"/>
  <c r="E118" i="19"/>
  <c r="A140" i="19" s="1"/>
  <c r="D55" i="19"/>
  <c r="F58" i="19" s="1"/>
  <c r="B55" i="19"/>
  <c r="F56" i="19" s="1"/>
  <c r="E38" i="19"/>
  <c r="F42" i="19" s="1"/>
  <c r="D38" i="19"/>
  <c r="F41" i="19" s="1"/>
  <c r="C38" i="19"/>
  <c r="F40" i="19" s="1"/>
  <c r="F18" i="19"/>
  <c r="E18" i="19"/>
  <c r="D18" i="19"/>
  <c r="C18" i="19"/>
  <c r="B89" i="19" s="1"/>
  <c r="F90" i="19" s="1"/>
  <c r="F17" i="19"/>
  <c r="E17" i="19"/>
  <c r="D17" i="19"/>
  <c r="C72" i="19" s="1"/>
  <c r="F74" i="19" s="1"/>
  <c r="C17" i="19"/>
  <c r="F16" i="19"/>
  <c r="E16" i="19"/>
  <c r="D16" i="19"/>
  <c r="C55" i="19" s="1"/>
  <c r="F57" i="19" s="1"/>
  <c r="C16" i="19"/>
  <c r="C247" i="19" s="1"/>
  <c r="F15" i="19"/>
  <c r="E15" i="19"/>
  <c r="H214" i="19" s="1"/>
  <c r="D15" i="19"/>
  <c r="C15" i="19"/>
  <c r="H212" i="19" s="1"/>
  <c r="F14" i="19"/>
  <c r="E14" i="19"/>
  <c r="D14" i="19"/>
  <c r="C21" i="19" s="1"/>
  <c r="F23" i="19" s="1"/>
  <c r="C14" i="19"/>
  <c r="M10" i="19"/>
  <c r="L10" i="19"/>
  <c r="E10" i="19"/>
  <c r="D10" i="19"/>
  <c r="C10" i="19"/>
  <c r="G10" i="19" s="1"/>
  <c r="M9" i="19"/>
  <c r="L9" i="19"/>
  <c r="F248" i="19" s="1"/>
  <c r="M8" i="19"/>
  <c r="L8" i="19"/>
  <c r="C8" i="19"/>
  <c r="M7" i="19"/>
  <c r="L7" i="19"/>
  <c r="F246" i="19" s="1"/>
  <c r="E7" i="19"/>
  <c r="M6" i="19"/>
  <c r="L6" i="19"/>
  <c r="F245" i="19" s="1"/>
  <c r="E6" i="19"/>
  <c r="E3" i="19"/>
  <c r="B3" i="19"/>
  <c r="AA45" i="18"/>
  <c r="AB44" i="18"/>
  <c r="H42" i="18"/>
  <c r="G42" i="18"/>
  <c r="F42" i="18"/>
  <c r="AB47" i="18" s="1"/>
  <c r="E42" i="18"/>
  <c r="AA47" i="18" s="1"/>
  <c r="AA41" i="18"/>
  <c r="I41" i="18"/>
  <c r="K41" i="18" s="1"/>
  <c r="L41" i="18" s="1"/>
  <c r="H41" i="18"/>
  <c r="G41" i="18"/>
  <c r="F41" i="18"/>
  <c r="E41" i="18"/>
  <c r="AA44" i="18" s="1"/>
  <c r="H40" i="18"/>
  <c r="G40" i="18"/>
  <c r="AA42" i="18" s="1"/>
  <c r="F40" i="18"/>
  <c r="AB41" i="18" s="1"/>
  <c r="E40" i="18"/>
  <c r="I39" i="18"/>
  <c r="K39" i="18" s="1"/>
  <c r="H39" i="18"/>
  <c r="G39" i="18"/>
  <c r="AA39" i="18" s="1"/>
  <c r="F39" i="18"/>
  <c r="E39" i="18"/>
  <c r="AB38" i="18"/>
  <c r="AA38" i="18"/>
  <c r="H38" i="18"/>
  <c r="J38" i="18" s="1"/>
  <c r="G38" i="18"/>
  <c r="AA36" i="18" s="1"/>
  <c r="F38" i="18"/>
  <c r="E38" i="18"/>
  <c r="H37" i="18"/>
  <c r="G37" i="18"/>
  <c r="I37" i="18" s="1"/>
  <c r="K37" i="18" s="1"/>
  <c r="F37" i="18"/>
  <c r="AB32" i="18" s="1"/>
  <c r="E37" i="18"/>
  <c r="AA32" i="18" s="1"/>
  <c r="H36" i="18"/>
  <c r="J36" i="18" s="1"/>
  <c r="G36" i="18"/>
  <c r="I36" i="18" s="1"/>
  <c r="K36" i="18" s="1"/>
  <c r="F36" i="18"/>
  <c r="AB29" i="18" s="1"/>
  <c r="E36" i="18"/>
  <c r="AA29" i="18" s="1"/>
  <c r="AB35" i="18"/>
  <c r="AA35" i="18"/>
  <c r="J35" i="18"/>
  <c r="H35" i="18"/>
  <c r="G35" i="18"/>
  <c r="I35" i="18" s="1"/>
  <c r="K35" i="18" s="1"/>
  <c r="L35" i="18" s="1"/>
  <c r="F35" i="18"/>
  <c r="AB26" i="18" s="1"/>
  <c r="E35" i="18"/>
  <c r="H34" i="18"/>
  <c r="AB24" i="18" s="1"/>
  <c r="G34" i="18"/>
  <c r="F34" i="18"/>
  <c r="AB23" i="18" s="1"/>
  <c r="E34" i="18"/>
  <c r="AA23" i="18" s="1"/>
  <c r="H33" i="18"/>
  <c r="J33" i="18" s="1"/>
  <c r="G33" i="18"/>
  <c r="F33" i="18"/>
  <c r="AB20" i="18" s="1"/>
  <c r="E33" i="18"/>
  <c r="AA20" i="18" s="1"/>
  <c r="H32" i="18"/>
  <c r="F10" i="19" s="1"/>
  <c r="G32" i="18"/>
  <c r="AA18" i="18" s="1"/>
  <c r="F32" i="18"/>
  <c r="E32" i="18"/>
  <c r="AA17" i="18" s="1"/>
  <c r="H31" i="18"/>
  <c r="AB15" i="18" s="1"/>
  <c r="G31" i="18"/>
  <c r="F31" i="18"/>
  <c r="E31" i="18"/>
  <c r="AB30" i="18"/>
  <c r="AA30" i="18"/>
  <c r="H30" i="18"/>
  <c r="F8" i="19" s="1"/>
  <c r="G30" i="18"/>
  <c r="F30" i="18"/>
  <c r="E30" i="18"/>
  <c r="H29" i="18"/>
  <c r="F7" i="19" s="1"/>
  <c r="G29" i="18"/>
  <c r="F29" i="18"/>
  <c r="E29" i="18"/>
  <c r="H28" i="18"/>
  <c r="G28" i="18"/>
  <c r="F28" i="18"/>
  <c r="D6" i="19" s="1"/>
  <c r="E28" i="18"/>
  <c r="AA5" i="18" s="1"/>
  <c r="AB27" i="18"/>
  <c r="AA27" i="18"/>
  <c r="AA26" i="18"/>
  <c r="G23" i="18"/>
  <c r="F23" i="18"/>
  <c r="G22" i="18"/>
  <c r="F22" i="18"/>
  <c r="AB21" i="18"/>
  <c r="G21" i="18"/>
  <c r="F21" i="18"/>
  <c r="G20" i="18"/>
  <c r="F20" i="18"/>
  <c r="G19" i="18"/>
  <c r="F19" i="18"/>
  <c r="AB18" i="18"/>
  <c r="G18" i="18"/>
  <c r="F18" i="18"/>
  <c r="AB17" i="18"/>
  <c r="G17" i="18"/>
  <c r="E135" i="19" s="1"/>
  <c r="F17" i="18"/>
  <c r="E134" i="19" s="1"/>
  <c r="G16" i="18"/>
  <c r="E123" i="19" s="1"/>
  <c r="A145" i="19" s="1"/>
  <c r="F16" i="18"/>
  <c r="G15" i="18"/>
  <c r="E121" i="19" s="1"/>
  <c r="A143" i="19" s="1"/>
  <c r="F15" i="18"/>
  <c r="E130" i="19" s="1"/>
  <c r="G14" i="18"/>
  <c r="E129" i="19" s="1"/>
  <c r="F14" i="18"/>
  <c r="E128" i="19" s="1"/>
  <c r="AB12" i="18"/>
  <c r="AA11" i="18"/>
  <c r="D6" i="18"/>
  <c r="B6" i="18"/>
  <c r="E3" i="18"/>
  <c r="B3" i="18"/>
  <c r="D249" i="17"/>
  <c r="F248" i="17"/>
  <c r="C247" i="17"/>
  <c r="F246" i="17"/>
  <c r="H238" i="17"/>
  <c r="H221" i="17"/>
  <c r="H220" i="17"/>
  <c r="H213" i="17"/>
  <c r="H205" i="17"/>
  <c r="L146" i="17"/>
  <c r="E135" i="17"/>
  <c r="E119" i="17"/>
  <c r="A141" i="17" s="1"/>
  <c r="D89" i="17"/>
  <c r="F92" i="17" s="1"/>
  <c r="C89" i="17"/>
  <c r="F91" i="17" s="1"/>
  <c r="C72" i="17"/>
  <c r="F74" i="17" s="1"/>
  <c r="F56" i="17"/>
  <c r="E55" i="17"/>
  <c r="F59" i="17" s="1"/>
  <c r="D55" i="17"/>
  <c r="F58" i="17" s="1"/>
  <c r="C55" i="17"/>
  <c r="D21" i="17"/>
  <c r="F24" i="17" s="1"/>
  <c r="C21" i="17"/>
  <c r="F23" i="17" s="1"/>
  <c r="F18" i="17"/>
  <c r="E18" i="17"/>
  <c r="D18" i="17"/>
  <c r="H237" i="17" s="1"/>
  <c r="C18" i="17"/>
  <c r="C249" i="17" s="1"/>
  <c r="F17" i="17"/>
  <c r="E17" i="17"/>
  <c r="D17" i="17"/>
  <c r="H229" i="17" s="1"/>
  <c r="C17" i="17"/>
  <c r="F16" i="17"/>
  <c r="H223" i="17" s="1"/>
  <c r="E16" i="17"/>
  <c r="H222" i="17" s="1"/>
  <c r="D16" i="17"/>
  <c r="C16" i="17"/>
  <c r="B55" i="17" s="1"/>
  <c r="F15" i="17"/>
  <c r="E15" i="17"/>
  <c r="D15" i="17"/>
  <c r="C38" i="17" s="1"/>
  <c r="F40" i="17" s="1"/>
  <c r="C15" i="17"/>
  <c r="H212" i="17" s="1"/>
  <c r="F14" i="17"/>
  <c r="E14" i="17"/>
  <c r="D245" i="17" s="1"/>
  <c r="D14" i="17"/>
  <c r="C14" i="17"/>
  <c r="M10" i="17"/>
  <c r="L10" i="17"/>
  <c r="F249" i="17" s="1"/>
  <c r="E10" i="17"/>
  <c r="D10" i="17"/>
  <c r="C10" i="17"/>
  <c r="M9" i="17"/>
  <c r="L9" i="17"/>
  <c r="M8" i="17"/>
  <c r="L8" i="17"/>
  <c r="F8" i="17"/>
  <c r="E8" i="17"/>
  <c r="D8" i="17"/>
  <c r="M7" i="17"/>
  <c r="L7" i="17"/>
  <c r="D7" i="17"/>
  <c r="C7" i="17"/>
  <c r="M6" i="17"/>
  <c r="L6" i="17"/>
  <c r="F245" i="17" s="1"/>
  <c r="D6" i="17"/>
  <c r="C6" i="17"/>
  <c r="E3" i="17"/>
  <c r="B3" i="17"/>
  <c r="AB48" i="16"/>
  <c r="AA48" i="16"/>
  <c r="J42" i="16"/>
  <c r="H42" i="16"/>
  <c r="G42" i="16"/>
  <c r="I42" i="16" s="1"/>
  <c r="K42" i="16" s="1"/>
  <c r="F42" i="16"/>
  <c r="AB47" i="16" s="1"/>
  <c r="E42" i="16"/>
  <c r="AA47" i="16" s="1"/>
  <c r="AB41" i="16"/>
  <c r="AA41" i="16"/>
  <c r="H41" i="16"/>
  <c r="AB45" i="16" s="1"/>
  <c r="G41" i="16"/>
  <c r="F41" i="16"/>
  <c r="AB44" i="16" s="1"/>
  <c r="E41" i="16"/>
  <c r="AA44" i="16" s="1"/>
  <c r="H40" i="16"/>
  <c r="G40" i="16"/>
  <c r="AA42" i="16" s="1"/>
  <c r="F40" i="16"/>
  <c r="E40" i="16"/>
  <c r="H39" i="16"/>
  <c r="AB39" i="16" s="1"/>
  <c r="G39" i="16"/>
  <c r="AA39" i="16" s="1"/>
  <c r="F39" i="16"/>
  <c r="E39" i="16"/>
  <c r="AA38" i="16" s="1"/>
  <c r="AB38" i="16"/>
  <c r="H38" i="16"/>
  <c r="AB36" i="16" s="1"/>
  <c r="G38" i="16"/>
  <c r="AA36" i="16" s="1"/>
  <c r="F38" i="16"/>
  <c r="AB35" i="16" s="1"/>
  <c r="E38" i="16"/>
  <c r="AA35" i="16" s="1"/>
  <c r="H37" i="16"/>
  <c r="J37" i="16" s="1"/>
  <c r="G37" i="16"/>
  <c r="AA33" i="16" s="1"/>
  <c r="F37" i="16"/>
  <c r="AB32" i="16" s="1"/>
  <c r="E37" i="16"/>
  <c r="H36" i="16"/>
  <c r="J36" i="16" s="1"/>
  <c r="G36" i="16"/>
  <c r="I36" i="16" s="1"/>
  <c r="K36" i="16" s="1"/>
  <c r="F36" i="16"/>
  <c r="E36" i="16"/>
  <c r="H35" i="16"/>
  <c r="J35" i="16" s="1"/>
  <c r="G35" i="16"/>
  <c r="I35" i="16" s="1"/>
  <c r="K35" i="16" s="1"/>
  <c r="F35" i="16"/>
  <c r="E35" i="16"/>
  <c r="AA26" i="16" s="1"/>
  <c r="H34" i="16"/>
  <c r="G34" i="16"/>
  <c r="F34" i="16"/>
  <c r="AB23" i="16" s="1"/>
  <c r="E34" i="16"/>
  <c r="AA23" i="16" s="1"/>
  <c r="AB33" i="16"/>
  <c r="H33" i="16"/>
  <c r="G33" i="16"/>
  <c r="F33" i="16"/>
  <c r="AB20" i="16" s="1"/>
  <c r="E33" i="16"/>
  <c r="AA20" i="16" s="1"/>
  <c r="AA32" i="16"/>
  <c r="H32" i="16"/>
  <c r="J32" i="16" s="1"/>
  <c r="G32" i="16"/>
  <c r="F32" i="16"/>
  <c r="E32" i="16"/>
  <c r="H31" i="16"/>
  <c r="F9" i="17" s="1"/>
  <c r="G31" i="16"/>
  <c r="AA15" i="16" s="1"/>
  <c r="F31" i="16"/>
  <c r="J31" i="16" s="1"/>
  <c r="E31" i="16"/>
  <c r="AA30" i="16"/>
  <c r="H30" i="16"/>
  <c r="G30" i="16"/>
  <c r="AA12" i="16" s="1"/>
  <c r="F30" i="16"/>
  <c r="E30" i="16"/>
  <c r="C8" i="17" s="1"/>
  <c r="AB29" i="16"/>
  <c r="AA29" i="16"/>
  <c r="H29" i="16"/>
  <c r="AB9" i="16" s="1"/>
  <c r="G29" i="16"/>
  <c r="E7" i="17" s="1"/>
  <c r="F29" i="16"/>
  <c r="E29" i="16"/>
  <c r="H28" i="16"/>
  <c r="J28" i="16" s="1"/>
  <c r="G28" i="16"/>
  <c r="F28" i="16"/>
  <c r="AB5" i="16" s="1"/>
  <c r="E28" i="16"/>
  <c r="AA5" i="16" s="1"/>
  <c r="AB26" i="16"/>
  <c r="G23" i="16"/>
  <c r="F23" i="16"/>
  <c r="G22" i="16"/>
  <c r="F22" i="16"/>
  <c r="G21" i="16"/>
  <c r="F21" i="16"/>
  <c r="G20" i="16"/>
  <c r="F20" i="16"/>
  <c r="G19" i="16"/>
  <c r="F19" i="16"/>
  <c r="G18" i="16"/>
  <c r="F18" i="16"/>
  <c r="AB17" i="16"/>
  <c r="AA17" i="16"/>
  <c r="G17" i="16"/>
  <c r="E125" i="17" s="1"/>
  <c r="A147" i="17" s="1"/>
  <c r="F17" i="16"/>
  <c r="E134" i="17" s="1"/>
  <c r="G16" i="16"/>
  <c r="E123" i="17" s="1"/>
  <c r="A145" i="17" s="1"/>
  <c r="F16" i="16"/>
  <c r="E122" i="17" s="1"/>
  <c r="A144" i="17" s="1"/>
  <c r="AB15" i="16"/>
  <c r="G15" i="16"/>
  <c r="F15" i="16"/>
  <c r="G14" i="16"/>
  <c r="E129" i="17" s="1"/>
  <c r="F14" i="16"/>
  <c r="E128" i="17" s="1"/>
  <c r="AB11" i="16"/>
  <c r="AA11" i="16"/>
  <c r="AA9" i="16"/>
  <c r="AB8" i="16"/>
  <c r="AA8" i="16"/>
  <c r="D6" i="16"/>
  <c r="B6" i="16"/>
  <c r="E3" i="16"/>
  <c r="B3" i="16"/>
  <c r="D249" i="15"/>
  <c r="C249" i="15"/>
  <c r="F247" i="15"/>
  <c r="F246" i="15"/>
  <c r="D246" i="15"/>
  <c r="C246" i="15"/>
  <c r="H239" i="15"/>
  <c r="H236" i="15"/>
  <c r="H231" i="15"/>
  <c r="E131" i="15"/>
  <c r="E130" i="15"/>
  <c r="G130" i="15" s="1"/>
  <c r="E129" i="15"/>
  <c r="E122" i="15"/>
  <c r="A144" i="15" s="1"/>
  <c r="E121" i="15"/>
  <c r="A143" i="15" s="1"/>
  <c r="E120" i="15"/>
  <c r="A142" i="15" s="1"/>
  <c r="E119" i="15"/>
  <c r="A141" i="15" s="1"/>
  <c r="D89" i="15"/>
  <c r="F92" i="15" s="1"/>
  <c r="C89" i="15"/>
  <c r="F91" i="15" s="1"/>
  <c r="B89" i="15"/>
  <c r="B101" i="15" s="1"/>
  <c r="C55" i="15"/>
  <c r="F57" i="15" s="1"/>
  <c r="B55" i="15"/>
  <c r="E21" i="15"/>
  <c r="F25" i="15" s="1"/>
  <c r="D21" i="15"/>
  <c r="F24" i="15" s="1"/>
  <c r="F18" i="15"/>
  <c r="E89" i="15" s="1"/>
  <c r="F93" i="15" s="1"/>
  <c r="E18" i="15"/>
  <c r="H238" i="15" s="1"/>
  <c r="D18" i="15"/>
  <c r="H237" i="15" s="1"/>
  <c r="C18" i="15"/>
  <c r="F17" i="15"/>
  <c r="E72" i="15" s="1"/>
  <c r="F76" i="15" s="1"/>
  <c r="E17" i="15"/>
  <c r="D248" i="15" s="1"/>
  <c r="D17" i="15"/>
  <c r="H229" i="15" s="1"/>
  <c r="C17" i="15"/>
  <c r="B72" i="15" s="1"/>
  <c r="F16" i="15"/>
  <c r="H223" i="15" s="1"/>
  <c r="E16" i="15"/>
  <c r="D16" i="15"/>
  <c r="H221" i="15" s="1"/>
  <c r="C16" i="15"/>
  <c r="F15" i="15"/>
  <c r="H215" i="15" s="1"/>
  <c r="E15" i="15"/>
  <c r="D38" i="15" s="1"/>
  <c r="F41" i="15" s="1"/>
  <c r="D15" i="15"/>
  <c r="C15" i="15"/>
  <c r="F14" i="15"/>
  <c r="H207" i="15" s="1"/>
  <c r="E14" i="15"/>
  <c r="H206" i="15" s="1"/>
  <c r="D14" i="15"/>
  <c r="H205" i="15" s="1"/>
  <c r="C14" i="15"/>
  <c r="B21" i="15" s="1"/>
  <c r="M10" i="15"/>
  <c r="L10" i="15"/>
  <c r="F249" i="15" s="1"/>
  <c r="E10" i="15"/>
  <c r="D10" i="15"/>
  <c r="C10" i="15"/>
  <c r="M9" i="15"/>
  <c r="L9" i="15"/>
  <c r="M8" i="15"/>
  <c r="L8" i="15"/>
  <c r="M7" i="15"/>
  <c r="L7" i="15"/>
  <c r="E7" i="15"/>
  <c r="G7" i="15" s="1"/>
  <c r="I7" i="15" s="1"/>
  <c r="E246" i="15" s="1"/>
  <c r="D7" i="15"/>
  <c r="H7" i="15" s="1"/>
  <c r="M6" i="15"/>
  <c r="L6" i="15"/>
  <c r="F245" i="15" s="1"/>
  <c r="E6" i="15"/>
  <c r="D6" i="15"/>
  <c r="C6" i="15"/>
  <c r="E3" i="15"/>
  <c r="B3" i="15"/>
  <c r="L42" i="14"/>
  <c r="H42" i="14"/>
  <c r="AB48" i="14" s="1"/>
  <c r="G42" i="14"/>
  <c r="I42" i="14" s="1"/>
  <c r="K42" i="14" s="1"/>
  <c r="M42" i="14" s="1"/>
  <c r="F42" i="14"/>
  <c r="AB47" i="14" s="1"/>
  <c r="E42" i="14"/>
  <c r="AA47" i="14" s="1"/>
  <c r="AB41" i="14"/>
  <c r="AA41" i="14"/>
  <c r="H41" i="14"/>
  <c r="G41" i="14"/>
  <c r="F41" i="14"/>
  <c r="AB44" i="14" s="1"/>
  <c r="E41" i="14"/>
  <c r="AA44" i="14" s="1"/>
  <c r="H40" i="14"/>
  <c r="AB42" i="14" s="1"/>
  <c r="G40" i="14"/>
  <c r="AA42" i="14" s="1"/>
  <c r="F40" i="14"/>
  <c r="E40" i="14"/>
  <c r="AB39" i="14"/>
  <c r="H39" i="14"/>
  <c r="J39" i="14" s="1"/>
  <c r="G39" i="14"/>
  <c r="F39" i="14"/>
  <c r="E39" i="14"/>
  <c r="AA38" i="14" s="1"/>
  <c r="AB38" i="14"/>
  <c r="H38" i="14"/>
  <c r="AB36" i="14" s="1"/>
  <c r="G38" i="14"/>
  <c r="AA36" i="14" s="1"/>
  <c r="F38" i="14"/>
  <c r="E38" i="14"/>
  <c r="AA35" i="14" s="1"/>
  <c r="H37" i="14"/>
  <c r="AB33" i="14" s="1"/>
  <c r="G37" i="14"/>
  <c r="F37" i="14"/>
  <c r="AB32" i="14" s="1"/>
  <c r="E37" i="14"/>
  <c r="H36" i="14"/>
  <c r="G36" i="14"/>
  <c r="I36" i="14" s="1"/>
  <c r="K36" i="14" s="1"/>
  <c r="F36" i="14"/>
  <c r="E36" i="14"/>
  <c r="AB35" i="14"/>
  <c r="H35" i="14"/>
  <c r="J35" i="14" s="1"/>
  <c r="G35" i="14"/>
  <c r="I35" i="14" s="1"/>
  <c r="K35" i="14" s="1"/>
  <c r="F35" i="14"/>
  <c r="AB26" i="14" s="1"/>
  <c r="E35" i="14"/>
  <c r="AA26" i="14" s="1"/>
  <c r="H34" i="14"/>
  <c r="G34" i="14"/>
  <c r="F34" i="14"/>
  <c r="AB23" i="14" s="1"/>
  <c r="E34" i="14"/>
  <c r="AA23" i="14" s="1"/>
  <c r="H33" i="14"/>
  <c r="G33" i="14"/>
  <c r="F33" i="14"/>
  <c r="AB20" i="14" s="1"/>
  <c r="E33" i="14"/>
  <c r="AA20" i="14" s="1"/>
  <c r="AA32" i="14"/>
  <c r="H32" i="14"/>
  <c r="J32" i="14" s="1"/>
  <c r="G32" i="14"/>
  <c r="F32" i="14"/>
  <c r="E32" i="14"/>
  <c r="AA17" i="14" s="1"/>
  <c r="H31" i="14"/>
  <c r="G31" i="14"/>
  <c r="AA15" i="14" s="1"/>
  <c r="F31" i="14"/>
  <c r="E31" i="14"/>
  <c r="AA30" i="14"/>
  <c r="H30" i="14"/>
  <c r="G30" i="14"/>
  <c r="F30" i="14"/>
  <c r="D8" i="15" s="1"/>
  <c r="E30" i="14"/>
  <c r="C8" i="15" s="1"/>
  <c r="AB29" i="14"/>
  <c r="AA29" i="14"/>
  <c r="H29" i="14"/>
  <c r="F7" i="15" s="1"/>
  <c r="G29" i="14"/>
  <c r="F29" i="14"/>
  <c r="E29" i="14"/>
  <c r="C7" i="15" s="1"/>
  <c r="H28" i="14"/>
  <c r="F6" i="15" s="1"/>
  <c r="H6" i="15" s="1"/>
  <c r="G28" i="14"/>
  <c r="F28" i="14"/>
  <c r="AB5" i="14" s="1"/>
  <c r="E28" i="14"/>
  <c r="AA5" i="14" s="1"/>
  <c r="AB27" i="14"/>
  <c r="AA27" i="14"/>
  <c r="G23" i="14"/>
  <c r="F23" i="14"/>
  <c r="G22" i="14"/>
  <c r="F22" i="14"/>
  <c r="G21" i="14"/>
  <c r="F21" i="14"/>
  <c r="G20" i="14"/>
  <c r="F20" i="14"/>
  <c r="G19" i="14"/>
  <c r="F19" i="14"/>
  <c r="AA18" i="14"/>
  <c r="G18" i="14"/>
  <c r="F18" i="14"/>
  <c r="AB17" i="14"/>
  <c r="G17" i="14"/>
  <c r="E135" i="15" s="1"/>
  <c r="F17" i="14"/>
  <c r="E124" i="15" s="1"/>
  <c r="A146" i="15" s="1"/>
  <c r="G16" i="14"/>
  <c r="E133" i="15" s="1"/>
  <c r="L145" i="15" s="1"/>
  <c r="F16" i="14"/>
  <c r="E132" i="15" s="1"/>
  <c r="AB15" i="14"/>
  <c r="G15" i="14"/>
  <c r="F15" i="14"/>
  <c r="G14" i="14"/>
  <c r="F14" i="14"/>
  <c r="E118" i="15" s="1"/>
  <c r="A140" i="15" s="1"/>
  <c r="AB11" i="14"/>
  <c r="AA11" i="14"/>
  <c r="AB9" i="14"/>
  <c r="AA9" i="14"/>
  <c r="AB8" i="14"/>
  <c r="AA8" i="14"/>
  <c r="AB6" i="14"/>
  <c r="AA6" i="14"/>
  <c r="D6" i="14"/>
  <c r="B6" i="14"/>
  <c r="E3" i="14"/>
  <c r="B3" i="14"/>
  <c r="F167" i="13"/>
  <c r="H160" i="13"/>
  <c r="H151" i="13"/>
  <c r="E84" i="13"/>
  <c r="E83" i="13"/>
  <c r="E82" i="13"/>
  <c r="G82" i="13" s="1"/>
  <c r="B32" i="13"/>
  <c r="E17" i="13"/>
  <c r="F21" i="13" s="1"/>
  <c r="F14" i="13"/>
  <c r="E47" i="13" s="1"/>
  <c r="F51" i="13" s="1"/>
  <c r="E14" i="13"/>
  <c r="D169" i="13" s="1"/>
  <c r="D14" i="13"/>
  <c r="H159" i="13" s="1"/>
  <c r="C14" i="13"/>
  <c r="C169" i="13" s="1"/>
  <c r="F13" i="13"/>
  <c r="E13" i="13"/>
  <c r="H152" i="13" s="1"/>
  <c r="D13" i="13"/>
  <c r="C32" i="13" s="1"/>
  <c r="F34" i="13" s="1"/>
  <c r="C13" i="13"/>
  <c r="H150" i="13" s="1"/>
  <c r="F12" i="13"/>
  <c r="H145" i="13" s="1"/>
  <c r="E12" i="13"/>
  <c r="D12" i="13"/>
  <c r="C12" i="13"/>
  <c r="M8" i="13"/>
  <c r="L8" i="13"/>
  <c r="F169" i="13" s="1"/>
  <c r="F8" i="13"/>
  <c r="H8" i="13" s="1"/>
  <c r="E8" i="13"/>
  <c r="M7" i="13"/>
  <c r="L7" i="13"/>
  <c r="F168" i="13" s="1"/>
  <c r="M6" i="13"/>
  <c r="L6" i="13"/>
  <c r="F6" i="13"/>
  <c r="E3" i="13"/>
  <c r="B3" i="13"/>
  <c r="AB44" i="12"/>
  <c r="AA44" i="12"/>
  <c r="AB42" i="12"/>
  <c r="AA42" i="12"/>
  <c r="H42" i="12"/>
  <c r="AB48" i="12" s="1"/>
  <c r="G42" i="12"/>
  <c r="F42" i="12"/>
  <c r="AB47" i="12" s="1"/>
  <c r="E42" i="12"/>
  <c r="AA47" i="12" s="1"/>
  <c r="AB41" i="12"/>
  <c r="K41" i="12"/>
  <c r="M41" i="12" s="1"/>
  <c r="H41" i="12"/>
  <c r="AB45" i="12" s="1"/>
  <c r="G41" i="12"/>
  <c r="I41" i="12" s="1"/>
  <c r="F41" i="12"/>
  <c r="E41" i="12"/>
  <c r="H40" i="12"/>
  <c r="J40" i="12" s="1"/>
  <c r="G40" i="12"/>
  <c r="I40" i="12" s="1"/>
  <c r="K40" i="12" s="1"/>
  <c r="F40" i="12"/>
  <c r="E40" i="12"/>
  <c r="AA41" i="12" s="1"/>
  <c r="H39" i="12"/>
  <c r="G39" i="12"/>
  <c r="AA39" i="12" s="1"/>
  <c r="F39" i="12"/>
  <c r="E39" i="12"/>
  <c r="AA38" i="12" s="1"/>
  <c r="AB38" i="12"/>
  <c r="H38" i="12"/>
  <c r="G38" i="12"/>
  <c r="I38" i="12" s="1"/>
  <c r="K38" i="12" s="1"/>
  <c r="F38" i="12"/>
  <c r="AB35" i="12" s="1"/>
  <c r="E38" i="12"/>
  <c r="AA35" i="12" s="1"/>
  <c r="H37" i="12"/>
  <c r="G37" i="12"/>
  <c r="I37" i="12" s="1"/>
  <c r="K37" i="12" s="1"/>
  <c r="F37" i="12"/>
  <c r="E37" i="12"/>
  <c r="AA36" i="12"/>
  <c r="H36" i="12"/>
  <c r="J36" i="12" s="1"/>
  <c r="G36" i="12"/>
  <c r="F36" i="12"/>
  <c r="E36" i="12"/>
  <c r="AA29" i="12" s="1"/>
  <c r="H35" i="12"/>
  <c r="AB27" i="12" s="1"/>
  <c r="G35" i="12"/>
  <c r="AA27" i="12" s="1"/>
  <c r="F35" i="12"/>
  <c r="AB26" i="12" s="1"/>
  <c r="E35" i="12"/>
  <c r="AA26" i="12" s="1"/>
  <c r="H34" i="12"/>
  <c r="G34" i="12"/>
  <c r="I34" i="12" s="1"/>
  <c r="K34" i="12" s="1"/>
  <c r="F34" i="12"/>
  <c r="AB23" i="12" s="1"/>
  <c r="E34" i="12"/>
  <c r="AA23" i="12" s="1"/>
  <c r="AA33" i="12"/>
  <c r="H33" i="12"/>
  <c r="J33" i="12" s="1"/>
  <c r="G33" i="12"/>
  <c r="I33" i="12" s="1"/>
  <c r="K33" i="12" s="1"/>
  <c r="M33" i="12" s="1"/>
  <c r="F33" i="12"/>
  <c r="E33" i="12"/>
  <c r="AA20" i="12" s="1"/>
  <c r="AB32" i="12"/>
  <c r="AA32" i="12"/>
  <c r="H32" i="12"/>
  <c r="G32" i="12"/>
  <c r="I32" i="12" s="1"/>
  <c r="K32" i="12" s="1"/>
  <c r="L32" i="12" s="1"/>
  <c r="F32" i="12"/>
  <c r="AB17" i="12" s="1"/>
  <c r="E32" i="12"/>
  <c r="AA17" i="12" s="1"/>
  <c r="H31" i="12"/>
  <c r="G31" i="12"/>
  <c r="F31" i="12"/>
  <c r="E31" i="12"/>
  <c r="H30" i="12"/>
  <c r="AB12" i="12" s="1"/>
  <c r="G30" i="12"/>
  <c r="F30" i="12"/>
  <c r="D8" i="13" s="1"/>
  <c r="E30" i="12"/>
  <c r="AB29" i="12"/>
  <c r="H29" i="12"/>
  <c r="G29" i="12"/>
  <c r="F29" i="12"/>
  <c r="D7" i="13" s="1"/>
  <c r="E29" i="12"/>
  <c r="AA8" i="12" s="1"/>
  <c r="H28" i="12"/>
  <c r="G28" i="12"/>
  <c r="E6" i="13" s="1"/>
  <c r="F28" i="12"/>
  <c r="E28" i="12"/>
  <c r="G23" i="12"/>
  <c r="F23" i="12"/>
  <c r="G22" i="12"/>
  <c r="F22" i="12"/>
  <c r="AB21" i="12"/>
  <c r="AA21" i="12"/>
  <c r="G21" i="12"/>
  <c r="F21" i="12"/>
  <c r="AB20" i="12"/>
  <c r="G20" i="12"/>
  <c r="F20" i="12"/>
  <c r="G19" i="12"/>
  <c r="F19" i="12"/>
  <c r="AA18" i="12"/>
  <c r="G18" i="12"/>
  <c r="F18" i="12"/>
  <c r="G17" i="12"/>
  <c r="F17" i="12"/>
  <c r="G16" i="12"/>
  <c r="F16" i="12"/>
  <c r="E76" i="13" s="1"/>
  <c r="A94" i="13" s="1"/>
  <c r="G15" i="12"/>
  <c r="E75" i="13" s="1"/>
  <c r="A93" i="13" s="1"/>
  <c r="F15" i="12"/>
  <c r="E74" i="13" s="1"/>
  <c r="A92" i="13" s="1"/>
  <c r="AB14" i="12"/>
  <c r="AA14" i="12"/>
  <c r="G14" i="12"/>
  <c r="F14" i="12"/>
  <c r="AA12" i="12"/>
  <c r="AB6" i="12"/>
  <c r="D6" i="12"/>
  <c r="B6" i="12"/>
  <c r="E3" i="12"/>
  <c r="B3" i="12"/>
  <c r="D169" i="11"/>
  <c r="C169" i="11"/>
  <c r="D168" i="11"/>
  <c r="C168" i="11"/>
  <c r="A94" i="11"/>
  <c r="E85" i="11"/>
  <c r="J95" i="11" s="1"/>
  <c r="E84" i="11"/>
  <c r="J94" i="11" s="1"/>
  <c r="E83" i="11"/>
  <c r="J93" i="11" s="1"/>
  <c r="F51" i="11"/>
  <c r="E32" i="11"/>
  <c r="F36" i="11" s="1"/>
  <c r="D32" i="11"/>
  <c r="F35" i="11" s="1"/>
  <c r="C32" i="11"/>
  <c r="F34" i="11" s="1"/>
  <c r="F14" i="11"/>
  <c r="E47" i="11" s="1"/>
  <c r="E14" i="11"/>
  <c r="D47" i="11" s="1"/>
  <c r="F50" i="11" s="1"/>
  <c r="D14" i="11"/>
  <c r="C14" i="11"/>
  <c r="B47" i="11" s="1"/>
  <c r="F13" i="11"/>
  <c r="H153" i="11" s="1"/>
  <c r="E13" i="11"/>
  <c r="H152" i="11" s="1"/>
  <c r="D13" i="11"/>
  <c r="H151" i="11" s="1"/>
  <c r="C13" i="11"/>
  <c r="F12" i="11"/>
  <c r="H145" i="11" s="1"/>
  <c r="E12" i="11"/>
  <c r="D12" i="11"/>
  <c r="C12" i="11"/>
  <c r="M8" i="11"/>
  <c r="L8" i="11"/>
  <c r="M7" i="11"/>
  <c r="L7" i="11"/>
  <c r="F168" i="11" s="1"/>
  <c r="M6" i="11"/>
  <c r="L6" i="11"/>
  <c r="F167" i="11" s="1"/>
  <c r="D6" i="11"/>
  <c r="C6" i="11"/>
  <c r="E3" i="11"/>
  <c r="B3" i="11"/>
  <c r="AB48" i="10"/>
  <c r="AB47" i="10"/>
  <c r="AA47" i="10"/>
  <c r="AB45" i="10"/>
  <c r="J42" i="10"/>
  <c r="H42" i="10"/>
  <c r="G42" i="10"/>
  <c r="AA48" i="10" s="1"/>
  <c r="F42" i="10"/>
  <c r="E42" i="10"/>
  <c r="AB41" i="10"/>
  <c r="J41" i="10"/>
  <c r="I41" i="10"/>
  <c r="K41" i="10" s="1"/>
  <c r="H41" i="10"/>
  <c r="G41" i="10"/>
  <c r="AA45" i="10" s="1"/>
  <c r="F41" i="10"/>
  <c r="AB44" i="10" s="1"/>
  <c r="E41" i="10"/>
  <c r="AA44" i="10" s="1"/>
  <c r="K40" i="10"/>
  <c r="H40" i="10"/>
  <c r="J40" i="10" s="1"/>
  <c r="G40" i="10"/>
  <c r="I40" i="10" s="1"/>
  <c r="F40" i="10"/>
  <c r="E40" i="10"/>
  <c r="AA41" i="10" s="1"/>
  <c r="H39" i="10"/>
  <c r="G39" i="10"/>
  <c r="AA39" i="10" s="1"/>
  <c r="F39" i="10"/>
  <c r="AB38" i="10" s="1"/>
  <c r="E39" i="10"/>
  <c r="AA38" i="10"/>
  <c r="H38" i="10"/>
  <c r="G38" i="10"/>
  <c r="F38" i="10"/>
  <c r="AB35" i="10" s="1"/>
  <c r="E38" i="10"/>
  <c r="AA35" i="10" s="1"/>
  <c r="J37" i="10"/>
  <c r="H37" i="10"/>
  <c r="G37" i="10"/>
  <c r="I37" i="10" s="1"/>
  <c r="K37" i="10" s="1"/>
  <c r="F37" i="10"/>
  <c r="E37" i="10"/>
  <c r="AA32" i="10" s="1"/>
  <c r="H36" i="10"/>
  <c r="G36" i="10"/>
  <c r="AA30" i="10" s="1"/>
  <c r="F36" i="10"/>
  <c r="E36" i="10"/>
  <c r="H35" i="10"/>
  <c r="G35" i="10"/>
  <c r="AA27" i="10" s="1"/>
  <c r="F35" i="10"/>
  <c r="AB26" i="10" s="1"/>
  <c r="E35" i="10"/>
  <c r="AA26" i="10" s="1"/>
  <c r="M34" i="10"/>
  <c r="H34" i="10"/>
  <c r="J34" i="10" s="1"/>
  <c r="G34" i="10"/>
  <c r="I34" i="10" s="1"/>
  <c r="K34" i="10" s="1"/>
  <c r="L34" i="10" s="1"/>
  <c r="F34" i="10"/>
  <c r="E34" i="10"/>
  <c r="AA23" i="10" s="1"/>
  <c r="AB33" i="10"/>
  <c r="AA33" i="10"/>
  <c r="H33" i="10"/>
  <c r="J33" i="10" s="1"/>
  <c r="G33" i="10"/>
  <c r="F33" i="10"/>
  <c r="AB20" i="10" s="1"/>
  <c r="E33" i="10"/>
  <c r="AA20" i="10" s="1"/>
  <c r="AB32" i="10"/>
  <c r="H32" i="10"/>
  <c r="G32" i="10"/>
  <c r="F32" i="10"/>
  <c r="AB17" i="10" s="1"/>
  <c r="E32" i="10"/>
  <c r="H31" i="10"/>
  <c r="AB15" i="10" s="1"/>
  <c r="G31" i="10"/>
  <c r="I31" i="10" s="1"/>
  <c r="K31" i="10" s="1"/>
  <c r="F31" i="10"/>
  <c r="E31" i="10"/>
  <c r="H30" i="10"/>
  <c r="G30" i="10"/>
  <c r="AA12" i="10" s="1"/>
  <c r="F30" i="10"/>
  <c r="E30" i="10"/>
  <c r="AB29" i="10"/>
  <c r="AA29" i="10"/>
  <c r="H29" i="10"/>
  <c r="G29" i="10"/>
  <c r="E7" i="11" s="1"/>
  <c r="F29" i="10"/>
  <c r="E29" i="10"/>
  <c r="H28" i="10"/>
  <c r="G28" i="10"/>
  <c r="F28" i="10"/>
  <c r="AB5" i="10" s="1"/>
  <c r="E28" i="10"/>
  <c r="AB24" i="10"/>
  <c r="AA24" i="10"/>
  <c r="AB23" i="10"/>
  <c r="G23" i="10"/>
  <c r="F23" i="10"/>
  <c r="G22" i="10"/>
  <c r="F22" i="10"/>
  <c r="G21" i="10"/>
  <c r="F21" i="10"/>
  <c r="G20" i="10"/>
  <c r="F20" i="10"/>
  <c r="G19" i="10"/>
  <c r="F19" i="10"/>
  <c r="G18" i="10"/>
  <c r="F18" i="10"/>
  <c r="AA17" i="10"/>
  <c r="G17" i="10"/>
  <c r="F17" i="10"/>
  <c r="G16" i="10"/>
  <c r="E77" i="11" s="1"/>
  <c r="A95" i="11" s="1"/>
  <c r="F16" i="10"/>
  <c r="E76" i="11" s="1"/>
  <c r="AA15" i="10"/>
  <c r="G15" i="10"/>
  <c r="E75" i="11" s="1"/>
  <c r="A93" i="11" s="1"/>
  <c r="F15" i="10"/>
  <c r="E74" i="11" s="1"/>
  <c r="A92" i="11" s="1"/>
  <c r="AB14" i="10"/>
  <c r="AA14" i="10"/>
  <c r="G14" i="10"/>
  <c r="E73" i="11" s="1"/>
  <c r="A91" i="11" s="1"/>
  <c r="F14" i="10"/>
  <c r="E80" i="11" s="1"/>
  <c r="AB11" i="10"/>
  <c r="AA9" i="10"/>
  <c r="D6" i="10"/>
  <c r="B6" i="10"/>
  <c r="AA5" i="10"/>
  <c r="E3" i="10"/>
  <c r="B3" i="10"/>
  <c r="D168" i="9"/>
  <c r="C168" i="9"/>
  <c r="H150" i="9"/>
  <c r="H145" i="9"/>
  <c r="H143" i="9"/>
  <c r="G100" i="9"/>
  <c r="A106" i="9" s="1"/>
  <c r="A112" i="9" s="1"/>
  <c r="C99" i="9"/>
  <c r="J95" i="9"/>
  <c r="F80" i="9"/>
  <c r="H100" i="9" s="1"/>
  <c r="E72" i="9"/>
  <c r="A90" i="9" s="1"/>
  <c r="F21" i="9"/>
  <c r="D17" i="9"/>
  <c r="F20" i="9" s="1"/>
  <c r="F14" i="9"/>
  <c r="H161" i="9" s="1"/>
  <c r="E14" i="9"/>
  <c r="D14" i="9"/>
  <c r="H159" i="9" s="1"/>
  <c r="C14" i="9"/>
  <c r="F13" i="9"/>
  <c r="E13" i="9"/>
  <c r="D13" i="9"/>
  <c r="C13" i="9"/>
  <c r="B32" i="9" s="1"/>
  <c r="F12" i="9"/>
  <c r="E17" i="9" s="1"/>
  <c r="E12" i="9"/>
  <c r="H144" i="9" s="1"/>
  <c r="D12" i="9"/>
  <c r="C17" i="9" s="1"/>
  <c r="F19" i="9" s="1"/>
  <c r="C12" i="9"/>
  <c r="M8" i="9"/>
  <c r="L8" i="9"/>
  <c r="F169" i="9" s="1"/>
  <c r="E8" i="9"/>
  <c r="M7" i="9"/>
  <c r="L7" i="9"/>
  <c r="F168" i="9" s="1"/>
  <c r="F7" i="9"/>
  <c r="H7" i="9" s="1"/>
  <c r="E7" i="9"/>
  <c r="C7" i="9"/>
  <c r="M6" i="9"/>
  <c r="L6" i="9"/>
  <c r="F167" i="9" s="1"/>
  <c r="E3" i="9"/>
  <c r="B3" i="9"/>
  <c r="AB45" i="8"/>
  <c r="AA45" i="8"/>
  <c r="H42" i="8"/>
  <c r="G42" i="8"/>
  <c r="AA48" i="8" s="1"/>
  <c r="F42" i="8"/>
  <c r="AB47" i="8" s="1"/>
  <c r="E42" i="8"/>
  <c r="AA47" i="8" s="1"/>
  <c r="H41" i="8"/>
  <c r="J41" i="8" s="1"/>
  <c r="G41" i="8"/>
  <c r="I41" i="8" s="1"/>
  <c r="K41" i="8" s="1"/>
  <c r="F41" i="8"/>
  <c r="AB44" i="8" s="1"/>
  <c r="E41" i="8"/>
  <c r="AA44" i="8" s="1"/>
  <c r="I40" i="8"/>
  <c r="K40" i="8" s="1"/>
  <c r="H40" i="8"/>
  <c r="G40" i="8"/>
  <c r="AA42" i="8" s="1"/>
  <c r="F40" i="8"/>
  <c r="AB41" i="8" s="1"/>
  <c r="E40" i="8"/>
  <c r="AA41" i="8" s="1"/>
  <c r="H39" i="8"/>
  <c r="G39" i="8"/>
  <c r="AA39" i="8" s="1"/>
  <c r="F39" i="8"/>
  <c r="AB38" i="8" s="1"/>
  <c r="E39" i="8"/>
  <c r="AA38" i="8" s="1"/>
  <c r="H38" i="8"/>
  <c r="J38" i="8" s="1"/>
  <c r="G38" i="8"/>
  <c r="F38" i="8"/>
  <c r="AB35" i="8" s="1"/>
  <c r="E38" i="8"/>
  <c r="AA35" i="8" s="1"/>
  <c r="H37" i="8"/>
  <c r="J37" i="8" s="1"/>
  <c r="G37" i="8"/>
  <c r="F37" i="8"/>
  <c r="AB32" i="8" s="1"/>
  <c r="E37" i="8"/>
  <c r="AA32" i="8" s="1"/>
  <c r="AB36" i="8"/>
  <c r="H36" i="8"/>
  <c r="J36" i="8" s="1"/>
  <c r="G36" i="8"/>
  <c r="F36" i="8"/>
  <c r="E36" i="8"/>
  <c r="H35" i="8"/>
  <c r="AB27" i="8" s="1"/>
  <c r="G35" i="8"/>
  <c r="F35" i="8"/>
  <c r="AB26" i="8" s="1"/>
  <c r="E35" i="8"/>
  <c r="AA26" i="8" s="1"/>
  <c r="H34" i="8"/>
  <c r="AB24" i="8" s="1"/>
  <c r="G34" i="8"/>
  <c r="F34" i="8"/>
  <c r="AB23" i="8" s="1"/>
  <c r="E34" i="8"/>
  <c r="AA23" i="8" s="1"/>
  <c r="H33" i="8"/>
  <c r="G33" i="8"/>
  <c r="F33" i="8"/>
  <c r="E33" i="8"/>
  <c r="AA20" i="8" s="1"/>
  <c r="H32" i="8"/>
  <c r="G32" i="8"/>
  <c r="F32" i="8"/>
  <c r="AB17" i="8" s="1"/>
  <c r="E32" i="8"/>
  <c r="H31" i="8"/>
  <c r="AB15" i="8" s="1"/>
  <c r="G31" i="8"/>
  <c r="I31" i="8" s="1"/>
  <c r="K31" i="8" s="1"/>
  <c r="F31" i="8"/>
  <c r="AB14" i="8" s="1"/>
  <c r="E31" i="8"/>
  <c r="AA14" i="8" s="1"/>
  <c r="H30" i="8"/>
  <c r="F8" i="9" s="1"/>
  <c r="G30" i="8"/>
  <c r="F30" i="8"/>
  <c r="J30" i="8" s="1"/>
  <c r="E30" i="8"/>
  <c r="C8" i="9" s="1"/>
  <c r="AB29" i="8"/>
  <c r="AA29" i="8"/>
  <c r="H29" i="8"/>
  <c r="G29" i="8"/>
  <c r="AA9" i="8" s="1"/>
  <c r="F29" i="8"/>
  <c r="D7" i="9" s="1"/>
  <c r="E29" i="8"/>
  <c r="AA8" i="8" s="1"/>
  <c r="H28" i="8"/>
  <c r="F6" i="9" s="1"/>
  <c r="G28" i="8"/>
  <c r="E6" i="9" s="1"/>
  <c r="F28" i="8"/>
  <c r="D6" i="9" s="1"/>
  <c r="E28" i="8"/>
  <c r="G23" i="8"/>
  <c r="F23" i="8"/>
  <c r="G22" i="8"/>
  <c r="F22" i="8"/>
  <c r="G21" i="8"/>
  <c r="F21" i="8"/>
  <c r="AB20" i="8"/>
  <c r="G20" i="8"/>
  <c r="F20" i="8"/>
  <c r="G19" i="8"/>
  <c r="F19" i="8"/>
  <c r="G18" i="8"/>
  <c r="F18" i="8"/>
  <c r="AA17" i="8"/>
  <c r="G17" i="8"/>
  <c r="F17" i="8"/>
  <c r="G16" i="8"/>
  <c r="E85" i="9" s="1"/>
  <c r="F85" i="9" s="1"/>
  <c r="F16" i="8"/>
  <c r="E76" i="9" s="1"/>
  <c r="A94" i="9" s="1"/>
  <c r="AA15" i="8"/>
  <c r="G15" i="8"/>
  <c r="F15" i="8"/>
  <c r="E82" i="9" s="1"/>
  <c r="J92" i="9" s="1"/>
  <c r="G14" i="8"/>
  <c r="E73" i="9" s="1"/>
  <c r="A91" i="9" s="1"/>
  <c r="F14" i="8"/>
  <c r="E80" i="9" s="1"/>
  <c r="J90" i="9" s="1"/>
  <c r="AB12" i="8"/>
  <c r="AB11" i="8"/>
  <c r="AA11" i="8"/>
  <c r="D6" i="8"/>
  <c r="B6" i="8"/>
  <c r="E3" i="8"/>
  <c r="B3" i="8"/>
  <c r="D169" i="7"/>
  <c r="C169" i="7"/>
  <c r="H161" i="7"/>
  <c r="E81" i="7"/>
  <c r="J91" i="7" s="1"/>
  <c r="E74" i="7"/>
  <c r="A92" i="7" s="1"/>
  <c r="E47" i="7"/>
  <c r="F51" i="7" s="1"/>
  <c r="F14" i="7"/>
  <c r="E14" i="7"/>
  <c r="H160" i="7" s="1"/>
  <c r="D14" i="7"/>
  <c r="C14" i="7"/>
  <c r="F13" i="7"/>
  <c r="E32" i="7" s="1"/>
  <c r="F36" i="7" s="1"/>
  <c r="E13" i="7"/>
  <c r="H152" i="7" s="1"/>
  <c r="D13" i="7"/>
  <c r="C32" i="7" s="1"/>
  <c r="F34" i="7" s="1"/>
  <c r="C13" i="7"/>
  <c r="F12" i="7"/>
  <c r="E12" i="7"/>
  <c r="D167" i="7" s="1"/>
  <c r="D12" i="7"/>
  <c r="C17" i="7" s="1"/>
  <c r="F19" i="7" s="1"/>
  <c r="C12" i="7"/>
  <c r="M8" i="7"/>
  <c r="L8" i="7"/>
  <c r="F169" i="7" s="1"/>
  <c r="M7" i="7"/>
  <c r="L7" i="7"/>
  <c r="M6" i="7"/>
  <c r="L6" i="7"/>
  <c r="D6" i="7"/>
  <c r="E3" i="7"/>
  <c r="B3" i="7"/>
  <c r="AA48" i="6"/>
  <c r="H42" i="6"/>
  <c r="J42" i="6" s="1"/>
  <c r="G42" i="6"/>
  <c r="I42" i="6" s="1"/>
  <c r="K42" i="6" s="1"/>
  <c r="F42" i="6"/>
  <c r="AB47" i="6" s="1"/>
  <c r="E42" i="6"/>
  <c r="AA47" i="6" s="1"/>
  <c r="AB41" i="6"/>
  <c r="H41" i="6"/>
  <c r="G41" i="6"/>
  <c r="F41" i="6"/>
  <c r="AB44" i="6" s="1"/>
  <c r="E41" i="6"/>
  <c r="AA44" i="6" s="1"/>
  <c r="H40" i="6"/>
  <c r="J40" i="6" s="1"/>
  <c r="G40" i="6"/>
  <c r="I40" i="6" s="1"/>
  <c r="K40" i="6" s="1"/>
  <c r="F40" i="6"/>
  <c r="E40" i="6"/>
  <c r="AA41" i="6" s="1"/>
  <c r="AB39" i="6"/>
  <c r="K39" i="6"/>
  <c r="H39" i="6"/>
  <c r="J39" i="6" s="1"/>
  <c r="G39" i="6"/>
  <c r="I39" i="6" s="1"/>
  <c r="F39" i="6"/>
  <c r="AB38" i="6" s="1"/>
  <c r="E39" i="6"/>
  <c r="AA38" i="6" s="1"/>
  <c r="I38" i="6"/>
  <c r="K38" i="6" s="1"/>
  <c r="M38" i="6" s="1"/>
  <c r="H38" i="6"/>
  <c r="G38" i="6"/>
  <c r="AA36" i="6" s="1"/>
  <c r="F38" i="6"/>
  <c r="AB35" i="6" s="1"/>
  <c r="E38" i="6"/>
  <c r="AA35" i="6" s="1"/>
  <c r="H37" i="6"/>
  <c r="J37" i="6" s="1"/>
  <c r="G37" i="6"/>
  <c r="F37" i="6"/>
  <c r="AB32" i="6" s="1"/>
  <c r="E37" i="6"/>
  <c r="AA32" i="6" s="1"/>
  <c r="I36" i="6"/>
  <c r="K36" i="6" s="1"/>
  <c r="H36" i="6"/>
  <c r="J36" i="6" s="1"/>
  <c r="G36" i="6"/>
  <c r="AA30" i="6" s="1"/>
  <c r="F36" i="6"/>
  <c r="AB29" i="6" s="1"/>
  <c r="E36" i="6"/>
  <c r="H35" i="6"/>
  <c r="G35" i="6"/>
  <c r="F35" i="6"/>
  <c r="E35" i="6"/>
  <c r="AA26" i="6" s="1"/>
  <c r="H34" i="6"/>
  <c r="G34" i="6"/>
  <c r="F34" i="6"/>
  <c r="AB23" i="6" s="1"/>
  <c r="E34" i="6"/>
  <c r="AB33" i="6"/>
  <c r="I33" i="6"/>
  <c r="K33" i="6" s="1"/>
  <c r="H33" i="6"/>
  <c r="AB21" i="6" s="1"/>
  <c r="G33" i="6"/>
  <c r="F33" i="6"/>
  <c r="E33" i="6"/>
  <c r="J32" i="6"/>
  <c r="H32" i="6"/>
  <c r="G32" i="6"/>
  <c r="I32" i="6" s="1"/>
  <c r="K32" i="6" s="1"/>
  <c r="F32" i="6"/>
  <c r="AB17" i="6" s="1"/>
  <c r="E32" i="6"/>
  <c r="AA17" i="6" s="1"/>
  <c r="I31" i="6"/>
  <c r="K31" i="6" s="1"/>
  <c r="H31" i="6"/>
  <c r="J31" i="6" s="1"/>
  <c r="G31" i="6"/>
  <c r="F31" i="6"/>
  <c r="AB14" i="6" s="1"/>
  <c r="E31" i="6"/>
  <c r="AA14" i="6" s="1"/>
  <c r="AB30" i="6"/>
  <c r="J30" i="6"/>
  <c r="I30" i="6"/>
  <c r="H30" i="6"/>
  <c r="G30" i="6"/>
  <c r="E8" i="7" s="1"/>
  <c r="F30" i="6"/>
  <c r="D8" i="7" s="1"/>
  <c r="E30" i="6"/>
  <c r="AA11" i="6" s="1"/>
  <c r="AA29" i="6"/>
  <c r="H29" i="6"/>
  <c r="AB9" i="6" s="1"/>
  <c r="G29" i="6"/>
  <c r="E7" i="7" s="1"/>
  <c r="F29" i="6"/>
  <c r="E29" i="6"/>
  <c r="I29" i="6" s="1"/>
  <c r="H28" i="6"/>
  <c r="G28" i="6"/>
  <c r="AA6" i="6" s="1"/>
  <c r="F28" i="6"/>
  <c r="E28" i="6"/>
  <c r="C6" i="7" s="1"/>
  <c r="AB26" i="6"/>
  <c r="AA23" i="6"/>
  <c r="G23" i="6"/>
  <c r="F23" i="6"/>
  <c r="G22" i="6"/>
  <c r="F22" i="6"/>
  <c r="AA21" i="6"/>
  <c r="G21" i="6"/>
  <c r="F21" i="6"/>
  <c r="AB20" i="6"/>
  <c r="AA20" i="6"/>
  <c r="G20" i="6"/>
  <c r="F20" i="6"/>
  <c r="G19" i="6"/>
  <c r="F19" i="6"/>
  <c r="AB18" i="6"/>
  <c r="G18" i="6"/>
  <c r="F18" i="6"/>
  <c r="G17" i="6"/>
  <c r="F17" i="6"/>
  <c r="G16" i="6"/>
  <c r="E85" i="7" s="1"/>
  <c r="F16" i="6"/>
  <c r="AA15" i="6"/>
  <c r="G15" i="6"/>
  <c r="F15" i="6"/>
  <c r="E82" i="7" s="1"/>
  <c r="G14" i="6"/>
  <c r="E73" i="7" s="1"/>
  <c r="A91" i="7" s="1"/>
  <c r="F14" i="6"/>
  <c r="AA12" i="6"/>
  <c r="AB11" i="6"/>
  <c r="D6" i="6"/>
  <c r="B6" i="6"/>
  <c r="AB5" i="6"/>
  <c r="E3" i="6"/>
  <c r="B3" i="6"/>
  <c r="C168" i="5"/>
  <c r="F167" i="5"/>
  <c r="H160" i="5"/>
  <c r="H152" i="5"/>
  <c r="E80" i="5"/>
  <c r="E77" i="5"/>
  <c r="A95" i="5" s="1"/>
  <c r="E76" i="5"/>
  <c r="A94" i="5" s="1"/>
  <c r="E47" i="5"/>
  <c r="F51" i="5" s="1"/>
  <c r="B32" i="5"/>
  <c r="F33" i="5" s="1"/>
  <c r="F14" i="5"/>
  <c r="H161" i="5" s="1"/>
  <c r="E14" i="5"/>
  <c r="D14" i="5"/>
  <c r="C14" i="5"/>
  <c r="F13" i="5"/>
  <c r="E13" i="5"/>
  <c r="D32" i="5" s="1"/>
  <c r="F35" i="5" s="1"/>
  <c r="D13" i="5"/>
  <c r="H151" i="5" s="1"/>
  <c r="C13" i="5"/>
  <c r="H150" i="5" s="1"/>
  <c r="F12" i="5"/>
  <c r="E12" i="5"/>
  <c r="D12" i="5"/>
  <c r="C12" i="5"/>
  <c r="M8" i="5"/>
  <c r="L8" i="5"/>
  <c r="F169" i="5" s="1"/>
  <c r="M7" i="5"/>
  <c r="L7" i="5"/>
  <c r="E7" i="5"/>
  <c r="D7" i="5"/>
  <c r="C7" i="5"/>
  <c r="M6" i="5"/>
  <c r="L6" i="5"/>
  <c r="F6" i="5"/>
  <c r="E3" i="5"/>
  <c r="B3" i="5"/>
  <c r="AB48" i="4"/>
  <c r="AB44" i="4"/>
  <c r="AB42" i="4"/>
  <c r="H42" i="4"/>
  <c r="J42" i="4" s="1"/>
  <c r="G42" i="4"/>
  <c r="AA48" i="4" s="1"/>
  <c r="F42" i="4"/>
  <c r="AB47" i="4" s="1"/>
  <c r="E42" i="4"/>
  <c r="AA47" i="4" s="1"/>
  <c r="AA41" i="4"/>
  <c r="I41" i="4"/>
  <c r="K41" i="4" s="1"/>
  <c r="H41" i="4"/>
  <c r="G41" i="4"/>
  <c r="AA45" i="4" s="1"/>
  <c r="F41" i="4"/>
  <c r="E41" i="4"/>
  <c r="AA44" i="4" s="1"/>
  <c r="H40" i="4"/>
  <c r="J40" i="4" s="1"/>
  <c r="G40" i="4"/>
  <c r="AA42" i="4" s="1"/>
  <c r="F40" i="4"/>
  <c r="AB41" i="4" s="1"/>
  <c r="E40" i="4"/>
  <c r="H39" i="4"/>
  <c r="G39" i="4"/>
  <c r="F39" i="4"/>
  <c r="E39" i="4"/>
  <c r="AA38" i="4" s="1"/>
  <c r="AB38" i="4"/>
  <c r="H38" i="4"/>
  <c r="G38" i="4"/>
  <c r="F38" i="4"/>
  <c r="E38" i="4"/>
  <c r="AA35" i="4" s="1"/>
  <c r="H37" i="4"/>
  <c r="G37" i="4"/>
  <c r="AA33" i="4" s="1"/>
  <c r="F37" i="4"/>
  <c r="AB32" i="4" s="1"/>
  <c r="E37" i="4"/>
  <c r="AA32" i="4" s="1"/>
  <c r="H36" i="4"/>
  <c r="AB30" i="4" s="1"/>
  <c r="G36" i="4"/>
  <c r="F36" i="4"/>
  <c r="AB29" i="4" s="1"/>
  <c r="E36" i="4"/>
  <c r="AA29" i="4" s="1"/>
  <c r="AB35" i="4"/>
  <c r="H35" i="4"/>
  <c r="AB27" i="4" s="1"/>
  <c r="G35" i="4"/>
  <c r="F35" i="4"/>
  <c r="AB26" i="4" s="1"/>
  <c r="E35" i="4"/>
  <c r="AA26" i="4" s="1"/>
  <c r="H34" i="4"/>
  <c r="AB24" i="4" s="1"/>
  <c r="G34" i="4"/>
  <c r="AA24" i="4" s="1"/>
  <c r="F34" i="4"/>
  <c r="E34" i="4"/>
  <c r="H33" i="4"/>
  <c r="J33" i="4" s="1"/>
  <c r="G33" i="4"/>
  <c r="I33" i="4" s="1"/>
  <c r="K33" i="4" s="1"/>
  <c r="F33" i="4"/>
  <c r="AB20" i="4" s="1"/>
  <c r="E33" i="4"/>
  <c r="AA20" i="4" s="1"/>
  <c r="H32" i="4"/>
  <c r="J32" i="4" s="1"/>
  <c r="G32" i="4"/>
  <c r="I32" i="4" s="1"/>
  <c r="K32" i="4" s="1"/>
  <c r="L32" i="4" s="1"/>
  <c r="F32" i="4"/>
  <c r="AB17" i="4" s="1"/>
  <c r="E32" i="4"/>
  <c r="AA17" i="4" s="1"/>
  <c r="H31" i="4"/>
  <c r="AB15" i="4" s="1"/>
  <c r="G31" i="4"/>
  <c r="F31" i="4"/>
  <c r="AB14" i="4" s="1"/>
  <c r="E31" i="4"/>
  <c r="H30" i="4"/>
  <c r="F8" i="5" s="1"/>
  <c r="H8" i="5" s="1"/>
  <c r="G30" i="4"/>
  <c r="E8" i="5" s="1"/>
  <c r="F30" i="4"/>
  <c r="D8" i="5" s="1"/>
  <c r="E30" i="4"/>
  <c r="H29" i="4"/>
  <c r="F7" i="5" s="1"/>
  <c r="G29" i="4"/>
  <c r="F29" i="4"/>
  <c r="E29" i="4"/>
  <c r="H28" i="4"/>
  <c r="G28" i="4"/>
  <c r="F28" i="4"/>
  <c r="E28" i="4"/>
  <c r="AB23" i="4"/>
  <c r="AA23" i="4"/>
  <c r="G23" i="4"/>
  <c r="F23" i="4"/>
  <c r="G22" i="4"/>
  <c r="F22" i="4"/>
  <c r="AB21" i="4"/>
  <c r="AA21" i="4"/>
  <c r="G21" i="4"/>
  <c r="F21" i="4"/>
  <c r="G20" i="4"/>
  <c r="F20" i="4"/>
  <c r="G19" i="4"/>
  <c r="F19" i="4"/>
  <c r="AB18" i="4"/>
  <c r="AA18" i="4"/>
  <c r="G18" i="4"/>
  <c r="F18" i="4"/>
  <c r="G17" i="4"/>
  <c r="F17" i="4"/>
  <c r="G16" i="4"/>
  <c r="E85" i="5" s="1"/>
  <c r="F16" i="4"/>
  <c r="E84" i="5" s="1"/>
  <c r="J94" i="5" s="1"/>
  <c r="G15" i="4"/>
  <c r="F15" i="4"/>
  <c r="AA14" i="4"/>
  <c r="G14" i="4"/>
  <c r="F14" i="4"/>
  <c r="AA12" i="4"/>
  <c r="AB11" i="4"/>
  <c r="AA11" i="4"/>
  <c r="AB9" i="4"/>
  <c r="AA9" i="4"/>
  <c r="D6" i="4"/>
  <c r="B6" i="4"/>
  <c r="E3" i="4"/>
  <c r="B3" i="4"/>
  <c r="H398" i="3"/>
  <c r="G398" i="3"/>
  <c r="F398" i="3"/>
  <c r="D398" i="3"/>
  <c r="C398" i="3"/>
  <c r="B398" i="3"/>
  <c r="H397" i="3"/>
  <c r="G397" i="3"/>
  <c r="F397" i="3"/>
  <c r="D397" i="3"/>
  <c r="C397" i="3"/>
  <c r="B397" i="3"/>
  <c r="D396" i="3"/>
  <c r="C396" i="3"/>
  <c r="B396" i="3"/>
  <c r="F395" i="3"/>
  <c r="D395" i="3"/>
  <c r="C395" i="3"/>
  <c r="B395" i="3"/>
  <c r="D394" i="3"/>
  <c r="C394" i="3"/>
  <c r="B394" i="3"/>
  <c r="D393" i="3"/>
  <c r="C393" i="3"/>
  <c r="B393" i="3"/>
  <c r="D392" i="3"/>
  <c r="C392" i="3"/>
  <c r="B392" i="3"/>
  <c r="D391" i="3"/>
  <c r="C391" i="3"/>
  <c r="B391" i="3"/>
  <c r="C386" i="3"/>
  <c r="H385" i="3"/>
  <c r="G385" i="3" s="1"/>
  <c r="H384" i="3"/>
  <c r="G384" i="3" s="1"/>
  <c r="H383" i="3"/>
  <c r="G383" i="3" s="1"/>
  <c r="H382" i="3"/>
  <c r="G382" i="3" s="1"/>
  <c r="C378" i="3"/>
  <c r="H377" i="3"/>
  <c r="G377" i="3" s="1"/>
  <c r="H376" i="3"/>
  <c r="G376" i="3"/>
  <c r="H375" i="3"/>
  <c r="G375" i="3"/>
  <c r="H374" i="3"/>
  <c r="G374" i="3"/>
  <c r="H369" i="3"/>
  <c r="H368" i="3"/>
  <c r="H367" i="3"/>
  <c r="H366" i="3"/>
  <c r="H361" i="3"/>
  <c r="H360" i="3"/>
  <c r="H359" i="3"/>
  <c r="H358" i="3"/>
  <c r="H353" i="3"/>
  <c r="H352" i="3"/>
  <c r="H351" i="3"/>
  <c r="H350" i="3"/>
  <c r="H345" i="3"/>
  <c r="H344" i="3"/>
  <c r="H343" i="3"/>
  <c r="H342" i="3"/>
  <c r="H337" i="3"/>
  <c r="H336" i="3"/>
  <c r="H335" i="3"/>
  <c r="H334" i="3"/>
  <c r="H329" i="3"/>
  <c r="H328" i="3"/>
  <c r="H327" i="3"/>
  <c r="H326" i="3"/>
  <c r="E236" i="3"/>
  <c r="P252" i="3" s="1"/>
  <c r="E235" i="3"/>
  <c r="P251" i="3" s="1"/>
  <c r="E234" i="3"/>
  <c r="E233" i="3"/>
  <c r="G230" i="3"/>
  <c r="E230" i="3"/>
  <c r="P246" i="3" s="1"/>
  <c r="E225" i="3"/>
  <c r="F225" i="3" s="1"/>
  <c r="E222" i="3"/>
  <c r="G236" i="3" s="1"/>
  <c r="E221" i="3"/>
  <c r="G235" i="3" s="1"/>
  <c r="E220" i="3"/>
  <c r="E219" i="3"/>
  <c r="G233" i="3" s="1"/>
  <c r="F136" i="3"/>
  <c r="F135" i="3"/>
  <c r="E132" i="3"/>
  <c r="D132" i="3"/>
  <c r="J150" i="3" s="1"/>
  <c r="F114" i="3"/>
  <c r="F112" i="3"/>
  <c r="F52" i="3"/>
  <c r="F51" i="3"/>
  <c r="E27" i="3"/>
  <c r="C27" i="3"/>
  <c r="H24" i="3"/>
  <c r="G24" i="3"/>
  <c r="F177" i="3" s="1"/>
  <c r="E24" i="3"/>
  <c r="D24" i="3"/>
  <c r="H23" i="3"/>
  <c r="F157" i="3" s="1"/>
  <c r="G23" i="3"/>
  <c r="E23" i="3"/>
  <c r="D23" i="3"/>
  <c r="F154" i="3" s="1"/>
  <c r="H22" i="3"/>
  <c r="G22" i="3"/>
  <c r="E22" i="3"/>
  <c r="C132" i="3" s="1"/>
  <c r="D22" i="3"/>
  <c r="B132" i="3" s="1"/>
  <c r="H21" i="3"/>
  <c r="F115" i="3" s="1"/>
  <c r="G21" i="3"/>
  <c r="D111" i="3" s="1"/>
  <c r="E21" i="3"/>
  <c r="D21" i="3"/>
  <c r="B111" i="3" s="1"/>
  <c r="H20" i="3"/>
  <c r="G20" i="3"/>
  <c r="E20" i="3"/>
  <c r="D20" i="3"/>
  <c r="H19" i="3"/>
  <c r="G19" i="3"/>
  <c r="E19" i="3"/>
  <c r="D19" i="3"/>
  <c r="F70" i="3" s="1"/>
  <c r="H18" i="3"/>
  <c r="E48" i="3" s="1"/>
  <c r="E55" i="3" s="1"/>
  <c r="G18" i="3"/>
  <c r="D48" i="3" s="1"/>
  <c r="E18" i="3"/>
  <c r="C48" i="3" s="1"/>
  <c r="D18" i="3"/>
  <c r="B48" i="3" s="1"/>
  <c r="H17" i="3"/>
  <c r="F31" i="3" s="1"/>
  <c r="G17" i="3"/>
  <c r="F30" i="3" s="1"/>
  <c r="E17" i="3"/>
  <c r="F29" i="3" s="1"/>
  <c r="D17" i="3"/>
  <c r="M13" i="3"/>
  <c r="L13" i="3"/>
  <c r="F13" i="3"/>
  <c r="E13" i="3"/>
  <c r="D13" i="3"/>
  <c r="C13" i="3"/>
  <c r="G13" i="3" s="1"/>
  <c r="M12" i="3"/>
  <c r="L12" i="3"/>
  <c r="F12" i="3"/>
  <c r="E12" i="3"/>
  <c r="D12" i="3"/>
  <c r="H12" i="3" s="1"/>
  <c r="C12" i="3"/>
  <c r="G12" i="3" s="1"/>
  <c r="U11" i="3"/>
  <c r="T11" i="3"/>
  <c r="M11" i="3"/>
  <c r="L11" i="3"/>
  <c r="F396" i="3" s="1"/>
  <c r="F11" i="3"/>
  <c r="E11" i="3"/>
  <c r="D11" i="3"/>
  <c r="H11" i="3" s="1"/>
  <c r="C11" i="3"/>
  <c r="G11" i="3" s="1"/>
  <c r="U10" i="3"/>
  <c r="T10" i="3"/>
  <c r="M10" i="3"/>
  <c r="L10" i="3"/>
  <c r="F10" i="3"/>
  <c r="E10" i="3"/>
  <c r="D10" i="3"/>
  <c r="H10" i="3" s="1"/>
  <c r="C10" i="3"/>
  <c r="U9" i="3"/>
  <c r="E218" i="3" s="1"/>
  <c r="T9" i="3"/>
  <c r="E217" i="3" s="1"/>
  <c r="M9" i="3"/>
  <c r="L9" i="3"/>
  <c r="F394" i="3" s="1"/>
  <c r="F9" i="3"/>
  <c r="E9" i="3"/>
  <c r="G9" i="3" s="1"/>
  <c r="D9" i="3"/>
  <c r="H9" i="3" s="1"/>
  <c r="C9" i="3"/>
  <c r="U8" i="3"/>
  <c r="E216" i="3" s="1"/>
  <c r="A246" i="3" s="1"/>
  <c r="T8" i="3"/>
  <c r="M8" i="3"/>
  <c r="L8" i="3"/>
  <c r="F393" i="3" s="1"/>
  <c r="F8" i="3"/>
  <c r="E8" i="3"/>
  <c r="G8" i="3" s="1"/>
  <c r="D8" i="3"/>
  <c r="H8" i="3" s="1"/>
  <c r="C8" i="3"/>
  <c r="U7" i="3"/>
  <c r="T7" i="3"/>
  <c r="M7" i="3"/>
  <c r="L7" i="3"/>
  <c r="F392" i="3" s="1"/>
  <c r="F7" i="3"/>
  <c r="E7" i="3"/>
  <c r="D7" i="3"/>
  <c r="C7" i="3"/>
  <c r="U6" i="3"/>
  <c r="T6" i="3"/>
  <c r="E211" i="3" s="1"/>
  <c r="M6" i="3"/>
  <c r="L6" i="3"/>
  <c r="F391" i="3" s="1"/>
  <c r="F6" i="3"/>
  <c r="H6" i="3" s="1"/>
  <c r="E6" i="3"/>
  <c r="D6" i="3"/>
  <c r="C6" i="3"/>
  <c r="H401" i="2"/>
  <c r="G401" i="2"/>
  <c r="F401" i="2"/>
  <c r="D401" i="2"/>
  <c r="C401" i="2"/>
  <c r="B401" i="2"/>
  <c r="H400" i="2"/>
  <c r="G400" i="2"/>
  <c r="F400" i="2"/>
  <c r="D400" i="2"/>
  <c r="C400" i="2"/>
  <c r="B400" i="2"/>
  <c r="H399" i="2"/>
  <c r="G399" i="2"/>
  <c r="F399" i="2"/>
  <c r="D399" i="2"/>
  <c r="C399" i="2"/>
  <c r="B399" i="2"/>
  <c r="F398" i="2"/>
  <c r="D398" i="2"/>
  <c r="C398" i="2"/>
  <c r="B398" i="2"/>
  <c r="D397" i="2"/>
  <c r="C397" i="2"/>
  <c r="B397" i="2"/>
  <c r="D396" i="2"/>
  <c r="C396" i="2"/>
  <c r="B396" i="2"/>
  <c r="D395" i="2"/>
  <c r="C395" i="2"/>
  <c r="B395" i="2"/>
  <c r="D394" i="2"/>
  <c r="C394" i="2"/>
  <c r="B394" i="2"/>
  <c r="C389" i="2"/>
  <c r="H388" i="2"/>
  <c r="G388" i="2" s="1"/>
  <c r="H387" i="2"/>
  <c r="G387" i="2" s="1"/>
  <c r="H386" i="2"/>
  <c r="G386" i="2"/>
  <c r="H385" i="2"/>
  <c r="G385" i="2" s="1"/>
  <c r="C381" i="2"/>
  <c r="H380" i="2"/>
  <c r="G380" i="2" s="1"/>
  <c r="H379" i="2"/>
  <c r="G379" i="2"/>
  <c r="H378" i="2"/>
  <c r="G378" i="2" s="1"/>
  <c r="H377" i="2"/>
  <c r="G377" i="2"/>
  <c r="C373" i="2"/>
  <c r="H372" i="2"/>
  <c r="G372" i="2"/>
  <c r="H371" i="2"/>
  <c r="G371" i="2" s="1"/>
  <c r="H370" i="2"/>
  <c r="G370" i="2" s="1"/>
  <c r="H369" i="2"/>
  <c r="G369" i="2"/>
  <c r="H364" i="2"/>
  <c r="H363" i="2"/>
  <c r="H362" i="2"/>
  <c r="H361" i="2"/>
  <c r="H356" i="2"/>
  <c r="H355" i="2"/>
  <c r="H354" i="2"/>
  <c r="H353" i="2"/>
  <c r="H348" i="2"/>
  <c r="H347" i="2"/>
  <c r="H346" i="2"/>
  <c r="H345" i="2"/>
  <c r="H340" i="2"/>
  <c r="H339" i="2"/>
  <c r="H338" i="2"/>
  <c r="H337" i="2"/>
  <c r="H332" i="2"/>
  <c r="H331" i="2"/>
  <c r="H330" i="2"/>
  <c r="H329" i="2"/>
  <c r="E236" i="2"/>
  <c r="P252" i="2" s="1"/>
  <c r="E235" i="2"/>
  <c r="P251" i="2" s="1"/>
  <c r="E234" i="2"/>
  <c r="F234" i="2" s="1"/>
  <c r="E233" i="2"/>
  <c r="F233" i="2" s="1"/>
  <c r="E222" i="2"/>
  <c r="A252" i="2" s="1"/>
  <c r="E221" i="2"/>
  <c r="G235" i="2" s="1"/>
  <c r="E220" i="2"/>
  <c r="E219" i="2"/>
  <c r="G233" i="2" s="1"/>
  <c r="F178" i="2"/>
  <c r="F154" i="2"/>
  <c r="H150" i="2"/>
  <c r="F136" i="2"/>
  <c r="F135" i="2"/>
  <c r="F133" i="2"/>
  <c r="E132" i="2"/>
  <c r="J150" i="2" s="1"/>
  <c r="C132" i="2"/>
  <c r="F92" i="2"/>
  <c r="E90" i="2"/>
  <c r="D48" i="2"/>
  <c r="H24" i="2"/>
  <c r="E174" i="2" s="1"/>
  <c r="G24" i="2"/>
  <c r="E24" i="2"/>
  <c r="D24" i="2"/>
  <c r="H23" i="2"/>
  <c r="G23" i="2"/>
  <c r="E23" i="2"/>
  <c r="D23" i="2"/>
  <c r="B153" i="2" s="1"/>
  <c r="H22" i="2"/>
  <c r="G22" i="2"/>
  <c r="D132" i="2" s="1"/>
  <c r="E22" i="2"/>
  <c r="F134" i="2" s="1"/>
  <c r="D22" i="2"/>
  <c r="B132" i="2" s="1"/>
  <c r="F146" i="2" s="1"/>
  <c r="H21" i="2"/>
  <c r="E111" i="2" s="1"/>
  <c r="G21" i="2"/>
  <c r="F114" i="2" s="1"/>
  <c r="E21" i="2"/>
  <c r="C111" i="2" s="1"/>
  <c r="D21" i="2"/>
  <c r="H20" i="2"/>
  <c r="F94" i="2" s="1"/>
  <c r="G20" i="2"/>
  <c r="F93" i="2" s="1"/>
  <c r="E20" i="2"/>
  <c r="C90" i="2" s="1"/>
  <c r="D20" i="2"/>
  <c r="F91" i="2" s="1"/>
  <c r="H19" i="2"/>
  <c r="G19" i="2"/>
  <c r="E19" i="2"/>
  <c r="D19" i="2"/>
  <c r="F70" i="2" s="1"/>
  <c r="H18" i="2"/>
  <c r="E48" i="2" s="1"/>
  <c r="G18" i="2"/>
  <c r="F51" i="2" s="1"/>
  <c r="E18" i="2"/>
  <c r="F50" i="2" s="1"/>
  <c r="D18" i="2"/>
  <c r="F49" i="2" s="1"/>
  <c r="H17" i="2"/>
  <c r="E27" i="2" s="1"/>
  <c r="G17" i="2"/>
  <c r="F30" i="2" s="1"/>
  <c r="E17" i="2"/>
  <c r="C27" i="2" s="1"/>
  <c r="D17" i="2"/>
  <c r="F28" i="2" s="1"/>
  <c r="M13" i="2"/>
  <c r="L13" i="2"/>
  <c r="F13" i="2"/>
  <c r="E13" i="2"/>
  <c r="D13" i="2"/>
  <c r="C13" i="2"/>
  <c r="M12" i="2"/>
  <c r="L12" i="2"/>
  <c r="F12" i="2"/>
  <c r="E12" i="2"/>
  <c r="D12" i="2"/>
  <c r="C12" i="2"/>
  <c r="U11" i="2"/>
  <c r="T11" i="2"/>
  <c r="M11" i="2"/>
  <c r="L11" i="2"/>
  <c r="F11" i="2"/>
  <c r="E11" i="2"/>
  <c r="D11" i="2"/>
  <c r="C11" i="2"/>
  <c r="U10" i="2"/>
  <c r="T10" i="2"/>
  <c r="F10" i="2"/>
  <c r="E10" i="2"/>
  <c r="D10" i="2"/>
  <c r="C10" i="2"/>
  <c r="U9" i="2"/>
  <c r="E232" i="2" s="1"/>
  <c r="T9" i="2"/>
  <c r="E231" i="2" s="1"/>
  <c r="P247" i="2" s="1"/>
  <c r="F397" i="2"/>
  <c r="F9" i="2"/>
  <c r="E9" i="2"/>
  <c r="D9" i="2"/>
  <c r="C9" i="2"/>
  <c r="U8" i="2"/>
  <c r="E216" i="2" s="1"/>
  <c r="T8" i="2"/>
  <c r="F396" i="2"/>
  <c r="F8" i="2"/>
  <c r="E8" i="2"/>
  <c r="D8" i="2"/>
  <c r="C8" i="2"/>
  <c r="U7" i="2"/>
  <c r="T7" i="2"/>
  <c r="F395" i="2"/>
  <c r="F7" i="2"/>
  <c r="E7" i="2"/>
  <c r="D7" i="2"/>
  <c r="C7" i="2"/>
  <c r="U6" i="2"/>
  <c r="E212" i="2" s="1"/>
  <c r="T6" i="2"/>
  <c r="E225" i="2" s="1"/>
  <c r="F394" i="2"/>
  <c r="F6" i="2"/>
  <c r="E6" i="2"/>
  <c r="D6" i="2"/>
  <c r="C6" i="2"/>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G9" i="146" l="1"/>
  <c r="E218" i="146"/>
  <c r="A248" i="146" s="1"/>
  <c r="F233" i="146"/>
  <c r="G12" i="146"/>
  <c r="I12" i="146" s="1"/>
  <c r="F234" i="146"/>
  <c r="F235" i="146"/>
  <c r="F236" i="146"/>
  <c r="A251" i="146"/>
  <c r="H7" i="146"/>
  <c r="I7" i="146" s="1"/>
  <c r="H105" i="146"/>
  <c r="H98" i="146"/>
  <c r="B102" i="146"/>
  <c r="N12" i="146"/>
  <c r="K12" i="146"/>
  <c r="J12" i="146"/>
  <c r="E400" i="146"/>
  <c r="E399" i="146"/>
  <c r="N11" i="146"/>
  <c r="K11" i="146"/>
  <c r="J11" i="146"/>
  <c r="I10" i="146"/>
  <c r="J108" i="146"/>
  <c r="E228" i="146"/>
  <c r="E214" i="146"/>
  <c r="I9" i="146"/>
  <c r="F30" i="146"/>
  <c r="I64" i="146"/>
  <c r="G98" i="146"/>
  <c r="I101" i="146"/>
  <c r="F105" i="146"/>
  <c r="M119" i="146"/>
  <c r="G123" i="146"/>
  <c r="P248" i="146"/>
  <c r="I8" i="146"/>
  <c r="B27" i="146"/>
  <c r="L106" i="146"/>
  <c r="L120" i="146"/>
  <c r="K124" i="146"/>
  <c r="G129" i="146"/>
  <c r="C27" i="146"/>
  <c r="G99" i="146"/>
  <c r="M106" i="146"/>
  <c r="M56" i="146"/>
  <c r="K99" i="146"/>
  <c r="D107" i="146"/>
  <c r="C122" i="146"/>
  <c r="G125" i="146"/>
  <c r="J149" i="146"/>
  <c r="J141" i="146"/>
  <c r="F140" i="146"/>
  <c r="E148" i="146"/>
  <c r="M146" i="146"/>
  <c r="I145" i="146"/>
  <c r="E144" i="146"/>
  <c r="M142" i="146"/>
  <c r="I141" i="146"/>
  <c r="C144" i="146"/>
  <c r="H150" i="146"/>
  <c r="M148" i="146"/>
  <c r="F147" i="146"/>
  <c r="K145" i="146"/>
  <c r="M143" i="146"/>
  <c r="F142" i="146"/>
  <c r="J148" i="146"/>
  <c r="E149" i="146"/>
  <c r="C142" i="146"/>
  <c r="G140" i="146"/>
  <c r="D149" i="146"/>
  <c r="E147" i="146"/>
  <c r="F145" i="146"/>
  <c r="J143" i="146"/>
  <c r="I143" i="146"/>
  <c r="M141" i="146"/>
  <c r="D145" i="146"/>
  <c r="H143" i="146"/>
  <c r="L141" i="146"/>
  <c r="M139" i="146"/>
  <c r="I150" i="146"/>
  <c r="H148" i="146"/>
  <c r="G148" i="146"/>
  <c r="C146" i="146"/>
  <c r="B146" i="146"/>
  <c r="D143" i="146"/>
  <c r="L140" i="146"/>
  <c r="B148" i="146"/>
  <c r="M145" i="146"/>
  <c r="C143" i="146"/>
  <c r="I140" i="146"/>
  <c r="D150" i="146"/>
  <c r="K139" i="146"/>
  <c r="B150" i="146"/>
  <c r="H147" i="146"/>
  <c r="J144" i="146"/>
  <c r="E142" i="146"/>
  <c r="H139" i="146"/>
  <c r="F146" i="146"/>
  <c r="J150" i="146"/>
  <c r="L61" i="146"/>
  <c r="D59" i="146"/>
  <c r="L57" i="146"/>
  <c r="H56" i="146"/>
  <c r="K65" i="146"/>
  <c r="B63" i="146"/>
  <c r="J61" i="146"/>
  <c r="B59" i="146"/>
  <c r="J57" i="146"/>
  <c r="M66" i="146"/>
  <c r="C62" i="146"/>
  <c r="C60" i="146"/>
  <c r="G58" i="146"/>
  <c r="K56" i="146"/>
  <c r="D55" i="146"/>
  <c r="F65" i="146"/>
  <c r="E58" i="146"/>
  <c r="I56" i="146"/>
  <c r="L66" i="146"/>
  <c r="D65" i="146"/>
  <c r="H63" i="146"/>
  <c r="G66" i="146"/>
  <c r="K64" i="146"/>
  <c r="K62" i="146"/>
  <c r="C61" i="146"/>
  <c r="G57" i="146"/>
  <c r="L62" i="146"/>
  <c r="E66" i="146"/>
  <c r="J100" i="146"/>
  <c r="L103" i="146"/>
  <c r="E107" i="146"/>
  <c r="A250" i="146"/>
  <c r="G234" i="146"/>
  <c r="F134" i="146"/>
  <c r="C132" i="146"/>
  <c r="F63" i="146"/>
  <c r="F66" i="146"/>
  <c r="K100" i="146"/>
  <c r="M103" i="146"/>
  <c r="L107" i="146"/>
  <c r="L100" i="146"/>
  <c r="L104" i="146"/>
  <c r="B108" i="146"/>
  <c r="G118" i="146"/>
  <c r="F122" i="146"/>
  <c r="L126" i="146"/>
  <c r="G142" i="146"/>
  <c r="G236" i="146"/>
  <c r="A252" i="146"/>
  <c r="B107" i="146"/>
  <c r="F52" i="146"/>
  <c r="E48" i="146"/>
  <c r="G55" i="146" s="1"/>
  <c r="F136" i="146"/>
  <c r="E132" i="146"/>
  <c r="K147" i="146" s="1"/>
  <c r="K60" i="146"/>
  <c r="M63" i="146"/>
  <c r="J66" i="146"/>
  <c r="M76" i="146"/>
  <c r="C80" i="146"/>
  <c r="J83" i="146"/>
  <c r="F94" i="146"/>
  <c r="M100" i="146"/>
  <c r="M104" i="146"/>
  <c r="C108" i="146"/>
  <c r="L146" i="146"/>
  <c r="E225" i="146"/>
  <c r="J98" i="146"/>
  <c r="D174" i="146"/>
  <c r="F177" i="146"/>
  <c r="K98" i="146"/>
  <c r="L105" i="146"/>
  <c r="K102" i="146"/>
  <c r="E226" i="146"/>
  <c r="E212" i="146"/>
  <c r="B103" i="146"/>
  <c r="D56" i="146"/>
  <c r="F87" i="146"/>
  <c r="B86" i="146"/>
  <c r="J84" i="146"/>
  <c r="M84" i="146"/>
  <c r="K80" i="146"/>
  <c r="I87" i="146"/>
  <c r="D86" i="146"/>
  <c r="K84" i="146"/>
  <c r="E83" i="146"/>
  <c r="M86" i="146"/>
  <c r="D85" i="146"/>
  <c r="L82" i="146"/>
  <c r="D81" i="146"/>
  <c r="D79" i="146"/>
  <c r="C87" i="146"/>
  <c r="F85" i="146"/>
  <c r="D83" i="146"/>
  <c r="H81" i="146"/>
  <c r="B153" i="146"/>
  <c r="F154" i="146"/>
  <c r="L60" i="146"/>
  <c r="J86" i="146"/>
  <c r="E97" i="146"/>
  <c r="C101" i="146"/>
  <c r="C105" i="146"/>
  <c r="G225" i="146"/>
  <c r="J107" i="146"/>
  <c r="F106" i="146"/>
  <c r="B105" i="146"/>
  <c r="J103" i="146"/>
  <c r="F102" i="146"/>
  <c r="B101" i="146"/>
  <c r="J99" i="146"/>
  <c r="F98" i="146"/>
  <c r="B97" i="146"/>
  <c r="I107" i="146"/>
  <c r="D106" i="146"/>
  <c r="K104" i="146"/>
  <c r="F103" i="146"/>
  <c r="M101" i="146"/>
  <c r="C99" i="146"/>
  <c r="J97" i="146"/>
  <c r="M108" i="146"/>
  <c r="H107" i="146"/>
  <c r="C106" i="146"/>
  <c r="J104" i="146"/>
  <c r="L101" i="146"/>
  <c r="G100" i="146"/>
  <c r="B99" i="146"/>
  <c r="I97" i="146"/>
  <c r="L108" i="146"/>
  <c r="G107" i="146"/>
  <c r="B106" i="146"/>
  <c r="K101" i="146"/>
  <c r="F100" i="146"/>
  <c r="M98" i="146"/>
  <c r="H97" i="146"/>
  <c r="K108" i="146"/>
  <c r="F107" i="146"/>
  <c r="M105" i="146"/>
  <c r="C103" i="146"/>
  <c r="J101" i="146"/>
  <c r="L98" i="146"/>
  <c r="G97" i="146"/>
  <c r="H108" i="146"/>
  <c r="C107" i="146"/>
  <c r="J105" i="146"/>
  <c r="L102" i="146"/>
  <c r="G101" i="146"/>
  <c r="B100" i="146"/>
  <c r="I98" i="146"/>
  <c r="D97" i="146"/>
  <c r="G108" i="146"/>
  <c r="I106" i="146"/>
  <c r="F104" i="146"/>
  <c r="G102" i="146"/>
  <c r="D98" i="146"/>
  <c r="F108" i="146"/>
  <c r="H106" i="146"/>
  <c r="E102" i="146"/>
  <c r="C100" i="146"/>
  <c r="C98" i="146"/>
  <c r="E108" i="146"/>
  <c r="G106" i="146"/>
  <c r="C104" i="146"/>
  <c r="D102" i="146"/>
  <c r="M99" i="146"/>
  <c r="B98" i="146"/>
  <c r="D108" i="146"/>
  <c r="E106" i="146"/>
  <c r="B104" i="146"/>
  <c r="C102" i="146"/>
  <c r="L99" i="146"/>
  <c r="M97" i="146"/>
  <c r="M107" i="146"/>
  <c r="I105" i="146"/>
  <c r="K103" i="146"/>
  <c r="H101" i="146"/>
  <c r="F97" i="146"/>
  <c r="K107" i="146"/>
  <c r="G105" i="146"/>
  <c r="E101" i="146"/>
  <c r="F99" i="146"/>
  <c r="C97" i="146"/>
  <c r="I108" i="146"/>
  <c r="J106" i="146"/>
  <c r="G104" i="146"/>
  <c r="H102" i="146"/>
  <c r="E98" i="146"/>
  <c r="I102" i="146"/>
  <c r="K105" i="146"/>
  <c r="J102" i="146"/>
  <c r="F178" i="146"/>
  <c r="E174" i="146"/>
  <c r="K55" i="146"/>
  <c r="B128" i="146"/>
  <c r="J126" i="146"/>
  <c r="F125" i="146"/>
  <c r="E129" i="146"/>
  <c r="F121" i="146"/>
  <c r="J118" i="146"/>
  <c r="L129" i="146"/>
  <c r="J121" i="146"/>
  <c r="L118" i="146"/>
  <c r="J129" i="146"/>
  <c r="H121" i="146"/>
  <c r="I118" i="146"/>
  <c r="D129" i="146"/>
  <c r="I128" i="146"/>
  <c r="M125" i="146"/>
  <c r="J123" i="146"/>
  <c r="L121" i="146"/>
  <c r="D125" i="146"/>
  <c r="E123" i="146"/>
  <c r="M120" i="146"/>
  <c r="E59" i="146"/>
  <c r="C56" i="146"/>
  <c r="C66" i="146"/>
  <c r="F93" i="146"/>
  <c r="H6" i="146"/>
  <c r="I6" i="146" s="1"/>
  <c r="H13" i="146"/>
  <c r="I13" i="146" s="1"/>
  <c r="K97" i="146"/>
  <c r="D101" i="146"/>
  <c r="D105" i="146"/>
  <c r="D111" i="146"/>
  <c r="J122" i="146" s="1"/>
  <c r="L122" i="146"/>
  <c r="C127" i="146"/>
  <c r="C139" i="146"/>
  <c r="K106" i="146"/>
  <c r="M65" i="146"/>
  <c r="M102" i="146"/>
  <c r="C111" i="146"/>
  <c r="H129" i="146" s="1"/>
  <c r="F113" i="146"/>
  <c r="B66" i="146"/>
  <c r="G103" i="146"/>
  <c r="B125" i="146"/>
  <c r="E227" i="146"/>
  <c r="E213" i="146"/>
  <c r="F55" i="146"/>
  <c r="F70" i="146"/>
  <c r="L97" i="146"/>
  <c r="F101" i="146"/>
  <c r="E105" i="146"/>
  <c r="L119" i="146"/>
  <c r="F123" i="146"/>
  <c r="E127" i="146"/>
  <c r="E139" i="146"/>
  <c r="B144" i="146"/>
  <c r="E216" i="146"/>
  <c r="E230" i="146"/>
  <c r="F49" i="146"/>
  <c r="E231" i="146"/>
  <c r="F155" i="146"/>
  <c r="C153" i="146"/>
  <c r="F72" i="146"/>
  <c r="D69" i="146"/>
  <c r="F83" i="146" s="1"/>
  <c r="E69" i="146"/>
  <c r="J76" i="146" s="1"/>
  <c r="E153" i="146"/>
  <c r="F157" i="146"/>
  <c r="F176" i="146"/>
  <c r="E229" i="146"/>
  <c r="E215" i="146"/>
  <c r="F175" i="146"/>
  <c r="B174" i="146"/>
  <c r="G233" i="146"/>
  <c r="D111" i="145"/>
  <c r="E111" i="145"/>
  <c r="E217" i="145"/>
  <c r="A252" i="145"/>
  <c r="H9" i="145"/>
  <c r="H11" i="145"/>
  <c r="F97" i="145"/>
  <c r="C90" i="145"/>
  <c r="B101" i="145" s="1"/>
  <c r="C105" i="145"/>
  <c r="B174" i="145"/>
  <c r="K192" i="145" s="1"/>
  <c r="H102" i="145"/>
  <c r="F91" i="145"/>
  <c r="F105" i="145"/>
  <c r="P251" i="145"/>
  <c r="F28" i="145"/>
  <c r="F93" i="145"/>
  <c r="D101" i="145"/>
  <c r="F94" i="145"/>
  <c r="G6" i="145"/>
  <c r="H6" i="145"/>
  <c r="H8" i="145"/>
  <c r="G13" i="145"/>
  <c r="P252" i="145"/>
  <c r="H13" i="145"/>
  <c r="G7" i="145"/>
  <c r="G9" i="145"/>
  <c r="G11" i="145"/>
  <c r="G8" i="145"/>
  <c r="G10" i="145"/>
  <c r="G12" i="145"/>
  <c r="H10" i="145"/>
  <c r="H12" i="145"/>
  <c r="A248" i="145"/>
  <c r="E216" i="145"/>
  <c r="A251" i="145"/>
  <c r="E48" i="145"/>
  <c r="F52" i="145"/>
  <c r="F136" i="145"/>
  <c r="E132" i="145"/>
  <c r="J40" i="145"/>
  <c r="I186" i="145"/>
  <c r="B153" i="145"/>
  <c r="F154" i="145"/>
  <c r="L44" i="145"/>
  <c r="H43" i="145"/>
  <c r="D43" i="145"/>
  <c r="I36" i="145"/>
  <c r="K37" i="145"/>
  <c r="E43" i="145"/>
  <c r="C40" i="145"/>
  <c r="H38" i="145"/>
  <c r="L38" i="145"/>
  <c r="M38" i="145"/>
  <c r="K40" i="145"/>
  <c r="L35" i="145"/>
  <c r="H7" i="145"/>
  <c r="P245" i="145"/>
  <c r="F49" i="145"/>
  <c r="B48" i="145"/>
  <c r="F133" i="145"/>
  <c r="B132" i="145"/>
  <c r="C48" i="145"/>
  <c r="F50" i="145"/>
  <c r="F70" i="145"/>
  <c r="B69" i="145"/>
  <c r="F51" i="145"/>
  <c r="D48" i="145"/>
  <c r="M108" i="145"/>
  <c r="G106" i="145"/>
  <c r="F102" i="145"/>
  <c r="L99" i="145"/>
  <c r="M97" i="145"/>
  <c r="L108" i="145"/>
  <c r="K99" i="145"/>
  <c r="G101" i="145"/>
  <c r="J99" i="145"/>
  <c r="K97" i="145"/>
  <c r="M103" i="145"/>
  <c r="H108" i="145"/>
  <c r="D106" i="145"/>
  <c r="M101" i="145"/>
  <c r="B106" i="145"/>
  <c r="M105" i="145"/>
  <c r="E227" i="145"/>
  <c r="E213" i="145"/>
  <c r="E107" i="145"/>
  <c r="J102" i="145"/>
  <c r="K102" i="145"/>
  <c r="G107" i="145"/>
  <c r="H107" i="145"/>
  <c r="B185" i="145"/>
  <c r="J183" i="145"/>
  <c r="E190" i="145"/>
  <c r="M188" i="145"/>
  <c r="I187" i="145"/>
  <c r="L188" i="145"/>
  <c r="M189" i="145"/>
  <c r="E183" i="145"/>
  <c r="B191" i="145"/>
  <c r="B187" i="145"/>
  <c r="E185" i="145"/>
  <c r="C189" i="145"/>
  <c r="M186" i="145"/>
  <c r="D185" i="145"/>
  <c r="M182" i="145"/>
  <c r="D181" i="145"/>
  <c r="H182" i="145"/>
  <c r="C191" i="145"/>
  <c r="M191" i="145"/>
  <c r="K187" i="145"/>
  <c r="B192" i="145"/>
  <c r="E188" i="145"/>
  <c r="D184" i="145"/>
  <c r="F189" i="145"/>
  <c r="H184" i="145"/>
  <c r="E211" i="145"/>
  <c r="E225" i="145"/>
  <c r="F112" i="145"/>
  <c r="B111" i="145"/>
  <c r="J100" i="145"/>
  <c r="K103" i="145"/>
  <c r="J107" i="145"/>
  <c r="E226" i="145"/>
  <c r="E212" i="145"/>
  <c r="C27" i="145"/>
  <c r="H37" i="145" s="1"/>
  <c r="J104" i="145"/>
  <c r="K181" i="145"/>
  <c r="A247" i="145"/>
  <c r="D27" i="145"/>
  <c r="K104" i="145"/>
  <c r="L107" i="145"/>
  <c r="F178" i="145"/>
  <c r="E174" i="145"/>
  <c r="E215" i="145"/>
  <c r="F155" i="145"/>
  <c r="C153" i="145"/>
  <c r="F157" i="145"/>
  <c r="E153" i="145"/>
  <c r="F177" i="145"/>
  <c r="G108" i="145"/>
  <c r="E232" i="145"/>
  <c r="M99" i="145"/>
  <c r="M104" i="145"/>
  <c r="H106" i="145"/>
  <c r="C108" i="145"/>
  <c r="P249" i="145"/>
  <c r="F233" i="145"/>
  <c r="G98" i="145"/>
  <c r="I106" i="145"/>
  <c r="F176" i="145"/>
  <c r="A249" i="145"/>
  <c r="G233" i="145"/>
  <c r="G234" i="145"/>
  <c r="B107" i="145"/>
  <c r="J105" i="145"/>
  <c r="F104" i="145"/>
  <c r="J101" i="145"/>
  <c r="F100" i="145"/>
  <c r="J97" i="145"/>
  <c r="L106" i="145"/>
  <c r="H105" i="145"/>
  <c r="L102" i="145"/>
  <c r="H101" i="145"/>
  <c r="L98" i="145"/>
  <c r="K106" i="145"/>
  <c r="E105" i="145"/>
  <c r="C107" i="145"/>
  <c r="J108" i="145"/>
  <c r="F234" i="145"/>
  <c r="H9" i="144"/>
  <c r="B111" i="144"/>
  <c r="F94" i="144"/>
  <c r="F91" i="144"/>
  <c r="C80" i="144"/>
  <c r="L82" i="144"/>
  <c r="M82" i="144"/>
  <c r="K85" i="144"/>
  <c r="F49" i="144"/>
  <c r="H6" i="144"/>
  <c r="I6" i="144" s="1"/>
  <c r="H13" i="144"/>
  <c r="I13" i="144" s="1"/>
  <c r="G11" i="144"/>
  <c r="H11" i="144"/>
  <c r="P252" i="144"/>
  <c r="H12" i="144"/>
  <c r="G9" i="144"/>
  <c r="I9" i="144" s="1"/>
  <c r="E397" i="144" s="1"/>
  <c r="E228" i="144"/>
  <c r="P244" i="144" s="1"/>
  <c r="H10" i="144"/>
  <c r="G234" i="144"/>
  <c r="G12" i="144"/>
  <c r="G8" i="144"/>
  <c r="H8" i="144"/>
  <c r="F234" i="144"/>
  <c r="P251" i="144"/>
  <c r="H7" i="144"/>
  <c r="I7" i="144" s="1"/>
  <c r="F233" i="144"/>
  <c r="G10" i="144"/>
  <c r="E211" i="144"/>
  <c r="E225" i="144"/>
  <c r="J61" i="144"/>
  <c r="D63" i="144"/>
  <c r="H57" i="144"/>
  <c r="J64" i="144"/>
  <c r="E56" i="144"/>
  <c r="L65" i="144"/>
  <c r="B63" i="144"/>
  <c r="H64" i="144"/>
  <c r="E66" i="144"/>
  <c r="M64" i="144"/>
  <c r="I63" i="144"/>
  <c r="E62" i="144"/>
  <c r="M60" i="144"/>
  <c r="I59" i="144"/>
  <c r="K65" i="144"/>
  <c r="M55" i="144"/>
  <c r="E64" i="144"/>
  <c r="L62" i="144"/>
  <c r="G61" i="144"/>
  <c r="I58" i="144"/>
  <c r="L55" i="144"/>
  <c r="I65" i="144"/>
  <c r="K55" i="144"/>
  <c r="H65" i="144"/>
  <c r="C64" i="144"/>
  <c r="J62" i="144"/>
  <c r="E61" i="144"/>
  <c r="L59" i="144"/>
  <c r="B57" i="144"/>
  <c r="J55" i="144"/>
  <c r="K59" i="144"/>
  <c r="I55" i="144"/>
  <c r="K66" i="144"/>
  <c r="F65" i="144"/>
  <c r="M63" i="144"/>
  <c r="H62" i="144"/>
  <c r="C61" i="144"/>
  <c r="J59" i="144"/>
  <c r="G62" i="144"/>
  <c r="B61" i="144"/>
  <c r="C58" i="144"/>
  <c r="K56" i="144"/>
  <c r="H66" i="144"/>
  <c r="C65" i="144"/>
  <c r="J63" i="144"/>
  <c r="D62" i="144"/>
  <c r="K60" i="144"/>
  <c r="F133" i="144"/>
  <c r="B132" i="144"/>
  <c r="I61" i="144"/>
  <c r="G64" i="144"/>
  <c r="G76" i="144"/>
  <c r="C82" i="144"/>
  <c r="M84" i="144"/>
  <c r="K87" i="144"/>
  <c r="I77" i="144"/>
  <c r="E83" i="144"/>
  <c r="C86" i="144"/>
  <c r="D65" i="144"/>
  <c r="J77" i="144"/>
  <c r="D86" i="144"/>
  <c r="K101" i="144"/>
  <c r="B86" i="144"/>
  <c r="M98" i="144"/>
  <c r="G106" i="144"/>
  <c r="B105" i="144"/>
  <c r="L77" i="144"/>
  <c r="J80" i="144"/>
  <c r="F86" i="144"/>
  <c r="C90" i="144"/>
  <c r="F92" i="144"/>
  <c r="F176" i="144"/>
  <c r="C174" i="144"/>
  <c r="C63" i="144"/>
  <c r="M65" i="144"/>
  <c r="H78" i="144"/>
  <c r="E84" i="144"/>
  <c r="C87" i="144"/>
  <c r="B174" i="144"/>
  <c r="E226" i="144"/>
  <c r="E212" i="144"/>
  <c r="F178" i="144"/>
  <c r="E174" i="144"/>
  <c r="I57" i="144"/>
  <c r="K78" i="144"/>
  <c r="G84" i="144"/>
  <c r="E87" i="144"/>
  <c r="E215" i="144"/>
  <c r="E229" i="144"/>
  <c r="C83" i="144"/>
  <c r="D90" i="144"/>
  <c r="M99" i="144" s="1"/>
  <c r="F93" i="144"/>
  <c r="B27" i="144"/>
  <c r="J57" i="144"/>
  <c r="H60" i="144"/>
  <c r="F63" i="144"/>
  <c r="D66" i="144"/>
  <c r="B76" i="144"/>
  <c r="L78" i="144"/>
  <c r="J81" i="144"/>
  <c r="H84" i="144"/>
  <c r="F87" i="144"/>
  <c r="M85" i="144"/>
  <c r="J78" i="144"/>
  <c r="K57" i="144"/>
  <c r="G63" i="144"/>
  <c r="F66" i="144"/>
  <c r="C76" i="144"/>
  <c r="M78" i="144"/>
  <c r="K81" i="144"/>
  <c r="I84" i="144"/>
  <c r="G87" i="144"/>
  <c r="E97" i="144"/>
  <c r="G77" i="144"/>
  <c r="H77" i="144"/>
  <c r="F177" i="144"/>
  <c r="D174" i="144"/>
  <c r="D87" i="144"/>
  <c r="D111" i="144"/>
  <c r="J126" i="144" s="1"/>
  <c r="F114" i="144"/>
  <c r="G66" i="144"/>
  <c r="D76" i="144"/>
  <c r="B79" i="144"/>
  <c r="L81" i="144"/>
  <c r="J84" i="144"/>
  <c r="M105" i="144"/>
  <c r="K108" i="144"/>
  <c r="M87" i="144"/>
  <c r="I86" i="144"/>
  <c r="E85" i="144"/>
  <c r="M83" i="144"/>
  <c r="M79" i="144"/>
  <c r="I78" i="144"/>
  <c r="E77" i="144"/>
  <c r="B87" i="144"/>
  <c r="I85" i="144"/>
  <c r="D84" i="144"/>
  <c r="K82" i="144"/>
  <c r="L79" i="144"/>
  <c r="B77" i="144"/>
  <c r="M86" i="144"/>
  <c r="H85" i="144"/>
  <c r="C84" i="144"/>
  <c r="J82" i="144"/>
  <c r="K79" i="144"/>
  <c r="M76" i="144"/>
  <c r="L86" i="144"/>
  <c r="G85" i="144"/>
  <c r="B84" i="144"/>
  <c r="C81" i="144"/>
  <c r="J79" i="144"/>
  <c r="L76" i="144"/>
  <c r="K86" i="144"/>
  <c r="F85" i="144"/>
  <c r="L83" i="144"/>
  <c r="B81" i="144"/>
  <c r="I79" i="144"/>
  <c r="K76" i="144"/>
  <c r="J86" i="144"/>
  <c r="D85" i="144"/>
  <c r="K83" i="144"/>
  <c r="M80" i="144"/>
  <c r="H79" i="144"/>
  <c r="C78" i="144"/>
  <c r="J76" i="144"/>
  <c r="H86" i="144"/>
  <c r="C85" i="144"/>
  <c r="J83" i="144"/>
  <c r="E82" i="144"/>
  <c r="L80" i="144"/>
  <c r="B78" i="144"/>
  <c r="I76" i="144"/>
  <c r="L87" i="144"/>
  <c r="G86" i="144"/>
  <c r="B85" i="144"/>
  <c r="D82" i="144"/>
  <c r="K80" i="144"/>
  <c r="M77" i="144"/>
  <c r="H76" i="144"/>
  <c r="J87" i="144"/>
  <c r="E86" i="144"/>
  <c r="L84" i="144"/>
  <c r="B82" i="144"/>
  <c r="K77" i="144"/>
  <c r="F76" i="144"/>
  <c r="E230" i="144"/>
  <c r="E216" i="144"/>
  <c r="D83" i="144"/>
  <c r="F84" i="144"/>
  <c r="J102" i="144"/>
  <c r="L60" i="144"/>
  <c r="K63" i="144"/>
  <c r="I66" i="144"/>
  <c r="E76" i="144"/>
  <c r="C79" i="144"/>
  <c r="M81" i="144"/>
  <c r="K84" i="144"/>
  <c r="I87" i="144"/>
  <c r="E227" i="144"/>
  <c r="E27" i="144"/>
  <c r="F50" i="144"/>
  <c r="E111" i="144"/>
  <c r="B153" i="144"/>
  <c r="F154" i="144"/>
  <c r="F155" i="144"/>
  <c r="C153" i="144"/>
  <c r="F135" i="144"/>
  <c r="E217" i="144"/>
  <c r="P247" i="144"/>
  <c r="D48" i="144"/>
  <c r="K64" i="144" s="1"/>
  <c r="F72" i="144"/>
  <c r="E232" i="144"/>
  <c r="E218" i="144"/>
  <c r="F136" i="144"/>
  <c r="G233" i="144"/>
  <c r="A252" i="144"/>
  <c r="G235" i="144"/>
  <c r="C48" i="2"/>
  <c r="B48" i="2"/>
  <c r="I58" i="2" s="1"/>
  <c r="F31" i="2"/>
  <c r="E217" i="2"/>
  <c r="G231" i="2" s="1"/>
  <c r="G8" i="2"/>
  <c r="G10" i="2"/>
  <c r="E211" i="2"/>
  <c r="G225" i="2" s="1"/>
  <c r="G226" i="2" s="1"/>
  <c r="E226" i="2"/>
  <c r="P242" i="2" s="1"/>
  <c r="H7" i="2"/>
  <c r="E218" i="2"/>
  <c r="G232" i="2" s="1"/>
  <c r="H11" i="2"/>
  <c r="H8" i="2"/>
  <c r="E230" i="2"/>
  <c r="P246" i="2" s="1"/>
  <c r="G11" i="2"/>
  <c r="I11" i="2" s="1"/>
  <c r="G12" i="2"/>
  <c r="G6" i="2"/>
  <c r="P248" i="2"/>
  <c r="H13" i="2"/>
  <c r="P250" i="2"/>
  <c r="A251" i="2"/>
  <c r="H12" i="2"/>
  <c r="G7" i="2"/>
  <c r="G13" i="2"/>
  <c r="F235" i="2"/>
  <c r="G10" i="59"/>
  <c r="M33" i="24"/>
  <c r="L33" i="24"/>
  <c r="M42" i="6"/>
  <c r="L42" i="6"/>
  <c r="F177" i="2"/>
  <c r="D174" i="2"/>
  <c r="M55" i="3"/>
  <c r="E81" i="9"/>
  <c r="C248" i="17"/>
  <c r="H228" i="17"/>
  <c r="L42" i="30"/>
  <c r="M42" i="30"/>
  <c r="AA39" i="42"/>
  <c r="I39" i="42"/>
  <c r="K39" i="42" s="1"/>
  <c r="D433" i="59"/>
  <c r="H418" i="59"/>
  <c r="D197" i="59"/>
  <c r="F200" i="59" s="1"/>
  <c r="E56" i="3"/>
  <c r="J28" i="6"/>
  <c r="AB6" i="6"/>
  <c r="F6" i="7"/>
  <c r="H6" i="7" s="1"/>
  <c r="H145" i="7"/>
  <c r="E17" i="7"/>
  <c r="F21" i="7" s="1"/>
  <c r="D10" i="23"/>
  <c r="AB17" i="22"/>
  <c r="AA39" i="62"/>
  <c r="I39" i="62"/>
  <c r="K39" i="62" s="1"/>
  <c r="M39" i="62" s="1"/>
  <c r="D11" i="67"/>
  <c r="AB20" i="66"/>
  <c r="F155" i="3"/>
  <c r="C153" i="3"/>
  <c r="E38" i="21"/>
  <c r="F42" i="21" s="1"/>
  <c r="I32" i="22"/>
  <c r="K32" i="22" s="1"/>
  <c r="E21" i="27"/>
  <c r="F25" i="27" s="1"/>
  <c r="I28" i="32"/>
  <c r="AB20" i="38"/>
  <c r="D11" i="39"/>
  <c r="F13" i="59"/>
  <c r="AB27" i="58"/>
  <c r="E29" i="59"/>
  <c r="F33" i="59" s="1"/>
  <c r="AA11" i="66"/>
  <c r="C8" i="67"/>
  <c r="M31" i="6"/>
  <c r="L31" i="6"/>
  <c r="AA27" i="40"/>
  <c r="I35" i="40"/>
  <c r="K35" i="40" s="1"/>
  <c r="H13" i="3"/>
  <c r="E6" i="7"/>
  <c r="G6" i="7" s="1"/>
  <c r="I35" i="26"/>
  <c r="K35" i="26" s="1"/>
  <c r="AA33" i="38"/>
  <c r="I37" i="38"/>
  <c r="K37" i="38" s="1"/>
  <c r="E8" i="45"/>
  <c r="AA12" i="44"/>
  <c r="I30" i="44"/>
  <c r="K30" i="44" s="1"/>
  <c r="L38" i="104"/>
  <c r="M38" i="104"/>
  <c r="AB15" i="6"/>
  <c r="C47" i="7"/>
  <c r="F49" i="7" s="1"/>
  <c r="H159" i="7"/>
  <c r="AA30" i="24"/>
  <c r="I36" i="24"/>
  <c r="K36" i="24" s="1"/>
  <c r="E124" i="31"/>
  <c r="A146" i="31" s="1"/>
  <c r="E134" i="31"/>
  <c r="I41" i="66"/>
  <c r="K41" i="66" s="1"/>
  <c r="AA45" i="66"/>
  <c r="C532" i="77"/>
  <c r="H478" i="77"/>
  <c r="L35" i="104"/>
  <c r="M35" i="104"/>
  <c r="AB24" i="30"/>
  <c r="E85" i="33"/>
  <c r="F73" i="33"/>
  <c r="G84" i="33"/>
  <c r="J41" i="36"/>
  <c r="AB45" i="36"/>
  <c r="F333" i="49"/>
  <c r="AA29" i="64"/>
  <c r="C14" i="65"/>
  <c r="E146" i="2"/>
  <c r="E123" i="23"/>
  <c r="A145" i="23" s="1"/>
  <c r="AB36" i="24"/>
  <c r="J39" i="24"/>
  <c r="I31" i="30"/>
  <c r="K31" i="30" s="1"/>
  <c r="AA14" i="30"/>
  <c r="E118" i="33"/>
  <c r="A140" i="33" s="1"/>
  <c r="I38" i="34"/>
  <c r="K38" i="34" s="1"/>
  <c r="AA36" i="34"/>
  <c r="C8" i="35"/>
  <c r="H7" i="37"/>
  <c r="E180" i="39"/>
  <c r="A206" i="39" s="1"/>
  <c r="E192" i="39"/>
  <c r="AA45" i="38"/>
  <c r="I41" i="38"/>
  <c r="K41" i="38" s="1"/>
  <c r="AA20" i="40"/>
  <c r="C11" i="41"/>
  <c r="D9" i="45"/>
  <c r="AB14" i="44"/>
  <c r="D12" i="45"/>
  <c r="AB23" i="44"/>
  <c r="D13" i="67"/>
  <c r="AB26" i="66"/>
  <c r="E10" i="71"/>
  <c r="I32" i="70"/>
  <c r="AA18" i="70"/>
  <c r="AA45" i="72"/>
  <c r="I41" i="72"/>
  <c r="K41" i="72" s="1"/>
  <c r="E295" i="93"/>
  <c r="F295" i="93" s="1"/>
  <c r="E281" i="93"/>
  <c r="A311" i="93" s="1"/>
  <c r="E66" i="2"/>
  <c r="D27" i="3"/>
  <c r="D47" i="7"/>
  <c r="F50" i="7" s="1"/>
  <c r="AA6" i="8"/>
  <c r="J28" i="8"/>
  <c r="I35" i="8"/>
  <c r="K35" i="8" s="1"/>
  <c r="AA27" i="8"/>
  <c r="I42" i="8"/>
  <c r="K42" i="8" s="1"/>
  <c r="C167" i="9"/>
  <c r="H142" i="9"/>
  <c r="B17" i="9"/>
  <c r="C47" i="9"/>
  <c r="F49" i="9" s="1"/>
  <c r="AA42" i="10"/>
  <c r="J42" i="14"/>
  <c r="C247" i="15"/>
  <c r="H220" i="15"/>
  <c r="H8" i="17"/>
  <c r="H214" i="17"/>
  <c r="D246" i="17"/>
  <c r="D38" i="17"/>
  <c r="F41" i="17" s="1"/>
  <c r="B38" i="17"/>
  <c r="J30" i="18"/>
  <c r="AB11" i="18"/>
  <c r="D8" i="19"/>
  <c r="H220" i="19"/>
  <c r="J36" i="22"/>
  <c r="I39" i="22"/>
  <c r="K39" i="22" s="1"/>
  <c r="AA39" i="22"/>
  <c r="E124" i="23"/>
  <c r="A146" i="23" s="1"/>
  <c r="AA24" i="24"/>
  <c r="J30" i="24"/>
  <c r="E132" i="27"/>
  <c r="G132" i="27" s="1"/>
  <c r="E122" i="27"/>
  <c r="A144" i="27" s="1"/>
  <c r="AB17" i="28"/>
  <c r="E129" i="29"/>
  <c r="F129" i="29" s="1"/>
  <c r="C249" i="29"/>
  <c r="E21" i="31"/>
  <c r="F25" i="31" s="1"/>
  <c r="M39" i="32"/>
  <c r="L39" i="32"/>
  <c r="D72" i="33"/>
  <c r="D248" i="33"/>
  <c r="AB17" i="34"/>
  <c r="C10" i="35"/>
  <c r="AA17" i="34"/>
  <c r="E177" i="41"/>
  <c r="A203" i="41" s="1"/>
  <c r="E189" i="41"/>
  <c r="N203" i="41" s="1"/>
  <c r="AA11" i="40"/>
  <c r="C8" i="41"/>
  <c r="G8" i="41" s="1"/>
  <c r="E50" i="63"/>
  <c r="F54" i="63" s="1"/>
  <c r="H363" i="63"/>
  <c r="J40" i="68"/>
  <c r="AB42" i="68"/>
  <c r="AB18" i="70"/>
  <c r="F10" i="71"/>
  <c r="J32" i="70"/>
  <c r="J41" i="72"/>
  <c r="AB45" i="72"/>
  <c r="G6" i="79"/>
  <c r="E141" i="89"/>
  <c r="F145" i="89" s="1"/>
  <c r="H346" i="89"/>
  <c r="C17" i="5"/>
  <c r="F19" i="5" s="1"/>
  <c r="H143" i="5"/>
  <c r="J32" i="12"/>
  <c r="AB18" i="12"/>
  <c r="E129" i="25"/>
  <c r="E119" i="25"/>
  <c r="A141" i="25" s="1"/>
  <c r="E55" i="31"/>
  <c r="F59" i="31" s="1"/>
  <c r="H223" i="31"/>
  <c r="AB24" i="32"/>
  <c r="J34" i="32"/>
  <c r="E32" i="9"/>
  <c r="F36" i="9" s="1"/>
  <c r="H153" i="9"/>
  <c r="D334" i="53"/>
  <c r="D82" i="53"/>
  <c r="F85" i="53" s="1"/>
  <c r="AB36" i="10"/>
  <c r="J38" i="10"/>
  <c r="B38" i="27"/>
  <c r="C246" i="27"/>
  <c r="D6" i="41"/>
  <c r="AB5" i="40"/>
  <c r="L63" i="3"/>
  <c r="H220" i="21"/>
  <c r="C247" i="21"/>
  <c r="B55" i="21"/>
  <c r="F56" i="21" s="1"/>
  <c r="AB8" i="10"/>
  <c r="D7" i="11"/>
  <c r="E38" i="29"/>
  <c r="F42" i="29" s="1"/>
  <c r="H215" i="29"/>
  <c r="H325" i="35"/>
  <c r="E139" i="35"/>
  <c r="F143" i="35" s="1"/>
  <c r="AA11" i="44"/>
  <c r="C8" i="45"/>
  <c r="F233" i="3"/>
  <c r="P249" i="3"/>
  <c r="J37" i="30"/>
  <c r="AB33" i="30"/>
  <c r="AB33" i="34"/>
  <c r="J37" i="34"/>
  <c r="J145" i="2"/>
  <c r="I145" i="2"/>
  <c r="E142" i="2"/>
  <c r="F144" i="2"/>
  <c r="K143" i="2"/>
  <c r="F142" i="2"/>
  <c r="E148" i="2"/>
  <c r="C141" i="2"/>
  <c r="F64" i="2"/>
  <c r="L33" i="12"/>
  <c r="E89" i="17"/>
  <c r="F93" i="17" s="1"/>
  <c r="H239" i="17"/>
  <c r="H205" i="19"/>
  <c r="C8" i="23"/>
  <c r="G8" i="23" s="1"/>
  <c r="E120" i="25"/>
  <c r="A142" i="25" s="1"/>
  <c r="I34" i="30"/>
  <c r="K34" i="30" s="1"/>
  <c r="AA24" i="30"/>
  <c r="F128" i="33"/>
  <c r="G128" i="33"/>
  <c r="J177" i="33" s="1"/>
  <c r="F141" i="2"/>
  <c r="D168" i="5"/>
  <c r="J65" i="2"/>
  <c r="AB48" i="8"/>
  <c r="J42" i="8"/>
  <c r="I36" i="10"/>
  <c r="K36" i="10" s="1"/>
  <c r="G8" i="17"/>
  <c r="H9" i="2"/>
  <c r="F66" i="2"/>
  <c r="J146" i="2"/>
  <c r="G140" i="3"/>
  <c r="J29" i="4"/>
  <c r="AB8" i="4"/>
  <c r="M32" i="4"/>
  <c r="AA5" i="6"/>
  <c r="AB6" i="8"/>
  <c r="J31" i="8"/>
  <c r="AB42" i="10"/>
  <c r="H161" i="13"/>
  <c r="E38" i="15"/>
  <c r="F42" i="15" s="1"/>
  <c r="AA27" i="16"/>
  <c r="I39" i="16"/>
  <c r="K39" i="16" s="1"/>
  <c r="H215" i="17"/>
  <c r="E38" i="17"/>
  <c r="F42" i="17" s="1"/>
  <c r="AA12" i="18"/>
  <c r="E8" i="19"/>
  <c r="AA48" i="18"/>
  <c r="I42" i="18"/>
  <c r="K42" i="18" s="1"/>
  <c r="F9" i="19"/>
  <c r="H221" i="19"/>
  <c r="C249" i="21"/>
  <c r="H236" i="21"/>
  <c r="J39" i="22"/>
  <c r="AB39" i="22"/>
  <c r="AB30" i="24"/>
  <c r="F6" i="25"/>
  <c r="H6" i="25" s="1"/>
  <c r="H239" i="25"/>
  <c r="C72" i="27"/>
  <c r="F74" i="27" s="1"/>
  <c r="H229" i="27"/>
  <c r="AA14" i="28"/>
  <c r="C9" i="29"/>
  <c r="AA33" i="28"/>
  <c r="H214" i="31"/>
  <c r="D246" i="31"/>
  <c r="AB39" i="32"/>
  <c r="AB6" i="34"/>
  <c r="F6" i="35"/>
  <c r="AB27" i="34"/>
  <c r="J35" i="34"/>
  <c r="J29" i="36"/>
  <c r="E180" i="45"/>
  <c r="A206" i="45" s="1"/>
  <c r="E192" i="45"/>
  <c r="G192" i="45" s="1"/>
  <c r="E254" i="57"/>
  <c r="E240" i="57"/>
  <c r="A270" i="57" s="1"/>
  <c r="C9" i="57"/>
  <c r="AA14" i="56"/>
  <c r="K34" i="56"/>
  <c r="M34" i="56" s="1"/>
  <c r="C45" i="63"/>
  <c r="AB36" i="72"/>
  <c r="J38" i="72"/>
  <c r="AB11" i="78"/>
  <c r="J30" i="78"/>
  <c r="AB32" i="78"/>
  <c r="D15" i="79"/>
  <c r="C363" i="89"/>
  <c r="H319" i="89"/>
  <c r="B84" i="89"/>
  <c r="C367" i="89"/>
  <c r="B160" i="89"/>
  <c r="H351" i="89"/>
  <c r="C391" i="91"/>
  <c r="B67" i="91"/>
  <c r="C395" i="91"/>
  <c r="B143" i="91"/>
  <c r="F144" i="91" s="1"/>
  <c r="H364" i="91"/>
  <c r="H332" i="91"/>
  <c r="AA5" i="32"/>
  <c r="H212" i="33"/>
  <c r="B38" i="33"/>
  <c r="F39" i="33" s="1"/>
  <c r="C246" i="33"/>
  <c r="AA20" i="42"/>
  <c r="C11" i="43"/>
  <c r="AB48" i="62"/>
  <c r="J42" i="62"/>
  <c r="AA36" i="10"/>
  <c r="I38" i="10"/>
  <c r="K38" i="10" s="1"/>
  <c r="E89" i="27"/>
  <c r="F93" i="27" s="1"/>
  <c r="H239" i="27"/>
  <c r="J31" i="32"/>
  <c r="I29" i="22"/>
  <c r="K29" i="22" s="1"/>
  <c r="L29" i="22" s="1"/>
  <c r="B89" i="23"/>
  <c r="C249" i="23"/>
  <c r="AB30" i="38"/>
  <c r="J36" i="38"/>
  <c r="AA20" i="44"/>
  <c r="I33" i="44"/>
  <c r="K33" i="44" s="1"/>
  <c r="C11" i="45"/>
  <c r="F72" i="3"/>
  <c r="D69" i="3"/>
  <c r="J33" i="8"/>
  <c r="AB21" i="8"/>
  <c r="G85" i="11"/>
  <c r="J41" i="14"/>
  <c r="AB45" i="14"/>
  <c r="G128" i="17"/>
  <c r="F128" i="17"/>
  <c r="B65" i="17"/>
  <c r="I28" i="18"/>
  <c r="C245" i="19"/>
  <c r="H204" i="19"/>
  <c r="B21" i="19"/>
  <c r="F22" i="19" s="1"/>
  <c r="E176" i="51"/>
  <c r="A202" i="51" s="1"/>
  <c r="E188" i="51"/>
  <c r="G188" i="51" s="1"/>
  <c r="C10" i="59"/>
  <c r="AA17" i="58"/>
  <c r="K139" i="2"/>
  <c r="I64" i="3"/>
  <c r="I34" i="6"/>
  <c r="K34" i="6" s="1"/>
  <c r="AA24" i="6"/>
  <c r="J90" i="11"/>
  <c r="F80" i="11"/>
  <c r="C99" i="11" s="1"/>
  <c r="I36" i="12"/>
  <c r="K36" i="12" s="1"/>
  <c r="AA30" i="12"/>
  <c r="J41" i="16"/>
  <c r="F6" i="19"/>
  <c r="AB6" i="18"/>
  <c r="J28" i="18"/>
  <c r="J32" i="22"/>
  <c r="J33" i="30"/>
  <c r="AB21" i="30"/>
  <c r="L139" i="2"/>
  <c r="I34" i="4"/>
  <c r="K34" i="4" s="1"/>
  <c r="B72" i="17"/>
  <c r="F73" i="17" s="1"/>
  <c r="J40" i="60"/>
  <c r="AB42" i="60"/>
  <c r="J28" i="14"/>
  <c r="D7" i="19"/>
  <c r="AB8" i="18"/>
  <c r="G100" i="15"/>
  <c r="M41" i="18"/>
  <c r="C38" i="23"/>
  <c r="F40" i="23" s="1"/>
  <c r="E130" i="57"/>
  <c r="G128" i="57"/>
  <c r="B122" i="57"/>
  <c r="I126" i="57"/>
  <c r="I120" i="57"/>
  <c r="H126" i="57"/>
  <c r="H120" i="57"/>
  <c r="G126" i="57"/>
  <c r="G120" i="57"/>
  <c r="E126" i="57"/>
  <c r="C126" i="57"/>
  <c r="I131" i="57"/>
  <c r="C123" i="57"/>
  <c r="H131" i="57"/>
  <c r="H122" i="57"/>
  <c r="G131" i="57"/>
  <c r="G122" i="57"/>
  <c r="F131" i="57"/>
  <c r="C122" i="57"/>
  <c r="E131" i="57"/>
  <c r="I128" i="57"/>
  <c r="D131" i="57"/>
  <c r="C129" i="57"/>
  <c r="L128" i="57"/>
  <c r="H128" i="57"/>
  <c r="D125" i="57"/>
  <c r="M124" i="57"/>
  <c r="L124" i="57"/>
  <c r="C125" i="57"/>
  <c r="K124" i="57"/>
  <c r="L123" i="57"/>
  <c r="D8" i="23"/>
  <c r="H223" i="29"/>
  <c r="E55" i="29"/>
  <c r="F59" i="29" s="1"/>
  <c r="H324" i="45"/>
  <c r="D139" i="45"/>
  <c r="F142" i="45" s="1"/>
  <c r="D337" i="45"/>
  <c r="B27" i="3"/>
  <c r="F28" i="3"/>
  <c r="AA9" i="36"/>
  <c r="I29" i="36"/>
  <c r="K29" i="36" s="1"/>
  <c r="D90" i="2"/>
  <c r="L146" i="2"/>
  <c r="A248" i="3"/>
  <c r="G232" i="3"/>
  <c r="K142" i="3"/>
  <c r="F8" i="11"/>
  <c r="AB12" i="10"/>
  <c r="J31" i="12"/>
  <c r="AB15" i="12"/>
  <c r="D55" i="15"/>
  <c r="H222" i="15"/>
  <c r="D247" i="15"/>
  <c r="AB27" i="16"/>
  <c r="B66" i="17"/>
  <c r="C65" i="17"/>
  <c r="E131" i="23"/>
  <c r="G131" i="23" s="1"/>
  <c r="M37" i="24"/>
  <c r="L37" i="24"/>
  <c r="F8" i="27"/>
  <c r="H8" i="27" s="1"/>
  <c r="AB12" i="26"/>
  <c r="AA6" i="28"/>
  <c r="M37" i="28"/>
  <c r="L37" i="28"/>
  <c r="AA8" i="34"/>
  <c r="C7" i="35"/>
  <c r="E191" i="37"/>
  <c r="G191" i="37" s="1"/>
  <c r="C120" i="39"/>
  <c r="H315" i="39"/>
  <c r="N204" i="41"/>
  <c r="G190" i="41"/>
  <c r="I35" i="42"/>
  <c r="K35" i="42" s="1"/>
  <c r="AA27" i="42"/>
  <c r="D6" i="45"/>
  <c r="H6" i="45" s="1"/>
  <c r="AB5" i="44"/>
  <c r="AA36" i="46"/>
  <c r="I38" i="46"/>
  <c r="K38" i="46" s="1"/>
  <c r="AA48" i="48"/>
  <c r="I42" i="48"/>
  <c r="K42" i="48" s="1"/>
  <c r="D9" i="57"/>
  <c r="AB14" i="56"/>
  <c r="E401" i="83"/>
  <c r="F401" i="83" s="1"/>
  <c r="E383" i="83"/>
  <c r="A421" i="83" s="1"/>
  <c r="H144" i="7"/>
  <c r="D17" i="7"/>
  <c r="F20" i="7" s="1"/>
  <c r="D248" i="23"/>
  <c r="H230" i="23"/>
  <c r="AA9" i="42"/>
  <c r="I29" i="42"/>
  <c r="E7" i="43"/>
  <c r="G7" i="43" s="1"/>
  <c r="L150" i="2"/>
  <c r="E9" i="19"/>
  <c r="AA15" i="18"/>
  <c r="F71" i="3"/>
  <c r="C69" i="3"/>
  <c r="I38" i="16"/>
  <c r="K38" i="16" s="1"/>
  <c r="AB27" i="64"/>
  <c r="F13" i="65"/>
  <c r="J35" i="64"/>
  <c r="K35" i="64" s="1"/>
  <c r="L35" i="14"/>
  <c r="M35" i="14"/>
  <c r="J33" i="24"/>
  <c r="AB21" i="24"/>
  <c r="L42" i="26"/>
  <c r="M42" i="26"/>
  <c r="F8" i="31"/>
  <c r="H8" i="31" s="1"/>
  <c r="AB12" i="30"/>
  <c r="F7" i="7"/>
  <c r="B148" i="2"/>
  <c r="I12" i="3"/>
  <c r="L62" i="3"/>
  <c r="K150" i="3"/>
  <c r="L143" i="3"/>
  <c r="C32" i="5"/>
  <c r="F34" i="5" s="1"/>
  <c r="E128" i="15"/>
  <c r="AB30" i="16"/>
  <c r="D247" i="17"/>
  <c r="L146" i="19"/>
  <c r="G134" i="19"/>
  <c r="AB36" i="18"/>
  <c r="D247" i="19"/>
  <c r="H222" i="19"/>
  <c r="E10" i="21"/>
  <c r="G10" i="21" s="1"/>
  <c r="AA18" i="20"/>
  <c r="I32" i="20"/>
  <c r="AA12" i="22"/>
  <c r="E21" i="25"/>
  <c r="F25" i="25" s="1"/>
  <c r="H207" i="25"/>
  <c r="I30" i="26"/>
  <c r="E130" i="27"/>
  <c r="G130" i="27" s="1"/>
  <c r="AB6" i="28"/>
  <c r="AA18" i="28"/>
  <c r="H204" i="29"/>
  <c r="C245" i="29"/>
  <c r="B21" i="29"/>
  <c r="C9" i="33"/>
  <c r="AA14" i="32"/>
  <c r="D25" i="37"/>
  <c r="F28" i="37" s="1"/>
  <c r="H276" i="37"/>
  <c r="D331" i="37"/>
  <c r="D335" i="37"/>
  <c r="H308" i="37"/>
  <c r="D101" i="37"/>
  <c r="F104" i="37" s="1"/>
  <c r="D71" i="37"/>
  <c r="K70" i="37"/>
  <c r="F64" i="37"/>
  <c r="B78" i="37"/>
  <c r="J74" i="37"/>
  <c r="G74" i="37"/>
  <c r="F74" i="37"/>
  <c r="AA8" i="38"/>
  <c r="C7" i="39"/>
  <c r="I29" i="38"/>
  <c r="K29" i="38" s="1"/>
  <c r="D120" i="39"/>
  <c r="F123" i="39" s="1"/>
  <c r="H316" i="39"/>
  <c r="D336" i="39"/>
  <c r="F10" i="43"/>
  <c r="AB18" i="42"/>
  <c r="J29" i="54"/>
  <c r="F7" i="55"/>
  <c r="H7" i="55" s="1"/>
  <c r="AB39" i="54"/>
  <c r="J39" i="54"/>
  <c r="E9" i="57"/>
  <c r="AA15" i="56"/>
  <c r="I31" i="56"/>
  <c r="C176" i="57"/>
  <c r="F178" i="57" s="1"/>
  <c r="H409" i="57"/>
  <c r="E331" i="77"/>
  <c r="E315" i="77"/>
  <c r="A349" i="77" s="1"/>
  <c r="H10" i="17"/>
  <c r="C10" i="25"/>
  <c r="AA17" i="24"/>
  <c r="M34" i="26"/>
  <c r="L34" i="26"/>
  <c r="E190" i="37"/>
  <c r="G190" i="37" s="1"/>
  <c r="E178" i="37"/>
  <c r="A204" i="37" s="1"/>
  <c r="AB33" i="22"/>
  <c r="J37" i="22"/>
  <c r="H231" i="23"/>
  <c r="F112" i="2"/>
  <c r="B111" i="2"/>
  <c r="E63" i="3"/>
  <c r="C169" i="9"/>
  <c r="H158" i="9"/>
  <c r="I37" i="22"/>
  <c r="K37" i="22" s="1"/>
  <c r="AA45" i="26"/>
  <c r="I41" i="26"/>
  <c r="K41" i="26" s="1"/>
  <c r="E118" i="29"/>
  <c r="A140" i="29" s="1"/>
  <c r="E128" i="29"/>
  <c r="M56" i="2"/>
  <c r="AA27" i="32"/>
  <c r="I35" i="32"/>
  <c r="K35" i="32" s="1"/>
  <c r="E11" i="39"/>
  <c r="AA21" i="38"/>
  <c r="AA6" i="40"/>
  <c r="I28" i="40"/>
  <c r="E6" i="41"/>
  <c r="G6" i="41" s="1"/>
  <c r="C331" i="41"/>
  <c r="H274" i="41"/>
  <c r="F73" i="3"/>
  <c r="E69" i="3"/>
  <c r="I40" i="4"/>
  <c r="K40" i="4" s="1"/>
  <c r="J39" i="12"/>
  <c r="AB39" i="12"/>
  <c r="F100" i="15"/>
  <c r="E100" i="15"/>
  <c r="B97" i="15"/>
  <c r="G96" i="15"/>
  <c r="AA6" i="18"/>
  <c r="J41" i="18"/>
  <c r="AB45" i="18"/>
  <c r="H237" i="19"/>
  <c r="C89" i="19"/>
  <c r="F91" i="19" s="1"/>
  <c r="I35" i="22"/>
  <c r="K35" i="22" s="1"/>
  <c r="M35" i="22" s="1"/>
  <c r="E63" i="35"/>
  <c r="F67" i="35" s="1"/>
  <c r="H293" i="35"/>
  <c r="AB11" i="38"/>
  <c r="D8" i="39"/>
  <c r="AB24" i="6"/>
  <c r="J34" i="6"/>
  <c r="F10" i="17"/>
  <c r="AB18" i="16"/>
  <c r="AA8" i="18"/>
  <c r="C7" i="19"/>
  <c r="G7" i="19"/>
  <c r="E122" i="23"/>
  <c r="A144" i="23" s="1"/>
  <c r="E132" i="23"/>
  <c r="G132" i="23" s="1"/>
  <c r="D141" i="2"/>
  <c r="J34" i="4"/>
  <c r="H158" i="7"/>
  <c r="B47" i="7"/>
  <c r="F7" i="11"/>
  <c r="AB9" i="10"/>
  <c r="J29" i="6"/>
  <c r="K29" i="6" s="1"/>
  <c r="AA36" i="8"/>
  <c r="I38" i="8"/>
  <c r="K38" i="8" s="1"/>
  <c r="H446" i="77"/>
  <c r="C528" i="77"/>
  <c r="B56" i="77"/>
  <c r="AA30" i="30"/>
  <c r="E89" i="31"/>
  <c r="F93" i="31" s="1"/>
  <c r="H239" i="31"/>
  <c r="E179" i="39"/>
  <c r="A205" i="39" s="1"/>
  <c r="E191" i="39"/>
  <c r="M36" i="52"/>
  <c r="L36" i="52"/>
  <c r="J40" i="58"/>
  <c r="AB42" i="58"/>
  <c r="AA39" i="14"/>
  <c r="I39" i="14"/>
  <c r="K39" i="14" s="1"/>
  <c r="D148" i="2"/>
  <c r="M39" i="6"/>
  <c r="L39" i="6"/>
  <c r="AA18" i="8"/>
  <c r="I32" i="8"/>
  <c r="K32" i="8" s="1"/>
  <c r="B32" i="11"/>
  <c r="H150" i="11"/>
  <c r="E32" i="13"/>
  <c r="F36" i="13" s="1"/>
  <c r="H153" i="13"/>
  <c r="H236" i="19"/>
  <c r="AB8" i="20"/>
  <c r="D7" i="21"/>
  <c r="L35" i="20"/>
  <c r="M35" i="20"/>
  <c r="AB12" i="24"/>
  <c r="B38" i="25"/>
  <c r="J30" i="26"/>
  <c r="AA8" i="28"/>
  <c r="I34" i="36"/>
  <c r="AA23" i="36"/>
  <c r="E120" i="39"/>
  <c r="F124" i="39" s="1"/>
  <c r="H317" i="39"/>
  <c r="E147" i="39"/>
  <c r="J42" i="42"/>
  <c r="AB48" i="42"/>
  <c r="AA6" i="46"/>
  <c r="E6" i="47"/>
  <c r="G6" i="47" s="1"/>
  <c r="I28" i="46"/>
  <c r="AB18" i="48"/>
  <c r="F10" i="49"/>
  <c r="J32" i="48"/>
  <c r="H299" i="53"/>
  <c r="AA21" i="54"/>
  <c r="E11" i="55"/>
  <c r="C10" i="95"/>
  <c r="AA17" i="94"/>
  <c r="L38" i="94"/>
  <c r="M38" i="94"/>
  <c r="AB6" i="16"/>
  <c r="F6" i="17"/>
  <c r="H238" i="27"/>
  <c r="D249" i="27"/>
  <c r="D89" i="27"/>
  <c r="H299" i="41"/>
  <c r="C82" i="41"/>
  <c r="F84" i="41" s="1"/>
  <c r="H360" i="55"/>
  <c r="C426" i="55"/>
  <c r="B50" i="55"/>
  <c r="H386" i="59"/>
  <c r="D113" i="59"/>
  <c r="F116" i="59" s="1"/>
  <c r="D429" i="59"/>
  <c r="D167" i="5"/>
  <c r="D17" i="5"/>
  <c r="F20" i="5" s="1"/>
  <c r="G135" i="17"/>
  <c r="L147" i="17"/>
  <c r="C6" i="19"/>
  <c r="G6" i="19" s="1"/>
  <c r="F7" i="23"/>
  <c r="AB9" i="22"/>
  <c r="AB5" i="32"/>
  <c r="H419" i="59"/>
  <c r="E197" i="59"/>
  <c r="F201" i="59" s="1"/>
  <c r="A249" i="2"/>
  <c r="E17" i="5"/>
  <c r="F21" i="5" s="1"/>
  <c r="H145" i="5"/>
  <c r="E83" i="9"/>
  <c r="F83" i="9" s="1"/>
  <c r="E75" i="9"/>
  <c r="A93" i="9" s="1"/>
  <c r="I41" i="16"/>
  <c r="K41" i="16" s="1"/>
  <c r="AA45" i="16"/>
  <c r="H236" i="23"/>
  <c r="E184" i="47"/>
  <c r="E172" i="47"/>
  <c r="A198" i="47" s="1"/>
  <c r="J33" i="48"/>
  <c r="F11" i="49"/>
  <c r="E250" i="67"/>
  <c r="E236" i="67"/>
  <c r="A266" i="67" s="1"/>
  <c r="D13" i="69"/>
  <c r="AB26" i="68"/>
  <c r="J35" i="68"/>
  <c r="E74" i="85"/>
  <c r="F78" i="85" s="1"/>
  <c r="H250" i="85"/>
  <c r="I13" i="3"/>
  <c r="E398" i="3" s="1"/>
  <c r="D153" i="3"/>
  <c r="F156" i="3"/>
  <c r="G7" i="9"/>
  <c r="J31" i="18"/>
  <c r="E133" i="21"/>
  <c r="L145" i="21" s="1"/>
  <c r="E123" i="21"/>
  <c r="A145" i="21" s="1"/>
  <c r="AB27" i="22"/>
  <c r="J35" i="22"/>
  <c r="AA11" i="50"/>
  <c r="C8" i="51"/>
  <c r="J35" i="58"/>
  <c r="H354" i="69"/>
  <c r="D425" i="69"/>
  <c r="D429" i="69"/>
  <c r="H386" i="69"/>
  <c r="D113" i="69"/>
  <c r="F116" i="69" s="1"/>
  <c r="D197" i="69"/>
  <c r="F200" i="69" s="1"/>
  <c r="H418" i="69"/>
  <c r="H7" i="85"/>
  <c r="F7" i="141"/>
  <c r="J29" i="140"/>
  <c r="AB9" i="140"/>
  <c r="J32" i="10"/>
  <c r="AB18" i="10"/>
  <c r="I42" i="12"/>
  <c r="K42" i="12" s="1"/>
  <c r="AA48" i="12"/>
  <c r="B67" i="17"/>
  <c r="C55" i="21"/>
  <c r="F57" i="21" s="1"/>
  <c r="H221" i="21"/>
  <c r="E7" i="23"/>
  <c r="E121" i="25"/>
  <c r="A143" i="25" s="1"/>
  <c r="E131" i="25"/>
  <c r="G131" i="25" s="1"/>
  <c r="J38" i="26"/>
  <c r="I40" i="38"/>
  <c r="K40" i="38" s="1"/>
  <c r="AA42" i="38"/>
  <c r="I30" i="12"/>
  <c r="K30" i="12" s="1"/>
  <c r="AA11" i="12"/>
  <c r="C8" i="13"/>
  <c r="G8" i="13" s="1"/>
  <c r="I39" i="12"/>
  <c r="K39" i="12" s="1"/>
  <c r="E130" i="17"/>
  <c r="G130" i="17" s="1"/>
  <c r="E120" i="17"/>
  <c r="A142" i="17" s="1"/>
  <c r="J42" i="24"/>
  <c r="AB48" i="24"/>
  <c r="C335" i="41"/>
  <c r="F234" i="3"/>
  <c r="P250" i="3"/>
  <c r="I37" i="4"/>
  <c r="K37" i="4" s="1"/>
  <c r="M37" i="4" s="1"/>
  <c r="AB24" i="20"/>
  <c r="C246" i="23"/>
  <c r="H212" i="23"/>
  <c r="E7" i="27"/>
  <c r="G7" i="27" s="1"/>
  <c r="AA9" i="26"/>
  <c r="I40" i="30"/>
  <c r="K40" i="30" s="1"/>
  <c r="AA42" i="30"/>
  <c r="F189" i="39"/>
  <c r="N203" i="39"/>
  <c r="E141" i="2"/>
  <c r="AA9" i="18"/>
  <c r="I29" i="18"/>
  <c r="I39" i="24"/>
  <c r="K39" i="24" s="1"/>
  <c r="M39" i="24" s="1"/>
  <c r="AA39" i="24"/>
  <c r="I41" i="36"/>
  <c r="K41" i="36" s="1"/>
  <c r="AA45" i="36"/>
  <c r="H510" i="77"/>
  <c r="B240" i="77"/>
  <c r="C536" i="77"/>
  <c r="I65" i="2"/>
  <c r="E76" i="7"/>
  <c r="A94" i="7" s="1"/>
  <c r="E84" i="7"/>
  <c r="J92" i="13"/>
  <c r="I30" i="22"/>
  <c r="K30" i="22" s="1"/>
  <c r="B82" i="35"/>
  <c r="F96" i="35" s="1"/>
  <c r="D63" i="45"/>
  <c r="F66" i="45" s="1"/>
  <c r="D333" i="45"/>
  <c r="H292" i="45"/>
  <c r="B47" i="9"/>
  <c r="F48" i="9" s="1"/>
  <c r="F130" i="19"/>
  <c r="H8" i="25"/>
  <c r="J39" i="26"/>
  <c r="AB39" i="26"/>
  <c r="H223" i="27"/>
  <c r="E55" i="27"/>
  <c r="F59" i="27" s="1"/>
  <c r="AA36" i="28"/>
  <c r="F7" i="31"/>
  <c r="F175" i="2"/>
  <c r="B174" i="2"/>
  <c r="A247" i="2"/>
  <c r="F236" i="2"/>
  <c r="E74" i="5"/>
  <c r="A92" i="5" s="1"/>
  <c r="E82" i="5"/>
  <c r="J29" i="8"/>
  <c r="AB9" i="8"/>
  <c r="F176" i="2"/>
  <c r="C174" i="2"/>
  <c r="F148" i="2"/>
  <c r="G236" i="2"/>
  <c r="D65" i="3"/>
  <c r="L55" i="3"/>
  <c r="G234" i="3"/>
  <c r="A250" i="3"/>
  <c r="E83" i="5"/>
  <c r="E75" i="5"/>
  <c r="A93" i="5" s="1"/>
  <c r="AA39" i="6"/>
  <c r="I29" i="8"/>
  <c r="AB18" i="8"/>
  <c r="J32" i="8"/>
  <c r="G80" i="9"/>
  <c r="M31" i="10"/>
  <c r="L31" i="10"/>
  <c r="E82" i="11"/>
  <c r="J92" i="11" s="1"/>
  <c r="C7" i="13"/>
  <c r="I33" i="14"/>
  <c r="K33" i="14" s="1"/>
  <c r="AA21" i="14"/>
  <c r="F10" i="15"/>
  <c r="H10" i="15" s="1"/>
  <c r="C65" i="15"/>
  <c r="E6" i="17"/>
  <c r="AA6" i="16"/>
  <c r="I66" i="17"/>
  <c r="E118" i="17"/>
  <c r="A140" i="17" s="1"/>
  <c r="C248" i="19"/>
  <c r="B72" i="19"/>
  <c r="F73" i="19" s="1"/>
  <c r="H228" i="19"/>
  <c r="AA9" i="20"/>
  <c r="E7" i="21"/>
  <c r="G7" i="21" s="1"/>
  <c r="I29" i="20"/>
  <c r="J35" i="20"/>
  <c r="C246" i="21"/>
  <c r="B38" i="21"/>
  <c r="G50" i="21" s="1"/>
  <c r="B21" i="21"/>
  <c r="F22" i="21" s="1"/>
  <c r="C10" i="23"/>
  <c r="J31" i="24"/>
  <c r="F9" i="25"/>
  <c r="H9" i="25" s="1"/>
  <c r="H206" i="27"/>
  <c r="AB48" i="30"/>
  <c r="J42" i="30"/>
  <c r="AA20" i="34"/>
  <c r="C11" i="35"/>
  <c r="C334" i="35"/>
  <c r="E8" i="37"/>
  <c r="AA12" i="36"/>
  <c r="AB23" i="36"/>
  <c r="D12" i="37"/>
  <c r="AA11" i="38"/>
  <c r="C337" i="39"/>
  <c r="H322" i="39"/>
  <c r="B139" i="39"/>
  <c r="F96" i="41"/>
  <c r="F93" i="41"/>
  <c r="B25" i="41"/>
  <c r="F26" i="41" s="1"/>
  <c r="E185" i="43"/>
  <c r="E173" i="43"/>
  <c r="A199" i="43" s="1"/>
  <c r="AB8" i="42"/>
  <c r="D7" i="43"/>
  <c r="J32" i="42"/>
  <c r="F11" i="55"/>
  <c r="AB21" i="54"/>
  <c r="J33" i="54"/>
  <c r="B71" i="67"/>
  <c r="C427" i="67"/>
  <c r="H368" i="67"/>
  <c r="B155" i="67"/>
  <c r="C431" i="67"/>
  <c r="H400" i="67"/>
  <c r="J30" i="16"/>
  <c r="H6" i="17"/>
  <c r="J29" i="20"/>
  <c r="J37" i="28"/>
  <c r="AB33" i="28"/>
  <c r="H220" i="31"/>
  <c r="B55" i="31"/>
  <c r="I40" i="32"/>
  <c r="K40" i="32" s="1"/>
  <c r="M40" i="32" s="1"/>
  <c r="AA42" i="32"/>
  <c r="H12" i="35"/>
  <c r="C82" i="35"/>
  <c r="H299" i="35"/>
  <c r="B25" i="37"/>
  <c r="H274" i="37"/>
  <c r="H306" i="37"/>
  <c r="C335" i="37"/>
  <c r="AA36" i="40"/>
  <c r="I38" i="40"/>
  <c r="K38" i="40" s="1"/>
  <c r="AB39" i="42"/>
  <c r="J39" i="42"/>
  <c r="D333" i="43"/>
  <c r="H292" i="43"/>
  <c r="J36" i="48"/>
  <c r="AB30" i="48"/>
  <c r="AB6" i="52"/>
  <c r="F6" i="53"/>
  <c r="AB17" i="58"/>
  <c r="D10" i="59"/>
  <c r="E392" i="81"/>
  <c r="A430" i="81" s="1"/>
  <c r="E410" i="81"/>
  <c r="H223" i="87"/>
  <c r="C272" i="87"/>
  <c r="B23" i="87"/>
  <c r="B91" i="87"/>
  <c r="H255" i="87"/>
  <c r="C276" i="87"/>
  <c r="E12" i="89"/>
  <c r="AA24" i="88"/>
  <c r="I34" i="88"/>
  <c r="H333" i="91"/>
  <c r="C67" i="91"/>
  <c r="F69" i="91" s="1"/>
  <c r="H365" i="91"/>
  <c r="C143" i="91"/>
  <c r="F145" i="91" s="1"/>
  <c r="AA21" i="138"/>
  <c r="E11" i="139"/>
  <c r="C15" i="139"/>
  <c r="AA32" i="138"/>
  <c r="I37" i="138"/>
  <c r="K37" i="138" s="1"/>
  <c r="L37" i="138" s="1"/>
  <c r="H6" i="2"/>
  <c r="G6" i="3"/>
  <c r="I6" i="3" s="1"/>
  <c r="E140" i="3"/>
  <c r="J34" i="8"/>
  <c r="J42" i="12"/>
  <c r="G10" i="15"/>
  <c r="E123" i="15"/>
  <c r="A145" i="15" s="1"/>
  <c r="AB12" i="16"/>
  <c r="AA33" i="18"/>
  <c r="J37" i="20"/>
  <c r="AB42" i="22"/>
  <c r="AA24" i="28"/>
  <c r="I34" i="28"/>
  <c r="K34" i="28" s="1"/>
  <c r="H300" i="35"/>
  <c r="D334" i="35"/>
  <c r="H293" i="39"/>
  <c r="E63" i="39"/>
  <c r="F67" i="39" s="1"/>
  <c r="E63" i="43"/>
  <c r="F67" i="43" s="1"/>
  <c r="H293" i="43"/>
  <c r="H322" i="45"/>
  <c r="B139" i="45"/>
  <c r="C337" i="45"/>
  <c r="E258" i="59"/>
  <c r="E244" i="59"/>
  <c r="A274" i="59" s="1"/>
  <c r="C7" i="59"/>
  <c r="AA8" i="58"/>
  <c r="AA18" i="58"/>
  <c r="I32" i="58"/>
  <c r="AA9" i="64"/>
  <c r="E7" i="65"/>
  <c r="I29" i="64"/>
  <c r="K29" i="64" s="1"/>
  <c r="AB5" i="88"/>
  <c r="J28" i="88"/>
  <c r="K28" i="88" s="1"/>
  <c r="F12" i="89"/>
  <c r="AB24" i="88"/>
  <c r="J34" i="88"/>
  <c r="K34" i="88" s="1"/>
  <c r="AA48" i="90"/>
  <c r="I42" i="90"/>
  <c r="K42" i="90" s="1"/>
  <c r="H291" i="45"/>
  <c r="C63" i="45"/>
  <c r="F65" i="45" s="1"/>
  <c r="D7" i="53"/>
  <c r="AB8" i="52"/>
  <c r="P270" i="55"/>
  <c r="G254" i="55"/>
  <c r="E330" i="77"/>
  <c r="E314" i="77"/>
  <c r="A348" i="77" s="1"/>
  <c r="E7" i="77"/>
  <c r="AA9" i="76"/>
  <c r="I29" i="76"/>
  <c r="C7" i="81"/>
  <c r="AA8" i="80"/>
  <c r="AB24" i="86"/>
  <c r="J34" i="86"/>
  <c r="H257" i="87"/>
  <c r="D276" i="87"/>
  <c r="D6" i="101"/>
  <c r="AB5" i="100"/>
  <c r="C47" i="103"/>
  <c r="H157" i="103"/>
  <c r="J30" i="20"/>
  <c r="B103" i="27"/>
  <c r="D25" i="35"/>
  <c r="F28" i="35" s="1"/>
  <c r="H276" i="35"/>
  <c r="AA42" i="46"/>
  <c r="I40" i="46"/>
  <c r="K40" i="46" s="1"/>
  <c r="AA29" i="62"/>
  <c r="C14" i="63"/>
  <c r="F236" i="3"/>
  <c r="F84" i="5"/>
  <c r="AA42" i="6"/>
  <c r="C8" i="7"/>
  <c r="AB8" i="8"/>
  <c r="J35" i="8"/>
  <c r="E72" i="11"/>
  <c r="A90" i="11" s="1"/>
  <c r="AB8" i="12"/>
  <c r="J35" i="12"/>
  <c r="AA45" i="12"/>
  <c r="D47" i="13"/>
  <c r="F50" i="13" s="1"/>
  <c r="E55" i="15"/>
  <c r="F59" i="15" s="1"/>
  <c r="F7" i="17"/>
  <c r="H7" i="17" s="1"/>
  <c r="B89" i="17"/>
  <c r="J34" i="18"/>
  <c r="AB12" i="20"/>
  <c r="D246" i="21"/>
  <c r="B55" i="23"/>
  <c r="F56" i="23" s="1"/>
  <c r="E133" i="25"/>
  <c r="H214" i="27"/>
  <c r="D38" i="27"/>
  <c r="F41" i="27" s="1"/>
  <c r="D246" i="27"/>
  <c r="D249" i="29"/>
  <c r="D89" i="29"/>
  <c r="F92" i="29" s="1"/>
  <c r="H230" i="31"/>
  <c r="D248" i="31"/>
  <c r="C38" i="33"/>
  <c r="F40" i="33" s="1"/>
  <c r="AA42" i="34"/>
  <c r="E7" i="39"/>
  <c r="AA9" i="38"/>
  <c r="J35" i="38"/>
  <c r="AB27" i="38"/>
  <c r="J38" i="38"/>
  <c r="E179" i="41"/>
  <c r="A205" i="41" s="1"/>
  <c r="E191" i="41"/>
  <c r="C82" i="45"/>
  <c r="H299" i="45"/>
  <c r="J78" i="51"/>
  <c r="F6" i="61"/>
  <c r="H6" i="61" s="1"/>
  <c r="AB6" i="60"/>
  <c r="J28" i="60"/>
  <c r="AB29" i="62"/>
  <c r="D14" i="63"/>
  <c r="H14" i="63" s="1"/>
  <c r="J38" i="66"/>
  <c r="AB36" i="66"/>
  <c r="C426" i="69"/>
  <c r="H360" i="69"/>
  <c r="B50" i="69"/>
  <c r="B134" i="69"/>
  <c r="H392" i="69"/>
  <c r="C430" i="69"/>
  <c r="E29" i="69"/>
  <c r="F33" i="69" s="1"/>
  <c r="E305" i="77"/>
  <c r="A339" i="77" s="1"/>
  <c r="E321" i="77"/>
  <c r="F321" i="77" s="1"/>
  <c r="H465" i="79"/>
  <c r="F8" i="117"/>
  <c r="H8" i="117" s="1"/>
  <c r="AB12" i="116"/>
  <c r="G129" i="21"/>
  <c r="J178" i="21" s="1"/>
  <c r="J78" i="37"/>
  <c r="F115" i="2"/>
  <c r="L57" i="3"/>
  <c r="AB42" i="6"/>
  <c r="F29" i="9"/>
  <c r="I39" i="10"/>
  <c r="K39" i="10" s="1"/>
  <c r="I29" i="14"/>
  <c r="K29" i="14" s="1"/>
  <c r="I40" i="14"/>
  <c r="K40" i="14" s="1"/>
  <c r="G7" i="17"/>
  <c r="I37" i="16"/>
  <c r="K37" i="16" s="1"/>
  <c r="H236" i="17"/>
  <c r="J29" i="18"/>
  <c r="K29" i="18" s="1"/>
  <c r="I40" i="18"/>
  <c r="K40" i="18" s="1"/>
  <c r="M40" i="18" s="1"/>
  <c r="AB48" i="22"/>
  <c r="F7" i="29"/>
  <c r="J31" i="30"/>
  <c r="C247" i="31"/>
  <c r="AB36" i="34"/>
  <c r="E44" i="37"/>
  <c r="F48" i="37" s="1"/>
  <c r="H285" i="37"/>
  <c r="AB30" i="40"/>
  <c r="J36" i="40"/>
  <c r="H290" i="41"/>
  <c r="C333" i="41"/>
  <c r="C337" i="41"/>
  <c r="H322" i="41"/>
  <c r="B139" i="41"/>
  <c r="H307" i="43"/>
  <c r="C101" i="43"/>
  <c r="F103" i="43" s="1"/>
  <c r="D63" i="43"/>
  <c r="F66" i="43" s="1"/>
  <c r="C7" i="45"/>
  <c r="AA8" i="44"/>
  <c r="AB45" i="44"/>
  <c r="J41" i="44"/>
  <c r="E187" i="47"/>
  <c r="G187" i="47" s="1"/>
  <c r="E175" i="47"/>
  <c r="A201" i="47" s="1"/>
  <c r="J41" i="50"/>
  <c r="AB45" i="50"/>
  <c r="H212" i="55"/>
  <c r="F201" i="55"/>
  <c r="F6" i="67"/>
  <c r="H6" i="67" s="1"/>
  <c r="AB6" i="66"/>
  <c r="I37" i="78"/>
  <c r="C117" i="99"/>
  <c r="F119" i="99" s="1"/>
  <c r="H431" i="99"/>
  <c r="I41" i="116"/>
  <c r="K41" i="116" s="1"/>
  <c r="AA45" i="116"/>
  <c r="H10" i="2"/>
  <c r="J30" i="22"/>
  <c r="D38" i="23"/>
  <c r="F41" i="23" s="1"/>
  <c r="AB5" i="24"/>
  <c r="G8" i="27"/>
  <c r="H301" i="39"/>
  <c r="E82" i="39"/>
  <c r="F86" i="39" s="1"/>
  <c r="F52" i="2"/>
  <c r="AB11" i="12"/>
  <c r="J40" i="14"/>
  <c r="AA48" i="14"/>
  <c r="AB9" i="18"/>
  <c r="H10" i="19"/>
  <c r="G135" i="21"/>
  <c r="H221" i="25"/>
  <c r="C55" i="25"/>
  <c r="E120" i="29"/>
  <c r="A142" i="29" s="1"/>
  <c r="C10" i="31"/>
  <c r="AA17" i="30"/>
  <c r="C6" i="31"/>
  <c r="C245" i="31"/>
  <c r="B21" i="31"/>
  <c r="B139" i="37"/>
  <c r="H322" i="37"/>
  <c r="AB5" i="42"/>
  <c r="D6" i="43"/>
  <c r="F111" i="43"/>
  <c r="B25" i="49"/>
  <c r="H274" i="49"/>
  <c r="C331" i="49"/>
  <c r="H306" i="49"/>
  <c r="C335" i="49"/>
  <c r="B101" i="49"/>
  <c r="K112" i="49" s="1"/>
  <c r="AA18" i="50"/>
  <c r="E10" i="51"/>
  <c r="G251" i="57"/>
  <c r="F251" i="57"/>
  <c r="D8" i="57"/>
  <c r="AB11" i="56"/>
  <c r="I37" i="56"/>
  <c r="K37" i="56" s="1"/>
  <c r="AA33" i="56"/>
  <c r="I38" i="64"/>
  <c r="K38" i="64" s="1"/>
  <c r="AA36" i="64"/>
  <c r="AA8" i="66"/>
  <c r="C7" i="67"/>
  <c r="L38" i="66"/>
  <c r="E10" i="69"/>
  <c r="I32" i="68"/>
  <c r="B92" i="73"/>
  <c r="C428" i="73"/>
  <c r="H376" i="73"/>
  <c r="H408" i="73"/>
  <c r="B176" i="73"/>
  <c r="C432" i="73"/>
  <c r="D38" i="25"/>
  <c r="F41" i="25" s="1"/>
  <c r="D246" i="25"/>
  <c r="H308" i="35"/>
  <c r="D101" i="35"/>
  <c r="F104" i="35" s="1"/>
  <c r="C120" i="37"/>
  <c r="F122" i="37" s="1"/>
  <c r="H315" i="37"/>
  <c r="C331" i="37"/>
  <c r="AA21" i="40"/>
  <c r="I33" i="40"/>
  <c r="AA6" i="44"/>
  <c r="E6" i="45"/>
  <c r="I28" i="44"/>
  <c r="E6" i="69"/>
  <c r="G6" i="69" s="1"/>
  <c r="AA6" i="68"/>
  <c r="E197" i="69"/>
  <c r="F201" i="69" s="1"/>
  <c r="H419" i="69"/>
  <c r="G7" i="3"/>
  <c r="I42" i="4"/>
  <c r="K42" i="4" s="1"/>
  <c r="M42" i="4" s="1"/>
  <c r="G8" i="7"/>
  <c r="D167" i="9"/>
  <c r="I42" i="10"/>
  <c r="K42" i="10" s="1"/>
  <c r="AA24" i="12"/>
  <c r="J30" i="12"/>
  <c r="J29" i="14"/>
  <c r="J38" i="14"/>
  <c r="I29" i="16"/>
  <c r="I32" i="18"/>
  <c r="AA9" i="24"/>
  <c r="H6" i="27"/>
  <c r="I40" i="26"/>
  <c r="K40" i="26" s="1"/>
  <c r="AA42" i="26"/>
  <c r="D9" i="27"/>
  <c r="D21" i="29"/>
  <c r="H31" i="29" s="1"/>
  <c r="AB14" i="30"/>
  <c r="I30" i="32"/>
  <c r="C337" i="37"/>
  <c r="I42" i="38"/>
  <c r="K42" i="38" s="1"/>
  <c r="AA48" i="38"/>
  <c r="E192" i="41"/>
  <c r="E180" i="41"/>
  <c r="A206" i="41" s="1"/>
  <c r="J40" i="40"/>
  <c r="AB42" i="40"/>
  <c r="AA6" i="42"/>
  <c r="E6" i="43"/>
  <c r="AA24" i="46"/>
  <c r="E12" i="47"/>
  <c r="G12" i="47" s="1"/>
  <c r="M35" i="50"/>
  <c r="J32" i="54"/>
  <c r="F10" i="55"/>
  <c r="AB18" i="54"/>
  <c r="D210" i="55"/>
  <c r="E12" i="57"/>
  <c r="G12" i="57" s="1"/>
  <c r="AA24" i="56"/>
  <c r="C92" i="73"/>
  <c r="F94" i="73" s="1"/>
  <c r="H377" i="73"/>
  <c r="H409" i="73"/>
  <c r="C176" i="73"/>
  <c r="F178" i="73" s="1"/>
  <c r="C56" i="75"/>
  <c r="H447" i="75"/>
  <c r="L39" i="92"/>
  <c r="F140" i="107"/>
  <c r="H155" i="107"/>
  <c r="G153" i="107"/>
  <c r="E155" i="107"/>
  <c r="J146" i="107"/>
  <c r="D150" i="107"/>
  <c r="G11" i="47"/>
  <c r="F9" i="69"/>
  <c r="AB15" i="68"/>
  <c r="H387" i="69"/>
  <c r="E113" i="69"/>
  <c r="F117" i="69" s="1"/>
  <c r="G9" i="2"/>
  <c r="H7" i="3"/>
  <c r="J36" i="4"/>
  <c r="E81" i="11"/>
  <c r="H158" i="11"/>
  <c r="I32" i="14"/>
  <c r="K32" i="14" s="1"/>
  <c r="M32" i="14" s="1"/>
  <c r="C21" i="15"/>
  <c r="F23" i="15" s="1"/>
  <c r="H228" i="15"/>
  <c r="J29" i="16"/>
  <c r="K29" i="16" s="1"/>
  <c r="I32" i="16"/>
  <c r="K32" i="16" s="1"/>
  <c r="I40" i="16"/>
  <c r="K40" i="16" s="1"/>
  <c r="E132" i="17"/>
  <c r="J32" i="18"/>
  <c r="B38" i="19"/>
  <c r="F7" i="21"/>
  <c r="G130" i="23"/>
  <c r="H223" i="25"/>
  <c r="E55" i="25"/>
  <c r="F59" i="25" s="1"/>
  <c r="I31" i="26"/>
  <c r="E9" i="27"/>
  <c r="E125" i="29"/>
  <c r="A147" i="29" s="1"/>
  <c r="E135" i="29"/>
  <c r="G8" i="29"/>
  <c r="E190" i="35"/>
  <c r="E178" i="35"/>
  <c r="A204" i="35" s="1"/>
  <c r="H292" i="37"/>
  <c r="D333" i="37"/>
  <c r="D337" i="37"/>
  <c r="H282" i="43"/>
  <c r="B44" i="43"/>
  <c r="E190" i="49"/>
  <c r="E178" i="49"/>
  <c r="A204" i="49" s="1"/>
  <c r="I32" i="50"/>
  <c r="F12" i="57"/>
  <c r="H12" i="57" s="1"/>
  <c r="J34" i="56"/>
  <c r="E250" i="61"/>
  <c r="E236" i="61"/>
  <c r="A266" i="61" s="1"/>
  <c r="E235" i="63"/>
  <c r="A265" i="63" s="1"/>
  <c r="E249" i="63"/>
  <c r="G248" i="63"/>
  <c r="F248" i="63"/>
  <c r="AA27" i="64"/>
  <c r="E13" i="65"/>
  <c r="G13" i="65" s="1"/>
  <c r="D428" i="73"/>
  <c r="H378" i="73"/>
  <c r="D92" i="73"/>
  <c r="H410" i="73"/>
  <c r="D176" i="73"/>
  <c r="F179" i="73" s="1"/>
  <c r="D432" i="73"/>
  <c r="AA33" i="26"/>
  <c r="E186" i="43"/>
  <c r="G186" i="43" s="1"/>
  <c r="E174" i="43"/>
  <c r="A200" i="43" s="1"/>
  <c r="K32" i="42"/>
  <c r="J38" i="42"/>
  <c r="AB36" i="42"/>
  <c r="C331" i="43"/>
  <c r="H274" i="43"/>
  <c r="E7" i="47"/>
  <c r="AA9" i="46"/>
  <c r="E191" i="49"/>
  <c r="E179" i="49"/>
  <c r="A205" i="49" s="1"/>
  <c r="AA45" i="50"/>
  <c r="I41" i="50"/>
  <c r="K41" i="50" s="1"/>
  <c r="G215" i="55"/>
  <c r="I207" i="55"/>
  <c r="F215" i="55"/>
  <c r="I206" i="55"/>
  <c r="E215" i="55"/>
  <c r="F206" i="55"/>
  <c r="D215" i="55"/>
  <c r="D206" i="55"/>
  <c r="J214" i="55"/>
  <c r="C206" i="55"/>
  <c r="M212" i="55"/>
  <c r="B206" i="55"/>
  <c r="M209" i="55"/>
  <c r="M208" i="55"/>
  <c r="L208" i="55"/>
  <c r="M205" i="55"/>
  <c r="B204" i="55"/>
  <c r="H130" i="57"/>
  <c r="F115" i="57"/>
  <c r="E13" i="59"/>
  <c r="AA27" i="58"/>
  <c r="C197" i="59"/>
  <c r="F199" i="59" s="1"/>
  <c r="H417" i="59"/>
  <c r="M41" i="63"/>
  <c r="AA27" i="66"/>
  <c r="E13" i="67"/>
  <c r="D6" i="69"/>
  <c r="H6" i="69" s="1"/>
  <c r="AB5" i="68"/>
  <c r="E13" i="69"/>
  <c r="AA27" i="68"/>
  <c r="I35" i="68"/>
  <c r="K35" i="68" s="1"/>
  <c r="C8" i="79"/>
  <c r="AA11" i="78"/>
  <c r="I31" i="80"/>
  <c r="AA15" i="80"/>
  <c r="AA23" i="80"/>
  <c r="C12" i="81"/>
  <c r="AB32" i="80"/>
  <c r="D15" i="81"/>
  <c r="H249" i="85"/>
  <c r="D275" i="85"/>
  <c r="D74" i="85"/>
  <c r="F77" i="85" s="1"/>
  <c r="AB23" i="116"/>
  <c r="J34" i="116"/>
  <c r="D12" i="117"/>
  <c r="AB30" i="98"/>
  <c r="F14" i="99"/>
  <c r="F25" i="105"/>
  <c r="D35" i="105"/>
  <c r="I35" i="105"/>
  <c r="B35" i="105"/>
  <c r="G33" i="105"/>
  <c r="B33" i="105"/>
  <c r="I32" i="105"/>
  <c r="D82" i="47"/>
  <c r="F85" i="47" s="1"/>
  <c r="D334" i="47"/>
  <c r="AA5" i="56"/>
  <c r="C6" i="57"/>
  <c r="AA9" i="58"/>
  <c r="E7" i="59"/>
  <c r="G7" i="59" s="1"/>
  <c r="H362" i="59"/>
  <c r="D426" i="59"/>
  <c r="D430" i="59"/>
  <c r="H394" i="59"/>
  <c r="D134" i="59"/>
  <c r="F137" i="59" s="1"/>
  <c r="M42" i="62"/>
  <c r="L42" i="62"/>
  <c r="C71" i="65"/>
  <c r="F73" i="65" s="1"/>
  <c r="H369" i="65"/>
  <c r="H401" i="65"/>
  <c r="F10" i="69"/>
  <c r="AB18" i="68"/>
  <c r="J32" i="68"/>
  <c r="K32" i="68" s="1"/>
  <c r="C50" i="69"/>
  <c r="F52" i="69" s="1"/>
  <c r="H361" i="69"/>
  <c r="H393" i="69"/>
  <c r="C134" i="69"/>
  <c r="F136" i="69" s="1"/>
  <c r="D13" i="73"/>
  <c r="AB26" i="72"/>
  <c r="F157" i="73"/>
  <c r="E316" i="77"/>
  <c r="A350" i="77" s="1"/>
  <c r="E332" i="77"/>
  <c r="J42" i="76"/>
  <c r="AB48" i="76"/>
  <c r="AB30" i="82"/>
  <c r="F14" i="83"/>
  <c r="H573" i="83"/>
  <c r="C162" i="83"/>
  <c r="P181" i="83" s="1"/>
  <c r="E144" i="87"/>
  <c r="A166" i="87" s="1"/>
  <c r="E154" i="87"/>
  <c r="L166" i="87" s="1"/>
  <c r="G13" i="91"/>
  <c r="E309" i="97"/>
  <c r="A339" i="97" s="1"/>
  <c r="E323" i="97"/>
  <c r="G323" i="97" s="1"/>
  <c r="E296" i="99"/>
  <c r="G296" i="99" s="1"/>
  <c r="E282" i="99"/>
  <c r="A312" i="99" s="1"/>
  <c r="E7" i="99"/>
  <c r="AA9" i="98"/>
  <c r="H151" i="103"/>
  <c r="E32" i="103"/>
  <c r="F36" i="103" s="1"/>
  <c r="H211" i="105"/>
  <c r="D243" i="105"/>
  <c r="D38" i="105"/>
  <c r="F41" i="105" s="1"/>
  <c r="C15" i="143"/>
  <c r="AA32" i="142"/>
  <c r="I29" i="30"/>
  <c r="J32" i="30"/>
  <c r="B55" i="33"/>
  <c r="D120" i="37"/>
  <c r="F123" i="37" s="1"/>
  <c r="J30" i="40"/>
  <c r="H306" i="43"/>
  <c r="E11" i="45"/>
  <c r="AA21" i="44"/>
  <c r="B82" i="45"/>
  <c r="C334" i="45"/>
  <c r="H300" i="47"/>
  <c r="B210" i="55"/>
  <c r="J41" i="56"/>
  <c r="B176" i="57"/>
  <c r="H408" i="57"/>
  <c r="AB9" i="58"/>
  <c r="F7" i="59"/>
  <c r="J36" i="62"/>
  <c r="AB8" i="64"/>
  <c r="D7" i="65"/>
  <c r="G11" i="69"/>
  <c r="E333" i="77"/>
  <c r="E317" i="77"/>
  <c r="A351" i="77" s="1"/>
  <c r="E313" i="79"/>
  <c r="A347" i="79" s="1"/>
  <c r="E329" i="79"/>
  <c r="O284" i="81"/>
  <c r="J282" i="81"/>
  <c r="I271" i="81"/>
  <c r="F280" i="81"/>
  <c r="H271" i="81"/>
  <c r="I279" i="81"/>
  <c r="G271" i="81"/>
  <c r="H279" i="81"/>
  <c r="K270" i="81"/>
  <c r="E279" i="81"/>
  <c r="F269" i="81"/>
  <c r="J272" i="81"/>
  <c r="H272" i="81"/>
  <c r="G284" i="81"/>
  <c r="G272" i="81"/>
  <c r="F284" i="81"/>
  <c r="J270" i="81"/>
  <c r="E284" i="81"/>
  <c r="E269" i="81"/>
  <c r="K282" i="81"/>
  <c r="G279" i="81"/>
  <c r="F277" i="81"/>
  <c r="E277" i="81"/>
  <c r="O276" i="81"/>
  <c r="G276" i="81"/>
  <c r="I283" i="81"/>
  <c r="H283" i="81"/>
  <c r="E11" i="83"/>
  <c r="AA21" i="82"/>
  <c r="C15" i="83"/>
  <c r="AA32" i="82"/>
  <c r="N178" i="83"/>
  <c r="O173" i="83"/>
  <c r="I173" i="83"/>
  <c r="C173" i="83"/>
  <c r="C179" i="83"/>
  <c r="Q178" i="83"/>
  <c r="O178" i="83"/>
  <c r="H173" i="83"/>
  <c r="Q172" i="83"/>
  <c r="H181" i="83"/>
  <c r="Q171" i="83"/>
  <c r="P171" i="83"/>
  <c r="C171" i="83"/>
  <c r="K182" i="83"/>
  <c r="G147" i="85"/>
  <c r="C6" i="87"/>
  <c r="I28" i="86"/>
  <c r="K28" i="86" s="1"/>
  <c r="E137" i="137"/>
  <c r="A159" i="137" s="1"/>
  <c r="E147" i="137"/>
  <c r="I38" i="136"/>
  <c r="K38" i="136" s="1"/>
  <c r="AA36" i="136"/>
  <c r="I41" i="136"/>
  <c r="K41" i="136" s="1"/>
  <c r="AA45" i="136"/>
  <c r="B31" i="139"/>
  <c r="H372" i="139"/>
  <c r="C453" i="139"/>
  <c r="H404" i="139"/>
  <c r="C457" i="139"/>
  <c r="B115" i="139"/>
  <c r="D485" i="141"/>
  <c r="H405" i="141"/>
  <c r="D54" i="141"/>
  <c r="F57" i="141" s="1"/>
  <c r="D247" i="31"/>
  <c r="C12" i="39"/>
  <c r="G129" i="39"/>
  <c r="K129" i="39"/>
  <c r="E181" i="45"/>
  <c r="A207" i="45" s="1"/>
  <c r="E193" i="45"/>
  <c r="AA39" i="44"/>
  <c r="I39" i="44"/>
  <c r="K39" i="44" s="1"/>
  <c r="D334" i="45"/>
  <c r="D82" i="45"/>
  <c r="F85" i="45" s="1"/>
  <c r="H300" i="45"/>
  <c r="D9" i="47"/>
  <c r="AB14" i="46"/>
  <c r="H275" i="47"/>
  <c r="C25" i="47"/>
  <c r="F27" i="47" s="1"/>
  <c r="C8" i="49"/>
  <c r="G8" i="49" s="1"/>
  <c r="AA11" i="48"/>
  <c r="I30" i="48"/>
  <c r="H317" i="49"/>
  <c r="E120" i="49"/>
  <c r="F124" i="49" s="1"/>
  <c r="AA23" i="52"/>
  <c r="C12" i="53"/>
  <c r="H277" i="53"/>
  <c r="E25" i="53"/>
  <c r="F29" i="53" s="1"/>
  <c r="E210" i="55"/>
  <c r="I130" i="63"/>
  <c r="J29" i="64"/>
  <c r="F7" i="65"/>
  <c r="AA21" i="64"/>
  <c r="E11" i="65"/>
  <c r="I33" i="64"/>
  <c r="K33" i="64" s="1"/>
  <c r="E11" i="67"/>
  <c r="G11" i="67" s="1"/>
  <c r="I33" i="66"/>
  <c r="K33" i="66" s="1"/>
  <c r="I42" i="70"/>
  <c r="K42" i="70" s="1"/>
  <c r="AA48" i="70"/>
  <c r="AA29" i="72"/>
  <c r="C14" i="73"/>
  <c r="AB45" i="74"/>
  <c r="D528" i="75"/>
  <c r="D56" i="75"/>
  <c r="F59" i="75" s="1"/>
  <c r="H480" i="75"/>
  <c r="D148" i="75"/>
  <c r="F151" i="75" s="1"/>
  <c r="M38" i="84"/>
  <c r="L38" i="84"/>
  <c r="L166" i="95"/>
  <c r="G154" i="95"/>
  <c r="H400" i="99"/>
  <c r="D487" i="99"/>
  <c r="D117" i="99"/>
  <c r="F120" i="99" s="1"/>
  <c r="D491" i="99"/>
  <c r="D495" i="99"/>
  <c r="H464" i="99"/>
  <c r="H159" i="101"/>
  <c r="D47" i="101"/>
  <c r="F50" i="101" s="1"/>
  <c r="D168" i="101"/>
  <c r="AA45" i="102"/>
  <c r="I41" i="102"/>
  <c r="K41" i="102" s="1"/>
  <c r="D167" i="103"/>
  <c r="H158" i="103"/>
  <c r="D47" i="103"/>
  <c r="F50" i="103" s="1"/>
  <c r="C8" i="105"/>
  <c r="AA11" i="104"/>
  <c r="I30" i="104"/>
  <c r="AA11" i="114"/>
  <c r="C8" i="115"/>
  <c r="AB30" i="114"/>
  <c r="J36" i="114"/>
  <c r="E16" i="141"/>
  <c r="AA36" i="140"/>
  <c r="H406" i="141"/>
  <c r="E54" i="141"/>
  <c r="F58" i="141" s="1"/>
  <c r="E138" i="141"/>
  <c r="F142" i="141" s="1"/>
  <c r="H438" i="141"/>
  <c r="AB8" i="34"/>
  <c r="D11" i="35"/>
  <c r="AB20" i="36"/>
  <c r="AB42" i="36"/>
  <c r="J40" i="36"/>
  <c r="D336" i="37"/>
  <c r="J39" i="40"/>
  <c r="AB39" i="40"/>
  <c r="C6" i="45"/>
  <c r="AA5" i="44"/>
  <c r="E82" i="45"/>
  <c r="F86" i="45" s="1"/>
  <c r="H301" i="45"/>
  <c r="AB11" i="48"/>
  <c r="D8" i="49"/>
  <c r="H290" i="49"/>
  <c r="B63" i="49"/>
  <c r="C337" i="49"/>
  <c r="H322" i="49"/>
  <c r="D155" i="53"/>
  <c r="B153" i="53"/>
  <c r="D151" i="53"/>
  <c r="K147" i="53"/>
  <c r="F210" i="55"/>
  <c r="H401" i="55"/>
  <c r="E92" i="57"/>
  <c r="F96" i="57" s="1"/>
  <c r="H379" i="57"/>
  <c r="M40" i="58"/>
  <c r="AA39" i="60"/>
  <c r="I39" i="60"/>
  <c r="K39" i="60" s="1"/>
  <c r="AB30" i="62"/>
  <c r="L37" i="62"/>
  <c r="M37" i="62"/>
  <c r="C12" i="71"/>
  <c r="AA23" i="70"/>
  <c r="AA33" i="70"/>
  <c r="I37" i="70"/>
  <c r="K37" i="70" s="1"/>
  <c r="K272" i="81"/>
  <c r="D183" i="83"/>
  <c r="AB18" i="84"/>
  <c r="J32" i="84"/>
  <c r="K32" i="84" s="1"/>
  <c r="E233" i="91"/>
  <c r="E221" i="91"/>
  <c r="A247" i="91" s="1"/>
  <c r="F8" i="91"/>
  <c r="AB12" i="90"/>
  <c r="AB42" i="94"/>
  <c r="J40" i="94"/>
  <c r="C519" i="135"/>
  <c r="B56" i="135"/>
  <c r="H429" i="135"/>
  <c r="C9" i="139"/>
  <c r="I31" i="138"/>
  <c r="H291" i="49"/>
  <c r="C63" i="49"/>
  <c r="F65" i="49" s="1"/>
  <c r="H293" i="51"/>
  <c r="E63" i="51"/>
  <c r="F67" i="51" s="1"/>
  <c r="E139" i="51"/>
  <c r="F143" i="51" s="1"/>
  <c r="AA15" i="54"/>
  <c r="I31" i="54"/>
  <c r="E9" i="55"/>
  <c r="G9" i="55" s="1"/>
  <c r="B212" i="55"/>
  <c r="AA48" i="56"/>
  <c r="I42" i="56"/>
  <c r="K42" i="56" s="1"/>
  <c r="C425" i="57"/>
  <c r="B29" i="57"/>
  <c r="M47" i="57" s="1"/>
  <c r="H416" i="57"/>
  <c r="B197" i="57"/>
  <c r="E241" i="63"/>
  <c r="A271" i="63" s="1"/>
  <c r="E255" i="63"/>
  <c r="D92" i="65"/>
  <c r="F95" i="65" s="1"/>
  <c r="D428" i="65"/>
  <c r="H378" i="65"/>
  <c r="H410" i="65"/>
  <c r="D432" i="65"/>
  <c r="D176" i="65"/>
  <c r="F179" i="65" s="1"/>
  <c r="F10" i="73"/>
  <c r="AB18" i="72"/>
  <c r="C11" i="77"/>
  <c r="AB39" i="80"/>
  <c r="F17" i="81"/>
  <c r="H17" i="81" s="1"/>
  <c r="H567" i="81"/>
  <c r="E137" i="81"/>
  <c r="F141" i="81" s="1"/>
  <c r="H631" i="81"/>
  <c r="E337" i="81"/>
  <c r="F341" i="81" s="1"/>
  <c r="J275" i="81"/>
  <c r="AB23" i="90"/>
  <c r="D12" i="91"/>
  <c r="H12" i="91" s="1"/>
  <c r="E162" i="91"/>
  <c r="F166" i="91" s="1"/>
  <c r="H375" i="91"/>
  <c r="AA24" i="94"/>
  <c r="I34" i="94"/>
  <c r="K34" i="94" s="1"/>
  <c r="H224" i="95"/>
  <c r="C23" i="95"/>
  <c r="F25" i="95" s="1"/>
  <c r="C91" i="95"/>
  <c r="F93" i="95" s="1"/>
  <c r="H256" i="95"/>
  <c r="E144" i="95"/>
  <c r="A166" i="95" s="1"/>
  <c r="H11" i="49"/>
  <c r="E82" i="49"/>
  <c r="F86" i="49" s="1"/>
  <c r="I31" i="52"/>
  <c r="AA15" i="52"/>
  <c r="E9" i="53"/>
  <c r="H9" i="53"/>
  <c r="I212" i="55"/>
  <c r="F31" i="57"/>
  <c r="H417" i="57"/>
  <c r="C197" i="57"/>
  <c r="F199" i="57" s="1"/>
  <c r="E250" i="59"/>
  <c r="E236" i="59"/>
  <c r="A266" i="59" s="1"/>
  <c r="AB23" i="58"/>
  <c r="D12" i="59"/>
  <c r="C11" i="73"/>
  <c r="AA20" i="72"/>
  <c r="J34" i="74"/>
  <c r="AB23" i="74"/>
  <c r="D12" i="75"/>
  <c r="H12" i="75" s="1"/>
  <c r="E307" i="77"/>
  <c r="A341" i="77" s="1"/>
  <c r="E323" i="77"/>
  <c r="G323" i="77" s="1"/>
  <c r="AB48" i="80"/>
  <c r="H540" i="81"/>
  <c r="B62" i="81"/>
  <c r="C638" i="81"/>
  <c r="H604" i="81"/>
  <c r="C646" i="81"/>
  <c r="K275" i="81"/>
  <c r="I29" i="84"/>
  <c r="E7" i="85"/>
  <c r="AA20" i="84"/>
  <c r="C11" i="85"/>
  <c r="J29" i="88"/>
  <c r="F7" i="89"/>
  <c r="H7" i="89" s="1"/>
  <c r="AB9" i="88"/>
  <c r="D9" i="91"/>
  <c r="AB14" i="90"/>
  <c r="J31" i="90"/>
  <c r="H415" i="93"/>
  <c r="C75" i="93"/>
  <c r="C159" i="93"/>
  <c r="H447" i="93"/>
  <c r="C243" i="93"/>
  <c r="F245" i="93" s="1"/>
  <c r="H479" i="93"/>
  <c r="F147" i="95"/>
  <c r="G147" i="95"/>
  <c r="C15" i="119"/>
  <c r="AA32" i="118"/>
  <c r="E325" i="123"/>
  <c r="E311" i="123"/>
  <c r="A341" i="123" s="1"/>
  <c r="AA27" i="122"/>
  <c r="I35" i="122"/>
  <c r="E13" i="123"/>
  <c r="J36" i="132"/>
  <c r="K36" i="132" s="1"/>
  <c r="F14" i="133"/>
  <c r="H14" i="133" s="1"/>
  <c r="D127" i="39"/>
  <c r="H324" i="39"/>
  <c r="F6" i="43"/>
  <c r="AB6" i="42"/>
  <c r="B25" i="43"/>
  <c r="J38" i="43" s="1"/>
  <c r="F6" i="45"/>
  <c r="J28" i="44"/>
  <c r="L37" i="44"/>
  <c r="M37" i="44"/>
  <c r="D10" i="47"/>
  <c r="AB17" i="46"/>
  <c r="I40" i="50"/>
  <c r="K40" i="50" s="1"/>
  <c r="D13" i="55"/>
  <c r="AB26" i="54"/>
  <c r="J212" i="55"/>
  <c r="E11" i="57"/>
  <c r="AA21" i="56"/>
  <c r="I34" i="58"/>
  <c r="C6" i="63"/>
  <c r="G6" i="63" s="1"/>
  <c r="F11" i="63"/>
  <c r="H354" i="63"/>
  <c r="D425" i="63"/>
  <c r="H386" i="63"/>
  <c r="D113" i="63"/>
  <c r="F116" i="63" s="1"/>
  <c r="D429" i="63"/>
  <c r="H418" i="63"/>
  <c r="D433" i="63"/>
  <c r="E238" i="65"/>
  <c r="A268" i="65" s="1"/>
  <c r="E252" i="65"/>
  <c r="F6" i="68"/>
  <c r="AA24" i="68"/>
  <c r="E12" i="69"/>
  <c r="G12" i="69" s="1"/>
  <c r="I34" i="68"/>
  <c r="AB20" i="72"/>
  <c r="D11" i="73"/>
  <c r="AB33" i="74"/>
  <c r="F15" i="75"/>
  <c r="J36" i="80"/>
  <c r="AB29" i="80"/>
  <c r="C18" i="81"/>
  <c r="AA41" i="80"/>
  <c r="H541" i="81"/>
  <c r="C62" i="81"/>
  <c r="F64" i="81" s="1"/>
  <c r="H573" i="81"/>
  <c r="C162" i="81"/>
  <c r="F164" i="81" s="1"/>
  <c r="F7" i="85"/>
  <c r="J29" i="84"/>
  <c r="D489" i="93"/>
  <c r="H416" i="93"/>
  <c r="D75" i="93"/>
  <c r="F78" i="93" s="1"/>
  <c r="D493" i="93"/>
  <c r="H448" i="93"/>
  <c r="D159" i="93"/>
  <c r="F162" i="93" s="1"/>
  <c r="D243" i="93"/>
  <c r="F246" i="93" s="1"/>
  <c r="H480" i="93"/>
  <c r="I41" i="110"/>
  <c r="K41" i="110" s="1"/>
  <c r="AA45" i="110"/>
  <c r="AB21" i="118"/>
  <c r="F11" i="119"/>
  <c r="J33" i="118"/>
  <c r="J35" i="122"/>
  <c r="AB27" i="122"/>
  <c r="E181" i="47"/>
  <c r="A207" i="47" s="1"/>
  <c r="AA17" i="50"/>
  <c r="C10" i="51"/>
  <c r="E244" i="55"/>
  <c r="A274" i="55" s="1"/>
  <c r="J36" i="56"/>
  <c r="K36" i="56" s="1"/>
  <c r="E242" i="57"/>
  <c r="A272" i="57" s="1"/>
  <c r="I34" i="60"/>
  <c r="AA23" i="60"/>
  <c r="H387" i="63"/>
  <c r="E113" i="63"/>
  <c r="F117" i="63" s="1"/>
  <c r="F8" i="65"/>
  <c r="AB12" i="64"/>
  <c r="F12" i="69"/>
  <c r="AB24" i="68"/>
  <c r="F12" i="75"/>
  <c r="AB24" i="74"/>
  <c r="M32" i="78"/>
  <c r="L32" i="78"/>
  <c r="AB21" i="38"/>
  <c r="B82" i="39"/>
  <c r="C93" i="39" s="1"/>
  <c r="I127" i="39"/>
  <c r="AB14" i="40"/>
  <c r="F184" i="43"/>
  <c r="G184" i="43"/>
  <c r="J28" i="42"/>
  <c r="K28" i="42" s="1"/>
  <c r="M28" i="42" s="1"/>
  <c r="E191" i="43"/>
  <c r="E179" i="45"/>
  <c r="A205" i="45" s="1"/>
  <c r="F12" i="49"/>
  <c r="AB24" i="48"/>
  <c r="J35" i="50"/>
  <c r="AB27" i="50"/>
  <c r="N205" i="53"/>
  <c r="G191" i="53"/>
  <c r="J28" i="54"/>
  <c r="K28" i="54" s="1"/>
  <c r="H13" i="55"/>
  <c r="J38" i="54"/>
  <c r="AB36" i="54"/>
  <c r="I41" i="54"/>
  <c r="K41" i="54" s="1"/>
  <c r="AA45" i="54"/>
  <c r="C13" i="55"/>
  <c r="I28" i="60"/>
  <c r="E6" i="61"/>
  <c r="G6" i="61" s="1"/>
  <c r="AA6" i="60"/>
  <c r="D12" i="61"/>
  <c r="AB23" i="60"/>
  <c r="H360" i="63"/>
  <c r="C426" i="63"/>
  <c r="B134" i="63"/>
  <c r="C430" i="63"/>
  <c r="G39" i="63"/>
  <c r="K38" i="63"/>
  <c r="I38" i="63"/>
  <c r="G38" i="63"/>
  <c r="M44" i="63"/>
  <c r="L44" i="63"/>
  <c r="K44" i="63"/>
  <c r="K43" i="63"/>
  <c r="F37" i="63"/>
  <c r="F30" i="63"/>
  <c r="I47" i="63"/>
  <c r="P270" i="65"/>
  <c r="G254" i="65"/>
  <c r="G129" i="65"/>
  <c r="H120" i="65"/>
  <c r="J127" i="65"/>
  <c r="F120" i="65"/>
  <c r="E125" i="65"/>
  <c r="C123" i="65"/>
  <c r="AA26" i="66"/>
  <c r="C13" i="67"/>
  <c r="C13" i="69"/>
  <c r="AA26" i="68"/>
  <c r="AA26" i="74"/>
  <c r="C13" i="75"/>
  <c r="AA30" i="78"/>
  <c r="E14" i="79"/>
  <c r="D194" i="79"/>
  <c r="F197" i="79" s="1"/>
  <c r="H496" i="79"/>
  <c r="D534" i="79"/>
  <c r="E391" i="81"/>
  <c r="A429" i="81" s="1"/>
  <c r="E409" i="81"/>
  <c r="D6" i="81"/>
  <c r="AB5" i="80"/>
  <c r="C9" i="81"/>
  <c r="AA14" i="80"/>
  <c r="H14" i="81"/>
  <c r="E390" i="81"/>
  <c r="A428" i="81" s="1"/>
  <c r="AA6" i="94"/>
  <c r="C487" i="117"/>
  <c r="H419" i="117"/>
  <c r="G12" i="45"/>
  <c r="E187" i="49"/>
  <c r="E175" i="49"/>
  <c r="A201" i="49" s="1"/>
  <c r="E6" i="49"/>
  <c r="D11" i="51"/>
  <c r="AA9" i="54"/>
  <c r="E7" i="55"/>
  <c r="D50" i="55"/>
  <c r="F53" i="55" s="1"/>
  <c r="D426" i="55"/>
  <c r="E240" i="55"/>
  <c r="A270" i="55" s="1"/>
  <c r="F6" i="56"/>
  <c r="H6" i="56" s="1"/>
  <c r="J6" i="56" s="1"/>
  <c r="D176" i="57"/>
  <c r="F179" i="57" s="1"/>
  <c r="H410" i="57"/>
  <c r="D432" i="57"/>
  <c r="B50" i="59"/>
  <c r="F51" i="59" s="1"/>
  <c r="C426" i="59"/>
  <c r="B134" i="59"/>
  <c r="H392" i="59"/>
  <c r="G14" i="63"/>
  <c r="G9" i="65"/>
  <c r="H416" i="65"/>
  <c r="AA30" i="72"/>
  <c r="I36" i="72"/>
  <c r="E171" i="77"/>
  <c r="F175" i="77" s="1"/>
  <c r="H489" i="77"/>
  <c r="H6" i="81"/>
  <c r="D9" i="81"/>
  <c r="H9" i="81" s="1"/>
  <c r="AB14" i="80"/>
  <c r="E232" i="91"/>
  <c r="E220" i="91"/>
  <c r="A246" i="91" s="1"/>
  <c r="E8" i="91"/>
  <c r="AA12" i="90"/>
  <c r="J33" i="90"/>
  <c r="AB21" i="90"/>
  <c r="F11" i="91"/>
  <c r="H11" i="91" s="1"/>
  <c r="D9" i="95"/>
  <c r="AB14" i="94"/>
  <c r="E297" i="99"/>
  <c r="G297" i="99" s="1"/>
  <c r="E283" i="99"/>
  <c r="A313" i="99" s="1"/>
  <c r="F11" i="99"/>
  <c r="H11" i="99" s="1"/>
  <c r="J33" i="98"/>
  <c r="AB21" i="98"/>
  <c r="C487" i="99"/>
  <c r="H398" i="99"/>
  <c r="B33" i="99"/>
  <c r="B117" i="99"/>
  <c r="H430" i="99"/>
  <c r="B201" i="99"/>
  <c r="C495" i="99"/>
  <c r="H462" i="99"/>
  <c r="B47" i="103"/>
  <c r="C167" i="103"/>
  <c r="E282" i="119"/>
  <c r="A312" i="119" s="1"/>
  <c r="E296" i="119"/>
  <c r="AB32" i="118"/>
  <c r="D15" i="119"/>
  <c r="M40" i="118"/>
  <c r="L40" i="118"/>
  <c r="E324" i="123"/>
  <c r="E310" i="123"/>
  <c r="A340" i="123" s="1"/>
  <c r="G10" i="127"/>
  <c r="AA6" i="136"/>
  <c r="E6" i="137"/>
  <c r="J41" i="136"/>
  <c r="AB45" i="136"/>
  <c r="H373" i="139"/>
  <c r="C31" i="139"/>
  <c r="F33" i="139" s="1"/>
  <c r="D8" i="51"/>
  <c r="G186" i="51"/>
  <c r="L131" i="55"/>
  <c r="I126" i="55"/>
  <c r="E122" i="55"/>
  <c r="J131" i="55"/>
  <c r="H126" i="55"/>
  <c r="D122" i="55"/>
  <c r="I131" i="55"/>
  <c r="F126" i="55"/>
  <c r="C122" i="55"/>
  <c r="H131" i="55"/>
  <c r="F125" i="55"/>
  <c r="I120" i="55"/>
  <c r="G131" i="55"/>
  <c r="E125" i="55"/>
  <c r="H120" i="55"/>
  <c r="F131" i="55"/>
  <c r="D125" i="55"/>
  <c r="F114" i="55"/>
  <c r="I128" i="55"/>
  <c r="AB33" i="56"/>
  <c r="J37" i="56"/>
  <c r="H10" i="57"/>
  <c r="D433" i="57"/>
  <c r="D197" i="57"/>
  <c r="F200" i="57" s="1"/>
  <c r="C9" i="63"/>
  <c r="AA14" i="62"/>
  <c r="AA33" i="62"/>
  <c r="P269" i="63"/>
  <c r="G253" i="63"/>
  <c r="AA14" i="64"/>
  <c r="I31" i="64"/>
  <c r="E92" i="65"/>
  <c r="F96" i="65" s="1"/>
  <c r="H379" i="65"/>
  <c r="H411" i="65"/>
  <c r="E176" i="65"/>
  <c r="F180" i="65" s="1"/>
  <c r="F11" i="67"/>
  <c r="H11" i="67" s="1"/>
  <c r="J33" i="66"/>
  <c r="C71" i="67"/>
  <c r="H369" i="67"/>
  <c r="H401" i="67"/>
  <c r="C155" i="67"/>
  <c r="AA11" i="68"/>
  <c r="F13" i="69"/>
  <c r="H13" i="69" s="1"/>
  <c r="AB27" i="68"/>
  <c r="I38" i="68"/>
  <c r="K38" i="68" s="1"/>
  <c r="AA36" i="68"/>
  <c r="C92" i="69"/>
  <c r="F94" i="69" s="1"/>
  <c r="H377" i="69"/>
  <c r="H409" i="69"/>
  <c r="H363" i="73"/>
  <c r="E50" i="73"/>
  <c r="F54" i="73" s="1"/>
  <c r="E10" i="75"/>
  <c r="I32" i="74"/>
  <c r="B228" i="75"/>
  <c r="F228" i="75"/>
  <c r="O227" i="75"/>
  <c r="F218" i="75"/>
  <c r="E402" i="83"/>
  <c r="E384" i="83"/>
  <c r="A422" i="83" s="1"/>
  <c r="AA11" i="82"/>
  <c r="C8" i="83"/>
  <c r="H543" i="83"/>
  <c r="E62" i="83"/>
  <c r="F66" i="83" s="1"/>
  <c r="H223" i="85"/>
  <c r="C272" i="85"/>
  <c r="B23" i="85"/>
  <c r="H255" i="85"/>
  <c r="B91" i="85"/>
  <c r="E234" i="91"/>
  <c r="E222" i="91"/>
  <c r="A248" i="91" s="1"/>
  <c r="G6" i="91"/>
  <c r="K176" i="93"/>
  <c r="I168" i="93"/>
  <c r="D175" i="93"/>
  <c r="M173" i="93"/>
  <c r="E38" i="109"/>
  <c r="F42" i="109" s="1"/>
  <c r="H210" i="109"/>
  <c r="H221" i="113"/>
  <c r="C23" i="113"/>
  <c r="C91" i="113"/>
  <c r="H253" i="113"/>
  <c r="AB21" i="132"/>
  <c r="F11" i="133"/>
  <c r="J33" i="132"/>
  <c r="H372" i="133"/>
  <c r="E31" i="133"/>
  <c r="F35" i="133" s="1"/>
  <c r="E115" i="133"/>
  <c r="E131" i="133" s="1"/>
  <c r="H404" i="133"/>
  <c r="E199" i="133"/>
  <c r="F203" i="133" s="1"/>
  <c r="H436" i="133"/>
  <c r="AB8" i="46"/>
  <c r="D7" i="47"/>
  <c r="H276" i="47"/>
  <c r="D331" i="47"/>
  <c r="I30" i="50"/>
  <c r="E8" i="51"/>
  <c r="L128" i="55"/>
  <c r="E253" i="55"/>
  <c r="H419" i="57"/>
  <c r="E197" i="57"/>
  <c r="F201" i="57" s="1"/>
  <c r="E244" i="63"/>
  <c r="A274" i="63" s="1"/>
  <c r="E258" i="63"/>
  <c r="AB14" i="62"/>
  <c r="D9" i="63"/>
  <c r="D9" i="65"/>
  <c r="H9" i="65" s="1"/>
  <c r="I9" i="65" s="1"/>
  <c r="N9" i="65" s="1"/>
  <c r="A376" i="65" s="1"/>
  <c r="AB14" i="64"/>
  <c r="J37" i="64"/>
  <c r="AB33" i="64"/>
  <c r="C425" i="65"/>
  <c r="H352" i="65"/>
  <c r="B29" i="65"/>
  <c r="D71" i="67"/>
  <c r="F74" i="67" s="1"/>
  <c r="H370" i="67"/>
  <c r="D428" i="69"/>
  <c r="D92" i="69"/>
  <c r="F95" i="69" s="1"/>
  <c r="H410" i="69"/>
  <c r="E235" i="71"/>
  <c r="A265" i="71" s="1"/>
  <c r="F6" i="80"/>
  <c r="H6" i="80" s="1"/>
  <c r="J6" i="80" s="1"/>
  <c r="E385" i="83"/>
  <c r="A423" i="83" s="1"/>
  <c r="E403" i="83"/>
  <c r="G403" i="83" s="1"/>
  <c r="AB11" i="82"/>
  <c r="D8" i="83"/>
  <c r="E9" i="85"/>
  <c r="AA15" i="84"/>
  <c r="I31" i="84"/>
  <c r="I31" i="92"/>
  <c r="K31" i="92" s="1"/>
  <c r="AA15" i="92"/>
  <c r="D519" i="97"/>
  <c r="D56" i="97"/>
  <c r="F59" i="97" s="1"/>
  <c r="H431" i="97"/>
  <c r="D523" i="97"/>
  <c r="H463" i="97"/>
  <c r="D527" i="97"/>
  <c r="H495" i="97"/>
  <c r="D224" i="97"/>
  <c r="F227" i="97" s="1"/>
  <c r="D140" i="97"/>
  <c r="E16" i="99"/>
  <c r="AA36" i="98"/>
  <c r="J41" i="108"/>
  <c r="AB45" i="108"/>
  <c r="AA5" i="112"/>
  <c r="C6" i="113"/>
  <c r="G6" i="113" s="1"/>
  <c r="D9" i="113"/>
  <c r="AB14" i="112"/>
  <c r="C10" i="49"/>
  <c r="AA17" i="48"/>
  <c r="J30" i="50"/>
  <c r="F8" i="51"/>
  <c r="I33" i="52"/>
  <c r="K33" i="52" s="1"/>
  <c r="D63" i="53"/>
  <c r="F66" i="53" s="1"/>
  <c r="D333" i="53"/>
  <c r="D337" i="53"/>
  <c r="F8" i="55"/>
  <c r="AB12" i="54"/>
  <c r="M128" i="55"/>
  <c r="M40" i="56"/>
  <c r="D6" i="57"/>
  <c r="H10" i="61"/>
  <c r="E245" i="63"/>
  <c r="A275" i="63" s="1"/>
  <c r="E259" i="63"/>
  <c r="G259" i="63" s="1"/>
  <c r="I31" i="62"/>
  <c r="AA15" i="62"/>
  <c r="I40" i="64"/>
  <c r="K40" i="64" s="1"/>
  <c r="H353" i="65"/>
  <c r="C29" i="65"/>
  <c r="F31" i="65" s="1"/>
  <c r="C113" i="65"/>
  <c r="E127" i="65" s="1"/>
  <c r="H385" i="65"/>
  <c r="E71" i="67"/>
  <c r="H371" i="67"/>
  <c r="E155" i="67"/>
  <c r="F159" i="67" s="1"/>
  <c r="H403" i="67"/>
  <c r="H411" i="69"/>
  <c r="E176" i="69"/>
  <c r="F180" i="69" s="1"/>
  <c r="F74" i="73"/>
  <c r="F13" i="79"/>
  <c r="AB27" i="78"/>
  <c r="J35" i="78"/>
  <c r="E383" i="81"/>
  <c r="A421" i="81" s="1"/>
  <c r="E401" i="81"/>
  <c r="AA5" i="84"/>
  <c r="C6" i="85"/>
  <c r="H248" i="87"/>
  <c r="C74" i="87"/>
  <c r="F76" i="87" s="1"/>
  <c r="B65" i="89"/>
  <c r="C362" i="89"/>
  <c r="H311" i="89"/>
  <c r="C366" i="89"/>
  <c r="H343" i="89"/>
  <c r="F6" i="93"/>
  <c r="J28" i="92"/>
  <c r="AB15" i="92"/>
  <c r="J31" i="92"/>
  <c r="AB11" i="96"/>
  <c r="D8" i="97"/>
  <c r="E11" i="97"/>
  <c r="G11" i="97" s="1"/>
  <c r="AA21" i="96"/>
  <c r="E17" i="97"/>
  <c r="AA39" i="96"/>
  <c r="M42" i="96"/>
  <c r="L42" i="96"/>
  <c r="E56" i="97"/>
  <c r="F60" i="97" s="1"/>
  <c r="H432" i="97"/>
  <c r="H496" i="97"/>
  <c r="E224" i="97"/>
  <c r="F228" i="97" s="1"/>
  <c r="E140" i="97"/>
  <c r="AB14" i="98"/>
  <c r="D9" i="99"/>
  <c r="H9" i="99" s="1"/>
  <c r="J31" i="98"/>
  <c r="K31" i="98" s="1"/>
  <c r="B82" i="107"/>
  <c r="F83" i="107" s="1"/>
  <c r="C331" i="107"/>
  <c r="H295" i="107"/>
  <c r="I35" i="108"/>
  <c r="K35" i="108" s="1"/>
  <c r="AA27" i="108"/>
  <c r="J37" i="110"/>
  <c r="J40" i="110"/>
  <c r="AB5" i="112"/>
  <c r="D6" i="113"/>
  <c r="J41" i="112"/>
  <c r="AB45" i="112"/>
  <c r="I42" i="114"/>
  <c r="K42" i="114" s="1"/>
  <c r="AA48" i="114"/>
  <c r="C514" i="121"/>
  <c r="B77" i="121"/>
  <c r="H431" i="121"/>
  <c r="C522" i="121"/>
  <c r="H495" i="121"/>
  <c r="B245" i="121"/>
  <c r="F246" i="121" s="1"/>
  <c r="C12" i="43"/>
  <c r="AA23" i="42"/>
  <c r="J29" i="46"/>
  <c r="F7" i="47"/>
  <c r="D101" i="47"/>
  <c r="F104" i="47" s="1"/>
  <c r="J28" i="48"/>
  <c r="AB6" i="48"/>
  <c r="D10" i="49"/>
  <c r="AB17" i="48"/>
  <c r="AA27" i="48"/>
  <c r="I35" i="48"/>
  <c r="K35" i="48" s="1"/>
  <c r="H8" i="49"/>
  <c r="J42" i="50"/>
  <c r="H78" i="51"/>
  <c r="J73" i="51"/>
  <c r="I73" i="51"/>
  <c r="D72" i="51"/>
  <c r="E189" i="51"/>
  <c r="AA30" i="52"/>
  <c r="J33" i="52"/>
  <c r="D129" i="55"/>
  <c r="J28" i="56"/>
  <c r="F6" i="57"/>
  <c r="E257" i="59"/>
  <c r="P273" i="59" s="1"/>
  <c r="E243" i="59"/>
  <c r="A273" i="59" s="1"/>
  <c r="C425" i="61"/>
  <c r="B29" i="61"/>
  <c r="H352" i="61"/>
  <c r="C429" i="61"/>
  <c r="B113" i="61"/>
  <c r="C433" i="61"/>
  <c r="H416" i="61"/>
  <c r="D176" i="61"/>
  <c r="F179" i="61" s="1"/>
  <c r="I28" i="62"/>
  <c r="K28" i="62" s="1"/>
  <c r="AB15" i="62"/>
  <c r="F9" i="63"/>
  <c r="H9" i="63" s="1"/>
  <c r="H384" i="63"/>
  <c r="C429" i="63"/>
  <c r="C433" i="63"/>
  <c r="B197" i="63"/>
  <c r="H416" i="63"/>
  <c r="J31" i="64"/>
  <c r="D425" i="65"/>
  <c r="H354" i="65"/>
  <c r="D29" i="65"/>
  <c r="F32" i="65" s="1"/>
  <c r="G255" i="65"/>
  <c r="H408" i="67"/>
  <c r="B176" i="67"/>
  <c r="AB11" i="68"/>
  <c r="D8" i="69"/>
  <c r="E250" i="71"/>
  <c r="E236" i="71"/>
  <c r="A266" i="71" s="1"/>
  <c r="E323" i="75"/>
  <c r="E307" i="75"/>
  <c r="A341" i="75" s="1"/>
  <c r="AA11" i="74"/>
  <c r="C8" i="75"/>
  <c r="I30" i="74"/>
  <c r="K30" i="74" s="1"/>
  <c r="H473" i="75"/>
  <c r="E125" i="75"/>
  <c r="F129" i="75" s="1"/>
  <c r="H505" i="75"/>
  <c r="E217" i="75"/>
  <c r="F221" i="75" s="1"/>
  <c r="G329" i="75"/>
  <c r="D527" i="77"/>
  <c r="H440" i="77"/>
  <c r="D33" i="77"/>
  <c r="F36" i="77" s="1"/>
  <c r="J139" i="77"/>
  <c r="D535" i="77"/>
  <c r="H504" i="77"/>
  <c r="B138" i="77"/>
  <c r="D531" i="77"/>
  <c r="G12" i="83"/>
  <c r="AA33" i="86"/>
  <c r="I37" i="86"/>
  <c r="K37" i="86" s="1"/>
  <c r="H249" i="87"/>
  <c r="D74" i="87"/>
  <c r="F77" i="87" s="1"/>
  <c r="D275" i="87"/>
  <c r="E304" i="93"/>
  <c r="E290" i="93"/>
  <c r="A320" i="93" s="1"/>
  <c r="I28" i="92"/>
  <c r="K28" i="92" s="1"/>
  <c r="E138" i="93"/>
  <c r="F142" i="93" s="1"/>
  <c r="H441" i="93"/>
  <c r="AB39" i="96"/>
  <c r="J39" i="96"/>
  <c r="F17" i="97"/>
  <c r="H17" i="97" s="1"/>
  <c r="AA26" i="110"/>
  <c r="C13" i="111"/>
  <c r="I35" i="110"/>
  <c r="E6" i="113"/>
  <c r="I28" i="112"/>
  <c r="K28" i="112" s="1"/>
  <c r="AA6" i="112"/>
  <c r="J34" i="112"/>
  <c r="AB24" i="112"/>
  <c r="I41" i="112"/>
  <c r="K41" i="112" s="1"/>
  <c r="H299" i="47"/>
  <c r="AA8" i="48"/>
  <c r="C7" i="49"/>
  <c r="I32" i="48"/>
  <c r="K32" i="48" s="1"/>
  <c r="AA18" i="48"/>
  <c r="E10" i="49"/>
  <c r="C12" i="49"/>
  <c r="H323" i="49"/>
  <c r="AA12" i="50"/>
  <c r="D335" i="51"/>
  <c r="H308" i="51"/>
  <c r="C79" i="51"/>
  <c r="I39" i="52"/>
  <c r="K39" i="52" s="1"/>
  <c r="D9" i="55"/>
  <c r="AB14" i="54"/>
  <c r="J31" i="54"/>
  <c r="H9" i="55"/>
  <c r="F122" i="55"/>
  <c r="E129" i="55"/>
  <c r="E257" i="55"/>
  <c r="F9" i="59"/>
  <c r="AB15" i="58"/>
  <c r="AB26" i="58"/>
  <c r="D13" i="59"/>
  <c r="J38" i="58"/>
  <c r="E239" i="61"/>
  <c r="A269" i="61" s="1"/>
  <c r="E253" i="61"/>
  <c r="F253" i="61" s="1"/>
  <c r="H353" i="61"/>
  <c r="C29" i="61"/>
  <c r="F31" i="61" s="1"/>
  <c r="B197" i="61"/>
  <c r="J28" i="62"/>
  <c r="J31" i="62"/>
  <c r="C197" i="63"/>
  <c r="H417" i="63"/>
  <c r="K32" i="64"/>
  <c r="D13" i="65"/>
  <c r="AB26" i="64"/>
  <c r="G6" i="65"/>
  <c r="H14" i="67"/>
  <c r="D427" i="67"/>
  <c r="E155" i="73"/>
  <c r="F159" i="73" s="1"/>
  <c r="H403" i="73"/>
  <c r="H441" i="77"/>
  <c r="E33" i="77"/>
  <c r="F37" i="77" s="1"/>
  <c r="H473" i="77"/>
  <c r="E125" i="77"/>
  <c r="L141" i="77" s="1"/>
  <c r="E217" i="77"/>
  <c r="F221" i="77" s="1"/>
  <c r="H505" i="77"/>
  <c r="I139" i="77"/>
  <c r="AA6" i="92"/>
  <c r="I39" i="96"/>
  <c r="K39" i="96" s="1"/>
  <c r="H438" i="97"/>
  <c r="C77" i="97"/>
  <c r="F79" i="97" s="1"/>
  <c r="H470" i="97"/>
  <c r="C161" i="97"/>
  <c r="F163" i="97" s="1"/>
  <c r="H502" i="97"/>
  <c r="C245" i="97"/>
  <c r="F247" i="97" s="1"/>
  <c r="D10" i="109"/>
  <c r="AB17" i="108"/>
  <c r="F133" i="109"/>
  <c r="L145" i="109"/>
  <c r="F9" i="111"/>
  <c r="AB15" i="110"/>
  <c r="L39" i="114"/>
  <c r="M39" i="114"/>
  <c r="H323" i="41"/>
  <c r="I31" i="44"/>
  <c r="K31" i="44" s="1"/>
  <c r="E9" i="45"/>
  <c r="G9" i="45" s="1"/>
  <c r="E190" i="45"/>
  <c r="E192" i="47"/>
  <c r="H283" i="49"/>
  <c r="C6" i="51"/>
  <c r="E173" i="51"/>
  <c r="A199" i="51" s="1"/>
  <c r="D336" i="51"/>
  <c r="H410" i="55"/>
  <c r="AA29" i="60"/>
  <c r="AA45" i="60"/>
  <c r="G8" i="61"/>
  <c r="I34" i="62"/>
  <c r="AA24" i="62"/>
  <c r="D14" i="65"/>
  <c r="AB29" i="64"/>
  <c r="I36" i="66"/>
  <c r="K36" i="66" s="1"/>
  <c r="L36" i="66" s="1"/>
  <c r="C92" i="67"/>
  <c r="F94" i="67" s="1"/>
  <c r="H377" i="67"/>
  <c r="AA12" i="68"/>
  <c r="I30" i="68"/>
  <c r="K30" i="68" s="1"/>
  <c r="H363" i="69"/>
  <c r="E50" i="69"/>
  <c r="F54" i="69" s="1"/>
  <c r="E254" i="69"/>
  <c r="P270" i="69" s="1"/>
  <c r="C113" i="71"/>
  <c r="F115" i="71" s="1"/>
  <c r="H385" i="71"/>
  <c r="C8" i="73"/>
  <c r="AA11" i="72"/>
  <c r="I33" i="72"/>
  <c r="AA21" i="72"/>
  <c r="E11" i="73"/>
  <c r="G11" i="73" s="1"/>
  <c r="P271" i="73"/>
  <c r="F255" i="73"/>
  <c r="N75" i="75"/>
  <c r="N71" i="75"/>
  <c r="B70" i="75"/>
  <c r="O69" i="75"/>
  <c r="I69" i="75"/>
  <c r="O76" i="75"/>
  <c r="B53" i="77"/>
  <c r="E48" i="77"/>
  <c r="M46" i="77"/>
  <c r="C16" i="79"/>
  <c r="AA35" i="78"/>
  <c r="D642" i="81"/>
  <c r="H574" i="81"/>
  <c r="AB21" i="92"/>
  <c r="F11" i="93"/>
  <c r="M29" i="100"/>
  <c r="L29" i="100"/>
  <c r="E47" i="101"/>
  <c r="F51" i="101" s="1"/>
  <c r="H160" i="101"/>
  <c r="F15" i="121"/>
  <c r="K32" i="122"/>
  <c r="E153" i="133"/>
  <c r="C153" i="133"/>
  <c r="M151" i="133"/>
  <c r="L151" i="133"/>
  <c r="J150" i="133"/>
  <c r="H150" i="133"/>
  <c r="H144" i="133"/>
  <c r="M145" i="133"/>
  <c r="J144" i="133"/>
  <c r="C459" i="133"/>
  <c r="H441" i="133"/>
  <c r="B220" i="133"/>
  <c r="E139" i="137"/>
  <c r="A161" i="137" s="1"/>
  <c r="E149" i="137"/>
  <c r="C11" i="137"/>
  <c r="AA20" i="136"/>
  <c r="G12" i="41"/>
  <c r="J31" i="44"/>
  <c r="I33" i="46"/>
  <c r="F11" i="47"/>
  <c r="H11" i="47" s="1"/>
  <c r="H284" i="49"/>
  <c r="E175" i="51"/>
  <c r="A201" i="51" s="1"/>
  <c r="H416" i="55"/>
  <c r="F250" i="57"/>
  <c r="H371" i="59"/>
  <c r="E71" i="59"/>
  <c r="F75" i="59" s="1"/>
  <c r="AB29" i="60"/>
  <c r="AB45" i="60"/>
  <c r="AA30" i="64"/>
  <c r="E14" i="65"/>
  <c r="G14" i="65" s="1"/>
  <c r="D12" i="65"/>
  <c r="H12" i="65" s="1"/>
  <c r="D92" i="67"/>
  <c r="F95" i="67" s="1"/>
  <c r="D428" i="67"/>
  <c r="H410" i="67"/>
  <c r="D176" i="67"/>
  <c r="F179" i="67" s="1"/>
  <c r="H379" i="67"/>
  <c r="E241" i="69"/>
  <c r="A271" i="69" s="1"/>
  <c r="E255" i="69"/>
  <c r="F8" i="69"/>
  <c r="AB12" i="68"/>
  <c r="J30" i="68"/>
  <c r="J42" i="70"/>
  <c r="H354" i="71"/>
  <c r="D425" i="71"/>
  <c r="D429" i="71"/>
  <c r="D113" i="71"/>
  <c r="F116" i="71" s="1"/>
  <c r="J33" i="72"/>
  <c r="F11" i="73"/>
  <c r="I39" i="72"/>
  <c r="K39" i="72" s="1"/>
  <c r="AA39" i="72"/>
  <c r="I33" i="74"/>
  <c r="E11" i="75"/>
  <c r="AA29" i="74"/>
  <c r="C14" i="75"/>
  <c r="G14" i="75" s="1"/>
  <c r="I36" i="74"/>
  <c r="D102" i="75"/>
  <c r="F105" i="75" s="1"/>
  <c r="H464" i="75"/>
  <c r="C194" i="77"/>
  <c r="F196" i="77" s="1"/>
  <c r="H495" i="77"/>
  <c r="C33" i="77"/>
  <c r="F48" i="77" s="1"/>
  <c r="D16" i="79"/>
  <c r="H16" i="79" s="1"/>
  <c r="AB35" i="78"/>
  <c r="H575" i="81"/>
  <c r="E162" i="81"/>
  <c r="F166" i="81" s="1"/>
  <c r="G7" i="83"/>
  <c r="C274" i="87"/>
  <c r="B57" i="87"/>
  <c r="H239" i="87"/>
  <c r="E299" i="93"/>
  <c r="P315" i="93" s="1"/>
  <c r="E285" i="93"/>
  <c r="A315" i="93" s="1"/>
  <c r="AA5" i="98"/>
  <c r="C6" i="99"/>
  <c r="M32" i="100"/>
  <c r="L32" i="100"/>
  <c r="B28" i="101"/>
  <c r="G27" i="101"/>
  <c r="G29" i="101"/>
  <c r="F28" i="101"/>
  <c r="F26" i="101"/>
  <c r="D10" i="107"/>
  <c r="H10" i="107" s="1"/>
  <c r="AB17" i="106"/>
  <c r="AA11" i="108"/>
  <c r="C8" i="109"/>
  <c r="M33" i="108"/>
  <c r="L33" i="108"/>
  <c r="AA8" i="116"/>
  <c r="E304" i="117"/>
  <c r="P320" i="117" s="1"/>
  <c r="E290" i="117"/>
  <c r="A320" i="117" s="1"/>
  <c r="AB6" i="116"/>
  <c r="F6" i="117"/>
  <c r="H6" i="117" s="1"/>
  <c r="J28" i="116"/>
  <c r="H406" i="117"/>
  <c r="E54" i="117"/>
  <c r="F58" i="117" s="1"/>
  <c r="E138" i="117"/>
  <c r="F142" i="117" s="1"/>
  <c r="H438" i="117"/>
  <c r="E222" i="117"/>
  <c r="H470" i="117"/>
  <c r="E310" i="121"/>
  <c r="A340" i="121" s="1"/>
  <c r="E324" i="121"/>
  <c r="AB9" i="130"/>
  <c r="F7" i="131"/>
  <c r="E150" i="137"/>
  <c r="E140" i="137"/>
  <c r="A162" i="137" s="1"/>
  <c r="D11" i="137"/>
  <c r="J33" i="136"/>
  <c r="AA39" i="136"/>
  <c r="I39" i="136"/>
  <c r="K39" i="136" s="1"/>
  <c r="L39" i="136" s="1"/>
  <c r="AB48" i="136"/>
  <c r="J42" i="136"/>
  <c r="G12" i="51"/>
  <c r="D332" i="53"/>
  <c r="F13" i="57"/>
  <c r="E252" i="59"/>
  <c r="E238" i="59"/>
  <c r="A268" i="59" s="1"/>
  <c r="AB30" i="64"/>
  <c r="F14" i="65"/>
  <c r="H411" i="67"/>
  <c r="E176" i="67"/>
  <c r="F180" i="67" s="1"/>
  <c r="AB39" i="72"/>
  <c r="J39" i="72"/>
  <c r="F11" i="75"/>
  <c r="AB21" i="74"/>
  <c r="I38" i="78"/>
  <c r="E16" i="79"/>
  <c r="G16" i="79" s="1"/>
  <c r="AA36" i="78"/>
  <c r="B187" i="81"/>
  <c r="H580" i="81"/>
  <c r="AB17" i="82"/>
  <c r="D10" i="83"/>
  <c r="F13" i="83"/>
  <c r="H13" i="83" s="1"/>
  <c r="AB27" i="82"/>
  <c r="E148" i="85"/>
  <c r="E138" i="85"/>
  <c r="A160" i="85" s="1"/>
  <c r="E10" i="107"/>
  <c r="AA18" i="106"/>
  <c r="I32" i="106"/>
  <c r="L42" i="106"/>
  <c r="M42" i="106"/>
  <c r="I40" i="114"/>
  <c r="K40" i="114" s="1"/>
  <c r="AA42" i="114"/>
  <c r="F14" i="117"/>
  <c r="AB30" i="116"/>
  <c r="AB14" i="120"/>
  <c r="D9" i="121"/>
  <c r="I34" i="120"/>
  <c r="I34" i="40"/>
  <c r="I39" i="40"/>
  <c r="K39" i="40" s="1"/>
  <c r="M39" i="40" s="1"/>
  <c r="H314" i="45"/>
  <c r="J36" i="46"/>
  <c r="D139" i="47"/>
  <c r="F142" i="47" s="1"/>
  <c r="B44" i="49"/>
  <c r="C120" i="49"/>
  <c r="H132" i="49" s="1"/>
  <c r="H12" i="55"/>
  <c r="I42" i="54"/>
  <c r="K42" i="54" s="1"/>
  <c r="J40" i="56"/>
  <c r="F252" i="57"/>
  <c r="E176" i="59"/>
  <c r="F180" i="59" s="1"/>
  <c r="H408" i="59"/>
  <c r="AB12" i="60"/>
  <c r="AB18" i="60"/>
  <c r="AB9" i="62"/>
  <c r="J29" i="62"/>
  <c r="K32" i="62"/>
  <c r="I28" i="64"/>
  <c r="K28" i="64" s="1"/>
  <c r="L28" i="64" s="1"/>
  <c r="I36" i="64"/>
  <c r="D50" i="65"/>
  <c r="F53" i="65" s="1"/>
  <c r="D426" i="65"/>
  <c r="B113" i="67"/>
  <c r="F114" i="67" s="1"/>
  <c r="C429" i="67"/>
  <c r="J39" i="68"/>
  <c r="AA26" i="70"/>
  <c r="C13" i="71"/>
  <c r="G13" i="71" s="1"/>
  <c r="C426" i="71"/>
  <c r="B50" i="71"/>
  <c r="C430" i="71"/>
  <c r="H392" i="71"/>
  <c r="D29" i="71"/>
  <c r="F32" i="71" s="1"/>
  <c r="J33" i="74"/>
  <c r="L42" i="74"/>
  <c r="M42" i="74"/>
  <c r="H438" i="75"/>
  <c r="C527" i="75"/>
  <c r="B33" i="75"/>
  <c r="M63" i="75"/>
  <c r="K31" i="76"/>
  <c r="C13" i="79"/>
  <c r="AA26" i="78"/>
  <c r="H480" i="79"/>
  <c r="D148" i="79"/>
  <c r="F151" i="79" s="1"/>
  <c r="H512" i="79"/>
  <c r="D536" i="79"/>
  <c r="G13" i="81"/>
  <c r="C187" i="81"/>
  <c r="H581" i="81"/>
  <c r="H542" i="81"/>
  <c r="G18" i="83"/>
  <c r="E413" i="83"/>
  <c r="E149" i="85"/>
  <c r="G149" i="85" s="1"/>
  <c r="E139" i="85"/>
  <c r="A161" i="85" s="1"/>
  <c r="J39" i="84"/>
  <c r="M38" i="90"/>
  <c r="D33" i="93"/>
  <c r="F36" i="93" s="1"/>
  <c r="D487" i="93"/>
  <c r="D491" i="93"/>
  <c r="D117" i="93"/>
  <c r="F120" i="93" s="1"/>
  <c r="D495" i="93"/>
  <c r="H464" i="93"/>
  <c r="D201" i="93"/>
  <c r="F204" i="93" s="1"/>
  <c r="H226" i="105"/>
  <c r="C72" i="105"/>
  <c r="AB18" i="106"/>
  <c r="F10" i="107"/>
  <c r="AB39" i="106"/>
  <c r="J39" i="106"/>
  <c r="I30" i="108"/>
  <c r="AA12" i="108"/>
  <c r="AB5" i="120"/>
  <c r="D6" i="121"/>
  <c r="H6" i="121" s="1"/>
  <c r="E16" i="121"/>
  <c r="G16" i="121" s="1"/>
  <c r="AA36" i="120"/>
  <c r="I38" i="120"/>
  <c r="AB45" i="128"/>
  <c r="J41" i="128"/>
  <c r="I33" i="42"/>
  <c r="H315" i="43"/>
  <c r="D333" i="47"/>
  <c r="D120" i="49"/>
  <c r="F123" i="49" s="1"/>
  <c r="D336" i="49"/>
  <c r="I34" i="50"/>
  <c r="D120" i="53"/>
  <c r="F123" i="53" s="1"/>
  <c r="H282" i="53"/>
  <c r="I34" i="54"/>
  <c r="L38" i="60"/>
  <c r="I29" i="62"/>
  <c r="J36" i="64"/>
  <c r="M42" i="64"/>
  <c r="E29" i="65"/>
  <c r="B44" i="65" s="1"/>
  <c r="B50" i="65"/>
  <c r="E8" i="69"/>
  <c r="G8" i="69" s="1"/>
  <c r="AB26" i="70"/>
  <c r="D13" i="71"/>
  <c r="E29" i="71"/>
  <c r="F33" i="71" s="1"/>
  <c r="H360" i="71"/>
  <c r="H69" i="75"/>
  <c r="AA8" i="76"/>
  <c r="C7" i="77"/>
  <c r="C10" i="77"/>
  <c r="AA17" i="76"/>
  <c r="H438" i="77"/>
  <c r="C527" i="77"/>
  <c r="O143" i="77"/>
  <c r="I133" i="77"/>
  <c r="N143" i="77"/>
  <c r="G133" i="77"/>
  <c r="F133" i="77"/>
  <c r="F132" i="77"/>
  <c r="F126" i="77"/>
  <c r="H144" i="77"/>
  <c r="G144" i="77"/>
  <c r="D144" i="77"/>
  <c r="L142" i="77"/>
  <c r="H502" i="77"/>
  <c r="C535" i="77"/>
  <c r="F40" i="77"/>
  <c r="D13" i="79"/>
  <c r="AB26" i="78"/>
  <c r="J39" i="80"/>
  <c r="E17" i="81"/>
  <c r="G17" i="81" s="1"/>
  <c r="D187" i="81"/>
  <c r="F190" i="81" s="1"/>
  <c r="H582" i="81"/>
  <c r="D643" i="81"/>
  <c r="AB18" i="82"/>
  <c r="F10" i="83"/>
  <c r="M42" i="88"/>
  <c r="L42" i="88"/>
  <c r="I33" i="96"/>
  <c r="AA20" i="96"/>
  <c r="H480" i="99"/>
  <c r="D497" i="99"/>
  <c r="AA8" i="106"/>
  <c r="C7" i="107"/>
  <c r="I29" i="106"/>
  <c r="J32" i="106"/>
  <c r="H317" i="115"/>
  <c r="C84" i="115"/>
  <c r="AB8" i="118"/>
  <c r="D7" i="119"/>
  <c r="E312" i="121"/>
  <c r="A342" i="121" s="1"/>
  <c r="E326" i="121"/>
  <c r="I30" i="42"/>
  <c r="AB39" i="46"/>
  <c r="I31" i="50"/>
  <c r="G185" i="51"/>
  <c r="J35" i="52"/>
  <c r="D11" i="53"/>
  <c r="J34" i="54"/>
  <c r="K34" i="54" s="1"/>
  <c r="C14" i="57"/>
  <c r="J30" i="58"/>
  <c r="C428" i="59"/>
  <c r="H395" i="69"/>
  <c r="J69" i="75"/>
  <c r="D7" i="77"/>
  <c r="AB8" i="76"/>
  <c r="AB17" i="76"/>
  <c r="D10" i="77"/>
  <c r="G140" i="77"/>
  <c r="F10" i="79"/>
  <c r="AB18" i="78"/>
  <c r="E13" i="79"/>
  <c r="AA27" i="78"/>
  <c r="I35" i="78"/>
  <c r="K35" i="78" s="1"/>
  <c r="E87" i="81"/>
  <c r="F91" i="81" s="1"/>
  <c r="H551" i="81"/>
  <c r="E187" i="81"/>
  <c r="F191" i="81" s="1"/>
  <c r="H583" i="81"/>
  <c r="H615" i="81"/>
  <c r="E287" i="81"/>
  <c r="F291" i="81" s="1"/>
  <c r="H591" i="83"/>
  <c r="E212" i="83"/>
  <c r="F216" i="83" s="1"/>
  <c r="H623" i="83"/>
  <c r="E312" i="83"/>
  <c r="F316" i="83" s="1"/>
  <c r="E219" i="91"/>
  <c r="A245" i="91" s="1"/>
  <c r="E231" i="91"/>
  <c r="H265" i="95"/>
  <c r="AA11" i="96"/>
  <c r="C8" i="97"/>
  <c r="D11" i="97"/>
  <c r="AB20" i="96"/>
  <c r="AB29" i="96"/>
  <c r="D14" i="97"/>
  <c r="F142" i="97"/>
  <c r="C157" i="97"/>
  <c r="H494" i="97"/>
  <c r="C224" i="97"/>
  <c r="I242" i="97" s="1"/>
  <c r="F10" i="99"/>
  <c r="J32" i="98"/>
  <c r="AB18" i="98"/>
  <c r="L34" i="104"/>
  <c r="M34" i="104"/>
  <c r="AB8" i="106"/>
  <c r="D7" i="107"/>
  <c r="H7" i="107" s="1"/>
  <c r="E63" i="107"/>
  <c r="H290" i="107"/>
  <c r="AB30" i="118"/>
  <c r="F14" i="119"/>
  <c r="G10" i="119"/>
  <c r="E56" i="135"/>
  <c r="F60" i="135" s="1"/>
  <c r="H432" i="135"/>
  <c r="E140" i="135"/>
  <c r="F144" i="135" s="1"/>
  <c r="H464" i="135"/>
  <c r="E224" i="135"/>
  <c r="F228" i="135" s="1"/>
  <c r="H496" i="135"/>
  <c r="I37" i="72"/>
  <c r="K37" i="72" s="1"/>
  <c r="AA33" i="72"/>
  <c r="C12" i="77"/>
  <c r="AA23" i="76"/>
  <c r="AA32" i="76"/>
  <c r="C15" i="77"/>
  <c r="G15" i="77" s="1"/>
  <c r="H512" i="77"/>
  <c r="D240" i="77"/>
  <c r="F243" i="77" s="1"/>
  <c r="D536" i="77"/>
  <c r="I30" i="78"/>
  <c r="J38" i="78"/>
  <c r="F16" i="79"/>
  <c r="AB36" i="78"/>
  <c r="H439" i="79"/>
  <c r="C33" i="79"/>
  <c r="H44" i="79" s="1"/>
  <c r="AB5" i="84"/>
  <c r="D6" i="85"/>
  <c r="H226" i="87"/>
  <c r="E23" i="87"/>
  <c r="F27" i="87" s="1"/>
  <c r="H9" i="91"/>
  <c r="H134" i="91"/>
  <c r="G131" i="91"/>
  <c r="J136" i="91"/>
  <c r="B135" i="91"/>
  <c r="I131" i="91"/>
  <c r="J137" i="91"/>
  <c r="I137" i="91"/>
  <c r="B137" i="91"/>
  <c r="K136" i="91"/>
  <c r="K134" i="91"/>
  <c r="AA20" i="94"/>
  <c r="C11" i="95"/>
  <c r="H9" i="95"/>
  <c r="H7" i="103"/>
  <c r="I30" i="114"/>
  <c r="E8" i="115"/>
  <c r="AB21" i="124"/>
  <c r="J33" i="124"/>
  <c r="F11" i="125"/>
  <c r="M35" i="128"/>
  <c r="L35" i="128"/>
  <c r="H312" i="129"/>
  <c r="C120" i="129"/>
  <c r="F122" i="129" s="1"/>
  <c r="E113" i="61"/>
  <c r="L124" i="61" s="1"/>
  <c r="E255" i="61"/>
  <c r="J34" i="62"/>
  <c r="F10" i="63"/>
  <c r="I34" i="64"/>
  <c r="K34" i="64" s="1"/>
  <c r="C425" i="73"/>
  <c r="H352" i="73"/>
  <c r="C433" i="73"/>
  <c r="H416" i="73"/>
  <c r="E259" i="73"/>
  <c r="I39" i="74"/>
  <c r="K39" i="74" s="1"/>
  <c r="AA39" i="74"/>
  <c r="H456" i="75"/>
  <c r="D529" i="75"/>
  <c r="H520" i="75"/>
  <c r="D263" i="75"/>
  <c r="F266" i="75" s="1"/>
  <c r="D537" i="75"/>
  <c r="AB23" i="76"/>
  <c r="D12" i="77"/>
  <c r="H12" i="77" s="1"/>
  <c r="D15" i="77"/>
  <c r="H15" i="77" s="1"/>
  <c r="AB32" i="76"/>
  <c r="D535" i="79"/>
  <c r="H504" i="79"/>
  <c r="D11" i="81"/>
  <c r="D212" i="81"/>
  <c r="F215" i="81" s="1"/>
  <c r="D644" i="81"/>
  <c r="E389" i="83"/>
  <c r="A427" i="83" s="1"/>
  <c r="E407" i="83"/>
  <c r="C337" i="83"/>
  <c r="F339" i="83" s="1"/>
  <c r="H629" i="83"/>
  <c r="I28" i="84"/>
  <c r="E6" i="85"/>
  <c r="AB42" i="88"/>
  <c r="J40" i="88"/>
  <c r="K31" i="90"/>
  <c r="D139" i="91"/>
  <c r="AB33" i="92"/>
  <c r="AB42" i="92"/>
  <c r="H11" i="95"/>
  <c r="E291" i="99"/>
  <c r="A321" i="99" s="1"/>
  <c r="E305" i="99"/>
  <c r="E13" i="99"/>
  <c r="G13" i="99" s="1"/>
  <c r="I29" i="102"/>
  <c r="K29" i="102" s="1"/>
  <c r="AA9" i="102"/>
  <c r="H218" i="105"/>
  <c r="C55" i="105"/>
  <c r="F57" i="105" s="1"/>
  <c r="H234" i="109"/>
  <c r="E89" i="109"/>
  <c r="F93" i="109" s="1"/>
  <c r="E206" i="115"/>
  <c r="E194" i="115"/>
  <c r="A220" i="115" s="1"/>
  <c r="G17" i="123"/>
  <c r="J34" i="60"/>
  <c r="E240" i="71"/>
  <c r="A270" i="71" s="1"/>
  <c r="E254" i="71"/>
  <c r="AA12" i="70"/>
  <c r="I30" i="70"/>
  <c r="K30" i="70" s="1"/>
  <c r="M30" i="70" s="1"/>
  <c r="D50" i="71"/>
  <c r="F53" i="71" s="1"/>
  <c r="D429" i="73"/>
  <c r="I34" i="76"/>
  <c r="K34" i="76" s="1"/>
  <c r="E12" i="77"/>
  <c r="AA24" i="76"/>
  <c r="B148" i="79"/>
  <c r="K33" i="80"/>
  <c r="I41" i="80"/>
  <c r="K41" i="80" s="1"/>
  <c r="G11" i="81"/>
  <c r="D637" i="83"/>
  <c r="H534" i="83"/>
  <c r="H566" i="83"/>
  <c r="D137" i="83"/>
  <c r="F140" i="83" s="1"/>
  <c r="D645" i="83"/>
  <c r="D237" i="83"/>
  <c r="F240" i="83" s="1"/>
  <c r="D337" i="83"/>
  <c r="F340" i="83" s="1"/>
  <c r="F6" i="85"/>
  <c r="AB6" i="84"/>
  <c r="AA17" i="84"/>
  <c r="C10" i="85"/>
  <c r="I32" i="86"/>
  <c r="E10" i="87"/>
  <c r="AA18" i="86"/>
  <c r="I40" i="88"/>
  <c r="K40" i="88" s="1"/>
  <c r="H304" i="89"/>
  <c r="C46" i="89"/>
  <c r="F48" i="89" s="1"/>
  <c r="E141" i="95"/>
  <c r="A163" i="95" s="1"/>
  <c r="E151" i="95"/>
  <c r="E11" i="95"/>
  <c r="G11" i="95" s="1"/>
  <c r="I11" i="95" s="1"/>
  <c r="E277" i="95" s="1"/>
  <c r="AA21" i="94"/>
  <c r="AB48" i="94"/>
  <c r="J42" i="94"/>
  <c r="H240" i="95"/>
  <c r="C57" i="95"/>
  <c r="I71" i="95" s="1"/>
  <c r="AA17" i="98"/>
  <c r="C10" i="99"/>
  <c r="H407" i="99"/>
  <c r="C54" i="99"/>
  <c r="F56" i="99" s="1"/>
  <c r="C138" i="99"/>
  <c r="F140" i="99" s="1"/>
  <c r="H439" i="99"/>
  <c r="F8" i="105"/>
  <c r="J30" i="104"/>
  <c r="AB12" i="104"/>
  <c r="H219" i="105"/>
  <c r="D55" i="105"/>
  <c r="F58" i="105" s="1"/>
  <c r="D244" i="105"/>
  <c r="H101" i="113"/>
  <c r="AA45" i="118"/>
  <c r="I41" i="118"/>
  <c r="K41" i="118" s="1"/>
  <c r="C9" i="123"/>
  <c r="AA14" i="122"/>
  <c r="C8" i="129"/>
  <c r="AA11" i="128"/>
  <c r="E120" i="129"/>
  <c r="F124" i="129" s="1"/>
  <c r="H314" i="129"/>
  <c r="C75" i="131"/>
  <c r="F77" i="131" s="1"/>
  <c r="H415" i="131"/>
  <c r="H479" i="131"/>
  <c r="C243" i="131"/>
  <c r="F245" i="131" s="1"/>
  <c r="J42" i="58"/>
  <c r="F12" i="61"/>
  <c r="AA18" i="62"/>
  <c r="J40" i="62"/>
  <c r="J39" i="64"/>
  <c r="D50" i="67"/>
  <c r="F53" i="67" s="1"/>
  <c r="J30" i="70"/>
  <c r="F8" i="71"/>
  <c r="H8" i="71" s="1"/>
  <c r="H11" i="71"/>
  <c r="J36" i="70"/>
  <c r="F14" i="71"/>
  <c r="H14" i="71" s="1"/>
  <c r="J31" i="72"/>
  <c r="H12" i="73"/>
  <c r="AA14" i="74"/>
  <c r="J37" i="76"/>
  <c r="F15" i="77"/>
  <c r="K35" i="80"/>
  <c r="G15" i="83"/>
  <c r="AB17" i="84"/>
  <c r="D10" i="85"/>
  <c r="F7" i="87"/>
  <c r="AB9" i="86"/>
  <c r="AB18" i="86"/>
  <c r="F10" i="87"/>
  <c r="AA48" i="86"/>
  <c r="I42" i="86"/>
  <c r="K42" i="86" s="1"/>
  <c r="F8" i="89"/>
  <c r="H8" i="89" s="1"/>
  <c r="AB12" i="88"/>
  <c r="J30" i="88"/>
  <c r="AB33" i="88"/>
  <c r="J37" i="88"/>
  <c r="H305" i="89"/>
  <c r="D46" i="89"/>
  <c r="F49" i="89" s="1"/>
  <c r="D122" i="89"/>
  <c r="F125" i="89" s="1"/>
  <c r="D365" i="89"/>
  <c r="D361" i="89"/>
  <c r="E131" i="91"/>
  <c r="C9" i="93"/>
  <c r="AA14" i="92"/>
  <c r="AB23" i="92"/>
  <c r="D12" i="93"/>
  <c r="AB21" i="94"/>
  <c r="F11" i="95"/>
  <c r="AB27" i="96"/>
  <c r="F13" i="97"/>
  <c r="H13" i="97" s="1"/>
  <c r="H220" i="105"/>
  <c r="E55" i="105"/>
  <c r="F59" i="105" s="1"/>
  <c r="M37" i="114"/>
  <c r="L37" i="114"/>
  <c r="M42" i="116"/>
  <c r="L42" i="116"/>
  <c r="P316" i="117"/>
  <c r="G300" i="117"/>
  <c r="J151" i="121"/>
  <c r="C153" i="121"/>
  <c r="K158" i="121"/>
  <c r="C156" i="121"/>
  <c r="D153" i="121"/>
  <c r="B151" i="121"/>
  <c r="M150" i="121"/>
  <c r="I154" i="121"/>
  <c r="K147" i="121"/>
  <c r="E98" i="123"/>
  <c r="F102" i="123" s="1"/>
  <c r="H442" i="123"/>
  <c r="E182" i="123"/>
  <c r="F186" i="123" s="1"/>
  <c r="H474" i="123"/>
  <c r="H506" i="123"/>
  <c r="E266" i="123"/>
  <c r="D283" i="123" s="1"/>
  <c r="AB18" i="64"/>
  <c r="J32" i="64"/>
  <c r="I28" i="66"/>
  <c r="AA39" i="66"/>
  <c r="B92" i="69"/>
  <c r="C428" i="69"/>
  <c r="AA30" i="70"/>
  <c r="J33" i="70"/>
  <c r="K33" i="70" s="1"/>
  <c r="C8" i="71"/>
  <c r="G8" i="71" s="1"/>
  <c r="AB42" i="72"/>
  <c r="I31" i="74"/>
  <c r="K31" i="74" s="1"/>
  <c r="M31" i="74" s="1"/>
  <c r="AA32" i="74"/>
  <c r="C15" i="75"/>
  <c r="J34" i="76"/>
  <c r="H447" i="79"/>
  <c r="C56" i="79"/>
  <c r="F58" i="79" s="1"/>
  <c r="H441" i="79"/>
  <c r="J35" i="80"/>
  <c r="H590" i="81"/>
  <c r="H540" i="83"/>
  <c r="C638" i="83"/>
  <c r="B62" i="83"/>
  <c r="H630" i="83"/>
  <c r="AA18" i="84"/>
  <c r="E10" i="85"/>
  <c r="I35" i="84"/>
  <c r="K35" i="84" s="1"/>
  <c r="B74" i="85"/>
  <c r="J29" i="86"/>
  <c r="I37" i="88"/>
  <c r="K37" i="88" s="1"/>
  <c r="M37" i="88" s="1"/>
  <c r="I41" i="90"/>
  <c r="K41" i="90" s="1"/>
  <c r="M41" i="90" s="1"/>
  <c r="AA45" i="90"/>
  <c r="F131" i="91"/>
  <c r="AA5" i="92"/>
  <c r="P319" i="93"/>
  <c r="G303" i="93"/>
  <c r="D6" i="93"/>
  <c r="H6" i="93" s="1"/>
  <c r="AB5" i="92"/>
  <c r="I33" i="94"/>
  <c r="G10" i="95"/>
  <c r="E57" i="95"/>
  <c r="F61" i="95" s="1"/>
  <c r="H242" i="95"/>
  <c r="J41" i="96"/>
  <c r="H479" i="97"/>
  <c r="D525" i="97"/>
  <c r="J42" i="98"/>
  <c r="G9" i="99"/>
  <c r="L33" i="100"/>
  <c r="E238" i="111"/>
  <c r="A268" i="111" s="1"/>
  <c r="E252" i="111"/>
  <c r="C46" i="111"/>
  <c r="L47" i="111"/>
  <c r="D12" i="115"/>
  <c r="AB23" i="114"/>
  <c r="AB48" i="116"/>
  <c r="J42" i="116"/>
  <c r="E189" i="129"/>
  <c r="N203" i="129" s="1"/>
  <c r="E177" i="129"/>
  <c r="A203" i="129" s="1"/>
  <c r="G151" i="69"/>
  <c r="I31" i="72"/>
  <c r="K31" i="72" s="1"/>
  <c r="B155" i="73"/>
  <c r="H171" i="73" s="1"/>
  <c r="I37" i="74"/>
  <c r="H510" i="75"/>
  <c r="H487" i="77"/>
  <c r="D641" i="81"/>
  <c r="H606" i="83"/>
  <c r="C364" i="89"/>
  <c r="J34" i="92"/>
  <c r="H457" i="93"/>
  <c r="AA9" i="94"/>
  <c r="D274" i="95"/>
  <c r="D57" i="95"/>
  <c r="F60" i="95" s="1"/>
  <c r="AA23" i="96"/>
  <c r="I34" i="96"/>
  <c r="F6" i="109"/>
  <c r="AB6" i="108"/>
  <c r="D241" i="109"/>
  <c r="H209" i="109"/>
  <c r="C7" i="111"/>
  <c r="I29" i="110"/>
  <c r="N227" i="115"/>
  <c r="G213" i="115"/>
  <c r="AA18" i="116"/>
  <c r="E10" i="117"/>
  <c r="I32" i="116"/>
  <c r="K32" i="116" s="1"/>
  <c r="AA12" i="118"/>
  <c r="I30" i="118"/>
  <c r="E8" i="119"/>
  <c r="G8" i="119" s="1"/>
  <c r="H385" i="133"/>
  <c r="B73" i="133"/>
  <c r="C456" i="133"/>
  <c r="H417" i="133"/>
  <c r="B157" i="133"/>
  <c r="E6" i="135"/>
  <c r="G6" i="135" s="1"/>
  <c r="AA6" i="134"/>
  <c r="G9" i="135"/>
  <c r="H437" i="135"/>
  <c r="B77" i="135"/>
  <c r="H18" i="83"/>
  <c r="E108" i="85"/>
  <c r="F112" i="85" s="1"/>
  <c r="E216" i="91"/>
  <c r="A242" i="91" s="1"/>
  <c r="E228" i="91"/>
  <c r="E29" i="91"/>
  <c r="F33" i="91" s="1"/>
  <c r="H319" i="91"/>
  <c r="D7" i="95"/>
  <c r="H7" i="95" s="1"/>
  <c r="C35" i="97"/>
  <c r="F37" i="97" s="1"/>
  <c r="H422" i="97"/>
  <c r="K33" i="98"/>
  <c r="H481" i="99"/>
  <c r="E243" i="99"/>
  <c r="F247" i="99" s="1"/>
  <c r="J34" i="100"/>
  <c r="AB24" i="100"/>
  <c r="AA8" i="108"/>
  <c r="C7" i="109"/>
  <c r="E10" i="109"/>
  <c r="AA18" i="108"/>
  <c r="I38" i="108"/>
  <c r="K38" i="108" s="1"/>
  <c r="B55" i="109"/>
  <c r="H215" i="109"/>
  <c r="J41" i="118"/>
  <c r="AB45" i="118"/>
  <c r="E36" i="125"/>
  <c r="D36" i="125"/>
  <c r="I35" i="125"/>
  <c r="H35" i="125"/>
  <c r="C35" i="125"/>
  <c r="G33" i="125"/>
  <c r="H37" i="125"/>
  <c r="F36" i="125"/>
  <c r="F8" i="129"/>
  <c r="AB12" i="128"/>
  <c r="D13" i="133"/>
  <c r="AB26" i="132"/>
  <c r="D6" i="73"/>
  <c r="E240" i="75"/>
  <c r="F244" i="75" s="1"/>
  <c r="I33" i="76"/>
  <c r="J39" i="78"/>
  <c r="J32" i="80"/>
  <c r="E15" i="81"/>
  <c r="J40" i="82"/>
  <c r="E411" i="83"/>
  <c r="H614" i="83"/>
  <c r="H328" i="89"/>
  <c r="C103" i="89"/>
  <c r="H324" i="91"/>
  <c r="B48" i="91"/>
  <c r="AB45" i="92"/>
  <c r="J41" i="92"/>
  <c r="E296" i="93"/>
  <c r="G7" i="95"/>
  <c r="M40" i="98"/>
  <c r="L40" i="98"/>
  <c r="H6" i="99"/>
  <c r="H6" i="101"/>
  <c r="J31" i="104"/>
  <c r="E129" i="109"/>
  <c r="F129" i="109" s="1"/>
  <c r="E119" i="109"/>
  <c r="A141" i="109" s="1"/>
  <c r="E92" i="111"/>
  <c r="F96" i="111" s="1"/>
  <c r="H376" i="111"/>
  <c r="E281" i="117"/>
  <c r="A311" i="117" s="1"/>
  <c r="E295" i="117"/>
  <c r="E300" i="119"/>
  <c r="P316" i="119" s="1"/>
  <c r="E286" i="119"/>
  <c r="A316" i="119" s="1"/>
  <c r="H462" i="119"/>
  <c r="E201" i="119"/>
  <c r="F205" i="119" s="1"/>
  <c r="D119" i="121"/>
  <c r="F122" i="121" s="1"/>
  <c r="D516" i="121"/>
  <c r="H449" i="121"/>
  <c r="E191" i="129"/>
  <c r="E179" i="129"/>
  <c r="A205" i="129" s="1"/>
  <c r="J30" i="128"/>
  <c r="AB35" i="130"/>
  <c r="D16" i="131"/>
  <c r="B263" i="75"/>
  <c r="C529" i="75"/>
  <c r="E240" i="77"/>
  <c r="E310" i="77"/>
  <c r="A344" i="77" s="1"/>
  <c r="D6" i="83"/>
  <c r="C87" i="83"/>
  <c r="F89" i="83" s="1"/>
  <c r="I29" i="86"/>
  <c r="C7" i="87"/>
  <c r="AA8" i="86"/>
  <c r="G10" i="87"/>
  <c r="I29" i="90"/>
  <c r="C394" i="91"/>
  <c r="K29" i="94"/>
  <c r="AB5" i="96"/>
  <c r="D6" i="97"/>
  <c r="H6" i="97" s="1"/>
  <c r="J28" i="96"/>
  <c r="E35" i="97"/>
  <c r="F39" i="97" s="1"/>
  <c r="H424" i="97"/>
  <c r="C231" i="97"/>
  <c r="L238" i="97"/>
  <c r="B231" i="97"/>
  <c r="D236" i="97"/>
  <c r="G232" i="97"/>
  <c r="G242" i="97"/>
  <c r="F232" i="97"/>
  <c r="H239" i="97"/>
  <c r="F15" i="99"/>
  <c r="J37" i="98"/>
  <c r="I28" i="100"/>
  <c r="M41" i="100"/>
  <c r="L41" i="100"/>
  <c r="C32" i="103"/>
  <c r="H149" i="103"/>
  <c r="B113" i="111"/>
  <c r="H381" i="111"/>
  <c r="C426" i="111"/>
  <c r="B213" i="111"/>
  <c r="L211" i="111"/>
  <c r="B27" i="115"/>
  <c r="F28" i="115" s="1"/>
  <c r="C357" i="115"/>
  <c r="H292" i="115"/>
  <c r="H324" i="115"/>
  <c r="C361" i="115"/>
  <c r="B103" i="115"/>
  <c r="F104" i="115" s="1"/>
  <c r="F318" i="121"/>
  <c r="F8" i="123"/>
  <c r="H8" i="123" s="1"/>
  <c r="AB12" i="122"/>
  <c r="J30" i="122"/>
  <c r="G15" i="123"/>
  <c r="AA36" i="130"/>
  <c r="E16" i="131"/>
  <c r="AB6" i="132"/>
  <c r="F6" i="133"/>
  <c r="H6" i="133" s="1"/>
  <c r="AB36" i="132"/>
  <c r="J38" i="132"/>
  <c r="AB45" i="132"/>
  <c r="J41" i="132"/>
  <c r="I36" i="70"/>
  <c r="B71" i="73"/>
  <c r="I87" i="73" s="1"/>
  <c r="H368" i="73"/>
  <c r="E15" i="75"/>
  <c r="J33" i="76"/>
  <c r="E311" i="77"/>
  <c r="A345" i="77" s="1"/>
  <c r="J42" i="78"/>
  <c r="J37" i="80"/>
  <c r="I28" i="82"/>
  <c r="D262" i="83"/>
  <c r="F265" i="83" s="1"/>
  <c r="E412" i="83"/>
  <c r="I41" i="84"/>
  <c r="K41" i="84" s="1"/>
  <c r="AA45" i="84"/>
  <c r="I38" i="88"/>
  <c r="K38" i="88" s="1"/>
  <c r="C10" i="89"/>
  <c r="J29" i="90"/>
  <c r="I35" i="90"/>
  <c r="K35" i="90" s="1"/>
  <c r="H326" i="91"/>
  <c r="D48" i="91"/>
  <c r="F51" i="91" s="1"/>
  <c r="D394" i="91"/>
  <c r="J35" i="92"/>
  <c r="H431" i="93"/>
  <c r="C117" i="93"/>
  <c r="F119" i="93" s="1"/>
  <c r="I32" i="94"/>
  <c r="J38" i="94"/>
  <c r="K242" i="97"/>
  <c r="H456" i="99"/>
  <c r="D494" i="99"/>
  <c r="AA6" i="100"/>
  <c r="J28" i="100"/>
  <c r="J95" i="103"/>
  <c r="C242" i="109"/>
  <c r="C197" i="111"/>
  <c r="F199" i="111" s="1"/>
  <c r="H414" i="111"/>
  <c r="D271" i="113"/>
  <c r="D57" i="113"/>
  <c r="F60" i="113" s="1"/>
  <c r="AA20" i="114"/>
  <c r="C11" i="115"/>
  <c r="I36" i="114"/>
  <c r="K36" i="114" s="1"/>
  <c r="AA30" i="114"/>
  <c r="G10" i="115"/>
  <c r="E282" i="117"/>
  <c r="A312" i="117" s="1"/>
  <c r="E296" i="117"/>
  <c r="E159" i="117"/>
  <c r="F163" i="117" s="1"/>
  <c r="H446" i="117"/>
  <c r="E12" i="123"/>
  <c r="I34" i="122"/>
  <c r="K34" i="122" s="1"/>
  <c r="AA24" i="122"/>
  <c r="H312" i="127"/>
  <c r="C65" i="127"/>
  <c r="E192" i="129"/>
  <c r="N206" i="129" s="1"/>
  <c r="E180" i="129"/>
  <c r="A206" i="129" s="1"/>
  <c r="G8" i="85"/>
  <c r="C11" i="87"/>
  <c r="J30" i="90"/>
  <c r="AB27" i="92"/>
  <c r="F13" i="93"/>
  <c r="H13" i="93" s="1"/>
  <c r="H449" i="93"/>
  <c r="E159" i="93"/>
  <c r="F163" i="93" s="1"/>
  <c r="G155" i="97"/>
  <c r="G153" i="97"/>
  <c r="H150" i="97"/>
  <c r="AB32" i="98"/>
  <c r="D15" i="99"/>
  <c r="H15" i="99" s="1"/>
  <c r="H159" i="103"/>
  <c r="E47" i="103"/>
  <c r="AA6" i="104"/>
  <c r="I28" i="104"/>
  <c r="B72" i="105"/>
  <c r="C245" i="105"/>
  <c r="H225" i="105"/>
  <c r="E7" i="107"/>
  <c r="AA9" i="106"/>
  <c r="J30" i="108"/>
  <c r="AB11" i="108"/>
  <c r="E55" i="109"/>
  <c r="H218" i="109"/>
  <c r="AA30" i="112"/>
  <c r="I36" i="112"/>
  <c r="K36" i="112" s="1"/>
  <c r="AA24" i="114"/>
  <c r="E12" i="115"/>
  <c r="G12" i="115" s="1"/>
  <c r="E285" i="117"/>
  <c r="A315" i="117" s="1"/>
  <c r="E299" i="117"/>
  <c r="C180" i="117"/>
  <c r="F182" i="117" s="1"/>
  <c r="H452" i="117"/>
  <c r="I41" i="132"/>
  <c r="K41" i="132" s="1"/>
  <c r="M41" i="132" s="1"/>
  <c r="AA45" i="132"/>
  <c r="K28" i="104"/>
  <c r="H227" i="105"/>
  <c r="D245" i="105"/>
  <c r="D72" i="105"/>
  <c r="J42" i="106"/>
  <c r="AB48" i="106"/>
  <c r="C71" i="111"/>
  <c r="D9" i="117"/>
  <c r="H9" i="117" s="1"/>
  <c r="AB14" i="116"/>
  <c r="E303" i="123"/>
  <c r="A333" i="123" s="1"/>
  <c r="E317" i="123"/>
  <c r="E14" i="123"/>
  <c r="AA30" i="122"/>
  <c r="F17" i="123"/>
  <c r="H17" i="123" s="1"/>
  <c r="J39" i="122"/>
  <c r="AB39" i="122"/>
  <c r="D140" i="123"/>
  <c r="F143" i="123" s="1"/>
  <c r="H457" i="123"/>
  <c r="D517" i="123"/>
  <c r="AB11" i="88"/>
  <c r="H152" i="101"/>
  <c r="E32" i="101"/>
  <c r="F36" i="101" s="1"/>
  <c r="M39" i="102"/>
  <c r="L39" i="102"/>
  <c r="H6" i="105"/>
  <c r="I11" i="107"/>
  <c r="I36" i="106"/>
  <c r="K36" i="106" s="1"/>
  <c r="AA30" i="106"/>
  <c r="H399" i="111"/>
  <c r="D155" i="111"/>
  <c r="F158" i="111" s="1"/>
  <c r="AA18" i="114"/>
  <c r="I31" i="116"/>
  <c r="E9" i="117"/>
  <c r="AA15" i="116"/>
  <c r="C96" i="117"/>
  <c r="F98" i="117" s="1"/>
  <c r="AB5" i="118"/>
  <c r="J28" i="118"/>
  <c r="I29" i="130"/>
  <c r="AA8" i="130"/>
  <c r="E281" i="133"/>
  <c r="E267" i="133"/>
  <c r="A297" i="133" s="1"/>
  <c r="F8" i="137"/>
  <c r="AB12" i="136"/>
  <c r="I28" i="98"/>
  <c r="K28" i="98" s="1"/>
  <c r="AA6" i="98"/>
  <c r="E6" i="99"/>
  <c r="G6" i="99" s="1"/>
  <c r="C259" i="99"/>
  <c r="B47" i="101"/>
  <c r="C168" i="101"/>
  <c r="AA30" i="102"/>
  <c r="I36" i="102"/>
  <c r="K36" i="102" s="1"/>
  <c r="H314" i="107"/>
  <c r="E120" i="107"/>
  <c r="F124" i="107" s="1"/>
  <c r="K36" i="110"/>
  <c r="AB27" i="116"/>
  <c r="F13" i="117"/>
  <c r="H13" i="117" s="1"/>
  <c r="E8" i="121"/>
  <c r="AA12" i="120"/>
  <c r="AA23" i="120"/>
  <c r="C12" i="121"/>
  <c r="G12" i="121" s="1"/>
  <c r="C10" i="127"/>
  <c r="I32" i="126"/>
  <c r="K32" i="126" s="1"/>
  <c r="B27" i="127"/>
  <c r="C360" i="127"/>
  <c r="H327" i="127"/>
  <c r="B103" i="127"/>
  <c r="F104" i="127" s="1"/>
  <c r="C364" i="127"/>
  <c r="AB6" i="138"/>
  <c r="F6" i="139"/>
  <c r="H12" i="89"/>
  <c r="AB20" i="90"/>
  <c r="C90" i="93"/>
  <c r="E84" i="93"/>
  <c r="C84" i="93"/>
  <c r="I40" i="96"/>
  <c r="K40" i="96" s="1"/>
  <c r="G150" i="97"/>
  <c r="C243" i="99"/>
  <c r="C496" i="99"/>
  <c r="I36" i="100"/>
  <c r="K36" i="100" s="1"/>
  <c r="L36" i="100" s="1"/>
  <c r="J39" i="100"/>
  <c r="H158" i="101"/>
  <c r="C47" i="101"/>
  <c r="F6" i="106"/>
  <c r="H6" i="106" s="1"/>
  <c r="J6" i="106" s="1"/>
  <c r="AA14" i="112"/>
  <c r="C9" i="113"/>
  <c r="AA17" i="116"/>
  <c r="C10" i="117"/>
  <c r="J35" i="116"/>
  <c r="AB23" i="120"/>
  <c r="D12" i="121"/>
  <c r="H12" i="121" s="1"/>
  <c r="D513" i="121"/>
  <c r="D56" i="121"/>
  <c r="F59" i="121" s="1"/>
  <c r="D140" i="121"/>
  <c r="D517" i="121"/>
  <c r="H457" i="121"/>
  <c r="D521" i="121"/>
  <c r="D224" i="121"/>
  <c r="AA17" i="126"/>
  <c r="D10" i="127"/>
  <c r="AB17" i="126"/>
  <c r="J32" i="126"/>
  <c r="AA27" i="126"/>
  <c r="E13" i="127"/>
  <c r="AA48" i="126"/>
  <c r="I42" i="126"/>
  <c r="K42" i="126" s="1"/>
  <c r="H273" i="129"/>
  <c r="D328" i="129"/>
  <c r="D25" i="129"/>
  <c r="F28" i="129" s="1"/>
  <c r="D332" i="129"/>
  <c r="D101" i="129"/>
  <c r="F104" i="129" s="1"/>
  <c r="I40" i="130"/>
  <c r="K40" i="130" s="1"/>
  <c r="AA42" i="130"/>
  <c r="E313" i="135"/>
  <c r="A343" i="135" s="1"/>
  <c r="E327" i="135"/>
  <c r="I257" i="99"/>
  <c r="J42" i="102"/>
  <c r="AB48" i="102"/>
  <c r="AB21" i="110"/>
  <c r="E14" i="117"/>
  <c r="I36" i="116"/>
  <c r="AA30" i="116"/>
  <c r="E13" i="121"/>
  <c r="G13" i="121" s="1"/>
  <c r="AA27" i="120"/>
  <c r="I35" i="120"/>
  <c r="F514" i="123"/>
  <c r="G10" i="129"/>
  <c r="J126" i="133"/>
  <c r="AB24" i="140"/>
  <c r="F12" i="141"/>
  <c r="C497" i="93"/>
  <c r="C519" i="97"/>
  <c r="D251" i="99"/>
  <c r="H478" i="99"/>
  <c r="C330" i="107"/>
  <c r="B63" i="107"/>
  <c r="AA5" i="108"/>
  <c r="C6" i="109"/>
  <c r="AA48" i="110"/>
  <c r="I42" i="110"/>
  <c r="K42" i="110" s="1"/>
  <c r="H400" i="111"/>
  <c r="E155" i="111"/>
  <c r="F159" i="111" s="1"/>
  <c r="E71" i="111"/>
  <c r="F75" i="111" s="1"/>
  <c r="E150" i="113"/>
  <c r="F150" i="113" s="1"/>
  <c r="E140" i="113"/>
  <c r="A162" i="113" s="1"/>
  <c r="J32" i="112"/>
  <c r="F10" i="113"/>
  <c r="H10" i="113" s="1"/>
  <c r="AA8" i="114"/>
  <c r="C7" i="115"/>
  <c r="AB18" i="114"/>
  <c r="J32" i="114"/>
  <c r="C8" i="117"/>
  <c r="AA11" i="116"/>
  <c r="F17" i="121"/>
  <c r="H17" i="121" s="1"/>
  <c r="F319" i="121"/>
  <c r="G319" i="121"/>
  <c r="AA11" i="122"/>
  <c r="I30" i="122"/>
  <c r="AB20" i="122"/>
  <c r="D11" i="123"/>
  <c r="H11" i="123" s="1"/>
  <c r="E195" i="127"/>
  <c r="A221" i="127" s="1"/>
  <c r="E207" i="127"/>
  <c r="C13" i="131"/>
  <c r="AA26" i="130"/>
  <c r="C52" i="133"/>
  <c r="F54" i="133" s="1"/>
  <c r="H378" i="133"/>
  <c r="C220" i="133"/>
  <c r="F222" i="133" s="1"/>
  <c r="J40" i="134"/>
  <c r="AB42" i="134"/>
  <c r="H12" i="135"/>
  <c r="H9" i="141"/>
  <c r="J36" i="104"/>
  <c r="AB30" i="104"/>
  <c r="H288" i="107"/>
  <c r="C63" i="107"/>
  <c r="F65" i="107" s="1"/>
  <c r="E255" i="111"/>
  <c r="E241" i="111"/>
  <c r="A271" i="111" s="1"/>
  <c r="K32" i="112"/>
  <c r="AA48" i="112"/>
  <c r="I42" i="112"/>
  <c r="K42" i="112" s="1"/>
  <c r="F11" i="117"/>
  <c r="H11" i="117" s="1"/>
  <c r="J33" i="116"/>
  <c r="I37" i="116"/>
  <c r="E15" i="117"/>
  <c r="AA33" i="116"/>
  <c r="AB39" i="118"/>
  <c r="J39" i="118"/>
  <c r="H468" i="119"/>
  <c r="C222" i="119"/>
  <c r="F224" i="119" s="1"/>
  <c r="AB9" i="120"/>
  <c r="F7" i="121"/>
  <c r="J29" i="120"/>
  <c r="D98" i="121"/>
  <c r="F101" i="121" s="1"/>
  <c r="H441" i="121"/>
  <c r="D523" i="121"/>
  <c r="D266" i="121"/>
  <c r="F269" i="121" s="1"/>
  <c r="D515" i="121"/>
  <c r="AB11" i="122"/>
  <c r="D8" i="123"/>
  <c r="E196" i="127"/>
  <c r="A222" i="127" s="1"/>
  <c r="E208" i="127"/>
  <c r="G208" i="127" s="1"/>
  <c r="F9" i="131"/>
  <c r="H9" i="131" s="1"/>
  <c r="J31" i="130"/>
  <c r="AB15" i="130"/>
  <c r="D96" i="131"/>
  <c r="F99" i="131" s="1"/>
  <c r="D490" i="131"/>
  <c r="H424" i="131"/>
  <c r="C13" i="133"/>
  <c r="D12" i="135"/>
  <c r="AB23" i="134"/>
  <c r="J34" i="134"/>
  <c r="J37" i="134"/>
  <c r="D23" i="137"/>
  <c r="F26" i="137" s="1"/>
  <c r="H222" i="137"/>
  <c r="H254" i="137"/>
  <c r="D91" i="137"/>
  <c r="F94" i="137" s="1"/>
  <c r="C9" i="95"/>
  <c r="E304" i="97"/>
  <c r="A334" i="97" s="1"/>
  <c r="D255" i="99"/>
  <c r="D252" i="99"/>
  <c r="B260" i="99"/>
  <c r="J30" i="100"/>
  <c r="AB11" i="100"/>
  <c r="G6" i="101"/>
  <c r="L40" i="102"/>
  <c r="M40" i="102"/>
  <c r="H321" i="107"/>
  <c r="D139" i="107"/>
  <c r="F142" i="107" s="1"/>
  <c r="J42" i="110"/>
  <c r="I39" i="112"/>
  <c r="K39" i="112" s="1"/>
  <c r="AA39" i="112"/>
  <c r="E40" i="113"/>
  <c r="F44" i="113" s="1"/>
  <c r="H231" i="113"/>
  <c r="E7" i="115"/>
  <c r="M40" i="116"/>
  <c r="L40" i="116"/>
  <c r="AA8" i="118"/>
  <c r="C7" i="119"/>
  <c r="D138" i="119"/>
  <c r="F141" i="119" s="1"/>
  <c r="D489" i="119"/>
  <c r="E317" i="121"/>
  <c r="G320" i="121" s="1"/>
  <c r="E303" i="121"/>
  <c r="A333" i="121" s="1"/>
  <c r="E6" i="131"/>
  <c r="G6" i="131" s="1"/>
  <c r="I28" i="130"/>
  <c r="K28" i="130" s="1"/>
  <c r="H13" i="133"/>
  <c r="E12" i="135"/>
  <c r="AA24" i="134"/>
  <c r="F9" i="137"/>
  <c r="H9" i="137" s="1"/>
  <c r="AB15" i="136"/>
  <c r="J31" i="136"/>
  <c r="F6" i="141"/>
  <c r="H6" i="141" s="1"/>
  <c r="J28" i="140"/>
  <c r="J30" i="118"/>
  <c r="F8" i="119"/>
  <c r="H8" i="119" s="1"/>
  <c r="H406" i="119"/>
  <c r="J38" i="120"/>
  <c r="F16" i="121"/>
  <c r="E197" i="127"/>
  <c r="A223" i="127" s="1"/>
  <c r="E209" i="127"/>
  <c r="AB5" i="128"/>
  <c r="D6" i="129"/>
  <c r="H6" i="129" s="1"/>
  <c r="D9" i="129"/>
  <c r="AB14" i="128"/>
  <c r="D12" i="129"/>
  <c r="AB23" i="128"/>
  <c r="K29" i="136"/>
  <c r="AB21" i="138"/>
  <c r="J33" i="138"/>
  <c r="H422" i="141"/>
  <c r="E12" i="143"/>
  <c r="I34" i="142"/>
  <c r="K34" i="142" s="1"/>
  <c r="AA24" i="142"/>
  <c r="H392" i="143"/>
  <c r="E33" i="143"/>
  <c r="F37" i="143" s="1"/>
  <c r="E201" i="143"/>
  <c r="F205" i="143" s="1"/>
  <c r="H456" i="143"/>
  <c r="C166" i="101"/>
  <c r="J29" i="102"/>
  <c r="E123" i="105"/>
  <c r="A145" i="105" s="1"/>
  <c r="C92" i="111"/>
  <c r="F94" i="111" s="1"/>
  <c r="H374" i="111"/>
  <c r="C57" i="113"/>
  <c r="F59" i="113" s="1"/>
  <c r="AB42" i="114"/>
  <c r="J40" i="114"/>
  <c r="G6" i="117"/>
  <c r="C54" i="117"/>
  <c r="F56" i="117" s="1"/>
  <c r="C486" i="119"/>
  <c r="H411" i="119"/>
  <c r="B75" i="119"/>
  <c r="C490" i="119"/>
  <c r="H443" i="119"/>
  <c r="B243" i="119"/>
  <c r="H475" i="119"/>
  <c r="H423" i="121"/>
  <c r="C513" i="121"/>
  <c r="E306" i="121"/>
  <c r="A336" i="121" s="1"/>
  <c r="D522" i="121"/>
  <c r="E308" i="123"/>
  <c r="A338" i="123" s="1"/>
  <c r="E322" i="123"/>
  <c r="M38" i="132"/>
  <c r="L38" i="132"/>
  <c r="D178" i="139"/>
  <c r="F181" i="139" s="1"/>
  <c r="H430" i="139"/>
  <c r="F10" i="141"/>
  <c r="H10" i="141" s="1"/>
  <c r="J32" i="140"/>
  <c r="AB18" i="140"/>
  <c r="L42" i="140"/>
  <c r="E124" i="105"/>
  <c r="A146" i="105" s="1"/>
  <c r="H274" i="107"/>
  <c r="H8" i="113"/>
  <c r="B40" i="113"/>
  <c r="F41" i="113" s="1"/>
  <c r="H228" i="113"/>
  <c r="D362" i="115"/>
  <c r="D122" i="115"/>
  <c r="F125" i="115" s="1"/>
  <c r="H334" i="115"/>
  <c r="AB26" i="118"/>
  <c r="C15" i="123"/>
  <c r="AA32" i="122"/>
  <c r="H230" i="125"/>
  <c r="D270" i="125"/>
  <c r="D40" i="125"/>
  <c r="E48" i="125" s="1"/>
  <c r="H262" i="125"/>
  <c r="D274" i="125"/>
  <c r="H445" i="135"/>
  <c r="B98" i="135"/>
  <c r="F99" i="135" s="1"/>
  <c r="B182" i="135"/>
  <c r="F183" i="135" s="1"/>
  <c r="C525" i="135"/>
  <c r="H509" i="135"/>
  <c r="B266" i="135"/>
  <c r="C529" i="135"/>
  <c r="AA23" i="138"/>
  <c r="C12" i="139"/>
  <c r="AB33" i="138"/>
  <c r="F15" i="139"/>
  <c r="AA9" i="140"/>
  <c r="E7" i="141"/>
  <c r="E289" i="143"/>
  <c r="A319" i="143" s="1"/>
  <c r="J41" i="142"/>
  <c r="AB45" i="142"/>
  <c r="AA42" i="104"/>
  <c r="D244" i="109"/>
  <c r="AB6" i="112"/>
  <c r="F6" i="113"/>
  <c r="H6" i="113" s="1"/>
  <c r="H12" i="115"/>
  <c r="F320" i="121"/>
  <c r="H426" i="123"/>
  <c r="E56" i="123"/>
  <c r="F60" i="123" s="1"/>
  <c r="E153" i="125"/>
  <c r="E143" i="125"/>
  <c r="A165" i="125" s="1"/>
  <c r="H11" i="125"/>
  <c r="C328" i="129"/>
  <c r="B25" i="129"/>
  <c r="F26" i="129" s="1"/>
  <c r="H271" i="129"/>
  <c r="C332" i="129"/>
  <c r="H303" i="129"/>
  <c r="D10" i="131"/>
  <c r="E260" i="133"/>
  <c r="A290" i="133" s="1"/>
  <c r="E274" i="133"/>
  <c r="AA39" i="132"/>
  <c r="I39" i="132"/>
  <c r="K39" i="132" s="1"/>
  <c r="E9" i="139"/>
  <c r="G9" i="139" s="1"/>
  <c r="AA15" i="138"/>
  <c r="E280" i="141"/>
  <c r="A310" i="141" s="1"/>
  <c r="E294" i="141"/>
  <c r="H397" i="141"/>
  <c r="D33" i="141"/>
  <c r="F36" i="141" s="1"/>
  <c r="D484" i="141"/>
  <c r="E281" i="143"/>
  <c r="A311" i="143" s="1"/>
  <c r="E295" i="143"/>
  <c r="C75" i="143"/>
  <c r="F77" i="143" s="1"/>
  <c r="H406" i="143"/>
  <c r="H438" i="143"/>
  <c r="C159" i="143"/>
  <c r="F161" i="143" s="1"/>
  <c r="H470" i="143"/>
  <c r="C243" i="143"/>
  <c r="F245" i="143" s="1"/>
  <c r="F6" i="107"/>
  <c r="G7" i="111"/>
  <c r="E65" i="115"/>
  <c r="F69" i="115" s="1"/>
  <c r="H311" i="115"/>
  <c r="H436" i="117"/>
  <c r="C138" i="117"/>
  <c r="J236" i="117"/>
  <c r="AB12" i="118"/>
  <c r="I35" i="118"/>
  <c r="AA27" i="118"/>
  <c r="AA45" i="122"/>
  <c r="I41" i="122"/>
  <c r="K41" i="122" s="1"/>
  <c r="D16" i="123"/>
  <c r="C514" i="123"/>
  <c r="H431" i="123"/>
  <c r="E57" i="125"/>
  <c r="F61" i="125" s="1"/>
  <c r="H239" i="125"/>
  <c r="AB8" i="126"/>
  <c r="D7" i="127"/>
  <c r="H297" i="127"/>
  <c r="D360" i="127"/>
  <c r="I38" i="128"/>
  <c r="K38" i="128" s="1"/>
  <c r="AA36" i="128"/>
  <c r="H304" i="129"/>
  <c r="C101" i="129"/>
  <c r="F103" i="129" s="1"/>
  <c r="F13" i="131"/>
  <c r="H13" i="131" s="1"/>
  <c r="AB27" i="130"/>
  <c r="J35" i="130"/>
  <c r="C15" i="133"/>
  <c r="I37" i="132"/>
  <c r="AA32" i="132"/>
  <c r="AB35" i="134"/>
  <c r="D16" i="135"/>
  <c r="E266" i="139"/>
  <c r="A296" i="139" s="1"/>
  <c r="E280" i="139"/>
  <c r="AA14" i="142"/>
  <c r="E130" i="133"/>
  <c r="B128" i="133"/>
  <c r="D127" i="133"/>
  <c r="B127" i="133"/>
  <c r="F116" i="133"/>
  <c r="AA14" i="134"/>
  <c r="C9" i="135"/>
  <c r="AA35" i="134"/>
  <c r="C16" i="135"/>
  <c r="E11" i="137"/>
  <c r="G11" i="137" s="1"/>
  <c r="AA21" i="136"/>
  <c r="I33" i="136"/>
  <c r="K33" i="136" s="1"/>
  <c r="H231" i="137"/>
  <c r="E40" i="137"/>
  <c r="F44" i="137" s="1"/>
  <c r="E267" i="139"/>
  <c r="A297" i="139" s="1"/>
  <c r="E281" i="139"/>
  <c r="G281" i="139" s="1"/>
  <c r="G6" i="143"/>
  <c r="D197" i="111"/>
  <c r="F200" i="111" s="1"/>
  <c r="E198" i="115"/>
  <c r="A224" i="115" s="1"/>
  <c r="E210" i="115"/>
  <c r="B141" i="115"/>
  <c r="F142" i="115" s="1"/>
  <c r="H340" i="115"/>
  <c r="J29" i="118"/>
  <c r="E161" i="121"/>
  <c r="F165" i="121" s="1"/>
  <c r="H466" i="121"/>
  <c r="I38" i="122"/>
  <c r="K38" i="122" s="1"/>
  <c r="C7" i="123"/>
  <c r="B140" i="123"/>
  <c r="F141" i="123" s="1"/>
  <c r="C517" i="123"/>
  <c r="B53" i="125"/>
  <c r="I50" i="125"/>
  <c r="H50" i="125"/>
  <c r="I49" i="125"/>
  <c r="G47" i="125"/>
  <c r="F278" i="133"/>
  <c r="P294" i="133"/>
  <c r="H370" i="133"/>
  <c r="AA15" i="134"/>
  <c r="I31" i="134"/>
  <c r="E16" i="135"/>
  <c r="I38" i="134"/>
  <c r="E271" i="139"/>
  <c r="G273" i="139" s="1"/>
  <c r="E257" i="139"/>
  <c r="A287" i="139" s="1"/>
  <c r="E222" i="141"/>
  <c r="F226" i="141" s="1"/>
  <c r="C10" i="143"/>
  <c r="AA17" i="142"/>
  <c r="I32" i="142"/>
  <c r="E197" i="111"/>
  <c r="F201" i="111" s="1"/>
  <c r="D273" i="113"/>
  <c r="F7" i="119"/>
  <c r="AB35" i="120"/>
  <c r="D16" i="121"/>
  <c r="J40" i="120"/>
  <c r="AB17" i="122"/>
  <c r="D10" i="123"/>
  <c r="F16" i="123"/>
  <c r="J38" i="122"/>
  <c r="AB36" i="122"/>
  <c r="D7" i="123"/>
  <c r="C140" i="123"/>
  <c r="F142" i="123" s="1"/>
  <c r="H456" i="123"/>
  <c r="AA15" i="124"/>
  <c r="I31" i="124"/>
  <c r="E9" i="125"/>
  <c r="G9" i="125" s="1"/>
  <c r="E193" i="127"/>
  <c r="A219" i="127" s="1"/>
  <c r="E205" i="127"/>
  <c r="AB11" i="126"/>
  <c r="D8" i="127"/>
  <c r="D76" i="129"/>
  <c r="J75" i="129"/>
  <c r="G73" i="129"/>
  <c r="J72" i="129"/>
  <c r="G72" i="129"/>
  <c r="F72" i="129"/>
  <c r="K70" i="129"/>
  <c r="D70" i="129"/>
  <c r="H78" i="129"/>
  <c r="F76" i="129"/>
  <c r="J37" i="130"/>
  <c r="K37" i="130" s="1"/>
  <c r="D12" i="133"/>
  <c r="AB23" i="132"/>
  <c r="AB15" i="134"/>
  <c r="F9" i="135"/>
  <c r="E272" i="139"/>
  <c r="E258" i="139"/>
  <c r="A288" i="139" s="1"/>
  <c r="D7" i="139"/>
  <c r="AB8" i="138"/>
  <c r="H13" i="139"/>
  <c r="D12" i="141"/>
  <c r="AB23" i="140"/>
  <c r="D16" i="141"/>
  <c r="AB35" i="140"/>
  <c r="I29" i="142"/>
  <c r="AA8" i="142"/>
  <c r="D272" i="137"/>
  <c r="H246" i="137"/>
  <c r="D74" i="137"/>
  <c r="F77" i="137" s="1"/>
  <c r="C6" i="141"/>
  <c r="I28" i="140"/>
  <c r="K28" i="140" s="1"/>
  <c r="G10" i="113"/>
  <c r="E35" i="113"/>
  <c r="H30" i="113"/>
  <c r="G105" i="113"/>
  <c r="D99" i="113"/>
  <c r="D105" i="113"/>
  <c r="B105" i="113"/>
  <c r="I28" i="116"/>
  <c r="K28" i="116" s="1"/>
  <c r="AA6" i="116"/>
  <c r="AB9" i="118"/>
  <c r="J37" i="118"/>
  <c r="H416" i="121"/>
  <c r="C35" i="121"/>
  <c r="F37" i="121" s="1"/>
  <c r="G8" i="123"/>
  <c r="B160" i="127"/>
  <c r="F161" i="127" s="1"/>
  <c r="C367" i="127"/>
  <c r="I30" i="128"/>
  <c r="E8" i="129"/>
  <c r="G8" i="129" s="1"/>
  <c r="E13" i="131"/>
  <c r="AA27" i="130"/>
  <c r="E243" i="131"/>
  <c r="F247" i="131" s="1"/>
  <c r="H481" i="131"/>
  <c r="C7" i="133"/>
  <c r="AA8" i="132"/>
  <c r="AA17" i="132"/>
  <c r="C10" i="133"/>
  <c r="I35" i="132"/>
  <c r="F9" i="141"/>
  <c r="AB15" i="140"/>
  <c r="AB42" i="116"/>
  <c r="H479" i="123"/>
  <c r="C520" i="123"/>
  <c r="F13" i="127"/>
  <c r="D120" i="129"/>
  <c r="F123" i="129" s="1"/>
  <c r="H313" i="129"/>
  <c r="E201" i="141"/>
  <c r="F205" i="141" s="1"/>
  <c r="H462" i="141"/>
  <c r="G15" i="139"/>
  <c r="E290" i="141"/>
  <c r="A320" i="141" s="1"/>
  <c r="E304" i="141"/>
  <c r="G304" i="141" s="1"/>
  <c r="D10" i="141"/>
  <c r="AB17" i="140"/>
  <c r="C493" i="141"/>
  <c r="B222" i="141"/>
  <c r="H467" i="141"/>
  <c r="E11" i="143"/>
  <c r="G11" i="143" s="1"/>
  <c r="AA21" i="142"/>
  <c r="J36" i="142"/>
  <c r="I35" i="116"/>
  <c r="K35" i="116" s="1"/>
  <c r="H469" i="117"/>
  <c r="G17" i="121"/>
  <c r="I42" i="124"/>
  <c r="K42" i="124" s="1"/>
  <c r="C334" i="129"/>
  <c r="E299" i="131"/>
  <c r="E285" i="131"/>
  <c r="A315" i="131" s="1"/>
  <c r="H433" i="133"/>
  <c r="B199" i="133"/>
  <c r="F200" i="133" s="1"/>
  <c r="C458" i="133"/>
  <c r="F322" i="135"/>
  <c r="P338" i="135"/>
  <c r="M37" i="136"/>
  <c r="H468" i="141"/>
  <c r="C222" i="141"/>
  <c r="I39" i="142"/>
  <c r="K39" i="142" s="1"/>
  <c r="I42" i="142"/>
  <c r="K42" i="142" s="1"/>
  <c r="D15" i="141"/>
  <c r="H15" i="141" s="1"/>
  <c r="AB24" i="142"/>
  <c r="J34" i="142"/>
  <c r="E259" i="133"/>
  <c r="A289" i="133" s="1"/>
  <c r="H6" i="135"/>
  <c r="H502" i="135"/>
  <c r="C245" i="135"/>
  <c r="F247" i="135" s="1"/>
  <c r="F11" i="137"/>
  <c r="H11" i="137" s="1"/>
  <c r="AB21" i="136"/>
  <c r="C269" i="137"/>
  <c r="B23" i="137"/>
  <c r="B91" i="137"/>
  <c r="F92" i="137" s="1"/>
  <c r="H252" i="137"/>
  <c r="AB14" i="138"/>
  <c r="AA9" i="138"/>
  <c r="I29" i="138"/>
  <c r="D14" i="139"/>
  <c r="AB29" i="138"/>
  <c r="E15" i="141"/>
  <c r="D14" i="121"/>
  <c r="E178" i="129"/>
  <c r="A204" i="129" s="1"/>
  <c r="E190" i="129"/>
  <c r="N204" i="129" s="1"/>
  <c r="AA23" i="128"/>
  <c r="AB11" i="128"/>
  <c r="D8" i="129"/>
  <c r="AB20" i="128"/>
  <c r="D11" i="129"/>
  <c r="I41" i="128"/>
  <c r="K41" i="128" s="1"/>
  <c r="AA45" i="128"/>
  <c r="D13" i="131"/>
  <c r="AB26" i="130"/>
  <c r="D243" i="131"/>
  <c r="F246" i="131" s="1"/>
  <c r="J28" i="132"/>
  <c r="D6" i="133"/>
  <c r="J28" i="134"/>
  <c r="C10" i="135"/>
  <c r="I32" i="134"/>
  <c r="J29" i="138"/>
  <c r="I42" i="138"/>
  <c r="K42" i="138" s="1"/>
  <c r="AA48" i="138"/>
  <c r="B54" i="141"/>
  <c r="F55" i="141" s="1"/>
  <c r="E291" i="141"/>
  <c r="A321" i="141" s="1"/>
  <c r="AA12" i="142"/>
  <c r="F6" i="143"/>
  <c r="H6" i="143" s="1"/>
  <c r="AB6" i="142"/>
  <c r="H504" i="123"/>
  <c r="M38" i="124"/>
  <c r="L38" i="124"/>
  <c r="C7" i="127"/>
  <c r="D362" i="127"/>
  <c r="D65" i="127"/>
  <c r="F68" i="127" s="1"/>
  <c r="D7" i="131"/>
  <c r="AB8" i="130"/>
  <c r="D7" i="133"/>
  <c r="AB8" i="132"/>
  <c r="D451" i="133"/>
  <c r="AB39" i="134"/>
  <c r="F17" i="135"/>
  <c r="AA11" i="136"/>
  <c r="D15" i="139"/>
  <c r="AB32" i="138"/>
  <c r="D6" i="141"/>
  <c r="AB5" i="140"/>
  <c r="F16" i="141"/>
  <c r="AB36" i="140"/>
  <c r="K32" i="142"/>
  <c r="L32" i="142" s="1"/>
  <c r="H390" i="143"/>
  <c r="C33" i="143"/>
  <c r="H454" i="143"/>
  <c r="C201" i="143"/>
  <c r="H422" i="143"/>
  <c r="H10" i="119"/>
  <c r="H13" i="119"/>
  <c r="D8" i="121"/>
  <c r="H8" i="121" s="1"/>
  <c r="E323" i="121"/>
  <c r="H464" i="121"/>
  <c r="B203" i="123"/>
  <c r="C512" i="123"/>
  <c r="H314" i="127"/>
  <c r="E65" i="127"/>
  <c r="F69" i="127" s="1"/>
  <c r="AA39" i="128"/>
  <c r="I39" i="128"/>
  <c r="K39" i="128" s="1"/>
  <c r="E7" i="133"/>
  <c r="AA9" i="132"/>
  <c r="I29" i="132"/>
  <c r="K29" i="132" s="1"/>
  <c r="H369" i="133"/>
  <c r="H230" i="137"/>
  <c r="D40" i="137"/>
  <c r="F43" i="137" s="1"/>
  <c r="AA30" i="138"/>
  <c r="J38" i="140"/>
  <c r="AB45" i="140"/>
  <c r="J41" i="140"/>
  <c r="H398" i="141"/>
  <c r="C11" i="127"/>
  <c r="D46" i="127"/>
  <c r="F49" i="127" s="1"/>
  <c r="C122" i="127"/>
  <c r="F124" i="127" s="1"/>
  <c r="H470" i="131"/>
  <c r="G15" i="133"/>
  <c r="D13" i="135"/>
  <c r="C182" i="135"/>
  <c r="F184" i="135" s="1"/>
  <c r="E303" i="141"/>
  <c r="E151" i="125"/>
  <c r="G151" i="125" s="1"/>
  <c r="J30" i="126"/>
  <c r="D11" i="127"/>
  <c r="E276" i="133"/>
  <c r="G7" i="135"/>
  <c r="E13" i="135"/>
  <c r="G13" i="135" s="1"/>
  <c r="D182" i="135"/>
  <c r="F10" i="137"/>
  <c r="H237" i="137"/>
  <c r="H391" i="139"/>
  <c r="E180" i="143"/>
  <c r="F184" i="143" s="1"/>
  <c r="H311" i="127"/>
  <c r="I39" i="130"/>
  <c r="K39" i="130" s="1"/>
  <c r="B117" i="131"/>
  <c r="H398" i="131"/>
  <c r="J32" i="134"/>
  <c r="C203" i="135"/>
  <c r="F205" i="135" s="1"/>
  <c r="E142" i="137"/>
  <c r="A164" i="137" s="1"/>
  <c r="J35" i="138"/>
  <c r="J36" i="140"/>
  <c r="I40" i="126"/>
  <c r="K40" i="126" s="1"/>
  <c r="E8" i="127"/>
  <c r="C117" i="131"/>
  <c r="F119" i="131" s="1"/>
  <c r="AB39" i="132"/>
  <c r="I42" i="132"/>
  <c r="K42" i="132" s="1"/>
  <c r="D7" i="135"/>
  <c r="AB8" i="142"/>
  <c r="C481" i="143"/>
  <c r="J36" i="124"/>
  <c r="I37" i="126"/>
  <c r="K37" i="126" s="1"/>
  <c r="M37" i="126" s="1"/>
  <c r="J40" i="126"/>
  <c r="F8" i="127"/>
  <c r="H8" i="127" s="1"/>
  <c r="J29" i="128"/>
  <c r="H422" i="139"/>
  <c r="B96" i="143"/>
  <c r="F97" i="143" s="1"/>
  <c r="M40" i="14"/>
  <c r="L40" i="14"/>
  <c r="E397" i="3"/>
  <c r="K12" i="3"/>
  <c r="J12" i="3"/>
  <c r="N12" i="3"/>
  <c r="M36" i="6"/>
  <c r="L36" i="6"/>
  <c r="G66" i="2"/>
  <c r="M63" i="2"/>
  <c r="H61" i="2"/>
  <c r="B57" i="2"/>
  <c r="F62" i="2"/>
  <c r="E56" i="2"/>
  <c r="E62" i="2"/>
  <c r="D56" i="2"/>
  <c r="E61" i="2"/>
  <c r="L66" i="2"/>
  <c r="J66" i="2"/>
  <c r="D61" i="2"/>
  <c r="C61" i="2"/>
  <c r="E64" i="2"/>
  <c r="K38" i="3"/>
  <c r="K62" i="3"/>
  <c r="D140" i="3"/>
  <c r="L149" i="3"/>
  <c r="K30" i="6"/>
  <c r="AB6" i="10"/>
  <c r="F6" i="11"/>
  <c r="H6" i="11" s="1"/>
  <c r="J28" i="10"/>
  <c r="M37" i="10"/>
  <c r="L37" i="10"/>
  <c r="K7" i="15"/>
  <c r="F247" i="17"/>
  <c r="J177" i="17"/>
  <c r="H51" i="19"/>
  <c r="H49" i="19"/>
  <c r="H47" i="19"/>
  <c r="H45" i="19"/>
  <c r="G51" i="19"/>
  <c r="G45" i="19"/>
  <c r="C47" i="19"/>
  <c r="F51" i="19"/>
  <c r="F45" i="19"/>
  <c r="C45" i="19"/>
  <c r="E51" i="19"/>
  <c r="E45" i="19"/>
  <c r="D51" i="19"/>
  <c r="D45" i="19"/>
  <c r="C51" i="19"/>
  <c r="C49" i="19"/>
  <c r="G52" i="19"/>
  <c r="G46" i="19"/>
  <c r="F52" i="19"/>
  <c r="F46" i="19"/>
  <c r="I51" i="19"/>
  <c r="I47" i="19"/>
  <c r="I50" i="19"/>
  <c r="B51" i="19"/>
  <c r="B47" i="19"/>
  <c r="F39" i="19"/>
  <c r="I46" i="19"/>
  <c r="H50" i="19"/>
  <c r="H46" i="19"/>
  <c r="C50" i="19"/>
  <c r="C46" i="19"/>
  <c r="E46" i="19"/>
  <c r="D46" i="19"/>
  <c r="B49" i="19"/>
  <c r="B45" i="19"/>
  <c r="I52" i="19"/>
  <c r="I48" i="19"/>
  <c r="H52" i="19"/>
  <c r="H48" i="19"/>
  <c r="E52" i="19"/>
  <c r="D52" i="19"/>
  <c r="C52" i="19"/>
  <c r="L36" i="24"/>
  <c r="M36" i="24"/>
  <c r="C72" i="25"/>
  <c r="F74" i="25" s="1"/>
  <c r="H229" i="25"/>
  <c r="D246" i="33"/>
  <c r="D38" i="33"/>
  <c r="H214" i="33"/>
  <c r="AA14" i="16"/>
  <c r="C9" i="17"/>
  <c r="AA45" i="6"/>
  <c r="I41" i="6"/>
  <c r="K41" i="6" s="1"/>
  <c r="M42" i="8"/>
  <c r="L42" i="8"/>
  <c r="E174" i="3"/>
  <c r="F178" i="3"/>
  <c r="AB39" i="4"/>
  <c r="J39" i="4"/>
  <c r="B17" i="7"/>
  <c r="C167" i="7"/>
  <c r="H142" i="7"/>
  <c r="L31" i="8"/>
  <c r="M31" i="8"/>
  <c r="G135" i="15"/>
  <c r="H39" i="3"/>
  <c r="J34" i="12"/>
  <c r="AB24" i="12"/>
  <c r="J37" i="18"/>
  <c r="AB33" i="18"/>
  <c r="E132" i="25"/>
  <c r="E122" i="25"/>
  <c r="A144" i="25" s="1"/>
  <c r="M40" i="10"/>
  <c r="L40" i="10"/>
  <c r="M32" i="12"/>
  <c r="G132" i="17"/>
  <c r="L40" i="18"/>
  <c r="E215" i="2"/>
  <c r="E229" i="2"/>
  <c r="AA6" i="4"/>
  <c r="I28" i="4"/>
  <c r="E6" i="5"/>
  <c r="G6" i="5" s="1"/>
  <c r="B47" i="5"/>
  <c r="C169" i="5"/>
  <c r="H8" i="19"/>
  <c r="E226" i="3"/>
  <c r="E212" i="3"/>
  <c r="G42" i="3"/>
  <c r="G56" i="3"/>
  <c r="E65" i="3"/>
  <c r="I144" i="3"/>
  <c r="C47" i="5"/>
  <c r="F49" i="5" s="1"/>
  <c r="H159" i="5"/>
  <c r="I6" i="7"/>
  <c r="J6" i="7" s="1"/>
  <c r="G130" i="21"/>
  <c r="F130" i="21"/>
  <c r="E135" i="23"/>
  <c r="E125" i="23"/>
  <c r="A147" i="23" s="1"/>
  <c r="J34" i="22"/>
  <c r="AB24" i="22"/>
  <c r="L58" i="2"/>
  <c r="J43" i="3"/>
  <c r="I57" i="3"/>
  <c r="AB33" i="4"/>
  <c r="J37" i="4"/>
  <c r="L42" i="4"/>
  <c r="J92" i="5"/>
  <c r="G82" i="5"/>
  <c r="J95" i="7"/>
  <c r="G85" i="7"/>
  <c r="C8" i="11"/>
  <c r="AA11" i="10"/>
  <c r="I7" i="17"/>
  <c r="E246" i="17" s="1"/>
  <c r="B46" i="19"/>
  <c r="F6" i="21"/>
  <c r="H6" i="21" s="1"/>
  <c r="J28" i="20"/>
  <c r="K28" i="20" s="1"/>
  <c r="AB6" i="20"/>
  <c r="H49" i="21"/>
  <c r="M29" i="22"/>
  <c r="F51" i="23"/>
  <c r="F45" i="23"/>
  <c r="I48" i="23"/>
  <c r="E51" i="23"/>
  <c r="E45" i="23"/>
  <c r="I52" i="23"/>
  <c r="I46" i="23"/>
  <c r="D51" i="23"/>
  <c r="D45" i="23"/>
  <c r="C51" i="23"/>
  <c r="C49" i="23"/>
  <c r="C47" i="23"/>
  <c r="C45" i="23"/>
  <c r="B51" i="23"/>
  <c r="B49" i="23"/>
  <c r="B47" i="23"/>
  <c r="B45" i="23"/>
  <c r="F39" i="23"/>
  <c r="I50" i="23"/>
  <c r="E52" i="23"/>
  <c r="E46" i="23"/>
  <c r="D52" i="23"/>
  <c r="D46" i="23"/>
  <c r="G52" i="23"/>
  <c r="C52" i="23"/>
  <c r="F52" i="23"/>
  <c r="C48" i="23"/>
  <c r="B52" i="23"/>
  <c r="B48" i="23"/>
  <c r="H51" i="23"/>
  <c r="G51" i="23"/>
  <c r="I51" i="23"/>
  <c r="I47" i="23"/>
  <c r="H47" i="23"/>
  <c r="F46" i="23"/>
  <c r="C50" i="23"/>
  <c r="C46" i="23"/>
  <c r="B50" i="23"/>
  <c r="B46" i="23"/>
  <c r="G46" i="23"/>
  <c r="I45" i="23"/>
  <c r="H45" i="23"/>
  <c r="G45" i="23"/>
  <c r="H46" i="23"/>
  <c r="E133" i="33"/>
  <c r="E123" i="33"/>
  <c r="A145" i="33" s="1"/>
  <c r="A242" i="2"/>
  <c r="AA24" i="8"/>
  <c r="I34" i="8"/>
  <c r="K34" i="8" s="1"/>
  <c r="AA15" i="24"/>
  <c r="I31" i="24"/>
  <c r="K31" i="24" s="1"/>
  <c r="E90" i="3"/>
  <c r="F94" i="3"/>
  <c r="AA15" i="4"/>
  <c r="I31" i="4"/>
  <c r="K31" i="4" s="1"/>
  <c r="I37" i="8"/>
  <c r="K37" i="8" s="1"/>
  <c r="AA33" i="8"/>
  <c r="M38" i="20"/>
  <c r="L38" i="20"/>
  <c r="AB42" i="18"/>
  <c r="J40" i="18"/>
  <c r="M33" i="6"/>
  <c r="L33" i="6"/>
  <c r="L32" i="14"/>
  <c r="E121" i="17"/>
  <c r="A143" i="17" s="1"/>
  <c r="E131" i="17"/>
  <c r="L145" i="19"/>
  <c r="F133" i="19"/>
  <c r="M41" i="22"/>
  <c r="A241" i="3"/>
  <c r="G225" i="3"/>
  <c r="G41" i="3"/>
  <c r="J39" i="16"/>
  <c r="L41" i="20"/>
  <c r="M41" i="20"/>
  <c r="L34" i="24"/>
  <c r="M34" i="24"/>
  <c r="J58" i="2"/>
  <c r="M58" i="2"/>
  <c r="G149" i="3"/>
  <c r="M146" i="3"/>
  <c r="H144" i="3"/>
  <c r="B140" i="3"/>
  <c r="K146" i="3"/>
  <c r="L141" i="3"/>
  <c r="F149" i="3"/>
  <c r="L146" i="3"/>
  <c r="G144" i="3"/>
  <c r="M141" i="3"/>
  <c r="M139" i="3"/>
  <c r="E149" i="3"/>
  <c r="E144" i="3"/>
  <c r="L139" i="3"/>
  <c r="G148" i="3"/>
  <c r="M143" i="3"/>
  <c r="D149" i="3"/>
  <c r="J146" i="3"/>
  <c r="D144" i="3"/>
  <c r="K141" i="3"/>
  <c r="E139" i="3"/>
  <c r="L150" i="3"/>
  <c r="M145" i="3"/>
  <c r="G141" i="3"/>
  <c r="I148" i="3"/>
  <c r="C144" i="3"/>
  <c r="D139" i="3"/>
  <c r="M150" i="3"/>
  <c r="B144" i="3"/>
  <c r="C139" i="3"/>
  <c r="H148" i="3"/>
  <c r="H150" i="3"/>
  <c r="B148" i="3"/>
  <c r="C143" i="3"/>
  <c r="I140" i="3"/>
  <c r="M149" i="3"/>
  <c r="M147" i="3"/>
  <c r="G145" i="3"/>
  <c r="M142" i="3"/>
  <c r="H140" i="3"/>
  <c r="K149" i="3"/>
  <c r="E143" i="3"/>
  <c r="I149" i="3"/>
  <c r="L142" i="3"/>
  <c r="E148" i="3"/>
  <c r="J142" i="3"/>
  <c r="D148" i="3"/>
  <c r="L147" i="3"/>
  <c r="F141" i="3"/>
  <c r="K57" i="3"/>
  <c r="L34" i="6"/>
  <c r="M34" i="6"/>
  <c r="A100" i="9"/>
  <c r="G106" i="9" s="1"/>
  <c r="M35" i="18"/>
  <c r="D65" i="2"/>
  <c r="K59" i="2"/>
  <c r="D192" i="2"/>
  <c r="L190" i="2"/>
  <c r="H189" i="2"/>
  <c r="D188" i="2"/>
  <c r="L186" i="2"/>
  <c r="H185" i="2"/>
  <c r="D184" i="2"/>
  <c r="L182" i="2"/>
  <c r="H181" i="2"/>
  <c r="K187" i="2"/>
  <c r="G182" i="2"/>
  <c r="C192" i="2"/>
  <c r="K190" i="2"/>
  <c r="G189" i="2"/>
  <c r="C188" i="2"/>
  <c r="K186" i="2"/>
  <c r="G185" i="2"/>
  <c r="C184" i="2"/>
  <c r="K182" i="2"/>
  <c r="G181" i="2"/>
  <c r="C185" i="2"/>
  <c r="B192" i="2"/>
  <c r="J190" i="2"/>
  <c r="F189" i="2"/>
  <c r="B188" i="2"/>
  <c r="J186" i="2"/>
  <c r="F185" i="2"/>
  <c r="B184" i="2"/>
  <c r="J182" i="2"/>
  <c r="F181" i="2"/>
  <c r="G186" i="2"/>
  <c r="M191" i="2"/>
  <c r="I190" i="2"/>
  <c r="E189" i="2"/>
  <c r="M187" i="2"/>
  <c r="I186" i="2"/>
  <c r="E185" i="2"/>
  <c r="M183" i="2"/>
  <c r="I182" i="2"/>
  <c r="E181" i="2"/>
  <c r="G190" i="2"/>
  <c r="K183" i="2"/>
  <c r="L191" i="2"/>
  <c r="H190" i="2"/>
  <c r="D189" i="2"/>
  <c r="L187" i="2"/>
  <c r="H186" i="2"/>
  <c r="D185" i="2"/>
  <c r="L183" i="2"/>
  <c r="H182" i="2"/>
  <c r="D181" i="2"/>
  <c r="K191" i="2"/>
  <c r="C181" i="2"/>
  <c r="C189" i="2"/>
  <c r="K192" i="2"/>
  <c r="G191" i="2"/>
  <c r="C190" i="2"/>
  <c r="K188" i="2"/>
  <c r="G187" i="2"/>
  <c r="C186" i="2"/>
  <c r="K184" i="2"/>
  <c r="G183" i="2"/>
  <c r="C182" i="2"/>
  <c r="J192" i="2"/>
  <c r="E190" i="2"/>
  <c r="E188" i="2"/>
  <c r="K185" i="2"/>
  <c r="E183" i="2"/>
  <c r="H192" i="2"/>
  <c r="I187" i="2"/>
  <c r="C183" i="2"/>
  <c r="I192" i="2"/>
  <c r="D190" i="2"/>
  <c r="J187" i="2"/>
  <c r="J185" i="2"/>
  <c r="D183" i="2"/>
  <c r="B190" i="2"/>
  <c r="I185" i="2"/>
  <c r="J191" i="2"/>
  <c r="D187" i="2"/>
  <c r="E182" i="2"/>
  <c r="G192" i="2"/>
  <c r="M189" i="2"/>
  <c r="H187" i="2"/>
  <c r="B185" i="2"/>
  <c r="B183" i="2"/>
  <c r="E192" i="2"/>
  <c r="F182" i="2"/>
  <c r="J189" i="2"/>
  <c r="J184" i="2"/>
  <c r="F192" i="2"/>
  <c r="L189" i="2"/>
  <c r="F187" i="2"/>
  <c r="M184" i="2"/>
  <c r="M182" i="2"/>
  <c r="K189" i="2"/>
  <c r="E187" i="2"/>
  <c r="L184" i="2"/>
  <c r="F191" i="2"/>
  <c r="M188" i="2"/>
  <c r="M186" i="2"/>
  <c r="G184" i="2"/>
  <c r="M181" i="2"/>
  <c r="E191" i="2"/>
  <c r="L188" i="2"/>
  <c r="F186" i="2"/>
  <c r="F184" i="2"/>
  <c r="L181" i="2"/>
  <c r="D191" i="2"/>
  <c r="J188" i="2"/>
  <c r="E186" i="2"/>
  <c r="E184" i="2"/>
  <c r="K181" i="2"/>
  <c r="I189" i="2"/>
  <c r="H183" i="2"/>
  <c r="B189" i="2"/>
  <c r="F183" i="2"/>
  <c r="H188" i="2"/>
  <c r="B182" i="2"/>
  <c r="I181" i="2"/>
  <c r="G188" i="2"/>
  <c r="J181" i="2"/>
  <c r="F188" i="2"/>
  <c r="D186" i="2"/>
  <c r="L43" i="3"/>
  <c r="F145" i="3"/>
  <c r="L37" i="4"/>
  <c r="D167" i="11"/>
  <c r="D17" i="11"/>
  <c r="F20" i="11" s="1"/>
  <c r="H144" i="11"/>
  <c r="F82" i="11"/>
  <c r="F248" i="15"/>
  <c r="C48" i="19"/>
  <c r="M32" i="22"/>
  <c r="L32" i="22"/>
  <c r="M41" i="26"/>
  <c r="L41" i="26"/>
  <c r="I8" i="41"/>
  <c r="D90" i="3"/>
  <c r="F93" i="3"/>
  <c r="L42" i="12"/>
  <c r="M42" i="12"/>
  <c r="M29" i="18"/>
  <c r="L29" i="18"/>
  <c r="F249" i="25"/>
  <c r="G133" i="25"/>
  <c r="L145" i="25"/>
  <c r="H50" i="29"/>
  <c r="H48" i="29"/>
  <c r="H46" i="29"/>
  <c r="H49" i="29"/>
  <c r="C45" i="29"/>
  <c r="F39" i="29"/>
  <c r="B51" i="29"/>
  <c r="I48" i="29"/>
  <c r="F46" i="29"/>
  <c r="C46" i="29"/>
  <c r="C50" i="29"/>
  <c r="D52" i="29"/>
  <c r="B48" i="29"/>
  <c r="E51" i="29"/>
  <c r="L147" i="29"/>
  <c r="G135" i="29"/>
  <c r="H143" i="7"/>
  <c r="K29" i="8"/>
  <c r="G8" i="19"/>
  <c r="J29" i="24"/>
  <c r="D7" i="25"/>
  <c r="AB8" i="24"/>
  <c r="M40" i="8"/>
  <c r="L40" i="8"/>
  <c r="A246" i="2"/>
  <c r="G230" i="2"/>
  <c r="M66" i="3"/>
  <c r="H64" i="3"/>
  <c r="H62" i="3"/>
  <c r="B60" i="3"/>
  <c r="H57" i="3"/>
  <c r="C55" i="3"/>
  <c r="K66" i="3"/>
  <c r="L59" i="3"/>
  <c r="L66" i="3"/>
  <c r="G64" i="3"/>
  <c r="M61" i="3"/>
  <c r="M59" i="3"/>
  <c r="E64" i="3"/>
  <c r="L61" i="3"/>
  <c r="M63" i="3"/>
  <c r="G61" i="3"/>
  <c r="H56" i="3"/>
  <c r="J66" i="3"/>
  <c r="D64" i="3"/>
  <c r="K61" i="3"/>
  <c r="H66" i="3"/>
  <c r="B64" i="3"/>
  <c r="I56" i="3"/>
  <c r="M65" i="3"/>
  <c r="M58" i="3"/>
  <c r="I66" i="3"/>
  <c r="C64" i="3"/>
  <c r="I61" i="3"/>
  <c r="C59" i="3"/>
  <c r="H61" i="3"/>
  <c r="H65" i="3"/>
  <c r="C63" i="3"/>
  <c r="I60" i="3"/>
  <c r="I58" i="3"/>
  <c r="C56" i="3"/>
  <c r="G65" i="3"/>
  <c r="M62" i="3"/>
  <c r="H60" i="3"/>
  <c r="H58" i="3"/>
  <c r="B56" i="3"/>
  <c r="E61" i="3"/>
  <c r="D55" i="3"/>
  <c r="L65" i="3"/>
  <c r="K65" i="3"/>
  <c r="C60" i="3"/>
  <c r="F65" i="3"/>
  <c r="L58" i="3"/>
  <c r="K43" i="3"/>
  <c r="I29" i="4"/>
  <c r="K29" i="4" s="1"/>
  <c r="AA8" i="4"/>
  <c r="M34" i="4"/>
  <c r="L34" i="4"/>
  <c r="C17" i="11"/>
  <c r="F19" i="11" s="1"/>
  <c r="H143" i="11"/>
  <c r="F40" i="21"/>
  <c r="I48" i="21"/>
  <c r="H48" i="21"/>
  <c r="C48" i="21"/>
  <c r="G52" i="21"/>
  <c r="G48" i="21"/>
  <c r="D48" i="21"/>
  <c r="D52" i="21"/>
  <c r="I50" i="21"/>
  <c r="H50" i="21"/>
  <c r="G46" i="21"/>
  <c r="D46" i="21"/>
  <c r="I47" i="21"/>
  <c r="L59" i="2"/>
  <c r="I11" i="3"/>
  <c r="M34" i="3"/>
  <c r="M57" i="3"/>
  <c r="K145" i="3"/>
  <c r="M40" i="4"/>
  <c r="L40" i="4"/>
  <c r="G82" i="11"/>
  <c r="B102" i="15"/>
  <c r="B100" i="15"/>
  <c r="B98" i="15"/>
  <c r="B96" i="15"/>
  <c r="F90" i="15"/>
  <c r="I101" i="15"/>
  <c r="I97" i="15"/>
  <c r="E101" i="15"/>
  <c r="H101" i="15"/>
  <c r="H97" i="15"/>
  <c r="G103" i="15"/>
  <c r="G101" i="15"/>
  <c r="G99" i="15"/>
  <c r="G97" i="15"/>
  <c r="F103" i="15"/>
  <c r="F101" i="15"/>
  <c r="F99" i="15"/>
  <c r="F97" i="15"/>
  <c r="E97" i="15"/>
  <c r="I100" i="15"/>
  <c r="I96" i="15"/>
  <c r="H100" i="15"/>
  <c r="H96" i="15"/>
  <c r="D100" i="15"/>
  <c r="D96" i="15"/>
  <c r="C100" i="15"/>
  <c r="C96" i="15"/>
  <c r="C103" i="15"/>
  <c r="C99" i="15"/>
  <c r="G98" i="15"/>
  <c r="F102" i="15"/>
  <c r="F98" i="15"/>
  <c r="B103" i="15"/>
  <c r="B99" i="15"/>
  <c r="G102" i="15"/>
  <c r="C102" i="15"/>
  <c r="C98" i="15"/>
  <c r="D101" i="15"/>
  <c r="D97" i="15"/>
  <c r="C101" i="15"/>
  <c r="C97" i="15"/>
  <c r="F96" i="15"/>
  <c r="E96" i="15"/>
  <c r="M29" i="16"/>
  <c r="L29" i="16"/>
  <c r="K28" i="18"/>
  <c r="A177" i="21"/>
  <c r="A183" i="21" s="1"/>
  <c r="H48" i="23"/>
  <c r="G9" i="27"/>
  <c r="M36" i="16"/>
  <c r="L36" i="16"/>
  <c r="M42" i="24"/>
  <c r="L42" i="24"/>
  <c r="AB45" i="6"/>
  <c r="J41" i="6"/>
  <c r="M42" i="10"/>
  <c r="L42" i="10"/>
  <c r="L38" i="22"/>
  <c r="M38" i="22"/>
  <c r="K44" i="3"/>
  <c r="G43" i="3"/>
  <c r="C42" i="3"/>
  <c r="K40" i="3"/>
  <c r="G39" i="3"/>
  <c r="C38" i="3"/>
  <c r="K36" i="3"/>
  <c r="G35" i="3"/>
  <c r="B43" i="3"/>
  <c r="J37" i="3"/>
  <c r="J44" i="3"/>
  <c r="F43" i="3"/>
  <c r="B42" i="3"/>
  <c r="J40" i="3"/>
  <c r="F39" i="3"/>
  <c r="B38" i="3"/>
  <c r="J36" i="3"/>
  <c r="F35" i="3"/>
  <c r="F40" i="3"/>
  <c r="M45" i="3"/>
  <c r="I44" i="3"/>
  <c r="E43" i="3"/>
  <c r="M41" i="3"/>
  <c r="I40" i="3"/>
  <c r="E39" i="3"/>
  <c r="M37" i="3"/>
  <c r="I36" i="3"/>
  <c r="F44" i="3"/>
  <c r="L45" i="3"/>
  <c r="H44" i="3"/>
  <c r="D43" i="3"/>
  <c r="L41" i="3"/>
  <c r="H40" i="3"/>
  <c r="D39" i="3"/>
  <c r="L37" i="3"/>
  <c r="H36" i="3"/>
  <c r="F36" i="3"/>
  <c r="K45" i="3"/>
  <c r="G44" i="3"/>
  <c r="C43" i="3"/>
  <c r="K41" i="3"/>
  <c r="G40" i="3"/>
  <c r="C39" i="3"/>
  <c r="K37" i="3"/>
  <c r="G36" i="3"/>
  <c r="J45" i="3"/>
  <c r="B39" i="3"/>
  <c r="J41" i="3"/>
  <c r="F45" i="3"/>
  <c r="B44" i="3"/>
  <c r="J42" i="3"/>
  <c r="F41" i="3"/>
  <c r="B40" i="3"/>
  <c r="J38" i="3"/>
  <c r="F37" i="3"/>
  <c r="J34" i="3"/>
  <c r="I45" i="3"/>
  <c r="I43" i="3"/>
  <c r="C41" i="3"/>
  <c r="I38" i="3"/>
  <c r="M42" i="3"/>
  <c r="G38" i="3"/>
  <c r="H45" i="3"/>
  <c r="H43" i="3"/>
  <c r="B41" i="3"/>
  <c r="H38" i="3"/>
  <c r="G45" i="3"/>
  <c r="M40" i="3"/>
  <c r="M35" i="3"/>
  <c r="B45" i="3"/>
  <c r="H42" i="3"/>
  <c r="C40" i="3"/>
  <c r="I37" i="3"/>
  <c r="I35" i="3"/>
  <c r="E45" i="3"/>
  <c r="L42" i="3"/>
  <c r="L40" i="3"/>
  <c r="F38" i="3"/>
  <c r="L35" i="3"/>
  <c r="C45" i="3"/>
  <c r="D38" i="3"/>
  <c r="D45" i="3"/>
  <c r="K42" i="3"/>
  <c r="E40" i="3"/>
  <c r="E38" i="3"/>
  <c r="K35" i="3"/>
  <c r="I42" i="3"/>
  <c r="J35" i="3"/>
  <c r="D40" i="3"/>
  <c r="E44" i="3"/>
  <c r="E42" i="3"/>
  <c r="K39" i="3"/>
  <c r="L34" i="3"/>
  <c r="D44" i="3"/>
  <c r="D42" i="3"/>
  <c r="J39" i="3"/>
  <c r="K34" i="3"/>
  <c r="C44" i="3"/>
  <c r="I41" i="3"/>
  <c r="I39" i="3"/>
  <c r="I34" i="3"/>
  <c r="F42" i="3"/>
  <c r="H41" i="3"/>
  <c r="H35" i="3"/>
  <c r="E41" i="3"/>
  <c r="H34" i="3"/>
  <c r="D41" i="3"/>
  <c r="G34" i="3"/>
  <c r="M39" i="3"/>
  <c r="F34" i="3"/>
  <c r="M37" i="12"/>
  <c r="L37" i="12"/>
  <c r="C7" i="25"/>
  <c r="G7" i="25" s="1"/>
  <c r="AA8" i="24"/>
  <c r="C111" i="3"/>
  <c r="F113" i="3"/>
  <c r="L39" i="3"/>
  <c r="D6" i="5"/>
  <c r="AB5" i="4"/>
  <c r="H153" i="5"/>
  <c r="E32" i="5"/>
  <c r="F39" i="5" s="1"/>
  <c r="M39" i="16"/>
  <c r="L39" i="16"/>
  <c r="M37" i="18"/>
  <c r="L37" i="18"/>
  <c r="C187" i="2"/>
  <c r="L36" i="3"/>
  <c r="L44" i="3"/>
  <c r="K58" i="3"/>
  <c r="L145" i="3"/>
  <c r="G83" i="9"/>
  <c r="J93" i="9"/>
  <c r="G83" i="11"/>
  <c r="I51" i="17"/>
  <c r="I49" i="17"/>
  <c r="I47" i="17"/>
  <c r="I45" i="17"/>
  <c r="H51" i="17"/>
  <c r="H49" i="17"/>
  <c r="H47" i="17"/>
  <c r="H45" i="17"/>
  <c r="D51" i="17"/>
  <c r="G51" i="17"/>
  <c r="G45" i="17"/>
  <c r="D45" i="17"/>
  <c r="F51" i="17"/>
  <c r="F45" i="17"/>
  <c r="E51" i="17"/>
  <c r="E45" i="17"/>
  <c r="H52" i="17"/>
  <c r="H50" i="17"/>
  <c r="H48" i="17"/>
  <c r="H46" i="17"/>
  <c r="G52" i="17"/>
  <c r="G46" i="17"/>
  <c r="C51" i="17"/>
  <c r="C47" i="17"/>
  <c r="I46" i="17"/>
  <c r="B51" i="17"/>
  <c r="B47" i="17"/>
  <c r="F39" i="17"/>
  <c r="I50" i="17"/>
  <c r="F46" i="17"/>
  <c r="D46" i="17"/>
  <c r="C50" i="17"/>
  <c r="C46" i="17"/>
  <c r="E46" i="17"/>
  <c r="B49" i="17"/>
  <c r="B45" i="17"/>
  <c r="I52" i="17"/>
  <c r="I48" i="17"/>
  <c r="F52" i="17"/>
  <c r="C45" i="17"/>
  <c r="E52" i="17"/>
  <c r="D52" i="17"/>
  <c r="AA14" i="18"/>
  <c r="C9" i="19"/>
  <c r="G9" i="19" s="1"/>
  <c r="I31" i="18"/>
  <c r="K31" i="18" s="1"/>
  <c r="E9" i="25"/>
  <c r="G9" i="25" s="1"/>
  <c r="AB30" i="26"/>
  <c r="J36" i="26"/>
  <c r="C6" i="5"/>
  <c r="AA5" i="4"/>
  <c r="J92" i="7"/>
  <c r="G82" i="7"/>
  <c r="F61" i="2"/>
  <c r="M44" i="3"/>
  <c r="AA24" i="14"/>
  <c r="I34" i="14"/>
  <c r="K34" i="14" s="1"/>
  <c r="AA33" i="14"/>
  <c r="I37" i="14"/>
  <c r="K37" i="14" s="1"/>
  <c r="E132" i="19"/>
  <c r="F134" i="19" s="1"/>
  <c r="E122" i="19"/>
  <c r="A144" i="19" s="1"/>
  <c r="I49" i="19"/>
  <c r="B48" i="21"/>
  <c r="M37" i="22"/>
  <c r="L37" i="22"/>
  <c r="H49" i="23"/>
  <c r="L36" i="26"/>
  <c r="M36" i="26"/>
  <c r="J93" i="13"/>
  <c r="F83" i="13"/>
  <c r="I63" i="2"/>
  <c r="I188" i="2"/>
  <c r="M36" i="3"/>
  <c r="C147" i="3"/>
  <c r="J63" i="2"/>
  <c r="F61" i="3"/>
  <c r="D147" i="3"/>
  <c r="H158" i="5"/>
  <c r="I36" i="8"/>
  <c r="K36" i="8" s="1"/>
  <c r="AA30" i="8"/>
  <c r="H151" i="9"/>
  <c r="C32" i="9"/>
  <c r="C44" i="9" s="1"/>
  <c r="AB39" i="10"/>
  <c r="J39" i="10"/>
  <c r="F85" i="11"/>
  <c r="I31" i="12"/>
  <c r="K31" i="12" s="1"/>
  <c r="AA15" i="12"/>
  <c r="C17" i="13"/>
  <c r="F19" i="13" s="1"/>
  <c r="H143" i="13"/>
  <c r="AB24" i="14"/>
  <c r="J34" i="14"/>
  <c r="I10" i="15"/>
  <c r="E249" i="15" s="1"/>
  <c r="F73" i="15"/>
  <c r="M35" i="16"/>
  <c r="L35" i="16"/>
  <c r="B50" i="19"/>
  <c r="H205" i="21"/>
  <c r="C21" i="21"/>
  <c r="G35" i="21" s="1"/>
  <c r="C89" i="21"/>
  <c r="B103" i="21" s="1"/>
  <c r="H237" i="21"/>
  <c r="B50" i="21"/>
  <c r="I49" i="23"/>
  <c r="M41" i="24"/>
  <c r="L41" i="24"/>
  <c r="J6" i="25"/>
  <c r="I6" i="25"/>
  <c r="E128" i="27"/>
  <c r="F6" i="26"/>
  <c r="H6" i="26" s="1"/>
  <c r="J6" i="26" s="1"/>
  <c r="E118" i="27"/>
  <c r="A140" i="27" s="1"/>
  <c r="M39" i="26"/>
  <c r="L39" i="26"/>
  <c r="M34" i="28"/>
  <c r="L34" i="28"/>
  <c r="K63" i="2"/>
  <c r="G37" i="3"/>
  <c r="I62" i="3"/>
  <c r="E147" i="3"/>
  <c r="D174" i="3"/>
  <c r="H152" i="9"/>
  <c r="D32" i="9"/>
  <c r="F35" i="9" s="1"/>
  <c r="L39" i="10"/>
  <c r="M39" i="10"/>
  <c r="D17" i="13"/>
  <c r="F20" i="13" s="1"/>
  <c r="D167" i="13"/>
  <c r="H144" i="13"/>
  <c r="M38" i="16"/>
  <c r="L38" i="16"/>
  <c r="I8" i="17"/>
  <c r="E247" i="17" s="1"/>
  <c r="B52" i="19"/>
  <c r="D245" i="21"/>
  <c r="H206" i="21"/>
  <c r="D21" i="21"/>
  <c r="F24" i="21" s="1"/>
  <c r="D89" i="21"/>
  <c r="F92" i="21" s="1"/>
  <c r="D249" i="21"/>
  <c r="C50" i="21"/>
  <c r="G133" i="21"/>
  <c r="M38" i="24"/>
  <c r="L38" i="24"/>
  <c r="G129" i="27"/>
  <c r="J31" i="26"/>
  <c r="K31" i="26" s="1"/>
  <c r="AB15" i="26"/>
  <c r="F9" i="27"/>
  <c r="H9" i="27" s="1"/>
  <c r="I32" i="10"/>
  <c r="K32" i="10" s="1"/>
  <c r="AA18" i="10"/>
  <c r="L63" i="2"/>
  <c r="E228" i="3"/>
  <c r="E214" i="3"/>
  <c r="H37" i="3"/>
  <c r="J62" i="3"/>
  <c r="C140" i="3"/>
  <c r="H149" i="3"/>
  <c r="I7" i="9"/>
  <c r="AA6" i="10"/>
  <c r="E6" i="11"/>
  <c r="G6" i="11" s="1"/>
  <c r="I28" i="10"/>
  <c r="E40" i="13"/>
  <c r="F33" i="13"/>
  <c r="G132" i="15"/>
  <c r="F132" i="15"/>
  <c r="J7" i="15"/>
  <c r="L147" i="15"/>
  <c r="G128" i="19"/>
  <c r="F128" i="19"/>
  <c r="H207" i="21"/>
  <c r="E21" i="21"/>
  <c r="F25" i="21" s="1"/>
  <c r="E89" i="21"/>
  <c r="F93" i="21" s="1"/>
  <c r="H239" i="21"/>
  <c r="D50" i="21"/>
  <c r="H50" i="23"/>
  <c r="C248" i="25"/>
  <c r="H228" i="25"/>
  <c r="B72" i="25"/>
  <c r="L40" i="28"/>
  <c r="M40" i="28"/>
  <c r="C8" i="31"/>
  <c r="G8" i="31" s="1"/>
  <c r="AA11" i="30"/>
  <c r="F249" i="23"/>
  <c r="G133" i="23"/>
  <c r="L145" i="23"/>
  <c r="J28" i="30"/>
  <c r="K28" i="30" s="1"/>
  <c r="AB6" i="30"/>
  <c r="F6" i="31"/>
  <c r="H6" i="31" s="1"/>
  <c r="F245" i="33"/>
  <c r="AB15" i="34"/>
  <c r="F9" i="35"/>
  <c r="H9" i="35" s="1"/>
  <c r="J31" i="34"/>
  <c r="K31" i="34" s="1"/>
  <c r="H282" i="35"/>
  <c r="B44" i="35"/>
  <c r="C336" i="35"/>
  <c r="H314" i="35"/>
  <c r="B120" i="35"/>
  <c r="H276" i="39"/>
  <c r="D25" i="39"/>
  <c r="F28" i="39" s="1"/>
  <c r="D331" i="39"/>
  <c r="H308" i="39"/>
  <c r="D101" i="39"/>
  <c r="F104" i="39" s="1"/>
  <c r="D335" i="39"/>
  <c r="E193" i="41"/>
  <c r="E181" i="41"/>
  <c r="A207" i="41" s="1"/>
  <c r="AB21" i="40"/>
  <c r="J33" i="40"/>
  <c r="F11" i="41"/>
  <c r="D21" i="31"/>
  <c r="C33" i="31" s="1"/>
  <c r="D245" i="31"/>
  <c r="H206" i="31"/>
  <c r="D249" i="31"/>
  <c r="H238" i="31"/>
  <c r="D89" i="31"/>
  <c r="B100" i="31" s="1"/>
  <c r="E188" i="37"/>
  <c r="E176" i="37"/>
  <c r="A202" i="37" s="1"/>
  <c r="AB48" i="36"/>
  <c r="J42" i="36"/>
  <c r="M36" i="38"/>
  <c r="L36" i="38"/>
  <c r="M39" i="44"/>
  <c r="L39" i="44"/>
  <c r="M28" i="62"/>
  <c r="L28" i="62"/>
  <c r="C6" i="27"/>
  <c r="AA5" i="26"/>
  <c r="I52" i="27"/>
  <c r="I50" i="27"/>
  <c r="I48" i="27"/>
  <c r="I46" i="27"/>
  <c r="G52" i="27"/>
  <c r="D46" i="27"/>
  <c r="F52" i="27"/>
  <c r="C46" i="27"/>
  <c r="E52" i="27"/>
  <c r="C48" i="27"/>
  <c r="B46" i="27"/>
  <c r="D52" i="27"/>
  <c r="C50" i="27"/>
  <c r="B48" i="27"/>
  <c r="I45" i="27"/>
  <c r="B52" i="27"/>
  <c r="G45" i="27"/>
  <c r="C52" i="27"/>
  <c r="B50" i="27"/>
  <c r="I47" i="27"/>
  <c r="H45" i="27"/>
  <c r="I49" i="27"/>
  <c r="H47" i="27"/>
  <c r="F51" i="27"/>
  <c r="C45" i="27"/>
  <c r="F39" i="27"/>
  <c r="E51" i="27"/>
  <c r="C47" i="27"/>
  <c r="B45" i="27"/>
  <c r="H49" i="27"/>
  <c r="F45" i="27"/>
  <c r="E45" i="27"/>
  <c r="D45" i="27"/>
  <c r="C49" i="27"/>
  <c r="H48" i="27"/>
  <c r="B49" i="27"/>
  <c r="H51" i="27"/>
  <c r="G51" i="27"/>
  <c r="D51" i="27"/>
  <c r="B47" i="27"/>
  <c r="E124" i="29"/>
  <c r="A146" i="29" s="1"/>
  <c r="E134" i="29"/>
  <c r="L42" i="28"/>
  <c r="E10" i="31"/>
  <c r="G10" i="31" s="1"/>
  <c r="I32" i="30"/>
  <c r="K32" i="30" s="1"/>
  <c r="N203" i="37"/>
  <c r="F189" i="37"/>
  <c r="H276" i="41"/>
  <c r="D331" i="41"/>
  <c r="D25" i="41"/>
  <c r="H308" i="41"/>
  <c r="D335" i="41"/>
  <c r="D101" i="41"/>
  <c r="F104" i="41" s="1"/>
  <c r="F51" i="63"/>
  <c r="AA18" i="32"/>
  <c r="E10" i="33"/>
  <c r="G10" i="33" s="1"/>
  <c r="F246" i="33"/>
  <c r="E172" i="35"/>
  <c r="A198" i="35" s="1"/>
  <c r="F6" i="34"/>
  <c r="H6" i="34" s="1"/>
  <c r="J6" i="34" s="1"/>
  <c r="E184" i="35"/>
  <c r="M42" i="38"/>
  <c r="L42" i="38"/>
  <c r="H277" i="41"/>
  <c r="E25" i="41"/>
  <c r="F29" i="41" s="1"/>
  <c r="H309" i="41"/>
  <c r="E101" i="41"/>
  <c r="F105" i="41" s="1"/>
  <c r="AA36" i="42"/>
  <c r="I38" i="42"/>
  <c r="K38" i="42" s="1"/>
  <c r="L243" i="43"/>
  <c r="G131" i="29"/>
  <c r="F131" i="29"/>
  <c r="F247" i="31"/>
  <c r="J32" i="32"/>
  <c r="AB18" i="32"/>
  <c r="F10" i="33"/>
  <c r="H10" i="33" s="1"/>
  <c r="F85" i="35"/>
  <c r="D94" i="35"/>
  <c r="E93" i="35"/>
  <c r="K92" i="35"/>
  <c r="B93" i="35"/>
  <c r="G97" i="35"/>
  <c r="C91" i="35"/>
  <c r="G96" i="35"/>
  <c r="H90" i="35"/>
  <c r="M35" i="36"/>
  <c r="L35" i="36"/>
  <c r="M35" i="30"/>
  <c r="L35" i="30"/>
  <c r="I32" i="32"/>
  <c r="L34" i="32"/>
  <c r="M34" i="32"/>
  <c r="D12" i="39"/>
  <c r="H12" i="39" s="1"/>
  <c r="AB23" i="38"/>
  <c r="J34" i="38"/>
  <c r="L36" i="40"/>
  <c r="M36" i="40"/>
  <c r="H285" i="45"/>
  <c r="E44" i="45"/>
  <c r="J54" i="45" s="1"/>
  <c r="H317" i="45"/>
  <c r="E120" i="45"/>
  <c r="F124" i="45" s="1"/>
  <c r="C10" i="47"/>
  <c r="AA17" i="46"/>
  <c r="M37" i="46"/>
  <c r="L37" i="46"/>
  <c r="L36" i="56"/>
  <c r="M36" i="56"/>
  <c r="J194" i="57"/>
  <c r="F193" i="57"/>
  <c r="B192" i="57"/>
  <c r="J190" i="57"/>
  <c r="F189" i="57"/>
  <c r="B188" i="57"/>
  <c r="J186" i="57"/>
  <c r="F185" i="57"/>
  <c r="B184" i="57"/>
  <c r="E193" i="57"/>
  <c r="M191" i="57"/>
  <c r="E189" i="57"/>
  <c r="M187" i="57"/>
  <c r="I186" i="57"/>
  <c r="E185" i="57"/>
  <c r="M183" i="57"/>
  <c r="D193" i="57"/>
  <c r="L191" i="57"/>
  <c r="D189" i="57"/>
  <c r="L187" i="57"/>
  <c r="H186" i="57"/>
  <c r="D185" i="57"/>
  <c r="L183" i="57"/>
  <c r="G194" i="57"/>
  <c r="C193" i="57"/>
  <c r="K191" i="57"/>
  <c r="G190" i="57"/>
  <c r="C189" i="57"/>
  <c r="K187" i="57"/>
  <c r="G186" i="57"/>
  <c r="C185" i="57"/>
  <c r="K183" i="57"/>
  <c r="F194" i="57"/>
  <c r="B193" i="57"/>
  <c r="J191" i="57"/>
  <c r="F190" i="57"/>
  <c r="B189" i="57"/>
  <c r="J187" i="57"/>
  <c r="F186" i="57"/>
  <c r="B185" i="57"/>
  <c r="J183" i="57"/>
  <c r="B194" i="57"/>
  <c r="J192" i="57"/>
  <c r="F191" i="57"/>
  <c r="B190" i="57"/>
  <c r="J188" i="57"/>
  <c r="F187" i="57"/>
  <c r="B186" i="57"/>
  <c r="J184" i="57"/>
  <c r="F183" i="57"/>
  <c r="I191" i="57"/>
  <c r="J189" i="57"/>
  <c r="G187" i="57"/>
  <c r="H185" i="57"/>
  <c r="D183" i="57"/>
  <c r="K193" i="57"/>
  <c r="H191" i="57"/>
  <c r="E187" i="57"/>
  <c r="G185" i="57"/>
  <c r="C183" i="57"/>
  <c r="J193" i="57"/>
  <c r="G191" i="57"/>
  <c r="D187" i="57"/>
  <c r="M184" i="57"/>
  <c r="B183" i="57"/>
  <c r="E191" i="57"/>
  <c r="G189" i="57"/>
  <c r="C187" i="57"/>
  <c r="L184" i="57"/>
  <c r="D191" i="57"/>
  <c r="M188" i="57"/>
  <c r="B187" i="57"/>
  <c r="K184" i="57"/>
  <c r="G193" i="57"/>
  <c r="E190" i="57"/>
  <c r="H187" i="57"/>
  <c r="I192" i="57"/>
  <c r="E186" i="57"/>
  <c r="H183" i="57"/>
  <c r="D194" i="57"/>
  <c r="K190" i="57"/>
  <c r="L186" i="57"/>
  <c r="I183" i="57"/>
  <c r="C194" i="57"/>
  <c r="D190" i="57"/>
  <c r="K186" i="57"/>
  <c r="G183" i="57"/>
  <c r="C190" i="57"/>
  <c r="D186" i="57"/>
  <c r="E183" i="57"/>
  <c r="M192" i="57"/>
  <c r="C186" i="57"/>
  <c r="L192" i="57"/>
  <c r="K189" i="57"/>
  <c r="M185" i="57"/>
  <c r="K192" i="57"/>
  <c r="L188" i="57"/>
  <c r="L185" i="57"/>
  <c r="E192" i="57"/>
  <c r="G188" i="57"/>
  <c r="I184" i="57"/>
  <c r="E184" i="57"/>
  <c r="K188" i="57"/>
  <c r="D184" i="57"/>
  <c r="I188" i="57"/>
  <c r="C184" i="57"/>
  <c r="H188" i="57"/>
  <c r="F188" i="57"/>
  <c r="K194" i="57"/>
  <c r="D188" i="57"/>
  <c r="F177" i="57"/>
  <c r="E188" i="57"/>
  <c r="C188" i="57"/>
  <c r="I185" i="57"/>
  <c r="I187" i="57"/>
  <c r="M186" i="57"/>
  <c r="K185" i="57"/>
  <c r="J185" i="57"/>
  <c r="G192" i="57"/>
  <c r="F184" i="57"/>
  <c r="F192" i="57"/>
  <c r="E194" i="57"/>
  <c r="H192" i="57"/>
  <c r="D192" i="57"/>
  <c r="H184" i="57"/>
  <c r="C192" i="57"/>
  <c r="C191" i="57"/>
  <c r="B191" i="57"/>
  <c r="G184" i="57"/>
  <c r="F93" i="59"/>
  <c r="F177" i="59"/>
  <c r="M41" i="30"/>
  <c r="L41" i="30"/>
  <c r="AB11" i="32"/>
  <c r="D8" i="33"/>
  <c r="E9" i="39"/>
  <c r="G9" i="39" s="1"/>
  <c r="I31" i="38"/>
  <c r="AA15" i="38"/>
  <c r="AA8" i="40"/>
  <c r="C7" i="41"/>
  <c r="J31" i="38"/>
  <c r="AB15" i="38"/>
  <c r="E10" i="47"/>
  <c r="AA18" i="46"/>
  <c r="I32" i="46"/>
  <c r="C11" i="51"/>
  <c r="AA20" i="50"/>
  <c r="M30" i="22"/>
  <c r="L30" i="22"/>
  <c r="F245" i="27"/>
  <c r="G46" i="27"/>
  <c r="AB36" i="28"/>
  <c r="J38" i="28"/>
  <c r="AA45" i="28"/>
  <c r="I41" i="28"/>
  <c r="K41" i="28" s="1"/>
  <c r="H214" i="29"/>
  <c r="D38" i="29"/>
  <c r="F41" i="29" s="1"/>
  <c r="D246" i="29"/>
  <c r="F24" i="29"/>
  <c r="G35" i="29"/>
  <c r="H29" i="29"/>
  <c r="B34" i="29"/>
  <c r="F32" i="29"/>
  <c r="J30" i="30"/>
  <c r="AB11" i="30"/>
  <c r="M33" i="30"/>
  <c r="L33" i="30"/>
  <c r="C90" i="35"/>
  <c r="AA48" i="42"/>
  <c r="I42" i="42"/>
  <c r="K42" i="42" s="1"/>
  <c r="E186" i="47"/>
  <c r="E174" i="47"/>
  <c r="A200" i="47" s="1"/>
  <c r="C7" i="47"/>
  <c r="G7" i="47" s="1"/>
  <c r="AA8" i="46"/>
  <c r="P273" i="57"/>
  <c r="G257" i="57"/>
  <c r="J12" i="57"/>
  <c r="I12" i="57"/>
  <c r="E431" i="57" s="1"/>
  <c r="L35" i="8"/>
  <c r="M35" i="8"/>
  <c r="D8" i="11"/>
  <c r="H8" i="11" s="1"/>
  <c r="J30" i="10"/>
  <c r="J94" i="13"/>
  <c r="F84" i="13"/>
  <c r="G32" i="15"/>
  <c r="C66" i="17"/>
  <c r="H7" i="19"/>
  <c r="I7" i="19" s="1"/>
  <c r="L39" i="24"/>
  <c r="H46" i="27"/>
  <c r="AA5" i="28"/>
  <c r="C6" i="29"/>
  <c r="M38" i="28"/>
  <c r="L38" i="28"/>
  <c r="F73" i="29"/>
  <c r="AA12" i="30"/>
  <c r="I30" i="30"/>
  <c r="H97" i="35"/>
  <c r="D90" i="35"/>
  <c r="F143" i="39"/>
  <c r="B155" i="39"/>
  <c r="I147" i="39"/>
  <c r="G191" i="39"/>
  <c r="N205" i="39"/>
  <c r="M36" i="42"/>
  <c r="L36" i="42"/>
  <c r="F331" i="53"/>
  <c r="P274" i="57"/>
  <c r="G258" i="57"/>
  <c r="AA36" i="58"/>
  <c r="I38" i="58"/>
  <c r="K38" i="58" s="1"/>
  <c r="I9" i="3"/>
  <c r="C8" i="5"/>
  <c r="G8" i="5" s="1"/>
  <c r="I30" i="4"/>
  <c r="AA18" i="6"/>
  <c r="F6" i="10"/>
  <c r="B33" i="15"/>
  <c r="G10" i="17"/>
  <c r="I10" i="19"/>
  <c r="G129" i="23"/>
  <c r="F129" i="23"/>
  <c r="L37" i="26"/>
  <c r="M37" i="26"/>
  <c r="L33" i="28"/>
  <c r="M33" i="28"/>
  <c r="AA30" i="28"/>
  <c r="I36" i="28"/>
  <c r="K36" i="28" s="1"/>
  <c r="F9" i="29"/>
  <c r="AA18" i="30"/>
  <c r="H221" i="33"/>
  <c r="C55" i="33"/>
  <c r="E8" i="35"/>
  <c r="G8" i="35" s="1"/>
  <c r="I30" i="34"/>
  <c r="E11" i="35"/>
  <c r="G11" i="35" s="1"/>
  <c r="I33" i="34"/>
  <c r="AA21" i="34"/>
  <c r="G90" i="35"/>
  <c r="K147" i="39"/>
  <c r="G98" i="41"/>
  <c r="E95" i="41"/>
  <c r="I93" i="41"/>
  <c r="C92" i="41"/>
  <c r="G90" i="41"/>
  <c r="F98" i="41"/>
  <c r="D95" i="41"/>
  <c r="H93" i="41"/>
  <c r="B92" i="41"/>
  <c r="F90" i="41"/>
  <c r="E98" i="41"/>
  <c r="C95" i="41"/>
  <c r="G93" i="41"/>
  <c r="K91" i="41"/>
  <c r="E90" i="41"/>
  <c r="C98" i="41"/>
  <c r="D96" i="41"/>
  <c r="E94" i="41"/>
  <c r="F92" i="41"/>
  <c r="D90" i="41"/>
  <c r="B98" i="41"/>
  <c r="C96" i="41"/>
  <c r="D94" i="41"/>
  <c r="E92" i="41"/>
  <c r="C90" i="41"/>
  <c r="B96" i="41"/>
  <c r="C94" i="41"/>
  <c r="D92" i="41"/>
  <c r="B90" i="41"/>
  <c r="B94" i="41"/>
  <c r="J91" i="41"/>
  <c r="K89" i="41"/>
  <c r="K93" i="41"/>
  <c r="I91" i="41"/>
  <c r="J89" i="41"/>
  <c r="D97" i="41"/>
  <c r="B95" i="41"/>
  <c r="C93" i="41"/>
  <c r="D91" i="41"/>
  <c r="E89" i="41"/>
  <c r="F83" i="41"/>
  <c r="K94" i="41"/>
  <c r="H91" i="41"/>
  <c r="B89" i="41"/>
  <c r="C97" i="41"/>
  <c r="J93" i="41"/>
  <c r="K90" i="41"/>
  <c r="G95" i="41"/>
  <c r="G91" i="41"/>
  <c r="F95" i="41"/>
  <c r="F91" i="41"/>
  <c r="J94" i="41"/>
  <c r="E91" i="41"/>
  <c r="I94" i="41"/>
  <c r="C91" i="41"/>
  <c r="D98" i="41"/>
  <c r="H94" i="41"/>
  <c r="B91" i="41"/>
  <c r="G94" i="41"/>
  <c r="J90" i="41"/>
  <c r="B97" i="41"/>
  <c r="D93" i="41"/>
  <c r="H89" i="41"/>
  <c r="B93" i="41"/>
  <c r="G89" i="41"/>
  <c r="I92" i="41"/>
  <c r="H92" i="41"/>
  <c r="G92" i="41"/>
  <c r="G97" i="41"/>
  <c r="I90" i="41"/>
  <c r="F89" i="41"/>
  <c r="F97" i="41"/>
  <c r="H90" i="41"/>
  <c r="G96" i="41"/>
  <c r="E97" i="41"/>
  <c r="I89" i="41"/>
  <c r="E96" i="41"/>
  <c r="C89" i="41"/>
  <c r="F94" i="41"/>
  <c r="J92" i="41"/>
  <c r="F167" i="7"/>
  <c r="F72" i="2"/>
  <c r="D69" i="2"/>
  <c r="I143" i="2"/>
  <c r="D149" i="2"/>
  <c r="A250" i="2"/>
  <c r="G234" i="2"/>
  <c r="AA5" i="8"/>
  <c r="C6" i="9"/>
  <c r="G6" i="9" s="1"/>
  <c r="I33" i="10"/>
  <c r="K33" i="10" s="1"/>
  <c r="AA21" i="10"/>
  <c r="M38" i="10"/>
  <c r="L38" i="10"/>
  <c r="AA5" i="12"/>
  <c r="C6" i="13"/>
  <c r="G6" i="13" s="1"/>
  <c r="M30" i="12"/>
  <c r="L30" i="12"/>
  <c r="AB36" i="12"/>
  <c r="J38" i="12"/>
  <c r="I30" i="14"/>
  <c r="AA12" i="14"/>
  <c r="E8" i="15"/>
  <c r="G8" i="15" s="1"/>
  <c r="F133" i="15"/>
  <c r="G128" i="15"/>
  <c r="F128" i="15"/>
  <c r="L42" i="16"/>
  <c r="M42" i="16"/>
  <c r="AB39" i="18"/>
  <c r="J39" i="18"/>
  <c r="C66" i="23"/>
  <c r="F246" i="27"/>
  <c r="F6" i="28"/>
  <c r="AB30" i="28"/>
  <c r="J36" i="28"/>
  <c r="F6" i="30"/>
  <c r="H6" i="30" s="1"/>
  <c r="J6" i="30" s="1"/>
  <c r="E128" i="31"/>
  <c r="F134" i="31" s="1"/>
  <c r="F248" i="33"/>
  <c r="F11" i="35"/>
  <c r="H11" i="35" s="1"/>
  <c r="J33" i="34"/>
  <c r="AB21" i="34"/>
  <c r="AA45" i="34"/>
  <c r="I41" i="34"/>
  <c r="K41" i="34" s="1"/>
  <c r="G91" i="35"/>
  <c r="N206" i="39"/>
  <c r="G192" i="39"/>
  <c r="N205" i="41"/>
  <c r="G191" i="41"/>
  <c r="M30" i="44"/>
  <c r="L30" i="44"/>
  <c r="M33" i="44"/>
  <c r="L33" i="44"/>
  <c r="I37" i="6"/>
  <c r="K37" i="6" s="1"/>
  <c r="AA33" i="6"/>
  <c r="F156" i="2"/>
  <c r="D153" i="2"/>
  <c r="E69" i="2"/>
  <c r="F73" i="2"/>
  <c r="E153" i="2"/>
  <c r="F170" i="2" s="1"/>
  <c r="F157" i="2"/>
  <c r="J143" i="2"/>
  <c r="E149" i="2"/>
  <c r="E227" i="3"/>
  <c r="E213" i="3"/>
  <c r="J13" i="3"/>
  <c r="K13" i="3"/>
  <c r="F85" i="5"/>
  <c r="J95" i="5"/>
  <c r="F6" i="8"/>
  <c r="H6" i="8" s="1"/>
  <c r="J6" i="8" s="1"/>
  <c r="D6" i="13"/>
  <c r="H6" i="13" s="1"/>
  <c r="J28" i="12"/>
  <c r="AB5" i="12"/>
  <c r="M38" i="12"/>
  <c r="L38" i="12"/>
  <c r="J30" i="14"/>
  <c r="F8" i="15"/>
  <c r="H8" i="15" s="1"/>
  <c r="AB12" i="14"/>
  <c r="F57" i="17"/>
  <c r="I64" i="17"/>
  <c r="E68" i="17"/>
  <c r="F68" i="17"/>
  <c r="F64" i="17"/>
  <c r="E64" i="17"/>
  <c r="D68" i="17"/>
  <c r="D64" i="17"/>
  <c r="C67" i="17"/>
  <c r="C64" i="17"/>
  <c r="B64" i="17"/>
  <c r="E66" i="17"/>
  <c r="E62" i="17"/>
  <c r="D66" i="17"/>
  <c r="D62" i="17"/>
  <c r="M39" i="18"/>
  <c r="L39" i="18"/>
  <c r="K29" i="20"/>
  <c r="A178" i="21"/>
  <c r="A184" i="21" s="1"/>
  <c r="E134" i="27"/>
  <c r="E124" i="27"/>
  <c r="A146" i="27" s="1"/>
  <c r="M40" i="26"/>
  <c r="L40" i="26"/>
  <c r="E135" i="27"/>
  <c r="E129" i="31"/>
  <c r="F135" i="31" s="1"/>
  <c r="E119" i="31"/>
  <c r="A141" i="31" s="1"/>
  <c r="M31" i="30"/>
  <c r="L31" i="30"/>
  <c r="F245" i="31"/>
  <c r="E179" i="35"/>
  <c r="A205" i="35" s="1"/>
  <c r="E191" i="35"/>
  <c r="J92" i="35"/>
  <c r="M41" i="36"/>
  <c r="L41" i="36"/>
  <c r="M29" i="38"/>
  <c r="L29" i="38"/>
  <c r="F9" i="39"/>
  <c r="B38" i="15"/>
  <c r="H212" i="15"/>
  <c r="B34" i="15"/>
  <c r="B32" i="15"/>
  <c r="F22" i="15"/>
  <c r="I35" i="15"/>
  <c r="I33" i="15"/>
  <c r="I31" i="15"/>
  <c r="I29" i="15"/>
  <c r="E35" i="15"/>
  <c r="H35" i="15"/>
  <c r="H33" i="15"/>
  <c r="H31" i="15"/>
  <c r="H29" i="15"/>
  <c r="G35" i="15"/>
  <c r="G33" i="15"/>
  <c r="G31" i="15"/>
  <c r="G29" i="15"/>
  <c r="F35" i="15"/>
  <c r="F33" i="15"/>
  <c r="F31" i="15"/>
  <c r="F29" i="15"/>
  <c r="E33" i="15"/>
  <c r="I34" i="15"/>
  <c r="I32" i="15"/>
  <c r="I30" i="15"/>
  <c r="I28" i="15"/>
  <c r="H34" i="15"/>
  <c r="H32" i="15"/>
  <c r="H30" i="15"/>
  <c r="H28" i="15"/>
  <c r="F32" i="15"/>
  <c r="F28" i="15"/>
  <c r="D32" i="15"/>
  <c r="E32" i="15"/>
  <c r="C32" i="15"/>
  <c r="B35" i="15"/>
  <c r="D35" i="15"/>
  <c r="C35" i="15"/>
  <c r="E34" i="15"/>
  <c r="D34" i="15"/>
  <c r="C34" i="15"/>
  <c r="F34" i="15"/>
  <c r="AB42" i="16"/>
  <c r="J40" i="16"/>
  <c r="D248" i="17"/>
  <c r="H230" i="17"/>
  <c r="D72" i="17"/>
  <c r="AB18" i="20"/>
  <c r="F10" i="21"/>
  <c r="H10" i="21" s="1"/>
  <c r="I10" i="21" s="1"/>
  <c r="J32" i="20"/>
  <c r="K32" i="20" s="1"/>
  <c r="L34" i="20"/>
  <c r="M34" i="20"/>
  <c r="M42" i="20"/>
  <c r="L42" i="20"/>
  <c r="L33" i="22"/>
  <c r="L35" i="22"/>
  <c r="M35" i="24"/>
  <c r="L35" i="24"/>
  <c r="F10" i="27"/>
  <c r="J32" i="26"/>
  <c r="AB18" i="26"/>
  <c r="H231" i="27"/>
  <c r="E72" i="27"/>
  <c r="F76" i="27" s="1"/>
  <c r="H50" i="27"/>
  <c r="C10" i="29"/>
  <c r="G10" i="29" s="1"/>
  <c r="I37" i="30"/>
  <c r="K37" i="30" s="1"/>
  <c r="AA33" i="30"/>
  <c r="M36" i="34"/>
  <c r="L36" i="34"/>
  <c r="H275" i="35"/>
  <c r="C25" i="35"/>
  <c r="F27" i="35" s="1"/>
  <c r="C101" i="35"/>
  <c r="F103" i="35" s="1"/>
  <c r="H307" i="35"/>
  <c r="K95" i="35"/>
  <c r="D89" i="41"/>
  <c r="J111" i="43"/>
  <c r="N203" i="45"/>
  <c r="G189" i="45"/>
  <c r="M33" i="52"/>
  <c r="L33" i="52"/>
  <c r="AA36" i="52"/>
  <c r="I38" i="52"/>
  <c r="K38" i="52" s="1"/>
  <c r="J30" i="4"/>
  <c r="AB12" i="4"/>
  <c r="AB45" i="4"/>
  <c r="J41" i="4"/>
  <c r="H6" i="5"/>
  <c r="I35" i="6"/>
  <c r="K35" i="6" s="1"/>
  <c r="AA27" i="6"/>
  <c r="F168" i="7"/>
  <c r="AB30" i="10"/>
  <c r="J36" i="10"/>
  <c r="M33" i="14"/>
  <c r="L33" i="14"/>
  <c r="L143" i="2"/>
  <c r="I150" i="2"/>
  <c r="L33" i="4"/>
  <c r="M33" i="4"/>
  <c r="M41" i="4"/>
  <c r="L41" i="4"/>
  <c r="J35" i="6"/>
  <c r="AB27" i="6"/>
  <c r="C38" i="15"/>
  <c r="F40" i="15" s="1"/>
  <c r="H213" i="15"/>
  <c r="G34" i="15"/>
  <c r="F131" i="15"/>
  <c r="G131" i="15"/>
  <c r="H214" i="15"/>
  <c r="L40" i="16"/>
  <c r="M40" i="16"/>
  <c r="H231" i="17"/>
  <c r="E72" i="17"/>
  <c r="F76" i="17" s="1"/>
  <c r="I79" i="17"/>
  <c r="H79" i="17"/>
  <c r="D81" i="17"/>
  <c r="G81" i="17"/>
  <c r="D79" i="17"/>
  <c r="F79" i="17"/>
  <c r="E81" i="17"/>
  <c r="D85" i="17"/>
  <c r="H82" i="17"/>
  <c r="H80" i="17"/>
  <c r="G80" i="17"/>
  <c r="I82" i="17"/>
  <c r="E86" i="17"/>
  <c r="E82" i="17"/>
  <c r="D82" i="17"/>
  <c r="C81" i="17"/>
  <c r="F80" i="17"/>
  <c r="E84" i="17"/>
  <c r="E80" i="17"/>
  <c r="D84" i="17"/>
  <c r="I101" i="17"/>
  <c r="I97" i="17"/>
  <c r="H101" i="17"/>
  <c r="H97" i="17"/>
  <c r="G103" i="17"/>
  <c r="G101" i="17"/>
  <c r="G99" i="17"/>
  <c r="G97" i="17"/>
  <c r="D97" i="17"/>
  <c r="F103" i="17"/>
  <c r="F101" i="17"/>
  <c r="F99" i="17"/>
  <c r="F97" i="17"/>
  <c r="D101" i="17"/>
  <c r="E101" i="17"/>
  <c r="E97" i="17"/>
  <c r="H100" i="17"/>
  <c r="H96" i="17"/>
  <c r="G102" i="17"/>
  <c r="G100" i="17"/>
  <c r="G98" i="17"/>
  <c r="G96" i="17"/>
  <c r="E100" i="17"/>
  <c r="E96" i="17"/>
  <c r="C100" i="17"/>
  <c r="D100" i="17"/>
  <c r="D96" i="17"/>
  <c r="C96" i="17"/>
  <c r="B100" i="17"/>
  <c r="B96" i="17"/>
  <c r="B103" i="17"/>
  <c r="C103" i="17"/>
  <c r="C99" i="17"/>
  <c r="B99" i="17"/>
  <c r="C102" i="17"/>
  <c r="C98" i="17"/>
  <c r="B102" i="17"/>
  <c r="B98" i="17"/>
  <c r="C101" i="17"/>
  <c r="AB48" i="18"/>
  <c r="J42" i="18"/>
  <c r="D248" i="19"/>
  <c r="D72" i="19"/>
  <c r="E82" i="19" s="1"/>
  <c r="C81" i="19"/>
  <c r="G81" i="19"/>
  <c r="E85" i="19"/>
  <c r="H80" i="19"/>
  <c r="E84" i="19"/>
  <c r="F74" i="21"/>
  <c r="AA15" i="22"/>
  <c r="E9" i="23"/>
  <c r="G9" i="23" s="1"/>
  <c r="C248" i="23"/>
  <c r="B72" i="23"/>
  <c r="F132" i="23"/>
  <c r="J35" i="24"/>
  <c r="I38" i="26"/>
  <c r="K38" i="26" s="1"/>
  <c r="AA36" i="26"/>
  <c r="C245" i="27"/>
  <c r="H204" i="27"/>
  <c r="B21" i="27"/>
  <c r="I102" i="27"/>
  <c r="I100" i="27"/>
  <c r="I98" i="27"/>
  <c r="I96" i="27"/>
  <c r="G102" i="27"/>
  <c r="E98" i="27"/>
  <c r="D96" i="27"/>
  <c r="F102" i="27"/>
  <c r="E100" i="27"/>
  <c r="D98" i="27"/>
  <c r="F90" i="27"/>
  <c r="E102" i="27"/>
  <c r="D100" i="27"/>
  <c r="C98" i="27"/>
  <c r="D102" i="27"/>
  <c r="B98" i="27"/>
  <c r="B102" i="27"/>
  <c r="H97" i="27"/>
  <c r="C102" i="27"/>
  <c r="I97" i="27"/>
  <c r="I99" i="27"/>
  <c r="G103" i="27"/>
  <c r="E99" i="27"/>
  <c r="D97" i="27"/>
  <c r="F103" i="27"/>
  <c r="E101" i="27"/>
  <c r="D99" i="27"/>
  <c r="I101" i="27"/>
  <c r="H101" i="27"/>
  <c r="E97" i="27"/>
  <c r="D101" i="27"/>
  <c r="H96" i="27"/>
  <c r="H100" i="27"/>
  <c r="I103" i="27"/>
  <c r="G99" i="27"/>
  <c r="H103" i="27"/>
  <c r="F99" i="27"/>
  <c r="E103" i="27"/>
  <c r="C99" i="27"/>
  <c r="B51" i="27"/>
  <c r="F98" i="27"/>
  <c r="C249" i="27"/>
  <c r="H7" i="29"/>
  <c r="F29" i="29"/>
  <c r="H6" i="33"/>
  <c r="B96" i="35"/>
  <c r="AB20" i="40"/>
  <c r="D11" i="41"/>
  <c r="M35" i="40"/>
  <c r="L35" i="40"/>
  <c r="K92" i="41"/>
  <c r="E6" i="53"/>
  <c r="G6" i="53" s="1"/>
  <c r="I28" i="52"/>
  <c r="AA6" i="52"/>
  <c r="M32" i="6"/>
  <c r="L32" i="6"/>
  <c r="AB30" i="14"/>
  <c r="J36" i="14"/>
  <c r="P241" i="2"/>
  <c r="F225" i="2"/>
  <c r="E144" i="2"/>
  <c r="F8" i="7"/>
  <c r="H8" i="7" s="1"/>
  <c r="I8" i="7" s="1"/>
  <c r="AB12" i="6"/>
  <c r="I28" i="8"/>
  <c r="K28" i="8" s="1"/>
  <c r="M41" i="8"/>
  <c r="L41" i="8"/>
  <c r="L41" i="10"/>
  <c r="M41" i="10"/>
  <c r="C167" i="11"/>
  <c r="B17" i="11"/>
  <c r="H142" i="11"/>
  <c r="L39" i="14"/>
  <c r="M39" i="14"/>
  <c r="M42" i="18"/>
  <c r="L42" i="18"/>
  <c r="H231" i="19"/>
  <c r="E72" i="19"/>
  <c r="F76" i="19" s="1"/>
  <c r="I30" i="20"/>
  <c r="K30" i="20" s="1"/>
  <c r="AA11" i="20"/>
  <c r="AB42" i="20"/>
  <c r="J40" i="20"/>
  <c r="C8" i="21"/>
  <c r="G8" i="21" s="1"/>
  <c r="J31" i="22"/>
  <c r="K31" i="22" s="1"/>
  <c r="AB15" i="22"/>
  <c r="H229" i="23"/>
  <c r="C72" i="23"/>
  <c r="F74" i="23" s="1"/>
  <c r="AB45" i="26"/>
  <c r="C51" i="27"/>
  <c r="G98" i="27"/>
  <c r="G29" i="29"/>
  <c r="M34" i="30"/>
  <c r="L34" i="30"/>
  <c r="E93" i="41"/>
  <c r="F105" i="43"/>
  <c r="K109" i="43"/>
  <c r="K117" i="43"/>
  <c r="F115" i="43"/>
  <c r="J117" i="43"/>
  <c r="G115" i="43"/>
  <c r="B112" i="43"/>
  <c r="K111" i="43"/>
  <c r="C111" i="43"/>
  <c r="D334" i="49"/>
  <c r="H300" i="49"/>
  <c r="J38" i="49"/>
  <c r="K34" i="49"/>
  <c r="I38" i="49"/>
  <c r="I34" i="49"/>
  <c r="G38" i="49"/>
  <c r="K33" i="49"/>
  <c r="J41" i="49"/>
  <c r="E37" i="49"/>
  <c r="J33" i="49"/>
  <c r="D37" i="49"/>
  <c r="B37" i="49"/>
  <c r="J36" i="49"/>
  <c r="I36" i="49"/>
  <c r="H36" i="49"/>
  <c r="F28" i="49"/>
  <c r="I41" i="49"/>
  <c r="G36" i="49"/>
  <c r="C40" i="49"/>
  <c r="B40" i="49"/>
  <c r="G34" i="49"/>
  <c r="B39" i="49"/>
  <c r="K38" i="49"/>
  <c r="H38" i="49"/>
  <c r="E36" i="49"/>
  <c r="G33" i="49"/>
  <c r="D36" i="49"/>
  <c r="I33" i="49"/>
  <c r="J32" i="49"/>
  <c r="G41" i="49"/>
  <c r="J39" i="49"/>
  <c r="J34" i="36"/>
  <c r="K34" i="36" s="1"/>
  <c r="F12" i="37"/>
  <c r="H12" i="37" s="1"/>
  <c r="AB24" i="36"/>
  <c r="E173" i="39"/>
  <c r="A199" i="39" s="1"/>
  <c r="F6" i="38"/>
  <c r="H6" i="38" s="1"/>
  <c r="J6" i="38" s="1"/>
  <c r="E185" i="39"/>
  <c r="M41" i="38"/>
  <c r="L41" i="38"/>
  <c r="F46" i="39"/>
  <c r="E93" i="39"/>
  <c r="H291" i="47"/>
  <c r="C63" i="47"/>
  <c r="F65" i="47" s="1"/>
  <c r="C139" i="47"/>
  <c r="H323" i="47"/>
  <c r="C112" i="49"/>
  <c r="E255" i="55"/>
  <c r="E241" i="55"/>
  <c r="A271" i="55" s="1"/>
  <c r="H371" i="57"/>
  <c r="E71" i="57"/>
  <c r="F75" i="57" s="1"/>
  <c r="M30" i="74"/>
  <c r="L30" i="74"/>
  <c r="D150" i="2"/>
  <c r="L148" i="2"/>
  <c r="H147" i="2"/>
  <c r="D146" i="2"/>
  <c r="L144" i="2"/>
  <c r="H143" i="2"/>
  <c r="D142" i="2"/>
  <c r="L140" i="2"/>
  <c r="H139" i="2"/>
  <c r="J148" i="2"/>
  <c r="K149" i="2"/>
  <c r="C147" i="2"/>
  <c r="C139" i="2"/>
  <c r="C150" i="2"/>
  <c r="K148" i="2"/>
  <c r="G147" i="2"/>
  <c r="C146" i="2"/>
  <c r="K144" i="2"/>
  <c r="G143" i="2"/>
  <c r="C142" i="2"/>
  <c r="K140" i="2"/>
  <c r="G139" i="2"/>
  <c r="G148" i="2"/>
  <c r="K141" i="2"/>
  <c r="B150" i="2"/>
  <c r="F147" i="2"/>
  <c r="B146" i="2"/>
  <c r="J144" i="2"/>
  <c r="F143" i="2"/>
  <c r="B142" i="2"/>
  <c r="J140" i="2"/>
  <c r="F139" i="2"/>
  <c r="K145" i="2"/>
  <c r="M149" i="2"/>
  <c r="I148" i="2"/>
  <c r="E147" i="2"/>
  <c r="M145" i="2"/>
  <c r="I144" i="2"/>
  <c r="E143" i="2"/>
  <c r="M141" i="2"/>
  <c r="I140" i="2"/>
  <c r="E139" i="2"/>
  <c r="G144" i="2"/>
  <c r="L149" i="2"/>
  <c r="H148" i="2"/>
  <c r="D147" i="2"/>
  <c r="L145" i="2"/>
  <c r="H144" i="2"/>
  <c r="D143" i="2"/>
  <c r="L141" i="2"/>
  <c r="H140" i="2"/>
  <c r="D139" i="2"/>
  <c r="G140" i="2"/>
  <c r="C143" i="2"/>
  <c r="K150" i="2"/>
  <c r="G149" i="2"/>
  <c r="C148" i="2"/>
  <c r="K146" i="2"/>
  <c r="G145" i="2"/>
  <c r="C144" i="2"/>
  <c r="K142" i="2"/>
  <c r="G141" i="2"/>
  <c r="C140" i="2"/>
  <c r="B139" i="2"/>
  <c r="H141" i="2"/>
  <c r="M143" i="2"/>
  <c r="G146" i="2"/>
  <c r="M148" i="2"/>
  <c r="M150" i="2"/>
  <c r="A247" i="3"/>
  <c r="G231" i="3"/>
  <c r="AB6" i="4"/>
  <c r="J28" i="4"/>
  <c r="D47" i="5"/>
  <c r="F50" i="5" s="1"/>
  <c r="D169" i="5"/>
  <c r="J90" i="5"/>
  <c r="G80" i="5"/>
  <c r="H150" i="7"/>
  <c r="C168" i="7"/>
  <c r="B32" i="7"/>
  <c r="G84" i="7"/>
  <c r="J94" i="7"/>
  <c r="E8" i="11"/>
  <c r="G8" i="11" s="1"/>
  <c r="I30" i="10"/>
  <c r="G84" i="11"/>
  <c r="M36" i="14"/>
  <c r="L36" i="14"/>
  <c r="N7" i="15"/>
  <c r="A212" i="15" s="1"/>
  <c r="AB14" i="16"/>
  <c r="D9" i="17"/>
  <c r="H9" i="17" s="1"/>
  <c r="F135" i="19"/>
  <c r="L147" i="19"/>
  <c r="AB14" i="18"/>
  <c r="D9" i="19"/>
  <c r="H9" i="19" s="1"/>
  <c r="H223" i="19"/>
  <c r="E55" i="19"/>
  <c r="F65" i="19" s="1"/>
  <c r="M36" i="20"/>
  <c r="L36" i="20"/>
  <c r="AA42" i="22"/>
  <c r="I40" i="22"/>
  <c r="K40" i="22" s="1"/>
  <c r="M42" i="22"/>
  <c r="L42" i="22"/>
  <c r="L146" i="25"/>
  <c r="G134" i="25"/>
  <c r="B21" i="25"/>
  <c r="C245" i="25"/>
  <c r="H204" i="25"/>
  <c r="B99" i="25"/>
  <c r="F102" i="25"/>
  <c r="D98" i="25"/>
  <c r="F90" i="25"/>
  <c r="G99" i="25"/>
  <c r="E97" i="25"/>
  <c r="E103" i="25"/>
  <c r="H205" i="27"/>
  <c r="C21" i="27"/>
  <c r="F23" i="27" s="1"/>
  <c r="F85" i="27"/>
  <c r="F73" i="27"/>
  <c r="F8" i="33"/>
  <c r="H8" i="33" s="1"/>
  <c r="AB12" i="32"/>
  <c r="H222" i="33"/>
  <c r="D247" i="33"/>
  <c r="E192" i="35"/>
  <c r="E180" i="35"/>
  <c r="A206" i="35" s="1"/>
  <c r="I28" i="34"/>
  <c r="AA5" i="34"/>
  <c r="J39" i="36"/>
  <c r="AB39" i="36"/>
  <c r="F335" i="37"/>
  <c r="H309" i="37"/>
  <c r="E101" i="37"/>
  <c r="C115" i="37" s="1"/>
  <c r="G38" i="37"/>
  <c r="G7" i="39"/>
  <c r="E12" i="39"/>
  <c r="G12" i="39" s="1"/>
  <c r="AA24" i="38"/>
  <c r="I34" i="38"/>
  <c r="B94" i="39"/>
  <c r="E149" i="39"/>
  <c r="K33" i="40"/>
  <c r="C332" i="41"/>
  <c r="H282" i="41"/>
  <c r="B44" i="41"/>
  <c r="C336" i="41"/>
  <c r="H314" i="41"/>
  <c r="F29" i="43"/>
  <c r="H38" i="43"/>
  <c r="K37" i="43"/>
  <c r="J33" i="43"/>
  <c r="J37" i="43"/>
  <c r="I33" i="43"/>
  <c r="J41" i="43"/>
  <c r="I36" i="43"/>
  <c r="E40" i="43"/>
  <c r="M41" i="44"/>
  <c r="L41" i="44"/>
  <c r="J114" i="49"/>
  <c r="I33" i="50"/>
  <c r="AA21" i="50"/>
  <c r="E11" i="51"/>
  <c r="G11" i="51" s="1"/>
  <c r="E184" i="53"/>
  <c r="F6" i="52"/>
  <c r="H6" i="52" s="1"/>
  <c r="J6" i="52" s="1"/>
  <c r="E172" i="53"/>
  <c r="A198" i="53" s="1"/>
  <c r="F135" i="61"/>
  <c r="L32" i="68"/>
  <c r="M32" i="68"/>
  <c r="T426" i="81"/>
  <c r="G406" i="81"/>
  <c r="C57" i="2"/>
  <c r="I59" i="2"/>
  <c r="I61" i="2"/>
  <c r="B64" i="2"/>
  <c r="H66" i="2"/>
  <c r="I139" i="2"/>
  <c r="I141" i="2"/>
  <c r="B144" i="2"/>
  <c r="H146" i="2"/>
  <c r="B149" i="2"/>
  <c r="I8" i="3"/>
  <c r="E231" i="3"/>
  <c r="A251" i="3"/>
  <c r="E72" i="5"/>
  <c r="A90" i="5" s="1"/>
  <c r="F6" i="4"/>
  <c r="AA27" i="4"/>
  <c r="I35" i="4"/>
  <c r="K35" i="4" s="1"/>
  <c r="F80" i="5"/>
  <c r="AA8" i="6"/>
  <c r="C7" i="7"/>
  <c r="G7" i="7" s="1"/>
  <c r="E59" i="7"/>
  <c r="G82" i="9"/>
  <c r="F82" i="9"/>
  <c r="E99" i="9" s="1"/>
  <c r="I30" i="8"/>
  <c r="K30" i="8" s="1"/>
  <c r="E84" i="9"/>
  <c r="B43" i="11"/>
  <c r="D40" i="11"/>
  <c r="C40" i="11"/>
  <c r="B40" i="11"/>
  <c r="C42" i="11"/>
  <c r="G39" i="11"/>
  <c r="E39" i="11"/>
  <c r="F39" i="11"/>
  <c r="C44" i="11"/>
  <c r="B44" i="11"/>
  <c r="E80" i="13"/>
  <c r="E72" i="13"/>
  <c r="A90" i="13" s="1"/>
  <c r="M40" i="12"/>
  <c r="L40" i="12"/>
  <c r="C62" i="15"/>
  <c r="C66" i="15"/>
  <c r="C72" i="15"/>
  <c r="G134" i="17"/>
  <c r="E9" i="17"/>
  <c r="G9" i="17" s="1"/>
  <c r="I31" i="16"/>
  <c r="K31" i="16" s="1"/>
  <c r="I33" i="16"/>
  <c r="K33" i="16" s="1"/>
  <c r="AA21" i="16"/>
  <c r="I33" i="18"/>
  <c r="K33" i="18" s="1"/>
  <c r="AA21" i="18"/>
  <c r="F131" i="19"/>
  <c r="E120" i="21"/>
  <c r="A142" i="21" s="1"/>
  <c r="AA18" i="22"/>
  <c r="E10" i="23"/>
  <c r="G10" i="23" s="1"/>
  <c r="F245" i="23"/>
  <c r="H205" i="23"/>
  <c r="C21" i="23"/>
  <c r="E135" i="25"/>
  <c r="E125" i="25"/>
  <c r="A147" i="25" s="1"/>
  <c r="H205" i="25"/>
  <c r="C21" i="25"/>
  <c r="F23" i="25" s="1"/>
  <c r="H237" i="25"/>
  <c r="C89" i="25"/>
  <c r="H101" i="25" s="1"/>
  <c r="B66" i="25"/>
  <c r="C249" i="25"/>
  <c r="D10" i="27"/>
  <c r="AB17" i="26"/>
  <c r="I32" i="28"/>
  <c r="K32" i="28" s="1"/>
  <c r="H34" i="29"/>
  <c r="H32" i="29"/>
  <c r="H30" i="29"/>
  <c r="H28" i="29"/>
  <c r="F35" i="29"/>
  <c r="E33" i="29"/>
  <c r="E35" i="29"/>
  <c r="D33" i="29"/>
  <c r="D35" i="29"/>
  <c r="C33" i="29"/>
  <c r="I28" i="29"/>
  <c r="C35" i="29"/>
  <c r="B33" i="29"/>
  <c r="I30" i="29"/>
  <c r="G28" i="29"/>
  <c r="F30" i="29"/>
  <c r="B35" i="29"/>
  <c r="I32" i="29"/>
  <c r="G30" i="29"/>
  <c r="F28" i="29"/>
  <c r="G32" i="29"/>
  <c r="I34" i="29"/>
  <c r="D34" i="29"/>
  <c r="C32" i="29"/>
  <c r="C34" i="29"/>
  <c r="B32" i="29"/>
  <c r="I29" i="29"/>
  <c r="F33" i="29"/>
  <c r="C246" i="31"/>
  <c r="B38" i="31"/>
  <c r="F30" i="31"/>
  <c r="F28" i="31"/>
  <c r="H29" i="31"/>
  <c r="E35" i="31"/>
  <c r="G28" i="31"/>
  <c r="F29" i="31"/>
  <c r="H34" i="31"/>
  <c r="G31" i="31"/>
  <c r="B34" i="31"/>
  <c r="I35" i="31"/>
  <c r="D68" i="31"/>
  <c r="G134" i="31"/>
  <c r="L146" i="31"/>
  <c r="AA6" i="32"/>
  <c r="K30" i="32"/>
  <c r="I42" i="32"/>
  <c r="K42" i="32" s="1"/>
  <c r="AA48" i="32"/>
  <c r="A177" i="33"/>
  <c r="A183" i="33" s="1"/>
  <c r="AB5" i="34"/>
  <c r="J28" i="34"/>
  <c r="N203" i="35"/>
  <c r="C332" i="37"/>
  <c r="H282" i="37"/>
  <c r="B44" i="37"/>
  <c r="B120" i="37"/>
  <c r="C336" i="37"/>
  <c r="H314" i="37"/>
  <c r="F32" i="37"/>
  <c r="J38" i="37"/>
  <c r="H277" i="37"/>
  <c r="C10" i="39"/>
  <c r="AA17" i="38"/>
  <c r="I32" i="38"/>
  <c r="J94" i="39"/>
  <c r="H128" i="39"/>
  <c r="F135" i="39"/>
  <c r="F149" i="39"/>
  <c r="AB36" i="40"/>
  <c r="J38" i="40"/>
  <c r="AA24" i="42"/>
  <c r="I34" i="42"/>
  <c r="K34" i="42" s="1"/>
  <c r="E12" i="43"/>
  <c r="G12" i="43" s="1"/>
  <c r="G40" i="43"/>
  <c r="C57" i="43"/>
  <c r="I29" i="46"/>
  <c r="K29" i="46" s="1"/>
  <c r="F334" i="47"/>
  <c r="F9" i="49"/>
  <c r="H9" i="49" s="1"/>
  <c r="J31" i="48"/>
  <c r="K31" i="48" s="1"/>
  <c r="AB15" i="48"/>
  <c r="AB5" i="50"/>
  <c r="J28" i="50"/>
  <c r="H298" i="51"/>
  <c r="C334" i="51"/>
  <c r="B82" i="51"/>
  <c r="F26" i="51"/>
  <c r="C153" i="53"/>
  <c r="E57" i="71"/>
  <c r="M40" i="78"/>
  <c r="L40" i="78"/>
  <c r="C69" i="2"/>
  <c r="F71" i="2"/>
  <c r="C153" i="2"/>
  <c r="F155" i="2"/>
  <c r="J59" i="2"/>
  <c r="J61" i="2"/>
  <c r="D64" i="2"/>
  <c r="I66" i="2"/>
  <c r="B90" i="2"/>
  <c r="J139" i="2"/>
  <c r="J141" i="2"/>
  <c r="D144" i="2"/>
  <c r="I146" i="2"/>
  <c r="C149" i="2"/>
  <c r="G10" i="3"/>
  <c r="I10" i="3" s="1"/>
  <c r="G66" i="3"/>
  <c r="C65" i="3"/>
  <c r="K63" i="3"/>
  <c r="G62" i="3"/>
  <c r="C61" i="3"/>
  <c r="K59" i="3"/>
  <c r="C57" i="3"/>
  <c r="K55" i="3"/>
  <c r="F63" i="3"/>
  <c r="F55" i="3"/>
  <c r="F66" i="3"/>
  <c r="B65" i="3"/>
  <c r="J63" i="3"/>
  <c r="F62" i="3"/>
  <c r="B61" i="3"/>
  <c r="J59" i="3"/>
  <c r="B57" i="3"/>
  <c r="J55" i="3"/>
  <c r="B58" i="3"/>
  <c r="E66" i="3"/>
  <c r="M64" i="3"/>
  <c r="I63" i="3"/>
  <c r="E62" i="3"/>
  <c r="M60" i="3"/>
  <c r="I59" i="3"/>
  <c r="M56" i="3"/>
  <c r="I55" i="3"/>
  <c r="D66" i="3"/>
  <c r="L64" i="3"/>
  <c r="H63" i="3"/>
  <c r="D62" i="3"/>
  <c r="L60" i="3"/>
  <c r="H59" i="3"/>
  <c r="L56" i="3"/>
  <c r="H55" i="3"/>
  <c r="B66" i="3"/>
  <c r="J60" i="3"/>
  <c r="C66" i="3"/>
  <c r="K64" i="3"/>
  <c r="G63" i="3"/>
  <c r="C62" i="3"/>
  <c r="K60" i="3"/>
  <c r="C58" i="3"/>
  <c r="K56" i="3"/>
  <c r="G55" i="3"/>
  <c r="B62" i="3"/>
  <c r="J64" i="3"/>
  <c r="J56" i="3"/>
  <c r="J65" i="3"/>
  <c r="F64" i="3"/>
  <c r="B63" i="3"/>
  <c r="J61" i="3"/>
  <c r="B59" i="3"/>
  <c r="J57" i="3"/>
  <c r="F56" i="3"/>
  <c r="B55" i="3"/>
  <c r="G150" i="3"/>
  <c r="C149" i="3"/>
  <c r="K147" i="3"/>
  <c r="G146" i="3"/>
  <c r="C145" i="3"/>
  <c r="K143" i="3"/>
  <c r="G142" i="3"/>
  <c r="C141" i="3"/>
  <c r="K139" i="3"/>
  <c r="B150" i="3"/>
  <c r="J140" i="3"/>
  <c r="F150" i="3"/>
  <c r="B149" i="3"/>
  <c r="J147" i="3"/>
  <c r="F146" i="3"/>
  <c r="B145" i="3"/>
  <c r="J143" i="3"/>
  <c r="F142" i="3"/>
  <c r="B141" i="3"/>
  <c r="J139" i="3"/>
  <c r="J144" i="3"/>
  <c r="E150" i="3"/>
  <c r="M148" i="3"/>
  <c r="I147" i="3"/>
  <c r="M144" i="3"/>
  <c r="I143" i="3"/>
  <c r="M140" i="3"/>
  <c r="I139" i="3"/>
  <c r="J148" i="3"/>
  <c r="F143" i="3"/>
  <c r="F139" i="3"/>
  <c r="D150" i="3"/>
  <c r="L148" i="3"/>
  <c r="H147" i="3"/>
  <c r="L144" i="3"/>
  <c r="H143" i="3"/>
  <c r="L140" i="3"/>
  <c r="H139" i="3"/>
  <c r="F147" i="3"/>
  <c r="C150" i="3"/>
  <c r="K148" i="3"/>
  <c r="G147" i="3"/>
  <c r="C146" i="3"/>
  <c r="K144" i="3"/>
  <c r="G143" i="3"/>
  <c r="C142" i="3"/>
  <c r="K140" i="3"/>
  <c r="G139" i="3"/>
  <c r="B142" i="3"/>
  <c r="B146" i="3"/>
  <c r="J149" i="3"/>
  <c r="F148" i="3"/>
  <c r="B147" i="3"/>
  <c r="J145" i="3"/>
  <c r="F144" i="3"/>
  <c r="B143" i="3"/>
  <c r="J141" i="3"/>
  <c r="F140" i="3"/>
  <c r="B139" i="3"/>
  <c r="D56" i="3"/>
  <c r="J58" i="3"/>
  <c r="D61" i="3"/>
  <c r="D63" i="3"/>
  <c r="I65" i="3"/>
  <c r="D143" i="3"/>
  <c r="C148" i="3"/>
  <c r="I150" i="3"/>
  <c r="E232" i="3"/>
  <c r="P241" i="3"/>
  <c r="E73" i="5"/>
  <c r="A91" i="5" s="1"/>
  <c r="E81" i="5"/>
  <c r="G84" i="5" s="1"/>
  <c r="D7" i="7"/>
  <c r="H7" i="7" s="1"/>
  <c r="AB8" i="6"/>
  <c r="D168" i="7"/>
  <c r="D32" i="7"/>
  <c r="F35" i="7" s="1"/>
  <c r="D54" i="7"/>
  <c r="H6" i="9"/>
  <c r="F33" i="9"/>
  <c r="E81" i="13"/>
  <c r="E73" i="13"/>
  <c r="A91" i="13" s="1"/>
  <c r="M34" i="12"/>
  <c r="L34" i="12"/>
  <c r="H142" i="13"/>
  <c r="B17" i="13"/>
  <c r="C167" i="13"/>
  <c r="I28" i="14"/>
  <c r="K28" i="14" s="1"/>
  <c r="AA45" i="14"/>
  <c r="I41" i="14"/>
  <c r="K41" i="14" s="1"/>
  <c r="D62" i="15"/>
  <c r="D72" i="15"/>
  <c r="F75" i="15" s="1"/>
  <c r="G129" i="15"/>
  <c r="H230" i="15"/>
  <c r="J33" i="16"/>
  <c r="AB21" i="16"/>
  <c r="I67" i="17"/>
  <c r="I65" i="17"/>
  <c r="D69" i="17"/>
  <c r="H67" i="17"/>
  <c r="H65" i="17"/>
  <c r="G69" i="17"/>
  <c r="G67" i="17"/>
  <c r="G65" i="17"/>
  <c r="G63" i="17"/>
  <c r="D63" i="17"/>
  <c r="F69" i="17"/>
  <c r="F67" i="17"/>
  <c r="F65" i="17"/>
  <c r="F63" i="17"/>
  <c r="D67" i="17"/>
  <c r="E69" i="17"/>
  <c r="E67" i="17"/>
  <c r="E65" i="17"/>
  <c r="E63" i="17"/>
  <c r="D65" i="17"/>
  <c r="H66" i="17"/>
  <c r="H64" i="17"/>
  <c r="G68" i="17"/>
  <c r="G66" i="17"/>
  <c r="G64" i="17"/>
  <c r="G62" i="17"/>
  <c r="F62" i="17"/>
  <c r="F66" i="17"/>
  <c r="G67" i="19"/>
  <c r="F67" i="19"/>
  <c r="D63" i="19"/>
  <c r="F6" i="20"/>
  <c r="H6" i="20" s="1"/>
  <c r="J6" i="20" s="1"/>
  <c r="H47" i="21"/>
  <c r="AB18" i="22"/>
  <c r="F10" i="23"/>
  <c r="H10" i="23" s="1"/>
  <c r="D245" i="23"/>
  <c r="H206" i="23"/>
  <c r="D21" i="23"/>
  <c r="D89" i="23"/>
  <c r="H238" i="23"/>
  <c r="E120" i="23"/>
  <c r="A142" i="23" s="1"/>
  <c r="M40" i="24"/>
  <c r="L40" i="24"/>
  <c r="H206" i="25"/>
  <c r="D21" i="25"/>
  <c r="F24" i="25" s="1"/>
  <c r="D245" i="25"/>
  <c r="C62" i="25"/>
  <c r="E66" i="25"/>
  <c r="H236" i="25"/>
  <c r="D249" i="25"/>
  <c r="E10" i="27"/>
  <c r="G10" i="27" s="1"/>
  <c r="I32" i="26"/>
  <c r="K32" i="26" s="1"/>
  <c r="B62" i="27"/>
  <c r="D66" i="27"/>
  <c r="AA12" i="28"/>
  <c r="J34" i="28"/>
  <c r="AB24" i="28"/>
  <c r="G33" i="29"/>
  <c r="E6" i="31"/>
  <c r="G6" i="31" s="1"/>
  <c r="AA6" i="30"/>
  <c r="AA36" i="30"/>
  <c r="I38" i="30"/>
  <c r="K38" i="30" s="1"/>
  <c r="G35" i="31"/>
  <c r="D63" i="31"/>
  <c r="G68" i="31"/>
  <c r="J30" i="32"/>
  <c r="F189" i="35"/>
  <c r="I37" i="36"/>
  <c r="K37" i="36" s="1"/>
  <c r="AA33" i="36"/>
  <c r="H32" i="37"/>
  <c r="K38" i="37"/>
  <c r="F108" i="37"/>
  <c r="AB17" i="38"/>
  <c r="J32" i="38"/>
  <c r="D10" i="39"/>
  <c r="H10" i="39" s="1"/>
  <c r="B25" i="39"/>
  <c r="H274" i="39"/>
  <c r="C331" i="39"/>
  <c r="B101" i="39"/>
  <c r="H306" i="39"/>
  <c r="C335" i="39"/>
  <c r="H89" i="39"/>
  <c r="H155" i="39"/>
  <c r="B154" i="39"/>
  <c r="F152" i="39"/>
  <c r="D149" i="39"/>
  <c r="H147" i="39"/>
  <c r="B146" i="39"/>
  <c r="F140" i="39"/>
  <c r="K153" i="39"/>
  <c r="E152" i="39"/>
  <c r="I150" i="39"/>
  <c r="C149" i="39"/>
  <c r="G147" i="39"/>
  <c r="J153" i="39"/>
  <c r="D152" i="39"/>
  <c r="H150" i="39"/>
  <c r="B149" i="39"/>
  <c r="F147" i="39"/>
  <c r="I154" i="39"/>
  <c r="J152" i="39"/>
  <c r="I148" i="39"/>
  <c r="J146" i="39"/>
  <c r="H154" i="39"/>
  <c r="I152" i="39"/>
  <c r="H148" i="39"/>
  <c r="I146" i="39"/>
  <c r="H152" i="39"/>
  <c r="G148" i="39"/>
  <c r="H146" i="39"/>
  <c r="G152" i="39"/>
  <c r="E150" i="39"/>
  <c r="F148" i="39"/>
  <c r="G146" i="39"/>
  <c r="E154" i="39"/>
  <c r="C152" i="39"/>
  <c r="D150" i="39"/>
  <c r="E148" i="39"/>
  <c r="F146" i="39"/>
  <c r="I155" i="39"/>
  <c r="G153" i="39"/>
  <c r="H151" i="39"/>
  <c r="I149" i="39"/>
  <c r="J147" i="39"/>
  <c r="K152" i="39"/>
  <c r="G149" i="39"/>
  <c r="D146" i="39"/>
  <c r="C148" i="39"/>
  <c r="C154" i="39"/>
  <c r="B151" i="39"/>
  <c r="C147" i="39"/>
  <c r="I153" i="39"/>
  <c r="C150" i="39"/>
  <c r="B147" i="39"/>
  <c r="H153" i="39"/>
  <c r="B150" i="39"/>
  <c r="K146" i="39"/>
  <c r="F153" i="39"/>
  <c r="K149" i="39"/>
  <c r="E146" i="39"/>
  <c r="E153" i="39"/>
  <c r="J149" i="39"/>
  <c r="C146" i="39"/>
  <c r="D153" i="39"/>
  <c r="H149" i="39"/>
  <c r="J148" i="39"/>
  <c r="E155" i="39"/>
  <c r="D148" i="39"/>
  <c r="C151" i="39"/>
  <c r="F336" i="39"/>
  <c r="M38" i="40"/>
  <c r="L38" i="40"/>
  <c r="L41" i="40"/>
  <c r="M41" i="40"/>
  <c r="AB24" i="42"/>
  <c r="F12" i="43"/>
  <c r="AB30" i="42"/>
  <c r="J36" i="42"/>
  <c r="H40" i="43"/>
  <c r="C117" i="43"/>
  <c r="I117" i="43"/>
  <c r="B116" i="43"/>
  <c r="F114" i="43"/>
  <c r="J112" i="43"/>
  <c r="H109" i="43"/>
  <c r="B108" i="43"/>
  <c r="F102" i="43"/>
  <c r="G117" i="43"/>
  <c r="J115" i="43"/>
  <c r="H112" i="43"/>
  <c r="B111" i="43"/>
  <c r="F109" i="43"/>
  <c r="F117" i="43"/>
  <c r="C114" i="43"/>
  <c r="G112" i="43"/>
  <c r="K110" i="43"/>
  <c r="E109" i="43"/>
  <c r="E117" i="43"/>
  <c r="B114" i="43"/>
  <c r="F112" i="43"/>
  <c r="J110" i="43"/>
  <c r="D109" i="43"/>
  <c r="K116" i="43"/>
  <c r="K114" i="43"/>
  <c r="K112" i="43"/>
  <c r="G110" i="43"/>
  <c r="G108" i="43"/>
  <c r="J116" i="43"/>
  <c r="J114" i="43"/>
  <c r="I112" i="43"/>
  <c r="F110" i="43"/>
  <c r="F108" i="43"/>
  <c r="I116" i="43"/>
  <c r="E112" i="43"/>
  <c r="E108" i="43"/>
  <c r="H116" i="43"/>
  <c r="D112" i="43"/>
  <c r="D108" i="43"/>
  <c r="G116" i="43"/>
  <c r="G114" i="43"/>
  <c r="C112" i="43"/>
  <c r="C110" i="43"/>
  <c r="C108" i="43"/>
  <c r="K115" i="43"/>
  <c r="H113" i="43"/>
  <c r="G109" i="43"/>
  <c r="H117" i="43"/>
  <c r="I113" i="43"/>
  <c r="D117" i="43"/>
  <c r="G113" i="43"/>
  <c r="B110" i="43"/>
  <c r="F116" i="43"/>
  <c r="E113" i="43"/>
  <c r="J109" i="43"/>
  <c r="E116" i="43"/>
  <c r="D113" i="43"/>
  <c r="I109" i="43"/>
  <c r="C116" i="43"/>
  <c r="B113" i="43"/>
  <c r="B109" i="43"/>
  <c r="B115" i="43"/>
  <c r="C109" i="43"/>
  <c r="K108" i="43"/>
  <c r="K113" i="43"/>
  <c r="J108" i="43"/>
  <c r="J113" i="43"/>
  <c r="I108" i="43"/>
  <c r="F113" i="43"/>
  <c r="H108" i="43"/>
  <c r="C113" i="43"/>
  <c r="B117" i="43"/>
  <c r="D116" i="43"/>
  <c r="G111" i="43"/>
  <c r="C115" i="43"/>
  <c r="E181" i="43"/>
  <c r="A207" i="43" s="1"/>
  <c r="AB45" i="46"/>
  <c r="J41" i="46"/>
  <c r="H301" i="47"/>
  <c r="E82" i="47"/>
  <c r="G96" i="47" s="1"/>
  <c r="AA9" i="48"/>
  <c r="I29" i="48"/>
  <c r="E7" i="49"/>
  <c r="G7" i="49" s="1"/>
  <c r="B116" i="49"/>
  <c r="J77" i="51"/>
  <c r="M40" i="52"/>
  <c r="L40" i="52"/>
  <c r="D14" i="55"/>
  <c r="AB29" i="54"/>
  <c r="J193" i="67"/>
  <c r="F192" i="67"/>
  <c r="B191" i="67"/>
  <c r="J189" i="67"/>
  <c r="B187" i="67"/>
  <c r="J185" i="67"/>
  <c r="F184" i="67"/>
  <c r="B183" i="67"/>
  <c r="F177" i="67"/>
  <c r="I193" i="67"/>
  <c r="D192" i="67"/>
  <c r="K190" i="67"/>
  <c r="F189" i="67"/>
  <c r="M187" i="67"/>
  <c r="H186" i="67"/>
  <c r="C185" i="67"/>
  <c r="J183" i="67"/>
  <c r="M194" i="67"/>
  <c r="H193" i="67"/>
  <c r="C192" i="67"/>
  <c r="J190" i="67"/>
  <c r="E189" i="67"/>
  <c r="L187" i="67"/>
  <c r="B185" i="67"/>
  <c r="I183" i="67"/>
  <c r="L194" i="67"/>
  <c r="G193" i="67"/>
  <c r="B192" i="67"/>
  <c r="I190" i="67"/>
  <c r="D189" i="67"/>
  <c r="K187" i="67"/>
  <c r="M184" i="67"/>
  <c r="H183" i="67"/>
  <c r="K194" i="67"/>
  <c r="F193" i="67"/>
  <c r="M191" i="67"/>
  <c r="H190" i="67"/>
  <c r="C189" i="67"/>
  <c r="J187" i="67"/>
  <c r="L184" i="67"/>
  <c r="G183" i="67"/>
  <c r="J194" i="67"/>
  <c r="E193" i="67"/>
  <c r="L191" i="67"/>
  <c r="G190" i="67"/>
  <c r="B189" i="67"/>
  <c r="I187" i="67"/>
  <c r="K184" i="67"/>
  <c r="F183" i="67"/>
  <c r="F194" i="67"/>
  <c r="M192" i="67"/>
  <c r="H191" i="67"/>
  <c r="C190" i="67"/>
  <c r="J188" i="67"/>
  <c r="L185" i="67"/>
  <c r="G184" i="67"/>
  <c r="C193" i="67"/>
  <c r="C191" i="67"/>
  <c r="I188" i="67"/>
  <c r="I186" i="67"/>
  <c r="C184" i="67"/>
  <c r="B193" i="67"/>
  <c r="M190" i="67"/>
  <c r="H188" i="67"/>
  <c r="C186" i="67"/>
  <c r="B184" i="67"/>
  <c r="L192" i="67"/>
  <c r="L190" i="67"/>
  <c r="B186" i="67"/>
  <c r="M183" i="67"/>
  <c r="K192" i="67"/>
  <c r="F190" i="67"/>
  <c r="M185" i="67"/>
  <c r="L183" i="67"/>
  <c r="J192" i="67"/>
  <c r="E190" i="67"/>
  <c r="K185" i="67"/>
  <c r="K183" i="67"/>
  <c r="E194" i="67"/>
  <c r="E192" i="67"/>
  <c r="L189" i="67"/>
  <c r="B194" i="67"/>
  <c r="B190" i="67"/>
  <c r="L186" i="67"/>
  <c r="M193" i="67"/>
  <c r="M189" i="67"/>
  <c r="K186" i="67"/>
  <c r="L193" i="67"/>
  <c r="K189" i="67"/>
  <c r="J186" i="67"/>
  <c r="K193" i="67"/>
  <c r="I189" i="67"/>
  <c r="I185" i="67"/>
  <c r="D193" i="67"/>
  <c r="H189" i="67"/>
  <c r="H185" i="67"/>
  <c r="K191" i="67"/>
  <c r="K188" i="67"/>
  <c r="J184" i="67"/>
  <c r="D191" i="67"/>
  <c r="H184" i="67"/>
  <c r="D190" i="67"/>
  <c r="E184" i="67"/>
  <c r="G189" i="67"/>
  <c r="D184" i="67"/>
  <c r="I194" i="67"/>
  <c r="M188" i="67"/>
  <c r="E183" i="67"/>
  <c r="H194" i="67"/>
  <c r="L188" i="67"/>
  <c r="D183" i="67"/>
  <c r="G194" i="67"/>
  <c r="C188" i="67"/>
  <c r="C183" i="67"/>
  <c r="D194" i="67"/>
  <c r="B188" i="67"/>
  <c r="I192" i="67"/>
  <c r="C187" i="67"/>
  <c r="M186" i="67"/>
  <c r="G192" i="67"/>
  <c r="C194" i="67"/>
  <c r="H192" i="67"/>
  <c r="J191" i="67"/>
  <c r="I191" i="67"/>
  <c r="G191" i="67"/>
  <c r="F191" i="67"/>
  <c r="E191" i="67"/>
  <c r="H187" i="67"/>
  <c r="I184" i="67"/>
  <c r="H57" i="71"/>
  <c r="F9" i="83"/>
  <c r="J31" i="82"/>
  <c r="AB15" i="82"/>
  <c r="AB18" i="36"/>
  <c r="J32" i="36"/>
  <c r="K32" i="36" s="1"/>
  <c r="F10" i="37"/>
  <c r="H10" i="37" s="1"/>
  <c r="C25" i="39"/>
  <c r="F27" i="39" s="1"/>
  <c r="H275" i="39"/>
  <c r="I89" i="39"/>
  <c r="D151" i="39"/>
  <c r="AA15" i="40"/>
  <c r="E9" i="41"/>
  <c r="G9" i="41" s="1"/>
  <c r="I31" i="40"/>
  <c r="K31" i="40" s="1"/>
  <c r="AB9" i="48"/>
  <c r="J29" i="48"/>
  <c r="AB48" i="48"/>
  <c r="J42" i="48"/>
  <c r="F117" i="49"/>
  <c r="E7" i="53"/>
  <c r="G7" i="53" s="1"/>
  <c r="I29" i="52"/>
  <c r="AA9" i="52"/>
  <c r="E14" i="55"/>
  <c r="G14" i="55" s="1"/>
  <c r="I36" i="54"/>
  <c r="AA30" i="54"/>
  <c r="M41" i="54"/>
  <c r="L41" i="54"/>
  <c r="AA39" i="64"/>
  <c r="I39" i="64"/>
  <c r="K39" i="64" s="1"/>
  <c r="AB48" i="64"/>
  <c r="J42" i="64"/>
  <c r="M28" i="94"/>
  <c r="L28" i="94"/>
  <c r="B145" i="2"/>
  <c r="AB39" i="8"/>
  <c r="J39" i="8"/>
  <c r="AA39" i="20"/>
  <c r="I39" i="20"/>
  <c r="K39" i="20" s="1"/>
  <c r="H229" i="21"/>
  <c r="E124" i="25"/>
  <c r="A146" i="25" s="1"/>
  <c r="E7" i="31"/>
  <c r="F22" i="31"/>
  <c r="C64" i="31"/>
  <c r="F69" i="31"/>
  <c r="I38" i="32"/>
  <c r="K38" i="32" s="1"/>
  <c r="AA36" i="32"/>
  <c r="E7" i="35"/>
  <c r="G7" i="35" s="1"/>
  <c r="I29" i="34"/>
  <c r="D6" i="35"/>
  <c r="C8" i="37"/>
  <c r="G8" i="37" s="1"/>
  <c r="AA11" i="36"/>
  <c r="I30" i="36"/>
  <c r="K33" i="37"/>
  <c r="K39" i="37"/>
  <c r="E71" i="37"/>
  <c r="C78" i="37"/>
  <c r="F184" i="37"/>
  <c r="F332" i="39"/>
  <c r="D90" i="39"/>
  <c r="J130" i="39"/>
  <c r="I151" i="39"/>
  <c r="E7" i="41"/>
  <c r="I29" i="40"/>
  <c r="AA9" i="40"/>
  <c r="F12" i="41"/>
  <c r="H12" i="41" s="1"/>
  <c r="J34" i="40"/>
  <c r="AB24" i="40"/>
  <c r="F7" i="43"/>
  <c r="H7" i="43" s="1"/>
  <c r="I7" i="43" s="1"/>
  <c r="J7" i="43" s="1"/>
  <c r="J29" i="42"/>
  <c r="K29" i="42" s="1"/>
  <c r="AB9" i="42"/>
  <c r="AB9" i="44"/>
  <c r="F7" i="45"/>
  <c r="H7" i="45" s="1"/>
  <c r="J29" i="44"/>
  <c r="F140" i="45"/>
  <c r="AB12" i="46"/>
  <c r="F8" i="47"/>
  <c r="H8" i="47" s="1"/>
  <c r="J30" i="46"/>
  <c r="H136" i="49"/>
  <c r="J131" i="49"/>
  <c r="H128" i="49"/>
  <c r="B127" i="49"/>
  <c r="F121" i="49"/>
  <c r="I135" i="49"/>
  <c r="B134" i="49"/>
  <c r="E132" i="49"/>
  <c r="H130" i="49"/>
  <c r="K128" i="49"/>
  <c r="D127" i="49"/>
  <c r="H135" i="49"/>
  <c r="K133" i="49"/>
  <c r="G130" i="49"/>
  <c r="G135" i="49"/>
  <c r="J133" i="49"/>
  <c r="C132" i="49"/>
  <c r="F130" i="49"/>
  <c r="I128" i="49"/>
  <c r="F135" i="49"/>
  <c r="I133" i="49"/>
  <c r="B132" i="49"/>
  <c r="G128" i="49"/>
  <c r="H133" i="49"/>
  <c r="K131" i="49"/>
  <c r="C130" i="49"/>
  <c r="C133" i="49"/>
  <c r="B128" i="49"/>
  <c r="K132" i="49"/>
  <c r="I130" i="49"/>
  <c r="K127" i="49"/>
  <c r="C135" i="49"/>
  <c r="J132" i="49"/>
  <c r="B130" i="49"/>
  <c r="J127" i="49"/>
  <c r="K134" i="49"/>
  <c r="I132" i="49"/>
  <c r="I127" i="49"/>
  <c r="I136" i="49"/>
  <c r="H131" i="49"/>
  <c r="D131" i="49"/>
  <c r="E127" i="49"/>
  <c r="H134" i="49"/>
  <c r="C131" i="49"/>
  <c r="E134" i="49"/>
  <c r="D134" i="49"/>
  <c r="I129" i="49"/>
  <c r="G133" i="49"/>
  <c r="G129" i="49"/>
  <c r="G132" i="49"/>
  <c r="F127" i="49"/>
  <c r="F132" i="49"/>
  <c r="G131" i="49"/>
  <c r="F136" i="49"/>
  <c r="E131" i="49"/>
  <c r="B136" i="49"/>
  <c r="J134" i="49"/>
  <c r="C129" i="49"/>
  <c r="G134" i="49"/>
  <c r="G6" i="51"/>
  <c r="E155" i="57"/>
  <c r="F159" i="57" s="1"/>
  <c r="D11" i="59"/>
  <c r="AB20" i="58"/>
  <c r="D8" i="65"/>
  <c r="AB11" i="64"/>
  <c r="J30" i="64"/>
  <c r="B29" i="71"/>
  <c r="H352" i="71"/>
  <c r="C425" i="71"/>
  <c r="B113" i="71"/>
  <c r="C429" i="71"/>
  <c r="H384" i="71"/>
  <c r="B197" i="71"/>
  <c r="H416" i="71"/>
  <c r="C433" i="71"/>
  <c r="F149" i="75"/>
  <c r="D63" i="27"/>
  <c r="AB5" i="28"/>
  <c r="J28" i="28"/>
  <c r="D10" i="29"/>
  <c r="B64" i="31"/>
  <c r="E12" i="35"/>
  <c r="G12" i="35" s="1"/>
  <c r="I34" i="34"/>
  <c r="K34" i="34" s="1"/>
  <c r="AA24" i="34"/>
  <c r="AB45" i="34"/>
  <c r="J41" i="34"/>
  <c r="M37" i="38"/>
  <c r="L37" i="38"/>
  <c r="H277" i="39"/>
  <c r="E25" i="39"/>
  <c r="F29" i="39" s="1"/>
  <c r="L32" i="42"/>
  <c r="M32" i="42"/>
  <c r="F59" i="43"/>
  <c r="J57" i="43"/>
  <c r="B53" i="43"/>
  <c r="F51" i="43"/>
  <c r="D51" i="43"/>
  <c r="I60" i="43"/>
  <c r="C59" i="43"/>
  <c r="K55" i="43"/>
  <c r="I52" i="43"/>
  <c r="C51" i="43"/>
  <c r="H60" i="43"/>
  <c r="B59" i="43"/>
  <c r="F45" i="43"/>
  <c r="I58" i="43"/>
  <c r="I56" i="43"/>
  <c r="I54" i="43"/>
  <c r="K60" i="43"/>
  <c r="H56" i="43"/>
  <c r="D52" i="43"/>
  <c r="G60" i="43"/>
  <c r="B54" i="43"/>
  <c r="B52" i="43"/>
  <c r="E58" i="43"/>
  <c r="K53" i="43"/>
  <c r="K51" i="43"/>
  <c r="J59" i="43"/>
  <c r="I57" i="43"/>
  <c r="B60" i="43"/>
  <c r="K56" i="43"/>
  <c r="C56" i="43"/>
  <c r="C53" i="43"/>
  <c r="H59" i="43"/>
  <c r="K52" i="43"/>
  <c r="E59" i="43"/>
  <c r="C55" i="43"/>
  <c r="K59" i="43"/>
  <c r="B55" i="43"/>
  <c r="K54" i="43"/>
  <c r="C58" i="43"/>
  <c r="H53" i="43"/>
  <c r="B58" i="43"/>
  <c r="G185" i="43"/>
  <c r="L245" i="43" s="1"/>
  <c r="G191" i="49"/>
  <c r="N205" i="49"/>
  <c r="K117" i="49"/>
  <c r="H9" i="51"/>
  <c r="F46" i="53"/>
  <c r="I57" i="2"/>
  <c r="B65" i="2"/>
  <c r="H142" i="2"/>
  <c r="B147" i="2"/>
  <c r="AA36" i="4"/>
  <c r="I38" i="4"/>
  <c r="K38" i="4" s="1"/>
  <c r="G7" i="5"/>
  <c r="E80" i="7"/>
  <c r="F6" i="6"/>
  <c r="H6" i="6" s="1"/>
  <c r="J6" i="6" s="1"/>
  <c r="C47" i="11"/>
  <c r="D57" i="11" s="1"/>
  <c r="H159" i="11"/>
  <c r="E40" i="11"/>
  <c r="G6" i="15"/>
  <c r="B67" i="15"/>
  <c r="D247" i="21"/>
  <c r="D55" i="21"/>
  <c r="B67" i="21" s="1"/>
  <c r="H222" i="21"/>
  <c r="I28" i="26"/>
  <c r="AA6" i="26"/>
  <c r="J55" i="2"/>
  <c r="J57" i="2"/>
  <c r="I62" i="2"/>
  <c r="C65" i="2"/>
  <c r="D140" i="2"/>
  <c r="I142" i="2"/>
  <c r="C145" i="2"/>
  <c r="I147" i="2"/>
  <c r="I149" i="2"/>
  <c r="A252" i="3"/>
  <c r="J31" i="4"/>
  <c r="AA30" i="4"/>
  <c r="I36" i="4"/>
  <c r="K36" i="4" s="1"/>
  <c r="AB36" i="4"/>
  <c r="J38" i="4"/>
  <c r="H7" i="5"/>
  <c r="J33" i="6"/>
  <c r="I39" i="8"/>
  <c r="K39" i="8" s="1"/>
  <c r="G8" i="9"/>
  <c r="E29" i="9"/>
  <c r="AB27" i="10"/>
  <c r="J35" i="10"/>
  <c r="F40" i="11"/>
  <c r="AA14" i="14"/>
  <c r="C9" i="15"/>
  <c r="J37" i="14"/>
  <c r="C63" i="15"/>
  <c r="AB24" i="16"/>
  <c r="J34" i="16"/>
  <c r="F6" i="18"/>
  <c r="H6" i="18" s="1"/>
  <c r="J6" i="18" s="1"/>
  <c r="AA24" i="18"/>
  <c r="I34" i="18"/>
  <c r="K34" i="18" s="1"/>
  <c r="D245" i="19"/>
  <c r="H206" i="19"/>
  <c r="D21" i="19"/>
  <c r="H35" i="19" s="1"/>
  <c r="D89" i="19"/>
  <c r="D249" i="19"/>
  <c r="H223" i="21"/>
  <c r="E55" i="21"/>
  <c r="F59" i="21" s="1"/>
  <c r="F6" i="22"/>
  <c r="H6" i="22" s="1"/>
  <c r="J6" i="22" s="1"/>
  <c r="F6" i="23"/>
  <c r="J28" i="22"/>
  <c r="AB6" i="22"/>
  <c r="F248" i="23"/>
  <c r="F22" i="23"/>
  <c r="H65" i="23"/>
  <c r="F130" i="23"/>
  <c r="H204" i="23"/>
  <c r="H237" i="23"/>
  <c r="E128" i="25"/>
  <c r="F6" i="24"/>
  <c r="H6" i="24" s="1"/>
  <c r="J6" i="24" s="1"/>
  <c r="F10" i="25"/>
  <c r="J32" i="24"/>
  <c r="AA36" i="24"/>
  <c r="AB45" i="24"/>
  <c r="G63" i="25"/>
  <c r="D55" i="27"/>
  <c r="C66" i="27" s="1"/>
  <c r="F63" i="27"/>
  <c r="F130" i="27"/>
  <c r="F8" i="29"/>
  <c r="H8" i="29" s="1"/>
  <c r="J30" i="28"/>
  <c r="J39" i="28"/>
  <c r="H10" i="29"/>
  <c r="F22" i="29"/>
  <c r="F34" i="29"/>
  <c r="C246" i="29"/>
  <c r="G135" i="31"/>
  <c r="C7" i="31"/>
  <c r="AA8" i="30"/>
  <c r="AA45" i="30"/>
  <c r="H212" i="31"/>
  <c r="J28" i="32"/>
  <c r="K28" i="32" s="1"/>
  <c r="AA30" i="32"/>
  <c r="I36" i="32"/>
  <c r="K36" i="32" s="1"/>
  <c r="E86" i="33"/>
  <c r="E84" i="33"/>
  <c r="E82" i="33"/>
  <c r="E80" i="33"/>
  <c r="D86" i="33"/>
  <c r="D84" i="33"/>
  <c r="D82" i="33"/>
  <c r="D80" i="33"/>
  <c r="F86" i="33"/>
  <c r="B84" i="33"/>
  <c r="H81" i="33"/>
  <c r="F79" i="33"/>
  <c r="G83" i="33"/>
  <c r="E81" i="33"/>
  <c r="I82" i="33"/>
  <c r="G80" i="33"/>
  <c r="D85" i="33"/>
  <c r="F82" i="33"/>
  <c r="G79" i="33"/>
  <c r="F84" i="33"/>
  <c r="D81" i="33"/>
  <c r="C84" i="33"/>
  <c r="C81" i="33"/>
  <c r="I83" i="33"/>
  <c r="B81" i="33"/>
  <c r="H83" i="33"/>
  <c r="F83" i="33"/>
  <c r="G86" i="33"/>
  <c r="E83" i="33"/>
  <c r="F80" i="33"/>
  <c r="G85" i="33"/>
  <c r="H82" i="33"/>
  <c r="F85" i="33"/>
  <c r="G82" i="33"/>
  <c r="E79" i="33"/>
  <c r="B82" i="33"/>
  <c r="J29" i="34"/>
  <c r="AB39" i="34"/>
  <c r="J39" i="34"/>
  <c r="D8" i="37"/>
  <c r="AB11" i="36"/>
  <c r="E11" i="37"/>
  <c r="G11" i="37" s="1"/>
  <c r="I33" i="36"/>
  <c r="K33" i="36" s="1"/>
  <c r="AA21" i="36"/>
  <c r="M42" i="36"/>
  <c r="B40" i="37"/>
  <c r="F72" i="37"/>
  <c r="I78" i="37"/>
  <c r="D91" i="39"/>
  <c r="G97" i="39"/>
  <c r="G131" i="39"/>
  <c r="B152" i="39"/>
  <c r="H293" i="41"/>
  <c r="E63" i="41"/>
  <c r="F67" i="41" s="1"/>
  <c r="E139" i="41"/>
  <c r="H325" i="41"/>
  <c r="M39" i="42"/>
  <c r="L39" i="42"/>
  <c r="H284" i="43"/>
  <c r="D44" i="43"/>
  <c r="J58" i="43" s="1"/>
  <c r="D332" i="43"/>
  <c r="H316" i="43"/>
  <c r="D336" i="43"/>
  <c r="D120" i="43"/>
  <c r="F129" i="43" s="1"/>
  <c r="G191" i="43"/>
  <c r="I39" i="46"/>
  <c r="K39" i="46" s="1"/>
  <c r="AA39" i="46"/>
  <c r="G192" i="47"/>
  <c r="N206" i="47"/>
  <c r="AB33" i="48"/>
  <c r="J37" i="48"/>
  <c r="AA42" i="48"/>
  <c r="I40" i="48"/>
  <c r="K40" i="48" s="1"/>
  <c r="H109" i="49"/>
  <c r="I39" i="50"/>
  <c r="K39" i="50" s="1"/>
  <c r="E8" i="65"/>
  <c r="AA12" i="64"/>
  <c r="I30" i="64"/>
  <c r="K30" i="64" s="1"/>
  <c r="G252" i="65"/>
  <c r="H559" i="81"/>
  <c r="E112" i="81"/>
  <c r="E212" i="81"/>
  <c r="F216" i="81" s="1"/>
  <c r="H591" i="81"/>
  <c r="H623" i="81"/>
  <c r="E312" i="81"/>
  <c r="F316" i="81" s="1"/>
  <c r="E12" i="49"/>
  <c r="G12" i="49" s="1"/>
  <c r="I34" i="48"/>
  <c r="K34" i="48" s="1"/>
  <c r="AA24" i="48"/>
  <c r="I117" i="49"/>
  <c r="AB30" i="54"/>
  <c r="F14" i="55"/>
  <c r="J36" i="54"/>
  <c r="M59" i="2"/>
  <c r="G62" i="2"/>
  <c r="M66" i="2"/>
  <c r="M139" i="2"/>
  <c r="G142" i="2"/>
  <c r="M146" i="2"/>
  <c r="D59" i="7"/>
  <c r="F56" i="7"/>
  <c r="F48" i="7"/>
  <c r="E56" i="7"/>
  <c r="D56" i="7"/>
  <c r="C56" i="7"/>
  <c r="E58" i="7"/>
  <c r="B56" i="7"/>
  <c r="G57" i="7"/>
  <c r="F57" i="7"/>
  <c r="AB30" i="8"/>
  <c r="B56" i="11"/>
  <c r="E58" i="11"/>
  <c r="B57" i="11"/>
  <c r="B68" i="15"/>
  <c r="B66" i="15"/>
  <c r="B64" i="15"/>
  <c r="B62" i="15"/>
  <c r="F56" i="15"/>
  <c r="E69" i="15"/>
  <c r="I69" i="15"/>
  <c r="I67" i="15"/>
  <c r="I65" i="15"/>
  <c r="I63" i="15"/>
  <c r="E63" i="15"/>
  <c r="H69" i="15"/>
  <c r="H67" i="15"/>
  <c r="H65" i="15"/>
  <c r="H63" i="15"/>
  <c r="G69" i="15"/>
  <c r="G63" i="15"/>
  <c r="F69" i="15"/>
  <c r="F63" i="15"/>
  <c r="I68" i="15"/>
  <c r="I66" i="15"/>
  <c r="I64" i="15"/>
  <c r="I62" i="15"/>
  <c r="H68" i="15"/>
  <c r="H66" i="15"/>
  <c r="H64" i="15"/>
  <c r="H62" i="15"/>
  <c r="G62" i="15"/>
  <c r="C245" i="17"/>
  <c r="H204" i="17"/>
  <c r="E133" i="17"/>
  <c r="F134" i="17" s="1"/>
  <c r="AB5" i="22"/>
  <c r="D6" i="23"/>
  <c r="M34" i="22"/>
  <c r="L34" i="22"/>
  <c r="G7" i="23"/>
  <c r="C8" i="25"/>
  <c r="G8" i="25" s="1"/>
  <c r="AA11" i="24"/>
  <c r="AB17" i="24"/>
  <c r="D10" i="25"/>
  <c r="H7" i="25"/>
  <c r="E69" i="25"/>
  <c r="D67" i="25"/>
  <c r="C65" i="25"/>
  <c r="I62" i="25"/>
  <c r="F57" i="25"/>
  <c r="G64" i="25"/>
  <c r="C69" i="25"/>
  <c r="H64" i="25"/>
  <c r="G62" i="25"/>
  <c r="F62" i="25"/>
  <c r="D68" i="25"/>
  <c r="C66" i="25"/>
  <c r="B64" i="25"/>
  <c r="E63" i="25"/>
  <c r="I64" i="27"/>
  <c r="I62" i="27"/>
  <c r="E69" i="27"/>
  <c r="D67" i="27"/>
  <c r="C65" i="27"/>
  <c r="B63" i="27"/>
  <c r="D69" i="27"/>
  <c r="C67" i="27"/>
  <c r="B65" i="27"/>
  <c r="H62" i="27"/>
  <c r="C69" i="27"/>
  <c r="B67" i="27"/>
  <c r="G62" i="27"/>
  <c r="B69" i="27"/>
  <c r="G64" i="27"/>
  <c r="F62" i="27"/>
  <c r="D62" i="27"/>
  <c r="F64" i="27"/>
  <c r="E62" i="27"/>
  <c r="E64" i="27"/>
  <c r="C68" i="27"/>
  <c r="B66" i="27"/>
  <c r="I63" i="27"/>
  <c r="B68" i="27"/>
  <c r="I65" i="27"/>
  <c r="H63" i="27"/>
  <c r="H220" i="29"/>
  <c r="B55" i="29"/>
  <c r="F68" i="31"/>
  <c r="F66" i="31"/>
  <c r="F64" i="31"/>
  <c r="F62" i="31"/>
  <c r="E68" i="31"/>
  <c r="E66" i="31"/>
  <c r="E64" i="31"/>
  <c r="E62" i="31"/>
  <c r="D69" i="31"/>
  <c r="B67" i="31"/>
  <c r="H64" i="31"/>
  <c r="D62" i="31"/>
  <c r="F56" i="31"/>
  <c r="I67" i="31"/>
  <c r="G65" i="31"/>
  <c r="E63" i="31"/>
  <c r="H67" i="31"/>
  <c r="D65" i="31"/>
  <c r="G67" i="31"/>
  <c r="C65" i="31"/>
  <c r="G62" i="31"/>
  <c r="F67" i="31"/>
  <c r="B65" i="31"/>
  <c r="E67" i="31"/>
  <c r="I64" i="31"/>
  <c r="D67" i="31"/>
  <c r="G64" i="31"/>
  <c r="G69" i="31"/>
  <c r="C67" i="31"/>
  <c r="D64" i="31"/>
  <c r="D66" i="31"/>
  <c r="C66" i="31"/>
  <c r="G63" i="31"/>
  <c r="E69" i="31"/>
  <c r="C6" i="35"/>
  <c r="G6" i="35" s="1"/>
  <c r="J39" i="37"/>
  <c r="L243" i="37"/>
  <c r="H309" i="39"/>
  <c r="E101" i="39"/>
  <c r="F105" i="39" s="1"/>
  <c r="K89" i="39"/>
  <c r="B120" i="41"/>
  <c r="F140" i="41"/>
  <c r="D58" i="43"/>
  <c r="J34" i="44"/>
  <c r="K34" i="44" s="1"/>
  <c r="F12" i="45"/>
  <c r="H12" i="45" s="1"/>
  <c r="AB24" i="44"/>
  <c r="F65" i="51"/>
  <c r="K75" i="51"/>
  <c r="D70" i="51"/>
  <c r="B70" i="51"/>
  <c r="E75" i="51"/>
  <c r="D75" i="51"/>
  <c r="K78" i="51"/>
  <c r="B73" i="51"/>
  <c r="E187" i="53"/>
  <c r="E175" i="53"/>
  <c r="A201" i="53" s="1"/>
  <c r="H379" i="71"/>
  <c r="E92" i="71"/>
  <c r="F96" i="71" s="1"/>
  <c r="H411" i="71"/>
  <c r="E176" i="71"/>
  <c r="F180" i="71" s="1"/>
  <c r="I55" i="2"/>
  <c r="H62" i="2"/>
  <c r="B69" i="2"/>
  <c r="B140" i="2"/>
  <c r="H149" i="2"/>
  <c r="E229" i="3"/>
  <c r="E215" i="3"/>
  <c r="C167" i="5"/>
  <c r="H142" i="5"/>
  <c r="B17" i="5"/>
  <c r="D55" i="7"/>
  <c r="E72" i="7"/>
  <c r="A90" i="7" s="1"/>
  <c r="D8" i="9"/>
  <c r="H8" i="9" s="1"/>
  <c r="D29" i="9"/>
  <c r="B63" i="15"/>
  <c r="AA24" i="16"/>
  <c r="I34" i="16"/>
  <c r="K34" i="16" s="1"/>
  <c r="G134" i="21"/>
  <c r="AA14" i="20"/>
  <c r="C9" i="21"/>
  <c r="G9" i="21" s="1"/>
  <c r="F73" i="21"/>
  <c r="I28" i="22"/>
  <c r="K28" i="22" s="1"/>
  <c r="E6" i="23"/>
  <c r="G6" i="23" s="1"/>
  <c r="E10" i="25"/>
  <c r="G10" i="25" s="1"/>
  <c r="I32" i="24"/>
  <c r="AA45" i="24"/>
  <c r="F63" i="25"/>
  <c r="I28" i="28"/>
  <c r="K28" i="28" s="1"/>
  <c r="E34" i="29"/>
  <c r="E227" i="2"/>
  <c r="E213" i="2"/>
  <c r="K55" i="2"/>
  <c r="J62" i="2"/>
  <c r="E140" i="2"/>
  <c r="J142" i="2"/>
  <c r="D145" i="2"/>
  <c r="J147" i="2"/>
  <c r="J149" i="2"/>
  <c r="F235" i="3"/>
  <c r="H6" i="4"/>
  <c r="J6" i="4" s="1"/>
  <c r="AB36" i="6"/>
  <c r="J38" i="6"/>
  <c r="I33" i="8"/>
  <c r="K33" i="8" s="1"/>
  <c r="AA21" i="8"/>
  <c r="D169" i="9"/>
  <c r="H160" i="9"/>
  <c r="D47" i="9"/>
  <c r="E74" i="9"/>
  <c r="A92" i="9" s="1"/>
  <c r="AB21" i="10"/>
  <c r="C7" i="11"/>
  <c r="G7" i="11" s="1"/>
  <c r="AA8" i="10"/>
  <c r="I35" i="10"/>
  <c r="K35" i="10" s="1"/>
  <c r="G40" i="11"/>
  <c r="E56" i="11"/>
  <c r="H160" i="11"/>
  <c r="F6" i="12"/>
  <c r="H6" i="12" s="1"/>
  <c r="J6" i="12" s="1"/>
  <c r="I35" i="12"/>
  <c r="K35" i="12" s="1"/>
  <c r="J41" i="12"/>
  <c r="D168" i="13"/>
  <c r="D32" i="13"/>
  <c r="E39" i="13" s="1"/>
  <c r="AB14" i="14"/>
  <c r="D9" i="15"/>
  <c r="C245" i="15"/>
  <c r="H204" i="15"/>
  <c r="D63" i="15"/>
  <c r="H207" i="17"/>
  <c r="E21" i="17"/>
  <c r="F25" i="17" s="1"/>
  <c r="G129" i="19"/>
  <c r="F129" i="19"/>
  <c r="M36" i="18"/>
  <c r="L36" i="18"/>
  <c r="H207" i="19"/>
  <c r="E21" i="19"/>
  <c r="F25" i="19" s="1"/>
  <c r="H239" i="19"/>
  <c r="E89" i="19"/>
  <c r="F93" i="19" s="1"/>
  <c r="G135" i="19"/>
  <c r="AB39" i="20"/>
  <c r="C248" i="21"/>
  <c r="H228" i="21"/>
  <c r="AA48" i="22"/>
  <c r="I65" i="23"/>
  <c r="G129" i="25"/>
  <c r="F129" i="25"/>
  <c r="F248" i="25"/>
  <c r="H63" i="25"/>
  <c r="B68" i="25"/>
  <c r="I96" i="25"/>
  <c r="D101" i="25"/>
  <c r="AB5" i="26"/>
  <c r="J28" i="26"/>
  <c r="J8" i="27"/>
  <c r="I8" i="27"/>
  <c r="G63" i="27"/>
  <c r="I30" i="28"/>
  <c r="AA27" i="28"/>
  <c r="I35" i="28"/>
  <c r="K35" i="28" s="1"/>
  <c r="M39" i="28"/>
  <c r="D6" i="29"/>
  <c r="H6" i="29" s="1"/>
  <c r="G34" i="29"/>
  <c r="AA9" i="30"/>
  <c r="AB8" i="30"/>
  <c r="D7" i="31"/>
  <c r="H7" i="31" s="1"/>
  <c r="J29" i="30"/>
  <c r="H32" i="31"/>
  <c r="F65" i="31"/>
  <c r="G97" i="31"/>
  <c r="H102" i="31"/>
  <c r="C99" i="31"/>
  <c r="E125" i="31"/>
  <c r="A147" i="31" s="1"/>
  <c r="L40" i="32"/>
  <c r="D21" i="33"/>
  <c r="F24" i="33" s="1"/>
  <c r="H206" i="33"/>
  <c r="D89" i="33"/>
  <c r="G101" i="33" s="1"/>
  <c r="D249" i="33"/>
  <c r="B51" i="33"/>
  <c r="F56" i="33"/>
  <c r="C82" i="33"/>
  <c r="E10" i="35"/>
  <c r="G10" i="35" s="1"/>
  <c r="I32" i="34"/>
  <c r="AA18" i="34"/>
  <c r="I39" i="34"/>
  <c r="K39" i="34" s="1"/>
  <c r="H98" i="35"/>
  <c r="J95" i="35"/>
  <c r="I89" i="35"/>
  <c r="G98" i="35"/>
  <c r="G92" i="35"/>
  <c r="F89" i="35"/>
  <c r="D98" i="35"/>
  <c r="F92" i="35"/>
  <c r="E89" i="35"/>
  <c r="C98" i="35"/>
  <c r="C89" i="35"/>
  <c r="K97" i="35"/>
  <c r="J94" i="35"/>
  <c r="I94" i="35"/>
  <c r="J97" i="35"/>
  <c r="J91" i="35"/>
  <c r="C97" i="35"/>
  <c r="C94" i="35"/>
  <c r="B91" i="35"/>
  <c r="F84" i="35"/>
  <c r="B94" i="35"/>
  <c r="I90" i="35"/>
  <c r="K93" i="35"/>
  <c r="AB5" i="36"/>
  <c r="D6" i="37"/>
  <c r="G35" i="37"/>
  <c r="G41" i="37"/>
  <c r="G72" i="37"/>
  <c r="F154" i="37"/>
  <c r="F140" i="37"/>
  <c r="E91" i="39"/>
  <c r="D136" i="39"/>
  <c r="B133" i="39"/>
  <c r="F131" i="39"/>
  <c r="J129" i="39"/>
  <c r="D128" i="39"/>
  <c r="C136" i="39"/>
  <c r="G134" i="39"/>
  <c r="K132" i="39"/>
  <c r="E131" i="39"/>
  <c r="C128" i="39"/>
  <c r="B136" i="39"/>
  <c r="F134" i="39"/>
  <c r="J132" i="39"/>
  <c r="D131" i="39"/>
  <c r="B128" i="39"/>
  <c r="F136" i="39"/>
  <c r="E132" i="39"/>
  <c r="F130" i="39"/>
  <c r="G128" i="39"/>
  <c r="E136" i="39"/>
  <c r="C134" i="39"/>
  <c r="D132" i="39"/>
  <c r="F128" i="39"/>
  <c r="K135" i="39"/>
  <c r="B134" i="39"/>
  <c r="C132" i="39"/>
  <c r="E128" i="39"/>
  <c r="J135" i="39"/>
  <c r="K133" i="39"/>
  <c r="B132" i="39"/>
  <c r="C130" i="39"/>
  <c r="K127" i="39"/>
  <c r="I135" i="39"/>
  <c r="J133" i="39"/>
  <c r="K131" i="39"/>
  <c r="B130" i="39"/>
  <c r="J127" i="39"/>
  <c r="D135" i="39"/>
  <c r="C131" i="39"/>
  <c r="E127" i="39"/>
  <c r="F121" i="39"/>
  <c r="I136" i="39"/>
  <c r="F133" i="39"/>
  <c r="G130" i="39"/>
  <c r="C127" i="39"/>
  <c r="E135" i="39"/>
  <c r="F132" i="39"/>
  <c r="B129" i="39"/>
  <c r="K136" i="39"/>
  <c r="F129" i="39"/>
  <c r="J136" i="39"/>
  <c r="C133" i="39"/>
  <c r="H136" i="39"/>
  <c r="I132" i="39"/>
  <c r="C129" i="39"/>
  <c r="G136" i="39"/>
  <c r="H132" i="39"/>
  <c r="K128" i="39"/>
  <c r="H135" i="39"/>
  <c r="G132" i="39"/>
  <c r="J128" i="39"/>
  <c r="G135" i="39"/>
  <c r="J131" i="39"/>
  <c r="I128" i="39"/>
  <c r="K134" i="39"/>
  <c r="B131" i="39"/>
  <c r="G127" i="39"/>
  <c r="J134" i="39"/>
  <c r="K130" i="39"/>
  <c r="F127" i="39"/>
  <c r="H131" i="39"/>
  <c r="F142" i="39"/>
  <c r="B153" i="39"/>
  <c r="C334" i="41"/>
  <c r="H298" i="41"/>
  <c r="K41" i="41"/>
  <c r="E40" i="41"/>
  <c r="I38" i="41"/>
  <c r="C37" i="41"/>
  <c r="G35" i="41"/>
  <c r="K33" i="41"/>
  <c r="J41" i="41"/>
  <c r="D40" i="41"/>
  <c r="H38" i="41"/>
  <c r="B37" i="41"/>
  <c r="F35" i="41"/>
  <c r="J33" i="41"/>
  <c r="I41" i="41"/>
  <c r="C40" i="41"/>
  <c r="G38" i="41"/>
  <c r="K36" i="41"/>
  <c r="I33" i="41"/>
  <c r="B41" i="41"/>
  <c r="D37" i="41"/>
  <c r="K40" i="41"/>
  <c r="B39" i="41"/>
  <c r="J36" i="41"/>
  <c r="K34" i="41"/>
  <c r="J40" i="41"/>
  <c r="K38" i="41"/>
  <c r="I36" i="41"/>
  <c r="J34" i="41"/>
  <c r="K32" i="41"/>
  <c r="I40" i="41"/>
  <c r="J38" i="41"/>
  <c r="I34" i="41"/>
  <c r="J32" i="41"/>
  <c r="H40" i="41"/>
  <c r="F38" i="41"/>
  <c r="G36" i="41"/>
  <c r="H34" i="41"/>
  <c r="I32" i="41"/>
  <c r="J39" i="41"/>
  <c r="K37" i="41"/>
  <c r="B36" i="41"/>
  <c r="C41" i="41"/>
  <c r="I37" i="41"/>
  <c r="F34" i="41"/>
  <c r="H39" i="41"/>
  <c r="F33" i="41"/>
  <c r="I39" i="41"/>
  <c r="C36" i="41"/>
  <c r="G32" i="41"/>
  <c r="G39" i="41"/>
  <c r="K35" i="41"/>
  <c r="F32" i="41"/>
  <c r="F39" i="41"/>
  <c r="J35" i="41"/>
  <c r="E39" i="41"/>
  <c r="I35" i="41"/>
  <c r="D39" i="41"/>
  <c r="H35" i="41"/>
  <c r="E38" i="41"/>
  <c r="F41" i="41"/>
  <c r="J37" i="41"/>
  <c r="E41" i="41"/>
  <c r="H37" i="41"/>
  <c r="F36" i="41"/>
  <c r="G193" i="43"/>
  <c r="F333" i="43"/>
  <c r="F34" i="43"/>
  <c r="G51" i="43"/>
  <c r="N206" i="43"/>
  <c r="G192" i="43"/>
  <c r="N205" i="43"/>
  <c r="K32" i="44"/>
  <c r="N206" i="45"/>
  <c r="H7" i="47"/>
  <c r="N207" i="47"/>
  <c r="G193" i="47"/>
  <c r="I37" i="48"/>
  <c r="K37" i="48" s="1"/>
  <c r="I109" i="49"/>
  <c r="G70" i="51"/>
  <c r="D154" i="53"/>
  <c r="H152" i="53"/>
  <c r="B151" i="53"/>
  <c r="F149" i="53"/>
  <c r="J147" i="53"/>
  <c r="D146" i="53"/>
  <c r="I155" i="53"/>
  <c r="C154" i="53"/>
  <c r="G152" i="53"/>
  <c r="E149" i="53"/>
  <c r="I147" i="53"/>
  <c r="C146" i="53"/>
  <c r="H155" i="53"/>
  <c r="B154" i="53"/>
  <c r="F152" i="53"/>
  <c r="D149" i="53"/>
  <c r="H147" i="53"/>
  <c r="B146" i="53"/>
  <c r="F140" i="53"/>
  <c r="K153" i="53"/>
  <c r="E152" i="53"/>
  <c r="I150" i="53"/>
  <c r="C149" i="53"/>
  <c r="G147" i="53"/>
  <c r="J153" i="53"/>
  <c r="D152" i="53"/>
  <c r="H150" i="53"/>
  <c r="B149" i="53"/>
  <c r="F147" i="53"/>
  <c r="B155" i="53"/>
  <c r="F153" i="53"/>
  <c r="D150" i="53"/>
  <c r="H148" i="53"/>
  <c r="B147" i="53"/>
  <c r="C155" i="53"/>
  <c r="J152" i="53"/>
  <c r="B150" i="53"/>
  <c r="E147" i="53"/>
  <c r="I152" i="53"/>
  <c r="K149" i="53"/>
  <c r="D147" i="53"/>
  <c r="C152" i="53"/>
  <c r="J149" i="53"/>
  <c r="C147" i="53"/>
  <c r="I154" i="53"/>
  <c r="B152" i="53"/>
  <c r="I149" i="53"/>
  <c r="K146" i="53"/>
  <c r="H154" i="53"/>
  <c r="H149" i="53"/>
  <c r="J146" i="53"/>
  <c r="I153" i="53"/>
  <c r="G146" i="53"/>
  <c r="H153" i="53"/>
  <c r="E150" i="53"/>
  <c r="F146" i="53"/>
  <c r="G153" i="53"/>
  <c r="C150" i="53"/>
  <c r="E146" i="53"/>
  <c r="E153" i="53"/>
  <c r="G149" i="53"/>
  <c r="D153" i="53"/>
  <c r="K148" i="53"/>
  <c r="H151" i="53"/>
  <c r="E148" i="53"/>
  <c r="K152" i="53"/>
  <c r="I146" i="53"/>
  <c r="I151" i="53"/>
  <c r="H146" i="53"/>
  <c r="E151" i="53"/>
  <c r="C151" i="53"/>
  <c r="J148" i="53"/>
  <c r="E155" i="53"/>
  <c r="I148" i="53"/>
  <c r="G148" i="53"/>
  <c r="B148" i="53"/>
  <c r="F148" i="53"/>
  <c r="D148" i="53"/>
  <c r="C148" i="53"/>
  <c r="E154" i="53"/>
  <c r="E251" i="55"/>
  <c r="E237" i="55"/>
  <c r="A267" i="55" s="1"/>
  <c r="F6" i="54"/>
  <c r="H6" i="54" s="1"/>
  <c r="J6" i="54" s="1"/>
  <c r="F528" i="75"/>
  <c r="H532" i="81"/>
  <c r="B37" i="81"/>
  <c r="C637" i="81"/>
  <c r="B137" i="81"/>
  <c r="C641" i="81"/>
  <c r="H564" i="81"/>
  <c r="C645" i="81"/>
  <c r="B237" i="81"/>
  <c r="H596" i="81"/>
  <c r="B337" i="81"/>
  <c r="H628" i="81"/>
  <c r="C649" i="81"/>
  <c r="H423" i="93"/>
  <c r="C96" i="93"/>
  <c r="F98" i="93" s="1"/>
  <c r="H455" i="93"/>
  <c r="C180" i="93"/>
  <c r="F182" i="93" s="1"/>
  <c r="G189" i="47"/>
  <c r="N203" i="47"/>
  <c r="M42" i="48"/>
  <c r="L42" i="48"/>
  <c r="M41" i="50"/>
  <c r="L41" i="50"/>
  <c r="E174" i="53"/>
  <c r="A200" i="53" s="1"/>
  <c r="E186" i="53"/>
  <c r="AB45" i="54"/>
  <c r="J41" i="54"/>
  <c r="P275" i="63"/>
  <c r="D66" i="2"/>
  <c r="L64" i="2"/>
  <c r="H63" i="2"/>
  <c r="D62" i="2"/>
  <c r="L60" i="2"/>
  <c r="H59" i="2"/>
  <c r="L56" i="2"/>
  <c r="H55" i="2"/>
  <c r="B62" i="2"/>
  <c r="G64" i="2"/>
  <c r="C66" i="2"/>
  <c r="K64" i="2"/>
  <c r="G63" i="2"/>
  <c r="C62" i="2"/>
  <c r="K60" i="2"/>
  <c r="C58" i="2"/>
  <c r="K56" i="2"/>
  <c r="J64" i="2"/>
  <c r="J60" i="2"/>
  <c r="B58" i="2"/>
  <c r="J56" i="2"/>
  <c r="B66" i="2"/>
  <c r="F63" i="2"/>
  <c r="K61" i="2"/>
  <c r="M65" i="2"/>
  <c r="I64" i="2"/>
  <c r="E63" i="2"/>
  <c r="M61" i="2"/>
  <c r="I60" i="2"/>
  <c r="M57" i="2"/>
  <c r="I56" i="2"/>
  <c r="E55" i="2"/>
  <c r="K65" i="2"/>
  <c r="L65" i="2"/>
  <c r="H64" i="2"/>
  <c r="D63" i="2"/>
  <c r="L61" i="2"/>
  <c r="H60" i="2"/>
  <c r="L57" i="2"/>
  <c r="H56" i="2"/>
  <c r="D55" i="2"/>
  <c r="C63" i="2"/>
  <c r="K57" i="2"/>
  <c r="K66" i="2"/>
  <c r="G65" i="2"/>
  <c r="C64" i="2"/>
  <c r="K62" i="2"/>
  <c r="G61" i="2"/>
  <c r="K58" i="2"/>
  <c r="H57" i="2"/>
  <c r="M64" i="2"/>
  <c r="M144" i="2"/>
  <c r="F149" i="2"/>
  <c r="F83" i="5"/>
  <c r="E228" i="2"/>
  <c r="E214" i="2"/>
  <c r="B27" i="2"/>
  <c r="L62" i="2"/>
  <c r="L142" i="2"/>
  <c r="K147" i="2"/>
  <c r="G56" i="7"/>
  <c r="F56" i="11"/>
  <c r="E85" i="13"/>
  <c r="E77" i="13"/>
  <c r="A95" i="13" s="1"/>
  <c r="J37" i="12"/>
  <c r="AB33" i="12"/>
  <c r="E9" i="15"/>
  <c r="I31" i="14"/>
  <c r="C64" i="15"/>
  <c r="F6" i="16"/>
  <c r="H6" i="16" s="1"/>
  <c r="J6" i="16" s="1"/>
  <c r="K7" i="17"/>
  <c r="B21" i="17"/>
  <c r="I28" i="19"/>
  <c r="C68" i="25"/>
  <c r="D68" i="27"/>
  <c r="G6" i="29"/>
  <c r="K29" i="30"/>
  <c r="E120" i="33"/>
  <c r="A142" i="33" s="1"/>
  <c r="E130" i="33"/>
  <c r="F6" i="32"/>
  <c r="H6" i="32" s="1"/>
  <c r="J6" i="32" s="1"/>
  <c r="AA8" i="32"/>
  <c r="I29" i="32"/>
  <c r="C7" i="33"/>
  <c r="G7" i="33" s="1"/>
  <c r="E89" i="33"/>
  <c r="F93" i="33" s="1"/>
  <c r="H239" i="33"/>
  <c r="AB18" i="34"/>
  <c r="F10" i="35"/>
  <c r="H10" i="35" s="1"/>
  <c r="J32" i="34"/>
  <c r="J30" i="36"/>
  <c r="AB12" i="36"/>
  <c r="F8" i="37"/>
  <c r="H298" i="37"/>
  <c r="B82" i="37"/>
  <c r="C334" i="37"/>
  <c r="H35" i="37"/>
  <c r="F65" i="37"/>
  <c r="K79" i="37"/>
  <c r="C73" i="37"/>
  <c r="D70" i="37"/>
  <c r="I79" i="37"/>
  <c r="D76" i="37"/>
  <c r="K72" i="37"/>
  <c r="G79" i="37"/>
  <c r="I72" i="37"/>
  <c r="E78" i="37"/>
  <c r="K74" i="37"/>
  <c r="F71" i="37"/>
  <c r="M38" i="38"/>
  <c r="L38" i="38"/>
  <c r="F91" i="39"/>
  <c r="D8" i="43"/>
  <c r="AB11" i="42"/>
  <c r="B63" i="43"/>
  <c r="H290" i="43"/>
  <c r="C333" i="43"/>
  <c r="F35" i="43"/>
  <c r="I131" i="43"/>
  <c r="C130" i="43"/>
  <c r="G128" i="43"/>
  <c r="D129" i="43"/>
  <c r="C129" i="43"/>
  <c r="E130" i="43"/>
  <c r="C128" i="43"/>
  <c r="J134" i="43"/>
  <c r="F121" i="43"/>
  <c r="C132" i="43"/>
  <c r="C136" i="43"/>
  <c r="G130" i="43"/>
  <c r="G133" i="43"/>
  <c r="I129" i="43"/>
  <c r="H133" i="43"/>
  <c r="H128" i="43"/>
  <c r="D25" i="45"/>
  <c r="F28" i="45" s="1"/>
  <c r="H276" i="45"/>
  <c r="J109" i="49"/>
  <c r="AA33" i="50"/>
  <c r="I37" i="50"/>
  <c r="K37" i="50" s="1"/>
  <c r="H70" i="51"/>
  <c r="C10" i="55"/>
  <c r="G10" i="55" s="1"/>
  <c r="AA17" i="54"/>
  <c r="I32" i="54"/>
  <c r="K32" i="54" s="1"/>
  <c r="G253" i="55"/>
  <c r="P269" i="55"/>
  <c r="I10" i="61"/>
  <c r="E429" i="61" s="1"/>
  <c r="F115" i="63"/>
  <c r="C128" i="63"/>
  <c r="K122" i="63"/>
  <c r="G127" i="63"/>
  <c r="J122" i="63"/>
  <c r="F127" i="63"/>
  <c r="B122" i="63"/>
  <c r="E127" i="63"/>
  <c r="M121" i="63"/>
  <c r="H131" i="63"/>
  <c r="I126" i="63"/>
  <c r="K120" i="63"/>
  <c r="G130" i="63"/>
  <c r="I120" i="63"/>
  <c r="F130" i="63"/>
  <c r="C120" i="63"/>
  <c r="E130" i="63"/>
  <c r="B120" i="63"/>
  <c r="J126" i="63"/>
  <c r="M124" i="63"/>
  <c r="C124" i="63"/>
  <c r="B124" i="63"/>
  <c r="M123" i="63"/>
  <c r="K123" i="63"/>
  <c r="M120" i="63"/>
  <c r="I131" i="63"/>
  <c r="J130" i="63"/>
  <c r="G131" i="63"/>
  <c r="K130" i="63"/>
  <c r="F126" i="63"/>
  <c r="M55" i="2"/>
  <c r="M60" i="2"/>
  <c r="M62" i="2"/>
  <c r="F65" i="2"/>
  <c r="M140" i="2"/>
  <c r="M142" i="2"/>
  <c r="F145" i="2"/>
  <c r="L147" i="2"/>
  <c r="F150" i="2"/>
  <c r="B90" i="3"/>
  <c r="F91" i="3"/>
  <c r="B174" i="3"/>
  <c r="F175" i="3"/>
  <c r="L38" i="6"/>
  <c r="M40" i="6"/>
  <c r="L40" i="6"/>
  <c r="B57" i="7"/>
  <c r="F81" i="7"/>
  <c r="B29" i="9"/>
  <c r="G28" i="9"/>
  <c r="C28" i="9"/>
  <c r="F28" i="9"/>
  <c r="E28" i="9"/>
  <c r="G25" i="9"/>
  <c r="D28" i="9"/>
  <c r="F25" i="9"/>
  <c r="G24" i="9"/>
  <c r="F24" i="9"/>
  <c r="I29" i="10"/>
  <c r="K29" i="10" s="1"/>
  <c r="J31" i="10"/>
  <c r="C41" i="11"/>
  <c r="G56" i="11"/>
  <c r="G80" i="11"/>
  <c r="H161" i="11"/>
  <c r="AA9" i="12"/>
  <c r="E7" i="13"/>
  <c r="G7" i="13" s="1"/>
  <c r="I29" i="12"/>
  <c r="L41" i="12"/>
  <c r="H158" i="13"/>
  <c r="B47" i="13"/>
  <c r="F9" i="15"/>
  <c r="H9" i="15" s="1"/>
  <c r="J31" i="14"/>
  <c r="J33" i="14"/>
  <c r="AB21" i="14"/>
  <c r="D68" i="15"/>
  <c r="G133" i="15"/>
  <c r="G129" i="17"/>
  <c r="F129" i="17"/>
  <c r="N7" i="17"/>
  <c r="A212" i="17" s="1"/>
  <c r="H238" i="19"/>
  <c r="I31" i="20"/>
  <c r="K31" i="20" s="1"/>
  <c r="M33" i="20"/>
  <c r="L37" i="20"/>
  <c r="E131" i="21"/>
  <c r="AA6" i="22"/>
  <c r="M39" i="22"/>
  <c r="L39" i="22"/>
  <c r="H222" i="23"/>
  <c r="D55" i="23"/>
  <c r="I62" i="23" s="1"/>
  <c r="D247" i="23"/>
  <c r="C62" i="23"/>
  <c r="F131" i="23"/>
  <c r="C151" i="23" s="1"/>
  <c r="C245" i="23"/>
  <c r="D247" i="25"/>
  <c r="H222" i="25"/>
  <c r="D64" i="25"/>
  <c r="D97" i="25"/>
  <c r="AB21" i="26"/>
  <c r="L33" i="26"/>
  <c r="J35" i="26"/>
  <c r="E6" i="27"/>
  <c r="G6" i="27" s="1"/>
  <c r="C64" i="27"/>
  <c r="E68" i="27"/>
  <c r="H6" i="28"/>
  <c r="J6" i="28" s="1"/>
  <c r="E122" i="29"/>
  <c r="A144" i="29" s="1"/>
  <c r="E132" i="29"/>
  <c r="AB14" i="28"/>
  <c r="D9" i="29"/>
  <c r="F31" i="29"/>
  <c r="H35" i="29"/>
  <c r="AB30" i="30"/>
  <c r="J36" i="30"/>
  <c r="B33" i="31"/>
  <c r="I65" i="31"/>
  <c r="E121" i="33"/>
  <c r="A143" i="33" s="1"/>
  <c r="E131" i="33"/>
  <c r="AB8" i="32"/>
  <c r="D7" i="33"/>
  <c r="H7" i="33" s="1"/>
  <c r="D55" i="33"/>
  <c r="C83" i="33"/>
  <c r="G135" i="33"/>
  <c r="H238" i="33"/>
  <c r="AA27" i="34"/>
  <c r="I35" i="34"/>
  <c r="K35" i="34" s="1"/>
  <c r="F334" i="35"/>
  <c r="E94" i="35"/>
  <c r="G186" i="37"/>
  <c r="F186" i="37"/>
  <c r="F6" i="37"/>
  <c r="H6" i="37" s="1"/>
  <c r="AB6" i="36"/>
  <c r="M38" i="36"/>
  <c r="L40" i="36"/>
  <c r="C82" i="37"/>
  <c r="F84" i="37" s="1"/>
  <c r="H299" i="37"/>
  <c r="I35" i="37"/>
  <c r="D74" i="37"/>
  <c r="F103" i="37"/>
  <c r="B110" i="37"/>
  <c r="I116" i="37"/>
  <c r="E113" i="37"/>
  <c r="K109" i="37"/>
  <c r="H116" i="37"/>
  <c r="C113" i="37"/>
  <c r="B113" i="37"/>
  <c r="G115" i="37"/>
  <c r="F109" i="37"/>
  <c r="B115" i="37"/>
  <c r="K114" i="37"/>
  <c r="G111" i="37"/>
  <c r="C108" i="37"/>
  <c r="J111" i="37"/>
  <c r="G11" i="39"/>
  <c r="J60" i="39"/>
  <c r="F97" i="39"/>
  <c r="D94" i="39"/>
  <c r="H92" i="39"/>
  <c r="B91" i="39"/>
  <c r="F89" i="39"/>
  <c r="E97" i="39"/>
  <c r="C94" i="39"/>
  <c r="G92" i="39"/>
  <c r="K90" i="39"/>
  <c r="E89" i="39"/>
  <c r="E98" i="39"/>
  <c r="G96" i="39"/>
  <c r="I94" i="39"/>
  <c r="K92" i="39"/>
  <c r="C91" i="39"/>
  <c r="C89" i="39"/>
  <c r="D98" i="39"/>
  <c r="F96" i="39"/>
  <c r="H94" i="39"/>
  <c r="J92" i="39"/>
  <c r="J90" i="39"/>
  <c r="B89" i="39"/>
  <c r="C98" i="39"/>
  <c r="E96" i="39"/>
  <c r="G94" i="39"/>
  <c r="I92" i="39"/>
  <c r="I90" i="39"/>
  <c r="B98" i="39"/>
  <c r="D96" i="39"/>
  <c r="F94" i="39"/>
  <c r="F92" i="39"/>
  <c r="H90" i="39"/>
  <c r="C96" i="39"/>
  <c r="E94" i="39"/>
  <c r="E92" i="39"/>
  <c r="G90" i="39"/>
  <c r="D97" i="39"/>
  <c r="F95" i="39"/>
  <c r="H93" i="39"/>
  <c r="J91" i="39"/>
  <c r="B90" i="39"/>
  <c r="D93" i="39"/>
  <c r="C90" i="39"/>
  <c r="B95" i="39"/>
  <c r="K91" i="39"/>
  <c r="D89" i="39"/>
  <c r="D92" i="39"/>
  <c r="G89" i="39"/>
  <c r="G95" i="39"/>
  <c r="C92" i="39"/>
  <c r="E95" i="39"/>
  <c r="B92" i="39"/>
  <c r="D95" i="39"/>
  <c r="I91" i="39"/>
  <c r="G98" i="39"/>
  <c r="C95" i="39"/>
  <c r="H91" i="39"/>
  <c r="F98" i="39"/>
  <c r="K94" i="39"/>
  <c r="G91" i="39"/>
  <c r="C97" i="39"/>
  <c r="J93" i="39"/>
  <c r="F90" i="39"/>
  <c r="B97" i="39"/>
  <c r="I93" i="39"/>
  <c r="E90" i="39"/>
  <c r="F83" i="39"/>
  <c r="B93" i="39"/>
  <c r="G133" i="39"/>
  <c r="D147" i="39"/>
  <c r="D154" i="39"/>
  <c r="G184" i="39"/>
  <c r="H307" i="39"/>
  <c r="H300" i="41"/>
  <c r="D334" i="41"/>
  <c r="F37" i="41"/>
  <c r="H301" i="41"/>
  <c r="M37" i="42"/>
  <c r="L37" i="42"/>
  <c r="G35" i="43"/>
  <c r="I51" i="43"/>
  <c r="M42" i="44"/>
  <c r="L42" i="44"/>
  <c r="H285" i="47"/>
  <c r="E44" i="47"/>
  <c r="F48" i="47" s="1"/>
  <c r="H317" i="47"/>
  <c r="E120" i="47"/>
  <c r="F124" i="47" s="1"/>
  <c r="D333" i="49"/>
  <c r="D63" i="49"/>
  <c r="H292" i="49"/>
  <c r="D337" i="49"/>
  <c r="D139" i="49"/>
  <c r="F142" i="49" s="1"/>
  <c r="H324" i="49"/>
  <c r="F110" i="49"/>
  <c r="G127" i="49"/>
  <c r="AB33" i="50"/>
  <c r="J37" i="50"/>
  <c r="D71" i="51"/>
  <c r="B25" i="53"/>
  <c r="C331" i="53"/>
  <c r="H274" i="53"/>
  <c r="B101" i="53"/>
  <c r="H306" i="53"/>
  <c r="C428" i="55"/>
  <c r="H376" i="55"/>
  <c r="B92" i="55"/>
  <c r="C432" i="55"/>
  <c r="H408" i="55"/>
  <c r="B176" i="55"/>
  <c r="M38" i="56"/>
  <c r="L38" i="56"/>
  <c r="D8" i="73"/>
  <c r="AB11" i="72"/>
  <c r="L55" i="2"/>
  <c r="E65" i="2"/>
  <c r="F140" i="2"/>
  <c r="E145" i="2"/>
  <c r="E150" i="2"/>
  <c r="E153" i="3"/>
  <c r="J93" i="5"/>
  <c r="E47" i="9"/>
  <c r="C57" i="9" s="1"/>
  <c r="H6" i="10"/>
  <c r="J6" i="10" s="1"/>
  <c r="F48" i="11"/>
  <c r="G100" i="11"/>
  <c r="A106" i="11" s="1"/>
  <c r="A112" i="11" s="1"/>
  <c r="H100" i="11"/>
  <c r="E99" i="11"/>
  <c r="C68" i="15"/>
  <c r="G6" i="17"/>
  <c r="F29" i="19"/>
  <c r="E35" i="19"/>
  <c r="E33" i="19"/>
  <c r="G30" i="19"/>
  <c r="F32" i="19"/>
  <c r="F30" i="19"/>
  <c r="E120" i="19"/>
  <c r="A142" i="19" s="1"/>
  <c r="D67" i="23"/>
  <c r="D68" i="23"/>
  <c r="D64" i="23"/>
  <c r="B62" i="23"/>
  <c r="F90" i="23"/>
  <c r="H221" i="23"/>
  <c r="I30" i="24"/>
  <c r="K30" i="24" s="1"/>
  <c r="I63" i="25"/>
  <c r="E101" i="25"/>
  <c r="M35" i="26"/>
  <c r="L35" i="26"/>
  <c r="K8" i="27"/>
  <c r="B64" i="27"/>
  <c r="C248" i="29"/>
  <c r="H228" i="29"/>
  <c r="C247" i="29"/>
  <c r="M36" i="30"/>
  <c r="L36" i="30"/>
  <c r="H65" i="31"/>
  <c r="F337" i="35"/>
  <c r="E6" i="37"/>
  <c r="G6" i="37" s="1"/>
  <c r="AA6" i="36"/>
  <c r="E41" i="37"/>
  <c r="I39" i="37"/>
  <c r="C38" i="37"/>
  <c r="G36" i="37"/>
  <c r="K34" i="37"/>
  <c r="D41" i="37"/>
  <c r="H39" i="37"/>
  <c r="B38" i="37"/>
  <c r="F36" i="37"/>
  <c r="J34" i="37"/>
  <c r="G40" i="37"/>
  <c r="I38" i="37"/>
  <c r="K36" i="37"/>
  <c r="F40" i="37"/>
  <c r="H38" i="37"/>
  <c r="J36" i="37"/>
  <c r="D40" i="37"/>
  <c r="F38" i="37"/>
  <c r="H36" i="37"/>
  <c r="H34" i="37"/>
  <c r="J32" i="37"/>
  <c r="K41" i="37"/>
  <c r="C40" i="37"/>
  <c r="E38" i="37"/>
  <c r="E36" i="37"/>
  <c r="G34" i="37"/>
  <c r="I32" i="37"/>
  <c r="F41" i="37"/>
  <c r="F39" i="37"/>
  <c r="H37" i="37"/>
  <c r="J35" i="37"/>
  <c r="F26" i="37"/>
  <c r="H41" i="37"/>
  <c r="B39" i="37"/>
  <c r="C36" i="37"/>
  <c r="I33" i="37"/>
  <c r="I40" i="37"/>
  <c r="J37" i="37"/>
  <c r="F35" i="37"/>
  <c r="G32" i="37"/>
  <c r="C41" i="37"/>
  <c r="D38" i="37"/>
  <c r="B41" i="37"/>
  <c r="K37" i="37"/>
  <c r="K40" i="37"/>
  <c r="I37" i="37"/>
  <c r="I34" i="37"/>
  <c r="J40" i="37"/>
  <c r="G37" i="37"/>
  <c r="F34" i="37"/>
  <c r="H40" i="37"/>
  <c r="F37" i="37"/>
  <c r="E40" i="37"/>
  <c r="E37" i="37"/>
  <c r="G39" i="37"/>
  <c r="I36" i="37"/>
  <c r="H33" i="37"/>
  <c r="E39" i="37"/>
  <c r="D36" i="37"/>
  <c r="G33" i="37"/>
  <c r="I41" i="37"/>
  <c r="H72" i="37"/>
  <c r="F79" i="37"/>
  <c r="I131" i="39"/>
  <c r="C153" i="39"/>
  <c r="M42" i="40"/>
  <c r="L42" i="40"/>
  <c r="E37" i="41"/>
  <c r="C337" i="43"/>
  <c r="H322" i="43"/>
  <c r="B139" i="43"/>
  <c r="H51" i="43"/>
  <c r="E135" i="43"/>
  <c r="H301" i="43"/>
  <c r="AA27" i="44"/>
  <c r="I35" i="44"/>
  <c r="K35" i="44" s="1"/>
  <c r="H308" i="45"/>
  <c r="D101" i="45"/>
  <c r="D335" i="45"/>
  <c r="H284" i="47"/>
  <c r="D44" i="47"/>
  <c r="F47" i="47" s="1"/>
  <c r="D332" i="47"/>
  <c r="D120" i="47"/>
  <c r="F123" i="47" s="1"/>
  <c r="H316" i="47"/>
  <c r="H58" i="2"/>
  <c r="B61" i="2"/>
  <c r="B63" i="2"/>
  <c r="H65" i="2"/>
  <c r="B141" i="2"/>
  <c r="B143" i="2"/>
  <c r="H145" i="2"/>
  <c r="M147" i="2"/>
  <c r="G150" i="2"/>
  <c r="C90" i="3"/>
  <c r="F92" i="3"/>
  <c r="C174" i="3"/>
  <c r="F176" i="3"/>
  <c r="E111" i="3"/>
  <c r="AA39" i="4"/>
  <c r="I39" i="4"/>
  <c r="K39" i="4" s="1"/>
  <c r="E75" i="7"/>
  <c r="A93" i="7" s="1"/>
  <c r="E83" i="7"/>
  <c r="N8" i="7"/>
  <c r="A158" i="7" s="1"/>
  <c r="C57" i="7"/>
  <c r="G81" i="7"/>
  <c r="H151" i="7"/>
  <c r="AB33" i="8"/>
  <c r="AB42" i="8"/>
  <c r="J40" i="8"/>
  <c r="G102" i="9"/>
  <c r="A108" i="9" s="1"/>
  <c r="A114" i="9" s="1"/>
  <c r="J29" i="10"/>
  <c r="F169" i="11"/>
  <c r="F33" i="11"/>
  <c r="G81" i="11"/>
  <c r="F81" i="11"/>
  <c r="J91" i="11"/>
  <c r="F7" i="13"/>
  <c r="H7" i="13" s="1"/>
  <c r="AB9" i="12"/>
  <c r="J29" i="12"/>
  <c r="E68" i="15"/>
  <c r="E134" i="15"/>
  <c r="F130" i="17"/>
  <c r="I28" i="16"/>
  <c r="K28" i="16" s="1"/>
  <c r="I30" i="16"/>
  <c r="K30" i="16" s="1"/>
  <c r="C246" i="17"/>
  <c r="H6" i="19"/>
  <c r="AA33" i="20"/>
  <c r="AA42" i="20"/>
  <c r="I40" i="20"/>
  <c r="K40" i="20" s="1"/>
  <c r="G51" i="21"/>
  <c r="G49" i="21"/>
  <c r="G47" i="21"/>
  <c r="G45" i="21"/>
  <c r="F51" i="21"/>
  <c r="F49" i="21"/>
  <c r="F47" i="21"/>
  <c r="F45" i="21"/>
  <c r="B49" i="21"/>
  <c r="E51" i="21"/>
  <c r="E49" i="21"/>
  <c r="E47" i="21"/>
  <c r="E45" i="21"/>
  <c r="D51" i="21"/>
  <c r="D49" i="21"/>
  <c r="D47" i="21"/>
  <c r="D45" i="21"/>
  <c r="B47" i="21"/>
  <c r="C49" i="21"/>
  <c r="C47" i="21"/>
  <c r="F39" i="21"/>
  <c r="F52" i="21"/>
  <c r="F50" i="21"/>
  <c r="F48" i="21"/>
  <c r="F46" i="21"/>
  <c r="E52" i="21"/>
  <c r="E50" i="21"/>
  <c r="E48" i="21"/>
  <c r="E46" i="21"/>
  <c r="I49" i="21"/>
  <c r="I84" i="21"/>
  <c r="L146" i="23"/>
  <c r="G134" i="23"/>
  <c r="F134" i="23"/>
  <c r="H7" i="23"/>
  <c r="E55" i="23"/>
  <c r="F59" i="23" s="1"/>
  <c r="H223" i="23"/>
  <c r="F62" i="23"/>
  <c r="AA5" i="24"/>
  <c r="J28" i="24"/>
  <c r="K28" i="24" s="1"/>
  <c r="E64" i="25"/>
  <c r="I101" i="25"/>
  <c r="AB6" i="26"/>
  <c r="E133" i="27"/>
  <c r="E123" i="27"/>
  <c r="A145" i="27" s="1"/>
  <c r="J29" i="26"/>
  <c r="D7" i="27"/>
  <c r="H7" i="27" s="1"/>
  <c r="I7" i="27" s="1"/>
  <c r="C248" i="27"/>
  <c r="H228" i="27"/>
  <c r="F56" i="27"/>
  <c r="D64" i="27"/>
  <c r="E133" i="29"/>
  <c r="E123" i="29"/>
  <c r="A145" i="29" s="1"/>
  <c r="I31" i="28"/>
  <c r="K31" i="28" s="1"/>
  <c r="E9" i="29"/>
  <c r="G9" i="29" s="1"/>
  <c r="G31" i="29"/>
  <c r="I35" i="29"/>
  <c r="G129" i="29"/>
  <c r="D33" i="31"/>
  <c r="B66" i="31"/>
  <c r="E6" i="33"/>
  <c r="G6" i="33" s="1"/>
  <c r="E21" i="33"/>
  <c r="F25" i="33" s="1"/>
  <c r="D83" i="33"/>
  <c r="L37" i="34"/>
  <c r="M37" i="34"/>
  <c r="H274" i="35"/>
  <c r="B25" i="35"/>
  <c r="B101" i="35"/>
  <c r="H306" i="35"/>
  <c r="H94" i="35"/>
  <c r="E187" i="37"/>
  <c r="E175" i="37"/>
  <c r="A201" i="37" s="1"/>
  <c r="AA20" i="36"/>
  <c r="I28" i="36"/>
  <c r="K28" i="36" s="1"/>
  <c r="AA14" i="36"/>
  <c r="C9" i="37"/>
  <c r="G9" i="37" s="1"/>
  <c r="I31" i="36"/>
  <c r="K31" i="36" s="1"/>
  <c r="I36" i="36"/>
  <c r="K36" i="36" s="1"/>
  <c r="H300" i="37"/>
  <c r="D82" i="37"/>
  <c r="F85" i="37" s="1"/>
  <c r="D334" i="37"/>
  <c r="K35" i="37"/>
  <c r="E74" i="37"/>
  <c r="F333" i="39"/>
  <c r="G37" i="41"/>
  <c r="I35" i="43"/>
  <c r="J51" i="43"/>
  <c r="I136" i="43"/>
  <c r="AB18" i="44"/>
  <c r="F45" i="45"/>
  <c r="G57" i="45"/>
  <c r="J34" i="46"/>
  <c r="AB24" i="46"/>
  <c r="F12" i="47"/>
  <c r="H12" i="47" s="1"/>
  <c r="I11" i="47"/>
  <c r="M38" i="48"/>
  <c r="L38" i="48"/>
  <c r="L41" i="48"/>
  <c r="M41" i="48"/>
  <c r="H110" i="49"/>
  <c r="H127" i="49"/>
  <c r="F10" i="51"/>
  <c r="H10" i="51" s="1"/>
  <c r="J32" i="50"/>
  <c r="K32" i="50" s="1"/>
  <c r="E71" i="51"/>
  <c r="M35" i="52"/>
  <c r="L35" i="52"/>
  <c r="G9" i="53"/>
  <c r="H370" i="57"/>
  <c r="D71" i="57"/>
  <c r="D427" i="57"/>
  <c r="H402" i="57"/>
  <c r="D431" i="57"/>
  <c r="D155" i="57"/>
  <c r="F158" i="57" s="1"/>
  <c r="E242" i="73"/>
  <c r="A272" i="73" s="1"/>
  <c r="E256" i="73"/>
  <c r="I30" i="72"/>
  <c r="E8" i="73"/>
  <c r="G8" i="73" s="1"/>
  <c r="AA12" i="72"/>
  <c r="E72" i="21"/>
  <c r="D72" i="23"/>
  <c r="F75" i="23" s="1"/>
  <c r="L145" i="31"/>
  <c r="F134" i="33"/>
  <c r="G193" i="35"/>
  <c r="B148" i="35"/>
  <c r="F140" i="35"/>
  <c r="G149" i="35"/>
  <c r="G186" i="35"/>
  <c r="F186" i="35"/>
  <c r="D335" i="35"/>
  <c r="J79" i="39"/>
  <c r="AB15" i="40"/>
  <c r="F9" i="41"/>
  <c r="H9" i="41" s="1"/>
  <c r="F333" i="41"/>
  <c r="I38" i="44"/>
  <c r="K38" i="44" s="1"/>
  <c r="AA36" i="44"/>
  <c r="N204" i="45"/>
  <c r="G190" i="45"/>
  <c r="M42" i="46"/>
  <c r="L42" i="46"/>
  <c r="E139" i="49"/>
  <c r="F143" i="49" s="1"/>
  <c r="H325" i="49"/>
  <c r="D117" i="49"/>
  <c r="B114" i="49"/>
  <c r="J110" i="49"/>
  <c r="D109" i="49"/>
  <c r="C117" i="49"/>
  <c r="B112" i="49"/>
  <c r="E110" i="49"/>
  <c r="H108" i="49"/>
  <c r="B117" i="49"/>
  <c r="E115" i="49"/>
  <c r="K111" i="49"/>
  <c r="D110" i="49"/>
  <c r="G108" i="49"/>
  <c r="K116" i="49"/>
  <c r="D115" i="49"/>
  <c r="J111" i="49"/>
  <c r="C110" i="49"/>
  <c r="F108" i="49"/>
  <c r="J116" i="49"/>
  <c r="C115" i="49"/>
  <c r="I111" i="49"/>
  <c r="B110" i="49"/>
  <c r="E108" i="49"/>
  <c r="I116" i="49"/>
  <c r="B115" i="49"/>
  <c r="E113" i="49"/>
  <c r="H111" i="49"/>
  <c r="K109" i="49"/>
  <c r="D108" i="49"/>
  <c r="G116" i="49"/>
  <c r="E114" i="49"/>
  <c r="G111" i="49"/>
  <c r="E109" i="49"/>
  <c r="F116" i="49"/>
  <c r="D114" i="49"/>
  <c r="F111" i="49"/>
  <c r="C109" i="49"/>
  <c r="F102" i="49"/>
  <c r="E116" i="49"/>
  <c r="C114" i="49"/>
  <c r="E111" i="49"/>
  <c r="B109" i="49"/>
  <c r="D116" i="49"/>
  <c r="K113" i="49"/>
  <c r="D111" i="49"/>
  <c r="K108" i="49"/>
  <c r="C116" i="49"/>
  <c r="J113" i="49"/>
  <c r="C111" i="49"/>
  <c r="J108" i="49"/>
  <c r="J117" i="49"/>
  <c r="J112" i="49"/>
  <c r="G110" i="49"/>
  <c r="E117" i="49"/>
  <c r="I108" i="49"/>
  <c r="H116" i="49"/>
  <c r="C108" i="49"/>
  <c r="K115" i="49"/>
  <c r="E112" i="49"/>
  <c r="J115" i="49"/>
  <c r="D112" i="49"/>
  <c r="K114" i="49"/>
  <c r="B111" i="49"/>
  <c r="I110" i="49"/>
  <c r="G117" i="49"/>
  <c r="F331" i="51"/>
  <c r="G185" i="53"/>
  <c r="F185" i="53"/>
  <c r="J38" i="52"/>
  <c r="AB36" i="52"/>
  <c r="F199" i="63"/>
  <c r="G213" i="63"/>
  <c r="H211" i="63"/>
  <c r="E209" i="63"/>
  <c r="F207" i="63"/>
  <c r="B205" i="63"/>
  <c r="I215" i="63"/>
  <c r="F213" i="63"/>
  <c r="G211" i="63"/>
  <c r="C209" i="63"/>
  <c r="E207" i="63"/>
  <c r="M204" i="63"/>
  <c r="H215" i="63"/>
  <c r="E213" i="63"/>
  <c r="F211" i="63"/>
  <c r="B209" i="63"/>
  <c r="K206" i="63"/>
  <c r="L204" i="63"/>
  <c r="G215" i="63"/>
  <c r="C213" i="63"/>
  <c r="E211" i="63"/>
  <c r="M208" i="63"/>
  <c r="J206" i="63"/>
  <c r="K204" i="63"/>
  <c r="F215" i="63"/>
  <c r="B213" i="63"/>
  <c r="K210" i="63"/>
  <c r="L208" i="63"/>
  <c r="I206" i="63"/>
  <c r="J204" i="63"/>
  <c r="J211" i="63"/>
  <c r="M207" i="63"/>
  <c r="I204" i="63"/>
  <c r="G214" i="63"/>
  <c r="I211" i="63"/>
  <c r="K207" i="63"/>
  <c r="C204" i="63"/>
  <c r="F214" i="63"/>
  <c r="J210" i="63"/>
  <c r="J207" i="63"/>
  <c r="B204" i="63"/>
  <c r="E214" i="63"/>
  <c r="I210" i="63"/>
  <c r="I207" i="63"/>
  <c r="D214" i="63"/>
  <c r="G210" i="63"/>
  <c r="H207" i="63"/>
  <c r="B210" i="63"/>
  <c r="E206" i="63"/>
  <c r="M209" i="63"/>
  <c r="C205" i="63"/>
  <c r="E215" i="63"/>
  <c r="G209" i="63"/>
  <c r="F209" i="63"/>
  <c r="C214" i="63"/>
  <c r="K208" i="63"/>
  <c r="B214" i="63"/>
  <c r="J208" i="63"/>
  <c r="B208" i="63"/>
  <c r="G206" i="63"/>
  <c r="F206" i="63"/>
  <c r="C206" i="63"/>
  <c r="B206" i="63"/>
  <c r="M205" i="63"/>
  <c r="G205" i="63"/>
  <c r="M211" i="63"/>
  <c r="K211" i="63"/>
  <c r="E210" i="63"/>
  <c r="D210" i="63"/>
  <c r="C210" i="63"/>
  <c r="I208" i="63"/>
  <c r="G207" i="63"/>
  <c r="F205" i="63"/>
  <c r="D71" i="65"/>
  <c r="D427" i="65"/>
  <c r="H370" i="65"/>
  <c r="H402" i="65"/>
  <c r="D431" i="65"/>
  <c r="D155" i="65"/>
  <c r="F158" i="65" s="1"/>
  <c r="M35" i="78"/>
  <c r="L35" i="78"/>
  <c r="F29" i="2"/>
  <c r="F113" i="2"/>
  <c r="P249" i="2"/>
  <c r="F49" i="3"/>
  <c r="B69" i="3"/>
  <c r="F133" i="3"/>
  <c r="B153" i="3"/>
  <c r="A249" i="3"/>
  <c r="F168" i="5"/>
  <c r="H153" i="7"/>
  <c r="E77" i="9"/>
  <c r="A95" i="9" s="1"/>
  <c r="E17" i="11"/>
  <c r="F21" i="11" s="1"/>
  <c r="AA6" i="12"/>
  <c r="AB30" i="12"/>
  <c r="C47" i="13"/>
  <c r="F49" i="13" s="1"/>
  <c r="E125" i="15"/>
  <c r="A147" i="15" s="1"/>
  <c r="E124" i="17"/>
  <c r="A146" i="17" s="1"/>
  <c r="F28" i="21"/>
  <c r="F30" i="21"/>
  <c r="F32" i="21"/>
  <c r="F62" i="21"/>
  <c r="F64" i="21"/>
  <c r="F98" i="21"/>
  <c r="F102" i="21"/>
  <c r="E122" i="21"/>
  <c r="A144" i="21" s="1"/>
  <c r="F8" i="23"/>
  <c r="H8" i="23" s="1"/>
  <c r="E62" i="23"/>
  <c r="E66" i="23"/>
  <c r="B62" i="25"/>
  <c r="C64" i="25"/>
  <c r="D66" i="25"/>
  <c r="E68" i="25"/>
  <c r="H220" i="25"/>
  <c r="C247" i="25"/>
  <c r="D72" i="27"/>
  <c r="B83" i="27" s="1"/>
  <c r="E119" i="27"/>
  <c r="A141" i="27" s="1"/>
  <c r="AA42" i="28"/>
  <c r="C55" i="29"/>
  <c r="F57" i="29" s="1"/>
  <c r="F90" i="31"/>
  <c r="H96" i="31"/>
  <c r="C248" i="31"/>
  <c r="I46" i="33"/>
  <c r="H49" i="33"/>
  <c r="I52" i="33"/>
  <c r="E25" i="35"/>
  <c r="F29" i="35" s="1"/>
  <c r="H277" i="35"/>
  <c r="F190" i="37"/>
  <c r="N204" i="37"/>
  <c r="AB21" i="36"/>
  <c r="F11" i="37"/>
  <c r="H11" i="37" s="1"/>
  <c r="E72" i="37"/>
  <c r="B75" i="37"/>
  <c r="H78" i="37"/>
  <c r="E177" i="39"/>
  <c r="A203" i="39" s="1"/>
  <c r="N206" i="41"/>
  <c r="H307" i="41"/>
  <c r="C101" i="41"/>
  <c r="G192" i="41"/>
  <c r="F28" i="43"/>
  <c r="F37" i="43"/>
  <c r="K41" i="43"/>
  <c r="I40" i="44"/>
  <c r="K40" i="44" s="1"/>
  <c r="AA42" i="44"/>
  <c r="F9" i="45"/>
  <c r="H9" i="45" s="1"/>
  <c r="D44" i="45"/>
  <c r="D332" i="45"/>
  <c r="D120" i="45"/>
  <c r="H316" i="45"/>
  <c r="E94" i="45"/>
  <c r="H98" i="45"/>
  <c r="I127" i="45"/>
  <c r="H284" i="45"/>
  <c r="E191" i="47"/>
  <c r="E179" i="47"/>
  <c r="A205" i="47" s="1"/>
  <c r="G51" i="49"/>
  <c r="K110" i="49"/>
  <c r="H117" i="49"/>
  <c r="K79" i="51"/>
  <c r="E78" i="51"/>
  <c r="C75" i="51"/>
  <c r="G73" i="51"/>
  <c r="K71" i="51"/>
  <c r="E70" i="51"/>
  <c r="G79" i="51"/>
  <c r="K77" i="51"/>
  <c r="E76" i="51"/>
  <c r="C73" i="51"/>
  <c r="G71" i="51"/>
  <c r="G78" i="51"/>
  <c r="J74" i="51"/>
  <c r="K72" i="51"/>
  <c r="C71" i="51"/>
  <c r="F78" i="51"/>
  <c r="J72" i="51"/>
  <c r="B71" i="51"/>
  <c r="D78" i="51"/>
  <c r="I72" i="51"/>
  <c r="K70" i="51"/>
  <c r="C78" i="51"/>
  <c r="D76" i="51"/>
  <c r="H72" i="51"/>
  <c r="J70" i="51"/>
  <c r="J79" i="51"/>
  <c r="B78" i="51"/>
  <c r="C76" i="51"/>
  <c r="E74" i="51"/>
  <c r="G72" i="51"/>
  <c r="I70" i="51"/>
  <c r="I79" i="51"/>
  <c r="E77" i="51"/>
  <c r="K74" i="51"/>
  <c r="B72" i="51"/>
  <c r="H79" i="51"/>
  <c r="D77" i="51"/>
  <c r="D74" i="51"/>
  <c r="J71" i="51"/>
  <c r="F79" i="51"/>
  <c r="C77" i="51"/>
  <c r="C74" i="51"/>
  <c r="I71" i="51"/>
  <c r="E79" i="51"/>
  <c r="B77" i="51"/>
  <c r="B74" i="51"/>
  <c r="H71" i="51"/>
  <c r="D79" i="51"/>
  <c r="K76" i="51"/>
  <c r="K73" i="51"/>
  <c r="F71" i="51"/>
  <c r="I78" i="51"/>
  <c r="E73" i="51"/>
  <c r="F70" i="51"/>
  <c r="F73" i="51"/>
  <c r="D73" i="51"/>
  <c r="F64" i="51"/>
  <c r="J76" i="51"/>
  <c r="F72" i="51"/>
  <c r="B76" i="51"/>
  <c r="E72" i="51"/>
  <c r="J75" i="51"/>
  <c r="C72" i="51"/>
  <c r="H73" i="51"/>
  <c r="B79" i="51"/>
  <c r="F186" i="51"/>
  <c r="C7" i="53"/>
  <c r="F45" i="53"/>
  <c r="P274" i="55"/>
  <c r="G258" i="55"/>
  <c r="B128" i="61"/>
  <c r="M32" i="64"/>
  <c r="L32" i="64"/>
  <c r="E71" i="65"/>
  <c r="F75" i="65" s="1"/>
  <c r="H371" i="65"/>
  <c r="H403" i="65"/>
  <c r="E155" i="65"/>
  <c r="F159" i="65" s="1"/>
  <c r="G8" i="75"/>
  <c r="C490" i="93"/>
  <c r="B96" i="93"/>
  <c r="H422" i="93"/>
  <c r="H454" i="93"/>
  <c r="B180" i="93"/>
  <c r="C494" i="93"/>
  <c r="D51" i="93"/>
  <c r="L49" i="93"/>
  <c r="H48" i="93"/>
  <c r="D47" i="93"/>
  <c r="L45" i="93"/>
  <c r="H44" i="93"/>
  <c r="L41" i="93"/>
  <c r="H40" i="93"/>
  <c r="C51" i="93"/>
  <c r="K49" i="93"/>
  <c r="G48" i="93"/>
  <c r="C47" i="93"/>
  <c r="K45" i="93"/>
  <c r="G44" i="93"/>
  <c r="K41" i="93"/>
  <c r="G40" i="93"/>
  <c r="B51" i="93"/>
  <c r="J49" i="93"/>
  <c r="F48" i="93"/>
  <c r="B47" i="93"/>
  <c r="J45" i="93"/>
  <c r="F44" i="93"/>
  <c r="J41" i="93"/>
  <c r="F40" i="93"/>
  <c r="M50" i="93"/>
  <c r="I49" i="93"/>
  <c r="E48" i="93"/>
  <c r="M46" i="93"/>
  <c r="I45" i="93"/>
  <c r="E44" i="93"/>
  <c r="M42" i="93"/>
  <c r="I41" i="93"/>
  <c r="L50" i="93"/>
  <c r="H49" i="93"/>
  <c r="D48" i="93"/>
  <c r="L46" i="93"/>
  <c r="H45" i="93"/>
  <c r="D44" i="93"/>
  <c r="L42" i="93"/>
  <c r="H41" i="93"/>
  <c r="L51" i="93"/>
  <c r="H50" i="93"/>
  <c r="D49" i="93"/>
  <c r="L47" i="93"/>
  <c r="H46" i="93"/>
  <c r="D45" i="93"/>
  <c r="L43" i="93"/>
  <c r="H42" i="93"/>
  <c r="G50" i="93"/>
  <c r="I48" i="93"/>
  <c r="E46" i="93"/>
  <c r="B44" i="93"/>
  <c r="F50" i="93"/>
  <c r="C48" i="93"/>
  <c r="D46" i="93"/>
  <c r="M43" i="93"/>
  <c r="E50" i="93"/>
  <c r="B48" i="93"/>
  <c r="C46" i="93"/>
  <c r="K43" i="93"/>
  <c r="M41" i="93"/>
  <c r="D50" i="93"/>
  <c r="M47" i="93"/>
  <c r="B46" i="93"/>
  <c r="J43" i="93"/>
  <c r="G41" i="93"/>
  <c r="C50" i="93"/>
  <c r="K47" i="93"/>
  <c r="M45" i="93"/>
  <c r="I43" i="93"/>
  <c r="F41" i="93"/>
  <c r="I51" i="93"/>
  <c r="F49" i="93"/>
  <c r="G47" i="93"/>
  <c r="C45" i="93"/>
  <c r="M40" i="93"/>
  <c r="F34" i="93"/>
  <c r="K50" i="93"/>
  <c r="F47" i="93"/>
  <c r="C44" i="93"/>
  <c r="J40" i="93"/>
  <c r="J50" i="93"/>
  <c r="E47" i="93"/>
  <c r="H43" i="93"/>
  <c r="I40" i="93"/>
  <c r="I50" i="93"/>
  <c r="K46" i="93"/>
  <c r="G43" i="93"/>
  <c r="M49" i="93"/>
  <c r="I46" i="93"/>
  <c r="K42" i="93"/>
  <c r="E51" i="93"/>
  <c r="G45" i="93"/>
  <c r="B50" i="93"/>
  <c r="F45" i="93"/>
  <c r="G49" i="93"/>
  <c r="E45" i="93"/>
  <c r="E49" i="93"/>
  <c r="B45" i="93"/>
  <c r="L40" i="93"/>
  <c r="C49" i="93"/>
  <c r="M44" i="93"/>
  <c r="K40" i="93"/>
  <c r="B49" i="93"/>
  <c r="L44" i="93"/>
  <c r="J46" i="93"/>
  <c r="G46" i="93"/>
  <c r="F46" i="93"/>
  <c r="M51" i="93"/>
  <c r="K44" i="93"/>
  <c r="K51" i="93"/>
  <c r="J44" i="93"/>
  <c r="M48" i="93"/>
  <c r="G42" i="93"/>
  <c r="J42" i="93"/>
  <c r="I42" i="93"/>
  <c r="F42" i="93"/>
  <c r="J51" i="93"/>
  <c r="H51" i="93"/>
  <c r="G51" i="93"/>
  <c r="F51" i="93"/>
  <c r="L48" i="93"/>
  <c r="K48" i="93"/>
  <c r="J48" i="93"/>
  <c r="I44" i="93"/>
  <c r="H47" i="93"/>
  <c r="F43" i="93"/>
  <c r="I47" i="93"/>
  <c r="J47" i="93"/>
  <c r="B65" i="21"/>
  <c r="G103" i="29"/>
  <c r="H228" i="33"/>
  <c r="C248" i="33"/>
  <c r="AB12" i="34"/>
  <c r="J30" i="34"/>
  <c r="H6" i="35"/>
  <c r="E192" i="37"/>
  <c r="E180" i="37"/>
  <c r="A206" i="37" s="1"/>
  <c r="J37" i="36"/>
  <c r="AB33" i="36"/>
  <c r="I28" i="38"/>
  <c r="E6" i="39"/>
  <c r="AA12" i="38"/>
  <c r="I30" i="38"/>
  <c r="I39" i="38"/>
  <c r="K39" i="38" s="1"/>
  <c r="AA39" i="38"/>
  <c r="D63" i="39"/>
  <c r="K79" i="39" s="1"/>
  <c r="D333" i="39"/>
  <c r="H292" i="39"/>
  <c r="F6" i="40"/>
  <c r="H6" i="40" s="1"/>
  <c r="J6" i="40" s="1"/>
  <c r="E172" i="41"/>
  <c r="A198" i="41" s="1"/>
  <c r="E184" i="41"/>
  <c r="AA18" i="40"/>
  <c r="I32" i="40"/>
  <c r="K34" i="40"/>
  <c r="AA45" i="40"/>
  <c r="I12" i="45"/>
  <c r="J12" i="45" s="1"/>
  <c r="H274" i="47"/>
  <c r="C331" i="47"/>
  <c r="B25" i="47"/>
  <c r="H306" i="47"/>
  <c r="C335" i="47"/>
  <c r="B101" i="47"/>
  <c r="E172" i="49"/>
  <c r="A198" i="49" s="1"/>
  <c r="E184" i="49"/>
  <c r="F187" i="49" s="1"/>
  <c r="F6" i="48"/>
  <c r="H6" i="48" s="1"/>
  <c r="J6" i="48" s="1"/>
  <c r="G10" i="49"/>
  <c r="B113" i="49"/>
  <c r="H293" i="49"/>
  <c r="C8" i="55"/>
  <c r="AA11" i="54"/>
  <c r="I28" i="58"/>
  <c r="E6" i="59"/>
  <c r="G6" i="59" s="1"/>
  <c r="AA14" i="58"/>
  <c r="C9" i="59"/>
  <c r="B212" i="63"/>
  <c r="G251" i="67"/>
  <c r="J34" i="66"/>
  <c r="F12" i="67"/>
  <c r="AB24" i="66"/>
  <c r="F52" i="73"/>
  <c r="F95" i="73"/>
  <c r="H110" i="73"/>
  <c r="G107" i="73"/>
  <c r="F103" i="73"/>
  <c r="E100" i="73"/>
  <c r="G110" i="73"/>
  <c r="F107" i="73"/>
  <c r="D103" i="73"/>
  <c r="D99" i="73"/>
  <c r="E110" i="73"/>
  <c r="D107" i="73"/>
  <c r="C103" i="73"/>
  <c r="C99" i="73"/>
  <c r="D110" i="73"/>
  <c r="D106" i="73"/>
  <c r="B103" i="73"/>
  <c r="B99" i="73"/>
  <c r="C110" i="73"/>
  <c r="C106" i="73"/>
  <c r="M102" i="73"/>
  <c r="D109" i="73"/>
  <c r="C105" i="73"/>
  <c r="I101" i="73"/>
  <c r="I107" i="73"/>
  <c r="L100" i="73"/>
  <c r="H107" i="73"/>
  <c r="K100" i="73"/>
  <c r="B106" i="73"/>
  <c r="J100" i="73"/>
  <c r="K105" i="73"/>
  <c r="H100" i="73"/>
  <c r="J105" i="73"/>
  <c r="G100" i="73"/>
  <c r="B110" i="73"/>
  <c r="K104" i="73"/>
  <c r="E102" i="73"/>
  <c r="I110" i="73"/>
  <c r="J101" i="73"/>
  <c r="F109" i="73"/>
  <c r="H101" i="73"/>
  <c r="E109" i="73"/>
  <c r="F100" i="73"/>
  <c r="H108" i="73"/>
  <c r="B105" i="73"/>
  <c r="M104" i="73"/>
  <c r="L104" i="73"/>
  <c r="J103" i="73"/>
  <c r="AB15" i="56"/>
  <c r="F9" i="57"/>
  <c r="H9" i="57" s="1"/>
  <c r="J31" i="56"/>
  <c r="K31" i="56" s="1"/>
  <c r="E248" i="65"/>
  <c r="F6" i="64"/>
  <c r="H6" i="64" s="1"/>
  <c r="J6" i="64" s="1"/>
  <c r="E234" i="65"/>
  <c r="A264" i="65" s="1"/>
  <c r="C6" i="21"/>
  <c r="G6" i="21" s="1"/>
  <c r="D72" i="29"/>
  <c r="D27" i="2"/>
  <c r="D111" i="2"/>
  <c r="F50" i="3"/>
  <c r="F134" i="3"/>
  <c r="H144" i="5"/>
  <c r="F81" i="9"/>
  <c r="H101" i="9" s="1"/>
  <c r="F83" i="11"/>
  <c r="C168" i="13"/>
  <c r="AB18" i="14"/>
  <c r="F129" i="15"/>
  <c r="D245" i="15"/>
  <c r="AA18" i="16"/>
  <c r="H206" i="17"/>
  <c r="F247" i="19"/>
  <c r="C33" i="21"/>
  <c r="C65" i="21"/>
  <c r="C67" i="21"/>
  <c r="C99" i="21"/>
  <c r="C103" i="21"/>
  <c r="F128" i="21"/>
  <c r="B63" i="23"/>
  <c r="B65" i="23"/>
  <c r="B67" i="23"/>
  <c r="B69" i="23"/>
  <c r="G128" i="23"/>
  <c r="AB33" i="24"/>
  <c r="AA48" i="24"/>
  <c r="AB33" i="26"/>
  <c r="AA48" i="26"/>
  <c r="E72" i="29"/>
  <c r="C89" i="29"/>
  <c r="E97" i="29" s="1"/>
  <c r="C9" i="31"/>
  <c r="G9" i="31" s="1"/>
  <c r="I31" i="32"/>
  <c r="K31" i="32" s="1"/>
  <c r="AA15" i="32"/>
  <c r="J33" i="32"/>
  <c r="AB21" i="32"/>
  <c r="H50" i="33"/>
  <c r="C333" i="35"/>
  <c r="B63" i="35"/>
  <c r="H290" i="35"/>
  <c r="E193" i="37"/>
  <c r="E181" i="37"/>
  <c r="A207" i="37" s="1"/>
  <c r="L39" i="36"/>
  <c r="D332" i="37"/>
  <c r="D44" i="37"/>
  <c r="F47" i="37" s="1"/>
  <c r="N205" i="37"/>
  <c r="E175" i="39"/>
  <c r="A201" i="39" s="1"/>
  <c r="E187" i="39"/>
  <c r="F193" i="39" s="1"/>
  <c r="J28" i="38"/>
  <c r="AB6" i="38"/>
  <c r="AB12" i="38"/>
  <c r="J30" i="38"/>
  <c r="F8" i="39"/>
  <c r="H8" i="39" s="1"/>
  <c r="AB45" i="40"/>
  <c r="J41" i="40"/>
  <c r="F185" i="43"/>
  <c r="AB30" i="44"/>
  <c r="J36" i="44"/>
  <c r="AB42" i="46"/>
  <c r="J40" i="46"/>
  <c r="G185" i="47"/>
  <c r="M35" i="48"/>
  <c r="L35" i="48"/>
  <c r="C113" i="49"/>
  <c r="F6" i="50"/>
  <c r="H6" i="50" s="1"/>
  <c r="J6" i="50" s="1"/>
  <c r="H290" i="53"/>
  <c r="C333" i="53"/>
  <c r="B63" i="53"/>
  <c r="H322" i="53"/>
  <c r="C337" i="53"/>
  <c r="F135" i="55"/>
  <c r="I14" i="61"/>
  <c r="M32" i="62"/>
  <c r="L32" i="62"/>
  <c r="C212" i="63"/>
  <c r="F117" i="61"/>
  <c r="F121" i="61"/>
  <c r="H130" i="61"/>
  <c r="K120" i="61"/>
  <c r="C129" i="61"/>
  <c r="J120" i="61"/>
  <c r="B129" i="61"/>
  <c r="D120" i="61"/>
  <c r="L127" i="61"/>
  <c r="L126" i="61"/>
  <c r="M124" i="61"/>
  <c r="K124" i="61"/>
  <c r="D124" i="61"/>
  <c r="C124" i="61"/>
  <c r="B122" i="61"/>
  <c r="G121" i="61"/>
  <c r="H401" i="63"/>
  <c r="C155" i="63"/>
  <c r="F157" i="63" s="1"/>
  <c r="E259" i="65"/>
  <c r="E245" i="65"/>
  <c r="A275" i="65" s="1"/>
  <c r="E12" i="67"/>
  <c r="G12" i="67" s="1"/>
  <c r="I34" i="66"/>
  <c r="AA24" i="66"/>
  <c r="E396" i="83"/>
  <c r="A434" i="83" s="1"/>
  <c r="E414" i="83"/>
  <c r="AA12" i="8"/>
  <c r="B63" i="21"/>
  <c r="H96" i="29"/>
  <c r="J35" i="4"/>
  <c r="AA9" i="6"/>
  <c r="AB48" i="6"/>
  <c r="E77" i="7"/>
  <c r="A95" i="7" s="1"/>
  <c r="AB5" i="8"/>
  <c r="I28" i="12"/>
  <c r="K28" i="12" s="1"/>
  <c r="I38" i="14"/>
  <c r="K38" i="14" s="1"/>
  <c r="C248" i="15"/>
  <c r="AB5" i="18"/>
  <c r="I30" i="18"/>
  <c r="K30" i="18" s="1"/>
  <c r="D33" i="21"/>
  <c r="D35" i="21"/>
  <c r="D63" i="21"/>
  <c r="D65" i="21"/>
  <c r="D67" i="21"/>
  <c r="D99" i="21"/>
  <c r="D101" i="21"/>
  <c r="D103" i="21"/>
  <c r="C63" i="23"/>
  <c r="C65" i="23"/>
  <c r="C67" i="23"/>
  <c r="C69" i="23"/>
  <c r="I29" i="24"/>
  <c r="K29" i="24" s="1"/>
  <c r="H62" i="25"/>
  <c r="I64" i="25"/>
  <c r="C67" i="25"/>
  <c r="D69" i="25"/>
  <c r="H214" i="25"/>
  <c r="D248" i="25"/>
  <c r="I29" i="26"/>
  <c r="K29" i="26" s="1"/>
  <c r="E121" i="31"/>
  <c r="A143" i="31" s="1"/>
  <c r="E131" i="31"/>
  <c r="J38" i="30"/>
  <c r="B103" i="31"/>
  <c r="F249" i="31"/>
  <c r="J29" i="32"/>
  <c r="AA45" i="32"/>
  <c r="B45" i="33"/>
  <c r="H47" i="33"/>
  <c r="G129" i="33"/>
  <c r="M38" i="34"/>
  <c r="L38" i="34"/>
  <c r="J42" i="34"/>
  <c r="F8" i="35"/>
  <c r="H8" i="35" s="1"/>
  <c r="H291" i="35"/>
  <c r="C63" i="35"/>
  <c r="F65" i="35" s="1"/>
  <c r="C139" i="35"/>
  <c r="H323" i="35"/>
  <c r="B73" i="37"/>
  <c r="E76" i="37"/>
  <c r="J79" i="37"/>
  <c r="G10" i="39"/>
  <c r="E186" i="39"/>
  <c r="J32" i="40"/>
  <c r="H7" i="41"/>
  <c r="E185" i="41"/>
  <c r="AB14" i="42"/>
  <c r="D9" i="43"/>
  <c r="H9" i="43" s="1"/>
  <c r="H325" i="43"/>
  <c r="E139" i="43"/>
  <c r="F143" i="43" s="1"/>
  <c r="K33" i="43"/>
  <c r="G38" i="43"/>
  <c r="C91" i="45"/>
  <c r="J95" i="45"/>
  <c r="H315" i="45"/>
  <c r="AA48" i="46"/>
  <c r="J35" i="48"/>
  <c r="J40" i="48"/>
  <c r="F46" i="49"/>
  <c r="F60" i="49"/>
  <c r="F52" i="49"/>
  <c r="J53" i="49"/>
  <c r="K58" i="49"/>
  <c r="D113" i="49"/>
  <c r="G187" i="51"/>
  <c r="F187" i="51"/>
  <c r="H315" i="51"/>
  <c r="C120" i="51"/>
  <c r="K132" i="51" s="1"/>
  <c r="E173" i="53"/>
  <c r="A199" i="53" s="1"/>
  <c r="AA27" i="54"/>
  <c r="I35" i="54"/>
  <c r="K35" i="54" s="1"/>
  <c r="L34" i="56"/>
  <c r="B126" i="61"/>
  <c r="I212" i="63"/>
  <c r="M35" i="68"/>
  <c r="L35" i="68"/>
  <c r="M38" i="70"/>
  <c r="L38" i="70"/>
  <c r="L102" i="73"/>
  <c r="H401" i="61"/>
  <c r="C155" i="61"/>
  <c r="F157" i="61" s="1"/>
  <c r="AA9" i="66"/>
  <c r="E7" i="67"/>
  <c r="G7" i="67" s="1"/>
  <c r="I29" i="66"/>
  <c r="F6" i="14"/>
  <c r="H6" i="14" s="1"/>
  <c r="J6" i="14" s="1"/>
  <c r="E33" i="21"/>
  <c r="E35" i="21"/>
  <c r="E65" i="21"/>
  <c r="E67" i="21"/>
  <c r="E69" i="21"/>
  <c r="E97" i="21"/>
  <c r="E99" i="21"/>
  <c r="E101" i="21"/>
  <c r="E103" i="21"/>
  <c r="F39" i="25"/>
  <c r="D245" i="27"/>
  <c r="I101" i="29"/>
  <c r="D248" i="29"/>
  <c r="B72" i="31"/>
  <c r="AB45" i="32"/>
  <c r="J41" i="32"/>
  <c r="E52" i="33"/>
  <c r="E46" i="33"/>
  <c r="D52" i="33"/>
  <c r="D46" i="33"/>
  <c r="F51" i="33"/>
  <c r="B47" i="33"/>
  <c r="C51" i="33"/>
  <c r="I48" i="33"/>
  <c r="G46" i="33"/>
  <c r="G52" i="33"/>
  <c r="C50" i="33"/>
  <c r="I47" i="33"/>
  <c r="G45" i="33"/>
  <c r="I50" i="33"/>
  <c r="B48" i="33"/>
  <c r="D45" i="33"/>
  <c r="C45" i="33"/>
  <c r="C48" i="33"/>
  <c r="D51" i="33"/>
  <c r="C101" i="33"/>
  <c r="C100" i="33"/>
  <c r="F187" i="35"/>
  <c r="D63" i="35"/>
  <c r="F66" i="35" s="1"/>
  <c r="H292" i="35"/>
  <c r="D139" i="35"/>
  <c r="H324" i="35"/>
  <c r="N207" i="35"/>
  <c r="F6" i="36"/>
  <c r="H6" i="36" s="1"/>
  <c r="J6" i="36" s="1"/>
  <c r="E188" i="39"/>
  <c r="E176" i="39"/>
  <c r="A202" i="39" s="1"/>
  <c r="H11" i="39"/>
  <c r="M35" i="38"/>
  <c r="L35" i="38"/>
  <c r="E177" i="43"/>
  <c r="A203" i="43" s="1"/>
  <c r="E189" i="43"/>
  <c r="E9" i="43"/>
  <c r="AA15" i="42"/>
  <c r="I31" i="42"/>
  <c r="F186" i="43"/>
  <c r="M31" i="44"/>
  <c r="L31" i="44"/>
  <c r="AB6" i="46"/>
  <c r="F6" i="47"/>
  <c r="H6" i="47" s="1"/>
  <c r="J28" i="46"/>
  <c r="K28" i="46" s="1"/>
  <c r="B108" i="49"/>
  <c r="H284" i="51"/>
  <c r="D44" i="51"/>
  <c r="K56" i="51" s="1"/>
  <c r="D332" i="51"/>
  <c r="L32" i="52"/>
  <c r="M32" i="52"/>
  <c r="AA18" i="56"/>
  <c r="E10" i="57"/>
  <c r="G10" i="57" s="1"/>
  <c r="I32" i="56"/>
  <c r="I39" i="56"/>
  <c r="K39" i="56" s="1"/>
  <c r="AA39" i="56"/>
  <c r="M30" i="60"/>
  <c r="L30" i="60"/>
  <c r="C126" i="61"/>
  <c r="AB27" i="62"/>
  <c r="F13" i="63"/>
  <c r="H13" i="63" s="1"/>
  <c r="J35" i="62"/>
  <c r="J38" i="62"/>
  <c r="AB36" i="62"/>
  <c r="E8" i="67"/>
  <c r="G8" i="67" s="1"/>
  <c r="AA12" i="66"/>
  <c r="I30" i="66"/>
  <c r="M30" i="68"/>
  <c r="L30" i="68"/>
  <c r="H103" i="73"/>
  <c r="N317" i="73"/>
  <c r="G402" i="83"/>
  <c r="I28" i="6"/>
  <c r="K28" i="6" s="1"/>
  <c r="F84" i="11"/>
  <c r="F130" i="15"/>
  <c r="J38" i="16"/>
  <c r="F135" i="17"/>
  <c r="I38" i="18"/>
  <c r="K38" i="18" s="1"/>
  <c r="F29" i="21"/>
  <c r="F31" i="21"/>
  <c r="F33" i="21"/>
  <c r="F63" i="21"/>
  <c r="F65" i="21"/>
  <c r="F99" i="21"/>
  <c r="F103" i="21"/>
  <c r="F129" i="21"/>
  <c r="E21" i="23"/>
  <c r="E63" i="23"/>
  <c r="E65" i="23"/>
  <c r="E67" i="23"/>
  <c r="E69" i="23"/>
  <c r="E89" i="23"/>
  <c r="C38" i="25"/>
  <c r="F46" i="25" s="1"/>
  <c r="C63" i="25"/>
  <c r="D65" i="25"/>
  <c r="E67" i="25"/>
  <c r="I29" i="28"/>
  <c r="B102" i="29"/>
  <c r="AB15" i="30"/>
  <c r="F9" i="31"/>
  <c r="H9" i="31" s="1"/>
  <c r="D72" i="31"/>
  <c r="F75" i="31" s="1"/>
  <c r="I97" i="31"/>
  <c r="H100" i="31"/>
  <c r="L33" i="32"/>
  <c r="J35" i="32"/>
  <c r="E9" i="33"/>
  <c r="G9" i="33" s="1"/>
  <c r="H204" i="33"/>
  <c r="B21" i="33"/>
  <c r="C245" i="33"/>
  <c r="C249" i="33"/>
  <c r="H236" i="33"/>
  <c r="E45" i="33"/>
  <c r="E51" i="33"/>
  <c r="E188" i="35"/>
  <c r="E176" i="35"/>
  <c r="A202" i="35" s="1"/>
  <c r="L40" i="34"/>
  <c r="L42" i="34"/>
  <c r="K98" i="35"/>
  <c r="G185" i="37"/>
  <c r="L244" i="37" s="1"/>
  <c r="C12" i="37"/>
  <c r="G12" i="37" s="1"/>
  <c r="H323" i="37"/>
  <c r="C139" i="37"/>
  <c r="E70" i="37"/>
  <c r="D73" i="37"/>
  <c r="F191" i="37"/>
  <c r="I33" i="38"/>
  <c r="K33" i="38" s="1"/>
  <c r="E8" i="39"/>
  <c r="G8" i="39" s="1"/>
  <c r="D334" i="39"/>
  <c r="H300" i="39"/>
  <c r="E10" i="41"/>
  <c r="G10" i="41" s="1"/>
  <c r="G186" i="41"/>
  <c r="E178" i="43"/>
  <c r="A204" i="43" s="1"/>
  <c r="E190" i="43"/>
  <c r="L28" i="42"/>
  <c r="AB15" i="42"/>
  <c r="J31" i="42"/>
  <c r="I38" i="43"/>
  <c r="C10" i="45"/>
  <c r="G10" i="45" s="1"/>
  <c r="AA17" i="44"/>
  <c r="C96" i="45"/>
  <c r="E91" i="45"/>
  <c r="D336" i="45"/>
  <c r="AB36" i="46"/>
  <c r="J38" i="46"/>
  <c r="F188" i="47"/>
  <c r="G187" i="49"/>
  <c r="C55" i="49"/>
  <c r="E60" i="49"/>
  <c r="F109" i="49"/>
  <c r="C70" i="51"/>
  <c r="E259" i="55"/>
  <c r="E245" i="55"/>
  <c r="A275" i="55" s="1"/>
  <c r="I38" i="54"/>
  <c r="K38" i="54" s="1"/>
  <c r="AA36" i="54"/>
  <c r="AB8" i="56"/>
  <c r="D7" i="57"/>
  <c r="H7" i="57" s="1"/>
  <c r="D126" i="61"/>
  <c r="C71" i="63"/>
  <c r="F73" i="63" s="1"/>
  <c r="G253" i="67"/>
  <c r="P269" i="67"/>
  <c r="E237" i="67"/>
  <c r="A267" i="67" s="1"/>
  <c r="L30" i="70"/>
  <c r="K66" i="71"/>
  <c r="F63" i="71"/>
  <c r="C60" i="71"/>
  <c r="J66" i="71"/>
  <c r="E63" i="71"/>
  <c r="M59" i="71"/>
  <c r="I66" i="71"/>
  <c r="D63" i="71"/>
  <c r="F52" i="71"/>
  <c r="M65" i="71"/>
  <c r="C63" i="71"/>
  <c r="L65" i="71"/>
  <c r="I62" i="71"/>
  <c r="G65" i="71"/>
  <c r="G64" i="71"/>
  <c r="C59" i="71"/>
  <c r="F64" i="71"/>
  <c r="B59" i="71"/>
  <c r="E64" i="71"/>
  <c r="M58" i="71"/>
  <c r="I68" i="71"/>
  <c r="C64" i="71"/>
  <c r="L57" i="71"/>
  <c r="C68" i="71"/>
  <c r="M61" i="71"/>
  <c r="G57" i="71"/>
  <c r="K61" i="71"/>
  <c r="I61" i="71"/>
  <c r="H61" i="71"/>
  <c r="H68" i="71"/>
  <c r="E68" i="71"/>
  <c r="D68" i="71"/>
  <c r="B68" i="71"/>
  <c r="F67" i="71"/>
  <c r="I57" i="71"/>
  <c r="E67" i="71"/>
  <c r="K65" i="71"/>
  <c r="J65" i="71"/>
  <c r="I65" i="71"/>
  <c r="B64" i="71"/>
  <c r="M63" i="71"/>
  <c r="F57" i="71"/>
  <c r="M67" i="71"/>
  <c r="B62" i="71"/>
  <c r="I103" i="73"/>
  <c r="F249" i="73"/>
  <c r="G249" i="73"/>
  <c r="N318" i="73" s="1"/>
  <c r="B35" i="21"/>
  <c r="B69" i="21"/>
  <c r="B99" i="21"/>
  <c r="G29" i="21"/>
  <c r="G31" i="21"/>
  <c r="G33" i="21"/>
  <c r="G63" i="21"/>
  <c r="G65" i="21"/>
  <c r="G99" i="21"/>
  <c r="F63" i="23"/>
  <c r="B69" i="25"/>
  <c r="B67" i="25"/>
  <c r="B65" i="25"/>
  <c r="B63" i="25"/>
  <c r="D63" i="25"/>
  <c r="E65" i="25"/>
  <c r="J29" i="28"/>
  <c r="F102" i="31"/>
  <c r="F96" i="31"/>
  <c r="E102" i="31"/>
  <c r="E96" i="31"/>
  <c r="I100" i="31"/>
  <c r="E103" i="31"/>
  <c r="C8" i="33"/>
  <c r="G8" i="33" s="1"/>
  <c r="AA11" i="32"/>
  <c r="AB48" i="32"/>
  <c r="F9" i="33"/>
  <c r="H9" i="33" s="1"/>
  <c r="F45" i="33"/>
  <c r="G51" i="33"/>
  <c r="G78" i="37"/>
  <c r="K76" i="37"/>
  <c r="E75" i="37"/>
  <c r="I73" i="37"/>
  <c r="C72" i="37"/>
  <c r="G70" i="37"/>
  <c r="F78" i="37"/>
  <c r="J76" i="37"/>
  <c r="D75" i="37"/>
  <c r="H73" i="37"/>
  <c r="B72" i="37"/>
  <c r="F70" i="37"/>
  <c r="E79" i="37"/>
  <c r="G77" i="37"/>
  <c r="I75" i="37"/>
  <c r="K73" i="37"/>
  <c r="K71" i="37"/>
  <c r="D79" i="37"/>
  <c r="F77" i="37"/>
  <c r="H75" i="37"/>
  <c r="J73" i="37"/>
  <c r="J71" i="37"/>
  <c r="C79" i="37"/>
  <c r="E77" i="37"/>
  <c r="G75" i="37"/>
  <c r="G73" i="37"/>
  <c r="B79" i="37"/>
  <c r="D77" i="37"/>
  <c r="F75" i="37"/>
  <c r="F73" i="37"/>
  <c r="K78" i="37"/>
  <c r="C75" i="37"/>
  <c r="E73" i="37"/>
  <c r="G71" i="37"/>
  <c r="D78" i="37"/>
  <c r="F76" i="37"/>
  <c r="H74" i="37"/>
  <c r="J72" i="37"/>
  <c r="J77" i="37"/>
  <c r="I74" i="37"/>
  <c r="D72" i="37"/>
  <c r="H79" i="37"/>
  <c r="G76" i="37"/>
  <c r="B74" i="37"/>
  <c r="J70" i="37"/>
  <c r="C74" i="37"/>
  <c r="D9" i="39"/>
  <c r="AB14" i="38"/>
  <c r="J33" i="38"/>
  <c r="F6" i="39"/>
  <c r="H6" i="39" s="1"/>
  <c r="E190" i="39"/>
  <c r="L39" i="40"/>
  <c r="H292" i="41"/>
  <c r="D63" i="41"/>
  <c r="F66" i="41" s="1"/>
  <c r="D139" i="41"/>
  <c r="I148" i="41" s="1"/>
  <c r="D337" i="41"/>
  <c r="H110" i="41"/>
  <c r="F102" i="41"/>
  <c r="G188" i="41"/>
  <c r="AB23" i="42"/>
  <c r="D12" i="43"/>
  <c r="I40" i="42"/>
  <c r="K40" i="42" s="1"/>
  <c r="D82" i="43"/>
  <c r="F85" i="43" s="1"/>
  <c r="H300" i="43"/>
  <c r="C40" i="43"/>
  <c r="D36" i="43"/>
  <c r="G39" i="43"/>
  <c r="K35" i="43"/>
  <c r="F32" i="43"/>
  <c r="F39" i="43"/>
  <c r="J35" i="43"/>
  <c r="K39" i="43"/>
  <c r="G187" i="43"/>
  <c r="F187" i="43"/>
  <c r="F84" i="45"/>
  <c r="I97" i="45"/>
  <c r="I89" i="45"/>
  <c r="D93" i="45"/>
  <c r="G89" i="45"/>
  <c r="C93" i="45"/>
  <c r="E89" i="45"/>
  <c r="F91" i="45"/>
  <c r="B148" i="47"/>
  <c r="AB8" i="48"/>
  <c r="D7" i="49"/>
  <c r="H7" i="49" s="1"/>
  <c r="I60" i="49"/>
  <c r="G109" i="49"/>
  <c r="E188" i="49"/>
  <c r="K31" i="50"/>
  <c r="E52" i="51"/>
  <c r="E174" i="51"/>
  <c r="A200" i="51" s="1"/>
  <c r="C63" i="53"/>
  <c r="F65" i="53" s="1"/>
  <c r="E13" i="55"/>
  <c r="G13" i="55" s="1"/>
  <c r="L41" i="60"/>
  <c r="M41" i="60"/>
  <c r="E251" i="63"/>
  <c r="E237" i="63"/>
  <c r="A267" i="63" s="1"/>
  <c r="E248" i="71"/>
  <c r="F250" i="71" s="1"/>
  <c r="F6" i="70"/>
  <c r="E234" i="71"/>
  <c r="A264" i="71" s="1"/>
  <c r="C62" i="73"/>
  <c r="G250" i="73"/>
  <c r="F250" i="73"/>
  <c r="K90" i="35"/>
  <c r="J93" i="35"/>
  <c r="C96" i="35"/>
  <c r="G7" i="37"/>
  <c r="C110" i="37"/>
  <c r="J78" i="39"/>
  <c r="D75" i="39"/>
  <c r="F73" i="39"/>
  <c r="F71" i="39"/>
  <c r="I78" i="39"/>
  <c r="K76" i="39"/>
  <c r="C75" i="39"/>
  <c r="E73" i="39"/>
  <c r="E71" i="39"/>
  <c r="G78" i="39"/>
  <c r="K74" i="39"/>
  <c r="K72" i="39"/>
  <c r="B74" i="39"/>
  <c r="D77" i="39"/>
  <c r="G193" i="39"/>
  <c r="E11" i="41"/>
  <c r="G11" i="41" s="1"/>
  <c r="AA12" i="42"/>
  <c r="C8" i="43"/>
  <c r="G8" i="43" s="1"/>
  <c r="AA11" i="42"/>
  <c r="H35" i="43"/>
  <c r="K91" i="45"/>
  <c r="D127" i="45"/>
  <c r="G131" i="45"/>
  <c r="M40" i="46"/>
  <c r="L40" i="46"/>
  <c r="B63" i="47"/>
  <c r="H290" i="47"/>
  <c r="H322" i="47"/>
  <c r="C337" i="47"/>
  <c r="B92" i="47"/>
  <c r="E95" i="47"/>
  <c r="E139" i="47"/>
  <c r="G153" i="47" s="1"/>
  <c r="AA15" i="48"/>
  <c r="E9" i="49"/>
  <c r="G9" i="49" s="1"/>
  <c r="H299" i="49"/>
  <c r="C82" i="49"/>
  <c r="F84" i="49" s="1"/>
  <c r="F27" i="49"/>
  <c r="H40" i="49"/>
  <c r="F38" i="49"/>
  <c r="H35" i="49"/>
  <c r="F33" i="49"/>
  <c r="G40" i="49"/>
  <c r="E38" i="49"/>
  <c r="G35" i="49"/>
  <c r="F40" i="49"/>
  <c r="D38" i="49"/>
  <c r="F35" i="49"/>
  <c r="E40" i="49"/>
  <c r="C38" i="49"/>
  <c r="D40" i="49"/>
  <c r="K37" i="49"/>
  <c r="K32" i="49"/>
  <c r="H33" i="49"/>
  <c r="C37" i="49"/>
  <c r="H41" i="49"/>
  <c r="I51" i="49"/>
  <c r="H55" i="49"/>
  <c r="D70" i="49"/>
  <c r="D74" i="49"/>
  <c r="F189" i="49"/>
  <c r="AA5" i="52"/>
  <c r="E82" i="53"/>
  <c r="H301" i="53"/>
  <c r="C173" i="55"/>
  <c r="K171" i="55"/>
  <c r="G162" i="55"/>
  <c r="B173" i="55"/>
  <c r="J171" i="55"/>
  <c r="B169" i="55"/>
  <c r="J167" i="55"/>
  <c r="F166" i="55"/>
  <c r="B165" i="55"/>
  <c r="J163" i="55"/>
  <c r="I163" i="55"/>
  <c r="H171" i="55"/>
  <c r="D170" i="55"/>
  <c r="L168" i="55"/>
  <c r="H167" i="55"/>
  <c r="D166" i="55"/>
  <c r="G167" i="55"/>
  <c r="C166" i="55"/>
  <c r="K164" i="55"/>
  <c r="C162" i="55"/>
  <c r="K173" i="55"/>
  <c r="G172" i="55"/>
  <c r="C171" i="55"/>
  <c r="K169" i="55"/>
  <c r="B168" i="55"/>
  <c r="L163" i="55"/>
  <c r="L169" i="55"/>
  <c r="M167" i="55"/>
  <c r="I165" i="55"/>
  <c r="F163" i="55"/>
  <c r="B172" i="55"/>
  <c r="I169" i="55"/>
  <c r="F167" i="55"/>
  <c r="G165" i="55"/>
  <c r="J173" i="55"/>
  <c r="L171" i="55"/>
  <c r="H169" i="55"/>
  <c r="E167" i="55"/>
  <c r="B163" i="55"/>
  <c r="M162" i="55"/>
  <c r="H172" i="55"/>
  <c r="H166" i="55"/>
  <c r="L162" i="55"/>
  <c r="F172" i="55"/>
  <c r="D169" i="55"/>
  <c r="B166" i="55"/>
  <c r="K162" i="55"/>
  <c r="I162" i="55"/>
  <c r="M170" i="55"/>
  <c r="I164" i="55"/>
  <c r="B171" i="55"/>
  <c r="E214" i="55"/>
  <c r="E206" i="55"/>
  <c r="I29" i="56"/>
  <c r="E7" i="57"/>
  <c r="G7" i="57" s="1"/>
  <c r="C13" i="57"/>
  <c r="AA26" i="56"/>
  <c r="I35" i="56"/>
  <c r="D6" i="59"/>
  <c r="AB5" i="58"/>
  <c r="AB39" i="58"/>
  <c r="J39" i="58"/>
  <c r="L42" i="58"/>
  <c r="M42" i="58"/>
  <c r="E155" i="59"/>
  <c r="F159" i="59" s="1"/>
  <c r="H403" i="59"/>
  <c r="I14" i="63"/>
  <c r="E433" i="63" s="1"/>
  <c r="M36" i="66"/>
  <c r="F430" i="71"/>
  <c r="G12" i="73"/>
  <c r="M33" i="62"/>
  <c r="L33" i="62"/>
  <c r="F431" i="65"/>
  <c r="E320" i="79"/>
  <c r="E304" i="79"/>
  <c r="A338" i="79" s="1"/>
  <c r="F6" i="78"/>
  <c r="H6" i="78" s="1"/>
  <c r="J6" i="78" s="1"/>
  <c r="F6" i="42"/>
  <c r="H6" i="42" s="1"/>
  <c r="J6" i="42" s="1"/>
  <c r="E172" i="43"/>
  <c r="A198" i="43" s="1"/>
  <c r="AA45" i="42"/>
  <c r="I41" i="42"/>
  <c r="K41" i="42" s="1"/>
  <c r="H323" i="43"/>
  <c r="C139" i="43"/>
  <c r="F141" i="43" s="1"/>
  <c r="G6" i="45"/>
  <c r="H108" i="45"/>
  <c r="B136" i="45"/>
  <c r="H129" i="45"/>
  <c r="H127" i="45"/>
  <c r="H132" i="45"/>
  <c r="G127" i="45"/>
  <c r="C131" i="45"/>
  <c r="I128" i="45"/>
  <c r="H128" i="45"/>
  <c r="E135" i="45"/>
  <c r="H130" i="45"/>
  <c r="K129" i="45"/>
  <c r="E127" i="45"/>
  <c r="K127" i="45"/>
  <c r="G193" i="45"/>
  <c r="F10" i="47"/>
  <c r="H10" i="47" s="1"/>
  <c r="AB18" i="46"/>
  <c r="J32" i="46"/>
  <c r="M38" i="46"/>
  <c r="L38" i="46"/>
  <c r="D63" i="47"/>
  <c r="F66" i="47" s="1"/>
  <c r="E96" i="47"/>
  <c r="AB36" i="50"/>
  <c r="J38" i="50"/>
  <c r="H299" i="51"/>
  <c r="C82" i="51"/>
  <c r="F84" i="51" s="1"/>
  <c r="G52" i="51"/>
  <c r="C59" i="51"/>
  <c r="G51" i="51"/>
  <c r="E51" i="51"/>
  <c r="D52" i="51"/>
  <c r="K51" i="51"/>
  <c r="H59" i="51"/>
  <c r="AB18" i="52"/>
  <c r="F10" i="53"/>
  <c r="E12" i="53"/>
  <c r="G12" i="53" s="1"/>
  <c r="AA24" i="52"/>
  <c r="I34" i="52"/>
  <c r="C25" i="53"/>
  <c r="F27" i="53" s="1"/>
  <c r="H275" i="53"/>
  <c r="C101" i="53"/>
  <c r="F103" i="53" s="1"/>
  <c r="H307" i="53"/>
  <c r="D8" i="55"/>
  <c r="H8" i="55" s="1"/>
  <c r="AB11" i="54"/>
  <c r="J30" i="54"/>
  <c r="H370" i="55"/>
  <c r="D71" i="55"/>
  <c r="F74" i="55" s="1"/>
  <c r="H402" i="55"/>
  <c r="D155" i="55"/>
  <c r="E162" i="55" s="1"/>
  <c r="H206" i="57"/>
  <c r="M213" i="57"/>
  <c r="G254" i="59"/>
  <c r="P270" i="59"/>
  <c r="F428" i="73"/>
  <c r="I15" i="77"/>
  <c r="E536" i="77" s="1"/>
  <c r="E8" i="107"/>
  <c r="I30" i="106"/>
  <c r="AA12" i="106"/>
  <c r="J30" i="42"/>
  <c r="K30" i="42" s="1"/>
  <c r="F8" i="43"/>
  <c r="H8" i="43" s="1"/>
  <c r="J41" i="42"/>
  <c r="AB45" i="42"/>
  <c r="D139" i="43"/>
  <c r="F142" i="43" s="1"/>
  <c r="D337" i="43"/>
  <c r="AA30" i="44"/>
  <c r="I36" i="44"/>
  <c r="K36" i="44" s="1"/>
  <c r="F333" i="45"/>
  <c r="C25" i="45"/>
  <c r="F27" i="45" s="1"/>
  <c r="H275" i="45"/>
  <c r="C101" i="45"/>
  <c r="H307" i="45"/>
  <c r="J131" i="45"/>
  <c r="AA12" i="46"/>
  <c r="E8" i="47"/>
  <c r="G8" i="47" s="1"/>
  <c r="H293" i="47"/>
  <c r="E63" i="47"/>
  <c r="F67" i="47" s="1"/>
  <c r="E92" i="47"/>
  <c r="L36" i="48"/>
  <c r="M36" i="48"/>
  <c r="H60" i="49"/>
  <c r="B59" i="49"/>
  <c r="F57" i="49"/>
  <c r="J55" i="49"/>
  <c r="H52" i="49"/>
  <c r="B51" i="49"/>
  <c r="F45" i="49"/>
  <c r="J59" i="49"/>
  <c r="C58" i="49"/>
  <c r="I54" i="49"/>
  <c r="B53" i="49"/>
  <c r="E51" i="49"/>
  <c r="I59" i="49"/>
  <c r="B58" i="49"/>
  <c r="H54" i="49"/>
  <c r="K52" i="49"/>
  <c r="D51" i="49"/>
  <c r="H59" i="49"/>
  <c r="K57" i="49"/>
  <c r="J52" i="49"/>
  <c r="C51" i="49"/>
  <c r="G59" i="49"/>
  <c r="J57" i="49"/>
  <c r="C56" i="49"/>
  <c r="I52" i="49"/>
  <c r="F59" i="49"/>
  <c r="I57" i="49"/>
  <c r="B56" i="49"/>
  <c r="G52" i="49"/>
  <c r="B60" i="49"/>
  <c r="D57" i="49"/>
  <c r="B55" i="49"/>
  <c r="D52" i="49"/>
  <c r="K59" i="49"/>
  <c r="C57" i="49"/>
  <c r="K54" i="49"/>
  <c r="C52" i="49"/>
  <c r="E59" i="49"/>
  <c r="B57" i="49"/>
  <c r="J54" i="49"/>
  <c r="B52" i="49"/>
  <c r="D59" i="49"/>
  <c r="K56" i="49"/>
  <c r="C54" i="49"/>
  <c r="K51" i="49"/>
  <c r="C59" i="49"/>
  <c r="J56" i="49"/>
  <c r="B54" i="49"/>
  <c r="J51" i="49"/>
  <c r="J60" i="49"/>
  <c r="G58" i="49"/>
  <c r="I55" i="49"/>
  <c r="C53" i="49"/>
  <c r="H56" i="49"/>
  <c r="G60" i="49"/>
  <c r="J31" i="50"/>
  <c r="AB15" i="50"/>
  <c r="M40" i="50"/>
  <c r="L40" i="50"/>
  <c r="F334" i="51"/>
  <c r="F337" i="51"/>
  <c r="H300" i="51"/>
  <c r="D82" i="51"/>
  <c r="F85" i="51" s="1"/>
  <c r="F45" i="51"/>
  <c r="F189" i="51"/>
  <c r="AB12" i="52"/>
  <c r="F8" i="53"/>
  <c r="H8" i="53" s="1"/>
  <c r="J34" i="52"/>
  <c r="AB24" i="52"/>
  <c r="F12" i="53"/>
  <c r="H12" i="53" s="1"/>
  <c r="D25" i="53"/>
  <c r="F28" i="53" s="1"/>
  <c r="H276" i="53"/>
  <c r="D101" i="53"/>
  <c r="F104" i="53" s="1"/>
  <c r="H308" i="53"/>
  <c r="E8" i="55"/>
  <c r="I30" i="54"/>
  <c r="K30" i="54" s="1"/>
  <c r="H403" i="55"/>
  <c r="E155" i="55"/>
  <c r="F159" i="55" s="1"/>
  <c r="C214" i="55"/>
  <c r="J207" i="55"/>
  <c r="H204" i="55"/>
  <c r="J206" i="55"/>
  <c r="K212" i="55"/>
  <c r="G254" i="57"/>
  <c r="F254" i="57"/>
  <c r="P270" i="57"/>
  <c r="K214" i="57"/>
  <c r="C215" i="57"/>
  <c r="J213" i="57"/>
  <c r="F212" i="57"/>
  <c r="B211" i="57"/>
  <c r="J209" i="57"/>
  <c r="F208" i="57"/>
  <c r="B207" i="57"/>
  <c r="J205" i="57"/>
  <c r="F204" i="57"/>
  <c r="B215" i="57"/>
  <c r="I213" i="57"/>
  <c r="E212" i="57"/>
  <c r="M210" i="57"/>
  <c r="I209" i="57"/>
  <c r="E208" i="57"/>
  <c r="I205" i="57"/>
  <c r="E204" i="57"/>
  <c r="H213" i="57"/>
  <c r="D212" i="57"/>
  <c r="L210" i="57"/>
  <c r="H209" i="57"/>
  <c r="D208" i="57"/>
  <c r="H205" i="57"/>
  <c r="D204" i="57"/>
  <c r="G213" i="57"/>
  <c r="C212" i="57"/>
  <c r="K210" i="57"/>
  <c r="G209" i="57"/>
  <c r="C208" i="57"/>
  <c r="K206" i="57"/>
  <c r="G205" i="57"/>
  <c r="C204" i="57"/>
  <c r="J214" i="57"/>
  <c r="F213" i="57"/>
  <c r="B212" i="57"/>
  <c r="J210" i="57"/>
  <c r="F209" i="57"/>
  <c r="B208" i="57"/>
  <c r="J206" i="57"/>
  <c r="F205" i="57"/>
  <c r="B204" i="57"/>
  <c r="F198" i="57"/>
  <c r="K215" i="57"/>
  <c r="F214" i="57"/>
  <c r="B213" i="57"/>
  <c r="J211" i="57"/>
  <c r="F210" i="57"/>
  <c r="B209" i="57"/>
  <c r="J207" i="57"/>
  <c r="F206" i="57"/>
  <c r="B205" i="57"/>
  <c r="L213" i="57"/>
  <c r="H211" i="57"/>
  <c r="E209" i="57"/>
  <c r="F207" i="57"/>
  <c r="C205" i="57"/>
  <c r="J215" i="57"/>
  <c r="K213" i="57"/>
  <c r="G211" i="57"/>
  <c r="D209" i="57"/>
  <c r="M204" i="57"/>
  <c r="I215" i="57"/>
  <c r="E213" i="57"/>
  <c r="F211" i="57"/>
  <c r="C209" i="57"/>
  <c r="L204" i="57"/>
  <c r="H215" i="57"/>
  <c r="D213" i="57"/>
  <c r="E211" i="57"/>
  <c r="M208" i="57"/>
  <c r="C207" i="57"/>
  <c r="K204" i="57"/>
  <c r="G215" i="57"/>
  <c r="C213" i="57"/>
  <c r="D211" i="57"/>
  <c r="L208" i="57"/>
  <c r="I206" i="57"/>
  <c r="J204" i="57"/>
  <c r="K212" i="57"/>
  <c r="B210" i="57"/>
  <c r="G206" i="57"/>
  <c r="G212" i="57"/>
  <c r="K208" i="57"/>
  <c r="B206" i="57"/>
  <c r="K211" i="57"/>
  <c r="H204" i="57"/>
  <c r="I214" i="57"/>
  <c r="I211" i="57"/>
  <c r="G204" i="57"/>
  <c r="H214" i="57"/>
  <c r="C211" i="57"/>
  <c r="K207" i="57"/>
  <c r="G214" i="57"/>
  <c r="I210" i="57"/>
  <c r="I207" i="57"/>
  <c r="H210" i="57"/>
  <c r="H207" i="57"/>
  <c r="G210" i="57"/>
  <c r="G207" i="57"/>
  <c r="M212" i="57"/>
  <c r="M209" i="57"/>
  <c r="C206" i="57"/>
  <c r="G208" i="57"/>
  <c r="B214" i="57"/>
  <c r="G253" i="57"/>
  <c r="F253" i="57"/>
  <c r="P269" i="57"/>
  <c r="I31" i="58"/>
  <c r="AA15" i="58"/>
  <c r="E9" i="59"/>
  <c r="G9" i="59" s="1"/>
  <c r="F433" i="59"/>
  <c r="AA26" i="60"/>
  <c r="C13" i="61"/>
  <c r="F178" i="65"/>
  <c r="C194" i="65"/>
  <c r="M193" i="65"/>
  <c r="J184" i="65"/>
  <c r="L193" i="65"/>
  <c r="I184" i="65"/>
  <c r="H184" i="65"/>
  <c r="J30" i="76"/>
  <c r="F8" i="77"/>
  <c r="AB12" i="76"/>
  <c r="G325" i="77"/>
  <c r="R343" i="77"/>
  <c r="E255" i="57"/>
  <c r="E241" i="57"/>
  <c r="A271" i="57" s="1"/>
  <c r="H208" i="57"/>
  <c r="C214" i="57"/>
  <c r="J29" i="58"/>
  <c r="D7" i="59"/>
  <c r="H7" i="59" s="1"/>
  <c r="E234" i="61"/>
  <c r="A264" i="61" s="1"/>
  <c r="F6" i="60"/>
  <c r="E248" i="61"/>
  <c r="D13" i="61"/>
  <c r="AB26" i="60"/>
  <c r="G256" i="65"/>
  <c r="P272" i="65"/>
  <c r="J42" i="66"/>
  <c r="AB48" i="66"/>
  <c r="D10" i="73"/>
  <c r="J32" i="72"/>
  <c r="K32" i="72" s="1"/>
  <c r="G6" i="43"/>
  <c r="F6" i="44"/>
  <c r="H6" i="44" s="1"/>
  <c r="J6" i="44" s="1"/>
  <c r="E184" i="45"/>
  <c r="E111" i="45"/>
  <c r="H114" i="45"/>
  <c r="I30" i="46"/>
  <c r="K30" i="46" s="1"/>
  <c r="I34" i="46"/>
  <c r="K34" i="46" s="1"/>
  <c r="L36" i="46"/>
  <c r="F84" i="47"/>
  <c r="H93" i="47"/>
  <c r="F91" i="47"/>
  <c r="I89" i="47"/>
  <c r="K92" i="47"/>
  <c r="H12" i="49"/>
  <c r="E57" i="49"/>
  <c r="K60" i="49"/>
  <c r="E193" i="49"/>
  <c r="E192" i="51"/>
  <c r="E180" i="51"/>
  <c r="A206" i="51" s="1"/>
  <c r="J30" i="52"/>
  <c r="K30" i="52" s="1"/>
  <c r="J208" i="55"/>
  <c r="B213" i="55"/>
  <c r="D431" i="55"/>
  <c r="E8" i="57"/>
  <c r="G8" i="57" s="1"/>
  <c r="AA12" i="56"/>
  <c r="I30" i="56"/>
  <c r="I208" i="57"/>
  <c r="F215" i="57"/>
  <c r="P272" i="57"/>
  <c r="G256" i="57"/>
  <c r="F256" i="57"/>
  <c r="B29" i="59"/>
  <c r="C425" i="59"/>
  <c r="H352" i="59"/>
  <c r="B113" i="59"/>
  <c r="H384" i="59"/>
  <c r="C429" i="59"/>
  <c r="B197" i="59"/>
  <c r="H416" i="59"/>
  <c r="P274" i="61"/>
  <c r="G258" i="61"/>
  <c r="I6" i="63"/>
  <c r="J6" i="63"/>
  <c r="P274" i="63"/>
  <c r="G258" i="63"/>
  <c r="C29" i="67"/>
  <c r="J44" i="67" s="1"/>
  <c r="H353" i="67"/>
  <c r="H385" i="67"/>
  <c r="C113" i="67"/>
  <c r="B209" i="67"/>
  <c r="F199" i="67"/>
  <c r="C214" i="67"/>
  <c r="C13" i="73"/>
  <c r="AA26" i="72"/>
  <c r="L31" i="74"/>
  <c r="K237" i="75"/>
  <c r="F236" i="75"/>
  <c r="K233" i="75"/>
  <c r="G232" i="75"/>
  <c r="C231" i="75"/>
  <c r="M229" i="75"/>
  <c r="I228" i="75"/>
  <c r="E227" i="75"/>
  <c r="M225" i="75"/>
  <c r="I224" i="75"/>
  <c r="F219" i="75"/>
  <c r="J237" i="75"/>
  <c r="H233" i="75"/>
  <c r="K231" i="75"/>
  <c r="G229" i="75"/>
  <c r="C227" i="75"/>
  <c r="F225" i="75"/>
  <c r="I237" i="75"/>
  <c r="J235" i="75"/>
  <c r="G233" i="75"/>
  <c r="I231" i="75"/>
  <c r="E229" i="75"/>
  <c r="O226" i="75"/>
  <c r="E225" i="75"/>
  <c r="H237" i="75"/>
  <c r="I235" i="75"/>
  <c r="F233" i="75"/>
  <c r="B231" i="75"/>
  <c r="D229" i="75"/>
  <c r="N226" i="75"/>
  <c r="D225" i="75"/>
  <c r="G237" i="75"/>
  <c r="H235" i="75"/>
  <c r="D233" i="75"/>
  <c r="O230" i="75"/>
  <c r="C229" i="75"/>
  <c r="M226" i="75"/>
  <c r="C225" i="75"/>
  <c r="D237" i="75"/>
  <c r="C233" i="75"/>
  <c r="N230" i="75"/>
  <c r="B229" i="75"/>
  <c r="L226" i="75"/>
  <c r="H224" i="75"/>
  <c r="J234" i="75"/>
  <c r="F232" i="75"/>
  <c r="I230" i="75"/>
  <c r="E228" i="75"/>
  <c r="H226" i="75"/>
  <c r="D224" i="75"/>
  <c r="I233" i="75"/>
  <c r="E230" i="75"/>
  <c r="J226" i="75"/>
  <c r="E236" i="75"/>
  <c r="B233" i="75"/>
  <c r="L229" i="75"/>
  <c r="I226" i="75"/>
  <c r="C236" i="75"/>
  <c r="O232" i="75"/>
  <c r="K229" i="75"/>
  <c r="G226" i="75"/>
  <c r="B236" i="75"/>
  <c r="N232" i="75"/>
  <c r="I229" i="75"/>
  <c r="L225" i="75"/>
  <c r="E232" i="75"/>
  <c r="H229" i="75"/>
  <c r="K225" i="75"/>
  <c r="N231" i="75"/>
  <c r="C228" i="75"/>
  <c r="G225" i="75"/>
  <c r="J233" i="75"/>
  <c r="N227" i="75"/>
  <c r="D232" i="75"/>
  <c r="M227" i="75"/>
  <c r="C232" i="75"/>
  <c r="L227" i="75"/>
  <c r="O231" i="75"/>
  <c r="K227" i="75"/>
  <c r="C237" i="75"/>
  <c r="M231" i="75"/>
  <c r="K226" i="75"/>
  <c r="J230" i="75"/>
  <c r="G224" i="75"/>
  <c r="G230" i="75"/>
  <c r="F224" i="75"/>
  <c r="G234" i="75"/>
  <c r="E224" i="75"/>
  <c r="F234" i="75"/>
  <c r="C224" i="75"/>
  <c r="E234" i="75"/>
  <c r="B224" i="75"/>
  <c r="D234" i="75"/>
  <c r="L231" i="75"/>
  <c r="L230" i="75"/>
  <c r="K230" i="75"/>
  <c r="O228" i="75"/>
  <c r="K234" i="75"/>
  <c r="I234" i="75"/>
  <c r="F230" i="75"/>
  <c r="H228" i="75"/>
  <c r="J225" i="75"/>
  <c r="L42" i="76"/>
  <c r="AB14" i="82"/>
  <c r="D9" i="83"/>
  <c r="I13" i="83"/>
  <c r="AA21" i="104"/>
  <c r="I33" i="104"/>
  <c r="K33" i="104" s="1"/>
  <c r="F98" i="35"/>
  <c r="J96" i="35"/>
  <c r="H93" i="35"/>
  <c r="B92" i="35"/>
  <c r="F90" i="35"/>
  <c r="E98" i="35"/>
  <c r="C95" i="35"/>
  <c r="G93" i="35"/>
  <c r="K91" i="35"/>
  <c r="E90" i="35"/>
  <c r="E97" i="35"/>
  <c r="G95" i="35"/>
  <c r="I93" i="35"/>
  <c r="K89" i="35"/>
  <c r="D97" i="35"/>
  <c r="F95" i="35"/>
  <c r="F93" i="35"/>
  <c r="J89" i="35"/>
  <c r="J98" i="35"/>
  <c r="B97" i="35"/>
  <c r="B95" i="35"/>
  <c r="D93" i="35"/>
  <c r="F91" i="35"/>
  <c r="H89" i="35"/>
  <c r="I98" i="35"/>
  <c r="K96" i="35"/>
  <c r="K94" i="35"/>
  <c r="C93" i="35"/>
  <c r="G89" i="35"/>
  <c r="B98" i="35"/>
  <c r="F94" i="35"/>
  <c r="J90" i="35"/>
  <c r="B89" i="35"/>
  <c r="D89" i="35"/>
  <c r="C92" i="35"/>
  <c r="G94" i="35"/>
  <c r="F97" i="35"/>
  <c r="E117" i="37"/>
  <c r="I115" i="37"/>
  <c r="C114" i="37"/>
  <c r="K110" i="37"/>
  <c r="E109" i="37"/>
  <c r="D117" i="37"/>
  <c r="H115" i="37"/>
  <c r="B114" i="37"/>
  <c r="J110" i="37"/>
  <c r="D109" i="37"/>
  <c r="G114" i="37"/>
  <c r="I112" i="37"/>
  <c r="I110" i="37"/>
  <c r="K108" i="37"/>
  <c r="D116" i="37"/>
  <c r="F114" i="37"/>
  <c r="H112" i="37"/>
  <c r="H110" i="37"/>
  <c r="J108" i="37"/>
  <c r="C116" i="37"/>
  <c r="E114" i="37"/>
  <c r="E112" i="37"/>
  <c r="G110" i="37"/>
  <c r="I108" i="37"/>
  <c r="B116" i="37"/>
  <c r="D112" i="37"/>
  <c r="F110" i="37"/>
  <c r="H108" i="37"/>
  <c r="I117" i="37"/>
  <c r="K115" i="37"/>
  <c r="C112" i="37"/>
  <c r="E110" i="37"/>
  <c r="G108" i="37"/>
  <c r="B117" i="37"/>
  <c r="D115" i="37"/>
  <c r="H111" i="37"/>
  <c r="J109" i="37"/>
  <c r="B108" i="37"/>
  <c r="E108" i="37"/>
  <c r="F111" i="37"/>
  <c r="C117" i="37"/>
  <c r="C6" i="39"/>
  <c r="AA5" i="38"/>
  <c r="M40" i="38"/>
  <c r="L40" i="38"/>
  <c r="C60" i="39"/>
  <c r="K56" i="39"/>
  <c r="K51" i="39"/>
  <c r="F57" i="39"/>
  <c r="J51" i="39"/>
  <c r="C59" i="39"/>
  <c r="F60" i="39"/>
  <c r="H56" i="39"/>
  <c r="J54" i="39"/>
  <c r="F45" i="39"/>
  <c r="E188" i="43"/>
  <c r="F193" i="43" s="1"/>
  <c r="E176" i="43"/>
  <c r="A202" i="43" s="1"/>
  <c r="AA14" i="42"/>
  <c r="C9" i="43"/>
  <c r="K33" i="42"/>
  <c r="H6" i="43"/>
  <c r="C82" i="43"/>
  <c r="F84" i="43" s="1"/>
  <c r="H299" i="43"/>
  <c r="I41" i="43"/>
  <c r="E39" i="43"/>
  <c r="E37" i="43"/>
  <c r="K32" i="43"/>
  <c r="F27" i="43"/>
  <c r="G41" i="43"/>
  <c r="D39" i="43"/>
  <c r="D37" i="43"/>
  <c r="J32" i="43"/>
  <c r="C41" i="43"/>
  <c r="C39" i="43"/>
  <c r="C37" i="43"/>
  <c r="I34" i="43"/>
  <c r="I32" i="43"/>
  <c r="B41" i="43"/>
  <c r="B39" i="43"/>
  <c r="B37" i="43"/>
  <c r="H34" i="43"/>
  <c r="H32" i="43"/>
  <c r="K40" i="43"/>
  <c r="K38" i="43"/>
  <c r="K36" i="43"/>
  <c r="G34" i="43"/>
  <c r="G32" i="43"/>
  <c r="G33" i="43"/>
  <c r="E36" i="43"/>
  <c r="D40" i="43"/>
  <c r="H291" i="43"/>
  <c r="AB11" i="44"/>
  <c r="D8" i="45"/>
  <c r="H8" i="45" s="1"/>
  <c r="J98" i="45"/>
  <c r="D97" i="45"/>
  <c r="B94" i="45"/>
  <c r="F92" i="45"/>
  <c r="J90" i="45"/>
  <c r="D89" i="45"/>
  <c r="H97" i="45"/>
  <c r="K95" i="45"/>
  <c r="D94" i="45"/>
  <c r="G92" i="45"/>
  <c r="I90" i="45"/>
  <c r="B89" i="45"/>
  <c r="F97" i="45"/>
  <c r="K93" i="45"/>
  <c r="D92" i="45"/>
  <c r="G90" i="45"/>
  <c r="E97" i="45"/>
  <c r="J93" i="45"/>
  <c r="C92" i="45"/>
  <c r="F90" i="45"/>
  <c r="K98" i="45"/>
  <c r="C97" i="45"/>
  <c r="B92" i="45"/>
  <c r="E90" i="45"/>
  <c r="G97" i="45"/>
  <c r="B95" i="45"/>
  <c r="K92" i="45"/>
  <c r="H90" i="45"/>
  <c r="B97" i="45"/>
  <c r="K94" i="45"/>
  <c r="J92" i="45"/>
  <c r="D90" i="45"/>
  <c r="K96" i="45"/>
  <c r="J94" i="45"/>
  <c r="I92" i="45"/>
  <c r="C90" i="45"/>
  <c r="J96" i="45"/>
  <c r="H92" i="45"/>
  <c r="B90" i="45"/>
  <c r="E92" i="45"/>
  <c r="K89" i="45"/>
  <c r="E98" i="45"/>
  <c r="D96" i="45"/>
  <c r="G91" i="45"/>
  <c r="F89" i="45"/>
  <c r="J89" i="45"/>
  <c r="J97" i="45"/>
  <c r="E136" i="45"/>
  <c r="N207" i="45"/>
  <c r="J89" i="47"/>
  <c r="C93" i="47"/>
  <c r="G6" i="49"/>
  <c r="G57" i="49"/>
  <c r="H76" i="49"/>
  <c r="K74" i="49"/>
  <c r="D73" i="49"/>
  <c r="D78" i="49"/>
  <c r="G76" i="49"/>
  <c r="J74" i="49"/>
  <c r="C73" i="49"/>
  <c r="I79" i="49"/>
  <c r="E76" i="49"/>
  <c r="K72" i="49"/>
  <c r="D71" i="49"/>
  <c r="H79" i="49"/>
  <c r="K77" i="49"/>
  <c r="D76" i="49"/>
  <c r="I78" i="49"/>
  <c r="K75" i="49"/>
  <c r="I73" i="49"/>
  <c r="H78" i="49"/>
  <c r="J75" i="49"/>
  <c r="G73" i="49"/>
  <c r="G78" i="49"/>
  <c r="F64" i="49"/>
  <c r="H70" i="49"/>
  <c r="G79" i="49"/>
  <c r="E77" i="49"/>
  <c r="E72" i="49"/>
  <c r="G75" i="49"/>
  <c r="F79" i="49"/>
  <c r="F12" i="51"/>
  <c r="H12" i="51" s="1"/>
  <c r="J34" i="50"/>
  <c r="K34" i="50" s="1"/>
  <c r="E193" i="51"/>
  <c r="D6" i="53"/>
  <c r="H6" i="53" s="1"/>
  <c r="J28" i="52"/>
  <c r="M41" i="52"/>
  <c r="L41" i="52"/>
  <c r="K208" i="55"/>
  <c r="D213" i="55"/>
  <c r="F8" i="57"/>
  <c r="H8" i="57" s="1"/>
  <c r="J30" i="56"/>
  <c r="AB12" i="56"/>
  <c r="J208" i="57"/>
  <c r="C433" i="59"/>
  <c r="E259" i="61"/>
  <c r="E245" i="61"/>
  <c r="A275" i="61" s="1"/>
  <c r="M32" i="60"/>
  <c r="L32" i="60"/>
  <c r="L186" i="65"/>
  <c r="AB8" i="66"/>
  <c r="J29" i="66"/>
  <c r="D7" i="67"/>
  <c r="D12" i="67"/>
  <c r="AB23" i="66"/>
  <c r="D425" i="67"/>
  <c r="H354" i="67"/>
  <c r="D29" i="67"/>
  <c r="D429" i="67"/>
  <c r="H386" i="67"/>
  <c r="D113" i="67"/>
  <c r="J130" i="67" s="1"/>
  <c r="D433" i="67"/>
  <c r="H418" i="67"/>
  <c r="D197" i="67"/>
  <c r="H417" i="67"/>
  <c r="D7" i="69"/>
  <c r="AB8" i="68"/>
  <c r="I31" i="82"/>
  <c r="K31" i="82" s="1"/>
  <c r="E9" i="83"/>
  <c r="AA15" i="82"/>
  <c r="C14" i="99"/>
  <c r="AA29" i="98"/>
  <c r="F334" i="39"/>
  <c r="F72" i="39"/>
  <c r="D74" i="39"/>
  <c r="J77" i="39"/>
  <c r="AA12" i="40"/>
  <c r="J29" i="40"/>
  <c r="E11" i="43"/>
  <c r="G11" i="43" s="1"/>
  <c r="C334" i="43"/>
  <c r="H298" i="43"/>
  <c r="B82" i="43"/>
  <c r="H41" i="43"/>
  <c r="B40" i="43"/>
  <c r="F38" i="43"/>
  <c r="J36" i="43"/>
  <c r="H33" i="43"/>
  <c r="F26" i="43"/>
  <c r="F41" i="43"/>
  <c r="J39" i="43"/>
  <c r="D38" i="43"/>
  <c r="H36" i="43"/>
  <c r="F33" i="43"/>
  <c r="E41" i="43"/>
  <c r="I39" i="43"/>
  <c r="C38" i="43"/>
  <c r="G36" i="43"/>
  <c r="K34" i="43"/>
  <c r="D41" i="43"/>
  <c r="H39" i="43"/>
  <c r="B38" i="43"/>
  <c r="F36" i="43"/>
  <c r="J34" i="43"/>
  <c r="B36" i="43"/>
  <c r="E38" i="43"/>
  <c r="F40" i="43"/>
  <c r="H309" i="45"/>
  <c r="E101" i="45"/>
  <c r="F105" i="45" s="1"/>
  <c r="F6" i="46"/>
  <c r="H6" i="46" s="1"/>
  <c r="J6" i="46" s="1"/>
  <c r="F190" i="47"/>
  <c r="D90" i="47"/>
  <c r="K94" i="47"/>
  <c r="C97" i="47"/>
  <c r="C11" i="49"/>
  <c r="G11" i="49" s="1"/>
  <c r="I33" i="48"/>
  <c r="K33" i="48" s="1"/>
  <c r="B82" i="49"/>
  <c r="H298" i="49"/>
  <c r="C334" i="49"/>
  <c r="D41" i="49"/>
  <c r="H39" i="49"/>
  <c r="B38" i="49"/>
  <c r="F36" i="49"/>
  <c r="J34" i="49"/>
  <c r="E41" i="49"/>
  <c r="G39" i="49"/>
  <c r="J37" i="49"/>
  <c r="C36" i="49"/>
  <c r="F34" i="49"/>
  <c r="I32" i="49"/>
  <c r="C41" i="49"/>
  <c r="F39" i="49"/>
  <c r="I37" i="49"/>
  <c r="B36" i="49"/>
  <c r="H32" i="49"/>
  <c r="B41" i="49"/>
  <c r="E39" i="49"/>
  <c r="H37" i="49"/>
  <c r="K35" i="49"/>
  <c r="G32" i="49"/>
  <c r="K40" i="49"/>
  <c r="D39" i="49"/>
  <c r="G37" i="49"/>
  <c r="J35" i="49"/>
  <c r="F32" i="49"/>
  <c r="J40" i="49"/>
  <c r="C39" i="49"/>
  <c r="F37" i="49"/>
  <c r="I35" i="49"/>
  <c r="H34" i="49"/>
  <c r="K36" i="49"/>
  <c r="I39" i="49"/>
  <c r="K41" i="49"/>
  <c r="E192" i="49"/>
  <c r="I115" i="51"/>
  <c r="I136" i="51"/>
  <c r="C135" i="51"/>
  <c r="K131" i="51"/>
  <c r="E130" i="51"/>
  <c r="G136" i="51"/>
  <c r="K134" i="51"/>
  <c r="E133" i="51"/>
  <c r="G134" i="51"/>
  <c r="E131" i="51"/>
  <c r="I129" i="51"/>
  <c r="F133" i="51"/>
  <c r="F131" i="51"/>
  <c r="F129" i="51"/>
  <c r="G127" i="51"/>
  <c r="E135" i="51"/>
  <c r="D133" i="51"/>
  <c r="D129" i="51"/>
  <c r="E127" i="51"/>
  <c r="B135" i="51"/>
  <c r="B131" i="51"/>
  <c r="C129" i="51"/>
  <c r="D127" i="51"/>
  <c r="F121" i="51"/>
  <c r="K136" i="51"/>
  <c r="J134" i="51"/>
  <c r="I132" i="51"/>
  <c r="K135" i="51"/>
  <c r="E177" i="53"/>
  <c r="A203" i="53" s="1"/>
  <c r="E67" i="55"/>
  <c r="H66" i="55"/>
  <c r="F51" i="55"/>
  <c r="J122" i="55"/>
  <c r="E126" i="55"/>
  <c r="H206" i="55"/>
  <c r="C210" i="55"/>
  <c r="L212" i="55"/>
  <c r="J32" i="56"/>
  <c r="AB18" i="56"/>
  <c r="N12" i="57"/>
  <c r="A400" i="57" s="1"/>
  <c r="G36" i="57"/>
  <c r="M41" i="57"/>
  <c r="D45" i="57"/>
  <c r="C81" i="57"/>
  <c r="E84" i="57"/>
  <c r="C87" i="57"/>
  <c r="I122" i="57"/>
  <c r="D126" i="57"/>
  <c r="M128" i="57"/>
  <c r="E259" i="59"/>
  <c r="E245" i="59"/>
  <c r="A275" i="59" s="1"/>
  <c r="J28" i="58"/>
  <c r="F6" i="59"/>
  <c r="H6" i="59" s="1"/>
  <c r="AB6" i="58"/>
  <c r="AA30" i="58"/>
  <c r="E14" i="59"/>
  <c r="G14" i="59" s="1"/>
  <c r="I36" i="58"/>
  <c r="H377" i="59"/>
  <c r="C92" i="59"/>
  <c r="M102" i="59" s="1"/>
  <c r="C176" i="59"/>
  <c r="B191" i="59" s="1"/>
  <c r="H409" i="59"/>
  <c r="F13" i="61"/>
  <c r="H13" i="61" s="1"/>
  <c r="J35" i="60"/>
  <c r="F38" i="63"/>
  <c r="K47" i="63"/>
  <c r="AB17" i="64"/>
  <c r="D10" i="65"/>
  <c r="H10" i="65" s="1"/>
  <c r="K36" i="64"/>
  <c r="K193" i="65"/>
  <c r="G192" i="65"/>
  <c r="C191" i="65"/>
  <c r="K189" i="65"/>
  <c r="G188" i="65"/>
  <c r="C187" i="65"/>
  <c r="G184" i="65"/>
  <c r="C183" i="65"/>
  <c r="I193" i="65"/>
  <c r="K190" i="65"/>
  <c r="F189" i="65"/>
  <c r="M187" i="65"/>
  <c r="H186" i="65"/>
  <c r="C185" i="65"/>
  <c r="J183" i="65"/>
  <c r="M194" i="65"/>
  <c r="H193" i="65"/>
  <c r="C192" i="65"/>
  <c r="J190" i="65"/>
  <c r="E189" i="65"/>
  <c r="L187" i="65"/>
  <c r="G186" i="65"/>
  <c r="B185" i="65"/>
  <c r="I183" i="65"/>
  <c r="L194" i="65"/>
  <c r="G193" i="65"/>
  <c r="B192" i="65"/>
  <c r="I190" i="65"/>
  <c r="D189" i="65"/>
  <c r="K187" i="65"/>
  <c r="F186" i="65"/>
  <c r="M184" i="65"/>
  <c r="H183" i="65"/>
  <c r="K194" i="65"/>
  <c r="F193" i="65"/>
  <c r="M191" i="65"/>
  <c r="H190" i="65"/>
  <c r="C189" i="65"/>
  <c r="J187" i="65"/>
  <c r="L184" i="65"/>
  <c r="G183" i="65"/>
  <c r="J194" i="65"/>
  <c r="E193" i="65"/>
  <c r="L191" i="65"/>
  <c r="G190" i="65"/>
  <c r="B189" i="65"/>
  <c r="I187" i="65"/>
  <c r="K184" i="65"/>
  <c r="F183" i="65"/>
  <c r="F194" i="65"/>
  <c r="M192" i="65"/>
  <c r="H191" i="65"/>
  <c r="C190" i="65"/>
  <c r="J188" i="65"/>
  <c r="E187" i="65"/>
  <c r="L185" i="65"/>
  <c r="F184" i="65"/>
  <c r="C193" i="65"/>
  <c r="B191" i="65"/>
  <c r="I188" i="65"/>
  <c r="I186" i="65"/>
  <c r="C184" i="65"/>
  <c r="F177" i="65"/>
  <c r="B193" i="65"/>
  <c r="M190" i="65"/>
  <c r="H188" i="65"/>
  <c r="C186" i="65"/>
  <c r="B184" i="65"/>
  <c r="L192" i="65"/>
  <c r="L190" i="65"/>
  <c r="F188" i="65"/>
  <c r="B186" i="65"/>
  <c r="M183" i="65"/>
  <c r="F190" i="65"/>
  <c r="E188" i="65"/>
  <c r="M185" i="65"/>
  <c r="L183" i="65"/>
  <c r="E190" i="65"/>
  <c r="D188" i="65"/>
  <c r="K183" i="65"/>
  <c r="E194" i="65"/>
  <c r="L189" i="65"/>
  <c r="G187" i="65"/>
  <c r="F185" i="65"/>
  <c r="J193" i="65"/>
  <c r="I189" i="65"/>
  <c r="I185" i="65"/>
  <c r="D193" i="65"/>
  <c r="H189" i="65"/>
  <c r="H185" i="65"/>
  <c r="I192" i="65"/>
  <c r="G189" i="65"/>
  <c r="G185" i="65"/>
  <c r="H192" i="65"/>
  <c r="M188" i="65"/>
  <c r="F192" i="65"/>
  <c r="L188" i="65"/>
  <c r="I194" i="65"/>
  <c r="G191" i="65"/>
  <c r="H187" i="65"/>
  <c r="E184" i="65"/>
  <c r="B190" i="65"/>
  <c r="D184" i="65"/>
  <c r="M189" i="65"/>
  <c r="E183" i="65"/>
  <c r="H194" i="65"/>
  <c r="J189" i="65"/>
  <c r="D183" i="65"/>
  <c r="G194" i="65"/>
  <c r="K188" i="65"/>
  <c r="B183" i="65"/>
  <c r="D194" i="65"/>
  <c r="C188" i="65"/>
  <c r="B194" i="65"/>
  <c r="F187" i="65"/>
  <c r="P272" i="67"/>
  <c r="G256" i="67"/>
  <c r="C29" i="69"/>
  <c r="H353" i="69"/>
  <c r="H385" i="69"/>
  <c r="C113" i="69"/>
  <c r="F115" i="69" s="1"/>
  <c r="C197" i="69"/>
  <c r="F199" i="69" s="1"/>
  <c r="H417" i="69"/>
  <c r="K35" i="70"/>
  <c r="AB36" i="70"/>
  <c r="J38" i="70"/>
  <c r="G250" i="71"/>
  <c r="AA18" i="72"/>
  <c r="E10" i="73"/>
  <c r="G10" i="73" s="1"/>
  <c r="G11" i="75"/>
  <c r="R344" i="75"/>
  <c r="G326" i="75"/>
  <c r="F248" i="55"/>
  <c r="C11" i="57"/>
  <c r="G11" i="57" s="1"/>
  <c r="AA20" i="56"/>
  <c r="AB26" i="56"/>
  <c r="J35" i="56"/>
  <c r="D13" i="57"/>
  <c r="F431" i="63"/>
  <c r="G249" i="65"/>
  <c r="F249" i="65"/>
  <c r="F431" i="67"/>
  <c r="E113" i="67"/>
  <c r="F117" i="67" s="1"/>
  <c r="H387" i="67"/>
  <c r="H419" i="67"/>
  <c r="E197" i="67"/>
  <c r="F201" i="67" s="1"/>
  <c r="P275" i="71"/>
  <c r="AB48" i="38"/>
  <c r="H309" i="43"/>
  <c r="C333" i="45"/>
  <c r="J90" i="47"/>
  <c r="E93" i="47"/>
  <c r="G95" i="47"/>
  <c r="AA5" i="48"/>
  <c r="F186" i="49"/>
  <c r="C7" i="51"/>
  <c r="AA8" i="50"/>
  <c r="M38" i="50"/>
  <c r="L38" i="50"/>
  <c r="I42" i="50"/>
  <c r="K42" i="50" s="1"/>
  <c r="AA48" i="50"/>
  <c r="G8" i="51"/>
  <c r="E44" i="51"/>
  <c r="H285" i="51"/>
  <c r="J113" i="51"/>
  <c r="G188" i="53"/>
  <c r="F188" i="53"/>
  <c r="J31" i="52"/>
  <c r="AB15" i="52"/>
  <c r="D10" i="55"/>
  <c r="H10" i="55" s="1"/>
  <c r="AB17" i="54"/>
  <c r="C131" i="55"/>
  <c r="G128" i="55"/>
  <c r="C127" i="55"/>
  <c r="K125" i="55"/>
  <c r="G124" i="55"/>
  <c r="C123" i="55"/>
  <c r="G120" i="55"/>
  <c r="B131" i="55"/>
  <c r="F128" i="55"/>
  <c r="B127" i="55"/>
  <c r="J125" i="55"/>
  <c r="F124" i="55"/>
  <c r="B123" i="55"/>
  <c r="F120" i="55"/>
  <c r="M130" i="55"/>
  <c r="I129" i="55"/>
  <c r="E128" i="55"/>
  <c r="M126" i="55"/>
  <c r="I125" i="55"/>
  <c r="E124" i="55"/>
  <c r="M122" i="55"/>
  <c r="I121" i="55"/>
  <c r="E120" i="55"/>
  <c r="L130" i="55"/>
  <c r="H129" i="55"/>
  <c r="D128" i="55"/>
  <c r="L126" i="55"/>
  <c r="H125" i="55"/>
  <c r="D124" i="55"/>
  <c r="L122" i="55"/>
  <c r="H121" i="55"/>
  <c r="D120" i="55"/>
  <c r="K130" i="55"/>
  <c r="G129" i="55"/>
  <c r="K126" i="55"/>
  <c r="G125" i="55"/>
  <c r="C124" i="55"/>
  <c r="K122" i="55"/>
  <c r="G121" i="55"/>
  <c r="K131" i="55"/>
  <c r="G130" i="55"/>
  <c r="K127" i="55"/>
  <c r="G126" i="55"/>
  <c r="C125" i="55"/>
  <c r="K123" i="55"/>
  <c r="G122" i="55"/>
  <c r="F130" i="55"/>
  <c r="H128" i="55"/>
  <c r="D126" i="55"/>
  <c r="M123" i="55"/>
  <c r="B122" i="55"/>
  <c r="E130" i="55"/>
  <c r="C126" i="55"/>
  <c r="L123" i="55"/>
  <c r="M121" i="55"/>
  <c r="D130" i="55"/>
  <c r="M127" i="55"/>
  <c r="B126" i="55"/>
  <c r="J123" i="55"/>
  <c r="L121" i="55"/>
  <c r="C130" i="55"/>
  <c r="L127" i="55"/>
  <c r="M125" i="55"/>
  <c r="I123" i="55"/>
  <c r="F121" i="55"/>
  <c r="M131" i="55"/>
  <c r="B130" i="55"/>
  <c r="J127" i="55"/>
  <c r="L125" i="55"/>
  <c r="H123" i="55"/>
  <c r="E121" i="55"/>
  <c r="B124" i="55"/>
  <c r="D127" i="55"/>
  <c r="M129" i="55"/>
  <c r="I204" i="55"/>
  <c r="L207" i="55"/>
  <c r="D214" i="55"/>
  <c r="G248" i="55"/>
  <c r="AB20" i="56"/>
  <c r="D11" i="57"/>
  <c r="E6" i="57"/>
  <c r="G6" i="57" s="1"/>
  <c r="C50" i="57"/>
  <c r="F52" i="57" s="1"/>
  <c r="H361" i="57"/>
  <c r="H393" i="57"/>
  <c r="C134" i="57"/>
  <c r="F136" i="57" s="1"/>
  <c r="H46" i="57"/>
  <c r="I44" i="57"/>
  <c r="E42" i="57"/>
  <c r="G40" i="57"/>
  <c r="G46" i="57"/>
  <c r="H44" i="57"/>
  <c r="D42" i="57"/>
  <c r="M39" i="57"/>
  <c r="D46" i="57"/>
  <c r="M43" i="57"/>
  <c r="B42" i="57"/>
  <c r="K39" i="57"/>
  <c r="L37" i="57"/>
  <c r="L36" i="57"/>
  <c r="I39" i="57"/>
  <c r="E43" i="57"/>
  <c r="B46" i="57"/>
  <c r="B89" i="57"/>
  <c r="J87" i="57"/>
  <c r="F86" i="57"/>
  <c r="B85" i="57"/>
  <c r="J83" i="57"/>
  <c r="B81" i="57"/>
  <c r="J79" i="57"/>
  <c r="F78" i="57"/>
  <c r="M88" i="57"/>
  <c r="I87" i="57"/>
  <c r="E86" i="57"/>
  <c r="M84" i="57"/>
  <c r="E82" i="57"/>
  <c r="M80" i="57"/>
  <c r="I79" i="57"/>
  <c r="E78" i="57"/>
  <c r="L88" i="57"/>
  <c r="H87" i="57"/>
  <c r="D86" i="57"/>
  <c r="L84" i="57"/>
  <c r="D82" i="57"/>
  <c r="L80" i="57"/>
  <c r="H79" i="57"/>
  <c r="D78" i="57"/>
  <c r="K88" i="57"/>
  <c r="G87" i="57"/>
  <c r="C86" i="57"/>
  <c r="K84" i="57"/>
  <c r="C82" i="57"/>
  <c r="K80" i="57"/>
  <c r="G79" i="57"/>
  <c r="C78" i="57"/>
  <c r="J88" i="57"/>
  <c r="F87" i="57"/>
  <c r="B86" i="57"/>
  <c r="J84" i="57"/>
  <c r="B82" i="57"/>
  <c r="J80" i="57"/>
  <c r="F79" i="57"/>
  <c r="B78" i="57"/>
  <c r="F72" i="57"/>
  <c r="J89" i="57"/>
  <c r="F88" i="57"/>
  <c r="B87" i="57"/>
  <c r="J85" i="57"/>
  <c r="B83" i="57"/>
  <c r="J81" i="57"/>
  <c r="F80" i="57"/>
  <c r="B79" i="57"/>
  <c r="G88" i="57"/>
  <c r="H86" i="57"/>
  <c r="D84" i="57"/>
  <c r="M81" i="57"/>
  <c r="B80" i="57"/>
  <c r="E88" i="57"/>
  <c r="G86" i="57"/>
  <c r="C84" i="57"/>
  <c r="L81" i="57"/>
  <c r="M79" i="57"/>
  <c r="D88" i="57"/>
  <c r="M85" i="57"/>
  <c r="B84" i="57"/>
  <c r="K81" i="57"/>
  <c r="L79" i="57"/>
  <c r="C88" i="57"/>
  <c r="L85" i="57"/>
  <c r="M83" i="57"/>
  <c r="I81" i="57"/>
  <c r="K79" i="57"/>
  <c r="M89" i="57"/>
  <c r="B88" i="57"/>
  <c r="K85" i="57"/>
  <c r="L83" i="57"/>
  <c r="H81" i="57"/>
  <c r="E79" i="57"/>
  <c r="K78" i="57"/>
  <c r="D85" i="57"/>
  <c r="M87" i="57"/>
  <c r="J120" i="57"/>
  <c r="M123" i="57"/>
  <c r="C127" i="57"/>
  <c r="G41" i="63"/>
  <c r="C7" i="71"/>
  <c r="AA8" i="70"/>
  <c r="G259" i="71"/>
  <c r="F110" i="73"/>
  <c r="M30" i="80"/>
  <c r="L30" i="80"/>
  <c r="H79" i="39"/>
  <c r="B78" i="39"/>
  <c r="F76" i="39"/>
  <c r="J74" i="39"/>
  <c r="D73" i="39"/>
  <c r="F64" i="39"/>
  <c r="G79" i="39"/>
  <c r="K77" i="39"/>
  <c r="E76" i="39"/>
  <c r="I74" i="39"/>
  <c r="C73" i="39"/>
  <c r="G71" i="39"/>
  <c r="D71" i="39"/>
  <c r="B73" i="39"/>
  <c r="B75" i="39"/>
  <c r="J76" i="39"/>
  <c r="H78" i="39"/>
  <c r="B63" i="45"/>
  <c r="E139" i="45"/>
  <c r="D151" i="45" s="1"/>
  <c r="E98" i="47"/>
  <c r="C95" i="47"/>
  <c r="G93" i="47"/>
  <c r="E90" i="47"/>
  <c r="C98" i="47"/>
  <c r="F96" i="47"/>
  <c r="I94" i="47"/>
  <c r="B93" i="47"/>
  <c r="E91" i="47"/>
  <c r="H89" i="47"/>
  <c r="D96" i="47"/>
  <c r="G94" i="47"/>
  <c r="J92" i="47"/>
  <c r="C91" i="47"/>
  <c r="F89" i="47"/>
  <c r="C96" i="47"/>
  <c r="F94" i="47"/>
  <c r="I92" i="47"/>
  <c r="E89" i="47"/>
  <c r="B96" i="47"/>
  <c r="E94" i="47"/>
  <c r="H92" i="47"/>
  <c r="K90" i="47"/>
  <c r="D89" i="47"/>
  <c r="D91" i="47"/>
  <c r="F93" i="47"/>
  <c r="B98" i="47"/>
  <c r="AB5" i="48"/>
  <c r="AB39" i="48"/>
  <c r="J39" i="48"/>
  <c r="D331" i="49"/>
  <c r="H276" i="49"/>
  <c r="D335" i="49"/>
  <c r="H308" i="49"/>
  <c r="D7" i="51"/>
  <c r="AB8" i="50"/>
  <c r="M36" i="50"/>
  <c r="L36" i="50"/>
  <c r="H8" i="51"/>
  <c r="C337" i="51"/>
  <c r="H322" i="51"/>
  <c r="B139" i="51"/>
  <c r="F113" i="51"/>
  <c r="N203" i="53"/>
  <c r="F189" i="53"/>
  <c r="AB6" i="54"/>
  <c r="F6" i="55"/>
  <c r="H6" i="55" s="1"/>
  <c r="G12" i="55"/>
  <c r="L120" i="55"/>
  <c r="H124" i="55"/>
  <c r="E127" i="55"/>
  <c r="H130" i="55"/>
  <c r="J204" i="55"/>
  <c r="M207" i="55"/>
  <c r="J210" i="55"/>
  <c r="E249" i="55"/>
  <c r="I28" i="56"/>
  <c r="K28" i="56" s="1"/>
  <c r="D50" i="57"/>
  <c r="F53" i="57" s="1"/>
  <c r="H362" i="57"/>
  <c r="H394" i="57"/>
  <c r="D134" i="57"/>
  <c r="F137" i="57" s="1"/>
  <c r="D430" i="57"/>
  <c r="M36" i="57"/>
  <c r="I40" i="57"/>
  <c r="F43" i="57"/>
  <c r="C46" i="57"/>
  <c r="L78" i="57"/>
  <c r="E85" i="57"/>
  <c r="H88" i="57"/>
  <c r="B131" i="57"/>
  <c r="F128" i="57"/>
  <c r="B127" i="57"/>
  <c r="J125" i="57"/>
  <c r="F124" i="57"/>
  <c r="B123" i="57"/>
  <c r="J121" i="57"/>
  <c r="F120" i="57"/>
  <c r="M130" i="57"/>
  <c r="I129" i="57"/>
  <c r="M126" i="57"/>
  <c r="I125" i="57"/>
  <c r="E124" i="57"/>
  <c r="M122" i="57"/>
  <c r="I121" i="57"/>
  <c r="E120" i="57"/>
  <c r="L130" i="57"/>
  <c r="H129" i="57"/>
  <c r="L126" i="57"/>
  <c r="H125" i="57"/>
  <c r="D124" i="57"/>
  <c r="L122" i="57"/>
  <c r="H121" i="57"/>
  <c r="D120" i="57"/>
  <c r="K130" i="57"/>
  <c r="G129" i="57"/>
  <c r="C128" i="57"/>
  <c r="K126" i="57"/>
  <c r="G125" i="57"/>
  <c r="C124" i="57"/>
  <c r="G121" i="57"/>
  <c r="C120" i="57"/>
  <c r="J130" i="57"/>
  <c r="F129" i="57"/>
  <c r="B128" i="57"/>
  <c r="J126" i="57"/>
  <c r="F125" i="57"/>
  <c r="B124" i="57"/>
  <c r="F121" i="57"/>
  <c r="B120" i="57"/>
  <c r="F114" i="57"/>
  <c r="J131" i="57"/>
  <c r="F130" i="57"/>
  <c r="B129" i="57"/>
  <c r="J127" i="57"/>
  <c r="F126" i="57"/>
  <c r="B125" i="57"/>
  <c r="F122" i="57"/>
  <c r="B121" i="57"/>
  <c r="D130" i="57"/>
  <c r="M127" i="57"/>
  <c r="B126" i="57"/>
  <c r="L121" i="57"/>
  <c r="C130" i="57"/>
  <c r="L127" i="57"/>
  <c r="M125" i="57"/>
  <c r="I123" i="57"/>
  <c r="K121" i="57"/>
  <c r="M131" i="57"/>
  <c r="B130" i="57"/>
  <c r="K127" i="57"/>
  <c r="L125" i="57"/>
  <c r="H123" i="57"/>
  <c r="E121" i="57"/>
  <c r="L131" i="57"/>
  <c r="M129" i="57"/>
  <c r="I127" i="57"/>
  <c r="K125" i="57"/>
  <c r="G123" i="57"/>
  <c r="D121" i="57"/>
  <c r="K131" i="57"/>
  <c r="L129" i="57"/>
  <c r="H127" i="57"/>
  <c r="E125" i="57"/>
  <c r="F123" i="57"/>
  <c r="C121" i="57"/>
  <c r="K120" i="57"/>
  <c r="G124" i="57"/>
  <c r="D127" i="57"/>
  <c r="G130" i="57"/>
  <c r="AA33" i="58"/>
  <c r="I37" i="58"/>
  <c r="K37" i="58" s="1"/>
  <c r="J39" i="62"/>
  <c r="L41" i="62"/>
  <c r="K46" i="63"/>
  <c r="E250" i="65"/>
  <c r="E236" i="65"/>
  <c r="A266" i="65" s="1"/>
  <c r="AB6" i="64"/>
  <c r="F6" i="65"/>
  <c r="H6" i="65" s="1"/>
  <c r="I6" i="65" s="1"/>
  <c r="F428" i="67"/>
  <c r="H361" i="67"/>
  <c r="C50" i="67"/>
  <c r="H393" i="67"/>
  <c r="C134" i="67"/>
  <c r="B150" i="67" s="1"/>
  <c r="E29" i="67"/>
  <c r="F33" i="67" s="1"/>
  <c r="D7" i="71"/>
  <c r="AB8" i="70"/>
  <c r="J29" i="70"/>
  <c r="M28" i="86"/>
  <c r="L28" i="86"/>
  <c r="E187" i="41"/>
  <c r="E175" i="41"/>
  <c r="A201" i="41" s="1"/>
  <c r="AA15" i="46"/>
  <c r="I31" i="46"/>
  <c r="M39" i="48"/>
  <c r="L39" i="48"/>
  <c r="F332" i="49"/>
  <c r="E7" i="51"/>
  <c r="AA9" i="50"/>
  <c r="H323" i="51"/>
  <c r="C139" i="51"/>
  <c r="F141" i="51" s="1"/>
  <c r="C10" i="53"/>
  <c r="AA17" i="52"/>
  <c r="M37" i="52"/>
  <c r="L37" i="52"/>
  <c r="B130" i="53"/>
  <c r="K132" i="53"/>
  <c r="F121" i="53"/>
  <c r="G127" i="53"/>
  <c r="H395" i="55"/>
  <c r="E134" i="55"/>
  <c r="M120" i="55"/>
  <c r="I124" i="55"/>
  <c r="F127" i="55"/>
  <c r="I130" i="55"/>
  <c r="C215" i="55"/>
  <c r="K213" i="55"/>
  <c r="G212" i="55"/>
  <c r="C211" i="55"/>
  <c r="K209" i="55"/>
  <c r="G208" i="55"/>
  <c r="C207" i="55"/>
  <c r="K205" i="55"/>
  <c r="G204" i="55"/>
  <c r="B215" i="55"/>
  <c r="J213" i="55"/>
  <c r="F212" i="55"/>
  <c r="B211" i="55"/>
  <c r="J209" i="55"/>
  <c r="F208" i="55"/>
  <c r="B207" i="55"/>
  <c r="J205" i="55"/>
  <c r="F204" i="55"/>
  <c r="I213" i="55"/>
  <c r="E212" i="55"/>
  <c r="I209" i="55"/>
  <c r="E208" i="55"/>
  <c r="M206" i="55"/>
  <c r="I205" i="55"/>
  <c r="E204" i="55"/>
  <c r="H213" i="55"/>
  <c r="D212" i="55"/>
  <c r="H209" i="55"/>
  <c r="D208" i="55"/>
  <c r="L206" i="55"/>
  <c r="H205" i="55"/>
  <c r="D204" i="55"/>
  <c r="K214" i="55"/>
  <c r="G213" i="55"/>
  <c r="C212" i="55"/>
  <c r="K210" i="55"/>
  <c r="G209" i="55"/>
  <c r="C208" i="55"/>
  <c r="K206" i="55"/>
  <c r="G205" i="55"/>
  <c r="C204" i="55"/>
  <c r="K215" i="55"/>
  <c r="G214" i="55"/>
  <c r="C213" i="55"/>
  <c r="K211" i="55"/>
  <c r="G210" i="55"/>
  <c r="C209" i="55"/>
  <c r="K207" i="55"/>
  <c r="G206" i="55"/>
  <c r="C205" i="55"/>
  <c r="B214" i="55"/>
  <c r="J211" i="55"/>
  <c r="L209" i="55"/>
  <c r="H207" i="55"/>
  <c r="E205" i="55"/>
  <c r="M213" i="55"/>
  <c r="F209" i="55"/>
  <c r="G207" i="55"/>
  <c r="D205" i="55"/>
  <c r="J215" i="55"/>
  <c r="L213" i="55"/>
  <c r="E209" i="55"/>
  <c r="F207" i="55"/>
  <c r="B205" i="55"/>
  <c r="F213" i="55"/>
  <c r="G211" i="55"/>
  <c r="D209" i="55"/>
  <c r="E207" i="55"/>
  <c r="M204" i="55"/>
  <c r="F198" i="55"/>
  <c r="E213" i="55"/>
  <c r="F211" i="55"/>
  <c r="B209" i="55"/>
  <c r="D207" i="55"/>
  <c r="L204" i="55"/>
  <c r="K204" i="55"/>
  <c r="B208" i="55"/>
  <c r="D211" i="55"/>
  <c r="F214" i="55"/>
  <c r="F11" i="57"/>
  <c r="H11" i="57" s="1"/>
  <c r="J33" i="56"/>
  <c r="E50" i="57"/>
  <c r="F54" i="57" s="1"/>
  <c r="H363" i="57"/>
  <c r="H395" i="57"/>
  <c r="E134" i="57"/>
  <c r="F138" i="57" s="1"/>
  <c r="J40" i="57"/>
  <c r="G43" i="57"/>
  <c r="C47" i="57"/>
  <c r="L120" i="57"/>
  <c r="H124" i="57"/>
  <c r="E127" i="57"/>
  <c r="F156" i="57"/>
  <c r="E173" i="57"/>
  <c r="G166" i="57"/>
  <c r="F427" i="57"/>
  <c r="AB33" i="58"/>
  <c r="J37" i="58"/>
  <c r="H362" i="63"/>
  <c r="D50" i="63"/>
  <c r="F53" i="63" s="1"/>
  <c r="D430" i="63"/>
  <c r="H394" i="63"/>
  <c r="D134" i="63"/>
  <c r="F137" i="63" s="1"/>
  <c r="F32" i="63"/>
  <c r="F47" i="63"/>
  <c r="I43" i="63"/>
  <c r="J40" i="63"/>
  <c r="L36" i="63"/>
  <c r="E47" i="63"/>
  <c r="G43" i="63"/>
  <c r="I40" i="63"/>
  <c r="K36" i="63"/>
  <c r="J46" i="63"/>
  <c r="E43" i="63"/>
  <c r="H39" i="63"/>
  <c r="I36" i="63"/>
  <c r="F45" i="63"/>
  <c r="G42" i="63"/>
  <c r="J38" i="63"/>
  <c r="H47" i="63"/>
  <c r="F41" i="63"/>
  <c r="C46" i="63"/>
  <c r="C41" i="63"/>
  <c r="B46" i="63"/>
  <c r="B41" i="63"/>
  <c r="M45" i="63"/>
  <c r="M40" i="63"/>
  <c r="E45" i="63"/>
  <c r="L40" i="63"/>
  <c r="B45" i="63"/>
  <c r="I42" i="63"/>
  <c r="E251" i="65"/>
  <c r="E237" i="65"/>
  <c r="A267" i="65" s="1"/>
  <c r="M41" i="66"/>
  <c r="L41" i="66"/>
  <c r="F135" i="67"/>
  <c r="L147" i="67"/>
  <c r="I42" i="68"/>
  <c r="K42" i="68" s="1"/>
  <c r="AA48" i="68"/>
  <c r="F177" i="73"/>
  <c r="M41" i="74"/>
  <c r="L41" i="74"/>
  <c r="E172" i="37"/>
  <c r="A198" i="37" s="1"/>
  <c r="E44" i="39"/>
  <c r="K55" i="39" s="1"/>
  <c r="H285" i="39"/>
  <c r="F189" i="41"/>
  <c r="G10" i="43"/>
  <c r="G11" i="45"/>
  <c r="G184" i="47"/>
  <c r="F184" i="47"/>
  <c r="H9" i="47"/>
  <c r="C336" i="47"/>
  <c r="B120" i="47"/>
  <c r="B44" i="47"/>
  <c r="B89" i="47"/>
  <c r="G91" i="47"/>
  <c r="I93" i="47"/>
  <c r="F98" i="47"/>
  <c r="F187" i="47"/>
  <c r="F7" i="51"/>
  <c r="AB9" i="50"/>
  <c r="H324" i="51"/>
  <c r="D139" i="51"/>
  <c r="F142" i="51" s="1"/>
  <c r="D337" i="51"/>
  <c r="F102" i="51"/>
  <c r="D10" i="53"/>
  <c r="AB17" i="52"/>
  <c r="E190" i="53"/>
  <c r="I9" i="55"/>
  <c r="E428" i="55" s="1"/>
  <c r="B71" i="55"/>
  <c r="H368" i="55"/>
  <c r="J124" i="55"/>
  <c r="G127" i="55"/>
  <c r="J130" i="55"/>
  <c r="F205" i="55"/>
  <c r="H208" i="55"/>
  <c r="E211" i="55"/>
  <c r="I33" i="56"/>
  <c r="K40" i="57"/>
  <c r="H43" i="57"/>
  <c r="D47" i="57"/>
  <c r="C79" i="57"/>
  <c r="C89" i="57"/>
  <c r="M120" i="57"/>
  <c r="I124" i="57"/>
  <c r="F127" i="57"/>
  <c r="I130" i="57"/>
  <c r="C155" i="57"/>
  <c r="G250" i="57"/>
  <c r="E239" i="59"/>
  <c r="A269" i="59" s="1"/>
  <c r="E253" i="59"/>
  <c r="I35" i="58"/>
  <c r="K35" i="58" s="1"/>
  <c r="AA26" i="58"/>
  <c r="C13" i="59"/>
  <c r="G13" i="59" s="1"/>
  <c r="L36" i="60"/>
  <c r="K10" i="61"/>
  <c r="L39" i="62"/>
  <c r="H395" i="63"/>
  <c r="E134" i="63"/>
  <c r="F138" i="63" s="1"/>
  <c r="J42" i="63"/>
  <c r="D426" i="63"/>
  <c r="M28" i="64"/>
  <c r="E10" i="67"/>
  <c r="G10" i="67" s="1"/>
  <c r="I32" i="66"/>
  <c r="K32" i="66" s="1"/>
  <c r="AA18" i="66"/>
  <c r="G13" i="67"/>
  <c r="AA33" i="68"/>
  <c r="I37" i="68"/>
  <c r="K37" i="68" s="1"/>
  <c r="J42" i="68"/>
  <c r="AB48" i="68"/>
  <c r="AB11" i="76"/>
  <c r="D8" i="77"/>
  <c r="AA42" i="84"/>
  <c r="I40" i="84"/>
  <c r="K40" i="84" s="1"/>
  <c r="G73" i="39"/>
  <c r="E75" i="39"/>
  <c r="K78" i="39"/>
  <c r="J28" i="40"/>
  <c r="K28" i="40" s="1"/>
  <c r="I30" i="40"/>
  <c r="K30" i="40" s="1"/>
  <c r="J35" i="40"/>
  <c r="F6" i="41"/>
  <c r="H6" i="41" s="1"/>
  <c r="H291" i="41"/>
  <c r="C63" i="41"/>
  <c r="J79" i="41"/>
  <c r="H10" i="43"/>
  <c r="E7" i="45"/>
  <c r="G7" i="45" s="1"/>
  <c r="I29" i="44"/>
  <c r="K29" i="44" s="1"/>
  <c r="AB21" i="44"/>
  <c r="F11" i="45"/>
  <c r="H11" i="45" s="1"/>
  <c r="J33" i="46"/>
  <c r="K33" i="46" s="1"/>
  <c r="I35" i="46"/>
  <c r="K35" i="46" s="1"/>
  <c r="C89" i="47"/>
  <c r="H91" i="47"/>
  <c r="J93" i="47"/>
  <c r="G98" i="47"/>
  <c r="I28" i="48"/>
  <c r="K28" i="48" s="1"/>
  <c r="AB23" i="48"/>
  <c r="D12" i="49"/>
  <c r="I29" i="50"/>
  <c r="K29" i="50" s="1"/>
  <c r="E114" i="51"/>
  <c r="F188" i="51"/>
  <c r="E10" i="53"/>
  <c r="G10" i="53" s="1"/>
  <c r="AA18" i="52"/>
  <c r="E250" i="55"/>
  <c r="F258" i="55" s="1"/>
  <c r="E236" i="55"/>
  <c r="A266" i="55" s="1"/>
  <c r="M34" i="54"/>
  <c r="L34" i="54"/>
  <c r="I39" i="54"/>
  <c r="K39" i="54" s="1"/>
  <c r="D121" i="55"/>
  <c r="K124" i="55"/>
  <c r="H127" i="55"/>
  <c r="D131" i="55"/>
  <c r="L205" i="55"/>
  <c r="I208" i="55"/>
  <c r="H363" i="55"/>
  <c r="AB21" i="56"/>
  <c r="E14" i="57"/>
  <c r="G14" i="57" s="1"/>
  <c r="L40" i="57"/>
  <c r="I43" i="57"/>
  <c r="E47" i="57"/>
  <c r="D79" i="57"/>
  <c r="K82" i="57"/>
  <c r="D89" i="57"/>
  <c r="M121" i="57"/>
  <c r="J124" i="57"/>
  <c r="G127" i="57"/>
  <c r="C131" i="57"/>
  <c r="F6" i="58"/>
  <c r="H6" i="58" s="1"/>
  <c r="J6" i="58" s="1"/>
  <c r="H8" i="59"/>
  <c r="G250" i="61"/>
  <c r="F250" i="61"/>
  <c r="K42" i="63"/>
  <c r="E235" i="65"/>
  <c r="A265" i="65" s="1"/>
  <c r="F250" i="67"/>
  <c r="F10" i="67"/>
  <c r="AB18" i="66"/>
  <c r="AB33" i="68"/>
  <c r="J37" i="68"/>
  <c r="F425" i="69"/>
  <c r="M67" i="73"/>
  <c r="E65" i="73"/>
  <c r="E57" i="73"/>
  <c r="G67" i="73"/>
  <c r="B66" i="73"/>
  <c r="I64" i="73"/>
  <c r="K61" i="73"/>
  <c r="B63" i="73"/>
  <c r="K58" i="73"/>
  <c r="M62" i="73"/>
  <c r="C60" i="73"/>
  <c r="D57" i="73"/>
  <c r="C67" i="73"/>
  <c r="J65" i="73"/>
  <c r="E64" i="73"/>
  <c r="F51" i="73"/>
  <c r="D64" i="73"/>
  <c r="G63" i="73"/>
  <c r="J67" i="73"/>
  <c r="D65" i="73"/>
  <c r="E63" i="73"/>
  <c r="I67" i="73"/>
  <c r="J62" i="73"/>
  <c r="C58" i="73"/>
  <c r="J59" i="73"/>
  <c r="C68" i="73"/>
  <c r="B64" i="73"/>
  <c r="K66" i="73"/>
  <c r="H59" i="73"/>
  <c r="L64" i="73"/>
  <c r="K64" i="73"/>
  <c r="C61" i="73"/>
  <c r="M68" i="73"/>
  <c r="B61" i="73"/>
  <c r="F68" i="73"/>
  <c r="I30" i="76"/>
  <c r="K30" i="76" s="1"/>
  <c r="E8" i="77"/>
  <c r="G8" i="77" s="1"/>
  <c r="AA12" i="76"/>
  <c r="AA30" i="76"/>
  <c r="E14" i="77"/>
  <c r="G14" i="77" s="1"/>
  <c r="I36" i="76"/>
  <c r="I31" i="78"/>
  <c r="AA15" i="78"/>
  <c r="E9" i="79"/>
  <c r="C7" i="69"/>
  <c r="AA8" i="68"/>
  <c r="F428" i="69"/>
  <c r="B60" i="69"/>
  <c r="H67" i="69"/>
  <c r="E243" i="73"/>
  <c r="A273" i="73" s="1"/>
  <c r="E257" i="73"/>
  <c r="J30" i="72"/>
  <c r="AB12" i="72"/>
  <c r="F58" i="75"/>
  <c r="G74" i="75"/>
  <c r="E71" i="75"/>
  <c r="C65" i="75"/>
  <c r="M73" i="75"/>
  <c r="D71" i="75"/>
  <c r="K67" i="75"/>
  <c r="B65" i="75"/>
  <c r="L73" i="75"/>
  <c r="C71" i="75"/>
  <c r="J67" i="75"/>
  <c r="J64" i="75"/>
  <c r="J73" i="75"/>
  <c r="B71" i="75"/>
  <c r="I67" i="75"/>
  <c r="C64" i="75"/>
  <c r="H73" i="75"/>
  <c r="O68" i="75"/>
  <c r="K63" i="75"/>
  <c r="G73" i="75"/>
  <c r="N68" i="75"/>
  <c r="I63" i="75"/>
  <c r="F73" i="75"/>
  <c r="H63" i="75"/>
  <c r="C73" i="75"/>
  <c r="G63" i="75"/>
  <c r="E72" i="75"/>
  <c r="O75" i="75"/>
  <c r="G71" i="75"/>
  <c r="C66" i="75"/>
  <c r="H479" i="75"/>
  <c r="C148" i="75"/>
  <c r="H511" i="75"/>
  <c r="C240" i="75"/>
  <c r="F242" i="75" s="1"/>
  <c r="L63" i="75"/>
  <c r="F71" i="75"/>
  <c r="AB14" i="78"/>
  <c r="D9" i="79"/>
  <c r="J6" i="99"/>
  <c r="I6" i="99"/>
  <c r="E487" i="99" s="1"/>
  <c r="D9" i="59"/>
  <c r="H9" i="59" s="1"/>
  <c r="J31" i="58"/>
  <c r="D14" i="59"/>
  <c r="H14" i="59" s="1"/>
  <c r="AB29" i="58"/>
  <c r="H379" i="59"/>
  <c r="E92" i="59"/>
  <c r="E13" i="61"/>
  <c r="G13" i="61" s="1"/>
  <c r="I35" i="60"/>
  <c r="H121" i="61"/>
  <c r="K127" i="61"/>
  <c r="I40" i="62"/>
  <c r="K40" i="62" s="1"/>
  <c r="AA42" i="62"/>
  <c r="H400" i="63"/>
  <c r="B155" i="63"/>
  <c r="B71" i="63"/>
  <c r="F37" i="65"/>
  <c r="J42" i="65"/>
  <c r="K67" i="65"/>
  <c r="G66" i="65"/>
  <c r="C65" i="65"/>
  <c r="K63" i="65"/>
  <c r="J67" i="65"/>
  <c r="E66" i="65"/>
  <c r="L64" i="65"/>
  <c r="G63" i="65"/>
  <c r="C62" i="65"/>
  <c r="K60" i="65"/>
  <c r="C58" i="65"/>
  <c r="I67" i="65"/>
  <c r="D66" i="65"/>
  <c r="K64" i="65"/>
  <c r="F63" i="65"/>
  <c r="B62" i="65"/>
  <c r="J60" i="65"/>
  <c r="B58" i="65"/>
  <c r="M68" i="65"/>
  <c r="H67" i="65"/>
  <c r="C66" i="65"/>
  <c r="J64" i="65"/>
  <c r="E63" i="65"/>
  <c r="M61" i="65"/>
  <c r="I60" i="65"/>
  <c r="M57" i="65"/>
  <c r="L68" i="65"/>
  <c r="G67" i="65"/>
  <c r="B66" i="65"/>
  <c r="I64" i="65"/>
  <c r="D63" i="65"/>
  <c r="L61" i="65"/>
  <c r="H60" i="65"/>
  <c r="L57" i="65"/>
  <c r="K68" i="65"/>
  <c r="F67" i="65"/>
  <c r="M65" i="65"/>
  <c r="H64" i="65"/>
  <c r="C63" i="65"/>
  <c r="K61" i="65"/>
  <c r="C59" i="65"/>
  <c r="K57" i="65"/>
  <c r="G68" i="65"/>
  <c r="B67" i="65"/>
  <c r="I65" i="65"/>
  <c r="D64" i="65"/>
  <c r="K62" i="65"/>
  <c r="C60" i="65"/>
  <c r="K58" i="65"/>
  <c r="G57" i="65"/>
  <c r="M66" i="65"/>
  <c r="M64" i="65"/>
  <c r="H62" i="65"/>
  <c r="F58" i="65"/>
  <c r="L66" i="65"/>
  <c r="G64" i="65"/>
  <c r="E58" i="65"/>
  <c r="K66" i="65"/>
  <c r="F64" i="65"/>
  <c r="B60" i="65"/>
  <c r="D58" i="65"/>
  <c r="J68" i="65"/>
  <c r="J66" i="65"/>
  <c r="E64" i="65"/>
  <c r="M59" i="65"/>
  <c r="J57" i="65"/>
  <c r="I68" i="65"/>
  <c r="I66" i="65"/>
  <c r="C64" i="65"/>
  <c r="L59" i="65"/>
  <c r="I57" i="65"/>
  <c r="F51" i="65"/>
  <c r="D68" i="65"/>
  <c r="K65" i="65"/>
  <c r="J63" i="65"/>
  <c r="H59" i="65"/>
  <c r="D57" i="65"/>
  <c r="B68" i="65"/>
  <c r="B64" i="65"/>
  <c r="B61" i="65"/>
  <c r="E57" i="65"/>
  <c r="M67" i="65"/>
  <c r="M63" i="65"/>
  <c r="M60" i="65"/>
  <c r="C57" i="65"/>
  <c r="L67" i="65"/>
  <c r="L63" i="65"/>
  <c r="L60" i="65"/>
  <c r="B57" i="65"/>
  <c r="E67" i="65"/>
  <c r="I63" i="65"/>
  <c r="D67" i="65"/>
  <c r="H63" i="65"/>
  <c r="K59" i="65"/>
  <c r="L65" i="65"/>
  <c r="J62" i="65"/>
  <c r="M58" i="65"/>
  <c r="F66" i="65"/>
  <c r="G122" i="65"/>
  <c r="I127" i="65"/>
  <c r="H368" i="65"/>
  <c r="H363" i="67"/>
  <c r="E50" i="67"/>
  <c r="D164" i="67"/>
  <c r="F170" i="67"/>
  <c r="H6" i="68"/>
  <c r="J6" i="68" s="1"/>
  <c r="E7" i="69"/>
  <c r="G7" i="69" s="1"/>
  <c r="AA9" i="68"/>
  <c r="L40" i="68"/>
  <c r="M67" i="69"/>
  <c r="I66" i="69"/>
  <c r="E65" i="69"/>
  <c r="M63" i="69"/>
  <c r="I62" i="69"/>
  <c r="E61" i="69"/>
  <c r="M59" i="69"/>
  <c r="I58" i="69"/>
  <c r="E57" i="69"/>
  <c r="J67" i="69"/>
  <c r="F66" i="69"/>
  <c r="B65" i="69"/>
  <c r="J63" i="69"/>
  <c r="J59" i="69"/>
  <c r="F51" i="69"/>
  <c r="M68" i="69"/>
  <c r="I67" i="69"/>
  <c r="E66" i="69"/>
  <c r="M64" i="69"/>
  <c r="I63" i="69"/>
  <c r="E62" i="69"/>
  <c r="M60" i="69"/>
  <c r="I59" i="69"/>
  <c r="E58" i="69"/>
  <c r="F67" i="69"/>
  <c r="K65" i="69"/>
  <c r="D64" i="69"/>
  <c r="H62" i="69"/>
  <c r="K60" i="69"/>
  <c r="D59" i="69"/>
  <c r="I57" i="69"/>
  <c r="L68" i="69"/>
  <c r="E67" i="69"/>
  <c r="J65" i="69"/>
  <c r="C64" i="69"/>
  <c r="J60" i="69"/>
  <c r="C59" i="69"/>
  <c r="H57" i="69"/>
  <c r="K68" i="69"/>
  <c r="D67" i="69"/>
  <c r="I65" i="69"/>
  <c r="B64" i="69"/>
  <c r="D62" i="69"/>
  <c r="I60" i="69"/>
  <c r="B59" i="69"/>
  <c r="J68" i="69"/>
  <c r="C67" i="69"/>
  <c r="H65" i="69"/>
  <c r="L63" i="69"/>
  <c r="H60" i="69"/>
  <c r="M58" i="69"/>
  <c r="I68" i="69"/>
  <c r="B67" i="69"/>
  <c r="G65" i="69"/>
  <c r="K63" i="69"/>
  <c r="G60" i="69"/>
  <c r="L58" i="69"/>
  <c r="D57" i="69"/>
  <c r="E68" i="69"/>
  <c r="J66" i="69"/>
  <c r="L64" i="69"/>
  <c r="E63" i="69"/>
  <c r="J61" i="69"/>
  <c r="C60" i="69"/>
  <c r="G66" i="69"/>
  <c r="H63" i="69"/>
  <c r="H58" i="69"/>
  <c r="D66" i="69"/>
  <c r="G63" i="69"/>
  <c r="D61" i="69"/>
  <c r="D58" i="69"/>
  <c r="H68" i="69"/>
  <c r="C66" i="69"/>
  <c r="F63" i="69"/>
  <c r="G68" i="69"/>
  <c r="B66" i="69"/>
  <c r="D63" i="69"/>
  <c r="L60" i="69"/>
  <c r="F68" i="69"/>
  <c r="M65" i="69"/>
  <c r="C63" i="69"/>
  <c r="F60" i="69"/>
  <c r="M57" i="69"/>
  <c r="L67" i="69"/>
  <c r="C65" i="69"/>
  <c r="K62" i="69"/>
  <c r="L59" i="69"/>
  <c r="L66" i="69"/>
  <c r="J62" i="69"/>
  <c r="J58" i="69"/>
  <c r="K66" i="69"/>
  <c r="M61" i="69"/>
  <c r="L57" i="69"/>
  <c r="H66" i="69"/>
  <c r="L61" i="69"/>
  <c r="K57" i="69"/>
  <c r="L65" i="69"/>
  <c r="K61" i="69"/>
  <c r="J57" i="69"/>
  <c r="F65" i="69"/>
  <c r="I61" i="69"/>
  <c r="I64" i="69"/>
  <c r="D60" i="69"/>
  <c r="B68" i="69"/>
  <c r="G248" i="69"/>
  <c r="F248" i="69"/>
  <c r="L38" i="72"/>
  <c r="M38" i="72"/>
  <c r="D15" i="75"/>
  <c r="H15" i="75" s="1"/>
  <c r="C72" i="75"/>
  <c r="M31" i="76"/>
  <c r="L31" i="76"/>
  <c r="F244" i="77"/>
  <c r="M252" i="77"/>
  <c r="D252" i="77"/>
  <c r="G257" i="77"/>
  <c r="O248" i="77"/>
  <c r="E257" i="77"/>
  <c r="N248" i="77"/>
  <c r="E56" i="79"/>
  <c r="N64" i="79" s="1"/>
  <c r="H449" i="79"/>
  <c r="H481" i="79"/>
  <c r="E148" i="79"/>
  <c r="E240" i="79"/>
  <c r="F244" i="79" s="1"/>
  <c r="H513" i="79"/>
  <c r="J30" i="98"/>
  <c r="D8" i="99"/>
  <c r="H8" i="99" s="1"/>
  <c r="AB11" i="98"/>
  <c r="D14" i="69"/>
  <c r="H14" i="69" s="1"/>
  <c r="J36" i="68"/>
  <c r="K36" i="68" s="1"/>
  <c r="AB29" i="68"/>
  <c r="H61" i="69"/>
  <c r="C68" i="69"/>
  <c r="AB8" i="74"/>
  <c r="D7" i="75"/>
  <c r="J36" i="74"/>
  <c r="F14" i="75"/>
  <c r="H14" i="75" s="1"/>
  <c r="AB30" i="74"/>
  <c r="I9" i="75"/>
  <c r="D72" i="75"/>
  <c r="G333" i="77"/>
  <c r="R351" i="77"/>
  <c r="AA9" i="78"/>
  <c r="E7" i="79"/>
  <c r="G7" i="79" s="1"/>
  <c r="I29" i="78"/>
  <c r="K29" i="78" s="1"/>
  <c r="C529" i="79"/>
  <c r="B79" i="79"/>
  <c r="H454" i="79"/>
  <c r="C533" i="79"/>
  <c r="H486" i="79"/>
  <c r="B171" i="79"/>
  <c r="C537" i="79"/>
  <c r="H518" i="79"/>
  <c r="B263" i="79"/>
  <c r="G324" i="79"/>
  <c r="I17" i="81"/>
  <c r="D14" i="83"/>
  <c r="H14" i="83" s="1"/>
  <c r="AB29" i="82"/>
  <c r="J36" i="82"/>
  <c r="AA48" i="82"/>
  <c r="I42" i="82"/>
  <c r="K42" i="82" s="1"/>
  <c r="G250" i="59"/>
  <c r="I29" i="58"/>
  <c r="AA45" i="58"/>
  <c r="I41" i="58"/>
  <c r="K41" i="58" s="1"/>
  <c r="H353" i="59"/>
  <c r="C29" i="59"/>
  <c r="F31" i="59" s="1"/>
  <c r="H385" i="59"/>
  <c r="C113" i="59"/>
  <c r="F115" i="59" s="1"/>
  <c r="F430" i="61"/>
  <c r="C428" i="61"/>
  <c r="H376" i="61"/>
  <c r="B92" i="61"/>
  <c r="C432" i="61"/>
  <c r="H408" i="61"/>
  <c r="D122" i="61"/>
  <c r="B176" i="61"/>
  <c r="M38" i="62"/>
  <c r="L38" i="62"/>
  <c r="M35" i="64"/>
  <c r="L35" i="64"/>
  <c r="AA45" i="64"/>
  <c r="M37" i="65"/>
  <c r="L43" i="65"/>
  <c r="H61" i="65"/>
  <c r="C67" i="65"/>
  <c r="B123" i="65"/>
  <c r="F8" i="67"/>
  <c r="H8" i="67" s="1"/>
  <c r="AB12" i="66"/>
  <c r="J30" i="66"/>
  <c r="I42" i="66"/>
  <c r="K42" i="66" s="1"/>
  <c r="F66" i="67"/>
  <c r="F51" i="67"/>
  <c r="G63" i="67"/>
  <c r="I60" i="67"/>
  <c r="D59" i="67"/>
  <c r="K57" i="67"/>
  <c r="H60" i="67"/>
  <c r="J57" i="67"/>
  <c r="B59" i="67"/>
  <c r="F60" i="67"/>
  <c r="M58" i="67"/>
  <c r="H64" i="67"/>
  <c r="C63" i="67"/>
  <c r="J61" i="67"/>
  <c r="I65" i="67"/>
  <c r="K62" i="67"/>
  <c r="M59" i="67"/>
  <c r="F64" i="67"/>
  <c r="E62" i="67"/>
  <c r="L59" i="67"/>
  <c r="H68" i="67"/>
  <c r="F65" i="67"/>
  <c r="E61" i="67"/>
  <c r="F68" i="67"/>
  <c r="C64" i="67"/>
  <c r="B64" i="67"/>
  <c r="L165" i="67"/>
  <c r="H170" i="67"/>
  <c r="E243" i="69"/>
  <c r="A273" i="69" s="1"/>
  <c r="E257" i="69"/>
  <c r="I29" i="68"/>
  <c r="K29" i="68" s="1"/>
  <c r="D9" i="69"/>
  <c r="H9" i="69" s="1"/>
  <c r="AB14" i="68"/>
  <c r="L62" i="69"/>
  <c r="D68" i="69"/>
  <c r="G250" i="69"/>
  <c r="H362" i="73"/>
  <c r="D426" i="73"/>
  <c r="D50" i="73"/>
  <c r="K68" i="73" s="1"/>
  <c r="D430" i="73"/>
  <c r="D134" i="73"/>
  <c r="F137" i="73" s="1"/>
  <c r="E7" i="75"/>
  <c r="G7" i="75" s="1"/>
  <c r="I29" i="74"/>
  <c r="AA9" i="74"/>
  <c r="K36" i="74"/>
  <c r="M65" i="75"/>
  <c r="M74" i="75"/>
  <c r="G322" i="77"/>
  <c r="C11" i="83"/>
  <c r="AA20" i="82"/>
  <c r="I33" i="82"/>
  <c r="F49" i="101"/>
  <c r="C56" i="101"/>
  <c r="G57" i="101"/>
  <c r="D57" i="101"/>
  <c r="F56" i="101"/>
  <c r="E58" i="101"/>
  <c r="D58" i="101"/>
  <c r="E12" i="59"/>
  <c r="G12" i="59" s="1"/>
  <c r="AA24" i="58"/>
  <c r="AB45" i="58"/>
  <c r="J41" i="58"/>
  <c r="C92" i="61"/>
  <c r="F94" i="61" s="1"/>
  <c r="H377" i="61"/>
  <c r="E122" i="61"/>
  <c r="C128" i="61"/>
  <c r="G254" i="61"/>
  <c r="H403" i="63"/>
  <c r="E155" i="63"/>
  <c r="F159" i="63" s="1"/>
  <c r="E71" i="63"/>
  <c r="F75" i="63" s="1"/>
  <c r="M29" i="64"/>
  <c r="L29" i="64"/>
  <c r="H38" i="65"/>
  <c r="M43" i="65"/>
  <c r="I61" i="65"/>
  <c r="C68" i="65"/>
  <c r="C427" i="65"/>
  <c r="E243" i="67"/>
  <c r="A273" i="67" s="1"/>
  <c r="E257" i="67"/>
  <c r="M165" i="67"/>
  <c r="D171" i="67"/>
  <c r="E9" i="69"/>
  <c r="I31" i="68"/>
  <c r="AA15" i="68"/>
  <c r="M62" i="69"/>
  <c r="F251" i="69"/>
  <c r="L42" i="70"/>
  <c r="M42" i="70"/>
  <c r="F7" i="75"/>
  <c r="H7" i="75" s="1"/>
  <c r="J29" i="74"/>
  <c r="AB9" i="74"/>
  <c r="I34" i="74"/>
  <c r="K34" i="74" s="1"/>
  <c r="C12" i="75"/>
  <c r="G12" i="75" s="1"/>
  <c r="AA23" i="74"/>
  <c r="N65" i="75"/>
  <c r="N74" i="75"/>
  <c r="T429" i="83"/>
  <c r="F409" i="83"/>
  <c r="AA45" i="94"/>
  <c r="I41" i="94"/>
  <c r="K41" i="94" s="1"/>
  <c r="F12" i="59"/>
  <c r="H12" i="59" s="1"/>
  <c r="AB24" i="58"/>
  <c r="J36" i="58"/>
  <c r="E131" i="61"/>
  <c r="I128" i="61"/>
  <c r="E127" i="61"/>
  <c r="M125" i="61"/>
  <c r="I124" i="61"/>
  <c r="E123" i="61"/>
  <c r="M121" i="61"/>
  <c r="I120" i="61"/>
  <c r="D131" i="61"/>
  <c r="H128" i="61"/>
  <c r="D127" i="61"/>
  <c r="L125" i="61"/>
  <c r="H124" i="61"/>
  <c r="D123" i="61"/>
  <c r="L121" i="61"/>
  <c r="H120" i="61"/>
  <c r="C131" i="61"/>
  <c r="G128" i="61"/>
  <c r="C127" i="61"/>
  <c r="K125" i="61"/>
  <c r="G124" i="61"/>
  <c r="C123" i="61"/>
  <c r="K121" i="61"/>
  <c r="G120" i="61"/>
  <c r="B131" i="61"/>
  <c r="F128" i="61"/>
  <c r="B127" i="61"/>
  <c r="J125" i="61"/>
  <c r="F124" i="61"/>
  <c r="B123" i="61"/>
  <c r="J121" i="61"/>
  <c r="F120" i="61"/>
  <c r="I129" i="61"/>
  <c r="E128" i="61"/>
  <c r="M126" i="61"/>
  <c r="I125" i="61"/>
  <c r="E124" i="61"/>
  <c r="M122" i="61"/>
  <c r="I121" i="61"/>
  <c r="E120" i="61"/>
  <c r="I130" i="61"/>
  <c r="E129" i="61"/>
  <c r="M127" i="61"/>
  <c r="I126" i="61"/>
  <c r="E125" i="61"/>
  <c r="M123" i="61"/>
  <c r="I122" i="61"/>
  <c r="E121" i="61"/>
  <c r="B130" i="61"/>
  <c r="J127" i="61"/>
  <c r="G125" i="61"/>
  <c r="H123" i="61"/>
  <c r="D121" i="61"/>
  <c r="H129" i="61"/>
  <c r="I127" i="61"/>
  <c r="F125" i="61"/>
  <c r="G123" i="61"/>
  <c r="C121" i="61"/>
  <c r="G129" i="61"/>
  <c r="H127" i="61"/>
  <c r="D125" i="61"/>
  <c r="F123" i="61"/>
  <c r="B121" i="61"/>
  <c r="I131" i="61"/>
  <c r="F129" i="61"/>
  <c r="G127" i="61"/>
  <c r="C125" i="61"/>
  <c r="L122" i="61"/>
  <c r="M120" i="61"/>
  <c r="F114" i="61"/>
  <c r="H131" i="61"/>
  <c r="D129" i="61"/>
  <c r="F127" i="61"/>
  <c r="B125" i="61"/>
  <c r="K122" i="61"/>
  <c r="L120" i="61"/>
  <c r="H126" i="61"/>
  <c r="J124" i="61"/>
  <c r="F122" i="61"/>
  <c r="C120" i="61"/>
  <c r="G130" i="61"/>
  <c r="K126" i="61"/>
  <c r="K123" i="61"/>
  <c r="B120" i="61"/>
  <c r="F130" i="61"/>
  <c r="J126" i="61"/>
  <c r="J123" i="61"/>
  <c r="E130" i="61"/>
  <c r="G126" i="61"/>
  <c r="I123" i="61"/>
  <c r="D130" i="61"/>
  <c r="F126" i="61"/>
  <c r="J122" i="61"/>
  <c r="C130" i="61"/>
  <c r="E126" i="61"/>
  <c r="H122" i="61"/>
  <c r="H125" i="61"/>
  <c r="C122" i="61"/>
  <c r="G122" i="61"/>
  <c r="D128" i="61"/>
  <c r="G255" i="61"/>
  <c r="P271" i="61"/>
  <c r="AA30" i="62"/>
  <c r="I36" i="62"/>
  <c r="K36" i="62" s="1"/>
  <c r="N317" i="63"/>
  <c r="M38" i="64"/>
  <c r="L38" i="64"/>
  <c r="J38" i="65"/>
  <c r="J61" i="65"/>
  <c r="E68" i="65"/>
  <c r="F116" i="65"/>
  <c r="C129" i="65"/>
  <c r="C125" i="65"/>
  <c r="H121" i="65"/>
  <c r="C128" i="65"/>
  <c r="M124" i="65"/>
  <c r="B121" i="65"/>
  <c r="H130" i="65"/>
  <c r="F127" i="65"/>
  <c r="F123" i="65"/>
  <c r="E120" i="65"/>
  <c r="D123" i="65"/>
  <c r="H129" i="65"/>
  <c r="I11" i="67"/>
  <c r="J11" i="67" s="1"/>
  <c r="C166" i="67"/>
  <c r="E171" i="67"/>
  <c r="G254" i="67"/>
  <c r="E258" i="69"/>
  <c r="E244" i="69"/>
  <c r="A274" i="69" s="1"/>
  <c r="E71" i="69"/>
  <c r="F75" i="69" s="1"/>
  <c r="H371" i="69"/>
  <c r="E155" i="69"/>
  <c r="F159" i="69" s="1"/>
  <c r="H403" i="69"/>
  <c r="B63" i="69"/>
  <c r="K32" i="70"/>
  <c r="F135" i="71"/>
  <c r="C10" i="75"/>
  <c r="AA17" i="74"/>
  <c r="O65" i="75"/>
  <c r="O74" i="75"/>
  <c r="C7" i="61"/>
  <c r="AA8" i="60"/>
  <c r="I29" i="60"/>
  <c r="M40" i="60"/>
  <c r="L40" i="60"/>
  <c r="L123" i="61"/>
  <c r="C431" i="63"/>
  <c r="M41" i="64"/>
  <c r="L41" i="64"/>
  <c r="E134" i="65"/>
  <c r="F138" i="65" s="1"/>
  <c r="H395" i="65"/>
  <c r="F33" i="65"/>
  <c r="F47" i="65"/>
  <c r="H43" i="65"/>
  <c r="L39" i="65"/>
  <c r="L36" i="65"/>
  <c r="E47" i="65"/>
  <c r="G43" i="65"/>
  <c r="J39" i="65"/>
  <c r="K36" i="65"/>
  <c r="E46" i="65"/>
  <c r="F43" i="65"/>
  <c r="I39" i="65"/>
  <c r="J36" i="65"/>
  <c r="D46" i="65"/>
  <c r="E43" i="65"/>
  <c r="G39" i="65"/>
  <c r="I36" i="65"/>
  <c r="C46" i="65"/>
  <c r="D43" i="65"/>
  <c r="F39" i="65"/>
  <c r="E45" i="65"/>
  <c r="M41" i="65"/>
  <c r="I38" i="65"/>
  <c r="M44" i="65"/>
  <c r="F57" i="65"/>
  <c r="I62" i="65"/>
  <c r="F68" i="65"/>
  <c r="AB42" i="66"/>
  <c r="J40" i="66"/>
  <c r="P271" i="67"/>
  <c r="G255" i="67"/>
  <c r="E64" i="69"/>
  <c r="I40" i="70"/>
  <c r="K40" i="70" s="1"/>
  <c r="AA42" i="70"/>
  <c r="F8" i="73"/>
  <c r="H8" i="73" s="1"/>
  <c r="B75" i="75"/>
  <c r="F264" i="75"/>
  <c r="AB42" i="78"/>
  <c r="J40" i="78"/>
  <c r="J34" i="80"/>
  <c r="AB24" i="80"/>
  <c r="F12" i="81"/>
  <c r="H12" i="81" s="1"/>
  <c r="G252" i="59"/>
  <c r="J32" i="58"/>
  <c r="K32" i="58" s="1"/>
  <c r="F10" i="59"/>
  <c r="H10" i="59" s="1"/>
  <c r="AB18" i="58"/>
  <c r="J34" i="58"/>
  <c r="K34" i="58" s="1"/>
  <c r="I39" i="58"/>
  <c r="K39" i="58" s="1"/>
  <c r="F429" i="59"/>
  <c r="I6" i="61"/>
  <c r="G12" i="61"/>
  <c r="B124" i="61"/>
  <c r="H7" i="63"/>
  <c r="F433" i="63"/>
  <c r="N14" i="63"/>
  <c r="A416" i="63" s="1"/>
  <c r="D131" i="63"/>
  <c r="L129" i="63"/>
  <c r="H128" i="63"/>
  <c r="D127" i="63"/>
  <c r="L125" i="63"/>
  <c r="H124" i="63"/>
  <c r="D123" i="63"/>
  <c r="L121" i="63"/>
  <c r="H120" i="63"/>
  <c r="C131" i="63"/>
  <c r="C127" i="63"/>
  <c r="C123" i="63"/>
  <c r="K121" i="63"/>
  <c r="G120" i="63"/>
  <c r="B131" i="63"/>
  <c r="B127" i="63"/>
  <c r="B123" i="63"/>
  <c r="J121" i="63"/>
  <c r="F120" i="63"/>
  <c r="M130" i="63"/>
  <c r="I129" i="63"/>
  <c r="E128" i="63"/>
  <c r="M126" i="63"/>
  <c r="I125" i="63"/>
  <c r="E124" i="63"/>
  <c r="M122" i="63"/>
  <c r="I121" i="63"/>
  <c r="E120" i="63"/>
  <c r="L130" i="63"/>
  <c r="H129" i="63"/>
  <c r="D128" i="63"/>
  <c r="L126" i="63"/>
  <c r="H125" i="63"/>
  <c r="D124" i="63"/>
  <c r="L122" i="63"/>
  <c r="H121" i="63"/>
  <c r="D120" i="63"/>
  <c r="L131" i="63"/>
  <c r="H130" i="63"/>
  <c r="D129" i="63"/>
  <c r="L127" i="63"/>
  <c r="H126" i="63"/>
  <c r="D125" i="63"/>
  <c r="L123" i="63"/>
  <c r="H122" i="63"/>
  <c r="D121" i="63"/>
  <c r="D130" i="63"/>
  <c r="M127" i="63"/>
  <c r="B126" i="63"/>
  <c r="J123" i="63"/>
  <c r="G121" i="63"/>
  <c r="C130" i="63"/>
  <c r="K127" i="63"/>
  <c r="M125" i="63"/>
  <c r="I123" i="63"/>
  <c r="F121" i="63"/>
  <c r="M131" i="63"/>
  <c r="B130" i="63"/>
  <c r="J127" i="63"/>
  <c r="H123" i="63"/>
  <c r="E121" i="63"/>
  <c r="K131" i="63"/>
  <c r="M129" i="63"/>
  <c r="I127" i="63"/>
  <c r="G123" i="63"/>
  <c r="C121" i="63"/>
  <c r="J131" i="63"/>
  <c r="H127" i="63"/>
  <c r="E125" i="63"/>
  <c r="F123" i="63"/>
  <c r="B121" i="63"/>
  <c r="F131" i="63"/>
  <c r="B129" i="63"/>
  <c r="K126" i="63"/>
  <c r="L124" i="63"/>
  <c r="I122" i="63"/>
  <c r="J120" i="63"/>
  <c r="E129" i="63"/>
  <c r="E126" i="63"/>
  <c r="G122" i="63"/>
  <c r="C129" i="63"/>
  <c r="D126" i="63"/>
  <c r="F122" i="63"/>
  <c r="F114" i="63"/>
  <c r="M128" i="63"/>
  <c r="C126" i="63"/>
  <c r="E122" i="63"/>
  <c r="L128" i="63"/>
  <c r="C125" i="63"/>
  <c r="D122" i="63"/>
  <c r="B125" i="63"/>
  <c r="C122" i="63"/>
  <c r="E131" i="63"/>
  <c r="B128" i="63"/>
  <c r="I124" i="63"/>
  <c r="L120" i="63"/>
  <c r="E123" i="63"/>
  <c r="I128" i="63"/>
  <c r="C8" i="65"/>
  <c r="AA11" i="64"/>
  <c r="AA17" i="64"/>
  <c r="C10" i="65"/>
  <c r="G10" i="65" s="1"/>
  <c r="AB45" i="64"/>
  <c r="J41" i="64"/>
  <c r="C88" i="65"/>
  <c r="F87" i="65"/>
  <c r="J78" i="65"/>
  <c r="D78" i="65"/>
  <c r="H89" i="65"/>
  <c r="B82" i="65"/>
  <c r="F81" i="65"/>
  <c r="H400" i="65"/>
  <c r="B155" i="65"/>
  <c r="B45" i="65"/>
  <c r="H57" i="65"/>
  <c r="L62" i="65"/>
  <c r="H68" i="65"/>
  <c r="D81" i="65"/>
  <c r="J123" i="65"/>
  <c r="D130" i="65"/>
  <c r="D9" i="67"/>
  <c r="H9" i="67" s="1"/>
  <c r="AB14" i="66"/>
  <c r="C14" i="67"/>
  <c r="G14" i="67" s="1"/>
  <c r="AA29" i="66"/>
  <c r="I40" i="66"/>
  <c r="K40" i="66" s="1"/>
  <c r="E166" i="67"/>
  <c r="F64" i="69"/>
  <c r="AB27" i="70"/>
  <c r="F13" i="71"/>
  <c r="H13" i="71" s="1"/>
  <c r="I8" i="71"/>
  <c r="J8" i="71" s="1"/>
  <c r="H378" i="71"/>
  <c r="D92" i="71"/>
  <c r="F104" i="71" s="1"/>
  <c r="D432" i="71"/>
  <c r="D176" i="71"/>
  <c r="F179" i="71" s="1"/>
  <c r="H410" i="71"/>
  <c r="D8" i="75"/>
  <c r="H8" i="75" s="1"/>
  <c r="AB11" i="74"/>
  <c r="J75" i="75"/>
  <c r="K37" i="78"/>
  <c r="E387" i="81"/>
  <c r="A425" i="81" s="1"/>
  <c r="E405" i="81"/>
  <c r="M32" i="84"/>
  <c r="L32" i="84"/>
  <c r="F531" i="79"/>
  <c r="AA5" i="80"/>
  <c r="C6" i="81"/>
  <c r="F497" i="93"/>
  <c r="F118" i="93"/>
  <c r="R350" i="77"/>
  <c r="G332" i="77"/>
  <c r="AB18" i="96"/>
  <c r="F10" i="97"/>
  <c r="H10" i="97" s="1"/>
  <c r="J32" i="96"/>
  <c r="AA27" i="102"/>
  <c r="I35" i="102"/>
  <c r="K35" i="102" s="1"/>
  <c r="H377" i="63"/>
  <c r="C92" i="63"/>
  <c r="H8" i="65"/>
  <c r="C428" i="65"/>
  <c r="H376" i="65"/>
  <c r="B92" i="65"/>
  <c r="D430" i="67"/>
  <c r="H394" i="67"/>
  <c r="F172" i="67"/>
  <c r="H169" i="67"/>
  <c r="C168" i="67"/>
  <c r="I166" i="67"/>
  <c r="D165" i="67"/>
  <c r="K163" i="67"/>
  <c r="F162" i="67"/>
  <c r="E172" i="67"/>
  <c r="G169" i="67"/>
  <c r="M167" i="67"/>
  <c r="H166" i="67"/>
  <c r="C165" i="67"/>
  <c r="J163" i="67"/>
  <c r="E162" i="67"/>
  <c r="I173" i="67"/>
  <c r="D172" i="67"/>
  <c r="E169" i="67"/>
  <c r="L167" i="67"/>
  <c r="G166" i="67"/>
  <c r="B165" i="67"/>
  <c r="I163" i="67"/>
  <c r="D162" i="67"/>
  <c r="H173" i="67"/>
  <c r="C172" i="67"/>
  <c r="I170" i="67"/>
  <c r="D169" i="67"/>
  <c r="K167" i="67"/>
  <c r="F166" i="67"/>
  <c r="M164" i="67"/>
  <c r="H163" i="67"/>
  <c r="C162" i="67"/>
  <c r="D170" i="67"/>
  <c r="E168" i="67"/>
  <c r="K165" i="67"/>
  <c r="F163" i="67"/>
  <c r="I172" i="67"/>
  <c r="C170" i="67"/>
  <c r="J167" i="67"/>
  <c r="J165" i="67"/>
  <c r="E163" i="67"/>
  <c r="H172" i="67"/>
  <c r="B170" i="67"/>
  <c r="I167" i="67"/>
  <c r="I165" i="67"/>
  <c r="C163" i="67"/>
  <c r="F157" i="67"/>
  <c r="M169" i="67"/>
  <c r="H167" i="67"/>
  <c r="H165" i="67"/>
  <c r="B163" i="67"/>
  <c r="L169" i="67"/>
  <c r="F167" i="67"/>
  <c r="G165" i="67"/>
  <c r="M162" i="67"/>
  <c r="G171" i="67"/>
  <c r="B169" i="67"/>
  <c r="B167" i="67"/>
  <c r="H164" i="67"/>
  <c r="H162" i="67"/>
  <c r="M163" i="67"/>
  <c r="C167" i="67"/>
  <c r="C171" i="67"/>
  <c r="E242" i="69"/>
  <c r="A272" i="69" s="1"/>
  <c r="E256" i="69"/>
  <c r="C9" i="69"/>
  <c r="AA14" i="68"/>
  <c r="F152" i="69"/>
  <c r="G143" i="69"/>
  <c r="K148" i="69"/>
  <c r="E258" i="73"/>
  <c r="E244" i="73"/>
  <c r="A274" i="73" s="1"/>
  <c r="AA42" i="72"/>
  <c r="I40" i="72"/>
  <c r="K40" i="72" s="1"/>
  <c r="I9" i="73"/>
  <c r="I79" i="73"/>
  <c r="E312" i="75"/>
  <c r="A346" i="75" s="1"/>
  <c r="E328" i="75"/>
  <c r="F10" i="75"/>
  <c r="H10" i="75" s="1"/>
  <c r="J32" i="74"/>
  <c r="K32" i="74" s="1"/>
  <c r="F9" i="77"/>
  <c r="H9" i="77" s="1"/>
  <c r="I9" i="77" s="1"/>
  <c r="E530" i="77" s="1"/>
  <c r="B249" i="77"/>
  <c r="E258" i="77"/>
  <c r="F15" i="79"/>
  <c r="H15" i="79" s="1"/>
  <c r="AB33" i="78"/>
  <c r="J37" i="78"/>
  <c r="G128" i="81"/>
  <c r="F58" i="87"/>
  <c r="F182" i="91"/>
  <c r="G298" i="93"/>
  <c r="H231" i="95"/>
  <c r="C273" i="95"/>
  <c r="B40" i="95"/>
  <c r="H263" i="95"/>
  <c r="B108" i="95"/>
  <c r="C277" i="95"/>
  <c r="D7" i="97"/>
  <c r="AB8" i="96"/>
  <c r="K6" i="99"/>
  <c r="J35" i="102"/>
  <c r="AB27" i="102"/>
  <c r="AB36" i="102"/>
  <c r="J38" i="102"/>
  <c r="B25" i="45"/>
  <c r="E176" i="45"/>
  <c r="A202" i="45" s="1"/>
  <c r="B139" i="49"/>
  <c r="I28" i="50"/>
  <c r="K28" i="50" s="1"/>
  <c r="J33" i="50"/>
  <c r="F11" i="51"/>
  <c r="H11" i="51" s="1"/>
  <c r="H306" i="51"/>
  <c r="C335" i="51"/>
  <c r="D101" i="51"/>
  <c r="E178" i="51"/>
  <c r="A204" i="51" s="1"/>
  <c r="F7" i="53"/>
  <c r="H7" i="53" s="1"/>
  <c r="AB9" i="52"/>
  <c r="G91" i="53"/>
  <c r="C7" i="55"/>
  <c r="G7" i="55" s="1"/>
  <c r="AA8" i="54"/>
  <c r="C11" i="55"/>
  <c r="G11" i="55" s="1"/>
  <c r="AA20" i="54"/>
  <c r="H418" i="55"/>
  <c r="J29" i="56"/>
  <c r="E244" i="57"/>
  <c r="A274" i="57" s="1"/>
  <c r="AA23" i="58"/>
  <c r="E11" i="59"/>
  <c r="G11" i="59" s="1"/>
  <c r="I33" i="58"/>
  <c r="F430" i="59"/>
  <c r="E249" i="59"/>
  <c r="D7" i="61"/>
  <c r="H7" i="61" s="1"/>
  <c r="AB8" i="60"/>
  <c r="J29" i="60"/>
  <c r="E11" i="61"/>
  <c r="G11" i="61" s="1"/>
  <c r="AA21" i="60"/>
  <c r="I33" i="60"/>
  <c r="K33" i="60" s="1"/>
  <c r="L68" i="61"/>
  <c r="H67" i="61"/>
  <c r="L64" i="61"/>
  <c r="K60" i="61"/>
  <c r="M65" i="61"/>
  <c r="E68" i="61"/>
  <c r="I65" i="61"/>
  <c r="L59" i="61"/>
  <c r="F51" i="61"/>
  <c r="C68" i="61"/>
  <c r="F57" i="61"/>
  <c r="B61" i="61"/>
  <c r="J58" i="61"/>
  <c r="E47" i="61"/>
  <c r="M45" i="61"/>
  <c r="I44" i="61"/>
  <c r="E43" i="61"/>
  <c r="M41" i="61"/>
  <c r="I40" i="61"/>
  <c r="M37" i="61"/>
  <c r="I36" i="61"/>
  <c r="D47" i="61"/>
  <c r="L45" i="61"/>
  <c r="H44" i="61"/>
  <c r="D43" i="61"/>
  <c r="L41" i="61"/>
  <c r="H40" i="61"/>
  <c r="L37" i="61"/>
  <c r="H36" i="61"/>
  <c r="C47" i="61"/>
  <c r="K45" i="61"/>
  <c r="G44" i="61"/>
  <c r="C43" i="61"/>
  <c r="K41" i="61"/>
  <c r="G40" i="61"/>
  <c r="K37" i="61"/>
  <c r="G36" i="61"/>
  <c r="B47" i="61"/>
  <c r="J45" i="61"/>
  <c r="F44" i="61"/>
  <c r="B43" i="61"/>
  <c r="J41" i="61"/>
  <c r="F40" i="61"/>
  <c r="J37" i="61"/>
  <c r="F36" i="61"/>
  <c r="M46" i="61"/>
  <c r="I45" i="61"/>
  <c r="E44" i="61"/>
  <c r="M42" i="61"/>
  <c r="I41" i="61"/>
  <c r="E40" i="61"/>
  <c r="M38" i="61"/>
  <c r="I37" i="61"/>
  <c r="M47" i="61"/>
  <c r="I46" i="61"/>
  <c r="E45" i="61"/>
  <c r="M43" i="61"/>
  <c r="I42" i="61"/>
  <c r="E41" i="61"/>
  <c r="M39" i="61"/>
  <c r="I38" i="61"/>
  <c r="F46" i="61"/>
  <c r="C44" i="61"/>
  <c r="D42" i="61"/>
  <c r="L39" i="61"/>
  <c r="E46" i="61"/>
  <c r="B44" i="61"/>
  <c r="C42" i="61"/>
  <c r="K39" i="61"/>
  <c r="H37" i="61"/>
  <c r="D46" i="61"/>
  <c r="L43" i="61"/>
  <c r="B42" i="61"/>
  <c r="J39" i="61"/>
  <c r="G37" i="61"/>
  <c r="C46" i="61"/>
  <c r="K43" i="61"/>
  <c r="H41" i="61"/>
  <c r="I39" i="61"/>
  <c r="F37" i="61"/>
  <c r="L47" i="61"/>
  <c r="B46" i="61"/>
  <c r="J43" i="61"/>
  <c r="G41" i="61"/>
  <c r="H39" i="61"/>
  <c r="H47" i="61"/>
  <c r="D45" i="61"/>
  <c r="F43" i="61"/>
  <c r="B41" i="61"/>
  <c r="K38" i="61"/>
  <c r="L36" i="61"/>
  <c r="M36" i="61"/>
  <c r="J40" i="61"/>
  <c r="I43" i="61"/>
  <c r="F47" i="61"/>
  <c r="M213" i="61"/>
  <c r="I212" i="61"/>
  <c r="E211" i="61"/>
  <c r="M209" i="61"/>
  <c r="I208" i="61"/>
  <c r="M205" i="61"/>
  <c r="I204" i="61"/>
  <c r="L213" i="61"/>
  <c r="H212" i="61"/>
  <c r="D211" i="61"/>
  <c r="L209" i="61"/>
  <c r="H208" i="61"/>
  <c r="L205" i="61"/>
  <c r="H204" i="61"/>
  <c r="C215" i="61"/>
  <c r="K213" i="61"/>
  <c r="G212" i="61"/>
  <c r="C211" i="61"/>
  <c r="K209" i="61"/>
  <c r="G208" i="61"/>
  <c r="C207" i="61"/>
  <c r="K205" i="61"/>
  <c r="G204" i="61"/>
  <c r="B215" i="61"/>
  <c r="J213" i="61"/>
  <c r="F212" i="61"/>
  <c r="B211" i="61"/>
  <c r="J209" i="61"/>
  <c r="F208" i="61"/>
  <c r="B207" i="61"/>
  <c r="J205" i="61"/>
  <c r="F204" i="61"/>
  <c r="I213" i="61"/>
  <c r="E212" i="61"/>
  <c r="M210" i="61"/>
  <c r="I209" i="61"/>
  <c r="E208" i="61"/>
  <c r="I205" i="61"/>
  <c r="E204" i="61"/>
  <c r="I214" i="61"/>
  <c r="E213" i="61"/>
  <c r="M211" i="61"/>
  <c r="I210" i="61"/>
  <c r="E209" i="61"/>
  <c r="I206" i="61"/>
  <c r="E205" i="61"/>
  <c r="H215" i="61"/>
  <c r="D213" i="61"/>
  <c r="F211" i="61"/>
  <c r="B209" i="61"/>
  <c r="K206" i="61"/>
  <c r="L204" i="61"/>
  <c r="G215" i="61"/>
  <c r="C213" i="61"/>
  <c r="L210" i="61"/>
  <c r="M208" i="61"/>
  <c r="J206" i="61"/>
  <c r="K204" i="61"/>
  <c r="F215" i="61"/>
  <c r="B213" i="61"/>
  <c r="K210" i="61"/>
  <c r="L208" i="61"/>
  <c r="H206" i="61"/>
  <c r="J204" i="61"/>
  <c r="M212" i="61"/>
  <c r="J210" i="61"/>
  <c r="K208" i="61"/>
  <c r="G206" i="61"/>
  <c r="D204" i="61"/>
  <c r="K214" i="61"/>
  <c r="L212" i="61"/>
  <c r="H210" i="61"/>
  <c r="J208" i="61"/>
  <c r="F206" i="61"/>
  <c r="C204" i="61"/>
  <c r="F214" i="61"/>
  <c r="C212" i="61"/>
  <c r="D210" i="61"/>
  <c r="B206" i="61"/>
  <c r="C205" i="61"/>
  <c r="C208" i="61"/>
  <c r="K211" i="61"/>
  <c r="I215" i="61"/>
  <c r="G257" i="61"/>
  <c r="H360" i="61"/>
  <c r="F429" i="63"/>
  <c r="D149" i="63"/>
  <c r="G211" i="65"/>
  <c r="K208" i="65"/>
  <c r="B212" i="65"/>
  <c r="D209" i="65"/>
  <c r="M211" i="65"/>
  <c r="C209" i="65"/>
  <c r="J207" i="65"/>
  <c r="J214" i="65"/>
  <c r="I207" i="65"/>
  <c r="K211" i="65"/>
  <c r="M208" i="65"/>
  <c r="E210" i="65"/>
  <c r="L208" i="65"/>
  <c r="E211" i="65"/>
  <c r="L209" i="65"/>
  <c r="G208" i="65"/>
  <c r="I205" i="65"/>
  <c r="D211" i="65"/>
  <c r="K206" i="65"/>
  <c r="F204" i="65"/>
  <c r="H215" i="65"/>
  <c r="H213" i="65"/>
  <c r="F215" i="65"/>
  <c r="M210" i="65"/>
  <c r="H208" i="65"/>
  <c r="H206" i="65"/>
  <c r="J205" i="65"/>
  <c r="I120" i="65"/>
  <c r="J124" i="65"/>
  <c r="M127" i="65"/>
  <c r="M213" i="65"/>
  <c r="F164" i="67"/>
  <c r="G168" i="67"/>
  <c r="H171" i="67"/>
  <c r="D426" i="67"/>
  <c r="E245" i="69"/>
  <c r="A275" i="69" s="1"/>
  <c r="E259" i="69"/>
  <c r="D12" i="69"/>
  <c r="H12" i="69" s="1"/>
  <c r="I12" i="69" s="1"/>
  <c r="AB23" i="68"/>
  <c r="M41" i="68"/>
  <c r="L41" i="68"/>
  <c r="H109" i="69"/>
  <c r="K144" i="69"/>
  <c r="C150" i="69"/>
  <c r="E252" i="71"/>
  <c r="E238" i="71"/>
  <c r="A268" i="71" s="1"/>
  <c r="E7" i="71"/>
  <c r="G7" i="71" s="1"/>
  <c r="AA9" i="70"/>
  <c r="I29" i="70"/>
  <c r="K29" i="70" s="1"/>
  <c r="F6" i="73"/>
  <c r="H6" i="73" s="1"/>
  <c r="AB6" i="72"/>
  <c r="J28" i="72"/>
  <c r="C113" i="73"/>
  <c r="F115" i="73" s="1"/>
  <c r="H385" i="73"/>
  <c r="H417" i="73"/>
  <c r="C197" i="73"/>
  <c r="I89" i="73"/>
  <c r="E88" i="73"/>
  <c r="M86" i="73"/>
  <c r="E84" i="73"/>
  <c r="M82" i="73"/>
  <c r="I81" i="73"/>
  <c r="E80" i="73"/>
  <c r="M78" i="73"/>
  <c r="J88" i="73"/>
  <c r="E87" i="73"/>
  <c r="L85" i="73"/>
  <c r="B83" i="73"/>
  <c r="H81" i="73"/>
  <c r="C80" i="73"/>
  <c r="J78" i="73"/>
  <c r="I88" i="73"/>
  <c r="D87" i="73"/>
  <c r="K85" i="73"/>
  <c r="L82" i="73"/>
  <c r="G81" i="73"/>
  <c r="B80" i="73"/>
  <c r="I78" i="73"/>
  <c r="M89" i="73"/>
  <c r="H88" i="73"/>
  <c r="C87" i="73"/>
  <c r="J85" i="73"/>
  <c r="D84" i="73"/>
  <c r="K82" i="73"/>
  <c r="F81" i="73"/>
  <c r="M79" i="73"/>
  <c r="H78" i="73"/>
  <c r="L89" i="73"/>
  <c r="G88" i="73"/>
  <c r="B87" i="73"/>
  <c r="C84" i="73"/>
  <c r="J82" i="73"/>
  <c r="E81" i="73"/>
  <c r="L79" i="73"/>
  <c r="G78" i="73"/>
  <c r="K89" i="73"/>
  <c r="F88" i="73"/>
  <c r="L86" i="73"/>
  <c r="B84" i="73"/>
  <c r="D81" i="73"/>
  <c r="K79" i="73"/>
  <c r="F78" i="73"/>
  <c r="J89" i="73"/>
  <c r="D88" i="73"/>
  <c r="K86" i="73"/>
  <c r="M83" i="73"/>
  <c r="C81" i="73"/>
  <c r="J79" i="73"/>
  <c r="E78" i="73"/>
  <c r="K88" i="73"/>
  <c r="E86" i="73"/>
  <c r="K83" i="73"/>
  <c r="L81" i="73"/>
  <c r="F79" i="73"/>
  <c r="C88" i="73"/>
  <c r="D86" i="73"/>
  <c r="J83" i="73"/>
  <c r="K81" i="73"/>
  <c r="E79" i="73"/>
  <c r="B88" i="73"/>
  <c r="C86" i="73"/>
  <c r="J81" i="73"/>
  <c r="D79" i="73"/>
  <c r="F72" i="73"/>
  <c r="M87" i="73"/>
  <c r="B86" i="73"/>
  <c r="B81" i="73"/>
  <c r="C79" i="73"/>
  <c r="L87" i="73"/>
  <c r="M85" i="73"/>
  <c r="M80" i="73"/>
  <c r="B79" i="73"/>
  <c r="G89" i="73"/>
  <c r="H87" i="73"/>
  <c r="B85" i="73"/>
  <c r="C83" i="73"/>
  <c r="I80" i="73"/>
  <c r="C78" i="73"/>
  <c r="D89" i="73"/>
  <c r="D85" i="73"/>
  <c r="C82" i="73"/>
  <c r="B78" i="73"/>
  <c r="C89" i="73"/>
  <c r="C85" i="73"/>
  <c r="B82" i="73"/>
  <c r="B89" i="73"/>
  <c r="M84" i="73"/>
  <c r="M81" i="73"/>
  <c r="M88" i="73"/>
  <c r="L84" i="73"/>
  <c r="L80" i="73"/>
  <c r="L88" i="73"/>
  <c r="K84" i="73"/>
  <c r="K80" i="73"/>
  <c r="G87" i="73"/>
  <c r="L83" i="73"/>
  <c r="F80" i="73"/>
  <c r="J80" i="73"/>
  <c r="J86" i="73"/>
  <c r="E320" i="75"/>
  <c r="F6" i="74"/>
  <c r="E304" i="75"/>
  <c r="A338" i="75" s="1"/>
  <c r="E314" i="75"/>
  <c r="A348" i="75" s="1"/>
  <c r="E330" i="75"/>
  <c r="G15" i="75"/>
  <c r="G322" i="75"/>
  <c r="E328" i="77"/>
  <c r="E312" i="77"/>
  <c r="A346" i="77" s="1"/>
  <c r="AB30" i="76"/>
  <c r="F14" i="77"/>
  <c r="H14" i="77" s="1"/>
  <c r="J36" i="76"/>
  <c r="D529" i="77"/>
  <c r="H456" i="77"/>
  <c r="D79" i="77"/>
  <c r="D171" i="77"/>
  <c r="F174" i="77" s="1"/>
  <c r="D533" i="77"/>
  <c r="H520" i="77"/>
  <c r="D537" i="77"/>
  <c r="D263" i="77"/>
  <c r="F266" i="77" s="1"/>
  <c r="K251" i="77"/>
  <c r="K259" i="77"/>
  <c r="F105" i="89"/>
  <c r="G112" i="89"/>
  <c r="F111" i="89"/>
  <c r="B119" i="89"/>
  <c r="E111" i="89"/>
  <c r="D111" i="89"/>
  <c r="K110" i="89"/>
  <c r="G118" i="89"/>
  <c r="F118" i="89"/>
  <c r="B116" i="89"/>
  <c r="J115" i="89"/>
  <c r="B114" i="89"/>
  <c r="K113" i="89"/>
  <c r="I113" i="89"/>
  <c r="K30" i="98"/>
  <c r="AB15" i="46"/>
  <c r="AB21" i="48"/>
  <c r="E191" i="51"/>
  <c r="H309" i="51"/>
  <c r="B96" i="53"/>
  <c r="F94" i="53"/>
  <c r="J92" i="53"/>
  <c r="H89" i="53"/>
  <c r="G97" i="53"/>
  <c r="K95" i="53"/>
  <c r="E94" i="53"/>
  <c r="C91" i="53"/>
  <c r="F89" i="53"/>
  <c r="K98" i="53"/>
  <c r="E97" i="53"/>
  <c r="C94" i="53"/>
  <c r="G92" i="53"/>
  <c r="K90" i="53"/>
  <c r="E89" i="53"/>
  <c r="J98" i="53"/>
  <c r="D97" i="53"/>
  <c r="D89" i="53"/>
  <c r="J96" i="53"/>
  <c r="H93" i="53"/>
  <c r="F90" i="53"/>
  <c r="K93" i="53"/>
  <c r="E193" i="53"/>
  <c r="D11" i="55"/>
  <c r="H11" i="55" s="1"/>
  <c r="AB20" i="54"/>
  <c r="E42" i="55"/>
  <c r="H354" i="55"/>
  <c r="AA45" i="56"/>
  <c r="I41" i="56"/>
  <c r="K41" i="56" s="1"/>
  <c r="M37" i="57"/>
  <c r="L39" i="57"/>
  <c r="C42" i="57"/>
  <c r="G44" i="57"/>
  <c r="F11" i="59"/>
  <c r="J33" i="58"/>
  <c r="AB21" i="58"/>
  <c r="H363" i="59"/>
  <c r="E50" i="59"/>
  <c r="F54" i="59" s="1"/>
  <c r="C155" i="59"/>
  <c r="F157" i="59" s="1"/>
  <c r="E7" i="61"/>
  <c r="G7" i="61" s="1"/>
  <c r="AA9" i="60"/>
  <c r="F11" i="61"/>
  <c r="H11" i="61" s="1"/>
  <c r="AB21" i="60"/>
  <c r="H361" i="61"/>
  <c r="C50" i="61"/>
  <c r="B62" i="61" s="1"/>
  <c r="K40" i="61"/>
  <c r="D44" i="61"/>
  <c r="G47" i="61"/>
  <c r="D205" i="61"/>
  <c r="D208" i="61"/>
  <c r="L211" i="61"/>
  <c r="J215" i="61"/>
  <c r="F6" i="62"/>
  <c r="H6" i="62" s="1"/>
  <c r="J6" i="62" s="1"/>
  <c r="E234" i="63"/>
  <c r="A264" i="63" s="1"/>
  <c r="C8" i="63"/>
  <c r="AA11" i="62"/>
  <c r="C10" i="63"/>
  <c r="G10" i="63" s="1"/>
  <c r="AA17" i="62"/>
  <c r="J36" i="63"/>
  <c r="I39" i="63"/>
  <c r="F43" i="63"/>
  <c r="F135" i="63"/>
  <c r="G255" i="63"/>
  <c r="P271" i="63"/>
  <c r="L120" i="65"/>
  <c r="L124" i="65"/>
  <c r="B128" i="65"/>
  <c r="D79" i="67"/>
  <c r="E82" i="67"/>
  <c r="E86" i="67"/>
  <c r="G164" i="67"/>
  <c r="H168" i="67"/>
  <c r="I171" i="67"/>
  <c r="C151" i="69"/>
  <c r="G254" i="69"/>
  <c r="E239" i="71"/>
  <c r="A269" i="71" s="1"/>
  <c r="E253" i="71"/>
  <c r="G251" i="73"/>
  <c r="F251" i="73"/>
  <c r="K28" i="72"/>
  <c r="H354" i="73"/>
  <c r="D425" i="73"/>
  <c r="D433" i="73"/>
  <c r="H418" i="73"/>
  <c r="D82" i="73"/>
  <c r="F87" i="73"/>
  <c r="E313" i="77"/>
  <c r="A347" i="77" s="1"/>
  <c r="E329" i="77"/>
  <c r="F333" i="77" s="1"/>
  <c r="F531" i="77"/>
  <c r="H457" i="77"/>
  <c r="E79" i="77"/>
  <c r="K93" i="77" s="1"/>
  <c r="H521" i="77"/>
  <c r="E263" i="77"/>
  <c r="F267" i="77" s="1"/>
  <c r="J28" i="78"/>
  <c r="AB5" i="78"/>
  <c r="D6" i="79"/>
  <c r="H6" i="79" s="1"/>
  <c r="F160" i="79"/>
  <c r="E402" i="81"/>
  <c r="E384" i="81"/>
  <c r="A422" i="81" s="1"/>
  <c r="D10" i="81"/>
  <c r="AB17" i="80"/>
  <c r="E288" i="93"/>
  <c r="A318" i="93" s="1"/>
  <c r="E302" i="93"/>
  <c r="E303" i="99"/>
  <c r="E289" i="99"/>
  <c r="A319" i="99" s="1"/>
  <c r="E122" i="31"/>
  <c r="A144" i="31" s="1"/>
  <c r="AA15" i="44"/>
  <c r="J31" i="46"/>
  <c r="AB21" i="50"/>
  <c r="J29" i="52"/>
  <c r="AB9" i="54"/>
  <c r="C430" i="55"/>
  <c r="H392" i="55"/>
  <c r="C47" i="55"/>
  <c r="G40" i="55"/>
  <c r="K37" i="55"/>
  <c r="B43" i="55"/>
  <c r="I45" i="55"/>
  <c r="E40" i="55"/>
  <c r="K46" i="55"/>
  <c r="G46" i="55"/>
  <c r="C41" i="55"/>
  <c r="E242" i="55"/>
  <c r="A272" i="55" s="1"/>
  <c r="D429" i="55"/>
  <c r="G9" i="57"/>
  <c r="G13" i="57"/>
  <c r="D425" i="57"/>
  <c r="H354" i="57"/>
  <c r="H418" i="57"/>
  <c r="D429" i="57"/>
  <c r="B71" i="59"/>
  <c r="H368" i="59"/>
  <c r="C427" i="59"/>
  <c r="B155" i="59"/>
  <c r="C431" i="59"/>
  <c r="H400" i="59"/>
  <c r="G256" i="61"/>
  <c r="M39" i="60"/>
  <c r="L39" i="60"/>
  <c r="N10" i="61"/>
  <c r="A384" i="61" s="1"/>
  <c r="H362" i="61"/>
  <c r="D50" i="61"/>
  <c r="F53" i="61" s="1"/>
  <c r="L40" i="61"/>
  <c r="J44" i="61"/>
  <c r="I47" i="61"/>
  <c r="C426" i="61"/>
  <c r="D8" i="63"/>
  <c r="AB11" i="62"/>
  <c r="D10" i="63"/>
  <c r="H10" i="63" s="1"/>
  <c r="AB17" i="62"/>
  <c r="F253" i="65"/>
  <c r="P269" i="65"/>
  <c r="C144" i="65"/>
  <c r="D141" i="65"/>
  <c r="F135" i="65"/>
  <c r="J146" i="65"/>
  <c r="F430" i="67"/>
  <c r="J164" i="67"/>
  <c r="I168" i="67"/>
  <c r="F249" i="67"/>
  <c r="I39" i="68"/>
  <c r="K39" i="68" s="1"/>
  <c r="AA39" i="68"/>
  <c r="C9" i="71"/>
  <c r="AA14" i="70"/>
  <c r="M33" i="70"/>
  <c r="L33" i="70"/>
  <c r="C191" i="71"/>
  <c r="J185" i="71"/>
  <c r="F177" i="71"/>
  <c r="E186" i="71"/>
  <c r="P272" i="71"/>
  <c r="G256" i="71"/>
  <c r="E82" i="73"/>
  <c r="AA42" i="74"/>
  <c r="I40" i="74"/>
  <c r="K40" i="74" s="1"/>
  <c r="F530" i="75"/>
  <c r="D6" i="77"/>
  <c r="H6" i="77" s="1"/>
  <c r="AB5" i="76"/>
  <c r="B260" i="77"/>
  <c r="E403" i="81"/>
  <c r="E385" i="81"/>
  <c r="A423" i="81" s="1"/>
  <c r="E10" i="81"/>
  <c r="AA18" i="80"/>
  <c r="J33" i="88"/>
  <c r="AB21" i="88"/>
  <c r="F11" i="89"/>
  <c r="AA39" i="88"/>
  <c r="I39" i="88"/>
  <c r="K39" i="88" s="1"/>
  <c r="J37" i="90"/>
  <c r="AB33" i="90"/>
  <c r="AA48" i="100"/>
  <c r="I42" i="100"/>
  <c r="K42" i="100" s="1"/>
  <c r="F190" i="51"/>
  <c r="E25" i="51"/>
  <c r="H277" i="51"/>
  <c r="G184" i="51"/>
  <c r="F184" i="51"/>
  <c r="G11" i="53"/>
  <c r="F334" i="53"/>
  <c r="C89" i="53"/>
  <c r="J91" i="53"/>
  <c r="H94" i="53"/>
  <c r="F336" i="53"/>
  <c r="H361" i="55"/>
  <c r="C50" i="55"/>
  <c r="K68" i="55" s="1"/>
  <c r="H393" i="55"/>
  <c r="G248" i="57"/>
  <c r="F248" i="57"/>
  <c r="H13" i="57"/>
  <c r="E234" i="59"/>
  <c r="A264" i="59" s="1"/>
  <c r="E248" i="59"/>
  <c r="F252" i="59" s="1"/>
  <c r="E50" i="61"/>
  <c r="F54" i="61" s="1"/>
  <c r="H363" i="61"/>
  <c r="H395" i="61"/>
  <c r="E134" i="61"/>
  <c r="M40" i="61"/>
  <c r="K44" i="61"/>
  <c r="J47" i="61"/>
  <c r="D426" i="61"/>
  <c r="E8" i="63"/>
  <c r="AA12" i="62"/>
  <c r="I30" i="62"/>
  <c r="K30" i="62" s="1"/>
  <c r="H151" i="63"/>
  <c r="L148" i="63"/>
  <c r="H147" i="63"/>
  <c r="L144" i="63"/>
  <c r="H143" i="63"/>
  <c r="G147" i="63"/>
  <c r="K144" i="63"/>
  <c r="G143" i="63"/>
  <c r="F147" i="63"/>
  <c r="M149" i="63"/>
  <c r="E147" i="63"/>
  <c r="M141" i="63"/>
  <c r="L149" i="63"/>
  <c r="H148" i="63"/>
  <c r="L146" i="63"/>
  <c r="L142" i="63"/>
  <c r="H141" i="63"/>
  <c r="L147" i="63"/>
  <c r="J149" i="63"/>
  <c r="I143" i="63"/>
  <c r="I149" i="63"/>
  <c r="K151" i="63"/>
  <c r="F149" i="63"/>
  <c r="D145" i="63"/>
  <c r="J146" i="63"/>
  <c r="G144" i="63"/>
  <c r="H142" i="63"/>
  <c r="G46" i="63"/>
  <c r="K190" i="63"/>
  <c r="B192" i="63"/>
  <c r="M187" i="63"/>
  <c r="M183" i="63"/>
  <c r="M184" i="63"/>
  <c r="C193" i="63"/>
  <c r="B191" i="63"/>
  <c r="L37" i="64"/>
  <c r="E150" i="65"/>
  <c r="C432" i="65"/>
  <c r="F13" i="67"/>
  <c r="H13" i="67" s="1"/>
  <c r="J35" i="66"/>
  <c r="K164" i="67"/>
  <c r="J168" i="67"/>
  <c r="C71" i="69"/>
  <c r="F73" i="69" s="1"/>
  <c r="H369" i="69"/>
  <c r="M146" i="69"/>
  <c r="E151" i="69"/>
  <c r="H6" i="70"/>
  <c r="J6" i="70" s="1"/>
  <c r="D9" i="71"/>
  <c r="H9" i="71" s="1"/>
  <c r="AB14" i="70"/>
  <c r="D103" i="71"/>
  <c r="H100" i="71"/>
  <c r="K101" i="71"/>
  <c r="G100" i="71"/>
  <c r="J105" i="71"/>
  <c r="F93" i="71"/>
  <c r="I105" i="71"/>
  <c r="E104" i="71"/>
  <c r="I101" i="71"/>
  <c r="E100" i="71"/>
  <c r="L110" i="71"/>
  <c r="H109" i="71"/>
  <c r="L106" i="71"/>
  <c r="B109" i="71"/>
  <c r="I106" i="71"/>
  <c r="G102" i="71"/>
  <c r="J110" i="71"/>
  <c r="J104" i="71"/>
  <c r="F102" i="71"/>
  <c r="I110" i="71"/>
  <c r="D102" i="71"/>
  <c r="D110" i="71"/>
  <c r="L107" i="71"/>
  <c r="J103" i="71"/>
  <c r="M103" i="71"/>
  <c r="B101" i="71"/>
  <c r="L103" i="71"/>
  <c r="C426" i="73"/>
  <c r="H360" i="73"/>
  <c r="H392" i="73"/>
  <c r="C430" i="73"/>
  <c r="B134" i="73"/>
  <c r="I47" i="73"/>
  <c r="J37" i="73"/>
  <c r="F30" i="73"/>
  <c r="E40" i="73"/>
  <c r="L38" i="73"/>
  <c r="G44" i="73"/>
  <c r="B47" i="73"/>
  <c r="M39" i="73"/>
  <c r="F41" i="73"/>
  <c r="J87" i="73"/>
  <c r="L35" i="74"/>
  <c r="J40" i="74"/>
  <c r="AB42" i="74"/>
  <c r="F6" i="76"/>
  <c r="E304" i="77"/>
  <c r="A338" i="77" s="1"/>
  <c r="E320" i="77"/>
  <c r="AA6" i="76"/>
  <c r="E6" i="77"/>
  <c r="G6" i="77" s="1"/>
  <c r="I28" i="76"/>
  <c r="K28" i="76" s="1"/>
  <c r="F527" i="77"/>
  <c r="AB30" i="84"/>
  <c r="J36" i="84"/>
  <c r="J110" i="89"/>
  <c r="G6" i="93"/>
  <c r="AB48" i="100"/>
  <c r="J42" i="100"/>
  <c r="I8" i="101"/>
  <c r="J30" i="48"/>
  <c r="K30" i="48" s="1"/>
  <c r="AA45" i="48"/>
  <c r="N204" i="51"/>
  <c r="K31" i="52"/>
  <c r="H11" i="53"/>
  <c r="E44" i="53"/>
  <c r="J60" i="53" s="1"/>
  <c r="H285" i="53"/>
  <c r="E120" i="53"/>
  <c r="H317" i="53"/>
  <c r="K91" i="53"/>
  <c r="I94" i="53"/>
  <c r="B97" i="53"/>
  <c r="I29" i="54"/>
  <c r="K29" i="54" s="1"/>
  <c r="I33" i="54"/>
  <c r="K33" i="54" s="1"/>
  <c r="J42" i="54"/>
  <c r="D430" i="55"/>
  <c r="H394" i="55"/>
  <c r="D134" i="55"/>
  <c r="D29" i="55"/>
  <c r="H41" i="55" s="1"/>
  <c r="L44" i="55"/>
  <c r="G256" i="55"/>
  <c r="E259" i="57"/>
  <c r="E245" i="57"/>
  <c r="A275" i="57" s="1"/>
  <c r="H360" i="57"/>
  <c r="B50" i="57"/>
  <c r="C430" i="57"/>
  <c r="B134" i="57"/>
  <c r="B47" i="57"/>
  <c r="J45" i="57"/>
  <c r="F44" i="57"/>
  <c r="B43" i="57"/>
  <c r="J41" i="57"/>
  <c r="F40" i="57"/>
  <c r="J37" i="57"/>
  <c r="F36" i="57"/>
  <c r="M46" i="57"/>
  <c r="I45" i="57"/>
  <c r="E44" i="57"/>
  <c r="M42" i="57"/>
  <c r="I41" i="57"/>
  <c r="E40" i="57"/>
  <c r="M38" i="57"/>
  <c r="I37" i="57"/>
  <c r="L46" i="57"/>
  <c r="H45" i="57"/>
  <c r="D44" i="57"/>
  <c r="L42" i="57"/>
  <c r="H41" i="57"/>
  <c r="D40" i="57"/>
  <c r="L38" i="57"/>
  <c r="H37" i="57"/>
  <c r="K46" i="57"/>
  <c r="G45" i="57"/>
  <c r="C44" i="57"/>
  <c r="K42" i="57"/>
  <c r="G41" i="57"/>
  <c r="C40" i="57"/>
  <c r="K38" i="57"/>
  <c r="G37" i="57"/>
  <c r="J46" i="57"/>
  <c r="F45" i="57"/>
  <c r="B44" i="57"/>
  <c r="J42" i="57"/>
  <c r="F41" i="57"/>
  <c r="B40" i="57"/>
  <c r="J38" i="57"/>
  <c r="F37" i="57"/>
  <c r="F30" i="57"/>
  <c r="J47" i="57"/>
  <c r="F46" i="57"/>
  <c r="B45" i="57"/>
  <c r="J43" i="57"/>
  <c r="F42" i="57"/>
  <c r="B41" i="57"/>
  <c r="J39" i="57"/>
  <c r="F38" i="57"/>
  <c r="H40" i="57"/>
  <c r="G42" i="57"/>
  <c r="J44" i="57"/>
  <c r="I46" i="57"/>
  <c r="P274" i="59"/>
  <c r="G258" i="59"/>
  <c r="C8" i="59"/>
  <c r="G8" i="59" s="1"/>
  <c r="I30" i="58"/>
  <c r="K30" i="58" s="1"/>
  <c r="AA11" i="58"/>
  <c r="H370" i="59"/>
  <c r="D427" i="59"/>
  <c r="D71" i="59"/>
  <c r="F74" i="59" s="1"/>
  <c r="C71" i="59"/>
  <c r="F73" i="59" s="1"/>
  <c r="H402" i="59"/>
  <c r="F427" i="61"/>
  <c r="C431" i="61"/>
  <c r="H400" i="61"/>
  <c r="B155" i="61"/>
  <c r="C41" i="61"/>
  <c r="L44" i="61"/>
  <c r="K47" i="61"/>
  <c r="B71" i="61"/>
  <c r="F198" i="61"/>
  <c r="H205" i="61"/>
  <c r="F209" i="61"/>
  <c r="J212" i="61"/>
  <c r="H368" i="61"/>
  <c r="E250" i="63"/>
  <c r="E236" i="63"/>
  <c r="A266" i="63" s="1"/>
  <c r="F8" i="63"/>
  <c r="AB12" i="62"/>
  <c r="F425" i="63"/>
  <c r="N6" i="63"/>
  <c r="A352" i="63" s="1"/>
  <c r="H361" i="63"/>
  <c r="C50" i="63"/>
  <c r="H393" i="63"/>
  <c r="C134" i="63"/>
  <c r="F31" i="63"/>
  <c r="M36" i="63"/>
  <c r="K40" i="63"/>
  <c r="J43" i="63"/>
  <c r="G47" i="63"/>
  <c r="K143" i="63"/>
  <c r="C176" i="63"/>
  <c r="H186" i="63" s="1"/>
  <c r="G194" i="63"/>
  <c r="G257" i="63"/>
  <c r="H46" i="65"/>
  <c r="G131" i="65"/>
  <c r="C130" i="65"/>
  <c r="G127" i="65"/>
  <c r="C126" i="65"/>
  <c r="K124" i="65"/>
  <c r="G123" i="65"/>
  <c r="C122" i="65"/>
  <c r="K120" i="65"/>
  <c r="F131" i="65"/>
  <c r="H128" i="65"/>
  <c r="C127" i="65"/>
  <c r="J125" i="65"/>
  <c r="E124" i="65"/>
  <c r="L122" i="65"/>
  <c r="G121" i="65"/>
  <c r="B120" i="65"/>
  <c r="E131" i="65"/>
  <c r="G128" i="65"/>
  <c r="B127" i="65"/>
  <c r="I125" i="65"/>
  <c r="D124" i="65"/>
  <c r="K122" i="65"/>
  <c r="F121" i="65"/>
  <c r="D131" i="65"/>
  <c r="F128" i="65"/>
  <c r="M126" i="65"/>
  <c r="H125" i="65"/>
  <c r="C124" i="65"/>
  <c r="J122" i="65"/>
  <c r="E121" i="65"/>
  <c r="C131" i="65"/>
  <c r="E128" i="65"/>
  <c r="L126" i="65"/>
  <c r="G125" i="65"/>
  <c r="B124" i="65"/>
  <c r="I122" i="65"/>
  <c r="D121" i="65"/>
  <c r="B131" i="65"/>
  <c r="I129" i="65"/>
  <c r="D128" i="65"/>
  <c r="K126" i="65"/>
  <c r="F125" i="65"/>
  <c r="M123" i="65"/>
  <c r="H122" i="65"/>
  <c r="C121" i="65"/>
  <c r="E129" i="65"/>
  <c r="L127" i="65"/>
  <c r="G126" i="65"/>
  <c r="B125" i="65"/>
  <c r="I123" i="65"/>
  <c r="D122" i="65"/>
  <c r="J120" i="65"/>
  <c r="H131" i="65"/>
  <c r="B129" i="65"/>
  <c r="I126" i="65"/>
  <c r="H124" i="65"/>
  <c r="B122" i="65"/>
  <c r="C120" i="65"/>
  <c r="H126" i="65"/>
  <c r="G124" i="65"/>
  <c r="M121" i="65"/>
  <c r="F126" i="65"/>
  <c r="F124" i="65"/>
  <c r="L121" i="65"/>
  <c r="E126" i="65"/>
  <c r="L123" i="65"/>
  <c r="K121" i="65"/>
  <c r="I130" i="65"/>
  <c r="I128" i="65"/>
  <c r="D126" i="65"/>
  <c r="K123" i="65"/>
  <c r="J121" i="65"/>
  <c r="E130" i="65"/>
  <c r="K127" i="65"/>
  <c r="K125" i="65"/>
  <c r="E123" i="65"/>
  <c r="M120" i="65"/>
  <c r="I121" i="65"/>
  <c r="D125" i="65"/>
  <c r="D129" i="65"/>
  <c r="E143" i="65"/>
  <c r="C9" i="67"/>
  <c r="G9" i="67" s="1"/>
  <c r="AA14" i="66"/>
  <c r="I35" i="66"/>
  <c r="L164" i="67"/>
  <c r="K168" i="67"/>
  <c r="E249" i="69"/>
  <c r="E235" i="69"/>
  <c r="A265" i="69" s="1"/>
  <c r="J34" i="68"/>
  <c r="K34" i="68" s="1"/>
  <c r="D427" i="69"/>
  <c r="H370" i="69"/>
  <c r="D71" i="69"/>
  <c r="F74" i="69" s="1"/>
  <c r="D155" i="69"/>
  <c r="F158" i="69" s="1"/>
  <c r="D431" i="69"/>
  <c r="H402" i="69"/>
  <c r="B147" i="69"/>
  <c r="H401" i="69"/>
  <c r="E101" i="71"/>
  <c r="D106" i="71"/>
  <c r="C29" i="73"/>
  <c r="E46" i="73" s="1"/>
  <c r="K87" i="73"/>
  <c r="P275" i="73"/>
  <c r="G259" i="73"/>
  <c r="H457" i="75"/>
  <c r="E79" i="75"/>
  <c r="M99" i="75" s="1"/>
  <c r="H489" i="75"/>
  <c r="E171" i="75"/>
  <c r="F175" i="75" s="1"/>
  <c r="H521" i="75"/>
  <c r="E263" i="75"/>
  <c r="N270" i="75" s="1"/>
  <c r="G325" i="75"/>
  <c r="I253" i="77"/>
  <c r="AA14" i="78"/>
  <c r="C9" i="79"/>
  <c r="J36" i="78"/>
  <c r="D14" i="79"/>
  <c r="H14" i="79" s="1"/>
  <c r="AB29" i="78"/>
  <c r="E386" i="81"/>
  <c r="A424" i="81" s="1"/>
  <c r="E404" i="81"/>
  <c r="I32" i="80"/>
  <c r="K32" i="80" s="1"/>
  <c r="E12" i="81"/>
  <c r="G12" i="81" s="1"/>
  <c r="AA24" i="80"/>
  <c r="I34" i="80"/>
  <c r="F401" i="81"/>
  <c r="C14" i="83"/>
  <c r="AA29" i="82"/>
  <c r="I7" i="83"/>
  <c r="J112" i="89"/>
  <c r="E192" i="53"/>
  <c r="H300" i="53"/>
  <c r="AA24" i="54"/>
  <c r="AB23" i="56"/>
  <c r="AA42" i="56"/>
  <c r="D428" i="59"/>
  <c r="H378" i="59"/>
  <c r="M145" i="59"/>
  <c r="E255" i="59"/>
  <c r="I31" i="60"/>
  <c r="K31" i="60" s="1"/>
  <c r="I37" i="60"/>
  <c r="K37" i="60" s="1"/>
  <c r="AA33" i="60"/>
  <c r="F425" i="61"/>
  <c r="N6" i="61"/>
  <c r="A352" i="61" s="1"/>
  <c r="F39" i="63"/>
  <c r="E41" i="63"/>
  <c r="H43" i="63"/>
  <c r="G45" i="63"/>
  <c r="J47" i="63"/>
  <c r="D215" i="63"/>
  <c r="H212" i="63"/>
  <c r="D211" i="63"/>
  <c r="L209" i="63"/>
  <c r="H208" i="63"/>
  <c r="D207" i="63"/>
  <c r="L205" i="63"/>
  <c r="H204" i="63"/>
  <c r="C215" i="63"/>
  <c r="G212" i="63"/>
  <c r="C211" i="63"/>
  <c r="K209" i="63"/>
  <c r="G208" i="63"/>
  <c r="C207" i="63"/>
  <c r="K205" i="63"/>
  <c r="G204" i="63"/>
  <c r="B215" i="63"/>
  <c r="F212" i="63"/>
  <c r="B211" i="63"/>
  <c r="J209" i="63"/>
  <c r="F208" i="63"/>
  <c r="B207" i="63"/>
  <c r="J205" i="63"/>
  <c r="F204" i="63"/>
  <c r="I213" i="63"/>
  <c r="E212" i="63"/>
  <c r="M210" i="63"/>
  <c r="I209" i="63"/>
  <c r="E208" i="63"/>
  <c r="M206" i="63"/>
  <c r="I205" i="63"/>
  <c r="E204" i="63"/>
  <c r="H213" i="63"/>
  <c r="D212" i="63"/>
  <c r="L210" i="63"/>
  <c r="H209" i="63"/>
  <c r="D208" i="63"/>
  <c r="L206" i="63"/>
  <c r="H205" i="63"/>
  <c r="D204" i="63"/>
  <c r="H214" i="63"/>
  <c r="D213" i="63"/>
  <c r="L211" i="63"/>
  <c r="H210" i="63"/>
  <c r="D209" i="63"/>
  <c r="L207" i="63"/>
  <c r="H206" i="63"/>
  <c r="D205" i="63"/>
  <c r="D206" i="63"/>
  <c r="C208" i="63"/>
  <c r="F210" i="63"/>
  <c r="I214" i="63"/>
  <c r="H39" i="65"/>
  <c r="L41" i="65"/>
  <c r="J43" i="65"/>
  <c r="B46" i="65"/>
  <c r="M47" i="65"/>
  <c r="H386" i="65"/>
  <c r="AA17" i="66"/>
  <c r="F7" i="67"/>
  <c r="H7" i="67" s="1"/>
  <c r="K79" i="67"/>
  <c r="D82" i="67"/>
  <c r="E84" i="67"/>
  <c r="I86" i="67"/>
  <c r="C89" i="67"/>
  <c r="AA18" i="68"/>
  <c r="F7" i="69"/>
  <c r="AB9" i="68"/>
  <c r="J29" i="68"/>
  <c r="B71" i="69"/>
  <c r="C427" i="69"/>
  <c r="B155" i="69"/>
  <c r="C431" i="69"/>
  <c r="H400" i="69"/>
  <c r="E92" i="69"/>
  <c r="F99" i="69" s="1"/>
  <c r="F141" i="69"/>
  <c r="J144" i="69"/>
  <c r="C148" i="69"/>
  <c r="F151" i="69"/>
  <c r="H352" i="69"/>
  <c r="H376" i="69"/>
  <c r="F7" i="71"/>
  <c r="H7" i="71" s="1"/>
  <c r="AB9" i="70"/>
  <c r="L67" i="71"/>
  <c r="H66" i="71"/>
  <c r="D65" i="71"/>
  <c r="L63" i="71"/>
  <c r="H62" i="71"/>
  <c r="L59" i="71"/>
  <c r="H58" i="71"/>
  <c r="D57" i="71"/>
  <c r="K67" i="71"/>
  <c r="G66" i="71"/>
  <c r="C65" i="71"/>
  <c r="K63" i="71"/>
  <c r="C61" i="71"/>
  <c r="K59" i="71"/>
  <c r="G58" i="71"/>
  <c r="C57" i="71"/>
  <c r="J67" i="71"/>
  <c r="F66" i="71"/>
  <c r="B65" i="71"/>
  <c r="J63" i="71"/>
  <c r="B61" i="71"/>
  <c r="J59" i="71"/>
  <c r="F58" i="71"/>
  <c r="B57" i="71"/>
  <c r="F51" i="71"/>
  <c r="M68" i="71"/>
  <c r="I67" i="71"/>
  <c r="E66" i="71"/>
  <c r="M64" i="71"/>
  <c r="I63" i="71"/>
  <c r="M60" i="71"/>
  <c r="I59" i="71"/>
  <c r="E58" i="71"/>
  <c r="L68" i="71"/>
  <c r="H67" i="71"/>
  <c r="D66" i="71"/>
  <c r="L64" i="71"/>
  <c r="H63" i="71"/>
  <c r="L60" i="71"/>
  <c r="H59" i="71"/>
  <c r="D58" i="71"/>
  <c r="K68" i="71"/>
  <c r="G67" i="71"/>
  <c r="C66" i="71"/>
  <c r="K64" i="71"/>
  <c r="G63" i="71"/>
  <c r="C62" i="71"/>
  <c r="K60" i="71"/>
  <c r="C58" i="71"/>
  <c r="D67" i="71"/>
  <c r="F65" i="71"/>
  <c r="B63" i="71"/>
  <c r="J60" i="71"/>
  <c r="L58" i="71"/>
  <c r="C67" i="71"/>
  <c r="E65" i="71"/>
  <c r="M62" i="71"/>
  <c r="I60" i="71"/>
  <c r="K58" i="71"/>
  <c r="B67" i="71"/>
  <c r="J64" i="71"/>
  <c r="L62" i="71"/>
  <c r="H60" i="71"/>
  <c r="J58" i="71"/>
  <c r="M66" i="71"/>
  <c r="I64" i="71"/>
  <c r="K62" i="71"/>
  <c r="I58" i="71"/>
  <c r="J68" i="71"/>
  <c r="L66" i="71"/>
  <c r="H64" i="71"/>
  <c r="J62" i="71"/>
  <c r="B58" i="71"/>
  <c r="F68" i="71"/>
  <c r="B66" i="71"/>
  <c r="D64" i="71"/>
  <c r="L61" i="71"/>
  <c r="B60" i="71"/>
  <c r="J57" i="71"/>
  <c r="M57" i="71"/>
  <c r="J61" i="71"/>
  <c r="H65" i="71"/>
  <c r="G68" i="71"/>
  <c r="E6" i="73"/>
  <c r="G6" i="73" s="1"/>
  <c r="AA6" i="72"/>
  <c r="E29" i="73"/>
  <c r="H355" i="73"/>
  <c r="E197" i="73"/>
  <c r="H419" i="73"/>
  <c r="I162" i="73"/>
  <c r="J166" i="73"/>
  <c r="K169" i="73"/>
  <c r="F198" i="73"/>
  <c r="G10" i="75"/>
  <c r="J63" i="75"/>
  <c r="K69" i="75"/>
  <c r="E73" i="75"/>
  <c r="J86" i="75"/>
  <c r="K92" i="75"/>
  <c r="L95" i="75"/>
  <c r="H463" i="75"/>
  <c r="D48" i="77"/>
  <c r="H133" i="77"/>
  <c r="D138" i="77"/>
  <c r="C144" i="77"/>
  <c r="M248" i="77"/>
  <c r="G253" i="77"/>
  <c r="O258" i="77"/>
  <c r="E15" i="79"/>
  <c r="G15" i="79" s="1"/>
  <c r="J40" i="79"/>
  <c r="B47" i="79"/>
  <c r="M51" i="79"/>
  <c r="K157" i="79"/>
  <c r="E166" i="79"/>
  <c r="H123" i="81"/>
  <c r="M132" i="81"/>
  <c r="T429" i="81"/>
  <c r="F409" i="81"/>
  <c r="H8" i="85"/>
  <c r="I8" i="85" s="1"/>
  <c r="M31" i="90"/>
  <c r="L31" i="90"/>
  <c r="AA33" i="90"/>
  <c r="I37" i="90"/>
  <c r="K37" i="90" s="1"/>
  <c r="J39" i="90"/>
  <c r="AB39" i="90"/>
  <c r="AB21" i="52"/>
  <c r="B92" i="57"/>
  <c r="H411" i="57"/>
  <c r="F433" i="57"/>
  <c r="H354" i="59"/>
  <c r="D425" i="59"/>
  <c r="C50" i="59"/>
  <c r="C66" i="59" s="1"/>
  <c r="F149" i="59"/>
  <c r="G257" i="59"/>
  <c r="E251" i="61"/>
  <c r="E237" i="61"/>
  <c r="A267" i="61" s="1"/>
  <c r="F433" i="61"/>
  <c r="D428" i="61"/>
  <c r="H378" i="61"/>
  <c r="C7" i="63"/>
  <c r="G7" i="63" s="1"/>
  <c r="AA8" i="62"/>
  <c r="G37" i="63"/>
  <c r="J39" i="63"/>
  <c r="B42" i="63"/>
  <c r="M43" i="63"/>
  <c r="D46" i="63"/>
  <c r="C11" i="65"/>
  <c r="G11" i="65" s="1"/>
  <c r="AA20" i="64"/>
  <c r="M39" i="65"/>
  <c r="D42" i="65"/>
  <c r="H44" i="65"/>
  <c r="F46" i="65"/>
  <c r="D197" i="65"/>
  <c r="B209" i="65" s="1"/>
  <c r="M39" i="66"/>
  <c r="L39" i="66"/>
  <c r="C78" i="67"/>
  <c r="I80" i="67"/>
  <c r="I82" i="67"/>
  <c r="B85" i="67"/>
  <c r="C87" i="67"/>
  <c r="D10" i="69"/>
  <c r="M105" i="69"/>
  <c r="F93" i="69"/>
  <c r="M110" i="69"/>
  <c r="E100" i="69"/>
  <c r="I107" i="69"/>
  <c r="H408" i="69"/>
  <c r="B176" i="69"/>
  <c r="K141" i="69"/>
  <c r="H145" i="69"/>
  <c r="E152" i="69"/>
  <c r="P271" i="69"/>
  <c r="G255" i="69"/>
  <c r="C163" i="73"/>
  <c r="C167" i="73"/>
  <c r="E305" i="75"/>
  <c r="A339" i="75" s="1"/>
  <c r="E321" i="75"/>
  <c r="E315" i="75"/>
  <c r="A349" i="75" s="1"/>
  <c r="E331" i="75"/>
  <c r="J37" i="74"/>
  <c r="K37" i="74" s="1"/>
  <c r="H11" i="75"/>
  <c r="H462" i="75"/>
  <c r="C530" i="75"/>
  <c r="C534" i="75"/>
  <c r="B194" i="75"/>
  <c r="F34" i="75"/>
  <c r="J76" i="75"/>
  <c r="H75" i="75"/>
  <c r="F74" i="75"/>
  <c r="D73" i="75"/>
  <c r="B72" i="75"/>
  <c r="N70" i="75"/>
  <c r="L69" i="75"/>
  <c r="J68" i="75"/>
  <c r="H67" i="75"/>
  <c r="B64" i="75"/>
  <c r="L76" i="75"/>
  <c r="I75" i="75"/>
  <c r="E74" i="75"/>
  <c r="B73" i="75"/>
  <c r="M71" i="75"/>
  <c r="J70" i="75"/>
  <c r="G69" i="75"/>
  <c r="O66" i="75"/>
  <c r="L65" i="75"/>
  <c r="I64" i="75"/>
  <c r="F63" i="75"/>
  <c r="K76" i="75"/>
  <c r="G75" i="75"/>
  <c r="D74" i="75"/>
  <c r="O72" i="75"/>
  <c r="L71" i="75"/>
  <c r="I70" i="75"/>
  <c r="F69" i="75"/>
  <c r="C68" i="75"/>
  <c r="N66" i="75"/>
  <c r="K65" i="75"/>
  <c r="H64" i="75"/>
  <c r="E63" i="75"/>
  <c r="I76" i="75"/>
  <c r="F75" i="75"/>
  <c r="C74" i="75"/>
  <c r="N72" i="75"/>
  <c r="K71" i="75"/>
  <c r="H70" i="75"/>
  <c r="E69" i="75"/>
  <c r="B68" i="75"/>
  <c r="M66" i="75"/>
  <c r="J65" i="75"/>
  <c r="G64" i="75"/>
  <c r="D63" i="75"/>
  <c r="H76" i="75"/>
  <c r="E75" i="75"/>
  <c r="B74" i="75"/>
  <c r="M72" i="75"/>
  <c r="J71" i="75"/>
  <c r="G70" i="75"/>
  <c r="D69" i="75"/>
  <c r="O67" i="75"/>
  <c r="L66" i="75"/>
  <c r="I65" i="75"/>
  <c r="F64" i="75"/>
  <c r="C63" i="75"/>
  <c r="F57" i="75"/>
  <c r="G76" i="75"/>
  <c r="D75" i="75"/>
  <c r="O73" i="75"/>
  <c r="L72" i="75"/>
  <c r="I71" i="75"/>
  <c r="F70" i="75"/>
  <c r="C69" i="75"/>
  <c r="N67" i="75"/>
  <c r="K66" i="75"/>
  <c r="H65" i="75"/>
  <c r="E64" i="75"/>
  <c r="B63" i="75"/>
  <c r="F76" i="75"/>
  <c r="C75" i="75"/>
  <c r="N73" i="75"/>
  <c r="K72" i="75"/>
  <c r="H71" i="75"/>
  <c r="E70" i="75"/>
  <c r="B69" i="75"/>
  <c r="M67" i="75"/>
  <c r="J66" i="75"/>
  <c r="D64" i="75"/>
  <c r="N76" i="75"/>
  <c r="L74" i="75"/>
  <c r="J72" i="75"/>
  <c r="O70" i="75"/>
  <c r="M68" i="75"/>
  <c r="C67" i="75"/>
  <c r="O64" i="75"/>
  <c r="M76" i="75"/>
  <c r="K74" i="75"/>
  <c r="I72" i="75"/>
  <c r="M70" i="75"/>
  <c r="L68" i="75"/>
  <c r="B67" i="75"/>
  <c r="N64" i="75"/>
  <c r="E76" i="75"/>
  <c r="J74" i="75"/>
  <c r="H72" i="75"/>
  <c r="L70" i="75"/>
  <c r="K68" i="75"/>
  <c r="I66" i="75"/>
  <c r="M64" i="75"/>
  <c r="D76" i="75"/>
  <c r="I74" i="75"/>
  <c r="G72" i="75"/>
  <c r="K70" i="75"/>
  <c r="I68" i="75"/>
  <c r="H66" i="75"/>
  <c r="L64" i="75"/>
  <c r="C76" i="75"/>
  <c r="H74" i="75"/>
  <c r="F72" i="75"/>
  <c r="D70" i="75"/>
  <c r="H68" i="75"/>
  <c r="K64" i="75"/>
  <c r="M75" i="75"/>
  <c r="K73" i="75"/>
  <c r="O71" i="75"/>
  <c r="N69" i="75"/>
  <c r="L67" i="75"/>
  <c r="B66" i="75"/>
  <c r="N63" i="75"/>
  <c r="O63" i="75"/>
  <c r="C70" i="75"/>
  <c r="I73" i="75"/>
  <c r="J97" i="75"/>
  <c r="F95" i="75"/>
  <c r="D94" i="75"/>
  <c r="B93" i="75"/>
  <c r="L90" i="75"/>
  <c r="J89" i="75"/>
  <c r="H88" i="75"/>
  <c r="F87" i="75"/>
  <c r="D86" i="75"/>
  <c r="L93" i="75"/>
  <c r="C90" i="75"/>
  <c r="N88" i="75"/>
  <c r="H86" i="75"/>
  <c r="L99" i="75"/>
  <c r="I98" i="75"/>
  <c r="C96" i="75"/>
  <c r="N94" i="75"/>
  <c r="M88" i="75"/>
  <c r="G86" i="75"/>
  <c r="K99" i="75"/>
  <c r="H98" i="75"/>
  <c r="B96" i="75"/>
  <c r="M94" i="75"/>
  <c r="J93" i="75"/>
  <c r="D91" i="75"/>
  <c r="O89" i="75"/>
  <c r="G98" i="75"/>
  <c r="O95" i="75"/>
  <c r="L94" i="75"/>
  <c r="C91" i="75"/>
  <c r="K88" i="75"/>
  <c r="H87" i="75"/>
  <c r="E86" i="75"/>
  <c r="I99" i="75"/>
  <c r="B91" i="75"/>
  <c r="M89" i="75"/>
  <c r="J88" i="75"/>
  <c r="C86" i="75"/>
  <c r="F80" i="75"/>
  <c r="H99" i="75"/>
  <c r="E98" i="75"/>
  <c r="B97" i="75"/>
  <c r="M95" i="75"/>
  <c r="L89" i="75"/>
  <c r="E87" i="75"/>
  <c r="G99" i="75"/>
  <c r="J95" i="75"/>
  <c r="N93" i="75"/>
  <c r="L91" i="75"/>
  <c r="K89" i="75"/>
  <c r="O87" i="75"/>
  <c r="F99" i="75"/>
  <c r="I89" i="75"/>
  <c r="E99" i="75"/>
  <c r="I97" i="75"/>
  <c r="H95" i="75"/>
  <c r="J91" i="75"/>
  <c r="H89" i="75"/>
  <c r="M87" i="75"/>
  <c r="D99" i="75"/>
  <c r="G95" i="75"/>
  <c r="C99" i="75"/>
  <c r="E95" i="75"/>
  <c r="D93" i="75"/>
  <c r="D87" i="75"/>
  <c r="M98" i="75"/>
  <c r="K96" i="75"/>
  <c r="I94" i="75"/>
  <c r="M92" i="75"/>
  <c r="K90" i="75"/>
  <c r="C93" i="75"/>
  <c r="B102" i="75"/>
  <c r="N135" i="75"/>
  <c r="E10" i="77"/>
  <c r="G10" i="77" s="1"/>
  <c r="I32" i="76"/>
  <c r="D16" i="77"/>
  <c r="H16" i="77" s="1"/>
  <c r="AB35" i="76"/>
  <c r="B102" i="77"/>
  <c r="C530" i="77"/>
  <c r="B194" i="77"/>
  <c r="H494" i="77"/>
  <c r="H53" i="77"/>
  <c r="F52" i="77"/>
  <c r="D51" i="77"/>
  <c r="B50" i="77"/>
  <c r="N48" i="77"/>
  <c r="L47" i="77"/>
  <c r="J46" i="77"/>
  <c r="H45" i="77"/>
  <c r="F44" i="77"/>
  <c r="N40" i="77"/>
  <c r="K53" i="77"/>
  <c r="H52" i="77"/>
  <c r="E51" i="77"/>
  <c r="O49" i="77"/>
  <c r="L48" i="77"/>
  <c r="I47" i="77"/>
  <c r="F46" i="77"/>
  <c r="C45" i="77"/>
  <c r="N43" i="77"/>
  <c r="K42" i="77"/>
  <c r="H41" i="77"/>
  <c r="J53" i="77"/>
  <c r="G52" i="77"/>
  <c r="C51" i="77"/>
  <c r="N49" i="77"/>
  <c r="K48" i="77"/>
  <c r="H47" i="77"/>
  <c r="E46" i="77"/>
  <c r="B45" i="77"/>
  <c r="M43" i="77"/>
  <c r="J42" i="77"/>
  <c r="G41" i="77"/>
  <c r="I53" i="77"/>
  <c r="E52" i="77"/>
  <c r="B51" i="77"/>
  <c r="M49" i="77"/>
  <c r="J48" i="77"/>
  <c r="G47" i="77"/>
  <c r="D46" i="77"/>
  <c r="O44" i="77"/>
  <c r="L43" i="77"/>
  <c r="I42" i="77"/>
  <c r="F41" i="77"/>
  <c r="F34" i="77"/>
  <c r="G53" i="77"/>
  <c r="D52" i="77"/>
  <c r="O50" i="77"/>
  <c r="L49" i="77"/>
  <c r="I48" i="77"/>
  <c r="F47" i="77"/>
  <c r="C46" i="77"/>
  <c r="N44" i="77"/>
  <c r="K43" i="77"/>
  <c r="H42" i="77"/>
  <c r="F53" i="77"/>
  <c r="C52" i="77"/>
  <c r="N50" i="77"/>
  <c r="K49" i="77"/>
  <c r="H48" i="77"/>
  <c r="E47" i="77"/>
  <c r="B46" i="77"/>
  <c r="M44" i="77"/>
  <c r="J43" i="77"/>
  <c r="G42" i="77"/>
  <c r="E53" i="77"/>
  <c r="B52" i="77"/>
  <c r="M50" i="77"/>
  <c r="J49" i="77"/>
  <c r="G48" i="77"/>
  <c r="D47" i="77"/>
  <c r="O45" i="77"/>
  <c r="L44" i="77"/>
  <c r="I43" i="77"/>
  <c r="F42" i="77"/>
  <c r="K52" i="77"/>
  <c r="I50" i="77"/>
  <c r="M48" i="77"/>
  <c r="L46" i="77"/>
  <c r="J44" i="77"/>
  <c r="N42" i="77"/>
  <c r="L40" i="77"/>
  <c r="I52" i="77"/>
  <c r="F50" i="77"/>
  <c r="C48" i="77"/>
  <c r="N45" i="77"/>
  <c r="C44" i="77"/>
  <c r="N41" i="77"/>
  <c r="O51" i="77"/>
  <c r="E50" i="77"/>
  <c r="B48" i="77"/>
  <c r="M45" i="77"/>
  <c r="B44" i="77"/>
  <c r="M41" i="77"/>
  <c r="N51" i="77"/>
  <c r="D50" i="77"/>
  <c r="O47" i="77"/>
  <c r="L45" i="77"/>
  <c r="O43" i="77"/>
  <c r="L41" i="77"/>
  <c r="M51" i="77"/>
  <c r="C50" i="77"/>
  <c r="N47" i="77"/>
  <c r="K45" i="77"/>
  <c r="H43" i="77"/>
  <c r="K41" i="77"/>
  <c r="O53" i="77"/>
  <c r="L51" i="77"/>
  <c r="I49" i="77"/>
  <c r="M47" i="77"/>
  <c r="J45" i="77"/>
  <c r="G43" i="77"/>
  <c r="J41" i="77"/>
  <c r="N53" i="77"/>
  <c r="K51" i="77"/>
  <c r="H49" i="77"/>
  <c r="K47" i="77"/>
  <c r="I45" i="77"/>
  <c r="F43" i="77"/>
  <c r="I41" i="77"/>
  <c r="F51" i="77"/>
  <c r="J47" i="77"/>
  <c r="H44" i="77"/>
  <c r="M40" i="77"/>
  <c r="L50" i="77"/>
  <c r="C47" i="77"/>
  <c r="G44" i="77"/>
  <c r="K40" i="77"/>
  <c r="M53" i="77"/>
  <c r="K50" i="77"/>
  <c r="B47" i="77"/>
  <c r="E44" i="77"/>
  <c r="J40" i="77"/>
  <c r="L53" i="77"/>
  <c r="J50" i="77"/>
  <c r="O46" i="77"/>
  <c r="D44" i="77"/>
  <c r="I40" i="77"/>
  <c r="D53" i="77"/>
  <c r="H50" i="77"/>
  <c r="N46" i="77"/>
  <c r="H40" i="77"/>
  <c r="N52" i="77"/>
  <c r="E49" i="77"/>
  <c r="H46" i="77"/>
  <c r="M42" i="77"/>
  <c r="B49" i="77"/>
  <c r="C94" i="77"/>
  <c r="G134" i="77"/>
  <c r="F140" i="77"/>
  <c r="I144" i="77"/>
  <c r="C249" i="77"/>
  <c r="D255" i="77"/>
  <c r="L259" i="77"/>
  <c r="H48" i="79"/>
  <c r="F642" i="81"/>
  <c r="O124" i="81"/>
  <c r="E8" i="83"/>
  <c r="G8" i="83" s="1"/>
  <c r="I30" i="82"/>
  <c r="AA12" i="82"/>
  <c r="J42" i="82"/>
  <c r="AB48" i="82"/>
  <c r="H320" i="89"/>
  <c r="C84" i="89"/>
  <c r="C160" i="89"/>
  <c r="H352" i="89"/>
  <c r="D92" i="55"/>
  <c r="F95" i="55" s="1"/>
  <c r="H352" i="55"/>
  <c r="H411" i="55"/>
  <c r="C92" i="57"/>
  <c r="F94" i="57" s="1"/>
  <c r="C428" i="57"/>
  <c r="D50" i="59"/>
  <c r="F53" i="59" s="1"/>
  <c r="I66" i="59"/>
  <c r="H6" i="60"/>
  <c r="J6" i="60" s="1"/>
  <c r="D7" i="63"/>
  <c r="AB8" i="62"/>
  <c r="M37" i="63"/>
  <c r="K39" i="63"/>
  <c r="C42" i="63"/>
  <c r="B44" i="63"/>
  <c r="E46" i="63"/>
  <c r="K110" i="63"/>
  <c r="AB9" i="64"/>
  <c r="C7" i="65"/>
  <c r="G7" i="65" s="1"/>
  <c r="AA8" i="64"/>
  <c r="D11" i="65"/>
  <c r="H11" i="65" s="1"/>
  <c r="AB20" i="64"/>
  <c r="B40" i="65"/>
  <c r="E42" i="65"/>
  <c r="I44" i="65"/>
  <c r="E197" i="65"/>
  <c r="F201" i="65" s="1"/>
  <c r="E257" i="65"/>
  <c r="E248" i="67"/>
  <c r="F251" i="67" s="1"/>
  <c r="F6" i="66"/>
  <c r="H6" i="66" s="1"/>
  <c r="J6" i="66" s="1"/>
  <c r="M88" i="67"/>
  <c r="H87" i="67"/>
  <c r="C86" i="67"/>
  <c r="J84" i="67"/>
  <c r="E83" i="67"/>
  <c r="L81" i="67"/>
  <c r="G80" i="67"/>
  <c r="B79" i="67"/>
  <c r="L88" i="67"/>
  <c r="B86" i="67"/>
  <c r="I84" i="67"/>
  <c r="D83" i="67"/>
  <c r="K81" i="67"/>
  <c r="F80" i="67"/>
  <c r="M78" i="67"/>
  <c r="K88" i="67"/>
  <c r="M85" i="67"/>
  <c r="H84" i="67"/>
  <c r="C83" i="67"/>
  <c r="J81" i="67"/>
  <c r="E80" i="67"/>
  <c r="L78" i="67"/>
  <c r="J88" i="67"/>
  <c r="E87" i="67"/>
  <c r="L85" i="67"/>
  <c r="G84" i="67"/>
  <c r="B83" i="67"/>
  <c r="I81" i="67"/>
  <c r="D80" i="67"/>
  <c r="K78" i="67"/>
  <c r="I88" i="67"/>
  <c r="D87" i="67"/>
  <c r="K85" i="67"/>
  <c r="F84" i="67"/>
  <c r="M82" i="67"/>
  <c r="H81" i="67"/>
  <c r="C80" i="67"/>
  <c r="I78" i="67"/>
  <c r="D78" i="67"/>
  <c r="J80" i="67"/>
  <c r="C85" i="67"/>
  <c r="I87" i="67"/>
  <c r="I89" i="67"/>
  <c r="E258" i="67"/>
  <c r="C10" i="69"/>
  <c r="G10" i="69" s="1"/>
  <c r="AA17" i="68"/>
  <c r="F431" i="69"/>
  <c r="K142" i="69"/>
  <c r="I145" i="69"/>
  <c r="C425" i="69"/>
  <c r="E7" i="73"/>
  <c r="G7" i="73" s="1"/>
  <c r="I29" i="72"/>
  <c r="F14" i="73"/>
  <c r="H14" i="73" s="1"/>
  <c r="AB30" i="72"/>
  <c r="J36" i="72"/>
  <c r="K36" i="72" s="1"/>
  <c r="H11" i="73"/>
  <c r="I173" i="73"/>
  <c r="M170" i="73"/>
  <c r="I169" i="73"/>
  <c r="E168" i="73"/>
  <c r="M166" i="73"/>
  <c r="I165" i="73"/>
  <c r="M162" i="73"/>
  <c r="H173" i="73"/>
  <c r="C172" i="73"/>
  <c r="J170" i="73"/>
  <c r="E169" i="73"/>
  <c r="L167" i="73"/>
  <c r="G166" i="73"/>
  <c r="B165" i="73"/>
  <c r="I163" i="73"/>
  <c r="D162" i="73"/>
  <c r="G173" i="73"/>
  <c r="B172" i="73"/>
  <c r="I170" i="73"/>
  <c r="D169" i="73"/>
  <c r="K167" i="73"/>
  <c r="F166" i="73"/>
  <c r="H163" i="73"/>
  <c r="C162" i="73"/>
  <c r="F156" i="73"/>
  <c r="F173" i="73"/>
  <c r="M171" i="73"/>
  <c r="H170" i="73"/>
  <c r="C169" i="73"/>
  <c r="J167" i="73"/>
  <c r="E166" i="73"/>
  <c r="G163" i="73"/>
  <c r="B162" i="73"/>
  <c r="L171" i="73"/>
  <c r="G170" i="73"/>
  <c r="B169" i="73"/>
  <c r="I167" i="73"/>
  <c r="D166" i="73"/>
  <c r="K164" i="73"/>
  <c r="F163" i="73"/>
  <c r="K171" i="73"/>
  <c r="F170" i="73"/>
  <c r="M168" i="73"/>
  <c r="H167" i="73"/>
  <c r="C166" i="73"/>
  <c r="J164" i="73"/>
  <c r="E163" i="73"/>
  <c r="C173" i="73"/>
  <c r="J171" i="73"/>
  <c r="E170" i="73"/>
  <c r="L168" i="73"/>
  <c r="G167" i="73"/>
  <c r="B166" i="73"/>
  <c r="I164" i="73"/>
  <c r="D163" i="73"/>
  <c r="B173" i="73"/>
  <c r="C171" i="73"/>
  <c r="I168" i="73"/>
  <c r="I166" i="73"/>
  <c r="C164" i="73"/>
  <c r="B171" i="73"/>
  <c r="H168" i="73"/>
  <c r="H166" i="73"/>
  <c r="B164" i="73"/>
  <c r="L170" i="73"/>
  <c r="G168" i="73"/>
  <c r="M163" i="73"/>
  <c r="K172" i="73"/>
  <c r="K170" i="73"/>
  <c r="F168" i="73"/>
  <c r="L163" i="73"/>
  <c r="J172" i="73"/>
  <c r="D170" i="73"/>
  <c r="D168" i="73"/>
  <c r="K165" i="73"/>
  <c r="K163" i="73"/>
  <c r="F172" i="73"/>
  <c r="L169" i="73"/>
  <c r="F167" i="73"/>
  <c r="F165" i="73"/>
  <c r="L162" i="73"/>
  <c r="J163" i="73"/>
  <c r="D167" i="73"/>
  <c r="E171" i="73"/>
  <c r="C16" i="75"/>
  <c r="AA35" i="74"/>
  <c r="C194" i="75"/>
  <c r="F196" i="75" s="1"/>
  <c r="H495" i="75"/>
  <c r="O93" i="75"/>
  <c r="J96" i="75"/>
  <c r="N141" i="75"/>
  <c r="E142" i="75"/>
  <c r="J144" i="75"/>
  <c r="K139" i="75"/>
  <c r="E143" i="75"/>
  <c r="L137" i="75"/>
  <c r="I142" i="75"/>
  <c r="AB18" i="76"/>
  <c r="F10" i="77"/>
  <c r="H10" i="77" s="1"/>
  <c r="J32" i="76"/>
  <c r="E16" i="77"/>
  <c r="AA36" i="76"/>
  <c r="H463" i="77"/>
  <c r="C102" i="77"/>
  <c r="F104" i="77" s="1"/>
  <c r="C49" i="77"/>
  <c r="E99" i="77"/>
  <c r="H134" i="77"/>
  <c r="D249" i="77"/>
  <c r="E255" i="77"/>
  <c r="G13" i="79"/>
  <c r="H456" i="79"/>
  <c r="D529" i="79"/>
  <c r="D79" i="79"/>
  <c r="F82" i="79" s="1"/>
  <c r="H488" i="79"/>
  <c r="D171" i="79"/>
  <c r="F174" i="79" s="1"/>
  <c r="D533" i="79"/>
  <c r="H520" i="79"/>
  <c r="D537" i="79"/>
  <c r="D263" i="79"/>
  <c r="F266" i="79" s="1"/>
  <c r="I42" i="79"/>
  <c r="J48" i="79"/>
  <c r="F59" i="79"/>
  <c r="I68" i="79"/>
  <c r="E64" i="79"/>
  <c r="G73" i="79"/>
  <c r="O168" i="79"/>
  <c r="M167" i="79"/>
  <c r="I165" i="79"/>
  <c r="G164" i="79"/>
  <c r="E163" i="79"/>
  <c r="C162" i="79"/>
  <c r="O160" i="79"/>
  <c r="M159" i="79"/>
  <c r="K158" i="79"/>
  <c r="I157" i="79"/>
  <c r="G156" i="79"/>
  <c r="E155" i="79"/>
  <c r="N168" i="79"/>
  <c r="L167" i="79"/>
  <c r="H165" i="79"/>
  <c r="F164" i="79"/>
  <c r="D163" i="79"/>
  <c r="B162" i="79"/>
  <c r="N160" i="79"/>
  <c r="L159" i="79"/>
  <c r="J158" i="79"/>
  <c r="H157" i="79"/>
  <c r="F156" i="79"/>
  <c r="D155" i="79"/>
  <c r="M168" i="79"/>
  <c r="K167" i="79"/>
  <c r="I166" i="79"/>
  <c r="G165" i="79"/>
  <c r="E164" i="79"/>
  <c r="C163" i="79"/>
  <c r="O161" i="79"/>
  <c r="M160" i="79"/>
  <c r="K159" i="79"/>
  <c r="I158" i="79"/>
  <c r="G157" i="79"/>
  <c r="E156" i="79"/>
  <c r="C155" i="79"/>
  <c r="L168" i="79"/>
  <c r="J167" i="79"/>
  <c r="H166" i="79"/>
  <c r="F165" i="79"/>
  <c r="D164" i="79"/>
  <c r="B163" i="79"/>
  <c r="N161" i="79"/>
  <c r="L160" i="79"/>
  <c r="J159" i="79"/>
  <c r="H158" i="79"/>
  <c r="F157" i="79"/>
  <c r="D156" i="79"/>
  <c r="B155" i="79"/>
  <c r="F149" i="79"/>
  <c r="K168" i="79"/>
  <c r="I167" i="79"/>
  <c r="G166" i="79"/>
  <c r="E165" i="79"/>
  <c r="C164" i="79"/>
  <c r="O162" i="79"/>
  <c r="M161" i="79"/>
  <c r="K160" i="79"/>
  <c r="I159" i="79"/>
  <c r="G158" i="79"/>
  <c r="E157" i="79"/>
  <c r="C156" i="79"/>
  <c r="G168" i="79"/>
  <c r="E167" i="79"/>
  <c r="C166" i="79"/>
  <c r="O164" i="79"/>
  <c r="K162" i="79"/>
  <c r="I161" i="79"/>
  <c r="G160" i="79"/>
  <c r="E159" i="79"/>
  <c r="C158" i="79"/>
  <c r="O156" i="79"/>
  <c r="M155" i="79"/>
  <c r="G167" i="79"/>
  <c r="D162" i="79"/>
  <c r="D160" i="79"/>
  <c r="E158" i="79"/>
  <c r="J156" i="79"/>
  <c r="F167" i="79"/>
  <c r="L161" i="79"/>
  <c r="C160" i="79"/>
  <c r="D158" i="79"/>
  <c r="I156" i="79"/>
  <c r="D167" i="79"/>
  <c r="K161" i="79"/>
  <c r="B160" i="79"/>
  <c r="B158" i="79"/>
  <c r="H156" i="79"/>
  <c r="C167" i="79"/>
  <c r="D165" i="79"/>
  <c r="I163" i="79"/>
  <c r="J161" i="79"/>
  <c r="O159" i="79"/>
  <c r="O157" i="79"/>
  <c r="B156" i="79"/>
  <c r="B167" i="79"/>
  <c r="C165" i="79"/>
  <c r="H163" i="79"/>
  <c r="H161" i="79"/>
  <c r="N159" i="79"/>
  <c r="N157" i="79"/>
  <c r="O155" i="79"/>
  <c r="J168" i="79"/>
  <c r="O166" i="79"/>
  <c r="B165" i="79"/>
  <c r="G163" i="79"/>
  <c r="G161" i="79"/>
  <c r="H159" i="79"/>
  <c r="M157" i="79"/>
  <c r="N155" i="79"/>
  <c r="B164" i="79"/>
  <c r="C161" i="79"/>
  <c r="F158" i="79"/>
  <c r="G155" i="79"/>
  <c r="D168" i="79"/>
  <c r="N164" i="79"/>
  <c r="H162" i="79"/>
  <c r="D159" i="79"/>
  <c r="L156" i="79"/>
  <c r="O165" i="79"/>
  <c r="I162" i="79"/>
  <c r="B159" i="79"/>
  <c r="J155" i="79"/>
  <c r="I168" i="79"/>
  <c r="N165" i="79"/>
  <c r="G162" i="79"/>
  <c r="O158" i="79"/>
  <c r="I155" i="79"/>
  <c r="H168" i="79"/>
  <c r="F162" i="79"/>
  <c r="N158" i="79"/>
  <c r="H155" i="79"/>
  <c r="F168" i="79"/>
  <c r="E162" i="79"/>
  <c r="M158" i="79"/>
  <c r="F155" i="79"/>
  <c r="E168" i="79"/>
  <c r="F161" i="79"/>
  <c r="L158" i="79"/>
  <c r="C168" i="79"/>
  <c r="E161" i="79"/>
  <c r="L157" i="79"/>
  <c r="N167" i="79"/>
  <c r="L162" i="79"/>
  <c r="B157" i="79"/>
  <c r="H167" i="79"/>
  <c r="J162" i="79"/>
  <c r="N156" i="79"/>
  <c r="N166" i="79"/>
  <c r="D161" i="79"/>
  <c r="M156" i="79"/>
  <c r="B161" i="79"/>
  <c r="K156" i="79"/>
  <c r="F166" i="79"/>
  <c r="J160" i="79"/>
  <c r="L155" i="79"/>
  <c r="E160" i="79"/>
  <c r="H160" i="79"/>
  <c r="F645" i="81"/>
  <c r="E125" i="81"/>
  <c r="F8" i="83"/>
  <c r="H8" i="83" s="1"/>
  <c r="J30" i="82"/>
  <c r="AB12" i="82"/>
  <c r="F11" i="83"/>
  <c r="H11" i="83" s="1"/>
  <c r="AB21" i="82"/>
  <c r="F9" i="85"/>
  <c r="J31" i="84"/>
  <c r="K31" i="84" s="1"/>
  <c r="AB15" i="84"/>
  <c r="AB24" i="84"/>
  <c r="J34" i="84"/>
  <c r="F109" i="85"/>
  <c r="AB27" i="88"/>
  <c r="F13" i="89"/>
  <c r="H13" i="89" s="1"/>
  <c r="J35" i="88"/>
  <c r="D363" i="89"/>
  <c r="H321" i="89"/>
  <c r="D84" i="89"/>
  <c r="F87" i="89" s="1"/>
  <c r="D160" i="89"/>
  <c r="E174" i="89" s="1"/>
  <c r="D367" i="89"/>
  <c r="H353" i="89"/>
  <c r="AA18" i="92"/>
  <c r="I32" i="92"/>
  <c r="E10" i="93"/>
  <c r="G10" i="93" s="1"/>
  <c r="F274" i="95"/>
  <c r="D92" i="57"/>
  <c r="F95" i="57" s="1"/>
  <c r="B67" i="59"/>
  <c r="B63" i="59"/>
  <c r="J61" i="59"/>
  <c r="B145" i="59"/>
  <c r="B141" i="59"/>
  <c r="F135" i="59"/>
  <c r="M60" i="59"/>
  <c r="C151" i="59"/>
  <c r="K34" i="60"/>
  <c r="P269" i="61"/>
  <c r="G256" i="63"/>
  <c r="D11" i="63"/>
  <c r="H11" i="63" s="1"/>
  <c r="AB20" i="62"/>
  <c r="M39" i="63"/>
  <c r="D42" i="63"/>
  <c r="C44" i="63"/>
  <c r="F46" i="63"/>
  <c r="H392" i="63"/>
  <c r="C47" i="65"/>
  <c r="K45" i="65"/>
  <c r="G44" i="65"/>
  <c r="C43" i="65"/>
  <c r="K41" i="65"/>
  <c r="G40" i="65"/>
  <c r="K37" i="65"/>
  <c r="G36" i="65"/>
  <c r="B47" i="65"/>
  <c r="J45" i="65"/>
  <c r="F44" i="65"/>
  <c r="B43" i="65"/>
  <c r="J41" i="65"/>
  <c r="F40" i="65"/>
  <c r="J37" i="65"/>
  <c r="F36" i="65"/>
  <c r="M46" i="65"/>
  <c r="I45" i="65"/>
  <c r="E44" i="65"/>
  <c r="M42" i="65"/>
  <c r="I41" i="65"/>
  <c r="E40" i="65"/>
  <c r="M38" i="65"/>
  <c r="I37" i="65"/>
  <c r="L46" i="65"/>
  <c r="H45" i="65"/>
  <c r="D44" i="65"/>
  <c r="L42" i="65"/>
  <c r="H41" i="65"/>
  <c r="D40" i="65"/>
  <c r="L38" i="65"/>
  <c r="H37" i="65"/>
  <c r="K46" i="65"/>
  <c r="G45" i="65"/>
  <c r="C44" i="65"/>
  <c r="K42" i="65"/>
  <c r="G41" i="65"/>
  <c r="C40" i="65"/>
  <c r="K38" i="65"/>
  <c r="G37" i="65"/>
  <c r="K47" i="65"/>
  <c r="G46" i="65"/>
  <c r="C45" i="65"/>
  <c r="K43" i="65"/>
  <c r="G42" i="65"/>
  <c r="C41" i="65"/>
  <c r="K39" i="65"/>
  <c r="G38" i="65"/>
  <c r="H40" i="65"/>
  <c r="F42" i="65"/>
  <c r="J44" i="65"/>
  <c r="I46" i="65"/>
  <c r="H361" i="65"/>
  <c r="H418" i="65"/>
  <c r="E259" i="67"/>
  <c r="E245" i="67"/>
  <c r="A275" i="67" s="1"/>
  <c r="M37" i="66"/>
  <c r="L37" i="66"/>
  <c r="D431" i="67"/>
  <c r="H402" i="67"/>
  <c r="F78" i="67"/>
  <c r="K80" i="67"/>
  <c r="L82" i="67"/>
  <c r="D85" i="67"/>
  <c r="K89" i="67"/>
  <c r="M151" i="69"/>
  <c r="I150" i="69"/>
  <c r="E149" i="69"/>
  <c r="M147" i="69"/>
  <c r="I146" i="69"/>
  <c r="E145" i="69"/>
  <c r="M143" i="69"/>
  <c r="I142" i="69"/>
  <c r="E141" i="69"/>
  <c r="L151" i="69"/>
  <c r="H150" i="69"/>
  <c r="D149" i="69"/>
  <c r="L147" i="69"/>
  <c r="H146" i="69"/>
  <c r="D145" i="69"/>
  <c r="L143" i="69"/>
  <c r="H142" i="69"/>
  <c r="D141" i="69"/>
  <c r="K151" i="69"/>
  <c r="C149" i="69"/>
  <c r="K147" i="69"/>
  <c r="C145" i="69"/>
  <c r="K143" i="69"/>
  <c r="G142" i="69"/>
  <c r="C141" i="69"/>
  <c r="J151" i="69"/>
  <c r="B149" i="69"/>
  <c r="J147" i="69"/>
  <c r="B145" i="69"/>
  <c r="J143" i="69"/>
  <c r="F142" i="69"/>
  <c r="B141" i="69"/>
  <c r="F135" i="69"/>
  <c r="M152" i="69"/>
  <c r="I151" i="69"/>
  <c r="E150" i="69"/>
  <c r="M148" i="69"/>
  <c r="I147" i="69"/>
  <c r="E146" i="69"/>
  <c r="M144" i="69"/>
  <c r="I143" i="69"/>
  <c r="E142" i="69"/>
  <c r="L152" i="69"/>
  <c r="H151" i="69"/>
  <c r="D150" i="69"/>
  <c r="L148" i="69"/>
  <c r="H147" i="69"/>
  <c r="D146" i="69"/>
  <c r="L144" i="69"/>
  <c r="H143" i="69"/>
  <c r="D142" i="69"/>
  <c r="B151" i="69"/>
  <c r="J148" i="69"/>
  <c r="L146" i="69"/>
  <c r="H144" i="69"/>
  <c r="J142" i="69"/>
  <c r="K152" i="69"/>
  <c r="M150" i="69"/>
  <c r="I148" i="69"/>
  <c r="G144" i="69"/>
  <c r="C142" i="69"/>
  <c r="J152" i="69"/>
  <c r="L150" i="69"/>
  <c r="H148" i="69"/>
  <c r="F144" i="69"/>
  <c r="B142" i="69"/>
  <c r="I152" i="69"/>
  <c r="G148" i="69"/>
  <c r="C146" i="69"/>
  <c r="E144" i="69"/>
  <c r="M141" i="69"/>
  <c r="H152" i="69"/>
  <c r="F148" i="69"/>
  <c r="B146" i="69"/>
  <c r="D144" i="69"/>
  <c r="L141" i="69"/>
  <c r="D152" i="69"/>
  <c r="L149" i="69"/>
  <c r="B148" i="69"/>
  <c r="F143" i="69"/>
  <c r="H141" i="69"/>
  <c r="L142" i="69"/>
  <c r="H149" i="69"/>
  <c r="G152" i="69"/>
  <c r="E258" i="71"/>
  <c r="E244" i="71"/>
  <c r="A274" i="71" s="1"/>
  <c r="D12" i="71"/>
  <c r="H371" i="71"/>
  <c r="E71" i="71"/>
  <c r="F75" i="71" s="1"/>
  <c r="F7" i="73"/>
  <c r="H7" i="73" s="1"/>
  <c r="J29" i="72"/>
  <c r="AA23" i="72"/>
  <c r="I34" i="72"/>
  <c r="K34" i="72" s="1"/>
  <c r="E167" i="73"/>
  <c r="F171" i="73"/>
  <c r="B94" i="75"/>
  <c r="L96" i="75"/>
  <c r="K145" i="75"/>
  <c r="AA42" i="76"/>
  <c r="I40" i="76"/>
  <c r="K40" i="76" s="1"/>
  <c r="H464" i="77"/>
  <c r="D102" i="77"/>
  <c r="F105" i="77" s="1"/>
  <c r="D194" i="77"/>
  <c r="F197" i="77" s="1"/>
  <c r="H496" i="77"/>
  <c r="D534" i="77"/>
  <c r="I44" i="77"/>
  <c r="D49" i="77"/>
  <c r="D89" i="77"/>
  <c r="E94" i="77"/>
  <c r="N144" i="77"/>
  <c r="K143" i="77"/>
  <c r="H142" i="77"/>
  <c r="B140" i="77"/>
  <c r="M138" i="77"/>
  <c r="J137" i="77"/>
  <c r="G136" i="77"/>
  <c r="C135" i="77"/>
  <c r="N133" i="77"/>
  <c r="K132" i="77"/>
  <c r="M144" i="77"/>
  <c r="J143" i="77"/>
  <c r="G142" i="77"/>
  <c r="O139" i="77"/>
  <c r="L138" i="77"/>
  <c r="I137" i="77"/>
  <c r="E136" i="77"/>
  <c r="B135" i="77"/>
  <c r="M133" i="77"/>
  <c r="J132" i="77"/>
  <c r="O145" i="77"/>
  <c r="L144" i="77"/>
  <c r="I143" i="77"/>
  <c r="F142" i="77"/>
  <c r="C141" i="77"/>
  <c r="N139" i="77"/>
  <c r="K138" i="77"/>
  <c r="G137" i="77"/>
  <c r="D136" i="77"/>
  <c r="O134" i="77"/>
  <c r="L133" i="77"/>
  <c r="I132" i="77"/>
  <c r="N145" i="77"/>
  <c r="K144" i="77"/>
  <c r="H143" i="77"/>
  <c r="E142" i="77"/>
  <c r="B141" i="77"/>
  <c r="M139" i="77"/>
  <c r="I138" i="77"/>
  <c r="F137" i="77"/>
  <c r="C136" i="77"/>
  <c r="N134" i="77"/>
  <c r="K133" i="77"/>
  <c r="H132" i="77"/>
  <c r="F127" i="77"/>
  <c r="M145" i="77"/>
  <c r="J144" i="77"/>
  <c r="G143" i="77"/>
  <c r="D142" i="77"/>
  <c r="O140" i="77"/>
  <c r="K139" i="77"/>
  <c r="H138" i="77"/>
  <c r="E137" i="77"/>
  <c r="B136" i="77"/>
  <c r="M134" i="77"/>
  <c r="J133" i="77"/>
  <c r="G132" i="77"/>
  <c r="L145" i="77"/>
  <c r="B144" i="77"/>
  <c r="N141" i="77"/>
  <c r="C138" i="77"/>
  <c r="O135" i="77"/>
  <c r="F134" i="77"/>
  <c r="D132" i="77"/>
  <c r="J145" i="77"/>
  <c r="M143" i="77"/>
  <c r="G139" i="77"/>
  <c r="D137" i="77"/>
  <c r="H135" i="77"/>
  <c r="E133" i="77"/>
  <c r="I145" i="77"/>
  <c r="F143" i="77"/>
  <c r="I141" i="77"/>
  <c r="F139" i="77"/>
  <c r="C137" i="77"/>
  <c r="G135" i="77"/>
  <c r="D133" i="77"/>
  <c r="G145" i="77"/>
  <c r="E143" i="77"/>
  <c r="H141" i="77"/>
  <c r="E139" i="77"/>
  <c r="B137" i="77"/>
  <c r="F135" i="77"/>
  <c r="C133" i="77"/>
  <c r="F145" i="77"/>
  <c r="C143" i="77"/>
  <c r="G141" i="77"/>
  <c r="D139" i="77"/>
  <c r="O136" i="77"/>
  <c r="L134" i="77"/>
  <c r="B133" i="77"/>
  <c r="E145" i="77"/>
  <c r="B143" i="77"/>
  <c r="M140" i="77"/>
  <c r="C139" i="77"/>
  <c r="N136" i="77"/>
  <c r="O132" i="77"/>
  <c r="D145" i="77"/>
  <c r="O142" i="77"/>
  <c r="L140" i="77"/>
  <c r="B139" i="77"/>
  <c r="M136" i="77"/>
  <c r="M132" i="77"/>
  <c r="K142" i="77"/>
  <c r="H139" i="77"/>
  <c r="M135" i="77"/>
  <c r="E132" i="77"/>
  <c r="J142" i="77"/>
  <c r="O138" i="77"/>
  <c r="L135" i="77"/>
  <c r="C132" i="77"/>
  <c r="K145" i="77"/>
  <c r="C142" i="77"/>
  <c r="G138" i="77"/>
  <c r="B132" i="77"/>
  <c r="C145" i="77"/>
  <c r="O141" i="77"/>
  <c r="F138" i="77"/>
  <c r="B145" i="77"/>
  <c r="M141" i="77"/>
  <c r="E138" i="77"/>
  <c r="I135" i="77"/>
  <c r="E144" i="77"/>
  <c r="N137" i="77"/>
  <c r="I134" i="77"/>
  <c r="H140" i="77"/>
  <c r="L249" i="77"/>
  <c r="F255" i="77"/>
  <c r="K43" i="79"/>
  <c r="K67" i="79"/>
  <c r="I160" i="79"/>
  <c r="F16" i="81"/>
  <c r="H16" i="81" s="1"/>
  <c r="AB36" i="80"/>
  <c r="J38" i="80"/>
  <c r="K38" i="80" s="1"/>
  <c r="D329" i="81"/>
  <c r="F313" i="81"/>
  <c r="G125" i="81"/>
  <c r="G407" i="83"/>
  <c r="T427" i="83"/>
  <c r="M34" i="84"/>
  <c r="L34" i="84"/>
  <c r="AA20" i="88"/>
  <c r="I33" i="88"/>
  <c r="C11" i="89"/>
  <c r="G11" i="89" s="1"/>
  <c r="H322" i="89"/>
  <c r="E84" i="89"/>
  <c r="F88" i="89" s="1"/>
  <c r="E160" i="89"/>
  <c r="F164" i="89" s="1"/>
  <c r="H354" i="89"/>
  <c r="E152" i="95"/>
  <c r="E142" i="95"/>
  <c r="A164" i="95" s="1"/>
  <c r="H199" i="109"/>
  <c r="C240" i="109"/>
  <c r="B21" i="109"/>
  <c r="H231" i="109"/>
  <c r="B89" i="109"/>
  <c r="C244" i="109"/>
  <c r="E242" i="59"/>
  <c r="A272" i="59" s="1"/>
  <c r="E256" i="59"/>
  <c r="E113" i="59"/>
  <c r="F117" i="59" s="1"/>
  <c r="H8" i="61"/>
  <c r="E11" i="63"/>
  <c r="G11" i="63" s="1"/>
  <c r="AA21" i="62"/>
  <c r="B40" i="63"/>
  <c r="E42" i="63"/>
  <c r="I44" i="63"/>
  <c r="H393" i="65"/>
  <c r="C134" i="65"/>
  <c r="I40" i="65"/>
  <c r="H42" i="65"/>
  <c r="K44" i="65"/>
  <c r="J46" i="65"/>
  <c r="G258" i="65"/>
  <c r="P274" i="65"/>
  <c r="H362" i="65"/>
  <c r="G78" i="67"/>
  <c r="L80" i="67"/>
  <c r="E85" i="67"/>
  <c r="L89" i="67"/>
  <c r="M142" i="69"/>
  <c r="L145" i="69"/>
  <c r="I149" i="69"/>
  <c r="I34" i="70"/>
  <c r="E12" i="71"/>
  <c r="G12" i="71" s="1"/>
  <c r="H408" i="71"/>
  <c r="C432" i="71"/>
  <c r="F164" i="73"/>
  <c r="M167" i="73"/>
  <c r="G171" i="73"/>
  <c r="F248" i="73"/>
  <c r="E6" i="75"/>
  <c r="AA6" i="74"/>
  <c r="I28" i="74"/>
  <c r="AA36" i="74"/>
  <c r="E16" i="75"/>
  <c r="G16" i="75" s="1"/>
  <c r="I38" i="74"/>
  <c r="K38" i="74" s="1"/>
  <c r="J90" i="75"/>
  <c r="M96" i="75"/>
  <c r="I38" i="76"/>
  <c r="K38" i="76" s="1"/>
  <c r="H465" i="77"/>
  <c r="E102" i="77"/>
  <c r="F106" i="77" s="1"/>
  <c r="H497" i="77"/>
  <c r="E194" i="77"/>
  <c r="F198" i="77" s="1"/>
  <c r="K44" i="77"/>
  <c r="F49" i="77"/>
  <c r="N98" i="77"/>
  <c r="H95" i="77"/>
  <c r="B92" i="77"/>
  <c r="H87" i="77"/>
  <c r="F86" i="77"/>
  <c r="K98" i="77"/>
  <c r="B95" i="77"/>
  <c r="D90" i="77"/>
  <c r="I86" i="77"/>
  <c r="D96" i="77"/>
  <c r="O94" i="77"/>
  <c r="C90" i="77"/>
  <c r="H86" i="77"/>
  <c r="F97" i="77"/>
  <c r="J87" i="77"/>
  <c r="G86" i="77"/>
  <c r="H98" i="77"/>
  <c r="M94" i="77"/>
  <c r="O89" i="77"/>
  <c r="E86" i="77"/>
  <c r="O95" i="77"/>
  <c r="L94" i="77"/>
  <c r="N89" i="77"/>
  <c r="D86" i="77"/>
  <c r="C97" i="77"/>
  <c r="E92" i="77"/>
  <c r="F87" i="77"/>
  <c r="C86" i="77"/>
  <c r="F80" i="77"/>
  <c r="K92" i="77"/>
  <c r="B98" i="77"/>
  <c r="M91" i="77"/>
  <c r="L95" i="77"/>
  <c r="O93" i="77"/>
  <c r="I89" i="77"/>
  <c r="K95" i="77"/>
  <c r="H89" i="77"/>
  <c r="M97" i="77"/>
  <c r="D87" i="77"/>
  <c r="H99" i="77"/>
  <c r="I95" i="77"/>
  <c r="G99" i="77"/>
  <c r="E93" i="77"/>
  <c r="M98" i="77"/>
  <c r="C95" i="77"/>
  <c r="E88" i="77"/>
  <c r="O90" i="77"/>
  <c r="I94" i="77"/>
  <c r="I97" i="77"/>
  <c r="M96" i="77"/>
  <c r="C93" i="77"/>
  <c r="K89" i="77"/>
  <c r="N135" i="77"/>
  <c r="I140" i="77"/>
  <c r="N249" i="77"/>
  <c r="M255" i="77"/>
  <c r="I42" i="78"/>
  <c r="K42" i="78" s="1"/>
  <c r="AA48" i="78"/>
  <c r="I16" i="79"/>
  <c r="C530" i="79"/>
  <c r="B102" i="79"/>
  <c r="H462" i="79"/>
  <c r="B194" i="79"/>
  <c r="H494" i="79"/>
  <c r="C534" i="79"/>
  <c r="H53" i="79"/>
  <c r="F52" i="79"/>
  <c r="D51" i="79"/>
  <c r="B50" i="79"/>
  <c r="N48" i="79"/>
  <c r="L47" i="79"/>
  <c r="G53" i="79"/>
  <c r="E52" i="79"/>
  <c r="C51" i="79"/>
  <c r="O49" i="79"/>
  <c r="M48" i="79"/>
  <c r="K47" i="79"/>
  <c r="I46" i="79"/>
  <c r="G45" i="79"/>
  <c r="E44" i="79"/>
  <c r="O41" i="79"/>
  <c r="M40" i="79"/>
  <c r="C53" i="79"/>
  <c r="O51" i="79"/>
  <c r="M50" i="79"/>
  <c r="K49" i="79"/>
  <c r="I48" i="79"/>
  <c r="G47" i="79"/>
  <c r="E46" i="79"/>
  <c r="C45" i="79"/>
  <c r="O43" i="79"/>
  <c r="M42" i="79"/>
  <c r="K41" i="79"/>
  <c r="I40" i="79"/>
  <c r="O53" i="79"/>
  <c r="J52" i="79"/>
  <c r="E51" i="79"/>
  <c r="L49" i="79"/>
  <c r="F48" i="79"/>
  <c r="O46" i="79"/>
  <c r="K45" i="79"/>
  <c r="G44" i="79"/>
  <c r="L41" i="79"/>
  <c r="G40" i="79"/>
  <c r="N53" i="79"/>
  <c r="I52" i="79"/>
  <c r="B51" i="79"/>
  <c r="J49" i="79"/>
  <c r="E48" i="79"/>
  <c r="N46" i="79"/>
  <c r="J45" i="79"/>
  <c r="F44" i="79"/>
  <c r="O42" i="79"/>
  <c r="J41" i="79"/>
  <c r="F40" i="79"/>
  <c r="M53" i="79"/>
  <c r="H52" i="79"/>
  <c r="O50" i="79"/>
  <c r="I49" i="79"/>
  <c r="D48" i="79"/>
  <c r="M46" i="79"/>
  <c r="I45" i="79"/>
  <c r="D44" i="79"/>
  <c r="N42" i="79"/>
  <c r="I41" i="79"/>
  <c r="L53" i="79"/>
  <c r="G52" i="79"/>
  <c r="N50" i="79"/>
  <c r="H49" i="79"/>
  <c r="C48" i="79"/>
  <c r="L46" i="79"/>
  <c r="H45" i="79"/>
  <c r="C44" i="79"/>
  <c r="L42" i="79"/>
  <c r="H41" i="79"/>
  <c r="F34" i="79"/>
  <c r="K53" i="79"/>
  <c r="D52" i="79"/>
  <c r="L50" i="79"/>
  <c r="G49" i="79"/>
  <c r="B48" i="79"/>
  <c r="K46" i="79"/>
  <c r="F45" i="79"/>
  <c r="B44" i="79"/>
  <c r="K42" i="79"/>
  <c r="G41" i="79"/>
  <c r="J53" i="79"/>
  <c r="C52" i="79"/>
  <c r="K50" i="79"/>
  <c r="F49" i="79"/>
  <c r="O47" i="79"/>
  <c r="J46" i="79"/>
  <c r="E45" i="79"/>
  <c r="N43" i="79"/>
  <c r="J42" i="79"/>
  <c r="F41" i="79"/>
  <c r="B52" i="79"/>
  <c r="D50" i="79"/>
  <c r="J47" i="79"/>
  <c r="M45" i="79"/>
  <c r="I43" i="79"/>
  <c r="O52" i="79"/>
  <c r="H50" i="79"/>
  <c r="G48" i="79"/>
  <c r="O45" i="79"/>
  <c r="J43" i="79"/>
  <c r="N52" i="79"/>
  <c r="G50" i="79"/>
  <c r="N47" i="79"/>
  <c r="N45" i="79"/>
  <c r="H43" i="79"/>
  <c r="M52" i="79"/>
  <c r="F50" i="79"/>
  <c r="M47" i="79"/>
  <c r="L45" i="79"/>
  <c r="G43" i="79"/>
  <c r="L52" i="79"/>
  <c r="E50" i="79"/>
  <c r="I47" i="79"/>
  <c r="D45" i="79"/>
  <c r="F43" i="79"/>
  <c r="O40" i="79"/>
  <c r="K52" i="79"/>
  <c r="C50" i="79"/>
  <c r="H47" i="79"/>
  <c r="B45" i="79"/>
  <c r="N40" i="79"/>
  <c r="N51" i="79"/>
  <c r="N49" i="79"/>
  <c r="F47" i="79"/>
  <c r="O44" i="79"/>
  <c r="L40" i="79"/>
  <c r="I50" i="79"/>
  <c r="G46" i="79"/>
  <c r="H42" i="79"/>
  <c r="M49" i="79"/>
  <c r="F46" i="79"/>
  <c r="G42" i="79"/>
  <c r="I53" i="79"/>
  <c r="E49" i="79"/>
  <c r="D46" i="79"/>
  <c r="F42" i="79"/>
  <c r="F53" i="79"/>
  <c r="D49" i="79"/>
  <c r="C46" i="79"/>
  <c r="E53" i="79"/>
  <c r="C49" i="79"/>
  <c r="B46" i="79"/>
  <c r="L51" i="79"/>
  <c r="K48" i="79"/>
  <c r="K44" i="79"/>
  <c r="M41" i="79"/>
  <c r="L43" i="79"/>
  <c r="O48" i="79"/>
  <c r="M162" i="79"/>
  <c r="I36" i="80"/>
  <c r="K36" i="80" s="1"/>
  <c r="C14" i="81"/>
  <c r="G14" i="81" s="1"/>
  <c r="AA29" i="80"/>
  <c r="J33" i="82"/>
  <c r="H240" i="85"/>
  <c r="C57" i="85"/>
  <c r="F59" i="85" s="1"/>
  <c r="G32" i="85"/>
  <c r="F32" i="85"/>
  <c r="F25" i="85"/>
  <c r="H34" i="85"/>
  <c r="B35" i="85"/>
  <c r="J32" i="86"/>
  <c r="D10" i="87"/>
  <c r="AB20" i="88"/>
  <c r="D11" i="89"/>
  <c r="L41" i="92"/>
  <c r="M41" i="92"/>
  <c r="G249" i="57"/>
  <c r="C134" i="59"/>
  <c r="F141" i="59" s="1"/>
  <c r="C142" i="59"/>
  <c r="K149" i="59"/>
  <c r="H360" i="59"/>
  <c r="K29" i="62"/>
  <c r="E13" i="63"/>
  <c r="G13" i="63" s="1"/>
  <c r="I35" i="62"/>
  <c r="K35" i="62" s="1"/>
  <c r="D47" i="63"/>
  <c r="L45" i="63"/>
  <c r="H44" i="63"/>
  <c r="D43" i="63"/>
  <c r="L41" i="63"/>
  <c r="H40" i="63"/>
  <c r="L37" i="63"/>
  <c r="H36" i="63"/>
  <c r="C47" i="63"/>
  <c r="K45" i="63"/>
  <c r="G44" i="63"/>
  <c r="C43" i="63"/>
  <c r="K41" i="63"/>
  <c r="G40" i="63"/>
  <c r="K37" i="63"/>
  <c r="G36" i="63"/>
  <c r="B47" i="63"/>
  <c r="J45" i="63"/>
  <c r="F44" i="63"/>
  <c r="B43" i="63"/>
  <c r="J41" i="63"/>
  <c r="F40" i="63"/>
  <c r="J37" i="63"/>
  <c r="F36" i="63"/>
  <c r="M46" i="63"/>
  <c r="I45" i="63"/>
  <c r="E44" i="63"/>
  <c r="M42" i="63"/>
  <c r="I41" i="63"/>
  <c r="E40" i="63"/>
  <c r="M38" i="63"/>
  <c r="I37" i="63"/>
  <c r="L46" i="63"/>
  <c r="H45" i="63"/>
  <c r="D44" i="63"/>
  <c r="L42" i="63"/>
  <c r="H41" i="63"/>
  <c r="D40" i="63"/>
  <c r="L38" i="63"/>
  <c r="H37" i="63"/>
  <c r="L47" i="63"/>
  <c r="H46" i="63"/>
  <c r="D45" i="63"/>
  <c r="L43" i="63"/>
  <c r="H42" i="63"/>
  <c r="D41" i="63"/>
  <c r="L39" i="63"/>
  <c r="H38" i="63"/>
  <c r="C40" i="63"/>
  <c r="F42" i="63"/>
  <c r="J44" i="63"/>
  <c r="I46" i="63"/>
  <c r="E242" i="63"/>
  <c r="A272" i="63" s="1"/>
  <c r="H36" i="65"/>
  <c r="F38" i="65"/>
  <c r="J40" i="65"/>
  <c r="I42" i="65"/>
  <c r="L44" i="65"/>
  <c r="D47" i="65"/>
  <c r="H394" i="65"/>
  <c r="AB17" i="66"/>
  <c r="D10" i="67"/>
  <c r="H78" i="67"/>
  <c r="M80" i="67"/>
  <c r="H85" i="67"/>
  <c r="L87" i="67"/>
  <c r="M89" i="67"/>
  <c r="H10" i="69"/>
  <c r="F40" i="69"/>
  <c r="M39" i="69"/>
  <c r="C429" i="69"/>
  <c r="B113" i="69"/>
  <c r="H384" i="69"/>
  <c r="H416" i="69"/>
  <c r="B197" i="69"/>
  <c r="H43" i="69"/>
  <c r="B143" i="69"/>
  <c r="M145" i="69"/>
  <c r="J34" i="70"/>
  <c r="F12" i="71"/>
  <c r="H409" i="71"/>
  <c r="C176" i="71"/>
  <c r="C193" i="71" s="1"/>
  <c r="P270" i="71"/>
  <c r="G254" i="71"/>
  <c r="G164" i="73"/>
  <c r="B168" i="73"/>
  <c r="F6" i="75"/>
  <c r="H6" i="75" s="1"/>
  <c r="AB6" i="74"/>
  <c r="J28" i="74"/>
  <c r="AB36" i="74"/>
  <c r="F16" i="75"/>
  <c r="H16" i="75" s="1"/>
  <c r="C88" i="75"/>
  <c r="M90" i="75"/>
  <c r="E94" i="75"/>
  <c r="N96" i="75"/>
  <c r="I136" i="77"/>
  <c r="L260" i="77"/>
  <c r="J259" i="77"/>
  <c r="H258" i="77"/>
  <c r="F257" i="77"/>
  <c r="D256" i="77"/>
  <c r="B255" i="77"/>
  <c r="N253" i="77"/>
  <c r="L252" i="77"/>
  <c r="J251" i="77"/>
  <c r="H250" i="77"/>
  <c r="F249" i="77"/>
  <c r="D248" i="77"/>
  <c r="B247" i="77"/>
  <c r="F241" i="77"/>
  <c r="J260" i="77"/>
  <c r="D258" i="77"/>
  <c r="O256" i="77"/>
  <c r="L255" i="77"/>
  <c r="I254" i="77"/>
  <c r="F253" i="77"/>
  <c r="C252" i="77"/>
  <c r="N250" i="77"/>
  <c r="K249" i="77"/>
  <c r="H248" i="77"/>
  <c r="E247" i="77"/>
  <c r="I260" i="77"/>
  <c r="C258" i="77"/>
  <c r="N256" i="77"/>
  <c r="K255" i="77"/>
  <c r="H254" i="77"/>
  <c r="E253" i="77"/>
  <c r="B252" i="77"/>
  <c r="M250" i="77"/>
  <c r="J249" i="77"/>
  <c r="G248" i="77"/>
  <c r="D247" i="77"/>
  <c r="H260" i="77"/>
  <c r="E259" i="77"/>
  <c r="B258" i="77"/>
  <c r="M256" i="77"/>
  <c r="J255" i="77"/>
  <c r="G254" i="77"/>
  <c r="D253" i="77"/>
  <c r="L250" i="77"/>
  <c r="I249" i="77"/>
  <c r="F248" i="77"/>
  <c r="C247" i="77"/>
  <c r="D259" i="77"/>
  <c r="O257" i="77"/>
  <c r="L256" i="77"/>
  <c r="I255" i="77"/>
  <c r="F254" i="77"/>
  <c r="C253" i="77"/>
  <c r="K250" i="77"/>
  <c r="H249" i="77"/>
  <c r="E248" i="77"/>
  <c r="C259" i="77"/>
  <c r="N257" i="77"/>
  <c r="K256" i="77"/>
  <c r="H255" i="77"/>
  <c r="E254" i="77"/>
  <c r="B253" i="77"/>
  <c r="M251" i="77"/>
  <c r="J250" i="77"/>
  <c r="G249" i="77"/>
  <c r="C248" i="77"/>
  <c r="E260" i="77"/>
  <c r="B259" i="77"/>
  <c r="M257" i="77"/>
  <c r="J256" i="77"/>
  <c r="G255" i="77"/>
  <c r="D254" i="77"/>
  <c r="L251" i="77"/>
  <c r="I250" i="77"/>
  <c r="E249" i="77"/>
  <c r="B248" i="77"/>
  <c r="C260" i="77"/>
  <c r="G258" i="77"/>
  <c r="F256" i="77"/>
  <c r="J254" i="77"/>
  <c r="H252" i="77"/>
  <c r="F250" i="77"/>
  <c r="K248" i="77"/>
  <c r="N258" i="77"/>
  <c r="C257" i="77"/>
  <c r="N254" i="77"/>
  <c r="K252" i="77"/>
  <c r="O250" i="77"/>
  <c r="L248" i="77"/>
  <c r="M258" i="77"/>
  <c r="B257" i="77"/>
  <c r="M254" i="77"/>
  <c r="J252" i="77"/>
  <c r="G250" i="77"/>
  <c r="J248" i="77"/>
  <c r="L258" i="77"/>
  <c r="I256" i="77"/>
  <c r="L254" i="77"/>
  <c r="I252" i="77"/>
  <c r="E250" i="77"/>
  <c r="I248" i="77"/>
  <c r="K258" i="77"/>
  <c r="H256" i="77"/>
  <c r="K254" i="77"/>
  <c r="D250" i="77"/>
  <c r="O247" i="77"/>
  <c r="M260" i="77"/>
  <c r="J258" i="77"/>
  <c r="G256" i="77"/>
  <c r="C254" i="77"/>
  <c r="C250" i="77"/>
  <c r="N247" i="77"/>
  <c r="K260" i="77"/>
  <c r="I258" i="77"/>
  <c r="E256" i="77"/>
  <c r="B254" i="77"/>
  <c r="E252" i="77"/>
  <c r="B250" i="77"/>
  <c r="M247" i="77"/>
  <c r="L257" i="77"/>
  <c r="C255" i="77"/>
  <c r="L247" i="77"/>
  <c r="K257" i="77"/>
  <c r="O254" i="77"/>
  <c r="K247" i="77"/>
  <c r="J257" i="77"/>
  <c r="O253" i="77"/>
  <c r="E251" i="77"/>
  <c r="J247" i="77"/>
  <c r="I257" i="77"/>
  <c r="M253" i="77"/>
  <c r="D251" i="77"/>
  <c r="I247" i="77"/>
  <c r="D260" i="77"/>
  <c r="H257" i="77"/>
  <c r="L253" i="77"/>
  <c r="C251" i="77"/>
  <c r="H247" i="77"/>
  <c r="M259" i="77"/>
  <c r="C256" i="77"/>
  <c r="H253" i="77"/>
  <c r="M249" i="77"/>
  <c r="O249" i="77"/>
  <c r="N255" i="77"/>
  <c r="M43" i="79"/>
  <c r="B49" i="79"/>
  <c r="M67" i="79"/>
  <c r="N162" i="79"/>
  <c r="F115" i="81"/>
  <c r="H133" i="81"/>
  <c r="F128" i="81"/>
  <c r="J120" i="81"/>
  <c r="G133" i="81"/>
  <c r="E128" i="81"/>
  <c r="I120" i="81"/>
  <c r="F133" i="81"/>
  <c r="G127" i="81"/>
  <c r="H120" i="81"/>
  <c r="E133" i="81"/>
  <c r="G120" i="81"/>
  <c r="N132" i="81"/>
  <c r="E120" i="81"/>
  <c r="N131" i="81"/>
  <c r="N124" i="81"/>
  <c r="F275" i="87"/>
  <c r="E213" i="89"/>
  <c r="E201" i="89"/>
  <c r="A227" i="89" s="1"/>
  <c r="C8" i="93"/>
  <c r="AA11" i="92"/>
  <c r="H9" i="93"/>
  <c r="F9" i="61"/>
  <c r="H9" i="61" s="1"/>
  <c r="I9" i="61" s="1"/>
  <c r="H418" i="61"/>
  <c r="AB24" i="62"/>
  <c r="E9" i="63"/>
  <c r="G9" i="63" s="1"/>
  <c r="E254" i="63"/>
  <c r="D432" i="63"/>
  <c r="AA24" i="64"/>
  <c r="AB42" i="64"/>
  <c r="AA30" i="66"/>
  <c r="F89" i="67"/>
  <c r="B88" i="67"/>
  <c r="F85" i="67"/>
  <c r="B84" i="67"/>
  <c r="F81" i="67"/>
  <c r="B80" i="67"/>
  <c r="J78" i="67"/>
  <c r="F173" i="67"/>
  <c r="B172" i="67"/>
  <c r="F169" i="67"/>
  <c r="B168" i="67"/>
  <c r="J166" i="67"/>
  <c r="F165" i="67"/>
  <c r="B164" i="67"/>
  <c r="J162" i="67"/>
  <c r="H41" i="67"/>
  <c r="M42" i="67"/>
  <c r="K45" i="67"/>
  <c r="E78" i="67"/>
  <c r="J79" i="67"/>
  <c r="C81" i="67"/>
  <c r="H82" i="67"/>
  <c r="M83" i="67"/>
  <c r="G85" i="67"/>
  <c r="L86" i="67"/>
  <c r="E88" i="67"/>
  <c r="J89" i="67"/>
  <c r="K120" i="67"/>
  <c r="I123" i="67"/>
  <c r="B125" i="67"/>
  <c r="G126" i="67"/>
  <c r="E129" i="67"/>
  <c r="D163" i="67"/>
  <c r="I164" i="67"/>
  <c r="B166" i="67"/>
  <c r="G167" i="67"/>
  <c r="L168" i="67"/>
  <c r="E170" i="67"/>
  <c r="C173" i="67"/>
  <c r="G208" i="67"/>
  <c r="D214" i="67"/>
  <c r="I215" i="67"/>
  <c r="E238" i="67"/>
  <c r="A268" i="67" s="1"/>
  <c r="H378" i="69"/>
  <c r="D433" i="69"/>
  <c r="F6" i="72"/>
  <c r="H6" i="72" s="1"/>
  <c r="J6" i="72" s="1"/>
  <c r="H10" i="73"/>
  <c r="G101" i="73"/>
  <c r="G103" i="73"/>
  <c r="L105" i="73"/>
  <c r="E176" i="73"/>
  <c r="L191" i="73" s="1"/>
  <c r="AB6" i="76"/>
  <c r="J28" i="76"/>
  <c r="K15" i="77"/>
  <c r="G10" i="79"/>
  <c r="H455" i="79"/>
  <c r="C79" i="79"/>
  <c r="F81" i="79" s="1"/>
  <c r="H487" i="79"/>
  <c r="C171" i="79"/>
  <c r="F173" i="79" s="1"/>
  <c r="C263" i="79"/>
  <c r="F265" i="79" s="1"/>
  <c r="H519" i="79"/>
  <c r="F63" i="79"/>
  <c r="H67" i="79"/>
  <c r="E71" i="79"/>
  <c r="F272" i="81"/>
  <c r="F279" i="81"/>
  <c r="AA14" i="82"/>
  <c r="C9" i="83"/>
  <c r="D173" i="83"/>
  <c r="M33" i="98"/>
  <c r="L33" i="98"/>
  <c r="M39" i="106"/>
  <c r="L39" i="106"/>
  <c r="AB8" i="108"/>
  <c r="D7" i="109"/>
  <c r="H7" i="109" s="1"/>
  <c r="J29" i="108"/>
  <c r="E92" i="61"/>
  <c r="F96" i="61" s="1"/>
  <c r="D92" i="63"/>
  <c r="H352" i="63"/>
  <c r="H411" i="63"/>
  <c r="C433" i="65"/>
  <c r="E6" i="67"/>
  <c r="G6" i="67" s="1"/>
  <c r="B92" i="67"/>
  <c r="G252" i="69"/>
  <c r="J31" i="68"/>
  <c r="I31" i="70"/>
  <c r="E134" i="71"/>
  <c r="F425" i="71"/>
  <c r="G14" i="73"/>
  <c r="I108" i="73"/>
  <c r="E107" i="73"/>
  <c r="M105" i="73"/>
  <c r="I104" i="73"/>
  <c r="E103" i="73"/>
  <c r="M101" i="73"/>
  <c r="I100" i="73"/>
  <c r="E99" i="73"/>
  <c r="G108" i="73"/>
  <c r="B107" i="73"/>
  <c r="I105" i="73"/>
  <c r="D104" i="73"/>
  <c r="K102" i="73"/>
  <c r="F101" i="73"/>
  <c r="M99" i="73"/>
  <c r="F108" i="73"/>
  <c r="M106" i="73"/>
  <c r="H105" i="73"/>
  <c r="C104" i="73"/>
  <c r="J102" i="73"/>
  <c r="E101" i="73"/>
  <c r="L99" i="73"/>
  <c r="E108" i="73"/>
  <c r="L106" i="73"/>
  <c r="G105" i="73"/>
  <c r="B104" i="73"/>
  <c r="I102" i="73"/>
  <c r="D101" i="73"/>
  <c r="K99" i="73"/>
  <c r="I109" i="73"/>
  <c r="D108" i="73"/>
  <c r="K106" i="73"/>
  <c r="F105" i="73"/>
  <c r="M103" i="73"/>
  <c r="H102" i="73"/>
  <c r="C101" i="73"/>
  <c r="J99" i="73"/>
  <c r="H109" i="73"/>
  <c r="C108" i="73"/>
  <c r="J106" i="73"/>
  <c r="E105" i="73"/>
  <c r="L103" i="73"/>
  <c r="G102" i="73"/>
  <c r="B101" i="73"/>
  <c r="I99" i="73"/>
  <c r="G109" i="73"/>
  <c r="B108" i="73"/>
  <c r="I106" i="73"/>
  <c r="D105" i="73"/>
  <c r="K103" i="73"/>
  <c r="F102" i="73"/>
  <c r="M100" i="73"/>
  <c r="H99" i="73"/>
  <c r="F99" i="73"/>
  <c r="K101" i="73"/>
  <c r="E104" i="73"/>
  <c r="E106" i="73"/>
  <c r="D536" i="75"/>
  <c r="D240" i="75"/>
  <c r="F243" i="75" s="1"/>
  <c r="C263" i="75"/>
  <c r="D532" i="75"/>
  <c r="F534" i="79"/>
  <c r="M75" i="79"/>
  <c r="C37" i="81"/>
  <c r="F39" i="81" s="1"/>
  <c r="H533" i="81"/>
  <c r="C137" i="81"/>
  <c r="F139" i="81" s="1"/>
  <c r="H565" i="81"/>
  <c r="H597" i="81"/>
  <c r="C237" i="81"/>
  <c r="F239" i="81" s="1"/>
  <c r="C337" i="81"/>
  <c r="F339" i="81" s="1"/>
  <c r="H629" i="81"/>
  <c r="F163" i="81"/>
  <c r="Q169" i="81"/>
  <c r="H179" i="81"/>
  <c r="H174" i="81"/>
  <c r="E397" i="83"/>
  <c r="A435" i="83" s="1"/>
  <c r="E415" i="83"/>
  <c r="F164" i="83"/>
  <c r="C184" i="83"/>
  <c r="P182" i="83"/>
  <c r="J179" i="83"/>
  <c r="H178" i="83"/>
  <c r="E177" i="83"/>
  <c r="C176" i="83"/>
  <c r="P174" i="83"/>
  <c r="N173" i="83"/>
  <c r="L172" i="83"/>
  <c r="J171" i="83"/>
  <c r="H170" i="83"/>
  <c r="E169" i="83"/>
  <c r="Q183" i="83"/>
  <c r="K180" i="83"/>
  <c r="I179" i="83"/>
  <c r="F178" i="83"/>
  <c r="D177" i="83"/>
  <c r="Q175" i="83"/>
  <c r="O174" i="83"/>
  <c r="M173" i="83"/>
  <c r="K172" i="83"/>
  <c r="I171" i="83"/>
  <c r="F170" i="83"/>
  <c r="D169" i="83"/>
  <c r="P183" i="83"/>
  <c r="J180" i="83"/>
  <c r="H179" i="83"/>
  <c r="E178" i="83"/>
  <c r="C177" i="83"/>
  <c r="P175" i="83"/>
  <c r="N174" i="83"/>
  <c r="L173" i="83"/>
  <c r="J172" i="83"/>
  <c r="H171" i="83"/>
  <c r="E170" i="83"/>
  <c r="C169" i="83"/>
  <c r="Q184" i="83"/>
  <c r="O183" i="83"/>
  <c r="K181" i="83"/>
  <c r="I180" i="83"/>
  <c r="F179" i="83"/>
  <c r="D178" i="83"/>
  <c r="Q176" i="83"/>
  <c r="O175" i="83"/>
  <c r="M174" i="83"/>
  <c r="K173" i="83"/>
  <c r="I172" i="83"/>
  <c r="F171" i="83"/>
  <c r="D170" i="83"/>
  <c r="P184" i="83"/>
  <c r="N183" i="83"/>
  <c r="J181" i="83"/>
  <c r="H180" i="83"/>
  <c r="E179" i="83"/>
  <c r="C178" i="83"/>
  <c r="P176" i="83"/>
  <c r="N175" i="83"/>
  <c r="L174" i="83"/>
  <c r="J173" i="83"/>
  <c r="H172" i="83"/>
  <c r="E171" i="83"/>
  <c r="C170" i="83"/>
  <c r="H183" i="83"/>
  <c r="I181" i="83"/>
  <c r="O177" i="83"/>
  <c r="E176" i="83"/>
  <c r="E174" i="83"/>
  <c r="F172" i="83"/>
  <c r="L170" i="83"/>
  <c r="M184" i="83"/>
  <c r="C183" i="83"/>
  <c r="K184" i="83"/>
  <c r="J182" i="83"/>
  <c r="M178" i="83"/>
  <c r="M176" i="83"/>
  <c r="Q174" i="83"/>
  <c r="P172" i="83"/>
  <c r="O170" i="83"/>
  <c r="J184" i="83"/>
  <c r="I182" i="83"/>
  <c r="L178" i="83"/>
  <c r="K176" i="83"/>
  <c r="K174" i="83"/>
  <c r="O172" i="83"/>
  <c r="N170" i="83"/>
  <c r="I184" i="83"/>
  <c r="F182" i="83"/>
  <c r="F180" i="83"/>
  <c r="K178" i="83"/>
  <c r="J176" i="83"/>
  <c r="J174" i="83"/>
  <c r="N172" i="83"/>
  <c r="M170" i="83"/>
  <c r="H184" i="83"/>
  <c r="E182" i="83"/>
  <c r="E180" i="83"/>
  <c r="J178" i="83"/>
  <c r="I176" i="83"/>
  <c r="I174" i="83"/>
  <c r="M172" i="83"/>
  <c r="K170" i="83"/>
  <c r="F184" i="83"/>
  <c r="D182" i="83"/>
  <c r="D180" i="83"/>
  <c r="I178" i="83"/>
  <c r="H176" i="83"/>
  <c r="F174" i="83"/>
  <c r="E172" i="83"/>
  <c r="J170" i="83"/>
  <c r="E184" i="83"/>
  <c r="C182" i="83"/>
  <c r="Q179" i="83"/>
  <c r="Q177" i="83"/>
  <c r="F176" i="83"/>
  <c r="D174" i="83"/>
  <c r="D172" i="83"/>
  <c r="I170" i="83"/>
  <c r="N184" i="83"/>
  <c r="D181" i="83"/>
  <c r="M177" i="83"/>
  <c r="E175" i="83"/>
  <c r="N171" i="83"/>
  <c r="F169" i="83"/>
  <c r="D184" i="83"/>
  <c r="C181" i="83"/>
  <c r="L177" i="83"/>
  <c r="D175" i="83"/>
  <c r="M171" i="83"/>
  <c r="M183" i="83"/>
  <c r="Q180" i="83"/>
  <c r="K177" i="83"/>
  <c r="C175" i="83"/>
  <c r="L171" i="83"/>
  <c r="L183" i="83"/>
  <c r="P180" i="83"/>
  <c r="J177" i="83"/>
  <c r="C174" i="83"/>
  <c r="K171" i="83"/>
  <c r="K183" i="83"/>
  <c r="I177" i="83"/>
  <c r="Q173" i="83"/>
  <c r="D171" i="83"/>
  <c r="Q182" i="83"/>
  <c r="K179" i="83"/>
  <c r="D176" i="83"/>
  <c r="F173" i="83"/>
  <c r="O169" i="83"/>
  <c r="F181" i="83"/>
  <c r="L175" i="83"/>
  <c r="Q170" i="83"/>
  <c r="P179" i="83"/>
  <c r="K175" i="83"/>
  <c r="Q169" i="83"/>
  <c r="I175" i="83"/>
  <c r="P169" i="83"/>
  <c r="H175" i="83"/>
  <c r="M169" i="83"/>
  <c r="F175" i="83"/>
  <c r="L169" i="83"/>
  <c r="D179" i="83"/>
  <c r="P173" i="83"/>
  <c r="K169" i="83"/>
  <c r="M175" i="83"/>
  <c r="E183" i="83"/>
  <c r="I34" i="92"/>
  <c r="K34" i="92" s="1"/>
  <c r="C12" i="93"/>
  <c r="C98" i="97"/>
  <c r="F100" i="97" s="1"/>
  <c r="H446" i="97"/>
  <c r="C182" i="97"/>
  <c r="F184" i="97" s="1"/>
  <c r="H478" i="97"/>
  <c r="C266" i="97"/>
  <c r="F268" i="97" s="1"/>
  <c r="H510" i="97"/>
  <c r="AA48" i="60"/>
  <c r="D425" i="61"/>
  <c r="F12" i="63"/>
  <c r="H12" i="63" s="1"/>
  <c r="I12" i="63" s="1"/>
  <c r="E92" i="63"/>
  <c r="J107" i="63" s="1"/>
  <c r="E12" i="65"/>
  <c r="G12" i="65" s="1"/>
  <c r="F210" i="67"/>
  <c r="I214" i="67"/>
  <c r="AA21" i="68"/>
  <c r="I28" i="68"/>
  <c r="J31" i="70"/>
  <c r="E252" i="73"/>
  <c r="E238" i="73"/>
  <c r="A268" i="73" s="1"/>
  <c r="E13" i="73"/>
  <c r="AA27" i="72"/>
  <c r="G99" i="73"/>
  <c r="L101" i="73"/>
  <c r="F104" i="73"/>
  <c r="F106" i="73"/>
  <c r="H6" i="74"/>
  <c r="J6" i="74" s="1"/>
  <c r="H448" i="75"/>
  <c r="G12" i="79"/>
  <c r="H68" i="79"/>
  <c r="N75" i="79"/>
  <c r="D284" i="81"/>
  <c r="D283" i="81"/>
  <c r="D280" i="81"/>
  <c r="D279" i="81"/>
  <c r="D278" i="81"/>
  <c r="D277" i="81"/>
  <c r="D276" i="81"/>
  <c r="D275" i="81"/>
  <c r="D274" i="81"/>
  <c r="D273" i="81"/>
  <c r="D270" i="81"/>
  <c r="D269" i="81"/>
  <c r="C284" i="81"/>
  <c r="C283" i="81"/>
  <c r="C282" i="81"/>
  <c r="C281" i="81"/>
  <c r="C280" i="81"/>
  <c r="C279" i="81"/>
  <c r="C278" i="81"/>
  <c r="C277" i="81"/>
  <c r="C276" i="81"/>
  <c r="C275" i="81"/>
  <c r="C274" i="81"/>
  <c r="C273" i="81"/>
  <c r="C272" i="81"/>
  <c r="C271" i="81"/>
  <c r="C270" i="81"/>
  <c r="C269" i="81"/>
  <c r="B284" i="81"/>
  <c r="B283" i="81"/>
  <c r="B282" i="81"/>
  <c r="B281" i="81"/>
  <c r="B280" i="81"/>
  <c r="B279" i="81"/>
  <c r="B278" i="81"/>
  <c r="B277" i="81"/>
  <c r="B276" i="81"/>
  <c r="B275" i="81"/>
  <c r="B274" i="81"/>
  <c r="B273" i="81"/>
  <c r="B272" i="81"/>
  <c r="B271" i="81"/>
  <c r="B270" i="81"/>
  <c r="B269" i="81"/>
  <c r="F263" i="81"/>
  <c r="Q284" i="81"/>
  <c r="Q283" i="81"/>
  <c r="Q282" i="81"/>
  <c r="Q281" i="81"/>
  <c r="Q280" i="81"/>
  <c r="Q279" i="81"/>
  <c r="Q278" i="81"/>
  <c r="Q277" i="81"/>
  <c r="Q276" i="81"/>
  <c r="Q275" i="81"/>
  <c r="Q274" i="81"/>
  <c r="Q273" i="81"/>
  <c r="Q272" i="81"/>
  <c r="Q271" i="81"/>
  <c r="Q270" i="81"/>
  <c r="Q269" i="81"/>
  <c r="P284" i="81"/>
  <c r="P283" i="81"/>
  <c r="P282" i="81"/>
  <c r="P281" i="81"/>
  <c r="P280" i="81"/>
  <c r="P279" i="81"/>
  <c r="P278" i="81"/>
  <c r="P277" i="81"/>
  <c r="P276" i="81"/>
  <c r="P275" i="81"/>
  <c r="P274" i="81"/>
  <c r="P273" i="81"/>
  <c r="P272" i="81"/>
  <c r="P271" i="81"/>
  <c r="P270" i="81"/>
  <c r="P269" i="81"/>
  <c r="L284" i="81"/>
  <c r="L283" i="81"/>
  <c r="L282" i="81"/>
  <c r="L281" i="81"/>
  <c r="L280" i="81"/>
  <c r="L279" i="81"/>
  <c r="L278" i="81"/>
  <c r="L277" i="81"/>
  <c r="L276" i="81"/>
  <c r="L275" i="81"/>
  <c r="L274" i="81"/>
  <c r="L273" i="81"/>
  <c r="L272" i="81"/>
  <c r="L271" i="81"/>
  <c r="L270" i="81"/>
  <c r="L269" i="81"/>
  <c r="N284" i="81"/>
  <c r="G283" i="81"/>
  <c r="K281" i="81"/>
  <c r="E280" i="81"/>
  <c r="I278" i="81"/>
  <c r="N276" i="81"/>
  <c r="G275" i="81"/>
  <c r="K273" i="81"/>
  <c r="I270" i="81"/>
  <c r="M284" i="81"/>
  <c r="F283" i="81"/>
  <c r="J281" i="81"/>
  <c r="O279" i="81"/>
  <c r="H278" i="81"/>
  <c r="M276" i="81"/>
  <c r="F275" i="81"/>
  <c r="J273" i="81"/>
  <c r="H270" i="81"/>
  <c r="K284" i="81"/>
  <c r="E283" i="81"/>
  <c r="I281" i="81"/>
  <c r="N279" i="81"/>
  <c r="G278" i="81"/>
  <c r="K276" i="81"/>
  <c r="E275" i="81"/>
  <c r="I273" i="81"/>
  <c r="G270" i="81"/>
  <c r="J284" i="81"/>
  <c r="H281" i="81"/>
  <c r="M279" i="81"/>
  <c r="F278" i="81"/>
  <c r="J276" i="81"/>
  <c r="O274" i="81"/>
  <c r="H273" i="81"/>
  <c r="M271" i="81"/>
  <c r="F270" i="81"/>
  <c r="I284" i="81"/>
  <c r="G281" i="81"/>
  <c r="K279" i="81"/>
  <c r="E278" i="81"/>
  <c r="I276" i="81"/>
  <c r="N274" i="81"/>
  <c r="G273" i="81"/>
  <c r="K271" i="81"/>
  <c r="E270" i="81"/>
  <c r="H284" i="81"/>
  <c r="M282" i="81"/>
  <c r="F281" i="81"/>
  <c r="J279" i="81"/>
  <c r="O277" i="81"/>
  <c r="H276" i="81"/>
  <c r="M274" i="81"/>
  <c r="F273" i="81"/>
  <c r="J271" i="81"/>
  <c r="O269" i="81"/>
  <c r="O283" i="81"/>
  <c r="M281" i="81"/>
  <c r="O278" i="81"/>
  <c r="F276" i="81"/>
  <c r="O273" i="81"/>
  <c r="F271" i="81"/>
  <c r="N283" i="81"/>
  <c r="N278" i="81"/>
  <c r="E276" i="81"/>
  <c r="N273" i="81"/>
  <c r="M283" i="81"/>
  <c r="O280" i="81"/>
  <c r="M278" i="81"/>
  <c r="O275" i="81"/>
  <c r="M273" i="81"/>
  <c r="O270" i="81"/>
  <c r="K283" i="81"/>
  <c r="N280" i="81"/>
  <c r="K278" i="81"/>
  <c r="N275" i="81"/>
  <c r="E273" i="81"/>
  <c r="N270" i="81"/>
  <c r="J283" i="81"/>
  <c r="M280" i="81"/>
  <c r="J278" i="81"/>
  <c r="M275" i="81"/>
  <c r="M270" i="81"/>
  <c r="I282" i="81"/>
  <c r="G280" i="81"/>
  <c r="I277" i="81"/>
  <c r="K274" i="81"/>
  <c r="I272" i="81"/>
  <c r="K269" i="81"/>
  <c r="H282" i="81"/>
  <c r="N277" i="81"/>
  <c r="H274" i="81"/>
  <c r="N269" i="81"/>
  <c r="G282" i="81"/>
  <c r="M277" i="81"/>
  <c r="G274" i="81"/>
  <c r="M269" i="81"/>
  <c r="F282" i="81"/>
  <c r="K277" i="81"/>
  <c r="F274" i="81"/>
  <c r="J269" i="81"/>
  <c r="J277" i="81"/>
  <c r="E274" i="81"/>
  <c r="I269" i="81"/>
  <c r="H277" i="81"/>
  <c r="H269" i="81"/>
  <c r="G277" i="81"/>
  <c r="M272" i="81"/>
  <c r="G269" i="81"/>
  <c r="I274" i="81"/>
  <c r="H280" i="81"/>
  <c r="N176" i="83"/>
  <c r="F183" i="83"/>
  <c r="F67" i="89"/>
  <c r="F80" i="89"/>
  <c r="K74" i="89"/>
  <c r="D80" i="89"/>
  <c r="D74" i="89"/>
  <c r="C80" i="89"/>
  <c r="C74" i="89"/>
  <c r="K79" i="89"/>
  <c r="B74" i="89"/>
  <c r="J73" i="89"/>
  <c r="G72" i="89"/>
  <c r="J81" i="89"/>
  <c r="F72" i="89"/>
  <c r="I81" i="89"/>
  <c r="H81" i="89"/>
  <c r="J78" i="89"/>
  <c r="B77" i="89"/>
  <c r="F77" i="89"/>
  <c r="D77" i="89"/>
  <c r="K76" i="89"/>
  <c r="J76" i="89"/>
  <c r="M35" i="90"/>
  <c r="L35" i="90"/>
  <c r="AB24" i="96"/>
  <c r="F12" i="97"/>
  <c r="J34" i="96"/>
  <c r="K34" i="96" s="1"/>
  <c r="H378" i="63"/>
  <c r="AB29" i="66"/>
  <c r="I31" i="66"/>
  <c r="H384" i="67"/>
  <c r="C10" i="71"/>
  <c r="G10" i="71" s="1"/>
  <c r="AA17" i="70"/>
  <c r="M37" i="70"/>
  <c r="L37" i="70"/>
  <c r="C427" i="71"/>
  <c r="B71" i="71"/>
  <c r="H400" i="71"/>
  <c r="B155" i="71"/>
  <c r="H368" i="71"/>
  <c r="E253" i="73"/>
  <c r="E239" i="73"/>
  <c r="A269" i="73" s="1"/>
  <c r="F13" i="73"/>
  <c r="H13" i="73" s="1"/>
  <c r="AB27" i="72"/>
  <c r="B100" i="73"/>
  <c r="B102" i="73"/>
  <c r="G104" i="73"/>
  <c r="G106" i="73"/>
  <c r="D13" i="75"/>
  <c r="H13" i="75" s="1"/>
  <c r="AB26" i="74"/>
  <c r="C533" i="75"/>
  <c r="B171" i="75"/>
  <c r="I41" i="76"/>
  <c r="K41" i="76" s="1"/>
  <c r="AA45" i="76"/>
  <c r="F12" i="79"/>
  <c r="H12" i="79" s="1"/>
  <c r="AB24" i="78"/>
  <c r="F529" i="79"/>
  <c r="L72" i="79"/>
  <c r="I8" i="81"/>
  <c r="N13" i="81"/>
  <c r="A588" i="81" s="1"/>
  <c r="F644" i="81"/>
  <c r="J274" i="81"/>
  <c r="I280" i="81"/>
  <c r="AA36" i="82"/>
  <c r="I38" i="82"/>
  <c r="E16" i="83"/>
  <c r="G16" i="83" s="1"/>
  <c r="O176" i="83"/>
  <c r="I183" i="83"/>
  <c r="T432" i="83"/>
  <c r="I33" i="86"/>
  <c r="E11" i="87"/>
  <c r="G11" i="87" s="1"/>
  <c r="AA21" i="86"/>
  <c r="J36" i="86"/>
  <c r="AA39" i="86"/>
  <c r="I39" i="86"/>
  <c r="K39" i="86" s="1"/>
  <c r="AB18" i="90"/>
  <c r="F10" i="91"/>
  <c r="H10" i="91" s="1"/>
  <c r="J32" i="90"/>
  <c r="K32" i="90" s="1"/>
  <c r="I6" i="101"/>
  <c r="M34" i="102"/>
  <c r="L34" i="102"/>
  <c r="C7" i="105"/>
  <c r="AA8" i="104"/>
  <c r="M36" i="104"/>
  <c r="L36" i="104"/>
  <c r="AB39" i="104"/>
  <c r="J39" i="104"/>
  <c r="AB48" i="104"/>
  <c r="J42" i="104"/>
  <c r="J28" i="66"/>
  <c r="K28" i="66" s="1"/>
  <c r="J31" i="66"/>
  <c r="C425" i="67"/>
  <c r="J28" i="68"/>
  <c r="J33" i="68"/>
  <c r="K33" i="68" s="1"/>
  <c r="F11" i="69"/>
  <c r="H11" i="69" s="1"/>
  <c r="I11" i="69" s="1"/>
  <c r="D29" i="69"/>
  <c r="E42" i="69" s="1"/>
  <c r="G251" i="71"/>
  <c r="F251" i="71"/>
  <c r="AA5" i="70"/>
  <c r="C6" i="71"/>
  <c r="G6" i="71" s="1"/>
  <c r="D10" i="71"/>
  <c r="H10" i="71" s="1"/>
  <c r="AB17" i="70"/>
  <c r="J41" i="70"/>
  <c r="F255" i="71"/>
  <c r="C431" i="71"/>
  <c r="I35" i="72"/>
  <c r="K35" i="72" s="1"/>
  <c r="M37" i="72"/>
  <c r="L37" i="72"/>
  <c r="C100" i="73"/>
  <c r="C102" i="73"/>
  <c r="H104" i="73"/>
  <c r="H106" i="73"/>
  <c r="B109" i="73"/>
  <c r="E254" i="73"/>
  <c r="E311" i="75"/>
  <c r="A345" i="75" s="1"/>
  <c r="E327" i="75"/>
  <c r="E13" i="75"/>
  <c r="G13" i="75" s="1"/>
  <c r="AA27" i="74"/>
  <c r="H487" i="75"/>
  <c r="C171" i="75"/>
  <c r="F173" i="75" s="1"/>
  <c r="B171" i="77"/>
  <c r="H486" i="77"/>
  <c r="C533" i="77"/>
  <c r="B263" i="77"/>
  <c r="C537" i="77"/>
  <c r="AA39" i="78"/>
  <c r="I39" i="78"/>
  <c r="K39" i="78" s="1"/>
  <c r="L41" i="78"/>
  <c r="M41" i="78"/>
  <c r="L76" i="79"/>
  <c r="H74" i="79"/>
  <c r="F73" i="79"/>
  <c r="N69" i="79"/>
  <c r="L68" i="79"/>
  <c r="J67" i="79"/>
  <c r="H66" i="79"/>
  <c r="D64" i="79"/>
  <c r="B63" i="79"/>
  <c r="F57" i="79"/>
  <c r="K76" i="79"/>
  <c r="I75" i="79"/>
  <c r="G74" i="79"/>
  <c r="C72" i="79"/>
  <c r="O70" i="79"/>
  <c r="K68" i="79"/>
  <c r="I67" i="79"/>
  <c r="C64" i="79"/>
  <c r="C74" i="79"/>
  <c r="O72" i="79"/>
  <c r="M71" i="79"/>
  <c r="K70" i="79"/>
  <c r="I69" i="79"/>
  <c r="C66" i="79"/>
  <c r="M63" i="79"/>
  <c r="M76" i="79"/>
  <c r="F75" i="79"/>
  <c r="N73" i="79"/>
  <c r="I72" i="79"/>
  <c r="K69" i="79"/>
  <c r="N66" i="79"/>
  <c r="I65" i="79"/>
  <c r="B64" i="79"/>
  <c r="M73" i="79"/>
  <c r="H72" i="79"/>
  <c r="J69" i="79"/>
  <c r="M66" i="79"/>
  <c r="H65" i="79"/>
  <c r="O63" i="79"/>
  <c r="C75" i="79"/>
  <c r="L73" i="79"/>
  <c r="G72" i="79"/>
  <c r="N70" i="79"/>
  <c r="H69" i="79"/>
  <c r="C68" i="79"/>
  <c r="N63" i="79"/>
  <c r="B75" i="79"/>
  <c r="K73" i="79"/>
  <c r="M70" i="79"/>
  <c r="G69" i="79"/>
  <c r="K66" i="79"/>
  <c r="L63" i="79"/>
  <c r="F76" i="79"/>
  <c r="O74" i="79"/>
  <c r="J73" i="79"/>
  <c r="L70" i="79"/>
  <c r="F69" i="79"/>
  <c r="J66" i="79"/>
  <c r="C65" i="79"/>
  <c r="K63" i="79"/>
  <c r="E76" i="79"/>
  <c r="N74" i="79"/>
  <c r="B72" i="79"/>
  <c r="E69" i="79"/>
  <c r="N67" i="79"/>
  <c r="I66" i="79"/>
  <c r="B65" i="79"/>
  <c r="H75" i="79"/>
  <c r="B73" i="79"/>
  <c r="J68" i="79"/>
  <c r="F64" i="79"/>
  <c r="J74" i="79"/>
  <c r="O71" i="79"/>
  <c r="M64" i="79"/>
  <c r="I74" i="79"/>
  <c r="N71" i="79"/>
  <c r="O69" i="79"/>
  <c r="O76" i="79"/>
  <c r="L69" i="79"/>
  <c r="K64" i="79"/>
  <c r="N76" i="79"/>
  <c r="E74" i="79"/>
  <c r="D69" i="79"/>
  <c r="C67" i="79"/>
  <c r="J64" i="79"/>
  <c r="D76" i="79"/>
  <c r="D74" i="79"/>
  <c r="J71" i="79"/>
  <c r="B67" i="79"/>
  <c r="I64" i="79"/>
  <c r="B74" i="79"/>
  <c r="I71" i="79"/>
  <c r="B69" i="79"/>
  <c r="H64" i="79"/>
  <c r="M68" i="79"/>
  <c r="M72" i="79"/>
  <c r="B76" i="79"/>
  <c r="H275" i="81"/>
  <c r="J280" i="81"/>
  <c r="H169" i="83"/>
  <c r="F177" i="83"/>
  <c r="O184" i="83"/>
  <c r="G412" i="83"/>
  <c r="AB39" i="86"/>
  <c r="J39" i="86"/>
  <c r="G234" i="91"/>
  <c r="N248" i="91"/>
  <c r="C518" i="97"/>
  <c r="H421" i="97"/>
  <c r="C522" i="97"/>
  <c r="B119" i="97"/>
  <c r="C526" i="97"/>
  <c r="H485" i="97"/>
  <c r="B203" i="97"/>
  <c r="B35" i="97"/>
  <c r="E74" i="101"/>
  <c r="A92" i="101" s="1"/>
  <c r="E82" i="101"/>
  <c r="D12" i="111"/>
  <c r="AB23" i="110"/>
  <c r="M39" i="110"/>
  <c r="L39" i="110"/>
  <c r="B46" i="67"/>
  <c r="F43" i="67"/>
  <c r="B42" i="67"/>
  <c r="J40" i="67"/>
  <c r="B130" i="67"/>
  <c r="F127" i="67"/>
  <c r="B126" i="67"/>
  <c r="J124" i="67"/>
  <c r="B122" i="67"/>
  <c r="J120" i="67"/>
  <c r="F215" i="67"/>
  <c r="F211" i="67"/>
  <c r="J208" i="67"/>
  <c r="F207" i="67"/>
  <c r="J204" i="67"/>
  <c r="M37" i="67"/>
  <c r="B120" i="67"/>
  <c r="G121" i="67"/>
  <c r="E124" i="67"/>
  <c r="J125" i="67"/>
  <c r="H128" i="67"/>
  <c r="G131" i="67"/>
  <c r="G162" i="67"/>
  <c r="L163" i="67"/>
  <c r="E165" i="67"/>
  <c r="K166" i="67"/>
  <c r="D168" i="67"/>
  <c r="I169" i="67"/>
  <c r="B171" i="67"/>
  <c r="G172" i="67"/>
  <c r="G213" i="67"/>
  <c r="H376" i="67"/>
  <c r="D426" i="69"/>
  <c r="H362" i="69"/>
  <c r="AA15" i="70"/>
  <c r="D6" i="71"/>
  <c r="H6" i="71" s="1"/>
  <c r="J28" i="70"/>
  <c r="E9" i="71"/>
  <c r="D427" i="71"/>
  <c r="D71" i="71"/>
  <c r="F74" i="71" s="1"/>
  <c r="H370" i="71"/>
  <c r="G255" i="71"/>
  <c r="D431" i="71"/>
  <c r="J35" i="72"/>
  <c r="C429" i="73"/>
  <c r="B113" i="73"/>
  <c r="F93" i="73"/>
  <c r="D100" i="73"/>
  <c r="D102" i="73"/>
  <c r="J104" i="73"/>
  <c r="C107" i="73"/>
  <c r="C109" i="73"/>
  <c r="E235" i="73"/>
  <c r="A265" i="73" s="1"/>
  <c r="H488" i="75"/>
  <c r="D533" i="75"/>
  <c r="D171" i="75"/>
  <c r="F174" i="75" s="1"/>
  <c r="G332" i="75"/>
  <c r="G11" i="77"/>
  <c r="H519" i="77"/>
  <c r="C263" i="77"/>
  <c r="F265" i="77" s="1"/>
  <c r="H10" i="79"/>
  <c r="J34" i="78"/>
  <c r="K34" i="78" s="1"/>
  <c r="N68" i="79"/>
  <c r="N72" i="79"/>
  <c r="I275" i="81"/>
  <c r="K280" i="81"/>
  <c r="I41" i="82"/>
  <c r="K41" i="82" s="1"/>
  <c r="H535" i="83"/>
  <c r="E37" i="83"/>
  <c r="F41" i="83" s="1"/>
  <c r="H599" i="83"/>
  <c r="E237" i="83"/>
  <c r="F241" i="83" s="1"/>
  <c r="H631" i="83"/>
  <c r="E337" i="83"/>
  <c r="F341" i="83" s="1"/>
  <c r="I169" i="83"/>
  <c r="H177" i="83"/>
  <c r="AB12" i="86"/>
  <c r="F8" i="87"/>
  <c r="J30" i="86"/>
  <c r="K30" i="86" s="1"/>
  <c r="AA18" i="96"/>
  <c r="E10" i="97"/>
  <c r="G10" i="97" s="1"/>
  <c r="I32" i="96"/>
  <c r="H454" i="97"/>
  <c r="C119" i="97"/>
  <c r="F121" i="97" s="1"/>
  <c r="C203" i="97"/>
  <c r="F205" i="97" s="1"/>
  <c r="H486" i="97"/>
  <c r="M42" i="110"/>
  <c r="L42" i="110"/>
  <c r="H353" i="71"/>
  <c r="D426" i="71"/>
  <c r="E330" i="79"/>
  <c r="E314" i="79"/>
  <c r="A348" i="79" s="1"/>
  <c r="J31" i="78"/>
  <c r="F9" i="79"/>
  <c r="F528" i="79"/>
  <c r="C102" i="79"/>
  <c r="F104" i="79" s="1"/>
  <c r="H463" i="79"/>
  <c r="R344" i="79"/>
  <c r="G326" i="79"/>
  <c r="T431" i="81"/>
  <c r="G411" i="81"/>
  <c r="I42" i="80"/>
  <c r="K42" i="80" s="1"/>
  <c r="AA48" i="80"/>
  <c r="F640" i="81"/>
  <c r="D134" i="81"/>
  <c r="D133" i="81"/>
  <c r="D132" i="81"/>
  <c r="D131" i="81"/>
  <c r="D130" i="81"/>
  <c r="D129" i="81"/>
  <c r="D128" i="81"/>
  <c r="D127" i="81"/>
  <c r="D126" i="81"/>
  <c r="D125" i="81"/>
  <c r="D124" i="81"/>
  <c r="D123" i="81"/>
  <c r="D122" i="81"/>
  <c r="D121" i="81"/>
  <c r="D120" i="81"/>
  <c r="D119" i="81"/>
  <c r="C134" i="81"/>
  <c r="C133" i="81"/>
  <c r="C132" i="81"/>
  <c r="C131" i="81"/>
  <c r="C130" i="81"/>
  <c r="C129" i="81"/>
  <c r="C128" i="81"/>
  <c r="C127" i="81"/>
  <c r="C126" i="81"/>
  <c r="C125" i="81"/>
  <c r="C124" i="81"/>
  <c r="C123" i="81"/>
  <c r="C122" i="81"/>
  <c r="C121" i="81"/>
  <c r="C120" i="81"/>
  <c r="C119" i="81"/>
  <c r="B134" i="81"/>
  <c r="B133" i="81"/>
  <c r="B132" i="81"/>
  <c r="B131" i="81"/>
  <c r="B130" i="81"/>
  <c r="B129" i="81"/>
  <c r="B128" i="81"/>
  <c r="B127" i="81"/>
  <c r="B126" i="81"/>
  <c r="B125" i="81"/>
  <c r="B124" i="81"/>
  <c r="B123" i="81"/>
  <c r="B122" i="81"/>
  <c r="B121" i="81"/>
  <c r="B120" i="81"/>
  <c r="B119" i="81"/>
  <c r="F113" i="81"/>
  <c r="Q134" i="81"/>
  <c r="Q133" i="81"/>
  <c r="Q132" i="81"/>
  <c r="Q131" i="81"/>
  <c r="Q130" i="81"/>
  <c r="Q129" i="81"/>
  <c r="Q128" i="81"/>
  <c r="Q127" i="81"/>
  <c r="Q126" i="81"/>
  <c r="Q125" i="81"/>
  <c r="Q124" i="81"/>
  <c r="Q123" i="81"/>
  <c r="Q122" i="81"/>
  <c r="Q121" i="81"/>
  <c r="Q120" i="81"/>
  <c r="Q119" i="81"/>
  <c r="P134" i="81"/>
  <c r="P133" i="81"/>
  <c r="P132" i="81"/>
  <c r="P131" i="81"/>
  <c r="P130" i="81"/>
  <c r="P129" i="81"/>
  <c r="P128" i="81"/>
  <c r="P127" i="81"/>
  <c r="P126" i="81"/>
  <c r="P125" i="81"/>
  <c r="P124" i="81"/>
  <c r="P123" i="81"/>
  <c r="P122" i="81"/>
  <c r="P121" i="81"/>
  <c r="P120" i="81"/>
  <c r="P119" i="81"/>
  <c r="L134" i="81"/>
  <c r="L133" i="81"/>
  <c r="L132" i="81"/>
  <c r="L131" i="81"/>
  <c r="L130" i="81"/>
  <c r="L129" i="81"/>
  <c r="L128" i="81"/>
  <c r="L127" i="81"/>
  <c r="L126" i="81"/>
  <c r="L125" i="81"/>
  <c r="L124" i="81"/>
  <c r="L123" i="81"/>
  <c r="L122" i="81"/>
  <c r="L121" i="81"/>
  <c r="L120" i="81"/>
  <c r="L119" i="81"/>
  <c r="G134" i="81"/>
  <c r="K132" i="81"/>
  <c r="E131" i="81"/>
  <c r="I129" i="81"/>
  <c r="N127" i="81"/>
  <c r="G126" i="81"/>
  <c r="K124" i="81"/>
  <c r="E123" i="81"/>
  <c r="I121" i="81"/>
  <c r="N119" i="81"/>
  <c r="F134" i="81"/>
  <c r="J132" i="81"/>
  <c r="O130" i="81"/>
  <c r="H129" i="81"/>
  <c r="M127" i="81"/>
  <c r="F126" i="81"/>
  <c r="J124" i="81"/>
  <c r="O122" i="81"/>
  <c r="H121" i="81"/>
  <c r="M119" i="81"/>
  <c r="E134" i="81"/>
  <c r="I132" i="81"/>
  <c r="N130" i="81"/>
  <c r="G129" i="81"/>
  <c r="E126" i="81"/>
  <c r="I124" i="81"/>
  <c r="N122" i="81"/>
  <c r="G121" i="81"/>
  <c r="K119" i="81"/>
  <c r="O133" i="81"/>
  <c r="H132" i="81"/>
  <c r="M130" i="81"/>
  <c r="F129" i="81"/>
  <c r="O125" i="81"/>
  <c r="H124" i="81"/>
  <c r="M122" i="81"/>
  <c r="F121" i="81"/>
  <c r="J119" i="81"/>
  <c r="N133" i="81"/>
  <c r="G132" i="81"/>
  <c r="K130" i="81"/>
  <c r="E129" i="81"/>
  <c r="N125" i="81"/>
  <c r="G124" i="81"/>
  <c r="K122" i="81"/>
  <c r="E121" i="81"/>
  <c r="I119" i="81"/>
  <c r="M133" i="81"/>
  <c r="F132" i="81"/>
  <c r="J130" i="81"/>
  <c r="O128" i="81"/>
  <c r="M125" i="81"/>
  <c r="F124" i="81"/>
  <c r="J122" i="81"/>
  <c r="O120" i="81"/>
  <c r="H119" i="81"/>
  <c r="I134" i="81"/>
  <c r="K131" i="81"/>
  <c r="N128" i="81"/>
  <c r="N123" i="81"/>
  <c r="K121" i="81"/>
  <c r="H134" i="81"/>
  <c r="J131" i="81"/>
  <c r="M128" i="81"/>
  <c r="M123" i="81"/>
  <c r="J121" i="81"/>
  <c r="K133" i="81"/>
  <c r="I131" i="81"/>
  <c r="K123" i="81"/>
  <c r="N120" i="81"/>
  <c r="J133" i="81"/>
  <c r="H131" i="81"/>
  <c r="J123" i="81"/>
  <c r="M120" i="81"/>
  <c r="I133" i="81"/>
  <c r="G131" i="81"/>
  <c r="I123" i="81"/>
  <c r="K120" i="81"/>
  <c r="O132" i="81"/>
  <c r="F130" i="81"/>
  <c r="O127" i="81"/>
  <c r="F125" i="81"/>
  <c r="H122" i="81"/>
  <c r="F120" i="81"/>
  <c r="E122" i="81"/>
  <c r="E130" i="81"/>
  <c r="K134" i="81"/>
  <c r="H541" i="83"/>
  <c r="C62" i="83"/>
  <c r="M78" i="83" s="1"/>
  <c r="F276" i="85"/>
  <c r="F150" i="87"/>
  <c r="AB39" i="88"/>
  <c r="J39" i="88"/>
  <c r="G235" i="91"/>
  <c r="E307" i="97"/>
  <c r="A337" i="97" s="1"/>
  <c r="E321" i="97"/>
  <c r="E7" i="97"/>
  <c r="G7" i="97" s="1"/>
  <c r="I29" i="96"/>
  <c r="AA9" i="96"/>
  <c r="F496" i="99"/>
  <c r="AB21" i="70"/>
  <c r="E11" i="71"/>
  <c r="G11" i="71" s="1"/>
  <c r="AB14" i="72"/>
  <c r="H371" i="73"/>
  <c r="G323" i="75"/>
  <c r="G333" i="75"/>
  <c r="C531" i="75"/>
  <c r="H470" i="75"/>
  <c r="J224" i="75"/>
  <c r="B226" i="75"/>
  <c r="F227" i="75"/>
  <c r="J228" i="75"/>
  <c r="N229" i="75"/>
  <c r="D231" i="75"/>
  <c r="H232" i="75"/>
  <c r="L233" i="75"/>
  <c r="C235" i="75"/>
  <c r="G236" i="75"/>
  <c r="E317" i="75"/>
  <c r="A351" i="75" s="1"/>
  <c r="H6" i="76"/>
  <c r="J6" i="76" s="1"/>
  <c r="AA21" i="76"/>
  <c r="C13" i="77"/>
  <c r="G13" i="77" s="1"/>
  <c r="AA26" i="76"/>
  <c r="J41" i="76"/>
  <c r="E331" i="79"/>
  <c r="E315" i="79"/>
  <c r="A349" i="79" s="1"/>
  <c r="N16" i="79"/>
  <c r="A518" i="79" s="1"/>
  <c r="F537" i="79"/>
  <c r="D530" i="79"/>
  <c r="H464" i="79"/>
  <c r="G329" i="79"/>
  <c r="R347" i="79"/>
  <c r="D18" i="81"/>
  <c r="H18" i="81" s="1"/>
  <c r="AB41" i="80"/>
  <c r="J40" i="80"/>
  <c r="F122" i="81"/>
  <c r="M126" i="81"/>
  <c r="G130" i="81"/>
  <c r="M134" i="81"/>
  <c r="O197" i="81"/>
  <c r="P201" i="81"/>
  <c r="F92" i="85"/>
  <c r="E87" i="93"/>
  <c r="M31" i="98"/>
  <c r="L31" i="98"/>
  <c r="I28" i="70"/>
  <c r="E257" i="71"/>
  <c r="M224" i="75"/>
  <c r="C226" i="75"/>
  <c r="G227" i="75"/>
  <c r="K228" i="75"/>
  <c r="O229" i="75"/>
  <c r="E231" i="75"/>
  <c r="I232" i="75"/>
  <c r="M233" i="75"/>
  <c r="D235" i="75"/>
  <c r="H236" i="75"/>
  <c r="AB21" i="76"/>
  <c r="D13" i="77"/>
  <c r="AB26" i="76"/>
  <c r="I37" i="76"/>
  <c r="K37" i="76" s="1"/>
  <c r="N15" i="77"/>
  <c r="A510" i="77" s="1"/>
  <c r="L76" i="77"/>
  <c r="N69" i="77"/>
  <c r="F57" i="77"/>
  <c r="I75" i="77"/>
  <c r="F74" i="77"/>
  <c r="K70" i="77"/>
  <c r="H69" i="77"/>
  <c r="K76" i="77"/>
  <c r="M71" i="77"/>
  <c r="J70" i="77"/>
  <c r="L65" i="77"/>
  <c r="I64" i="77"/>
  <c r="F63" i="77"/>
  <c r="J76" i="77"/>
  <c r="G75" i="77"/>
  <c r="N66" i="77"/>
  <c r="K71" i="77"/>
  <c r="H70" i="77"/>
  <c r="B68" i="77"/>
  <c r="G64" i="77"/>
  <c r="J71" i="77"/>
  <c r="O67" i="77"/>
  <c r="L66" i="77"/>
  <c r="G76" i="77"/>
  <c r="O73" i="77"/>
  <c r="L72" i="77"/>
  <c r="I71" i="77"/>
  <c r="F70" i="77"/>
  <c r="K75" i="77"/>
  <c r="I67" i="77"/>
  <c r="L69" i="77"/>
  <c r="O71" i="77"/>
  <c r="O75" i="77"/>
  <c r="D528" i="77"/>
  <c r="E316" i="79"/>
  <c r="A350" i="79" s="1"/>
  <c r="E332" i="79"/>
  <c r="H495" i="79"/>
  <c r="E18" i="81"/>
  <c r="G18" i="81" s="1"/>
  <c r="AA42" i="80"/>
  <c r="H10" i="81"/>
  <c r="I13" i="81"/>
  <c r="H549" i="81"/>
  <c r="C87" i="81"/>
  <c r="F89" i="81" s="1"/>
  <c r="G209" i="81"/>
  <c r="E206" i="81"/>
  <c r="N204" i="81"/>
  <c r="B203" i="81"/>
  <c r="G201" i="81"/>
  <c r="P199" i="81"/>
  <c r="E198" i="81"/>
  <c r="N196" i="81"/>
  <c r="B195" i="81"/>
  <c r="F189" i="81"/>
  <c r="F209" i="81"/>
  <c r="C206" i="81"/>
  <c r="M204" i="81"/>
  <c r="Q202" i="81"/>
  <c r="F201" i="81"/>
  <c r="O199" i="81"/>
  <c r="C198" i="81"/>
  <c r="M196" i="81"/>
  <c r="Q194" i="81"/>
  <c r="E209" i="81"/>
  <c r="B206" i="81"/>
  <c r="G204" i="81"/>
  <c r="P202" i="81"/>
  <c r="E201" i="81"/>
  <c r="N199" i="81"/>
  <c r="B198" i="81"/>
  <c r="G196" i="81"/>
  <c r="P194" i="81"/>
  <c r="C209" i="81"/>
  <c r="M207" i="81"/>
  <c r="Q205" i="81"/>
  <c r="F204" i="81"/>
  <c r="O202" i="81"/>
  <c r="C201" i="81"/>
  <c r="M199" i="81"/>
  <c r="Q197" i="81"/>
  <c r="F196" i="81"/>
  <c r="O194" i="81"/>
  <c r="B209" i="81"/>
  <c r="G207" i="81"/>
  <c r="P205" i="81"/>
  <c r="E204" i="81"/>
  <c r="N202" i="81"/>
  <c r="B201" i="81"/>
  <c r="G199" i="81"/>
  <c r="P197" i="81"/>
  <c r="E196" i="81"/>
  <c r="N194" i="81"/>
  <c r="B208" i="81"/>
  <c r="E205" i="81"/>
  <c r="G202" i="81"/>
  <c r="E200" i="81"/>
  <c r="G197" i="81"/>
  <c r="E195" i="81"/>
  <c r="F207" i="81"/>
  <c r="C205" i="81"/>
  <c r="F202" i="81"/>
  <c r="C200" i="81"/>
  <c r="F197" i="81"/>
  <c r="M194" i="81"/>
  <c r="E207" i="81"/>
  <c r="B205" i="81"/>
  <c r="E202" i="81"/>
  <c r="B200" i="81"/>
  <c r="E197" i="81"/>
  <c r="G194" i="81"/>
  <c r="C207" i="81"/>
  <c r="Q204" i="81"/>
  <c r="C202" i="81"/>
  <c r="F199" i="81"/>
  <c r="C197" i="81"/>
  <c r="F194" i="81"/>
  <c r="B207" i="81"/>
  <c r="P204" i="81"/>
  <c r="B202" i="81"/>
  <c r="E199" i="81"/>
  <c r="B197" i="81"/>
  <c r="E194" i="81"/>
  <c r="M206" i="81"/>
  <c r="O203" i="81"/>
  <c r="Q200" i="81"/>
  <c r="O198" i="81"/>
  <c r="Q195" i="81"/>
  <c r="H613" i="81"/>
  <c r="C287" i="81"/>
  <c r="F289" i="81" s="1"/>
  <c r="G122" i="81"/>
  <c r="N126" i="81"/>
  <c r="H130" i="81"/>
  <c r="N134" i="81"/>
  <c r="G198" i="81"/>
  <c r="Q201" i="81"/>
  <c r="G206" i="81"/>
  <c r="G410" i="81"/>
  <c r="T430" i="81"/>
  <c r="E141" i="87"/>
  <c r="A163" i="87" s="1"/>
  <c r="E151" i="87"/>
  <c r="AA24" i="86"/>
  <c r="I34" i="86"/>
  <c r="K34" i="86" s="1"/>
  <c r="G7" i="87"/>
  <c r="H241" i="87"/>
  <c r="D274" i="87"/>
  <c r="D57" i="87"/>
  <c r="H406" i="93"/>
  <c r="B54" i="93"/>
  <c r="H438" i="93"/>
  <c r="B138" i="93"/>
  <c r="C492" i="93"/>
  <c r="B222" i="93"/>
  <c r="C496" i="93"/>
  <c r="H470" i="93"/>
  <c r="I42" i="94"/>
  <c r="K42" i="94" s="1"/>
  <c r="AA48" i="94"/>
  <c r="M28" i="98"/>
  <c r="L28" i="98"/>
  <c r="C490" i="99"/>
  <c r="H422" i="99"/>
  <c r="B96" i="99"/>
  <c r="H454" i="99"/>
  <c r="C494" i="99"/>
  <c r="B180" i="99"/>
  <c r="F34" i="99"/>
  <c r="D8" i="103"/>
  <c r="J30" i="102"/>
  <c r="AB11" i="102"/>
  <c r="F34" i="103"/>
  <c r="F114" i="111"/>
  <c r="I213" i="111"/>
  <c r="E212" i="111"/>
  <c r="M210" i="111"/>
  <c r="I209" i="111"/>
  <c r="E208" i="111"/>
  <c r="I205" i="111"/>
  <c r="E204" i="111"/>
  <c r="H213" i="111"/>
  <c r="D212" i="111"/>
  <c r="L210" i="111"/>
  <c r="H209" i="111"/>
  <c r="D208" i="111"/>
  <c r="H205" i="111"/>
  <c r="D204" i="111"/>
  <c r="K214" i="111"/>
  <c r="G213" i="111"/>
  <c r="C212" i="111"/>
  <c r="K210" i="111"/>
  <c r="G209" i="111"/>
  <c r="C208" i="111"/>
  <c r="K206" i="111"/>
  <c r="G205" i="111"/>
  <c r="C204" i="111"/>
  <c r="I214" i="111"/>
  <c r="E213" i="111"/>
  <c r="M211" i="111"/>
  <c r="I210" i="111"/>
  <c r="E209" i="111"/>
  <c r="I206" i="111"/>
  <c r="E205" i="111"/>
  <c r="K215" i="111"/>
  <c r="C214" i="111"/>
  <c r="G212" i="111"/>
  <c r="G210" i="111"/>
  <c r="K208" i="111"/>
  <c r="C207" i="111"/>
  <c r="C205" i="111"/>
  <c r="F215" i="111"/>
  <c r="F213" i="111"/>
  <c r="H211" i="111"/>
  <c r="K209" i="111"/>
  <c r="J207" i="111"/>
  <c r="M205" i="111"/>
  <c r="J214" i="111"/>
  <c r="L212" i="111"/>
  <c r="C211" i="111"/>
  <c r="B209" i="111"/>
  <c r="D205" i="111"/>
  <c r="B214" i="111"/>
  <c r="K211" i="111"/>
  <c r="L209" i="111"/>
  <c r="H207" i="111"/>
  <c r="F205" i="111"/>
  <c r="M213" i="111"/>
  <c r="J211" i="111"/>
  <c r="J209" i="111"/>
  <c r="G207" i="111"/>
  <c r="B205" i="111"/>
  <c r="L213" i="111"/>
  <c r="I211" i="111"/>
  <c r="F209" i="111"/>
  <c r="F207" i="111"/>
  <c r="M204" i="111"/>
  <c r="J215" i="111"/>
  <c r="K213" i="111"/>
  <c r="G211" i="111"/>
  <c r="D209" i="111"/>
  <c r="L204" i="111"/>
  <c r="F198" i="111"/>
  <c r="I215" i="111"/>
  <c r="J213" i="111"/>
  <c r="F211" i="111"/>
  <c r="C209" i="111"/>
  <c r="B207" i="111"/>
  <c r="K204" i="111"/>
  <c r="C215" i="111"/>
  <c r="K212" i="111"/>
  <c r="H210" i="111"/>
  <c r="H208" i="111"/>
  <c r="F204" i="111"/>
  <c r="F210" i="111"/>
  <c r="J206" i="111"/>
  <c r="E210" i="111"/>
  <c r="H206" i="111"/>
  <c r="D213" i="111"/>
  <c r="D210" i="111"/>
  <c r="G206" i="111"/>
  <c r="C213" i="111"/>
  <c r="C210" i="111"/>
  <c r="F206" i="111"/>
  <c r="H215" i="111"/>
  <c r="H212" i="111"/>
  <c r="J208" i="111"/>
  <c r="K205" i="111"/>
  <c r="F214" i="111"/>
  <c r="J210" i="111"/>
  <c r="I207" i="111"/>
  <c r="B211" i="111"/>
  <c r="J204" i="111"/>
  <c r="G215" i="111"/>
  <c r="B210" i="111"/>
  <c r="I204" i="111"/>
  <c r="M209" i="111"/>
  <c r="H204" i="111"/>
  <c r="H214" i="111"/>
  <c r="I208" i="111"/>
  <c r="L208" i="111"/>
  <c r="G208" i="111"/>
  <c r="F208" i="111"/>
  <c r="B208" i="111"/>
  <c r="B215" i="111"/>
  <c r="G214" i="111"/>
  <c r="K207" i="111"/>
  <c r="M212" i="111"/>
  <c r="J212" i="111"/>
  <c r="I212" i="111"/>
  <c r="F212" i="111"/>
  <c r="B212" i="111"/>
  <c r="M208" i="111"/>
  <c r="C206" i="111"/>
  <c r="B206" i="111"/>
  <c r="L205" i="111"/>
  <c r="J205" i="111"/>
  <c r="E211" i="111"/>
  <c r="C14" i="71"/>
  <c r="G14" i="71" s="1"/>
  <c r="H417" i="71"/>
  <c r="C6" i="75"/>
  <c r="D33" i="75"/>
  <c r="H440" i="75"/>
  <c r="D531" i="75"/>
  <c r="D125" i="75"/>
  <c r="I143" i="75" s="1"/>
  <c r="N224" i="75"/>
  <c r="D226" i="75"/>
  <c r="H227" i="75"/>
  <c r="L228" i="75"/>
  <c r="B230" i="75"/>
  <c r="F231" i="75"/>
  <c r="J232" i="75"/>
  <c r="O233" i="75"/>
  <c r="E235" i="75"/>
  <c r="I236" i="75"/>
  <c r="H446" i="75"/>
  <c r="H503" i="75"/>
  <c r="D535" i="75"/>
  <c r="J63" i="77"/>
  <c r="B72" i="77"/>
  <c r="B76" i="77"/>
  <c r="H438" i="79"/>
  <c r="C527" i="79"/>
  <c r="B125" i="79"/>
  <c r="C531" i="79"/>
  <c r="H470" i="79"/>
  <c r="C535" i="79"/>
  <c r="H502" i="79"/>
  <c r="B217" i="79"/>
  <c r="F646" i="81"/>
  <c r="D87" i="81"/>
  <c r="F90" i="81" s="1"/>
  <c r="D639" i="81"/>
  <c r="H614" i="81"/>
  <c r="D287" i="81"/>
  <c r="F290" i="81" s="1"/>
  <c r="I122" i="81"/>
  <c r="O126" i="81"/>
  <c r="I130" i="81"/>
  <c r="O134" i="81"/>
  <c r="B194" i="81"/>
  <c r="M198" i="81"/>
  <c r="M202" i="81"/>
  <c r="E152" i="87"/>
  <c r="E142" i="87"/>
  <c r="A164" i="87" s="1"/>
  <c r="AB14" i="86"/>
  <c r="D9" i="87"/>
  <c r="G154" i="87"/>
  <c r="C54" i="93"/>
  <c r="F56" i="93" s="1"/>
  <c r="H407" i="93"/>
  <c r="C138" i="93"/>
  <c r="F140" i="93" s="1"/>
  <c r="H439" i="93"/>
  <c r="C222" i="93"/>
  <c r="F224" i="93" s="1"/>
  <c r="H471" i="93"/>
  <c r="G305" i="93"/>
  <c r="P321" i="93"/>
  <c r="F520" i="97"/>
  <c r="I30" i="102"/>
  <c r="E8" i="103"/>
  <c r="AA12" i="102"/>
  <c r="J91" i="103"/>
  <c r="G81" i="103"/>
  <c r="F237" i="75"/>
  <c r="D236" i="75"/>
  <c r="B235" i="75"/>
  <c r="N233" i="75"/>
  <c r="L232" i="75"/>
  <c r="J231" i="75"/>
  <c r="H230" i="75"/>
  <c r="F229" i="75"/>
  <c r="D228" i="75"/>
  <c r="B227" i="75"/>
  <c r="N225" i="75"/>
  <c r="L224" i="75"/>
  <c r="E237" i="75"/>
  <c r="K235" i="75"/>
  <c r="H234" i="75"/>
  <c r="E233" i="75"/>
  <c r="B232" i="75"/>
  <c r="M230" i="75"/>
  <c r="J229" i="75"/>
  <c r="G228" i="75"/>
  <c r="D227" i="75"/>
  <c r="O225" i="75"/>
  <c r="K224" i="75"/>
  <c r="O224" i="75"/>
  <c r="E226" i="75"/>
  <c r="I227" i="75"/>
  <c r="M228" i="75"/>
  <c r="C230" i="75"/>
  <c r="G231" i="75"/>
  <c r="K232" i="75"/>
  <c r="B234" i="75"/>
  <c r="F235" i="75"/>
  <c r="J236" i="75"/>
  <c r="H11" i="77"/>
  <c r="F13" i="77"/>
  <c r="AB27" i="76"/>
  <c r="J35" i="76"/>
  <c r="N9" i="77"/>
  <c r="A462" i="77" s="1"/>
  <c r="H480" i="77"/>
  <c r="D148" i="77"/>
  <c r="F151" i="77" s="1"/>
  <c r="D532" i="77"/>
  <c r="D56" i="77"/>
  <c r="C76" i="77" s="1"/>
  <c r="K63" i="77"/>
  <c r="O65" i="77"/>
  <c r="L67" i="77"/>
  <c r="F218" i="77"/>
  <c r="R344" i="77"/>
  <c r="D7" i="81"/>
  <c r="J29" i="80"/>
  <c r="AB8" i="80"/>
  <c r="I40" i="80"/>
  <c r="E119" i="81"/>
  <c r="F123" i="81"/>
  <c r="E127" i="81"/>
  <c r="F131" i="81"/>
  <c r="C194" i="81"/>
  <c r="N198" i="81"/>
  <c r="E203" i="81"/>
  <c r="I35" i="82"/>
  <c r="AA27" i="82"/>
  <c r="C262" i="83"/>
  <c r="I277" i="83" s="1"/>
  <c r="M37" i="86"/>
  <c r="L37" i="86"/>
  <c r="E14" i="91"/>
  <c r="G14" i="91" s="1"/>
  <c r="I36" i="90"/>
  <c r="AA30" i="90"/>
  <c r="F488" i="93"/>
  <c r="D93" i="93"/>
  <c r="L91" i="93"/>
  <c r="D89" i="93"/>
  <c r="L87" i="93"/>
  <c r="H86" i="93"/>
  <c r="D85" i="93"/>
  <c r="L83" i="93"/>
  <c r="H82" i="93"/>
  <c r="C93" i="93"/>
  <c r="G90" i="93"/>
  <c r="C89" i="93"/>
  <c r="K87" i="93"/>
  <c r="G86" i="93"/>
  <c r="C85" i="93"/>
  <c r="K83" i="93"/>
  <c r="G82" i="93"/>
  <c r="B93" i="93"/>
  <c r="F90" i="93"/>
  <c r="B89" i="93"/>
  <c r="J87" i="93"/>
  <c r="F86" i="93"/>
  <c r="B85" i="93"/>
  <c r="J83" i="93"/>
  <c r="F82" i="93"/>
  <c r="M92" i="93"/>
  <c r="E90" i="93"/>
  <c r="M88" i="93"/>
  <c r="I87" i="93"/>
  <c r="E86" i="93"/>
  <c r="M84" i="93"/>
  <c r="I83" i="93"/>
  <c r="E82" i="93"/>
  <c r="L92" i="93"/>
  <c r="D90" i="93"/>
  <c r="L88" i="93"/>
  <c r="H87" i="93"/>
  <c r="D86" i="93"/>
  <c r="L84" i="93"/>
  <c r="H83" i="93"/>
  <c r="D82" i="93"/>
  <c r="L93" i="93"/>
  <c r="H92" i="93"/>
  <c r="D91" i="93"/>
  <c r="L89" i="93"/>
  <c r="D87" i="93"/>
  <c r="L85" i="93"/>
  <c r="H84" i="93"/>
  <c r="D83" i="93"/>
  <c r="E92" i="93"/>
  <c r="B90" i="93"/>
  <c r="C88" i="93"/>
  <c r="K85" i="93"/>
  <c r="M83" i="93"/>
  <c r="D92" i="93"/>
  <c r="M89" i="93"/>
  <c r="B88" i="93"/>
  <c r="J85" i="93"/>
  <c r="G83" i="93"/>
  <c r="C92" i="93"/>
  <c r="M87" i="93"/>
  <c r="I85" i="93"/>
  <c r="F83" i="93"/>
  <c r="M93" i="93"/>
  <c r="B92" i="93"/>
  <c r="G87" i="93"/>
  <c r="H85" i="93"/>
  <c r="E83" i="93"/>
  <c r="K93" i="93"/>
  <c r="M91" i="93"/>
  <c r="F87" i="93"/>
  <c r="G85" i="93"/>
  <c r="C83" i="93"/>
  <c r="G93" i="93"/>
  <c r="C91" i="93"/>
  <c r="E89" i="93"/>
  <c r="M86" i="93"/>
  <c r="J84" i="93"/>
  <c r="K82" i="93"/>
  <c r="F92" i="93"/>
  <c r="E85" i="93"/>
  <c r="G91" i="93"/>
  <c r="G88" i="93"/>
  <c r="K84" i="93"/>
  <c r="F91" i="93"/>
  <c r="F88" i="93"/>
  <c r="I84" i="93"/>
  <c r="E91" i="93"/>
  <c r="B91" i="93"/>
  <c r="D88" i="93"/>
  <c r="F84" i="93"/>
  <c r="F76" i="93"/>
  <c r="I92" i="93"/>
  <c r="B87" i="93"/>
  <c r="L82" i="93"/>
  <c r="G92" i="93"/>
  <c r="L86" i="93"/>
  <c r="J82" i="93"/>
  <c r="M90" i="93"/>
  <c r="K86" i="93"/>
  <c r="I82" i="93"/>
  <c r="L90" i="93"/>
  <c r="J86" i="93"/>
  <c r="C82" i="93"/>
  <c r="I86" i="93"/>
  <c r="B82" i="93"/>
  <c r="C86" i="93"/>
  <c r="G89" i="93"/>
  <c r="M82" i="93"/>
  <c r="F89" i="93"/>
  <c r="E88" i="93"/>
  <c r="F93" i="93"/>
  <c r="F85" i="93"/>
  <c r="AB24" i="94"/>
  <c r="J34" i="94"/>
  <c r="H247" i="95"/>
  <c r="B74" i="95"/>
  <c r="B204" i="111"/>
  <c r="F427" i="73"/>
  <c r="E194" i="75"/>
  <c r="F198" i="75" s="1"/>
  <c r="B225" i="75"/>
  <c r="F226" i="75"/>
  <c r="J227" i="75"/>
  <c r="N228" i="75"/>
  <c r="D230" i="75"/>
  <c r="H231" i="75"/>
  <c r="M232" i="75"/>
  <c r="C234" i="75"/>
  <c r="G235" i="75"/>
  <c r="K236" i="75"/>
  <c r="B240" i="75"/>
  <c r="H504" i="75"/>
  <c r="G327" i="77"/>
  <c r="F327" i="77"/>
  <c r="K35" i="76"/>
  <c r="C16" i="77"/>
  <c r="AA35" i="76"/>
  <c r="L39" i="76"/>
  <c r="B66" i="77"/>
  <c r="B70" i="77"/>
  <c r="E72" i="77"/>
  <c r="D76" i="77"/>
  <c r="I36" i="78"/>
  <c r="C14" i="79"/>
  <c r="G14" i="79" s="1"/>
  <c r="E305" i="79"/>
  <c r="A339" i="79" s="1"/>
  <c r="E333" i="79"/>
  <c r="E415" i="81"/>
  <c r="E397" i="81"/>
  <c r="A435" i="81" s="1"/>
  <c r="E7" i="81"/>
  <c r="G7" i="81" s="1"/>
  <c r="I29" i="80"/>
  <c r="AA9" i="80"/>
  <c r="C10" i="81"/>
  <c r="AA17" i="80"/>
  <c r="E16" i="81"/>
  <c r="G16" i="81" s="1"/>
  <c r="AA36" i="80"/>
  <c r="J13" i="81"/>
  <c r="C640" i="81"/>
  <c r="H556" i="81"/>
  <c r="H588" i="81"/>
  <c r="B212" i="81"/>
  <c r="C648" i="81"/>
  <c r="H620" i="81"/>
  <c r="F119" i="81"/>
  <c r="G123" i="81"/>
  <c r="F127" i="81"/>
  <c r="M131" i="81"/>
  <c r="F195" i="81"/>
  <c r="P198" i="81"/>
  <c r="F203" i="81"/>
  <c r="E408" i="83"/>
  <c r="E390" i="83"/>
  <c r="A428" i="83" s="1"/>
  <c r="F6" i="82"/>
  <c r="H6" i="82" s="1"/>
  <c r="J6" i="82" s="1"/>
  <c r="AA26" i="82"/>
  <c r="M29" i="82"/>
  <c r="L29" i="82"/>
  <c r="J35" i="82"/>
  <c r="E144" i="85"/>
  <c r="A166" i="85" s="1"/>
  <c r="E154" i="85"/>
  <c r="I30" i="84"/>
  <c r="AA12" i="84"/>
  <c r="J92" i="93"/>
  <c r="M34" i="94"/>
  <c r="L34" i="94"/>
  <c r="K11" i="95"/>
  <c r="D70" i="95"/>
  <c r="I66" i="95"/>
  <c r="B70" i="95"/>
  <c r="H66" i="95"/>
  <c r="I69" i="95"/>
  <c r="B66" i="95"/>
  <c r="F59" i="95"/>
  <c r="H69" i="95"/>
  <c r="I65" i="95"/>
  <c r="H65" i="95"/>
  <c r="H71" i="95"/>
  <c r="F71" i="95"/>
  <c r="D71" i="95"/>
  <c r="H64" i="95"/>
  <c r="F70" i="95"/>
  <c r="E70" i="95"/>
  <c r="D67" i="95"/>
  <c r="C67" i="95"/>
  <c r="B67" i="95"/>
  <c r="D65" i="95"/>
  <c r="H67" i="95"/>
  <c r="F67" i="95"/>
  <c r="F75" i="105"/>
  <c r="B83" i="105"/>
  <c r="G204" i="111"/>
  <c r="J29" i="76"/>
  <c r="K29" i="76" s="1"/>
  <c r="R346" i="79"/>
  <c r="F7" i="79"/>
  <c r="H7" i="79" s="1"/>
  <c r="AB9" i="78"/>
  <c r="I33" i="78"/>
  <c r="C11" i="79"/>
  <c r="G11" i="79" s="1"/>
  <c r="G328" i="79"/>
  <c r="AB48" i="84"/>
  <c r="J42" i="84"/>
  <c r="AA15" i="86"/>
  <c r="E9" i="87"/>
  <c r="G9" i="87" s="1"/>
  <c r="I31" i="86"/>
  <c r="G214" i="89"/>
  <c r="N228" i="89"/>
  <c r="AA30" i="88"/>
  <c r="I36" i="88"/>
  <c r="K36" i="88" s="1"/>
  <c r="G13" i="89"/>
  <c r="E118" i="89"/>
  <c r="C115" i="89"/>
  <c r="G113" i="89"/>
  <c r="K111" i="89"/>
  <c r="E110" i="89"/>
  <c r="D118" i="89"/>
  <c r="B115" i="89"/>
  <c r="F113" i="89"/>
  <c r="J111" i="89"/>
  <c r="D110" i="89"/>
  <c r="C118" i="89"/>
  <c r="G116" i="89"/>
  <c r="K114" i="89"/>
  <c r="E113" i="89"/>
  <c r="I111" i="89"/>
  <c r="C110" i="89"/>
  <c r="B118" i="89"/>
  <c r="F116" i="89"/>
  <c r="J114" i="89"/>
  <c r="D113" i="89"/>
  <c r="H111" i="89"/>
  <c r="B110" i="89"/>
  <c r="F104" i="89"/>
  <c r="G119" i="89"/>
  <c r="E116" i="89"/>
  <c r="I114" i="89"/>
  <c r="C113" i="89"/>
  <c r="G111" i="89"/>
  <c r="C119" i="89"/>
  <c r="G117" i="89"/>
  <c r="K115" i="89"/>
  <c r="E114" i="89"/>
  <c r="I112" i="89"/>
  <c r="C111" i="89"/>
  <c r="F117" i="89"/>
  <c r="D115" i="89"/>
  <c r="F112" i="89"/>
  <c r="E117" i="89"/>
  <c r="H114" i="89"/>
  <c r="E112" i="89"/>
  <c r="D117" i="89"/>
  <c r="G114" i="89"/>
  <c r="D112" i="89"/>
  <c r="F119" i="89"/>
  <c r="C117" i="89"/>
  <c r="F114" i="89"/>
  <c r="C112" i="89"/>
  <c r="E119" i="89"/>
  <c r="B117" i="89"/>
  <c r="D114" i="89"/>
  <c r="B112" i="89"/>
  <c r="C116" i="89"/>
  <c r="J113" i="89"/>
  <c r="B111" i="89"/>
  <c r="H113" i="89"/>
  <c r="B113" i="89"/>
  <c r="K112" i="89"/>
  <c r="D116" i="89"/>
  <c r="H112" i="89"/>
  <c r="I115" i="89"/>
  <c r="I110" i="89"/>
  <c r="H115" i="89"/>
  <c r="H110" i="89"/>
  <c r="G115" i="89"/>
  <c r="G110" i="89"/>
  <c r="F115" i="89"/>
  <c r="F110" i="89"/>
  <c r="E115" i="89"/>
  <c r="D119" i="89"/>
  <c r="C114" i="89"/>
  <c r="AA5" i="90"/>
  <c r="I28" i="90"/>
  <c r="C8" i="103"/>
  <c r="AA11" i="102"/>
  <c r="L28" i="104"/>
  <c r="M28" i="104"/>
  <c r="H225" i="109"/>
  <c r="D243" i="109"/>
  <c r="D72" i="109"/>
  <c r="F75" i="109" s="1"/>
  <c r="G102" i="105"/>
  <c r="G98" i="105"/>
  <c r="F102" i="105"/>
  <c r="F98" i="105"/>
  <c r="E102" i="105"/>
  <c r="E100" i="105"/>
  <c r="E98" i="105"/>
  <c r="E96" i="105"/>
  <c r="D99" i="105"/>
  <c r="I96" i="105"/>
  <c r="I103" i="105"/>
  <c r="C99" i="105"/>
  <c r="H96" i="105"/>
  <c r="F90" i="105"/>
  <c r="H103" i="105"/>
  <c r="E101" i="105"/>
  <c r="B99" i="105"/>
  <c r="D96" i="105"/>
  <c r="E103" i="105"/>
  <c r="D98" i="105"/>
  <c r="D101" i="105"/>
  <c r="I97" i="105"/>
  <c r="H97" i="105"/>
  <c r="I100" i="105"/>
  <c r="H100" i="105"/>
  <c r="G103" i="105"/>
  <c r="D100" i="105"/>
  <c r="E97" i="105"/>
  <c r="F103" i="105"/>
  <c r="D97" i="105"/>
  <c r="D102" i="105"/>
  <c r="C102" i="105"/>
  <c r="B102" i="105"/>
  <c r="I101" i="105"/>
  <c r="H101" i="105"/>
  <c r="G99" i="105"/>
  <c r="I99" i="105"/>
  <c r="H99" i="105"/>
  <c r="F99" i="105"/>
  <c r="E99" i="105"/>
  <c r="I98" i="105"/>
  <c r="H102" i="105"/>
  <c r="H98" i="105"/>
  <c r="C98" i="105"/>
  <c r="B98" i="105"/>
  <c r="D103" i="105"/>
  <c r="C103" i="105"/>
  <c r="B103" i="105"/>
  <c r="I102" i="105"/>
  <c r="C8" i="107"/>
  <c r="AA11" i="106"/>
  <c r="H226" i="109"/>
  <c r="E72" i="109"/>
  <c r="F76" i="109" s="1"/>
  <c r="E393" i="81"/>
  <c r="A431" i="81" s="1"/>
  <c r="G404" i="83"/>
  <c r="H6" i="83"/>
  <c r="G413" i="83"/>
  <c r="T433" i="83"/>
  <c r="M36" i="84"/>
  <c r="L36" i="84"/>
  <c r="G206" i="89"/>
  <c r="L265" i="89" s="1"/>
  <c r="F206" i="89"/>
  <c r="G12" i="89"/>
  <c r="F207" i="89"/>
  <c r="AA23" i="90"/>
  <c r="C12" i="91"/>
  <c r="H334" i="91"/>
  <c r="D391" i="91"/>
  <c r="D67" i="91"/>
  <c r="D143" i="91"/>
  <c r="G151" i="91" s="1"/>
  <c r="H366" i="91"/>
  <c r="D490" i="93"/>
  <c r="H424" i="93"/>
  <c r="D96" i="93"/>
  <c r="F99" i="93" s="1"/>
  <c r="D494" i="93"/>
  <c r="J11" i="95"/>
  <c r="P339" i="97"/>
  <c r="J36" i="98"/>
  <c r="D14" i="99"/>
  <c r="H14" i="99" s="1"/>
  <c r="AB29" i="98"/>
  <c r="G412" i="81"/>
  <c r="E6" i="81"/>
  <c r="I28" i="80"/>
  <c r="E394" i="81"/>
  <c r="A432" i="81" s="1"/>
  <c r="T425" i="83"/>
  <c r="G405" i="83"/>
  <c r="J39" i="82"/>
  <c r="E112" i="83"/>
  <c r="F116" i="83" s="1"/>
  <c r="H559" i="83"/>
  <c r="E386" i="83"/>
  <c r="A424" i="83" s="1"/>
  <c r="B74" i="87"/>
  <c r="H247" i="87"/>
  <c r="E57" i="87"/>
  <c r="M28" i="88"/>
  <c r="L28" i="88"/>
  <c r="G8" i="91"/>
  <c r="I11" i="91"/>
  <c r="H335" i="91"/>
  <c r="E67" i="91"/>
  <c r="G79" i="91" s="1"/>
  <c r="H10" i="93"/>
  <c r="H425" i="93"/>
  <c r="E96" i="93"/>
  <c r="F100" i="93" s="1"/>
  <c r="F8" i="95"/>
  <c r="H8" i="95" s="1"/>
  <c r="AB12" i="94"/>
  <c r="M36" i="94"/>
  <c r="L36" i="94"/>
  <c r="I36" i="98"/>
  <c r="E14" i="99"/>
  <c r="G14" i="99" s="1"/>
  <c r="AA30" i="98"/>
  <c r="I40" i="100"/>
  <c r="K40" i="100" s="1"/>
  <c r="AA42" i="100"/>
  <c r="F51" i="103"/>
  <c r="D57" i="103"/>
  <c r="B57" i="103"/>
  <c r="F56" i="103"/>
  <c r="D54" i="103"/>
  <c r="E59" i="103"/>
  <c r="E58" i="103"/>
  <c r="D59" i="103"/>
  <c r="E56" i="103"/>
  <c r="C56" i="103"/>
  <c r="F121" i="107"/>
  <c r="F6" i="111"/>
  <c r="H6" i="111" s="1"/>
  <c r="J28" i="110"/>
  <c r="AB6" i="110"/>
  <c r="H357" i="111"/>
  <c r="C423" i="111"/>
  <c r="B50" i="111"/>
  <c r="C427" i="111"/>
  <c r="H389" i="111"/>
  <c r="B134" i="111"/>
  <c r="K46" i="111"/>
  <c r="G45" i="111"/>
  <c r="C44" i="111"/>
  <c r="K42" i="111"/>
  <c r="G41" i="111"/>
  <c r="C40" i="111"/>
  <c r="K38" i="111"/>
  <c r="G37" i="111"/>
  <c r="M47" i="111"/>
  <c r="I46" i="111"/>
  <c r="E45" i="111"/>
  <c r="M43" i="111"/>
  <c r="I42" i="111"/>
  <c r="E41" i="111"/>
  <c r="M39" i="111"/>
  <c r="I38" i="111"/>
  <c r="E47" i="111"/>
  <c r="K45" i="111"/>
  <c r="E44" i="111"/>
  <c r="J42" i="111"/>
  <c r="C41" i="111"/>
  <c r="I39" i="111"/>
  <c r="I36" i="111"/>
  <c r="M46" i="111"/>
  <c r="D45" i="111"/>
  <c r="I43" i="111"/>
  <c r="B42" i="111"/>
  <c r="G40" i="111"/>
  <c r="L38" i="111"/>
  <c r="L46" i="111"/>
  <c r="C45" i="111"/>
  <c r="H43" i="111"/>
  <c r="M41" i="111"/>
  <c r="F40" i="111"/>
  <c r="J38" i="111"/>
  <c r="J46" i="111"/>
  <c r="B45" i="111"/>
  <c r="G43" i="111"/>
  <c r="L41" i="111"/>
  <c r="E40" i="111"/>
  <c r="H38" i="111"/>
  <c r="M36" i="111"/>
  <c r="H46" i="111"/>
  <c r="M44" i="111"/>
  <c r="F43" i="111"/>
  <c r="K41" i="111"/>
  <c r="D40" i="111"/>
  <c r="G38" i="111"/>
  <c r="L36" i="111"/>
  <c r="G46" i="111"/>
  <c r="L44" i="111"/>
  <c r="E43" i="111"/>
  <c r="J41" i="111"/>
  <c r="B40" i="111"/>
  <c r="F38" i="111"/>
  <c r="K36" i="111"/>
  <c r="I47" i="111"/>
  <c r="B46" i="111"/>
  <c r="G44" i="111"/>
  <c r="L42" i="111"/>
  <c r="B41" i="111"/>
  <c r="G39" i="111"/>
  <c r="L37" i="111"/>
  <c r="J47" i="111"/>
  <c r="F45" i="111"/>
  <c r="G42" i="111"/>
  <c r="K39" i="111"/>
  <c r="H37" i="111"/>
  <c r="F30" i="111"/>
  <c r="H47" i="111"/>
  <c r="K44" i="111"/>
  <c r="F42" i="111"/>
  <c r="J39" i="111"/>
  <c r="F37" i="111"/>
  <c r="G47" i="111"/>
  <c r="J44" i="111"/>
  <c r="E42" i="111"/>
  <c r="H39" i="111"/>
  <c r="F47" i="111"/>
  <c r="I44" i="111"/>
  <c r="D42" i="111"/>
  <c r="F39" i="111"/>
  <c r="J36" i="111"/>
  <c r="E46" i="111"/>
  <c r="L43" i="111"/>
  <c r="D41" i="111"/>
  <c r="M38" i="111"/>
  <c r="L45" i="111"/>
  <c r="I41" i="111"/>
  <c r="J45" i="111"/>
  <c r="H41" i="111"/>
  <c r="M37" i="111"/>
  <c r="I45" i="111"/>
  <c r="F41" i="111"/>
  <c r="K37" i="111"/>
  <c r="F44" i="111"/>
  <c r="K40" i="111"/>
  <c r="H36" i="111"/>
  <c r="H44" i="111"/>
  <c r="L39" i="111"/>
  <c r="D44" i="111"/>
  <c r="B44" i="111"/>
  <c r="K43" i="111"/>
  <c r="J43" i="111"/>
  <c r="D43" i="111"/>
  <c r="C43" i="111"/>
  <c r="B43" i="111"/>
  <c r="M42" i="111"/>
  <c r="H42" i="111"/>
  <c r="C42" i="111"/>
  <c r="D47" i="111"/>
  <c r="I40" i="111"/>
  <c r="K47" i="111"/>
  <c r="F36" i="111"/>
  <c r="C47" i="111"/>
  <c r="B47" i="111"/>
  <c r="F46" i="111"/>
  <c r="D46" i="111"/>
  <c r="M40" i="111"/>
  <c r="J37" i="111"/>
  <c r="I37" i="111"/>
  <c r="G36" i="111"/>
  <c r="L40" i="111"/>
  <c r="M45" i="111"/>
  <c r="H45" i="111"/>
  <c r="J40" i="111"/>
  <c r="H40" i="111"/>
  <c r="F86" i="115"/>
  <c r="E400" i="81"/>
  <c r="F413" i="81" s="1"/>
  <c r="E382" i="81"/>
  <c r="A420" i="81" s="1"/>
  <c r="G413" i="81"/>
  <c r="T433" i="81"/>
  <c r="J28" i="80"/>
  <c r="E395" i="81"/>
  <c r="A433" i="81" s="1"/>
  <c r="H532" i="83"/>
  <c r="B37" i="83"/>
  <c r="C637" i="83"/>
  <c r="B137" i="83"/>
  <c r="H564" i="83"/>
  <c r="C641" i="83"/>
  <c r="B237" i="83"/>
  <c r="C645" i="83"/>
  <c r="H596" i="83"/>
  <c r="B337" i="83"/>
  <c r="H628" i="83"/>
  <c r="C649" i="83"/>
  <c r="E387" i="83"/>
  <c r="A425" i="83" s="1"/>
  <c r="N8" i="85"/>
  <c r="A239" i="85" s="1"/>
  <c r="F274" i="85"/>
  <c r="D23" i="85"/>
  <c r="H36" i="85" s="1"/>
  <c r="H225" i="85"/>
  <c r="H257" i="85"/>
  <c r="D276" i="85"/>
  <c r="D91" i="85"/>
  <c r="D272" i="85"/>
  <c r="AA45" i="86"/>
  <c r="I41" i="86"/>
  <c r="K41" i="86" s="1"/>
  <c r="AA24" i="90"/>
  <c r="I34" i="90"/>
  <c r="K34" i="90" s="1"/>
  <c r="E12" i="91"/>
  <c r="G12" i="91" s="1"/>
  <c r="L41" i="90"/>
  <c r="B86" i="91"/>
  <c r="C392" i="91"/>
  <c r="H340" i="91"/>
  <c r="B162" i="91"/>
  <c r="H372" i="91"/>
  <c r="C396" i="91"/>
  <c r="C7" i="93"/>
  <c r="G7" i="93" s="1"/>
  <c r="AA8" i="92"/>
  <c r="I29" i="92"/>
  <c r="C487" i="93"/>
  <c r="H398" i="93"/>
  <c r="B201" i="93"/>
  <c r="C495" i="93"/>
  <c r="H430" i="93"/>
  <c r="G15" i="81"/>
  <c r="E396" i="81"/>
  <c r="A434" i="81" s="1"/>
  <c r="AB33" i="82"/>
  <c r="F15" i="83"/>
  <c r="H15" i="83" s="1"/>
  <c r="I15" i="83" s="1"/>
  <c r="F644" i="83"/>
  <c r="N13" i="83"/>
  <c r="A588" i="83" s="1"/>
  <c r="C237" i="83"/>
  <c r="F239" i="83" s="1"/>
  <c r="H597" i="83"/>
  <c r="C137" i="83"/>
  <c r="F139" i="83" s="1"/>
  <c r="E151" i="85"/>
  <c r="E141" i="85"/>
  <c r="A163" i="85" s="1"/>
  <c r="F49" i="91"/>
  <c r="D7" i="93"/>
  <c r="AB8" i="92"/>
  <c r="H463" i="93"/>
  <c r="C201" i="93"/>
  <c r="F203" i="93" s="1"/>
  <c r="I7" i="95"/>
  <c r="K7" i="95" s="1"/>
  <c r="G328" i="97"/>
  <c r="P344" i="97"/>
  <c r="C6" i="97"/>
  <c r="G6" i="97" s="1"/>
  <c r="AA5" i="96"/>
  <c r="E80" i="101"/>
  <c r="G83" i="101" s="1"/>
  <c r="F6" i="100"/>
  <c r="E72" i="101"/>
  <c r="A90" i="101" s="1"/>
  <c r="M38" i="100"/>
  <c r="L38" i="100"/>
  <c r="M35" i="116"/>
  <c r="L35" i="116"/>
  <c r="M251" i="79"/>
  <c r="E256" i="79"/>
  <c r="K251" i="79"/>
  <c r="L260" i="79"/>
  <c r="D248" i="79"/>
  <c r="B247" i="79"/>
  <c r="F241" i="79"/>
  <c r="M253" i="79"/>
  <c r="L249" i="79"/>
  <c r="L258" i="79"/>
  <c r="D258" i="79"/>
  <c r="G247" i="79"/>
  <c r="E254" i="79"/>
  <c r="T434" i="81"/>
  <c r="G414" i="81"/>
  <c r="K37" i="80"/>
  <c r="I37" i="82"/>
  <c r="K37" i="82" s="1"/>
  <c r="E152" i="85"/>
  <c r="E142" i="85"/>
  <c r="A164" i="85" s="1"/>
  <c r="J33" i="86"/>
  <c r="D11" i="87"/>
  <c r="H11" i="87" s="1"/>
  <c r="G100" i="89"/>
  <c r="C94" i="89"/>
  <c r="G92" i="89"/>
  <c r="J98" i="89"/>
  <c r="H95" i="89"/>
  <c r="B94" i="89"/>
  <c r="F92" i="89"/>
  <c r="E100" i="89"/>
  <c r="E92" i="89"/>
  <c r="B97" i="89"/>
  <c r="F95" i="89"/>
  <c r="J93" i="89"/>
  <c r="C100" i="89"/>
  <c r="G98" i="89"/>
  <c r="K96" i="89"/>
  <c r="C92" i="89"/>
  <c r="B98" i="89"/>
  <c r="J95" i="89"/>
  <c r="B93" i="89"/>
  <c r="K97" i="89"/>
  <c r="D95" i="89"/>
  <c r="K92" i="89"/>
  <c r="H100" i="89"/>
  <c r="J97" i="89"/>
  <c r="C95" i="89"/>
  <c r="K99" i="89"/>
  <c r="J94" i="89"/>
  <c r="H92" i="89"/>
  <c r="F99" i="89"/>
  <c r="F94" i="89"/>
  <c r="F85" i="89"/>
  <c r="B99" i="89"/>
  <c r="G94" i="89"/>
  <c r="B91" i="89"/>
  <c r="G93" i="89"/>
  <c r="C93" i="89"/>
  <c r="B92" i="89"/>
  <c r="K91" i="89"/>
  <c r="J96" i="89"/>
  <c r="J91" i="89"/>
  <c r="H96" i="89"/>
  <c r="G91" i="89"/>
  <c r="F96" i="89"/>
  <c r="J34" i="90"/>
  <c r="N247" i="91"/>
  <c r="G233" i="91"/>
  <c r="J32" i="92"/>
  <c r="D10" i="93"/>
  <c r="AA26" i="92"/>
  <c r="C13" i="93"/>
  <c r="H11" i="93"/>
  <c r="E138" i="95"/>
  <c r="A160" i="95" s="1"/>
  <c r="F6" i="94"/>
  <c r="H6" i="94" s="1"/>
  <c r="J6" i="94" s="1"/>
  <c r="E148" i="95"/>
  <c r="F151" i="95" s="1"/>
  <c r="E12" i="97"/>
  <c r="AA24" i="96"/>
  <c r="E81" i="101"/>
  <c r="E73" i="101"/>
  <c r="A91" i="101" s="1"/>
  <c r="K241" i="107"/>
  <c r="K240" i="107"/>
  <c r="C74" i="113"/>
  <c r="F76" i="113" s="1"/>
  <c r="H245" i="113"/>
  <c r="AB33" i="76"/>
  <c r="AA48" i="76"/>
  <c r="D217" i="77"/>
  <c r="O229" i="77" s="1"/>
  <c r="G325" i="79"/>
  <c r="F325" i="79"/>
  <c r="I28" i="78"/>
  <c r="K28" i="78" s="1"/>
  <c r="C240" i="79"/>
  <c r="H258" i="79" s="1"/>
  <c r="E309" i="79"/>
  <c r="A343" i="79" s="1"/>
  <c r="C532" i="79"/>
  <c r="F536" i="79"/>
  <c r="F7" i="81"/>
  <c r="H7" i="81" s="1"/>
  <c r="AB9" i="80"/>
  <c r="D78" i="81"/>
  <c r="D75" i="81"/>
  <c r="D70" i="81"/>
  <c r="B76" i="81"/>
  <c r="B74" i="81"/>
  <c r="F63" i="81"/>
  <c r="Q84" i="81"/>
  <c r="Q83" i="81"/>
  <c r="P84" i="81"/>
  <c r="L83" i="81"/>
  <c r="L81" i="81"/>
  <c r="O73" i="81"/>
  <c r="J75" i="81"/>
  <c r="M78" i="81"/>
  <c r="E14" i="83"/>
  <c r="I36" i="82"/>
  <c r="K36" i="82" s="1"/>
  <c r="AB36" i="82"/>
  <c r="J38" i="82"/>
  <c r="F12" i="83"/>
  <c r="F16" i="83"/>
  <c r="H16" i="83" s="1"/>
  <c r="J30" i="84"/>
  <c r="AB12" i="84"/>
  <c r="AA45" i="88"/>
  <c r="I41" i="88"/>
  <c r="K41" i="88" s="1"/>
  <c r="L264" i="89"/>
  <c r="AB5" i="90"/>
  <c r="D6" i="91"/>
  <c r="AA42" i="90"/>
  <c r="I40" i="90"/>
  <c r="K40" i="90" s="1"/>
  <c r="C86" i="91"/>
  <c r="F88" i="91" s="1"/>
  <c r="H341" i="91"/>
  <c r="K137" i="91"/>
  <c r="E8" i="93"/>
  <c r="G8" i="93" s="1"/>
  <c r="AA12" i="92"/>
  <c r="I30" i="92"/>
  <c r="E16" i="93"/>
  <c r="G16" i="93" s="1"/>
  <c r="AA36" i="92"/>
  <c r="F495" i="93"/>
  <c r="E143" i="95"/>
  <c r="A165" i="95" s="1"/>
  <c r="E153" i="95"/>
  <c r="D10" i="95"/>
  <c r="AB17" i="94"/>
  <c r="J32" i="94"/>
  <c r="K32" i="94" s="1"/>
  <c r="E322" i="97"/>
  <c r="E308" i="97"/>
  <c r="A338" i="97" s="1"/>
  <c r="M39" i="96"/>
  <c r="L39" i="96"/>
  <c r="F144" i="97"/>
  <c r="F153" i="97"/>
  <c r="D147" i="97"/>
  <c r="D158" i="97"/>
  <c r="D153" i="97"/>
  <c r="C147" i="97"/>
  <c r="H157" i="97"/>
  <c r="B153" i="97"/>
  <c r="G157" i="97"/>
  <c r="K152" i="97"/>
  <c r="E157" i="97"/>
  <c r="H152" i="97"/>
  <c r="K154" i="97"/>
  <c r="L153" i="97"/>
  <c r="D7" i="105"/>
  <c r="AB8" i="104"/>
  <c r="J29" i="104"/>
  <c r="M42" i="104"/>
  <c r="L42" i="104"/>
  <c r="F128" i="105"/>
  <c r="G128" i="105"/>
  <c r="E154" i="113"/>
  <c r="E144" i="113"/>
  <c r="A166" i="113" s="1"/>
  <c r="F7" i="113"/>
  <c r="J29" i="112"/>
  <c r="AB21" i="78"/>
  <c r="C125" i="79"/>
  <c r="F127" i="79" s="1"/>
  <c r="G408" i="81"/>
  <c r="AB38" i="80"/>
  <c r="I80" i="81"/>
  <c r="H543" i="81"/>
  <c r="C10" i="83"/>
  <c r="G10" i="83" s="1"/>
  <c r="I32" i="82"/>
  <c r="AB23" i="82"/>
  <c r="D12" i="83"/>
  <c r="I18" i="83"/>
  <c r="K18" i="83" s="1"/>
  <c r="E87" i="83"/>
  <c r="F91" i="83" s="1"/>
  <c r="F639" i="83"/>
  <c r="F272" i="85"/>
  <c r="J196" i="85"/>
  <c r="AA27" i="86"/>
  <c r="I35" i="86"/>
  <c r="K35" i="86" s="1"/>
  <c r="H7" i="87"/>
  <c r="D272" i="87"/>
  <c r="D23" i="87"/>
  <c r="F26" i="87" s="1"/>
  <c r="H225" i="87"/>
  <c r="I29" i="88"/>
  <c r="K29" i="88" s="1"/>
  <c r="E7" i="89"/>
  <c r="G7" i="89" s="1"/>
  <c r="C131" i="89"/>
  <c r="F137" i="89"/>
  <c r="K136" i="89"/>
  <c r="F131" i="89"/>
  <c r="G135" i="89"/>
  <c r="I30" i="90"/>
  <c r="K30" i="90" s="1"/>
  <c r="AB42" i="90"/>
  <c r="J40" i="90"/>
  <c r="F397" i="91"/>
  <c r="D392" i="91"/>
  <c r="H342" i="91"/>
  <c r="D86" i="91"/>
  <c r="F89" i="91" s="1"/>
  <c r="D162" i="91"/>
  <c r="F165" i="91" s="1"/>
  <c r="D396" i="91"/>
  <c r="H133" i="91"/>
  <c r="H138" i="91"/>
  <c r="G228" i="91"/>
  <c r="F8" i="93"/>
  <c r="H8" i="93" s="1"/>
  <c r="AB12" i="92"/>
  <c r="F16" i="93"/>
  <c r="H16" i="93" s="1"/>
  <c r="J38" i="92"/>
  <c r="I40" i="92"/>
  <c r="K40" i="92" s="1"/>
  <c r="AA42" i="92"/>
  <c r="M29" i="94"/>
  <c r="L29" i="94"/>
  <c r="C520" i="97"/>
  <c r="H437" i="97"/>
  <c r="B77" i="97"/>
  <c r="C524" i="97"/>
  <c r="H469" i="97"/>
  <c r="B161" i="97"/>
  <c r="C528" i="97"/>
  <c r="H501" i="97"/>
  <c r="B245" i="97"/>
  <c r="B155" i="97"/>
  <c r="F7" i="77"/>
  <c r="H7" i="77" s="1"/>
  <c r="E306" i="77"/>
  <c r="A340" i="77" s="1"/>
  <c r="D8" i="79"/>
  <c r="H8" i="79" s="1"/>
  <c r="H473" i="79"/>
  <c r="E125" i="79"/>
  <c r="F129" i="79" s="1"/>
  <c r="H505" i="79"/>
  <c r="E217" i="79"/>
  <c r="F221" i="79" s="1"/>
  <c r="D125" i="79"/>
  <c r="F128" i="79" s="1"/>
  <c r="E312" i="79"/>
  <c r="A346" i="79" s="1"/>
  <c r="E327" i="79"/>
  <c r="F328" i="79" s="1"/>
  <c r="N17" i="81"/>
  <c r="A620" i="81" s="1"/>
  <c r="C6" i="83"/>
  <c r="G6" i="83" s="1"/>
  <c r="AA5" i="82"/>
  <c r="H583" i="83"/>
  <c r="E187" i="83"/>
  <c r="F191" i="83" s="1"/>
  <c r="E287" i="83"/>
  <c r="H615" i="83"/>
  <c r="C40" i="85"/>
  <c r="F42" i="85" s="1"/>
  <c r="H232" i="85"/>
  <c r="H264" i="85"/>
  <c r="C108" i="85"/>
  <c r="I119" i="85" s="1"/>
  <c r="H258" i="87"/>
  <c r="E91" i="87"/>
  <c r="F95" i="87" s="1"/>
  <c r="F362" i="89"/>
  <c r="F6" i="91"/>
  <c r="AB6" i="90"/>
  <c r="J28" i="90"/>
  <c r="I133" i="91"/>
  <c r="J30" i="92"/>
  <c r="I38" i="92"/>
  <c r="C101" i="95"/>
  <c r="B98" i="95"/>
  <c r="F102" i="95"/>
  <c r="H99" i="95"/>
  <c r="C102" i="95"/>
  <c r="F92" i="95"/>
  <c r="G324" i="97"/>
  <c r="P340" i="97"/>
  <c r="F528" i="97"/>
  <c r="D34" i="105"/>
  <c r="G191" i="107"/>
  <c r="AB9" i="112"/>
  <c r="C8" i="113"/>
  <c r="I30" i="112"/>
  <c r="K30" i="112" s="1"/>
  <c r="B148" i="77"/>
  <c r="E8" i="79"/>
  <c r="G8" i="79" s="1"/>
  <c r="H11" i="81"/>
  <c r="I11" i="81" s="1"/>
  <c r="J11" i="81" s="1"/>
  <c r="T428" i="81"/>
  <c r="AA38" i="82"/>
  <c r="C17" i="83"/>
  <c r="G17" i="83" s="1"/>
  <c r="C640" i="83"/>
  <c r="B112" i="83"/>
  <c r="B212" i="83"/>
  <c r="C644" i="83"/>
  <c r="B312" i="83"/>
  <c r="C648" i="83"/>
  <c r="H620" i="83"/>
  <c r="J84" i="83"/>
  <c r="AA14" i="84"/>
  <c r="C9" i="85"/>
  <c r="G9" i="85" s="1"/>
  <c r="D6" i="87"/>
  <c r="AB5" i="86"/>
  <c r="C8" i="87"/>
  <c r="G8" i="87" s="1"/>
  <c r="AA11" i="86"/>
  <c r="E198" i="89"/>
  <c r="A224" i="89" s="1"/>
  <c r="E210" i="89"/>
  <c r="I33" i="90"/>
  <c r="K33" i="90" s="1"/>
  <c r="AA21" i="90"/>
  <c r="I7" i="91"/>
  <c r="C389" i="91"/>
  <c r="H316" i="91"/>
  <c r="B29" i="91"/>
  <c r="C393" i="91"/>
  <c r="B105" i="91"/>
  <c r="H348" i="91"/>
  <c r="C397" i="91"/>
  <c r="H380" i="91"/>
  <c r="F127" i="91"/>
  <c r="G136" i="91"/>
  <c r="F136" i="91"/>
  <c r="H139" i="91"/>
  <c r="D135" i="91"/>
  <c r="H131" i="91"/>
  <c r="J133" i="91"/>
  <c r="E139" i="91"/>
  <c r="E14" i="93"/>
  <c r="G14" i="93" s="1"/>
  <c r="AA30" i="92"/>
  <c r="J196" i="95"/>
  <c r="H439" i="97"/>
  <c r="D520" i="97"/>
  <c r="D77" i="97"/>
  <c r="F80" i="97" s="1"/>
  <c r="H471" i="97"/>
  <c r="D524" i="97"/>
  <c r="D161" i="97"/>
  <c r="F164" i="97" s="1"/>
  <c r="H503" i="97"/>
  <c r="D245" i="97"/>
  <c r="F248" i="97" s="1"/>
  <c r="D528" i="97"/>
  <c r="D488" i="99"/>
  <c r="D54" i="99"/>
  <c r="F57" i="99" s="1"/>
  <c r="D138" i="99"/>
  <c r="F141" i="99" s="1"/>
  <c r="D492" i="99"/>
  <c r="H472" i="99"/>
  <c r="D496" i="99"/>
  <c r="D222" i="99"/>
  <c r="F225" i="99" s="1"/>
  <c r="P315" i="99"/>
  <c r="F299" i="99"/>
  <c r="I34" i="100"/>
  <c r="K34" i="100" s="1"/>
  <c r="AA24" i="100"/>
  <c r="F244" i="105"/>
  <c r="H210" i="105"/>
  <c r="C38" i="105"/>
  <c r="E46" i="105" s="1"/>
  <c r="F23" i="105"/>
  <c r="H34" i="105"/>
  <c r="F31" i="105"/>
  <c r="C34" i="105"/>
  <c r="I33" i="105"/>
  <c r="D32" i="105"/>
  <c r="C32" i="105"/>
  <c r="B32" i="105"/>
  <c r="I31" i="105"/>
  <c r="H31" i="105"/>
  <c r="E35" i="105"/>
  <c r="G29" i="105"/>
  <c r="F29" i="105"/>
  <c r="H33" i="105"/>
  <c r="I29" i="105"/>
  <c r="H29" i="105"/>
  <c r="I28" i="105"/>
  <c r="F33" i="105"/>
  <c r="I35" i="106"/>
  <c r="K35" i="106" s="1"/>
  <c r="AA27" i="106"/>
  <c r="AA45" i="106"/>
  <c r="I41" i="106"/>
  <c r="K41" i="106" s="1"/>
  <c r="J33" i="78"/>
  <c r="F533" i="79"/>
  <c r="K39" i="80"/>
  <c r="I34" i="82"/>
  <c r="H557" i="83"/>
  <c r="C112" i="83"/>
  <c r="F114" i="83" s="1"/>
  <c r="H6" i="85"/>
  <c r="G10" i="85"/>
  <c r="E147" i="87"/>
  <c r="F6" i="86"/>
  <c r="H6" i="86" s="1"/>
  <c r="J6" i="86" s="1"/>
  <c r="AA6" i="86"/>
  <c r="E6" i="87"/>
  <c r="G6" i="87" s="1"/>
  <c r="D8" i="87"/>
  <c r="AB11" i="86"/>
  <c r="L40" i="86"/>
  <c r="C40" i="87"/>
  <c r="F42" i="87" s="1"/>
  <c r="H232" i="87"/>
  <c r="C108" i="87"/>
  <c r="F110" i="87" s="1"/>
  <c r="H264" i="87"/>
  <c r="F6" i="88"/>
  <c r="H6" i="88" s="1"/>
  <c r="J6" i="88" s="1"/>
  <c r="E199" i="89"/>
  <c r="A225" i="89" s="1"/>
  <c r="E211" i="89"/>
  <c r="L37" i="88"/>
  <c r="F123" i="89"/>
  <c r="E229" i="91"/>
  <c r="E217" i="91"/>
  <c r="A243" i="91" s="1"/>
  <c r="F134" i="91"/>
  <c r="F139" i="91"/>
  <c r="G231" i="91"/>
  <c r="N245" i="91"/>
  <c r="F231" i="91"/>
  <c r="F14" i="93"/>
  <c r="H14" i="93" s="1"/>
  <c r="AB30" i="92"/>
  <c r="J30" i="96"/>
  <c r="AB12" i="96"/>
  <c r="F8" i="97"/>
  <c r="H8" i="97" s="1"/>
  <c r="M37" i="96"/>
  <c r="G147" i="97"/>
  <c r="M155" i="97"/>
  <c r="E310" i="97"/>
  <c r="A340" i="97" s="1"/>
  <c r="L31" i="102"/>
  <c r="M31" i="102"/>
  <c r="I7" i="103"/>
  <c r="AA18" i="104"/>
  <c r="E10" i="105"/>
  <c r="G10" i="105" s="1"/>
  <c r="I32" i="104"/>
  <c r="L38" i="106"/>
  <c r="M38" i="106"/>
  <c r="F55" i="117"/>
  <c r="H145" i="77"/>
  <c r="F144" i="77"/>
  <c r="D143" i="77"/>
  <c r="B142" i="77"/>
  <c r="N140" i="77"/>
  <c r="L139" i="77"/>
  <c r="J138" i="77"/>
  <c r="H137" i="77"/>
  <c r="F136" i="77"/>
  <c r="B134" i="77"/>
  <c r="N132" i="77"/>
  <c r="L132" i="77"/>
  <c r="O133" i="77"/>
  <c r="H136" i="77"/>
  <c r="K137" i="77"/>
  <c r="N138" i="77"/>
  <c r="C140" i="77"/>
  <c r="F141" i="77"/>
  <c r="I142" i="77"/>
  <c r="L143" i="77"/>
  <c r="O144" i="77"/>
  <c r="AA12" i="78"/>
  <c r="J31" i="80"/>
  <c r="K31" i="80" s="1"/>
  <c r="AB15" i="80"/>
  <c r="H15" i="81"/>
  <c r="E9" i="81"/>
  <c r="G9" i="81" s="1"/>
  <c r="B87" i="81"/>
  <c r="C639" i="81"/>
  <c r="H548" i="81"/>
  <c r="L209" i="81"/>
  <c r="L208" i="81"/>
  <c r="L207" i="81"/>
  <c r="L206" i="81"/>
  <c r="L205" i="81"/>
  <c r="L204" i="81"/>
  <c r="L203" i="81"/>
  <c r="L202" i="81"/>
  <c r="L201" i="81"/>
  <c r="L200" i="81"/>
  <c r="L199" i="81"/>
  <c r="L198" i="81"/>
  <c r="L197" i="81"/>
  <c r="L196" i="81"/>
  <c r="L195" i="81"/>
  <c r="L194" i="81"/>
  <c r="K209" i="81"/>
  <c r="K208" i="81"/>
  <c r="K207" i="81"/>
  <c r="K206" i="81"/>
  <c r="K205" i="81"/>
  <c r="K204" i="81"/>
  <c r="K203" i="81"/>
  <c r="K202" i="81"/>
  <c r="K201" i="81"/>
  <c r="K200" i="81"/>
  <c r="K199" i="81"/>
  <c r="K198" i="81"/>
  <c r="K197" i="81"/>
  <c r="K196" i="81"/>
  <c r="K195" i="81"/>
  <c r="K194" i="81"/>
  <c r="J209" i="81"/>
  <c r="J208" i="81"/>
  <c r="J207" i="81"/>
  <c r="J206" i="81"/>
  <c r="J205" i="81"/>
  <c r="J204" i="81"/>
  <c r="J203" i="81"/>
  <c r="J202" i="81"/>
  <c r="J201" i="81"/>
  <c r="J200" i="81"/>
  <c r="J199" i="81"/>
  <c r="J198" i="81"/>
  <c r="J197" i="81"/>
  <c r="J196" i="81"/>
  <c r="J195" i="81"/>
  <c r="J194" i="81"/>
  <c r="I209" i="81"/>
  <c r="I208" i="81"/>
  <c r="I207" i="81"/>
  <c r="I206" i="81"/>
  <c r="I205" i="81"/>
  <c r="I204" i="81"/>
  <c r="I203" i="81"/>
  <c r="I202" i="81"/>
  <c r="I201" i="81"/>
  <c r="I200" i="81"/>
  <c r="I199" i="81"/>
  <c r="I198" i="81"/>
  <c r="I197" i="81"/>
  <c r="I196" i="81"/>
  <c r="I195" i="81"/>
  <c r="I194" i="81"/>
  <c r="H209" i="81"/>
  <c r="H208" i="81"/>
  <c r="H207" i="81"/>
  <c r="H206" i="81"/>
  <c r="H205" i="81"/>
  <c r="H204" i="81"/>
  <c r="H203" i="81"/>
  <c r="H202" i="81"/>
  <c r="H201" i="81"/>
  <c r="H200" i="81"/>
  <c r="H199" i="81"/>
  <c r="H198" i="81"/>
  <c r="H197" i="81"/>
  <c r="H196" i="81"/>
  <c r="H195" i="81"/>
  <c r="H194" i="81"/>
  <c r="D209" i="81"/>
  <c r="D208" i="81"/>
  <c r="D207" i="81"/>
  <c r="D206" i="81"/>
  <c r="D205" i="81"/>
  <c r="D204" i="81"/>
  <c r="D203" i="81"/>
  <c r="D202" i="81"/>
  <c r="D201" i="81"/>
  <c r="D200" i="81"/>
  <c r="D199" i="81"/>
  <c r="D198" i="81"/>
  <c r="D197" i="81"/>
  <c r="D196" i="81"/>
  <c r="D195" i="81"/>
  <c r="D194" i="81"/>
  <c r="B287" i="81"/>
  <c r="H612" i="81"/>
  <c r="K69" i="81"/>
  <c r="N72" i="81"/>
  <c r="C195" i="81"/>
  <c r="O196" i="81"/>
  <c r="F198" i="81"/>
  <c r="Q199" i="81"/>
  <c r="M201" i="81"/>
  <c r="C203" i="81"/>
  <c r="O204" i="81"/>
  <c r="F206" i="81"/>
  <c r="M209" i="81"/>
  <c r="J34" i="82"/>
  <c r="I39" i="82"/>
  <c r="K39" i="82" s="1"/>
  <c r="F645" i="83"/>
  <c r="H558" i="83"/>
  <c r="D640" i="83"/>
  <c r="D112" i="83"/>
  <c r="F115" i="83" s="1"/>
  <c r="D648" i="83"/>
  <c r="H622" i="83"/>
  <c r="J28" i="84"/>
  <c r="K28" i="84" s="1"/>
  <c r="I42" i="84"/>
  <c r="K42" i="84" s="1"/>
  <c r="AA48" i="84"/>
  <c r="G7" i="85"/>
  <c r="C274" i="85"/>
  <c r="H239" i="85"/>
  <c r="B57" i="85"/>
  <c r="I37" i="85"/>
  <c r="I35" i="85"/>
  <c r="I33" i="85"/>
  <c r="I31" i="85"/>
  <c r="H37" i="85"/>
  <c r="H35" i="85"/>
  <c r="H33" i="85"/>
  <c r="H31" i="85"/>
  <c r="G37" i="85"/>
  <c r="G35" i="85"/>
  <c r="G31" i="85"/>
  <c r="F37" i="85"/>
  <c r="F35" i="85"/>
  <c r="F33" i="85"/>
  <c r="F31" i="85"/>
  <c r="E37" i="85"/>
  <c r="E35" i="85"/>
  <c r="I36" i="85"/>
  <c r="I34" i="85"/>
  <c r="I32" i="85"/>
  <c r="I30" i="85"/>
  <c r="G34" i="85"/>
  <c r="F34" i="85"/>
  <c r="D37" i="85"/>
  <c r="E34" i="85"/>
  <c r="D34" i="85"/>
  <c r="H30" i="85"/>
  <c r="F24" i="85"/>
  <c r="B37" i="85"/>
  <c r="C34" i="85"/>
  <c r="G30" i="85"/>
  <c r="E36" i="85"/>
  <c r="D36" i="85"/>
  <c r="C36" i="85"/>
  <c r="F30" i="85"/>
  <c r="C35" i="85"/>
  <c r="F149" i="85"/>
  <c r="E138" i="87"/>
  <c r="A160" i="87" s="1"/>
  <c r="E148" i="87"/>
  <c r="F154" i="87" s="1"/>
  <c r="F6" i="87"/>
  <c r="AB6" i="86"/>
  <c r="AB36" i="86"/>
  <c r="J38" i="86"/>
  <c r="D273" i="87"/>
  <c r="H233" i="87"/>
  <c r="D40" i="87"/>
  <c r="F43" i="87" s="1"/>
  <c r="D277" i="87"/>
  <c r="H265" i="87"/>
  <c r="D108" i="87"/>
  <c r="F111" i="87" s="1"/>
  <c r="D91" i="87"/>
  <c r="F94" i="87" s="1"/>
  <c r="AB8" i="88"/>
  <c r="E200" i="89"/>
  <c r="A226" i="89" s="1"/>
  <c r="E212" i="89"/>
  <c r="AA26" i="88"/>
  <c r="I35" i="88"/>
  <c r="K35" i="88" s="1"/>
  <c r="F366" i="89"/>
  <c r="C81" i="89"/>
  <c r="G79" i="89"/>
  <c r="K77" i="89"/>
  <c r="E76" i="89"/>
  <c r="I74" i="89"/>
  <c r="B81" i="89"/>
  <c r="F79" i="89"/>
  <c r="J77" i="89"/>
  <c r="D76" i="89"/>
  <c r="H74" i="89"/>
  <c r="K80" i="89"/>
  <c r="E79" i="89"/>
  <c r="I77" i="89"/>
  <c r="C76" i="89"/>
  <c r="G74" i="89"/>
  <c r="K72" i="89"/>
  <c r="J80" i="89"/>
  <c r="D79" i="89"/>
  <c r="H77" i="89"/>
  <c r="B76" i="89"/>
  <c r="F74" i="89"/>
  <c r="J72" i="89"/>
  <c r="I80" i="89"/>
  <c r="G77" i="89"/>
  <c r="K75" i="89"/>
  <c r="E74" i="89"/>
  <c r="K81" i="89"/>
  <c r="E80" i="89"/>
  <c r="C77" i="89"/>
  <c r="G75" i="89"/>
  <c r="K73" i="89"/>
  <c r="E72" i="89"/>
  <c r="F81" i="89"/>
  <c r="F76" i="89"/>
  <c r="E81" i="89"/>
  <c r="G78" i="89"/>
  <c r="J75" i="89"/>
  <c r="G73" i="89"/>
  <c r="D81" i="89"/>
  <c r="F78" i="89"/>
  <c r="I75" i="89"/>
  <c r="F73" i="89"/>
  <c r="H80" i="89"/>
  <c r="E78" i="89"/>
  <c r="H75" i="89"/>
  <c r="E73" i="89"/>
  <c r="G80" i="89"/>
  <c r="D78" i="89"/>
  <c r="F75" i="89"/>
  <c r="D73" i="89"/>
  <c r="F66" i="89"/>
  <c r="B80" i="89"/>
  <c r="E77" i="89"/>
  <c r="B75" i="89"/>
  <c r="D72" i="89"/>
  <c r="J79" i="89"/>
  <c r="E75" i="89"/>
  <c r="D75" i="89"/>
  <c r="C75" i="89"/>
  <c r="K78" i="89"/>
  <c r="J74" i="89"/>
  <c r="G76" i="89"/>
  <c r="G81" i="89"/>
  <c r="H318" i="91"/>
  <c r="D389" i="91"/>
  <c r="D29" i="91"/>
  <c r="F32" i="91" s="1"/>
  <c r="D105" i="91"/>
  <c r="F108" i="91" s="1"/>
  <c r="H350" i="91"/>
  <c r="D393" i="91"/>
  <c r="D397" i="91"/>
  <c r="D181" i="91"/>
  <c r="H382" i="91"/>
  <c r="G134" i="91"/>
  <c r="G139" i="91"/>
  <c r="I36" i="92"/>
  <c r="K36" i="92" s="1"/>
  <c r="K177" i="93"/>
  <c r="D174" i="93"/>
  <c r="C170" i="93"/>
  <c r="E167" i="93"/>
  <c r="F175" i="93"/>
  <c r="E172" i="93"/>
  <c r="F168" i="93"/>
  <c r="I169" i="93"/>
  <c r="E175" i="93"/>
  <c r="G296" i="93"/>
  <c r="H445" i="97"/>
  <c r="C521" i="97"/>
  <c r="B98" i="97"/>
  <c r="B182" i="97"/>
  <c r="H477" i="97"/>
  <c r="C525" i="97"/>
  <c r="B266" i="97"/>
  <c r="H509" i="97"/>
  <c r="M148" i="97"/>
  <c r="B157" i="97"/>
  <c r="AA11" i="98"/>
  <c r="C8" i="99"/>
  <c r="G8" i="99" s="1"/>
  <c r="P316" i="99"/>
  <c r="G300" i="99"/>
  <c r="H408" i="99"/>
  <c r="J34" i="102"/>
  <c r="AB24" i="102"/>
  <c r="L37" i="102"/>
  <c r="M37" i="102"/>
  <c r="AB18" i="104"/>
  <c r="F10" i="105"/>
  <c r="H10" i="105" s="1"/>
  <c r="J32" i="104"/>
  <c r="E38" i="105"/>
  <c r="F42" i="105" s="1"/>
  <c r="H212" i="105"/>
  <c r="F74" i="105"/>
  <c r="D81" i="105"/>
  <c r="C81" i="105"/>
  <c r="D80" i="105"/>
  <c r="E79" i="105"/>
  <c r="D79" i="105"/>
  <c r="G83" i="105"/>
  <c r="G135" i="105"/>
  <c r="L147" i="105"/>
  <c r="C425" i="111"/>
  <c r="H373" i="111"/>
  <c r="B92" i="111"/>
  <c r="B176" i="111"/>
  <c r="C429" i="111"/>
  <c r="H405" i="111"/>
  <c r="F7" i="97"/>
  <c r="H7" i="97" s="1"/>
  <c r="J29" i="96"/>
  <c r="F6" i="98"/>
  <c r="E294" i="99"/>
  <c r="E280" i="99"/>
  <c r="A310" i="99" s="1"/>
  <c r="G304" i="99"/>
  <c r="E190" i="107"/>
  <c r="E178" i="107"/>
  <c r="A204" i="107" s="1"/>
  <c r="K32" i="106"/>
  <c r="H375" i="111"/>
  <c r="D425" i="111"/>
  <c r="D92" i="111"/>
  <c r="F95" i="111" s="1"/>
  <c r="D176" i="111"/>
  <c r="F179" i="111" s="1"/>
  <c r="D429" i="111"/>
  <c r="H407" i="111"/>
  <c r="F274" i="113"/>
  <c r="AA33" i="84"/>
  <c r="I37" i="84"/>
  <c r="K37" i="84" s="1"/>
  <c r="G6" i="85"/>
  <c r="E150" i="85"/>
  <c r="F9" i="87"/>
  <c r="J31" i="86"/>
  <c r="B40" i="87"/>
  <c r="H231" i="87"/>
  <c r="C273" i="87"/>
  <c r="C277" i="87"/>
  <c r="B108" i="87"/>
  <c r="H263" i="87"/>
  <c r="C104" i="87"/>
  <c r="F92" i="87"/>
  <c r="I99" i="87"/>
  <c r="H99" i="87"/>
  <c r="C105" i="87"/>
  <c r="D100" i="87"/>
  <c r="E169" i="89"/>
  <c r="H170" i="89"/>
  <c r="F161" i="89"/>
  <c r="B172" i="89"/>
  <c r="B169" i="89"/>
  <c r="I13" i="91"/>
  <c r="J166" i="93"/>
  <c r="B170" i="93"/>
  <c r="B174" i="93"/>
  <c r="F10" i="95"/>
  <c r="H10" i="95" s="1"/>
  <c r="I10" i="95" s="1"/>
  <c r="J10" i="95" s="1"/>
  <c r="AB18" i="94"/>
  <c r="AA33" i="94"/>
  <c r="I37" i="94"/>
  <c r="K37" i="94" s="1"/>
  <c r="N11" i="95"/>
  <c r="A263" i="95" s="1"/>
  <c r="I38" i="96"/>
  <c r="C16" i="97"/>
  <c r="C12" i="97"/>
  <c r="G124" i="99"/>
  <c r="K8" i="101"/>
  <c r="AA5" i="106"/>
  <c r="C6" i="107"/>
  <c r="I29" i="108"/>
  <c r="K29" i="108" s="1"/>
  <c r="E7" i="109"/>
  <c r="G7" i="109" s="1"/>
  <c r="AA9" i="108"/>
  <c r="D7" i="117"/>
  <c r="AB8" i="116"/>
  <c r="C14" i="97"/>
  <c r="AA29" i="96"/>
  <c r="I36" i="96"/>
  <c r="D16" i="97"/>
  <c r="H16" i="97" s="1"/>
  <c r="J38" i="96"/>
  <c r="C7" i="99"/>
  <c r="G7" i="99" s="1"/>
  <c r="AA8" i="98"/>
  <c r="I29" i="98"/>
  <c r="F491" i="99"/>
  <c r="D21" i="109"/>
  <c r="F24" i="109" s="1"/>
  <c r="D240" i="109"/>
  <c r="H201" i="109"/>
  <c r="E9" i="89"/>
  <c r="G9" i="89" s="1"/>
  <c r="H336" i="89"/>
  <c r="C122" i="89"/>
  <c r="G129" i="89" s="1"/>
  <c r="M39" i="90"/>
  <c r="L39" i="90"/>
  <c r="H77" i="91"/>
  <c r="E82" i="91"/>
  <c r="G77" i="91"/>
  <c r="E74" i="91"/>
  <c r="B83" i="91"/>
  <c r="B78" i="91"/>
  <c r="D75" i="91"/>
  <c r="D80" i="91"/>
  <c r="F68" i="91"/>
  <c r="D77" i="91"/>
  <c r="D177" i="93"/>
  <c r="L175" i="93"/>
  <c r="H174" i="93"/>
  <c r="D173" i="93"/>
  <c r="H170" i="93"/>
  <c r="J177" i="93"/>
  <c r="E176" i="93"/>
  <c r="L174" i="93"/>
  <c r="G173" i="93"/>
  <c r="B172" i="93"/>
  <c r="I170" i="93"/>
  <c r="D169" i="93"/>
  <c r="L167" i="93"/>
  <c r="H166" i="93"/>
  <c r="I177" i="93"/>
  <c r="D176" i="93"/>
  <c r="K174" i="93"/>
  <c r="F173" i="93"/>
  <c r="C169" i="93"/>
  <c r="K167" i="93"/>
  <c r="G166" i="93"/>
  <c r="H177" i="93"/>
  <c r="C176" i="93"/>
  <c r="J174" i="93"/>
  <c r="E173" i="93"/>
  <c r="K171" i="93"/>
  <c r="B169" i="93"/>
  <c r="J167" i="93"/>
  <c r="F166" i="93"/>
  <c r="B176" i="93"/>
  <c r="I174" i="93"/>
  <c r="C173" i="93"/>
  <c r="J171" i="93"/>
  <c r="E170" i="93"/>
  <c r="M168" i="93"/>
  <c r="I167" i="93"/>
  <c r="E166" i="93"/>
  <c r="M175" i="93"/>
  <c r="G174" i="93"/>
  <c r="B173" i="93"/>
  <c r="I171" i="93"/>
  <c r="D170" i="93"/>
  <c r="L168" i="93"/>
  <c r="H167" i="93"/>
  <c r="D166" i="93"/>
  <c r="H175" i="93"/>
  <c r="C174" i="93"/>
  <c r="J172" i="93"/>
  <c r="E171" i="93"/>
  <c r="L169" i="93"/>
  <c r="H168" i="93"/>
  <c r="D167" i="93"/>
  <c r="L173" i="93"/>
  <c r="G169" i="93"/>
  <c r="C167" i="93"/>
  <c r="K175" i="93"/>
  <c r="K173" i="93"/>
  <c r="F169" i="93"/>
  <c r="B167" i="93"/>
  <c r="J175" i="93"/>
  <c r="J173" i="93"/>
  <c r="D171" i="93"/>
  <c r="E169" i="93"/>
  <c r="M166" i="93"/>
  <c r="F160" i="93"/>
  <c r="I175" i="93"/>
  <c r="I173" i="93"/>
  <c r="C171" i="93"/>
  <c r="K168" i="93"/>
  <c r="L166" i="93"/>
  <c r="G175" i="93"/>
  <c r="H173" i="93"/>
  <c r="B171" i="93"/>
  <c r="J168" i="93"/>
  <c r="K166" i="93"/>
  <c r="C177" i="93"/>
  <c r="C175" i="93"/>
  <c r="I172" i="93"/>
  <c r="J170" i="93"/>
  <c r="E168" i="93"/>
  <c r="B166" i="93"/>
  <c r="F167" i="93"/>
  <c r="K170" i="93"/>
  <c r="E174" i="93"/>
  <c r="AB42" i="96"/>
  <c r="J40" i="96"/>
  <c r="J42" i="96"/>
  <c r="AB48" i="96"/>
  <c r="G317" i="97"/>
  <c r="F317" i="97"/>
  <c r="E287" i="99"/>
  <c r="A317" i="99" s="1"/>
  <c r="E301" i="99"/>
  <c r="AB8" i="98"/>
  <c r="J29" i="98"/>
  <c r="D7" i="99"/>
  <c r="H7" i="99" s="1"/>
  <c r="F488" i="99"/>
  <c r="I6" i="105"/>
  <c r="AB14" i="84"/>
  <c r="D9" i="85"/>
  <c r="M39" i="84"/>
  <c r="L39" i="84"/>
  <c r="F275" i="85"/>
  <c r="E91" i="85"/>
  <c r="E102" i="85" s="1"/>
  <c r="H258" i="85"/>
  <c r="G153" i="85"/>
  <c r="L165" i="85"/>
  <c r="K32" i="86"/>
  <c r="H234" i="87"/>
  <c r="E40" i="87"/>
  <c r="F44" i="87" s="1"/>
  <c r="G208" i="89"/>
  <c r="F208" i="89"/>
  <c r="AB15" i="88"/>
  <c r="F9" i="89"/>
  <c r="H9" i="89" s="1"/>
  <c r="I79" i="91"/>
  <c r="N246" i="91"/>
  <c r="E283" i="93"/>
  <c r="A313" i="93" s="1"/>
  <c r="E297" i="93"/>
  <c r="D11" i="93"/>
  <c r="AB20" i="92"/>
  <c r="J33" i="92"/>
  <c r="AA35" i="92"/>
  <c r="C16" i="93"/>
  <c r="G167" i="93"/>
  <c r="F174" i="93"/>
  <c r="M35" i="94"/>
  <c r="L35" i="94"/>
  <c r="B135" i="99"/>
  <c r="J133" i="99"/>
  <c r="F132" i="99"/>
  <c r="J129" i="99"/>
  <c r="F128" i="99"/>
  <c r="B127" i="99"/>
  <c r="J125" i="99"/>
  <c r="F124" i="99"/>
  <c r="M134" i="99"/>
  <c r="I133" i="99"/>
  <c r="E132" i="99"/>
  <c r="M130" i="99"/>
  <c r="I129" i="99"/>
  <c r="E128" i="99"/>
  <c r="M126" i="99"/>
  <c r="E124" i="99"/>
  <c r="M135" i="99"/>
  <c r="I134" i="99"/>
  <c r="E133" i="99"/>
  <c r="M131" i="99"/>
  <c r="E129" i="99"/>
  <c r="M127" i="99"/>
  <c r="I126" i="99"/>
  <c r="E125" i="99"/>
  <c r="H135" i="99"/>
  <c r="M133" i="99"/>
  <c r="D132" i="99"/>
  <c r="M128" i="99"/>
  <c r="F127" i="99"/>
  <c r="K125" i="99"/>
  <c r="G135" i="99"/>
  <c r="L133" i="99"/>
  <c r="C132" i="99"/>
  <c r="G130" i="99"/>
  <c r="L128" i="99"/>
  <c r="E127" i="99"/>
  <c r="F135" i="99"/>
  <c r="K133" i="99"/>
  <c r="B132" i="99"/>
  <c r="F130" i="99"/>
  <c r="K128" i="99"/>
  <c r="D127" i="99"/>
  <c r="G125" i="99"/>
  <c r="E135" i="99"/>
  <c r="H133" i="99"/>
  <c r="L131" i="99"/>
  <c r="E130" i="99"/>
  <c r="J128" i="99"/>
  <c r="C127" i="99"/>
  <c r="F125" i="99"/>
  <c r="D135" i="99"/>
  <c r="G133" i="99"/>
  <c r="K131" i="99"/>
  <c r="D130" i="99"/>
  <c r="I128" i="99"/>
  <c r="L126" i="99"/>
  <c r="D125" i="99"/>
  <c r="C135" i="99"/>
  <c r="F133" i="99"/>
  <c r="J131" i="99"/>
  <c r="H128" i="99"/>
  <c r="K126" i="99"/>
  <c r="C134" i="99"/>
  <c r="E131" i="99"/>
  <c r="G128" i="99"/>
  <c r="C126" i="99"/>
  <c r="B134" i="99"/>
  <c r="D131" i="99"/>
  <c r="D128" i="99"/>
  <c r="B126" i="99"/>
  <c r="D133" i="99"/>
  <c r="C128" i="99"/>
  <c r="M125" i="99"/>
  <c r="C133" i="99"/>
  <c r="L130" i="99"/>
  <c r="B128" i="99"/>
  <c r="L125" i="99"/>
  <c r="L135" i="99"/>
  <c r="B133" i="99"/>
  <c r="K130" i="99"/>
  <c r="L127" i="99"/>
  <c r="L134" i="99"/>
  <c r="J132" i="99"/>
  <c r="L129" i="99"/>
  <c r="H127" i="99"/>
  <c r="J124" i="99"/>
  <c r="E134" i="99"/>
  <c r="H129" i="99"/>
  <c r="M124" i="99"/>
  <c r="D134" i="99"/>
  <c r="G129" i="99"/>
  <c r="L124" i="99"/>
  <c r="M132" i="99"/>
  <c r="F129" i="99"/>
  <c r="K124" i="99"/>
  <c r="L132" i="99"/>
  <c r="D129" i="99"/>
  <c r="K132" i="99"/>
  <c r="C129" i="99"/>
  <c r="K135" i="99"/>
  <c r="I127" i="99"/>
  <c r="C215" i="99"/>
  <c r="M217" i="99"/>
  <c r="F214" i="99"/>
  <c r="H217" i="99"/>
  <c r="D219" i="99"/>
  <c r="K219" i="99"/>
  <c r="D216" i="99"/>
  <c r="G210" i="99"/>
  <c r="F126" i="99"/>
  <c r="H132" i="99"/>
  <c r="H150" i="103"/>
  <c r="D32" i="103"/>
  <c r="B39" i="103" s="1"/>
  <c r="D82" i="105"/>
  <c r="L40" i="106"/>
  <c r="M40" i="106"/>
  <c r="G90" i="107"/>
  <c r="H94" i="107"/>
  <c r="D94" i="107"/>
  <c r="J35" i="108"/>
  <c r="AB27" i="108"/>
  <c r="AA42" i="108"/>
  <c r="I40" i="108"/>
  <c r="K40" i="108" s="1"/>
  <c r="E239" i="111"/>
  <c r="A269" i="111" s="1"/>
  <c r="E253" i="111"/>
  <c r="AA11" i="110"/>
  <c r="C8" i="111"/>
  <c r="I33" i="84"/>
  <c r="E11" i="85"/>
  <c r="G11" i="85" s="1"/>
  <c r="H231" i="85"/>
  <c r="C273" i="85"/>
  <c r="B40" i="85"/>
  <c r="B34" i="87"/>
  <c r="F24" i="87"/>
  <c r="D35" i="87"/>
  <c r="E101" i="87"/>
  <c r="E108" i="87"/>
  <c r="F112" i="87" s="1"/>
  <c r="F209" i="89"/>
  <c r="I31" i="88"/>
  <c r="K31" i="88" s="1"/>
  <c r="I140" i="91"/>
  <c r="G137" i="91"/>
  <c r="K135" i="91"/>
  <c r="E134" i="91"/>
  <c r="I132" i="91"/>
  <c r="H140" i="91"/>
  <c r="F137" i="91"/>
  <c r="J135" i="91"/>
  <c r="D134" i="91"/>
  <c r="H132" i="91"/>
  <c r="F125" i="91"/>
  <c r="G140" i="91"/>
  <c r="K138" i="91"/>
  <c r="E137" i="91"/>
  <c r="I135" i="91"/>
  <c r="C134" i="91"/>
  <c r="G132" i="91"/>
  <c r="F140" i="91"/>
  <c r="J138" i="91"/>
  <c r="D137" i="91"/>
  <c r="H135" i="91"/>
  <c r="B134" i="91"/>
  <c r="F132" i="91"/>
  <c r="E140" i="91"/>
  <c r="I138" i="91"/>
  <c r="C137" i="91"/>
  <c r="G135" i="91"/>
  <c r="K133" i="91"/>
  <c r="E132" i="91"/>
  <c r="E138" i="91"/>
  <c r="I136" i="91"/>
  <c r="C135" i="91"/>
  <c r="G133" i="91"/>
  <c r="G138" i="91"/>
  <c r="D136" i="91"/>
  <c r="F133" i="91"/>
  <c r="D131" i="91"/>
  <c r="F138" i="91"/>
  <c r="C136" i="91"/>
  <c r="E133" i="91"/>
  <c r="D138" i="91"/>
  <c r="B136" i="91"/>
  <c r="D133" i="91"/>
  <c r="C138" i="91"/>
  <c r="F135" i="91"/>
  <c r="C133" i="91"/>
  <c r="B138" i="91"/>
  <c r="E135" i="91"/>
  <c r="B133" i="91"/>
  <c r="H137" i="91"/>
  <c r="J134" i="91"/>
  <c r="D132" i="91"/>
  <c r="H136" i="91"/>
  <c r="D140" i="91"/>
  <c r="G232" i="91"/>
  <c r="AB35" i="92"/>
  <c r="D16" i="93"/>
  <c r="F496" i="93"/>
  <c r="M167" i="93"/>
  <c r="M174" i="93"/>
  <c r="AB11" i="94"/>
  <c r="I30" i="94"/>
  <c r="K30" i="94" s="1"/>
  <c r="E8" i="95"/>
  <c r="G8" i="95" s="1"/>
  <c r="I40" i="94"/>
  <c r="K40" i="94" s="1"/>
  <c r="H226" i="95"/>
  <c r="E23" i="95"/>
  <c r="F27" i="95" s="1"/>
  <c r="H258" i="95"/>
  <c r="E91" i="95"/>
  <c r="F104" i="95" s="1"/>
  <c r="AB23" i="96"/>
  <c r="D12" i="97"/>
  <c r="F14" i="97"/>
  <c r="H14" i="97" s="1"/>
  <c r="J36" i="96"/>
  <c r="AB30" i="96"/>
  <c r="I13" i="97"/>
  <c r="J73" i="97"/>
  <c r="G126" i="99"/>
  <c r="I132" i="99"/>
  <c r="F202" i="99"/>
  <c r="M253" i="99"/>
  <c r="I42" i="102"/>
  <c r="K42" i="102" s="1"/>
  <c r="AA48" i="102"/>
  <c r="B44" i="103"/>
  <c r="F40" i="103"/>
  <c r="F33" i="103"/>
  <c r="C41" i="103"/>
  <c r="D40" i="103"/>
  <c r="C44" i="103"/>
  <c r="D39" i="103"/>
  <c r="B43" i="103"/>
  <c r="K11" i="107"/>
  <c r="L35" i="108"/>
  <c r="M35" i="108"/>
  <c r="AB6" i="80"/>
  <c r="D62" i="81"/>
  <c r="D162" i="81"/>
  <c r="D176" i="81" s="1"/>
  <c r="D312" i="81"/>
  <c r="P332" i="81" s="1"/>
  <c r="J28" i="82"/>
  <c r="K28" i="82" s="1"/>
  <c r="H73" i="83"/>
  <c r="K76" i="83"/>
  <c r="L77" i="83"/>
  <c r="N79" i="83"/>
  <c r="O80" i="83"/>
  <c r="Q82" i="83"/>
  <c r="D87" i="83"/>
  <c r="F90" i="83" s="1"/>
  <c r="G184" i="83"/>
  <c r="G183" i="83"/>
  <c r="G182" i="83"/>
  <c r="G181" i="83"/>
  <c r="G180" i="83"/>
  <c r="G179" i="83"/>
  <c r="G178" i="83"/>
  <c r="G177" i="83"/>
  <c r="G176" i="83"/>
  <c r="G175" i="83"/>
  <c r="G174" i="83"/>
  <c r="G173" i="83"/>
  <c r="G172" i="83"/>
  <c r="G171" i="83"/>
  <c r="G170" i="83"/>
  <c r="G169" i="83"/>
  <c r="B184" i="83"/>
  <c r="B183" i="83"/>
  <c r="B182" i="83"/>
  <c r="B181" i="83"/>
  <c r="B180" i="83"/>
  <c r="B179" i="83"/>
  <c r="B178" i="83"/>
  <c r="B177" i="83"/>
  <c r="B176" i="83"/>
  <c r="B175" i="83"/>
  <c r="B174" i="83"/>
  <c r="B173" i="83"/>
  <c r="B172" i="83"/>
  <c r="B171" i="83"/>
  <c r="B170" i="83"/>
  <c r="B169" i="83"/>
  <c r="F163" i="83"/>
  <c r="N169" i="83"/>
  <c r="P170" i="83"/>
  <c r="C172" i="83"/>
  <c r="E173" i="83"/>
  <c r="H174" i="83"/>
  <c r="J175" i="83"/>
  <c r="L176" i="83"/>
  <c r="N177" i="83"/>
  <c r="P178" i="83"/>
  <c r="C180" i="83"/>
  <c r="E181" i="83"/>
  <c r="H182" i="83"/>
  <c r="J183" i="83"/>
  <c r="L184" i="83"/>
  <c r="I284" i="83"/>
  <c r="I283" i="83"/>
  <c r="I282" i="83"/>
  <c r="I281" i="83"/>
  <c r="I280" i="83"/>
  <c r="I279" i="83"/>
  <c r="I278" i="83"/>
  <c r="I276" i="83"/>
  <c r="I275" i="83"/>
  <c r="I274" i="83"/>
  <c r="I273" i="83"/>
  <c r="I272" i="83"/>
  <c r="I271" i="83"/>
  <c r="I270" i="83"/>
  <c r="I269" i="83"/>
  <c r="G284" i="83"/>
  <c r="G283" i="83"/>
  <c r="G282" i="83"/>
  <c r="G281" i="83"/>
  <c r="G280" i="83"/>
  <c r="G279" i="83"/>
  <c r="G278" i="83"/>
  <c r="G276" i="83"/>
  <c r="G275" i="83"/>
  <c r="G274" i="83"/>
  <c r="G273" i="83"/>
  <c r="G272" i="83"/>
  <c r="G271" i="83"/>
  <c r="G270" i="83"/>
  <c r="G269" i="83"/>
  <c r="F284" i="83"/>
  <c r="F283" i="83"/>
  <c r="F282" i="83"/>
  <c r="F281" i="83"/>
  <c r="F280" i="83"/>
  <c r="F279" i="83"/>
  <c r="F278" i="83"/>
  <c r="F276" i="83"/>
  <c r="F275" i="83"/>
  <c r="F274" i="83"/>
  <c r="F273" i="83"/>
  <c r="F272" i="83"/>
  <c r="F271" i="83"/>
  <c r="F270" i="83"/>
  <c r="F269" i="83"/>
  <c r="B284" i="83"/>
  <c r="B283" i="83"/>
  <c r="B282" i="83"/>
  <c r="B281" i="83"/>
  <c r="B280" i="83"/>
  <c r="B279" i="83"/>
  <c r="B278" i="83"/>
  <c r="B276" i="83"/>
  <c r="B275" i="83"/>
  <c r="B274" i="83"/>
  <c r="B273" i="83"/>
  <c r="B272" i="83"/>
  <c r="B271" i="83"/>
  <c r="B270" i="83"/>
  <c r="B269" i="83"/>
  <c r="F263" i="83"/>
  <c r="C270" i="83"/>
  <c r="J271" i="83"/>
  <c r="C274" i="83"/>
  <c r="J275" i="83"/>
  <c r="N276" i="83"/>
  <c r="C278" i="83"/>
  <c r="N280" i="83"/>
  <c r="C282" i="83"/>
  <c r="J283" i="83"/>
  <c r="N284" i="83"/>
  <c r="E388" i="83"/>
  <c r="A426" i="83" s="1"/>
  <c r="H598" i="83"/>
  <c r="B83" i="85"/>
  <c r="AB45" i="86"/>
  <c r="J41" i="86"/>
  <c r="E153" i="87"/>
  <c r="AB17" i="88"/>
  <c r="B46" i="89"/>
  <c r="E194" i="89"/>
  <c r="A220" i="89" s="1"/>
  <c r="C361" i="89"/>
  <c r="E117" i="93"/>
  <c r="G71" i="95"/>
  <c r="G67" i="95"/>
  <c r="E71" i="95"/>
  <c r="E69" i="95"/>
  <c r="E67" i="95"/>
  <c r="E65" i="95"/>
  <c r="C71" i="95"/>
  <c r="I68" i="95"/>
  <c r="G66" i="95"/>
  <c r="E64" i="95"/>
  <c r="B71" i="95"/>
  <c r="H68" i="95"/>
  <c r="F66" i="95"/>
  <c r="D64" i="95"/>
  <c r="F58" i="95"/>
  <c r="I70" i="95"/>
  <c r="E66" i="95"/>
  <c r="H70" i="95"/>
  <c r="D66" i="95"/>
  <c r="G70" i="95"/>
  <c r="E68" i="95"/>
  <c r="C66" i="95"/>
  <c r="C70" i="95"/>
  <c r="I67" i="95"/>
  <c r="I64" i="95"/>
  <c r="D68" i="95"/>
  <c r="I30" i="96"/>
  <c r="K30" i="96" s="1"/>
  <c r="AA12" i="96"/>
  <c r="F521" i="97"/>
  <c r="F529" i="97"/>
  <c r="H447" i="97"/>
  <c r="D521" i="97"/>
  <c r="D98" i="97"/>
  <c r="F101" i="97" s="1"/>
  <c r="D529" i="97"/>
  <c r="H511" i="97"/>
  <c r="I150" i="97"/>
  <c r="K153" i="97"/>
  <c r="F157" i="97"/>
  <c r="H231" i="97"/>
  <c r="C236" i="97"/>
  <c r="G302" i="99"/>
  <c r="I11" i="99"/>
  <c r="L254" i="99"/>
  <c r="D259" i="99"/>
  <c r="J93" i="101"/>
  <c r="F83" i="101"/>
  <c r="AA36" i="102"/>
  <c r="I38" i="102"/>
  <c r="K38" i="102" s="1"/>
  <c r="C57" i="103"/>
  <c r="AA39" i="104"/>
  <c r="I39" i="104"/>
  <c r="K39" i="104" s="1"/>
  <c r="C244" i="105"/>
  <c r="B55" i="105"/>
  <c r="H217" i="105"/>
  <c r="J30" i="106"/>
  <c r="AB12" i="106"/>
  <c r="F8" i="107"/>
  <c r="H200" i="109"/>
  <c r="C21" i="109"/>
  <c r="F23" i="109" s="1"/>
  <c r="E287" i="117"/>
  <c r="A317" i="117" s="1"/>
  <c r="E301" i="117"/>
  <c r="AB21" i="80"/>
  <c r="E407" i="81"/>
  <c r="F414" i="81" s="1"/>
  <c r="J71" i="83"/>
  <c r="M74" i="83"/>
  <c r="Q78" i="83"/>
  <c r="D81" i="83"/>
  <c r="E82" i="83"/>
  <c r="F83" i="83"/>
  <c r="J33" i="84"/>
  <c r="F11" i="85"/>
  <c r="H11" i="85" s="1"/>
  <c r="C84" i="85"/>
  <c r="F365" i="89"/>
  <c r="B27" i="89"/>
  <c r="F14" i="91"/>
  <c r="H14" i="91" s="1"/>
  <c r="J36" i="90"/>
  <c r="H8" i="91"/>
  <c r="H351" i="91"/>
  <c r="E105" i="91"/>
  <c r="F109" i="91" s="1"/>
  <c r="F157" i="91"/>
  <c r="E11" i="93"/>
  <c r="G11" i="93" s="1"/>
  <c r="AA21" i="92"/>
  <c r="C15" i="93"/>
  <c r="G15" i="93" s="1"/>
  <c r="AA32" i="92"/>
  <c r="D275" i="95"/>
  <c r="H249" i="95"/>
  <c r="D518" i="97"/>
  <c r="H423" i="97"/>
  <c r="H455" i="97"/>
  <c r="D522" i="97"/>
  <c r="H487" i="97"/>
  <c r="D203" i="97"/>
  <c r="F206" i="97" s="1"/>
  <c r="D526" i="97"/>
  <c r="D35" i="97"/>
  <c r="F38" i="97" s="1"/>
  <c r="D148" i="97"/>
  <c r="B151" i="97"/>
  <c r="C155" i="97"/>
  <c r="F158" i="97"/>
  <c r="B242" i="97"/>
  <c r="J240" i="97"/>
  <c r="F239" i="97"/>
  <c r="B238" i="97"/>
  <c r="J236" i="97"/>
  <c r="F235" i="97"/>
  <c r="B234" i="97"/>
  <c r="J232" i="97"/>
  <c r="F231" i="97"/>
  <c r="I240" i="97"/>
  <c r="E239" i="97"/>
  <c r="M237" i="97"/>
  <c r="I236" i="97"/>
  <c r="E235" i="97"/>
  <c r="I232" i="97"/>
  <c r="E231" i="97"/>
  <c r="I241" i="97"/>
  <c r="E240" i="97"/>
  <c r="M238" i="97"/>
  <c r="I237" i="97"/>
  <c r="E236" i="97"/>
  <c r="I233" i="97"/>
  <c r="E232" i="97"/>
  <c r="C242" i="97"/>
  <c r="F240" i="97"/>
  <c r="J238" i="97"/>
  <c r="C237" i="97"/>
  <c r="H235" i="97"/>
  <c r="K233" i="97"/>
  <c r="C232" i="97"/>
  <c r="D240" i="97"/>
  <c r="I238" i="97"/>
  <c r="B237" i="97"/>
  <c r="G235" i="97"/>
  <c r="J233" i="97"/>
  <c r="B232" i="97"/>
  <c r="K241" i="97"/>
  <c r="C240" i="97"/>
  <c r="H238" i="97"/>
  <c r="M236" i="97"/>
  <c r="D235" i="97"/>
  <c r="H233" i="97"/>
  <c r="M231" i="97"/>
  <c r="J241" i="97"/>
  <c r="B240" i="97"/>
  <c r="G238" i="97"/>
  <c r="L236" i="97"/>
  <c r="C235" i="97"/>
  <c r="G233" i="97"/>
  <c r="L231" i="97"/>
  <c r="H241" i="97"/>
  <c r="M239" i="97"/>
  <c r="F238" i="97"/>
  <c r="K236" i="97"/>
  <c r="B235" i="97"/>
  <c r="F233" i="97"/>
  <c r="K231" i="97"/>
  <c r="G241" i="97"/>
  <c r="L239" i="97"/>
  <c r="E238" i="97"/>
  <c r="H236" i="97"/>
  <c r="J231" i="97"/>
  <c r="C241" i="97"/>
  <c r="K238" i="97"/>
  <c r="M235" i="97"/>
  <c r="C233" i="97"/>
  <c r="B241" i="97"/>
  <c r="D238" i="97"/>
  <c r="L235" i="97"/>
  <c r="B233" i="97"/>
  <c r="M240" i="97"/>
  <c r="C238" i="97"/>
  <c r="K235" i="97"/>
  <c r="M232" i="97"/>
  <c r="L240" i="97"/>
  <c r="L237" i="97"/>
  <c r="J235" i="97"/>
  <c r="L232" i="97"/>
  <c r="K240" i="97"/>
  <c r="K237" i="97"/>
  <c r="I235" i="97"/>
  <c r="K232" i="97"/>
  <c r="H242" i="97"/>
  <c r="J239" i="97"/>
  <c r="F237" i="97"/>
  <c r="H234" i="97"/>
  <c r="D232" i="97"/>
  <c r="H232" i="97"/>
  <c r="D237" i="97"/>
  <c r="E281" i="99"/>
  <c r="A311" i="99" s="1"/>
  <c r="E295" i="99"/>
  <c r="F298" i="99" s="1"/>
  <c r="K9" i="99"/>
  <c r="B222" i="99"/>
  <c r="G251" i="99"/>
  <c r="E255" i="99"/>
  <c r="D260" i="99"/>
  <c r="J31" i="100"/>
  <c r="AB15" i="100"/>
  <c r="G86" i="105"/>
  <c r="G84" i="105"/>
  <c r="G82" i="105"/>
  <c r="G80" i="105"/>
  <c r="F86" i="105"/>
  <c r="F84" i="105"/>
  <c r="F82" i="105"/>
  <c r="F80" i="105"/>
  <c r="E86" i="105"/>
  <c r="E84" i="105"/>
  <c r="E82" i="105"/>
  <c r="E80" i="105"/>
  <c r="E83" i="105"/>
  <c r="B81" i="105"/>
  <c r="G85" i="105"/>
  <c r="D83" i="105"/>
  <c r="F85" i="105"/>
  <c r="C83" i="105"/>
  <c r="H82" i="105"/>
  <c r="E85" i="105"/>
  <c r="B82" i="105"/>
  <c r="D85" i="105"/>
  <c r="I81" i="105"/>
  <c r="H81" i="105"/>
  <c r="I84" i="105"/>
  <c r="G81" i="105"/>
  <c r="H84" i="105"/>
  <c r="F81" i="105"/>
  <c r="D84" i="105"/>
  <c r="E81" i="105"/>
  <c r="C84" i="105"/>
  <c r="G79" i="105"/>
  <c r="B84" i="105"/>
  <c r="F79" i="105"/>
  <c r="F83" i="105"/>
  <c r="F52" i="105"/>
  <c r="F46" i="105"/>
  <c r="E52" i="105"/>
  <c r="G51" i="105"/>
  <c r="H46" i="105"/>
  <c r="E51" i="105"/>
  <c r="B49" i="105"/>
  <c r="D46" i="105"/>
  <c r="B51" i="105"/>
  <c r="I45" i="105"/>
  <c r="H50" i="105"/>
  <c r="C50" i="105"/>
  <c r="B47" i="105"/>
  <c r="H49" i="105"/>
  <c r="I48" i="105"/>
  <c r="H48" i="105"/>
  <c r="F39" i="105"/>
  <c r="C48" i="105"/>
  <c r="B48" i="105"/>
  <c r="H52" i="105"/>
  <c r="I47" i="105"/>
  <c r="I51" i="105"/>
  <c r="H45" i="105"/>
  <c r="H83" i="105"/>
  <c r="AB5" i="106"/>
  <c r="D6" i="107"/>
  <c r="H6" i="107" s="1"/>
  <c r="J28" i="106"/>
  <c r="P270" i="111"/>
  <c r="G254" i="111"/>
  <c r="H497" i="79"/>
  <c r="H566" i="81"/>
  <c r="J70" i="83"/>
  <c r="P76" i="83"/>
  <c r="Q77" i="83"/>
  <c r="C79" i="83"/>
  <c r="D80" i="83"/>
  <c r="F82" i="83"/>
  <c r="G83" i="83"/>
  <c r="D287" i="83"/>
  <c r="H550" i="83"/>
  <c r="I85" i="85"/>
  <c r="I83" i="85"/>
  <c r="H85" i="85"/>
  <c r="H83" i="85"/>
  <c r="G87" i="85"/>
  <c r="G85" i="85"/>
  <c r="G83" i="85"/>
  <c r="G81" i="85"/>
  <c r="F87" i="85"/>
  <c r="F85" i="85"/>
  <c r="F83" i="85"/>
  <c r="F81" i="85"/>
  <c r="E87" i="85"/>
  <c r="E85" i="85"/>
  <c r="E83" i="85"/>
  <c r="E81" i="85"/>
  <c r="I86" i="85"/>
  <c r="I84" i="85"/>
  <c r="D84" i="85"/>
  <c r="E8" i="89"/>
  <c r="G8" i="89" s="1"/>
  <c r="I30" i="88"/>
  <c r="K30" i="88" s="1"/>
  <c r="I32" i="88"/>
  <c r="AA18" i="88"/>
  <c r="D6" i="89"/>
  <c r="C27" i="89"/>
  <c r="F29" i="89" s="1"/>
  <c r="F205" i="89"/>
  <c r="H335" i="89"/>
  <c r="G152" i="91"/>
  <c r="E13" i="93"/>
  <c r="I35" i="92"/>
  <c r="K35" i="92" s="1"/>
  <c r="D15" i="93"/>
  <c r="H15" i="93" s="1"/>
  <c r="J37" i="92"/>
  <c r="AB32" i="92"/>
  <c r="F487" i="93"/>
  <c r="G12" i="93"/>
  <c r="F299" i="93"/>
  <c r="AA15" i="94"/>
  <c r="I31" i="94"/>
  <c r="E9" i="95"/>
  <c r="G9" i="95" s="1"/>
  <c r="H250" i="95"/>
  <c r="E74" i="95"/>
  <c r="F78" i="95" s="1"/>
  <c r="G151" i="95"/>
  <c r="G318" i="97"/>
  <c r="F318" i="97"/>
  <c r="I28" i="96"/>
  <c r="K28" i="96" s="1"/>
  <c r="G148" i="97"/>
  <c r="I151" i="97"/>
  <c r="G158" i="97"/>
  <c r="E237" i="97"/>
  <c r="F241" i="97"/>
  <c r="J9" i="99"/>
  <c r="I9" i="99"/>
  <c r="B54" i="99"/>
  <c r="C222" i="99"/>
  <c r="F224" i="99" s="1"/>
  <c r="H251" i="99"/>
  <c r="I256" i="99"/>
  <c r="G260" i="99"/>
  <c r="M31" i="100"/>
  <c r="L31" i="100"/>
  <c r="B32" i="101"/>
  <c r="H149" i="101"/>
  <c r="C167" i="101"/>
  <c r="C6" i="103"/>
  <c r="G6" i="103" s="1"/>
  <c r="AA5" i="102"/>
  <c r="AB21" i="102"/>
  <c r="J33" i="102"/>
  <c r="B17" i="103"/>
  <c r="C165" i="103"/>
  <c r="J92" i="103"/>
  <c r="M37" i="104"/>
  <c r="L37" i="104"/>
  <c r="J40" i="104"/>
  <c r="AB42" i="104"/>
  <c r="C51" i="105"/>
  <c r="I83" i="105"/>
  <c r="L145" i="105"/>
  <c r="G133" i="105"/>
  <c r="E174" i="107"/>
  <c r="A200" i="107" s="1"/>
  <c r="E186" i="107"/>
  <c r="E6" i="107"/>
  <c r="I28" i="106"/>
  <c r="AA24" i="106"/>
  <c r="E12" i="107"/>
  <c r="I34" i="106"/>
  <c r="G10" i="107"/>
  <c r="H298" i="107"/>
  <c r="E82" i="107"/>
  <c r="D97" i="107" s="1"/>
  <c r="F242" i="109"/>
  <c r="G255" i="111"/>
  <c r="P271" i="111"/>
  <c r="C642" i="81"/>
  <c r="H572" i="81"/>
  <c r="H630" i="81"/>
  <c r="E400" i="83"/>
  <c r="E382" i="83"/>
  <c r="A420" i="83" s="1"/>
  <c r="AA41" i="82"/>
  <c r="G11" i="83"/>
  <c r="H548" i="83"/>
  <c r="B87" i="83"/>
  <c r="C643" i="83"/>
  <c r="H580" i="83"/>
  <c r="B187" i="83"/>
  <c r="O296" i="83"/>
  <c r="J69" i="83"/>
  <c r="L71" i="83"/>
  <c r="Q76" i="83"/>
  <c r="C78" i="83"/>
  <c r="D79" i="83"/>
  <c r="E80" i="83"/>
  <c r="F81" i="83"/>
  <c r="G82" i="83"/>
  <c r="H295" i="83"/>
  <c r="D641" i="83"/>
  <c r="AB33" i="84"/>
  <c r="E84" i="85"/>
  <c r="D87" i="85"/>
  <c r="J32" i="88"/>
  <c r="F10" i="89"/>
  <c r="H10" i="89" s="1"/>
  <c r="J36" i="88"/>
  <c r="E6" i="89"/>
  <c r="G6" i="89" s="1"/>
  <c r="E10" i="89"/>
  <c r="G10" i="89" s="1"/>
  <c r="H297" i="89"/>
  <c r="D360" i="89"/>
  <c r="D27" i="89"/>
  <c r="F30" i="89" s="1"/>
  <c r="AB30" i="90"/>
  <c r="K156" i="91"/>
  <c r="C152" i="91"/>
  <c r="G150" i="91"/>
  <c r="F150" i="91"/>
  <c r="E158" i="91"/>
  <c r="K151" i="91"/>
  <c r="D158" i="91"/>
  <c r="B155" i="91"/>
  <c r="J151" i="91"/>
  <c r="D150" i="91"/>
  <c r="I151" i="91"/>
  <c r="E159" i="91"/>
  <c r="K152" i="91"/>
  <c r="H383" i="91"/>
  <c r="E294" i="93"/>
  <c r="F296" i="93" s="1"/>
  <c r="F6" i="92"/>
  <c r="H6" i="92" s="1"/>
  <c r="J6" i="92" s="1"/>
  <c r="J29" i="92"/>
  <c r="I33" i="92"/>
  <c r="K33" i="92" s="1"/>
  <c r="H223" i="95"/>
  <c r="B23" i="95"/>
  <c r="C272" i="95"/>
  <c r="C276" i="95"/>
  <c r="H255" i="95"/>
  <c r="AA14" i="96"/>
  <c r="H148" i="97"/>
  <c r="K151" i="97"/>
  <c r="G237" i="97"/>
  <c r="G327" i="97"/>
  <c r="I42" i="98"/>
  <c r="K42" i="98" s="1"/>
  <c r="N6" i="99"/>
  <c r="A398" i="99" s="1"/>
  <c r="H260" i="99"/>
  <c r="I251" i="99"/>
  <c r="J256" i="99"/>
  <c r="P321" i="99"/>
  <c r="G305" i="99"/>
  <c r="J36" i="100"/>
  <c r="AB30" i="100"/>
  <c r="E72" i="103"/>
  <c r="A90" i="103" s="1"/>
  <c r="F6" i="102"/>
  <c r="E80" i="103"/>
  <c r="M33" i="102"/>
  <c r="L33" i="102"/>
  <c r="M41" i="102"/>
  <c r="L41" i="102"/>
  <c r="H141" i="103"/>
  <c r="C17" i="103"/>
  <c r="F19" i="103" s="1"/>
  <c r="F73" i="105"/>
  <c r="D86" i="105"/>
  <c r="J34" i="106"/>
  <c r="F12" i="107"/>
  <c r="AB24" i="106"/>
  <c r="B25" i="107"/>
  <c r="C328" i="107"/>
  <c r="H303" i="107"/>
  <c r="B101" i="107"/>
  <c r="G131" i="109"/>
  <c r="F131" i="109"/>
  <c r="E242" i="111"/>
  <c r="A272" i="111" s="1"/>
  <c r="E256" i="111"/>
  <c r="D645" i="81"/>
  <c r="T430" i="83"/>
  <c r="G410" i="83"/>
  <c r="C77" i="83"/>
  <c r="D78" i="83"/>
  <c r="E79" i="83"/>
  <c r="F80" i="83"/>
  <c r="G81" i="83"/>
  <c r="H82" i="83"/>
  <c r="P304" i="83"/>
  <c r="F84" i="85"/>
  <c r="AB6" i="88"/>
  <c r="F6" i="89"/>
  <c r="M38" i="88"/>
  <c r="L38" i="88"/>
  <c r="AA14" i="90"/>
  <c r="C9" i="91"/>
  <c r="G9" i="91" s="1"/>
  <c r="M42" i="90"/>
  <c r="L42" i="90"/>
  <c r="AB39" i="94"/>
  <c r="J39" i="94"/>
  <c r="E319" i="97"/>
  <c r="F6" i="96"/>
  <c r="H6" i="96" s="1"/>
  <c r="J6" i="96" s="1"/>
  <c r="H15" i="97"/>
  <c r="B158" i="97"/>
  <c r="F155" i="97"/>
  <c r="B154" i="97"/>
  <c r="J152" i="97"/>
  <c r="F151" i="97"/>
  <c r="B150" i="97"/>
  <c r="J148" i="97"/>
  <c r="F147" i="97"/>
  <c r="M157" i="97"/>
  <c r="I156" i="97"/>
  <c r="M153" i="97"/>
  <c r="I152" i="97"/>
  <c r="E151" i="97"/>
  <c r="M149" i="97"/>
  <c r="I148" i="97"/>
  <c r="E147" i="97"/>
  <c r="M158" i="97"/>
  <c r="I157" i="97"/>
  <c r="M154" i="97"/>
  <c r="I153" i="97"/>
  <c r="E152" i="97"/>
  <c r="M150" i="97"/>
  <c r="I149" i="97"/>
  <c r="E148" i="97"/>
  <c r="E158" i="97"/>
  <c r="H156" i="97"/>
  <c r="L154" i="97"/>
  <c r="E153" i="97"/>
  <c r="J151" i="97"/>
  <c r="C150" i="97"/>
  <c r="F148" i="97"/>
  <c r="C158" i="97"/>
  <c r="F156" i="97"/>
  <c r="J154" i="97"/>
  <c r="C153" i="97"/>
  <c r="H151" i="97"/>
  <c r="C148" i="97"/>
  <c r="K157" i="97"/>
  <c r="C156" i="97"/>
  <c r="H154" i="97"/>
  <c r="M152" i="97"/>
  <c r="D151" i="97"/>
  <c r="H149" i="97"/>
  <c r="M147" i="97"/>
  <c r="J157" i="97"/>
  <c r="B156" i="97"/>
  <c r="G154" i="97"/>
  <c r="L152" i="97"/>
  <c r="C151" i="97"/>
  <c r="G149" i="97"/>
  <c r="L147" i="97"/>
  <c r="L158" i="97"/>
  <c r="M156" i="97"/>
  <c r="I154" i="97"/>
  <c r="F152" i="97"/>
  <c r="F150" i="97"/>
  <c r="B148" i="97"/>
  <c r="K158" i="97"/>
  <c r="L156" i="97"/>
  <c r="F154" i="97"/>
  <c r="D152" i="97"/>
  <c r="K147" i="97"/>
  <c r="F141" i="97"/>
  <c r="J158" i="97"/>
  <c r="E154" i="97"/>
  <c r="C152" i="97"/>
  <c r="J147" i="97"/>
  <c r="I158" i="97"/>
  <c r="G156" i="97"/>
  <c r="D154" i="97"/>
  <c r="B152" i="97"/>
  <c r="L149" i="97"/>
  <c r="I147" i="97"/>
  <c r="H158" i="97"/>
  <c r="C154" i="97"/>
  <c r="M151" i="97"/>
  <c r="H147" i="97"/>
  <c r="L157" i="97"/>
  <c r="H153" i="97"/>
  <c r="G151" i="97"/>
  <c r="C149" i="97"/>
  <c r="B147" i="97"/>
  <c r="K148" i="97"/>
  <c r="L151" i="97"/>
  <c r="H155" i="97"/>
  <c r="C234" i="97"/>
  <c r="H237" i="97"/>
  <c r="F13" i="99"/>
  <c r="H13" i="99" s="1"/>
  <c r="J35" i="98"/>
  <c r="AB27" i="98"/>
  <c r="H438" i="99"/>
  <c r="B138" i="99"/>
  <c r="F245" i="99"/>
  <c r="M261" i="99"/>
  <c r="G253" i="99"/>
  <c r="D250" i="99"/>
  <c r="L261" i="99"/>
  <c r="H255" i="99"/>
  <c r="F253" i="99"/>
  <c r="C250" i="99"/>
  <c r="M260" i="99"/>
  <c r="I258" i="99"/>
  <c r="B253" i="99"/>
  <c r="B250" i="99"/>
  <c r="L260" i="99"/>
  <c r="M252" i="99"/>
  <c r="M251" i="99"/>
  <c r="K256" i="99"/>
  <c r="J260" i="99"/>
  <c r="D167" i="101"/>
  <c r="H151" i="101"/>
  <c r="D32" i="101"/>
  <c r="F35" i="101" s="1"/>
  <c r="H142" i="103"/>
  <c r="D165" i="103"/>
  <c r="D17" i="103"/>
  <c r="F20" i="103" s="1"/>
  <c r="G130" i="105"/>
  <c r="G134" i="105"/>
  <c r="L146" i="105"/>
  <c r="AB33" i="106"/>
  <c r="J37" i="106"/>
  <c r="H272" i="107"/>
  <c r="C25" i="107"/>
  <c r="F27" i="107" s="1"/>
  <c r="H304" i="107"/>
  <c r="C101" i="107"/>
  <c r="F103" i="107" s="1"/>
  <c r="M36" i="110"/>
  <c r="L36" i="110"/>
  <c r="H622" i="81"/>
  <c r="J32" i="82"/>
  <c r="I40" i="82"/>
  <c r="K40" i="82" s="1"/>
  <c r="D643" i="83"/>
  <c r="H582" i="83"/>
  <c r="B84" i="83"/>
  <c r="B83" i="83"/>
  <c r="B79" i="83"/>
  <c r="B78" i="83"/>
  <c r="B77" i="83"/>
  <c r="B76" i="83"/>
  <c r="B75" i="83"/>
  <c r="B73" i="83"/>
  <c r="B71" i="83"/>
  <c r="B70" i="83"/>
  <c r="B69" i="83"/>
  <c r="F63" i="83"/>
  <c r="L69" i="83"/>
  <c r="P73" i="83"/>
  <c r="Q74" i="83"/>
  <c r="C76" i="83"/>
  <c r="D77" i="83"/>
  <c r="E78" i="83"/>
  <c r="F79" i="83"/>
  <c r="G80" i="83"/>
  <c r="H81" i="83"/>
  <c r="J83" i="83"/>
  <c r="F288" i="83"/>
  <c r="F6" i="84"/>
  <c r="H6" i="84" s="1"/>
  <c r="J6" i="84" s="1"/>
  <c r="D81" i="85"/>
  <c r="G84" i="85"/>
  <c r="AA30" i="86"/>
  <c r="I36" i="86"/>
  <c r="K36" i="86" s="1"/>
  <c r="AA36" i="86"/>
  <c r="I38" i="86"/>
  <c r="K38" i="86" s="1"/>
  <c r="H10" i="87"/>
  <c r="I10" i="87" s="1"/>
  <c r="J152" i="91"/>
  <c r="K157" i="91"/>
  <c r="L285" i="91"/>
  <c r="J39" i="92"/>
  <c r="F7" i="93"/>
  <c r="H7" i="93" s="1"/>
  <c r="H481" i="93"/>
  <c r="I39" i="94"/>
  <c r="K39" i="94" s="1"/>
  <c r="G8" i="97"/>
  <c r="G16" i="97"/>
  <c r="L148" i="97"/>
  <c r="G152" i="97"/>
  <c r="I155" i="97"/>
  <c r="J237" i="97"/>
  <c r="F242" i="97"/>
  <c r="I35" i="98"/>
  <c r="AA35" i="98"/>
  <c r="I38" i="98"/>
  <c r="C16" i="99"/>
  <c r="G16" i="99" s="1"/>
  <c r="J40" i="98"/>
  <c r="AB42" i="98"/>
  <c r="C252" i="99"/>
  <c r="L256" i="99"/>
  <c r="K260" i="99"/>
  <c r="M36" i="100"/>
  <c r="J28" i="102"/>
  <c r="F6" i="103"/>
  <c r="H6" i="103" s="1"/>
  <c r="AB6" i="102"/>
  <c r="AB15" i="102"/>
  <c r="J31" i="102"/>
  <c r="B45" i="105"/>
  <c r="B52" i="105"/>
  <c r="I37" i="106"/>
  <c r="K37" i="106" s="1"/>
  <c r="C9" i="109"/>
  <c r="G9" i="109" s="1"/>
  <c r="AA14" i="108"/>
  <c r="I31" i="108"/>
  <c r="F73" i="111"/>
  <c r="C83" i="111"/>
  <c r="B83" i="111"/>
  <c r="G81" i="111"/>
  <c r="B81" i="111"/>
  <c r="E240" i="111"/>
  <c r="A270" i="111" s="1"/>
  <c r="C23" i="87"/>
  <c r="F33" i="87" s="1"/>
  <c r="C91" i="87"/>
  <c r="F100" i="87" s="1"/>
  <c r="AA23" i="88"/>
  <c r="H345" i="89"/>
  <c r="D362" i="89"/>
  <c r="C48" i="91"/>
  <c r="K64" i="91" s="1"/>
  <c r="E227" i="91"/>
  <c r="F232" i="91" s="1"/>
  <c r="AB24" i="92"/>
  <c r="E9" i="93"/>
  <c r="G9" i="93" s="1"/>
  <c r="H440" i="93"/>
  <c r="D492" i="93"/>
  <c r="D6" i="95"/>
  <c r="H6" i="95" s="1"/>
  <c r="E314" i="97"/>
  <c r="A344" i="97" s="1"/>
  <c r="AB12" i="98"/>
  <c r="B252" i="99"/>
  <c r="B255" i="99"/>
  <c r="F257" i="99"/>
  <c r="E29" i="101"/>
  <c r="C29" i="101"/>
  <c r="G28" i="101"/>
  <c r="F24" i="101"/>
  <c r="AA6" i="102"/>
  <c r="I28" i="102"/>
  <c r="D8" i="107"/>
  <c r="AB11" i="106"/>
  <c r="AB36" i="106"/>
  <c r="J38" i="106"/>
  <c r="G193" i="107"/>
  <c r="N207" i="107"/>
  <c r="AB39" i="110"/>
  <c r="J39" i="110"/>
  <c r="M32" i="112"/>
  <c r="L32" i="112"/>
  <c r="B74" i="113"/>
  <c r="C272" i="113"/>
  <c r="H244" i="113"/>
  <c r="F10" i="85"/>
  <c r="H10" i="85" s="1"/>
  <c r="E196" i="89"/>
  <c r="A222" i="89" s="1"/>
  <c r="H313" i="89"/>
  <c r="D488" i="93"/>
  <c r="H408" i="93"/>
  <c r="D54" i="93"/>
  <c r="F57" i="93" s="1"/>
  <c r="B243" i="93"/>
  <c r="H472" i="93"/>
  <c r="G325" i="97"/>
  <c r="F325" i="97"/>
  <c r="E9" i="97"/>
  <c r="G9" i="97" s="1"/>
  <c r="I31" i="96"/>
  <c r="J94" i="103"/>
  <c r="F84" i="103"/>
  <c r="AA9" i="104"/>
  <c r="E7" i="105"/>
  <c r="G7" i="105" s="1"/>
  <c r="C9" i="105"/>
  <c r="G9" i="105" s="1"/>
  <c r="I31" i="104"/>
  <c r="K31" i="104" s="1"/>
  <c r="J33" i="104"/>
  <c r="AB21" i="104"/>
  <c r="AA45" i="104"/>
  <c r="I41" i="104"/>
  <c r="K41" i="104" s="1"/>
  <c r="E187" i="107"/>
  <c r="E175" i="107"/>
  <c r="A201" i="107" s="1"/>
  <c r="D25" i="107"/>
  <c r="F28" i="107" s="1"/>
  <c r="H273" i="107"/>
  <c r="D101" i="107"/>
  <c r="F104" i="107" s="1"/>
  <c r="H305" i="107"/>
  <c r="D332" i="107"/>
  <c r="F330" i="107"/>
  <c r="J6" i="113"/>
  <c r="G9" i="113"/>
  <c r="D6" i="115"/>
  <c r="AB5" i="114"/>
  <c r="F9" i="115"/>
  <c r="H9" i="115" s="1"/>
  <c r="J31" i="114"/>
  <c r="K31" i="114" s="1"/>
  <c r="AB15" i="114"/>
  <c r="B141" i="89"/>
  <c r="E197" i="89"/>
  <c r="A223" i="89" s="1"/>
  <c r="E10" i="91"/>
  <c r="G10" i="91" s="1"/>
  <c r="F12" i="93"/>
  <c r="H12" i="93" s="1"/>
  <c r="E54" i="93"/>
  <c r="F58" i="93" s="1"/>
  <c r="E300" i="93"/>
  <c r="C493" i="93"/>
  <c r="F150" i="95"/>
  <c r="G150" i="95"/>
  <c r="D40" i="95"/>
  <c r="F43" i="95" s="1"/>
  <c r="H233" i="95"/>
  <c r="F326" i="97"/>
  <c r="J31" i="96"/>
  <c r="AB15" i="96"/>
  <c r="AB38" i="96"/>
  <c r="C12" i="99"/>
  <c r="G12" i="99" s="1"/>
  <c r="I34" i="98"/>
  <c r="C7" i="101"/>
  <c r="AA8" i="100"/>
  <c r="C57" i="101"/>
  <c r="E54" i="101"/>
  <c r="B57" i="101"/>
  <c r="D54" i="101"/>
  <c r="E59" i="101"/>
  <c r="G56" i="101"/>
  <c r="F57" i="101"/>
  <c r="E57" i="101"/>
  <c r="D56" i="101"/>
  <c r="D59" i="101"/>
  <c r="E55" i="101"/>
  <c r="F48" i="101"/>
  <c r="D55" i="101"/>
  <c r="H157" i="101"/>
  <c r="F6" i="104"/>
  <c r="H6" i="104" s="1"/>
  <c r="J6" i="104" s="1"/>
  <c r="AB9" i="104"/>
  <c r="F7" i="105"/>
  <c r="H7" i="105" s="1"/>
  <c r="AB45" i="104"/>
  <c r="J41" i="104"/>
  <c r="E118" i="105"/>
  <c r="A140" i="105" s="1"/>
  <c r="C120" i="107"/>
  <c r="F135" i="107" s="1"/>
  <c r="L37" i="110"/>
  <c r="M37" i="110"/>
  <c r="AB36" i="112"/>
  <c r="J38" i="112"/>
  <c r="AA6" i="114"/>
  <c r="E6" i="115"/>
  <c r="I28" i="114"/>
  <c r="H314" i="89"/>
  <c r="I37" i="92"/>
  <c r="J31" i="94"/>
  <c r="E40" i="95"/>
  <c r="F44" i="95" s="1"/>
  <c r="E140" i="95"/>
  <c r="A162" i="95" s="1"/>
  <c r="H430" i="97"/>
  <c r="C56" i="97"/>
  <c r="C65" i="97" s="1"/>
  <c r="H69" i="97"/>
  <c r="D12" i="99"/>
  <c r="H12" i="99" s="1"/>
  <c r="J34" i="98"/>
  <c r="C15" i="99"/>
  <c r="AA32" i="98"/>
  <c r="H415" i="99"/>
  <c r="C75" i="99"/>
  <c r="C82" i="99" s="1"/>
  <c r="H447" i="99"/>
  <c r="C159" i="99"/>
  <c r="I170" i="99" s="1"/>
  <c r="H417" i="99"/>
  <c r="AB8" i="100"/>
  <c r="D7" i="101"/>
  <c r="H7" i="101" s="1"/>
  <c r="B56" i="101"/>
  <c r="AB30" i="102"/>
  <c r="J36" i="102"/>
  <c r="G129" i="105"/>
  <c r="F129" i="105"/>
  <c r="I29" i="104"/>
  <c r="K29" i="104" s="1"/>
  <c r="G8" i="105"/>
  <c r="E119" i="105"/>
  <c r="A141" i="105" s="1"/>
  <c r="AA14" i="106"/>
  <c r="C9" i="107"/>
  <c r="G9" i="107" s="1"/>
  <c r="J36" i="106"/>
  <c r="AB30" i="106"/>
  <c r="J41" i="106"/>
  <c r="H279" i="107"/>
  <c r="C329" i="107"/>
  <c r="B44" i="107"/>
  <c r="C333" i="107"/>
  <c r="H311" i="107"/>
  <c r="E101" i="107"/>
  <c r="F105" i="107" s="1"/>
  <c r="M41" i="112"/>
  <c r="L41" i="112"/>
  <c r="K6" i="113"/>
  <c r="F6" i="115"/>
  <c r="J28" i="114"/>
  <c r="D141" i="89"/>
  <c r="F144" i="89" s="1"/>
  <c r="F524" i="97"/>
  <c r="M74" i="97"/>
  <c r="M66" i="97"/>
  <c r="I65" i="97"/>
  <c r="C71" i="97"/>
  <c r="H67" i="97"/>
  <c r="D72" i="97"/>
  <c r="B69" i="97"/>
  <c r="J69" i="97"/>
  <c r="H462" i="97"/>
  <c r="I32" i="98"/>
  <c r="K32" i="98" s="1"/>
  <c r="E10" i="99"/>
  <c r="G10" i="99" s="1"/>
  <c r="L41" i="98"/>
  <c r="M41" i="98"/>
  <c r="H416" i="99"/>
  <c r="D75" i="99"/>
  <c r="F78" i="99" s="1"/>
  <c r="D489" i="99"/>
  <c r="D159" i="99"/>
  <c r="F162" i="99" s="1"/>
  <c r="D493" i="99"/>
  <c r="H6" i="100"/>
  <c r="J6" i="100" s="1"/>
  <c r="AA9" i="100"/>
  <c r="E7" i="101"/>
  <c r="I35" i="100"/>
  <c r="K35" i="100" s="1"/>
  <c r="AA27" i="100"/>
  <c r="M36" i="102"/>
  <c r="L36" i="102"/>
  <c r="E188" i="107"/>
  <c r="E176" i="107"/>
  <c r="A202" i="107" s="1"/>
  <c r="J31" i="106"/>
  <c r="AB14" i="106"/>
  <c r="AA23" i="106"/>
  <c r="C12" i="107"/>
  <c r="M36" i="106"/>
  <c r="L36" i="106"/>
  <c r="J34" i="108"/>
  <c r="AB24" i="108"/>
  <c r="G128" i="109"/>
  <c r="F128" i="109"/>
  <c r="F134" i="109"/>
  <c r="G133" i="109"/>
  <c r="F10" i="111"/>
  <c r="AB18" i="110"/>
  <c r="I6" i="113"/>
  <c r="E269" i="113" s="1"/>
  <c r="I12" i="115"/>
  <c r="L41" i="118"/>
  <c r="M41" i="118"/>
  <c r="I8" i="119"/>
  <c r="J33" i="94"/>
  <c r="K33" i="94" s="1"/>
  <c r="J35" i="96"/>
  <c r="K35" i="96" s="1"/>
  <c r="G17" i="97"/>
  <c r="D63" i="97"/>
  <c r="H10" i="99"/>
  <c r="I37" i="98"/>
  <c r="K37" i="98" s="1"/>
  <c r="AA33" i="98"/>
  <c r="E15" i="99"/>
  <c r="G15" i="99" s="1"/>
  <c r="I39" i="98"/>
  <c r="K39" i="98" s="1"/>
  <c r="J41" i="98"/>
  <c r="C261" i="99"/>
  <c r="C257" i="99"/>
  <c r="C253" i="99"/>
  <c r="K251" i="99"/>
  <c r="G250" i="99"/>
  <c r="K261" i="99"/>
  <c r="F260" i="99"/>
  <c r="M258" i="99"/>
  <c r="H257" i="99"/>
  <c r="C256" i="99"/>
  <c r="E253" i="99"/>
  <c r="L251" i="99"/>
  <c r="F250" i="99"/>
  <c r="J261" i="99"/>
  <c r="E260" i="99"/>
  <c r="L258" i="99"/>
  <c r="G257" i="99"/>
  <c r="B256" i="99"/>
  <c r="I254" i="99"/>
  <c r="D253" i="99"/>
  <c r="J251" i="99"/>
  <c r="E250" i="99"/>
  <c r="F261" i="99"/>
  <c r="M259" i="99"/>
  <c r="H258" i="99"/>
  <c r="B257" i="99"/>
  <c r="I255" i="99"/>
  <c r="D254" i="99"/>
  <c r="K252" i="99"/>
  <c r="F251" i="99"/>
  <c r="I261" i="99"/>
  <c r="L259" i="99"/>
  <c r="C258" i="99"/>
  <c r="G256" i="99"/>
  <c r="L252" i="99"/>
  <c r="C251" i="99"/>
  <c r="H261" i="99"/>
  <c r="B258" i="99"/>
  <c r="F256" i="99"/>
  <c r="H254" i="99"/>
  <c r="J252" i="99"/>
  <c r="B251" i="99"/>
  <c r="G261" i="99"/>
  <c r="I259" i="99"/>
  <c r="M257" i="99"/>
  <c r="E256" i="99"/>
  <c r="I252" i="99"/>
  <c r="M250" i="99"/>
  <c r="E261" i="99"/>
  <c r="H259" i="99"/>
  <c r="L257" i="99"/>
  <c r="D256" i="99"/>
  <c r="E254" i="99"/>
  <c r="H252" i="99"/>
  <c r="L250" i="99"/>
  <c r="D261" i="99"/>
  <c r="K257" i="99"/>
  <c r="M255" i="99"/>
  <c r="C254" i="99"/>
  <c r="G252" i="99"/>
  <c r="K250" i="99"/>
  <c r="B261" i="99"/>
  <c r="J257" i="99"/>
  <c r="L255" i="99"/>
  <c r="B254" i="99"/>
  <c r="F252" i="99"/>
  <c r="J250" i="99"/>
  <c r="H250" i="99"/>
  <c r="H253" i="99"/>
  <c r="H256" i="99"/>
  <c r="B259" i="99"/>
  <c r="E56" i="101"/>
  <c r="F84" i="101"/>
  <c r="J41" i="102"/>
  <c r="E177" i="107"/>
  <c r="A203" i="107" s="1"/>
  <c r="E189" i="107"/>
  <c r="AB23" i="106"/>
  <c r="D12" i="107"/>
  <c r="D44" i="107"/>
  <c r="F47" i="107" s="1"/>
  <c r="D329" i="107"/>
  <c r="H281" i="107"/>
  <c r="D333" i="107"/>
  <c r="D120" i="107"/>
  <c r="F123" i="107" s="1"/>
  <c r="I34" i="108"/>
  <c r="K34" i="108" s="1"/>
  <c r="G129" i="109"/>
  <c r="J32" i="110"/>
  <c r="L40" i="110"/>
  <c r="J36" i="112"/>
  <c r="F492" i="99"/>
  <c r="C33" i="99"/>
  <c r="D46" i="99" s="1"/>
  <c r="J87" i="99"/>
  <c r="I86" i="99"/>
  <c r="J168" i="99"/>
  <c r="H432" i="99"/>
  <c r="E72" i="107"/>
  <c r="C75" i="107"/>
  <c r="G77" i="107"/>
  <c r="D148" i="107"/>
  <c r="E151" i="107"/>
  <c r="I153" i="107"/>
  <c r="H207" i="109"/>
  <c r="B38" i="109"/>
  <c r="C241" i="109"/>
  <c r="E257" i="111"/>
  <c r="E243" i="111"/>
  <c r="A273" i="111" s="1"/>
  <c r="I30" i="110"/>
  <c r="K30" i="110" s="1"/>
  <c r="E8" i="111"/>
  <c r="G8" i="111" s="1"/>
  <c r="AA12" i="110"/>
  <c r="AA36" i="110"/>
  <c r="I38" i="110"/>
  <c r="K38" i="110" s="1"/>
  <c r="C11" i="111"/>
  <c r="G11" i="111" s="1"/>
  <c r="J39" i="112"/>
  <c r="AB39" i="112"/>
  <c r="AA48" i="96"/>
  <c r="D33" i="99"/>
  <c r="F36" i="99" s="1"/>
  <c r="AB27" i="100"/>
  <c r="N8" i="101"/>
  <c r="A157" i="101" s="1"/>
  <c r="G24" i="101"/>
  <c r="B29" i="101"/>
  <c r="E77" i="101"/>
  <c r="A95" i="101" s="1"/>
  <c r="G56" i="103"/>
  <c r="B34" i="105"/>
  <c r="G7" i="107"/>
  <c r="F72" i="107"/>
  <c r="D75" i="107"/>
  <c r="E148" i="107"/>
  <c r="K153" i="107"/>
  <c r="J40" i="108"/>
  <c r="J42" i="108"/>
  <c r="AB48" i="108"/>
  <c r="H208" i="109"/>
  <c r="C38" i="109"/>
  <c r="F40" i="109" s="1"/>
  <c r="G132" i="109"/>
  <c r="AB15" i="112"/>
  <c r="J31" i="112"/>
  <c r="K31" i="112" s="1"/>
  <c r="F9" i="113"/>
  <c r="H9" i="113" s="1"/>
  <c r="F16" i="99"/>
  <c r="H16" i="99" s="1"/>
  <c r="AB36" i="98"/>
  <c r="M173" i="99"/>
  <c r="I37" i="100"/>
  <c r="K37" i="100" s="1"/>
  <c r="N6" i="101"/>
  <c r="A141" i="101" s="1"/>
  <c r="D166" i="101"/>
  <c r="H6" i="102"/>
  <c r="J6" i="102" s="1"/>
  <c r="J40" i="102"/>
  <c r="H8" i="103"/>
  <c r="AB9" i="106"/>
  <c r="J29" i="106"/>
  <c r="I33" i="106"/>
  <c r="N11" i="107"/>
  <c r="G72" i="107"/>
  <c r="E75" i="107"/>
  <c r="K77" i="107"/>
  <c r="F143" i="107"/>
  <c r="I148" i="107"/>
  <c r="E154" i="107"/>
  <c r="N206" i="107"/>
  <c r="I42" i="108"/>
  <c r="K42" i="108" s="1"/>
  <c r="AA29" i="110"/>
  <c r="C14" i="111"/>
  <c r="H413" i="117"/>
  <c r="D75" i="117"/>
  <c r="F78" i="117" s="1"/>
  <c r="D486" i="117"/>
  <c r="D490" i="117"/>
  <c r="H445" i="117"/>
  <c r="D159" i="117"/>
  <c r="C168" i="117" s="1"/>
  <c r="D494" i="117"/>
  <c r="H477" i="117"/>
  <c r="D243" i="117"/>
  <c r="F246" i="117" s="1"/>
  <c r="G234" i="121"/>
  <c r="K242" i="121"/>
  <c r="K233" i="121"/>
  <c r="F242" i="121"/>
  <c r="J233" i="121"/>
  <c r="G240" i="121"/>
  <c r="K231" i="121"/>
  <c r="F240" i="121"/>
  <c r="J231" i="121"/>
  <c r="J235" i="121"/>
  <c r="J234" i="121"/>
  <c r="H234" i="121"/>
  <c r="F234" i="121"/>
  <c r="F227" i="121"/>
  <c r="E240" i="121"/>
  <c r="B240" i="121"/>
  <c r="J238" i="121"/>
  <c r="H238" i="121"/>
  <c r="E238" i="121"/>
  <c r="K235" i="121"/>
  <c r="J33" i="96"/>
  <c r="K33" i="96" s="1"/>
  <c r="F11" i="97"/>
  <c r="H11" i="97" s="1"/>
  <c r="I11" i="97" s="1"/>
  <c r="N11" i="97" s="1"/>
  <c r="A461" i="97" s="1"/>
  <c r="H6" i="98"/>
  <c r="J6" i="98" s="1"/>
  <c r="L86" i="99"/>
  <c r="C90" i="99"/>
  <c r="F167" i="99"/>
  <c r="H457" i="99"/>
  <c r="AB6" i="100"/>
  <c r="AB33" i="100"/>
  <c r="D29" i="101"/>
  <c r="AA33" i="104"/>
  <c r="J35" i="104"/>
  <c r="K29" i="106"/>
  <c r="J33" i="106"/>
  <c r="F67" i="107"/>
  <c r="H72" i="107"/>
  <c r="F75" i="107"/>
  <c r="B146" i="107"/>
  <c r="D149" i="107"/>
  <c r="H151" i="107"/>
  <c r="AA17" i="108"/>
  <c r="C10" i="109"/>
  <c r="G10" i="109" s="1"/>
  <c r="J38" i="108"/>
  <c r="H440" i="97"/>
  <c r="J38" i="98"/>
  <c r="C201" i="99"/>
  <c r="I30" i="100"/>
  <c r="K30" i="100" s="1"/>
  <c r="AA12" i="100"/>
  <c r="E131" i="105"/>
  <c r="E70" i="107"/>
  <c r="I72" i="107"/>
  <c r="G75" i="107"/>
  <c r="D146" i="107"/>
  <c r="E149" i="107"/>
  <c r="I151" i="107"/>
  <c r="H322" i="107"/>
  <c r="L147" i="109"/>
  <c r="G135" i="109"/>
  <c r="F135" i="109"/>
  <c r="E14" i="111"/>
  <c r="AA30" i="110"/>
  <c r="AB45" i="110"/>
  <c r="J41" i="110"/>
  <c r="G252" i="111"/>
  <c r="M34" i="112"/>
  <c r="L34" i="112"/>
  <c r="I40" i="112"/>
  <c r="K40" i="112" s="1"/>
  <c r="AA42" i="112"/>
  <c r="AB14" i="114"/>
  <c r="D9" i="115"/>
  <c r="H300" i="115"/>
  <c r="C358" i="115"/>
  <c r="B46" i="115"/>
  <c r="B122" i="115"/>
  <c r="C362" i="115"/>
  <c r="H332" i="115"/>
  <c r="G14" i="97"/>
  <c r="H472" i="97"/>
  <c r="E161" i="97"/>
  <c r="F165" i="97" s="1"/>
  <c r="E245" i="97"/>
  <c r="F249" i="97" s="1"/>
  <c r="H504" i="97"/>
  <c r="E320" i="97"/>
  <c r="AB15" i="98"/>
  <c r="B87" i="99"/>
  <c r="H167" i="99"/>
  <c r="D201" i="99"/>
  <c r="C219" i="99" s="1"/>
  <c r="H425" i="99"/>
  <c r="D490" i="99"/>
  <c r="AB21" i="100"/>
  <c r="F29" i="101"/>
  <c r="F57" i="103"/>
  <c r="E54" i="103"/>
  <c r="E57" i="103"/>
  <c r="F132" i="105"/>
  <c r="H8" i="105"/>
  <c r="H209" i="105"/>
  <c r="C243" i="105"/>
  <c r="G34" i="105"/>
  <c r="G32" i="105"/>
  <c r="G30" i="105"/>
  <c r="G28" i="105"/>
  <c r="F34" i="105"/>
  <c r="F32" i="105"/>
  <c r="F30" i="105"/>
  <c r="F28" i="105"/>
  <c r="E34" i="105"/>
  <c r="E32" i="105"/>
  <c r="H35" i="105"/>
  <c r="E33" i="105"/>
  <c r="G35" i="105"/>
  <c r="D33" i="105"/>
  <c r="I30" i="105"/>
  <c r="F35" i="105"/>
  <c r="C33" i="105"/>
  <c r="H30" i="105"/>
  <c r="C35" i="105"/>
  <c r="H32" i="105"/>
  <c r="H28" i="105"/>
  <c r="G31" i="105"/>
  <c r="I34" i="105"/>
  <c r="F79" i="107"/>
  <c r="J77" i="107"/>
  <c r="D76" i="107"/>
  <c r="H74" i="107"/>
  <c r="B73" i="107"/>
  <c r="F71" i="107"/>
  <c r="E78" i="107"/>
  <c r="K74" i="107"/>
  <c r="D73" i="107"/>
  <c r="G71" i="107"/>
  <c r="K79" i="107"/>
  <c r="D78" i="107"/>
  <c r="G76" i="107"/>
  <c r="J74" i="107"/>
  <c r="C73" i="107"/>
  <c r="E71" i="107"/>
  <c r="J79" i="107"/>
  <c r="C78" i="107"/>
  <c r="F76" i="107"/>
  <c r="I74" i="107"/>
  <c r="K72" i="107"/>
  <c r="D71" i="107"/>
  <c r="H78" i="107"/>
  <c r="E76" i="107"/>
  <c r="D74" i="107"/>
  <c r="D72" i="107"/>
  <c r="D70" i="107"/>
  <c r="G78" i="107"/>
  <c r="C74" i="107"/>
  <c r="C72" i="107"/>
  <c r="F78" i="107"/>
  <c r="B74" i="107"/>
  <c r="B72" i="107"/>
  <c r="I75" i="107"/>
  <c r="I73" i="107"/>
  <c r="F70" i="107"/>
  <c r="J72" i="107"/>
  <c r="H75" i="107"/>
  <c r="J78" i="107"/>
  <c r="J153" i="107"/>
  <c r="D152" i="107"/>
  <c r="H150" i="107"/>
  <c r="B149" i="107"/>
  <c r="F147" i="107"/>
  <c r="D154" i="107"/>
  <c r="G152" i="107"/>
  <c r="C149" i="107"/>
  <c r="E147" i="107"/>
  <c r="C154" i="107"/>
  <c r="F152" i="107"/>
  <c r="I150" i="107"/>
  <c r="K148" i="107"/>
  <c r="D147" i="107"/>
  <c r="I155" i="107"/>
  <c r="B154" i="107"/>
  <c r="E152" i="107"/>
  <c r="J148" i="107"/>
  <c r="C147" i="107"/>
  <c r="B155" i="107"/>
  <c r="B153" i="107"/>
  <c r="B151" i="107"/>
  <c r="H148" i="107"/>
  <c r="H146" i="107"/>
  <c r="K152" i="107"/>
  <c r="G148" i="107"/>
  <c r="G146" i="107"/>
  <c r="J152" i="107"/>
  <c r="F148" i="107"/>
  <c r="F146" i="107"/>
  <c r="C152" i="107"/>
  <c r="C150" i="107"/>
  <c r="C148" i="107"/>
  <c r="C146" i="107"/>
  <c r="E146" i="107"/>
  <c r="F149" i="107"/>
  <c r="I154" i="107"/>
  <c r="G130" i="109"/>
  <c r="F130" i="109"/>
  <c r="F6" i="110"/>
  <c r="E248" i="111"/>
  <c r="F250" i="111" s="1"/>
  <c r="E234" i="111"/>
  <c r="A264" i="111" s="1"/>
  <c r="L41" i="110"/>
  <c r="M41" i="110"/>
  <c r="C6" i="115"/>
  <c r="AA5" i="114"/>
  <c r="I41" i="114"/>
  <c r="K41" i="114" s="1"/>
  <c r="AA45" i="114"/>
  <c r="E28" i="101"/>
  <c r="G25" i="101"/>
  <c r="D28" i="101"/>
  <c r="F25" i="101"/>
  <c r="C28" i="101"/>
  <c r="G26" i="101"/>
  <c r="E6" i="111"/>
  <c r="G6" i="111" s="1"/>
  <c r="I28" i="110"/>
  <c r="K28" i="110" s="1"/>
  <c r="AB30" i="110"/>
  <c r="F14" i="111"/>
  <c r="H14" i="111" s="1"/>
  <c r="M36" i="112"/>
  <c r="L36" i="112"/>
  <c r="I31" i="106"/>
  <c r="K31" i="106" s="1"/>
  <c r="H9" i="107"/>
  <c r="B90" i="107"/>
  <c r="F98" i="107"/>
  <c r="K89" i="107"/>
  <c r="J89" i="107"/>
  <c r="B89" i="107"/>
  <c r="J31" i="108"/>
  <c r="D9" i="109"/>
  <c r="H9" i="109" s="1"/>
  <c r="AB14" i="108"/>
  <c r="I39" i="108"/>
  <c r="K39" i="108" s="1"/>
  <c r="AA39" i="108"/>
  <c r="F59" i="109"/>
  <c r="E68" i="109"/>
  <c r="H64" i="109"/>
  <c r="B67" i="109"/>
  <c r="B64" i="109"/>
  <c r="J29" i="110"/>
  <c r="K29" i="110" s="1"/>
  <c r="D7" i="111"/>
  <c r="AA17" i="110"/>
  <c r="C10" i="111"/>
  <c r="G10" i="111" s="1"/>
  <c r="AB24" i="110"/>
  <c r="F12" i="111"/>
  <c r="H12" i="111" s="1"/>
  <c r="J34" i="110"/>
  <c r="K34" i="110" s="1"/>
  <c r="H358" i="111"/>
  <c r="C50" i="111"/>
  <c r="F52" i="111" s="1"/>
  <c r="H390" i="111"/>
  <c r="C7" i="113"/>
  <c r="G7" i="113" s="1"/>
  <c r="AA8" i="112"/>
  <c r="E195" i="115"/>
  <c r="A221" i="115" s="1"/>
  <c r="E207" i="115"/>
  <c r="D13" i="115"/>
  <c r="AB26" i="114"/>
  <c r="J35" i="114"/>
  <c r="J42" i="114"/>
  <c r="AB48" i="114"/>
  <c r="E54" i="99"/>
  <c r="F58" i="99" s="1"/>
  <c r="E55" i="103"/>
  <c r="D55" i="103"/>
  <c r="G57" i="103"/>
  <c r="F166" i="103"/>
  <c r="C89" i="107"/>
  <c r="G93" i="107"/>
  <c r="E118" i="109"/>
  <c r="A140" i="109" s="1"/>
  <c r="F6" i="108"/>
  <c r="H6" i="108" s="1"/>
  <c r="J6" i="108" s="1"/>
  <c r="H10" i="109"/>
  <c r="C64" i="109"/>
  <c r="AB17" i="110"/>
  <c r="D10" i="111"/>
  <c r="D50" i="111"/>
  <c r="F53" i="111" s="1"/>
  <c r="D423" i="111"/>
  <c r="H359" i="111"/>
  <c r="D134" i="111"/>
  <c r="F137" i="111" s="1"/>
  <c r="D427" i="111"/>
  <c r="H391" i="111"/>
  <c r="AB8" i="112"/>
  <c r="D7" i="113"/>
  <c r="E208" i="115"/>
  <c r="E196" i="115"/>
  <c r="A222" i="115" s="1"/>
  <c r="J29" i="114"/>
  <c r="K29" i="114" s="1"/>
  <c r="AB9" i="114"/>
  <c r="F7" i="115"/>
  <c r="H7" i="115" s="1"/>
  <c r="H446" i="99"/>
  <c r="F18" i="101"/>
  <c r="F27" i="101"/>
  <c r="F49" i="103"/>
  <c r="G83" i="103"/>
  <c r="D331" i="107"/>
  <c r="H297" i="107"/>
  <c r="E89" i="107"/>
  <c r="H93" i="107"/>
  <c r="M37" i="108"/>
  <c r="L37" i="108"/>
  <c r="H224" i="109"/>
  <c r="C72" i="109"/>
  <c r="F74" i="109" s="1"/>
  <c r="D64" i="109"/>
  <c r="E69" i="109"/>
  <c r="M42" i="112"/>
  <c r="L42" i="112"/>
  <c r="AA36" i="112"/>
  <c r="I38" i="112"/>
  <c r="K38" i="112" s="1"/>
  <c r="H236" i="113"/>
  <c r="C271" i="113"/>
  <c r="B57" i="113"/>
  <c r="F36" i="113"/>
  <c r="F34" i="113"/>
  <c r="F32" i="113"/>
  <c r="F30" i="113"/>
  <c r="E36" i="113"/>
  <c r="E34" i="113"/>
  <c r="D36" i="113"/>
  <c r="D34" i="113"/>
  <c r="B36" i="113"/>
  <c r="B34" i="113"/>
  <c r="F24" i="113"/>
  <c r="E37" i="113"/>
  <c r="I34" i="113"/>
  <c r="I31" i="113"/>
  <c r="F37" i="113"/>
  <c r="H34" i="113"/>
  <c r="G31" i="113"/>
  <c r="D37" i="113"/>
  <c r="G34" i="113"/>
  <c r="F31" i="113"/>
  <c r="C37" i="113"/>
  <c r="C34" i="113"/>
  <c r="B37" i="113"/>
  <c r="I33" i="113"/>
  <c r="I36" i="113"/>
  <c r="H33" i="113"/>
  <c r="H35" i="113"/>
  <c r="F33" i="113"/>
  <c r="I37" i="113"/>
  <c r="H37" i="113"/>
  <c r="G37" i="113"/>
  <c r="I32" i="113"/>
  <c r="I35" i="113"/>
  <c r="H31" i="113"/>
  <c r="G35" i="113"/>
  <c r="G33" i="113"/>
  <c r="D35" i="113"/>
  <c r="C9" i="115"/>
  <c r="AA14" i="114"/>
  <c r="AB21" i="114"/>
  <c r="F11" i="115"/>
  <c r="J33" i="114"/>
  <c r="E298" i="117"/>
  <c r="E284" i="117"/>
  <c r="A314" i="117" s="1"/>
  <c r="C82" i="111"/>
  <c r="M89" i="111"/>
  <c r="C84" i="111"/>
  <c r="B78" i="111"/>
  <c r="E86" i="111"/>
  <c r="M88" i="111"/>
  <c r="L86" i="111"/>
  <c r="K81" i="111"/>
  <c r="B80" i="111"/>
  <c r="G78" i="111"/>
  <c r="D86" i="111"/>
  <c r="F84" i="111"/>
  <c r="E143" i="113"/>
  <c r="A165" i="113" s="1"/>
  <c r="E153" i="113"/>
  <c r="C13" i="115"/>
  <c r="AA26" i="114"/>
  <c r="C11" i="117"/>
  <c r="G11" i="117" s="1"/>
  <c r="AA20" i="116"/>
  <c r="I33" i="110"/>
  <c r="K33" i="110" s="1"/>
  <c r="F13" i="111"/>
  <c r="H13" i="111" s="1"/>
  <c r="J35" i="110"/>
  <c r="K35" i="110" s="1"/>
  <c r="AB27" i="110"/>
  <c r="H360" i="111"/>
  <c r="E50" i="111"/>
  <c r="F54" i="111" s="1"/>
  <c r="H392" i="111"/>
  <c r="E134" i="111"/>
  <c r="F138" i="111" s="1"/>
  <c r="F72" i="111"/>
  <c r="G32" i="113"/>
  <c r="AA36" i="114"/>
  <c r="I38" i="114"/>
  <c r="K38" i="114" s="1"/>
  <c r="AA29" i="118"/>
  <c r="C14" i="119"/>
  <c r="M39" i="118"/>
  <c r="L39" i="118"/>
  <c r="E6" i="109"/>
  <c r="G6" i="109" s="1"/>
  <c r="I28" i="108"/>
  <c r="K28" i="108" s="1"/>
  <c r="L41" i="108"/>
  <c r="D69" i="109"/>
  <c r="D67" i="109"/>
  <c r="D65" i="109"/>
  <c r="D63" i="109"/>
  <c r="I65" i="109"/>
  <c r="I67" i="109"/>
  <c r="H65" i="109"/>
  <c r="G63" i="109"/>
  <c r="H67" i="109"/>
  <c r="G65" i="109"/>
  <c r="F63" i="109"/>
  <c r="G67" i="109"/>
  <c r="F65" i="109"/>
  <c r="E63" i="109"/>
  <c r="G69" i="109"/>
  <c r="F67" i="109"/>
  <c r="E65" i="109"/>
  <c r="H66" i="109"/>
  <c r="G64" i="109"/>
  <c r="F62" i="109"/>
  <c r="I64" i="109"/>
  <c r="F68" i="109"/>
  <c r="F132" i="109"/>
  <c r="C9" i="111"/>
  <c r="G9" i="111" s="1"/>
  <c r="AA14" i="110"/>
  <c r="C428" i="111"/>
  <c r="B155" i="111"/>
  <c r="AB27" i="112"/>
  <c r="J35" i="112"/>
  <c r="H229" i="113"/>
  <c r="C40" i="113"/>
  <c r="D48" i="113" s="1"/>
  <c r="H261" i="113"/>
  <c r="C108" i="113"/>
  <c r="F110" i="113" s="1"/>
  <c r="H32" i="113"/>
  <c r="AB29" i="118"/>
  <c r="D14" i="119"/>
  <c r="F83" i="103"/>
  <c r="E122" i="105"/>
  <c r="A144" i="105" s="1"/>
  <c r="H6" i="109"/>
  <c r="J32" i="108"/>
  <c r="E8" i="109"/>
  <c r="G8" i="109" s="1"/>
  <c r="B65" i="109"/>
  <c r="G68" i="109"/>
  <c r="J31" i="110"/>
  <c r="AB14" i="110"/>
  <c r="H398" i="111"/>
  <c r="C155" i="111"/>
  <c r="F157" i="111" s="1"/>
  <c r="G82" i="111"/>
  <c r="M84" i="111"/>
  <c r="H397" i="111"/>
  <c r="F6" i="112"/>
  <c r="H6" i="112" s="1"/>
  <c r="J6" i="112" s="1"/>
  <c r="E147" i="113"/>
  <c r="I35" i="112"/>
  <c r="K35" i="112" s="1"/>
  <c r="D40" i="113"/>
  <c r="H230" i="113"/>
  <c r="H262" i="113"/>
  <c r="D274" i="113"/>
  <c r="D108" i="113"/>
  <c r="F111" i="113" s="1"/>
  <c r="B35" i="113"/>
  <c r="AB20" i="114"/>
  <c r="D11" i="115"/>
  <c r="H13" i="115"/>
  <c r="J239" i="117"/>
  <c r="F238" i="117"/>
  <c r="B237" i="117"/>
  <c r="J235" i="117"/>
  <c r="F234" i="117"/>
  <c r="B233" i="117"/>
  <c r="J231" i="117"/>
  <c r="F230" i="117"/>
  <c r="B229" i="117"/>
  <c r="F223" i="117"/>
  <c r="H239" i="117"/>
  <c r="D238" i="117"/>
  <c r="L236" i="117"/>
  <c r="H235" i="117"/>
  <c r="D234" i="117"/>
  <c r="H231" i="117"/>
  <c r="D230" i="117"/>
  <c r="J238" i="117"/>
  <c r="D237" i="117"/>
  <c r="I235" i="117"/>
  <c r="B234" i="117"/>
  <c r="H232" i="117"/>
  <c r="B231" i="117"/>
  <c r="H229" i="117"/>
  <c r="C240" i="117"/>
  <c r="I238" i="117"/>
  <c r="C237" i="117"/>
  <c r="G235" i="117"/>
  <c r="M233" i="117"/>
  <c r="G232" i="117"/>
  <c r="M230" i="117"/>
  <c r="G229" i="117"/>
  <c r="B240" i="117"/>
  <c r="H238" i="117"/>
  <c r="M236" i="117"/>
  <c r="F235" i="117"/>
  <c r="L233" i="117"/>
  <c r="F232" i="117"/>
  <c r="L230" i="117"/>
  <c r="F229" i="117"/>
  <c r="G238" i="117"/>
  <c r="K236" i="117"/>
  <c r="E235" i="117"/>
  <c r="K233" i="117"/>
  <c r="K230" i="117"/>
  <c r="E229" i="117"/>
  <c r="K239" i="117"/>
  <c r="C238" i="117"/>
  <c r="I236" i="117"/>
  <c r="C235" i="117"/>
  <c r="I233" i="117"/>
  <c r="C232" i="117"/>
  <c r="I230" i="117"/>
  <c r="C229" i="117"/>
  <c r="M238" i="117"/>
  <c r="G236" i="117"/>
  <c r="H234" i="117"/>
  <c r="B232" i="117"/>
  <c r="M229" i="117"/>
  <c r="K240" i="117"/>
  <c r="L238" i="117"/>
  <c r="F236" i="117"/>
  <c r="G234" i="117"/>
  <c r="L229" i="117"/>
  <c r="J240" i="117"/>
  <c r="K238" i="117"/>
  <c r="E236" i="117"/>
  <c r="E234" i="117"/>
  <c r="K229" i="117"/>
  <c r="I240" i="117"/>
  <c r="E238" i="117"/>
  <c r="D236" i="117"/>
  <c r="C234" i="117"/>
  <c r="K231" i="117"/>
  <c r="J229" i="117"/>
  <c r="H240" i="117"/>
  <c r="B238" i="117"/>
  <c r="C236" i="117"/>
  <c r="J233" i="117"/>
  <c r="I231" i="117"/>
  <c r="I229" i="117"/>
  <c r="J237" i="117"/>
  <c r="K235" i="117"/>
  <c r="E233" i="117"/>
  <c r="L235" i="117"/>
  <c r="I232" i="117"/>
  <c r="K237" i="117"/>
  <c r="I234" i="117"/>
  <c r="G230" i="117"/>
  <c r="B239" i="117"/>
  <c r="K234" i="117"/>
  <c r="H230" i="117"/>
  <c r="L237" i="117"/>
  <c r="H233" i="117"/>
  <c r="C230" i="117"/>
  <c r="I237" i="117"/>
  <c r="G233" i="117"/>
  <c r="B230" i="117"/>
  <c r="H237" i="117"/>
  <c r="F233" i="117"/>
  <c r="D229" i="117"/>
  <c r="G237" i="117"/>
  <c r="D233" i="117"/>
  <c r="F237" i="117"/>
  <c r="C233" i="117"/>
  <c r="E237" i="117"/>
  <c r="G239" i="117"/>
  <c r="F239" i="117"/>
  <c r="G231" i="117"/>
  <c r="F231" i="117"/>
  <c r="C239" i="117"/>
  <c r="M237" i="117"/>
  <c r="C231" i="117"/>
  <c r="D235" i="117"/>
  <c r="E230" i="117"/>
  <c r="G240" i="117"/>
  <c r="F240" i="117"/>
  <c r="I239" i="117"/>
  <c r="M235" i="117"/>
  <c r="B235" i="117"/>
  <c r="J230" i="117"/>
  <c r="L234" i="117"/>
  <c r="J234" i="117"/>
  <c r="K232" i="117"/>
  <c r="J232" i="117"/>
  <c r="M234" i="117"/>
  <c r="AA6" i="108"/>
  <c r="I32" i="108"/>
  <c r="K32" i="108" s="1"/>
  <c r="C65" i="109"/>
  <c r="I31" i="110"/>
  <c r="K31" i="110" s="1"/>
  <c r="G85" i="111"/>
  <c r="G258" i="111"/>
  <c r="P274" i="111"/>
  <c r="E138" i="113"/>
  <c r="A160" i="113" s="1"/>
  <c r="E148" i="113"/>
  <c r="F11" i="113"/>
  <c r="H11" i="113" s="1"/>
  <c r="AB21" i="112"/>
  <c r="C35" i="113"/>
  <c r="I33" i="114"/>
  <c r="E11" i="115"/>
  <c r="G11" i="115" s="1"/>
  <c r="M36" i="114"/>
  <c r="L36" i="114"/>
  <c r="I10" i="115"/>
  <c r="N225" i="115"/>
  <c r="F211" i="115"/>
  <c r="F484" i="117"/>
  <c r="H418" i="123"/>
  <c r="E35" i="123"/>
  <c r="F39" i="123" s="1"/>
  <c r="E119" i="123"/>
  <c r="F123" i="123" s="1"/>
  <c r="H450" i="123"/>
  <c r="H482" i="123"/>
  <c r="E203" i="123"/>
  <c r="F207" i="123" s="1"/>
  <c r="I10" i="113"/>
  <c r="M39" i="116"/>
  <c r="L39" i="116"/>
  <c r="F11" i="111"/>
  <c r="H11" i="111" s="1"/>
  <c r="H367" i="111"/>
  <c r="D424" i="111"/>
  <c r="D71" i="111"/>
  <c r="M79" i="111" s="1"/>
  <c r="H99" i="113"/>
  <c r="I104" i="113"/>
  <c r="G152" i="113"/>
  <c r="L164" i="113"/>
  <c r="F152" i="113"/>
  <c r="F6" i="114"/>
  <c r="H6" i="114" s="1"/>
  <c r="J6" i="114" s="1"/>
  <c r="E193" i="115"/>
  <c r="A219" i="115" s="1"/>
  <c r="E205" i="115"/>
  <c r="F209" i="115" s="1"/>
  <c r="D7" i="115"/>
  <c r="H421" i="117"/>
  <c r="D487" i="117"/>
  <c r="D96" i="117"/>
  <c r="F99" i="117" s="1"/>
  <c r="D180" i="117"/>
  <c r="F183" i="117" s="1"/>
  <c r="D491" i="117"/>
  <c r="H453" i="117"/>
  <c r="F206" i="115"/>
  <c r="G7" i="115"/>
  <c r="L32" i="116"/>
  <c r="M32" i="116"/>
  <c r="E96" i="117"/>
  <c r="F100" i="117" s="1"/>
  <c r="H422" i="117"/>
  <c r="H454" i="117"/>
  <c r="E180" i="117"/>
  <c r="F184" i="117" s="1"/>
  <c r="E235" i="111"/>
  <c r="A265" i="111" s="1"/>
  <c r="E249" i="111"/>
  <c r="H9" i="111"/>
  <c r="E13" i="111"/>
  <c r="G13" i="111" s="1"/>
  <c r="D426" i="111"/>
  <c r="D74" i="113"/>
  <c r="F77" i="113" s="1"/>
  <c r="D272" i="113"/>
  <c r="H246" i="113"/>
  <c r="H216" i="109"/>
  <c r="P275" i="111"/>
  <c r="G259" i="111"/>
  <c r="F427" i="111"/>
  <c r="C430" i="111"/>
  <c r="H413" i="111"/>
  <c r="D113" i="111"/>
  <c r="H415" i="111"/>
  <c r="E74" i="113"/>
  <c r="F78" i="113" s="1"/>
  <c r="H247" i="113"/>
  <c r="E84" i="115"/>
  <c r="F88" i="115" s="1"/>
  <c r="H319" i="115"/>
  <c r="E160" i="115"/>
  <c r="F164" i="115" s="1"/>
  <c r="H351" i="115"/>
  <c r="H414" i="119"/>
  <c r="E75" i="119"/>
  <c r="F79" i="119" s="1"/>
  <c r="E243" i="119"/>
  <c r="H254" i="119" s="1"/>
  <c r="H478" i="119"/>
  <c r="F424" i="111"/>
  <c r="H382" i="111"/>
  <c r="C113" i="111"/>
  <c r="E113" i="111"/>
  <c r="F117" i="111" s="1"/>
  <c r="E245" i="111"/>
  <c r="A275" i="111" s="1"/>
  <c r="I101" i="113"/>
  <c r="H238" i="113"/>
  <c r="I34" i="114"/>
  <c r="K34" i="114" s="1"/>
  <c r="B96" i="119"/>
  <c r="H419" i="119"/>
  <c r="C487" i="119"/>
  <c r="H451" i="119"/>
  <c r="C491" i="119"/>
  <c r="B180" i="119"/>
  <c r="M51" i="119"/>
  <c r="I50" i="119"/>
  <c r="E49" i="119"/>
  <c r="M47" i="119"/>
  <c r="I46" i="119"/>
  <c r="E45" i="119"/>
  <c r="M43" i="119"/>
  <c r="I42" i="119"/>
  <c r="G51" i="119"/>
  <c r="B50" i="119"/>
  <c r="I48" i="119"/>
  <c r="D47" i="119"/>
  <c r="K45" i="119"/>
  <c r="F44" i="119"/>
  <c r="M42" i="119"/>
  <c r="H41" i="119"/>
  <c r="F34" i="119"/>
  <c r="E51" i="119"/>
  <c r="L49" i="119"/>
  <c r="G48" i="119"/>
  <c r="B47" i="119"/>
  <c r="I45" i="119"/>
  <c r="D44" i="119"/>
  <c r="K42" i="119"/>
  <c r="F41" i="119"/>
  <c r="K50" i="119"/>
  <c r="C49" i="119"/>
  <c r="H47" i="119"/>
  <c r="M45" i="119"/>
  <c r="E44" i="119"/>
  <c r="H42" i="119"/>
  <c r="M40" i="119"/>
  <c r="J50" i="119"/>
  <c r="B49" i="119"/>
  <c r="G47" i="119"/>
  <c r="L45" i="119"/>
  <c r="C44" i="119"/>
  <c r="G42" i="119"/>
  <c r="L40" i="119"/>
  <c r="H50" i="119"/>
  <c r="M48" i="119"/>
  <c r="F47" i="119"/>
  <c r="J45" i="119"/>
  <c r="B44" i="119"/>
  <c r="F42" i="119"/>
  <c r="K40" i="119"/>
  <c r="G50" i="119"/>
  <c r="L48" i="119"/>
  <c r="E47" i="119"/>
  <c r="H45" i="119"/>
  <c r="L43" i="119"/>
  <c r="J40" i="119"/>
  <c r="L51" i="119"/>
  <c r="E50" i="119"/>
  <c r="J48" i="119"/>
  <c r="M46" i="119"/>
  <c r="F45" i="119"/>
  <c r="J43" i="119"/>
  <c r="H40" i="119"/>
  <c r="D51" i="119"/>
  <c r="K48" i="119"/>
  <c r="G46" i="119"/>
  <c r="G44" i="119"/>
  <c r="K41" i="119"/>
  <c r="C51" i="119"/>
  <c r="H48" i="119"/>
  <c r="F46" i="119"/>
  <c r="K43" i="119"/>
  <c r="J41" i="119"/>
  <c r="B51" i="119"/>
  <c r="F48" i="119"/>
  <c r="E46" i="119"/>
  <c r="I43" i="119"/>
  <c r="I41" i="119"/>
  <c r="M50" i="119"/>
  <c r="E48" i="119"/>
  <c r="D46" i="119"/>
  <c r="H43" i="119"/>
  <c r="G41" i="119"/>
  <c r="L50" i="119"/>
  <c r="D48" i="119"/>
  <c r="C46" i="119"/>
  <c r="G43" i="119"/>
  <c r="M49" i="119"/>
  <c r="K47" i="119"/>
  <c r="C45" i="119"/>
  <c r="G40" i="119"/>
  <c r="C48" i="119"/>
  <c r="K44" i="119"/>
  <c r="I40" i="119"/>
  <c r="H51" i="119"/>
  <c r="I47" i="119"/>
  <c r="F43" i="119"/>
  <c r="K49" i="119"/>
  <c r="G45" i="119"/>
  <c r="L41" i="119"/>
  <c r="J49" i="119"/>
  <c r="D45" i="119"/>
  <c r="I49" i="119"/>
  <c r="B45" i="119"/>
  <c r="H49" i="119"/>
  <c r="M44" i="119"/>
  <c r="F40" i="119"/>
  <c r="L47" i="119"/>
  <c r="J42" i="119"/>
  <c r="J47" i="119"/>
  <c r="C47" i="119"/>
  <c r="L46" i="119"/>
  <c r="M41" i="119"/>
  <c r="K46" i="119"/>
  <c r="K51" i="119"/>
  <c r="J46" i="119"/>
  <c r="J51" i="119"/>
  <c r="H46" i="119"/>
  <c r="I51" i="119"/>
  <c r="B46" i="119"/>
  <c r="D50" i="119"/>
  <c r="I44" i="119"/>
  <c r="C50" i="119"/>
  <c r="H44" i="119"/>
  <c r="G49" i="119"/>
  <c r="D49" i="119"/>
  <c r="B48" i="119"/>
  <c r="L44" i="119"/>
  <c r="J44" i="119"/>
  <c r="F51" i="119"/>
  <c r="F50" i="119"/>
  <c r="F49" i="119"/>
  <c r="L42" i="119"/>
  <c r="C489" i="131"/>
  <c r="H414" i="131"/>
  <c r="B75" i="131"/>
  <c r="C493" i="131"/>
  <c r="B159" i="131"/>
  <c r="H446" i="131"/>
  <c r="H478" i="131"/>
  <c r="B243" i="131"/>
  <c r="C497" i="131"/>
  <c r="B72" i="109"/>
  <c r="H217" i="109"/>
  <c r="H6" i="110"/>
  <c r="J6" i="110" s="1"/>
  <c r="H7" i="111"/>
  <c r="H349" i="111"/>
  <c r="C104" i="113"/>
  <c r="D101" i="113"/>
  <c r="H103" i="113"/>
  <c r="C101" i="113"/>
  <c r="B101" i="113"/>
  <c r="I100" i="113"/>
  <c r="E105" i="113"/>
  <c r="H102" i="113"/>
  <c r="J30" i="114"/>
  <c r="K30" i="114" s="1"/>
  <c r="F8" i="115"/>
  <c r="J34" i="114"/>
  <c r="AB36" i="114"/>
  <c r="H293" i="115"/>
  <c r="C27" i="115"/>
  <c r="D40" i="115" s="1"/>
  <c r="H325" i="115"/>
  <c r="C103" i="115"/>
  <c r="B118" i="115" s="1"/>
  <c r="M41" i="116"/>
  <c r="L41" i="116"/>
  <c r="E159" i="119"/>
  <c r="F163" i="119" s="1"/>
  <c r="C11" i="113"/>
  <c r="G11" i="113" s="1"/>
  <c r="AA20" i="112"/>
  <c r="M39" i="112"/>
  <c r="L39" i="112"/>
  <c r="D357" i="115"/>
  <c r="H294" i="115"/>
  <c r="H326" i="115"/>
  <c r="D103" i="115"/>
  <c r="D361" i="115"/>
  <c r="F210" i="115"/>
  <c r="N224" i="115"/>
  <c r="F162" i="121"/>
  <c r="G169" i="121"/>
  <c r="AA12" i="112"/>
  <c r="I29" i="112"/>
  <c r="K29" i="112" s="1"/>
  <c r="I33" i="112"/>
  <c r="K33" i="112" s="1"/>
  <c r="AA15" i="114"/>
  <c r="E9" i="115"/>
  <c r="M40" i="114"/>
  <c r="L40" i="114"/>
  <c r="F362" i="115"/>
  <c r="G40" i="115"/>
  <c r="K38" i="115"/>
  <c r="I35" i="115"/>
  <c r="F43" i="115"/>
  <c r="G38" i="115"/>
  <c r="H40" i="115"/>
  <c r="I37" i="115"/>
  <c r="AA9" i="116"/>
  <c r="I29" i="116"/>
  <c r="K29" i="116" s="1"/>
  <c r="E7" i="117"/>
  <c r="G7" i="117" s="1"/>
  <c r="H16" i="117"/>
  <c r="J176" i="117"/>
  <c r="E175" i="117"/>
  <c r="L173" i="117"/>
  <c r="G172" i="117"/>
  <c r="B171" i="117"/>
  <c r="I169" i="117"/>
  <c r="D168" i="117"/>
  <c r="K166" i="117"/>
  <c r="I176" i="117"/>
  <c r="F172" i="117"/>
  <c r="I166" i="117"/>
  <c r="F161" i="117"/>
  <c r="K177" i="117"/>
  <c r="M174" i="117"/>
  <c r="H173" i="117"/>
  <c r="C172" i="117"/>
  <c r="I170" i="117"/>
  <c r="D169" i="117"/>
  <c r="K167" i="117"/>
  <c r="F166" i="117"/>
  <c r="C174" i="117"/>
  <c r="K171" i="117"/>
  <c r="M169" i="117"/>
  <c r="L175" i="117"/>
  <c r="J171" i="117"/>
  <c r="L169" i="117"/>
  <c r="H167" i="117"/>
  <c r="J177" i="117"/>
  <c r="K175" i="117"/>
  <c r="I173" i="117"/>
  <c r="I171" i="117"/>
  <c r="K169" i="117"/>
  <c r="I177" i="117"/>
  <c r="J175" i="117"/>
  <c r="G173" i="117"/>
  <c r="H171" i="117"/>
  <c r="E169" i="117"/>
  <c r="I175" i="117"/>
  <c r="C169" i="117"/>
  <c r="E167" i="117"/>
  <c r="C177" i="117"/>
  <c r="L174" i="117"/>
  <c r="M172" i="117"/>
  <c r="K168" i="117"/>
  <c r="M166" i="117"/>
  <c r="E176" i="117"/>
  <c r="L172" i="117"/>
  <c r="B170" i="117"/>
  <c r="D166" i="117"/>
  <c r="J172" i="117"/>
  <c r="L168" i="117"/>
  <c r="G166" i="117"/>
  <c r="D174" i="117"/>
  <c r="D170" i="117"/>
  <c r="C166" i="117"/>
  <c r="D173" i="117"/>
  <c r="C170" i="117"/>
  <c r="B166" i="117"/>
  <c r="B177" i="117"/>
  <c r="C173" i="117"/>
  <c r="B169" i="117"/>
  <c r="M168" i="117"/>
  <c r="K172" i="117"/>
  <c r="J168" i="117"/>
  <c r="B167" i="117"/>
  <c r="D171" i="117"/>
  <c r="H168" i="117"/>
  <c r="I172" i="117"/>
  <c r="H420" i="119"/>
  <c r="C96" i="119"/>
  <c r="F98" i="119" s="1"/>
  <c r="H452" i="119"/>
  <c r="C180" i="119"/>
  <c r="F182" i="119" s="1"/>
  <c r="J31" i="128"/>
  <c r="F9" i="129"/>
  <c r="H9" i="129" s="1"/>
  <c r="AB15" i="128"/>
  <c r="I13" i="117"/>
  <c r="B180" i="117"/>
  <c r="C491" i="117"/>
  <c r="H451" i="117"/>
  <c r="F34" i="117"/>
  <c r="B96" i="117"/>
  <c r="F494" i="119"/>
  <c r="G48" i="113"/>
  <c r="C54" i="113"/>
  <c r="F104" i="113"/>
  <c r="F100" i="113"/>
  <c r="E104" i="113"/>
  <c r="E102" i="113"/>
  <c r="E100" i="113"/>
  <c r="E98" i="113"/>
  <c r="D104" i="113"/>
  <c r="D102" i="113"/>
  <c r="D100" i="113"/>
  <c r="D98" i="113"/>
  <c r="B104" i="113"/>
  <c r="B100" i="113"/>
  <c r="F92" i="113"/>
  <c r="I103" i="113"/>
  <c r="E101" i="113"/>
  <c r="I98" i="113"/>
  <c r="H100" i="113"/>
  <c r="E103" i="113"/>
  <c r="E139" i="113"/>
  <c r="A161" i="113" s="1"/>
  <c r="H301" i="115"/>
  <c r="C46" i="115"/>
  <c r="F48" i="115" s="1"/>
  <c r="H333" i="115"/>
  <c r="C122" i="115"/>
  <c r="F124" i="115" s="1"/>
  <c r="E212" i="115"/>
  <c r="F149" i="117"/>
  <c r="C167" i="117"/>
  <c r="B175" i="117"/>
  <c r="G8" i="113"/>
  <c r="N6" i="113"/>
  <c r="A220" i="113" s="1"/>
  <c r="F269" i="113"/>
  <c r="H48" i="113"/>
  <c r="G54" i="113"/>
  <c r="H10" i="115"/>
  <c r="F15" i="117"/>
  <c r="J37" i="116"/>
  <c r="K37" i="116" s="1"/>
  <c r="AB33" i="116"/>
  <c r="D167" i="117"/>
  <c r="F484" i="119"/>
  <c r="H54" i="113"/>
  <c r="J167" i="117"/>
  <c r="H175" i="117"/>
  <c r="P319" i="117"/>
  <c r="G303" i="117"/>
  <c r="F515" i="121"/>
  <c r="H51" i="113"/>
  <c r="C359" i="115"/>
  <c r="H308" i="115"/>
  <c r="B65" i="115"/>
  <c r="E42" i="115"/>
  <c r="F489" i="117"/>
  <c r="F140" i="117"/>
  <c r="M154" i="117"/>
  <c r="G151" i="117"/>
  <c r="I147" i="117"/>
  <c r="L155" i="117"/>
  <c r="L151" i="117"/>
  <c r="D155" i="117"/>
  <c r="I151" i="117"/>
  <c r="H147" i="117"/>
  <c r="B155" i="117"/>
  <c r="F151" i="117"/>
  <c r="G147" i="117"/>
  <c r="L154" i="117"/>
  <c r="M150" i="117"/>
  <c r="K150" i="117"/>
  <c r="J150" i="117"/>
  <c r="C147" i="117"/>
  <c r="J146" i="117"/>
  <c r="H146" i="117"/>
  <c r="C153" i="117"/>
  <c r="G146" i="117"/>
  <c r="L152" i="117"/>
  <c r="K145" i="117"/>
  <c r="K152" i="117"/>
  <c r="J145" i="117"/>
  <c r="I156" i="117"/>
  <c r="H149" i="117"/>
  <c r="I150" i="117"/>
  <c r="L167" i="117"/>
  <c r="C176" i="117"/>
  <c r="F54" i="113"/>
  <c r="E48" i="113"/>
  <c r="D54" i="113"/>
  <c r="B52" i="113"/>
  <c r="B48" i="113"/>
  <c r="E214" i="115"/>
  <c r="E202" i="115"/>
  <c r="A228" i="115" s="1"/>
  <c r="D8" i="115"/>
  <c r="AB11" i="114"/>
  <c r="C16" i="117"/>
  <c r="I38" i="116"/>
  <c r="K38" i="116" s="1"/>
  <c r="AA35" i="116"/>
  <c r="C6" i="119"/>
  <c r="AA5" i="118"/>
  <c r="AA14" i="118"/>
  <c r="C9" i="119"/>
  <c r="AA33" i="118"/>
  <c r="E15" i="119"/>
  <c r="G15" i="119" s="1"/>
  <c r="I37" i="118"/>
  <c r="K37" i="118" s="1"/>
  <c r="C515" i="121"/>
  <c r="B98" i="121"/>
  <c r="H439" i="121"/>
  <c r="H471" i="121"/>
  <c r="C519" i="121"/>
  <c r="B182" i="121"/>
  <c r="H503" i="121"/>
  <c r="C523" i="121"/>
  <c r="B266" i="121"/>
  <c r="C360" i="115"/>
  <c r="E302" i="117"/>
  <c r="AA30" i="118"/>
  <c r="I36" i="118"/>
  <c r="M32" i="122"/>
  <c r="L32" i="122"/>
  <c r="F7" i="117"/>
  <c r="H7" i="117" s="1"/>
  <c r="J29" i="116"/>
  <c r="H395" i="117"/>
  <c r="C484" i="117"/>
  <c r="B117" i="117"/>
  <c r="C488" i="117"/>
  <c r="H427" i="117"/>
  <c r="H459" i="117"/>
  <c r="B201" i="117"/>
  <c r="C492" i="117"/>
  <c r="K114" i="115"/>
  <c r="C110" i="115"/>
  <c r="D111" i="115"/>
  <c r="H115" i="115"/>
  <c r="F115" i="115"/>
  <c r="F113" i="115"/>
  <c r="D117" i="115"/>
  <c r="H112" i="115"/>
  <c r="G14" i="117"/>
  <c r="F9" i="119"/>
  <c r="H9" i="119" s="1"/>
  <c r="AB15" i="118"/>
  <c r="AB23" i="118"/>
  <c r="D12" i="119"/>
  <c r="H12" i="119" s="1"/>
  <c r="E14" i="119"/>
  <c r="G14" i="119" s="1"/>
  <c r="F270" i="123"/>
  <c r="J283" i="123"/>
  <c r="G276" i="123"/>
  <c r="H283" i="123"/>
  <c r="E280" i="123"/>
  <c r="E276" i="123"/>
  <c r="G283" i="123"/>
  <c r="C280" i="123"/>
  <c r="D276" i="123"/>
  <c r="E283" i="123"/>
  <c r="B280" i="123"/>
  <c r="G275" i="123"/>
  <c r="C283" i="123"/>
  <c r="L278" i="123"/>
  <c r="E275" i="123"/>
  <c r="L274" i="123"/>
  <c r="K279" i="123"/>
  <c r="K274" i="123"/>
  <c r="J278" i="123"/>
  <c r="J273" i="123"/>
  <c r="G273" i="123"/>
  <c r="L284" i="123"/>
  <c r="D278" i="123"/>
  <c r="F273" i="123"/>
  <c r="M282" i="123"/>
  <c r="L277" i="123"/>
  <c r="B277" i="123"/>
  <c r="G284" i="123"/>
  <c r="F275" i="123"/>
  <c r="B283" i="123"/>
  <c r="B275" i="123"/>
  <c r="L282" i="123"/>
  <c r="M274" i="123"/>
  <c r="F281" i="123"/>
  <c r="B281" i="123"/>
  <c r="C278" i="123"/>
  <c r="B278" i="123"/>
  <c r="M277" i="123"/>
  <c r="K277" i="123"/>
  <c r="I281" i="123"/>
  <c r="G281" i="123"/>
  <c r="C281" i="123"/>
  <c r="C277" i="123"/>
  <c r="C275" i="123"/>
  <c r="C273" i="123"/>
  <c r="B273" i="123"/>
  <c r="M40" i="128"/>
  <c r="L40" i="128"/>
  <c r="K96" i="115"/>
  <c r="B92" i="115"/>
  <c r="D96" i="115"/>
  <c r="F100" i="115"/>
  <c r="B96" i="115"/>
  <c r="H91" i="115"/>
  <c r="F85" i="115"/>
  <c r="D92" i="115"/>
  <c r="C364" i="115"/>
  <c r="B160" i="115"/>
  <c r="J36" i="116"/>
  <c r="K36" i="116" s="1"/>
  <c r="G10" i="117"/>
  <c r="J31" i="118"/>
  <c r="AA24" i="118"/>
  <c r="I34" i="118"/>
  <c r="E12" i="119"/>
  <c r="G12" i="119" s="1"/>
  <c r="G10" i="125"/>
  <c r="M38" i="128"/>
  <c r="L38" i="128"/>
  <c r="H349" i="115"/>
  <c r="C160" i="115"/>
  <c r="F162" i="115" s="1"/>
  <c r="C15" i="117"/>
  <c r="G15" i="117" s="1"/>
  <c r="AA32" i="116"/>
  <c r="F492" i="117"/>
  <c r="D84" i="115"/>
  <c r="D360" i="115"/>
  <c r="H350" i="115"/>
  <c r="D160" i="115"/>
  <c r="F163" i="115" s="1"/>
  <c r="D364" i="115"/>
  <c r="H316" i="115"/>
  <c r="E8" i="117"/>
  <c r="G8" i="117" s="1"/>
  <c r="AA12" i="116"/>
  <c r="D15" i="117"/>
  <c r="AB32" i="116"/>
  <c r="F295" i="117"/>
  <c r="K282" i="123"/>
  <c r="E14" i="131"/>
  <c r="I36" i="130"/>
  <c r="AA30" i="130"/>
  <c r="M29" i="136"/>
  <c r="L29" i="136"/>
  <c r="G305" i="117"/>
  <c r="E280" i="119"/>
  <c r="A310" i="119" s="1"/>
  <c r="F6" i="118"/>
  <c r="E305" i="119"/>
  <c r="E291" i="119"/>
  <c r="A321" i="119" s="1"/>
  <c r="D9" i="119"/>
  <c r="AB14" i="118"/>
  <c r="E180" i="119"/>
  <c r="F184" i="119" s="1"/>
  <c r="I236" i="119"/>
  <c r="F223" i="119"/>
  <c r="E295" i="119"/>
  <c r="E281" i="119"/>
  <c r="A311" i="119" s="1"/>
  <c r="I28" i="118"/>
  <c r="K28" i="118" s="1"/>
  <c r="AA6" i="118"/>
  <c r="E6" i="119"/>
  <c r="I31" i="118"/>
  <c r="H422" i="119"/>
  <c r="E96" i="119"/>
  <c r="F100" i="119" s="1"/>
  <c r="K171" i="119"/>
  <c r="H167" i="119"/>
  <c r="F160" i="119"/>
  <c r="L168" i="119"/>
  <c r="B166" i="119"/>
  <c r="D177" i="119"/>
  <c r="K175" i="119"/>
  <c r="K172" i="119"/>
  <c r="G168" i="119"/>
  <c r="I169" i="119"/>
  <c r="L167" i="119"/>
  <c r="C175" i="119"/>
  <c r="F173" i="119"/>
  <c r="C171" i="119"/>
  <c r="C167" i="119"/>
  <c r="C168" i="119"/>
  <c r="E176" i="119"/>
  <c r="C176" i="119"/>
  <c r="J172" i="119"/>
  <c r="D172" i="119"/>
  <c r="L173" i="119"/>
  <c r="B172" i="119"/>
  <c r="G166" i="119"/>
  <c r="E308" i="121"/>
  <c r="A338" i="121" s="1"/>
  <c r="E322" i="121"/>
  <c r="F323" i="121" s="1"/>
  <c r="C284" i="123"/>
  <c r="J32" i="124"/>
  <c r="K32" i="124" s="1"/>
  <c r="F10" i="125"/>
  <c r="H10" i="125" s="1"/>
  <c r="M42" i="124"/>
  <c r="L42" i="124"/>
  <c r="AA14" i="128"/>
  <c r="C9" i="129"/>
  <c r="I31" i="128"/>
  <c r="C490" i="131"/>
  <c r="H422" i="131"/>
  <c r="B96" i="131"/>
  <c r="H454" i="131"/>
  <c r="C494" i="131"/>
  <c r="B180" i="131"/>
  <c r="F34" i="131"/>
  <c r="C484" i="119"/>
  <c r="H395" i="119"/>
  <c r="C488" i="119"/>
  <c r="B117" i="119"/>
  <c r="C492" i="119"/>
  <c r="H459" i="119"/>
  <c r="B201" i="119"/>
  <c r="E294" i="119"/>
  <c r="AB18" i="122"/>
  <c r="F10" i="123"/>
  <c r="H10" i="123" s="1"/>
  <c r="D512" i="123"/>
  <c r="H417" i="123"/>
  <c r="D35" i="123"/>
  <c r="F38" i="123" s="1"/>
  <c r="D119" i="123"/>
  <c r="F122" i="123" s="1"/>
  <c r="H449" i="123"/>
  <c r="D516" i="123"/>
  <c r="D520" i="123"/>
  <c r="H481" i="123"/>
  <c r="D203" i="123"/>
  <c r="F206" i="123" s="1"/>
  <c r="AB30" i="126"/>
  <c r="J36" i="126"/>
  <c r="AB30" i="128"/>
  <c r="J36" i="128"/>
  <c r="H14" i="119"/>
  <c r="C98" i="121"/>
  <c r="F100" i="121" s="1"/>
  <c r="H440" i="121"/>
  <c r="H472" i="121"/>
  <c r="C182" i="121"/>
  <c r="F184" i="121" s="1"/>
  <c r="AB18" i="124"/>
  <c r="AA9" i="118"/>
  <c r="I29" i="118"/>
  <c r="K29" i="118" s="1"/>
  <c r="H11" i="119"/>
  <c r="C174" i="119"/>
  <c r="H427" i="119"/>
  <c r="H11" i="121"/>
  <c r="C266" i="121"/>
  <c r="F268" i="121" s="1"/>
  <c r="E137" i="125"/>
  <c r="A159" i="125" s="1"/>
  <c r="F6" i="124"/>
  <c r="H6" i="124" s="1"/>
  <c r="J6" i="124" s="1"/>
  <c r="E147" i="125"/>
  <c r="F8" i="125"/>
  <c r="H8" i="125" s="1"/>
  <c r="J30" i="124"/>
  <c r="AB42" i="124"/>
  <c r="J40" i="124"/>
  <c r="AA15" i="126"/>
  <c r="I31" i="126"/>
  <c r="E9" i="127"/>
  <c r="G9" i="127" s="1"/>
  <c r="G11" i="127"/>
  <c r="L40" i="130"/>
  <c r="M40" i="130"/>
  <c r="L34" i="142"/>
  <c r="M34" i="142"/>
  <c r="AB36" i="116"/>
  <c r="J38" i="116"/>
  <c r="H396" i="117"/>
  <c r="C33" i="117"/>
  <c r="B51" i="117" s="1"/>
  <c r="G296" i="117"/>
  <c r="P321" i="117"/>
  <c r="K10" i="119"/>
  <c r="J38" i="118"/>
  <c r="AB35" i="118"/>
  <c r="D16" i="119"/>
  <c r="E7" i="119"/>
  <c r="G7" i="119" s="1"/>
  <c r="E9" i="119"/>
  <c r="G9" i="119" s="1"/>
  <c r="D166" i="119"/>
  <c r="AA5" i="120"/>
  <c r="C6" i="121"/>
  <c r="E14" i="121"/>
  <c r="G14" i="121" s="1"/>
  <c r="AA30" i="120"/>
  <c r="N17" i="121"/>
  <c r="A503" i="121" s="1"/>
  <c r="H442" i="121"/>
  <c r="E98" i="121"/>
  <c r="F102" i="121" s="1"/>
  <c r="E182" i="121"/>
  <c r="F186" i="121" s="1"/>
  <c r="H474" i="121"/>
  <c r="E266" i="121"/>
  <c r="F270" i="121" s="1"/>
  <c r="H506" i="121"/>
  <c r="F60" i="121"/>
  <c r="M66" i="121"/>
  <c r="J74" i="121"/>
  <c r="I66" i="121"/>
  <c r="I74" i="121"/>
  <c r="H66" i="121"/>
  <c r="H74" i="121"/>
  <c r="G74" i="121"/>
  <c r="L95" i="121"/>
  <c r="L87" i="121"/>
  <c r="D90" i="121"/>
  <c r="D95" i="121"/>
  <c r="F78" i="121"/>
  <c r="E88" i="121"/>
  <c r="M95" i="121"/>
  <c r="F92" i="121"/>
  <c r="K30" i="122"/>
  <c r="E138" i="125"/>
  <c r="A160" i="125" s="1"/>
  <c r="E148" i="125"/>
  <c r="F67" i="127"/>
  <c r="E79" i="127"/>
  <c r="E75" i="127"/>
  <c r="K73" i="127"/>
  <c r="F73" i="127"/>
  <c r="K72" i="127"/>
  <c r="B77" i="127"/>
  <c r="I76" i="127"/>
  <c r="C76" i="127"/>
  <c r="B76" i="127"/>
  <c r="J75" i="127"/>
  <c r="H75" i="127"/>
  <c r="H81" i="127"/>
  <c r="D73" i="127"/>
  <c r="E73" i="127"/>
  <c r="C77" i="127"/>
  <c r="F75" i="127"/>
  <c r="G73" i="127"/>
  <c r="D33" i="117"/>
  <c r="F36" i="117" s="1"/>
  <c r="D484" i="117"/>
  <c r="H461" i="117"/>
  <c r="D492" i="117"/>
  <c r="G174" i="119"/>
  <c r="L213" i="121"/>
  <c r="F211" i="121"/>
  <c r="B217" i="121"/>
  <c r="F204" i="121"/>
  <c r="G324" i="123"/>
  <c r="P340" i="123"/>
  <c r="AB5" i="126"/>
  <c r="D6" i="127"/>
  <c r="H6" i="127" s="1"/>
  <c r="L37" i="126"/>
  <c r="J40" i="130"/>
  <c r="AB29" i="116"/>
  <c r="D14" i="117"/>
  <c r="H14" i="117" s="1"/>
  <c r="D117" i="117"/>
  <c r="F120" i="117" s="1"/>
  <c r="L166" i="119"/>
  <c r="F245" i="119"/>
  <c r="K250" i="119"/>
  <c r="H257" i="119"/>
  <c r="C254" i="119"/>
  <c r="H250" i="119"/>
  <c r="H260" i="119"/>
  <c r="I253" i="119"/>
  <c r="G250" i="119"/>
  <c r="H252" i="119"/>
  <c r="M250" i="119"/>
  <c r="D250" i="119"/>
  <c r="L255" i="119"/>
  <c r="G328" i="121"/>
  <c r="P344" i="121"/>
  <c r="E6" i="121"/>
  <c r="G6" i="121" s="1"/>
  <c r="AA6" i="120"/>
  <c r="I28" i="120"/>
  <c r="C9" i="121"/>
  <c r="AA14" i="120"/>
  <c r="I36" i="120"/>
  <c r="F95" i="121"/>
  <c r="AA30" i="134"/>
  <c r="E14" i="135"/>
  <c r="G14" i="135" s="1"/>
  <c r="I36" i="134"/>
  <c r="K36" i="134" s="1"/>
  <c r="G304" i="117"/>
  <c r="C11" i="119"/>
  <c r="G11" i="119" s="1"/>
  <c r="AA20" i="118"/>
  <c r="G7" i="123"/>
  <c r="E194" i="127"/>
  <c r="A220" i="127" s="1"/>
  <c r="E206" i="127"/>
  <c r="F208" i="127" s="1"/>
  <c r="F6" i="126"/>
  <c r="H6" i="126" s="1"/>
  <c r="J6" i="126" s="1"/>
  <c r="AB20" i="134"/>
  <c r="D11" i="135"/>
  <c r="AB30" i="134"/>
  <c r="F14" i="135"/>
  <c r="J36" i="134"/>
  <c r="G209" i="127"/>
  <c r="J30" i="134"/>
  <c r="K30" i="134" s="1"/>
  <c r="F8" i="135"/>
  <c r="H8" i="135" s="1"/>
  <c r="AB12" i="134"/>
  <c r="I32" i="110"/>
  <c r="K32" i="110" s="1"/>
  <c r="AA27" i="114"/>
  <c r="E13" i="115"/>
  <c r="G13" i="115" s="1"/>
  <c r="I35" i="114"/>
  <c r="E27" i="115"/>
  <c r="F31" i="115" s="1"/>
  <c r="J30" i="116"/>
  <c r="K30" i="116" s="1"/>
  <c r="I34" i="116"/>
  <c r="K34" i="116" s="1"/>
  <c r="E12" i="117"/>
  <c r="G12" i="117" s="1"/>
  <c r="G9" i="117"/>
  <c r="E64" i="121"/>
  <c r="F79" i="123"/>
  <c r="G92" i="123"/>
  <c r="D85" i="123"/>
  <c r="L95" i="123"/>
  <c r="D92" i="123"/>
  <c r="L86" i="123"/>
  <c r="L91" i="123"/>
  <c r="K86" i="123"/>
  <c r="C86" i="123"/>
  <c r="C95" i="123"/>
  <c r="D87" i="123"/>
  <c r="G95" i="123"/>
  <c r="J79" i="127"/>
  <c r="G212" i="127"/>
  <c r="N226" i="127"/>
  <c r="D15" i="121"/>
  <c r="H15" i="121" s="1"/>
  <c r="H448" i="121"/>
  <c r="C119" i="121"/>
  <c r="H480" i="121"/>
  <c r="C203" i="121"/>
  <c r="F212" i="121" s="1"/>
  <c r="H464" i="123"/>
  <c r="C161" i="123"/>
  <c r="H496" i="123"/>
  <c r="C245" i="123"/>
  <c r="AA6" i="132"/>
  <c r="E6" i="133"/>
  <c r="G6" i="133" s="1"/>
  <c r="I28" i="132"/>
  <c r="K28" i="132" s="1"/>
  <c r="J33" i="134"/>
  <c r="AB21" i="134"/>
  <c r="F11" i="135"/>
  <c r="J34" i="118"/>
  <c r="F15" i="119"/>
  <c r="H15" i="119" s="1"/>
  <c r="E15" i="121"/>
  <c r="G15" i="121" s="1"/>
  <c r="AA33" i="120"/>
  <c r="I37" i="120"/>
  <c r="C151" i="121"/>
  <c r="D15" i="123"/>
  <c r="AB32" i="122"/>
  <c r="M41" i="126"/>
  <c r="L41" i="126"/>
  <c r="I31" i="136"/>
  <c r="K31" i="136" s="1"/>
  <c r="E9" i="137"/>
  <c r="G9" i="137" s="1"/>
  <c r="AA15" i="136"/>
  <c r="M32" i="142"/>
  <c r="E302" i="119"/>
  <c r="E288" i="119"/>
  <c r="A318" i="119" s="1"/>
  <c r="F76" i="119"/>
  <c r="P320" i="119"/>
  <c r="G304" i="119"/>
  <c r="J37" i="120"/>
  <c r="M34" i="122"/>
  <c r="L34" i="122"/>
  <c r="E77" i="123"/>
  <c r="D95" i="123" s="1"/>
  <c r="H434" i="123"/>
  <c r="E245" i="123"/>
  <c r="F249" i="123" s="1"/>
  <c r="H498" i="123"/>
  <c r="N205" i="129"/>
  <c r="G191" i="129"/>
  <c r="E303" i="119"/>
  <c r="E289" i="119"/>
  <c r="A319" i="119" s="1"/>
  <c r="AB27" i="120"/>
  <c r="J35" i="120"/>
  <c r="K35" i="120" s="1"/>
  <c r="F13" i="121"/>
  <c r="H13" i="121" s="1"/>
  <c r="D158" i="121"/>
  <c r="L156" i="121"/>
  <c r="H155" i="121"/>
  <c r="D154" i="121"/>
  <c r="L152" i="121"/>
  <c r="H151" i="121"/>
  <c r="L148" i="121"/>
  <c r="H147" i="121"/>
  <c r="B158" i="121"/>
  <c r="F155" i="121"/>
  <c r="B154" i="121"/>
  <c r="J152" i="121"/>
  <c r="F151" i="121"/>
  <c r="B150" i="121"/>
  <c r="J148" i="121"/>
  <c r="F147" i="121"/>
  <c r="M157" i="121"/>
  <c r="I156" i="121"/>
  <c r="M153" i="121"/>
  <c r="I152" i="121"/>
  <c r="E151" i="121"/>
  <c r="M149" i="121"/>
  <c r="I148" i="121"/>
  <c r="E147" i="121"/>
  <c r="L157" i="121"/>
  <c r="H156" i="121"/>
  <c r="L153" i="121"/>
  <c r="H152" i="121"/>
  <c r="D151" i="121"/>
  <c r="L149" i="121"/>
  <c r="H148" i="121"/>
  <c r="D147" i="121"/>
  <c r="L158" i="121"/>
  <c r="H157" i="121"/>
  <c r="L154" i="121"/>
  <c r="H153" i="121"/>
  <c r="D152" i="121"/>
  <c r="L150" i="121"/>
  <c r="H149" i="121"/>
  <c r="D148" i="121"/>
  <c r="K157" i="121"/>
  <c r="M155" i="121"/>
  <c r="C154" i="121"/>
  <c r="B152" i="121"/>
  <c r="C148" i="121"/>
  <c r="J157" i="121"/>
  <c r="L155" i="121"/>
  <c r="K153" i="121"/>
  <c r="M151" i="121"/>
  <c r="C150" i="121"/>
  <c r="B148" i="121"/>
  <c r="I157" i="121"/>
  <c r="J153" i="121"/>
  <c r="L151" i="121"/>
  <c r="M147" i="121"/>
  <c r="G157" i="121"/>
  <c r="I153" i="121"/>
  <c r="K151" i="121"/>
  <c r="L147" i="121"/>
  <c r="E157" i="121"/>
  <c r="G155" i="121"/>
  <c r="F153" i="121"/>
  <c r="I151" i="121"/>
  <c r="G149" i="121"/>
  <c r="J147" i="121"/>
  <c r="F158" i="121"/>
  <c r="B155" i="121"/>
  <c r="G152" i="121"/>
  <c r="F149" i="121"/>
  <c r="E158" i="121"/>
  <c r="M154" i="121"/>
  <c r="F152" i="121"/>
  <c r="C158" i="121"/>
  <c r="K154" i="121"/>
  <c r="E152" i="121"/>
  <c r="F157" i="121"/>
  <c r="J154" i="121"/>
  <c r="C152" i="121"/>
  <c r="C149" i="121"/>
  <c r="C157" i="121"/>
  <c r="H154" i="121"/>
  <c r="G151" i="121"/>
  <c r="M148" i="121"/>
  <c r="F141" i="121"/>
  <c r="J158" i="121"/>
  <c r="G154" i="121"/>
  <c r="I150" i="121"/>
  <c r="I158" i="121"/>
  <c r="F154" i="121"/>
  <c r="H150" i="121"/>
  <c r="H158" i="121"/>
  <c r="E154" i="121"/>
  <c r="G150" i="121"/>
  <c r="G158" i="121"/>
  <c r="G153" i="121"/>
  <c r="F150" i="121"/>
  <c r="D157" i="121"/>
  <c r="E153" i="121"/>
  <c r="I149" i="121"/>
  <c r="G156" i="121"/>
  <c r="M152" i="121"/>
  <c r="F148" i="121"/>
  <c r="F156" i="121"/>
  <c r="B149" i="121"/>
  <c r="B156" i="121"/>
  <c r="G148" i="121"/>
  <c r="I155" i="121"/>
  <c r="E148" i="121"/>
  <c r="K152" i="121"/>
  <c r="AA42" i="122"/>
  <c r="I40" i="122"/>
  <c r="K40" i="122" s="1"/>
  <c r="I17" i="123"/>
  <c r="J17" i="123" s="1"/>
  <c r="P339" i="123"/>
  <c r="G323" i="123"/>
  <c r="H466" i="123"/>
  <c r="F6" i="116"/>
  <c r="H6" i="116" s="1"/>
  <c r="J6" i="116" s="1"/>
  <c r="E280" i="117"/>
  <c r="A310" i="117" s="1"/>
  <c r="E16" i="117"/>
  <c r="AA36" i="116"/>
  <c r="E294" i="117"/>
  <c r="F296" i="117" s="1"/>
  <c r="AB24" i="118"/>
  <c r="J32" i="118"/>
  <c r="K32" i="118" s="1"/>
  <c r="H413" i="119"/>
  <c r="D486" i="119"/>
  <c r="D75" i="119"/>
  <c r="M84" i="119" s="1"/>
  <c r="D490" i="119"/>
  <c r="H445" i="119"/>
  <c r="D159" i="119"/>
  <c r="E175" i="119" s="1"/>
  <c r="D243" i="119"/>
  <c r="I259" i="119" s="1"/>
  <c r="D494" i="119"/>
  <c r="H477" i="119"/>
  <c r="F58" i="121"/>
  <c r="F74" i="121"/>
  <c r="K69" i="121"/>
  <c r="D73" i="121"/>
  <c r="E69" i="121"/>
  <c r="C66" i="121"/>
  <c r="K72" i="121"/>
  <c r="B69" i="121"/>
  <c r="G64" i="121"/>
  <c r="G72" i="121"/>
  <c r="M68" i="121"/>
  <c r="F64" i="121"/>
  <c r="B72" i="121"/>
  <c r="B67" i="121"/>
  <c r="I63" i="121"/>
  <c r="C71" i="121"/>
  <c r="C64" i="121"/>
  <c r="H70" i="121"/>
  <c r="B64" i="121"/>
  <c r="E70" i="121"/>
  <c r="B63" i="121"/>
  <c r="C70" i="121"/>
  <c r="F226" i="121"/>
  <c r="F241" i="121"/>
  <c r="C239" i="121"/>
  <c r="D237" i="121"/>
  <c r="B233" i="121"/>
  <c r="C241" i="121"/>
  <c r="K238" i="121"/>
  <c r="M236" i="121"/>
  <c r="I234" i="121"/>
  <c r="F232" i="121"/>
  <c r="J242" i="121"/>
  <c r="M239" i="121"/>
  <c r="F236" i="121"/>
  <c r="I233" i="121"/>
  <c r="I242" i="121"/>
  <c r="L239" i="121"/>
  <c r="E236" i="121"/>
  <c r="G233" i="121"/>
  <c r="H242" i="121"/>
  <c r="K239" i="121"/>
  <c r="C236" i="121"/>
  <c r="F233" i="121"/>
  <c r="G242" i="121"/>
  <c r="M238" i="121"/>
  <c r="B236" i="121"/>
  <c r="I238" i="121"/>
  <c r="L235" i="121"/>
  <c r="E232" i="121"/>
  <c r="K241" i="121"/>
  <c r="J237" i="121"/>
  <c r="G232" i="121"/>
  <c r="J241" i="121"/>
  <c r="I237" i="121"/>
  <c r="C232" i="121"/>
  <c r="G237" i="121"/>
  <c r="B232" i="121"/>
  <c r="B241" i="121"/>
  <c r="B237" i="121"/>
  <c r="M231" i="121"/>
  <c r="M240" i="121"/>
  <c r="G236" i="121"/>
  <c r="L231" i="121"/>
  <c r="C240" i="121"/>
  <c r="I235" i="121"/>
  <c r="C231" i="121"/>
  <c r="G238" i="121"/>
  <c r="I231" i="121"/>
  <c r="F238" i="121"/>
  <c r="B231" i="121"/>
  <c r="K237" i="121"/>
  <c r="M235" i="121"/>
  <c r="J66" i="121"/>
  <c r="K74" i="121"/>
  <c r="B153" i="121"/>
  <c r="E319" i="123"/>
  <c r="E305" i="123"/>
  <c r="A335" i="123" s="1"/>
  <c r="F6" i="122"/>
  <c r="H6" i="122" s="1"/>
  <c r="J6" i="122" s="1"/>
  <c r="AA9" i="122"/>
  <c r="I29" i="122"/>
  <c r="AB42" i="122"/>
  <c r="J40" i="122"/>
  <c r="H322" i="127"/>
  <c r="E84" i="127"/>
  <c r="F88" i="127" s="1"/>
  <c r="E160" i="127"/>
  <c r="F164" i="127" s="1"/>
  <c r="H354" i="127"/>
  <c r="AB36" i="128"/>
  <c r="J38" i="128"/>
  <c r="E138" i="131"/>
  <c r="F142" i="131" s="1"/>
  <c r="H441" i="131"/>
  <c r="H473" i="131"/>
  <c r="E222" i="131"/>
  <c r="F226" i="131" s="1"/>
  <c r="AB20" i="120"/>
  <c r="D11" i="121"/>
  <c r="M42" i="120"/>
  <c r="L42" i="120"/>
  <c r="I9" i="125"/>
  <c r="F14" i="121"/>
  <c r="H14" i="121" s="1"/>
  <c r="J36" i="120"/>
  <c r="M38" i="122"/>
  <c r="L38" i="122"/>
  <c r="J11" i="123"/>
  <c r="I11" i="123"/>
  <c r="E517" i="123" s="1"/>
  <c r="AA11" i="126"/>
  <c r="C8" i="127"/>
  <c r="G8" i="127" s="1"/>
  <c r="AA39" i="126"/>
  <c r="I39" i="126"/>
  <c r="K39" i="126" s="1"/>
  <c r="C84" i="127"/>
  <c r="F86" i="127" s="1"/>
  <c r="H320" i="127"/>
  <c r="C160" i="127"/>
  <c r="E174" i="127" s="1"/>
  <c r="H352" i="127"/>
  <c r="L36" i="128"/>
  <c r="M36" i="128"/>
  <c r="C16" i="131"/>
  <c r="G16" i="131" s="1"/>
  <c r="AA35" i="130"/>
  <c r="D84" i="127"/>
  <c r="F87" i="127" s="1"/>
  <c r="D363" i="127"/>
  <c r="H321" i="127"/>
  <c r="H353" i="127"/>
  <c r="D160" i="127"/>
  <c r="F163" i="127" s="1"/>
  <c r="I29" i="128"/>
  <c r="K29" i="128" s="1"/>
  <c r="E7" i="129"/>
  <c r="G7" i="129" s="1"/>
  <c r="AA9" i="128"/>
  <c r="E128" i="121"/>
  <c r="F133" i="121"/>
  <c r="C129" i="121"/>
  <c r="L136" i="121"/>
  <c r="K127" i="121"/>
  <c r="K132" i="121"/>
  <c r="F120" i="121"/>
  <c r="M130" i="123"/>
  <c r="E129" i="123"/>
  <c r="G133" i="123"/>
  <c r="F133" i="123"/>
  <c r="J134" i="123"/>
  <c r="L129" i="123"/>
  <c r="M128" i="123"/>
  <c r="C74" i="125"/>
  <c r="F76" i="125" s="1"/>
  <c r="H245" i="125"/>
  <c r="N227" i="127"/>
  <c r="H407" i="131"/>
  <c r="C54" i="131"/>
  <c r="F56" i="131" s="1"/>
  <c r="H439" i="131"/>
  <c r="C138" i="131"/>
  <c r="M156" i="131" s="1"/>
  <c r="C222" i="131"/>
  <c r="H471" i="131"/>
  <c r="J155" i="117"/>
  <c r="F154" i="117"/>
  <c r="B153" i="117"/>
  <c r="J151" i="117"/>
  <c r="F150" i="117"/>
  <c r="B149" i="117"/>
  <c r="F146" i="117"/>
  <c r="B145" i="117"/>
  <c r="F139" i="117"/>
  <c r="M156" i="117"/>
  <c r="H155" i="117"/>
  <c r="C154" i="117"/>
  <c r="J152" i="117"/>
  <c r="E151" i="117"/>
  <c r="L149" i="117"/>
  <c r="G148" i="117"/>
  <c r="B147" i="117"/>
  <c r="I145" i="117"/>
  <c r="L156" i="117"/>
  <c r="G155" i="117"/>
  <c r="B154" i="117"/>
  <c r="I152" i="117"/>
  <c r="D151" i="117"/>
  <c r="K149" i="117"/>
  <c r="F148" i="117"/>
  <c r="M146" i="117"/>
  <c r="H145" i="117"/>
  <c r="K156" i="117"/>
  <c r="F155" i="117"/>
  <c r="M153" i="117"/>
  <c r="H152" i="117"/>
  <c r="C151" i="117"/>
  <c r="J149" i="117"/>
  <c r="L146" i="117"/>
  <c r="G145" i="117"/>
  <c r="J156" i="117"/>
  <c r="E155" i="117"/>
  <c r="L153" i="117"/>
  <c r="G152" i="117"/>
  <c r="B151" i="117"/>
  <c r="I149" i="117"/>
  <c r="K146" i="117"/>
  <c r="F145" i="117"/>
  <c r="H156" i="117"/>
  <c r="C155" i="117"/>
  <c r="E152" i="117"/>
  <c r="L150" i="117"/>
  <c r="G149" i="117"/>
  <c r="B148" i="117"/>
  <c r="I146" i="117"/>
  <c r="D145" i="117"/>
  <c r="G156" i="117"/>
  <c r="I154" i="117"/>
  <c r="F152" i="117"/>
  <c r="G150" i="117"/>
  <c r="H148" i="117"/>
  <c r="D146" i="117"/>
  <c r="F156" i="117"/>
  <c r="H154" i="117"/>
  <c r="D152" i="117"/>
  <c r="E150" i="117"/>
  <c r="C148" i="117"/>
  <c r="C146" i="117"/>
  <c r="E156" i="117"/>
  <c r="G154" i="117"/>
  <c r="C152" i="117"/>
  <c r="D150" i="117"/>
  <c r="M147" i="117"/>
  <c r="B146" i="117"/>
  <c r="D156" i="117"/>
  <c r="B152" i="117"/>
  <c r="C150" i="117"/>
  <c r="L147" i="117"/>
  <c r="M145" i="117"/>
  <c r="C156" i="117"/>
  <c r="M151" i="117"/>
  <c r="B150" i="117"/>
  <c r="L145" i="117"/>
  <c r="K155" i="117"/>
  <c r="G153" i="117"/>
  <c r="H151" i="117"/>
  <c r="E149" i="117"/>
  <c r="F147" i="117"/>
  <c r="C145" i="117"/>
  <c r="E146" i="117"/>
  <c r="D149" i="117"/>
  <c r="M152" i="117"/>
  <c r="M155" i="117"/>
  <c r="E283" i="119"/>
  <c r="A313" i="119" s="1"/>
  <c r="E297" i="119"/>
  <c r="I33" i="118"/>
  <c r="K33" i="118" s="1"/>
  <c r="AA21" i="118"/>
  <c r="I38" i="118"/>
  <c r="K38" i="118" s="1"/>
  <c r="AA36" i="118"/>
  <c r="E16" i="119"/>
  <c r="G16" i="119" s="1"/>
  <c r="M42" i="118"/>
  <c r="L42" i="118"/>
  <c r="I61" i="119"/>
  <c r="J72" i="119"/>
  <c r="L69" i="119"/>
  <c r="H62" i="119"/>
  <c r="C61" i="119"/>
  <c r="F55" i="119"/>
  <c r="F72" i="119"/>
  <c r="D72" i="119"/>
  <c r="I70" i="119"/>
  <c r="G62" i="119"/>
  <c r="L68" i="119"/>
  <c r="J65" i="119"/>
  <c r="J68" i="119"/>
  <c r="C67" i="119"/>
  <c r="L64" i="119"/>
  <c r="J71" i="119"/>
  <c r="F69" i="119"/>
  <c r="J66" i="119"/>
  <c r="D69" i="119"/>
  <c r="L61" i="119"/>
  <c r="F68" i="119"/>
  <c r="I17" i="121"/>
  <c r="E326" i="123"/>
  <c r="E312" i="123"/>
  <c r="A342" i="123" s="1"/>
  <c r="H416" i="123"/>
  <c r="C35" i="123"/>
  <c r="H480" i="123"/>
  <c r="C203" i="123"/>
  <c r="C119" i="123"/>
  <c r="K133" i="123" s="1"/>
  <c r="AB48" i="124"/>
  <c r="J42" i="124"/>
  <c r="F274" i="125"/>
  <c r="H246" i="125"/>
  <c r="D74" i="125"/>
  <c r="F77" i="125" s="1"/>
  <c r="D272" i="125"/>
  <c r="I33" i="126"/>
  <c r="AA21" i="126"/>
  <c r="H296" i="127"/>
  <c r="C27" i="127"/>
  <c r="C103" i="127"/>
  <c r="B116" i="127" s="1"/>
  <c r="H328" i="127"/>
  <c r="G213" i="127"/>
  <c r="C8" i="131"/>
  <c r="AA11" i="130"/>
  <c r="H453" i="119"/>
  <c r="D491" i="119"/>
  <c r="E313" i="121"/>
  <c r="A343" i="121" s="1"/>
  <c r="E327" i="121"/>
  <c r="C512" i="121"/>
  <c r="H415" i="121"/>
  <c r="B35" i="121"/>
  <c r="F15" i="123"/>
  <c r="J37" i="122"/>
  <c r="I42" i="122"/>
  <c r="K42" i="122" s="1"/>
  <c r="AA48" i="122"/>
  <c r="M46" i="123"/>
  <c r="H47" i="123"/>
  <c r="H53" i="123"/>
  <c r="K48" i="123"/>
  <c r="D47" i="123"/>
  <c r="F36" i="123"/>
  <c r="I44" i="123"/>
  <c r="G51" i="123"/>
  <c r="D49" i="123"/>
  <c r="M52" i="123"/>
  <c r="J52" i="123"/>
  <c r="AA20" i="124"/>
  <c r="C11" i="125"/>
  <c r="F270" i="125"/>
  <c r="G38" i="127"/>
  <c r="H43" i="127"/>
  <c r="F38" i="127"/>
  <c r="I36" i="127"/>
  <c r="K39" i="127"/>
  <c r="F28" i="127"/>
  <c r="J37" i="127"/>
  <c r="G43" i="127"/>
  <c r="D39" i="127"/>
  <c r="G36" i="127"/>
  <c r="E41" i="127"/>
  <c r="C43" i="127"/>
  <c r="H38" i="127"/>
  <c r="E38" i="127"/>
  <c r="H40" i="127"/>
  <c r="E9" i="129"/>
  <c r="AA15" i="128"/>
  <c r="K146" i="131"/>
  <c r="F146" i="131"/>
  <c r="J150" i="131"/>
  <c r="C149" i="131"/>
  <c r="H153" i="131"/>
  <c r="K155" i="131"/>
  <c r="B150" i="131"/>
  <c r="F139" i="131"/>
  <c r="B148" i="131"/>
  <c r="L146" i="131"/>
  <c r="B108" i="113"/>
  <c r="AA5" i="116"/>
  <c r="H12" i="117"/>
  <c r="C485" i="117"/>
  <c r="H403" i="117"/>
  <c r="H6" i="118"/>
  <c r="J6" i="118" s="1"/>
  <c r="E284" i="119"/>
  <c r="A314" i="119" s="1"/>
  <c r="E298" i="119"/>
  <c r="J36" i="118"/>
  <c r="D492" i="119"/>
  <c r="D201" i="119"/>
  <c r="F204" i="119" s="1"/>
  <c r="D7" i="121"/>
  <c r="H7" i="121" s="1"/>
  <c r="AB8" i="120"/>
  <c r="I33" i="120"/>
  <c r="E11" i="121"/>
  <c r="G11" i="121" s="1"/>
  <c r="AA21" i="120"/>
  <c r="C520" i="121"/>
  <c r="C6" i="123"/>
  <c r="G6" i="123" s="1"/>
  <c r="AA5" i="122"/>
  <c r="H16" i="123"/>
  <c r="H423" i="123"/>
  <c r="B56" i="123"/>
  <c r="C521" i="123"/>
  <c r="B224" i="123"/>
  <c r="H487" i="123"/>
  <c r="P341" i="123"/>
  <c r="G325" i="123"/>
  <c r="M40" i="124"/>
  <c r="L40" i="124"/>
  <c r="E74" i="125"/>
  <c r="F78" i="125" s="1"/>
  <c r="H247" i="125"/>
  <c r="E7" i="127"/>
  <c r="G7" i="127" s="1"/>
  <c r="AA9" i="126"/>
  <c r="I29" i="126"/>
  <c r="F12" i="129"/>
  <c r="H12" i="129" s="1"/>
  <c r="AB24" i="128"/>
  <c r="J34" i="128"/>
  <c r="D8" i="131"/>
  <c r="H8" i="131" s="1"/>
  <c r="J30" i="130"/>
  <c r="K30" i="118"/>
  <c r="H6" i="119"/>
  <c r="E9" i="121"/>
  <c r="I31" i="120"/>
  <c r="AA15" i="120"/>
  <c r="H16" i="121"/>
  <c r="I16" i="121" s="1"/>
  <c r="P339" i="121"/>
  <c r="G328" i="123"/>
  <c r="P344" i="123"/>
  <c r="J28" i="122"/>
  <c r="D6" i="123"/>
  <c r="H6" i="123" s="1"/>
  <c r="H13" i="123"/>
  <c r="H424" i="123"/>
  <c r="C56" i="123"/>
  <c r="F58" i="123" s="1"/>
  <c r="H488" i="123"/>
  <c r="C224" i="123"/>
  <c r="F226" i="123" s="1"/>
  <c r="L50" i="123"/>
  <c r="F246" i="123"/>
  <c r="C54" i="125"/>
  <c r="C52" i="125"/>
  <c r="C50" i="125"/>
  <c r="C48" i="125"/>
  <c r="H53" i="125"/>
  <c r="E47" i="125"/>
  <c r="G53" i="125"/>
  <c r="D47" i="125"/>
  <c r="F53" i="125"/>
  <c r="C47" i="125"/>
  <c r="F41" i="125"/>
  <c r="D53" i="125"/>
  <c r="C51" i="125"/>
  <c r="B49" i="125"/>
  <c r="I54" i="125"/>
  <c r="C49" i="125"/>
  <c r="H54" i="125"/>
  <c r="B52" i="125"/>
  <c r="I48" i="125"/>
  <c r="G54" i="125"/>
  <c r="I51" i="125"/>
  <c r="H48" i="125"/>
  <c r="F54" i="125"/>
  <c r="H51" i="125"/>
  <c r="G48" i="125"/>
  <c r="E54" i="125"/>
  <c r="F48" i="125"/>
  <c r="E53" i="125"/>
  <c r="I47" i="125"/>
  <c r="D54" i="125"/>
  <c r="B50" i="125"/>
  <c r="I53" i="125"/>
  <c r="H49" i="125"/>
  <c r="I52" i="125"/>
  <c r="B47" i="125"/>
  <c r="H52" i="125"/>
  <c r="B51" i="125"/>
  <c r="B54" i="125"/>
  <c r="F7" i="127"/>
  <c r="H7" i="127" s="1"/>
  <c r="AB9" i="126"/>
  <c r="AA12" i="130"/>
  <c r="E8" i="131"/>
  <c r="I30" i="130"/>
  <c r="K30" i="130" s="1"/>
  <c r="F11" i="131"/>
  <c r="H11" i="131" s="1"/>
  <c r="AB21" i="130"/>
  <c r="J6" i="135"/>
  <c r="I6" i="135"/>
  <c r="D141" i="115"/>
  <c r="J31" i="116"/>
  <c r="K31" i="116" s="1"/>
  <c r="G300" i="119"/>
  <c r="F6" i="120"/>
  <c r="H6" i="120" s="1"/>
  <c r="J6" i="120" s="1"/>
  <c r="E305" i="121"/>
  <c r="A335" i="121" s="1"/>
  <c r="AB15" i="120"/>
  <c r="J31" i="120"/>
  <c r="F512" i="121"/>
  <c r="F9" i="121"/>
  <c r="H9" i="121" s="1"/>
  <c r="D74" i="121"/>
  <c r="L72" i="121"/>
  <c r="H71" i="121"/>
  <c r="D70" i="121"/>
  <c r="L68" i="121"/>
  <c r="H67" i="121"/>
  <c r="L64" i="121"/>
  <c r="H63" i="121"/>
  <c r="B74" i="121"/>
  <c r="J72" i="121"/>
  <c r="F71" i="121"/>
  <c r="B70" i="121"/>
  <c r="J68" i="121"/>
  <c r="B66" i="121"/>
  <c r="J64" i="121"/>
  <c r="F63" i="121"/>
  <c r="M73" i="121"/>
  <c r="I72" i="121"/>
  <c r="E71" i="121"/>
  <c r="M69" i="121"/>
  <c r="I68" i="121"/>
  <c r="M65" i="121"/>
  <c r="I64" i="121"/>
  <c r="E63" i="121"/>
  <c r="L73" i="121"/>
  <c r="H72" i="121"/>
  <c r="D71" i="121"/>
  <c r="L69" i="121"/>
  <c r="H68" i="121"/>
  <c r="L65" i="121"/>
  <c r="H64" i="121"/>
  <c r="D63" i="121"/>
  <c r="L74" i="121"/>
  <c r="H73" i="121"/>
  <c r="D72" i="121"/>
  <c r="L70" i="121"/>
  <c r="H69" i="121"/>
  <c r="L66" i="121"/>
  <c r="H65" i="121"/>
  <c r="D64" i="121"/>
  <c r="I73" i="121"/>
  <c r="K71" i="121"/>
  <c r="J69" i="121"/>
  <c r="L67" i="121"/>
  <c r="K65" i="121"/>
  <c r="M63" i="121"/>
  <c r="G73" i="121"/>
  <c r="J71" i="121"/>
  <c r="I69" i="121"/>
  <c r="K67" i="121"/>
  <c r="J65" i="121"/>
  <c r="L63" i="121"/>
  <c r="F73" i="121"/>
  <c r="I71" i="121"/>
  <c r="G69" i="121"/>
  <c r="J67" i="121"/>
  <c r="I65" i="121"/>
  <c r="K63" i="121"/>
  <c r="F57" i="121"/>
  <c r="E73" i="121"/>
  <c r="G71" i="121"/>
  <c r="F69" i="121"/>
  <c r="I67" i="121"/>
  <c r="J63" i="121"/>
  <c r="M74" i="121"/>
  <c r="C73" i="121"/>
  <c r="B71" i="121"/>
  <c r="D69" i="121"/>
  <c r="C67" i="121"/>
  <c r="G63" i="121"/>
  <c r="E74" i="121"/>
  <c r="M70" i="121"/>
  <c r="C74" i="121"/>
  <c r="K70" i="121"/>
  <c r="K73" i="121"/>
  <c r="J70" i="121"/>
  <c r="C68" i="121"/>
  <c r="C65" i="121"/>
  <c r="J73" i="121"/>
  <c r="I70" i="121"/>
  <c r="B68" i="121"/>
  <c r="B65" i="121"/>
  <c r="B73" i="121"/>
  <c r="G70" i="121"/>
  <c r="K64" i="121"/>
  <c r="M64" i="121"/>
  <c r="C69" i="121"/>
  <c r="M72" i="121"/>
  <c r="G323" i="121"/>
  <c r="I33" i="122"/>
  <c r="K33" i="122" s="1"/>
  <c r="AA20" i="122"/>
  <c r="D56" i="123"/>
  <c r="F59" i="123" s="1"/>
  <c r="H425" i="123"/>
  <c r="D513" i="123"/>
  <c r="D224" i="123"/>
  <c r="F227" i="123" s="1"/>
  <c r="D521" i="123"/>
  <c r="H489" i="123"/>
  <c r="AB36" i="124"/>
  <c r="J38" i="124"/>
  <c r="J29" i="126"/>
  <c r="I38" i="126"/>
  <c r="K38" i="126" s="1"/>
  <c r="AA36" i="126"/>
  <c r="G207" i="127"/>
  <c r="G190" i="129"/>
  <c r="J33" i="130"/>
  <c r="F16" i="131"/>
  <c r="H16" i="131" s="1"/>
  <c r="J38" i="130"/>
  <c r="AB36" i="130"/>
  <c r="E236" i="111"/>
  <c r="A266" i="111" s="1"/>
  <c r="E141" i="115"/>
  <c r="E297" i="117"/>
  <c r="E283" i="117"/>
  <c r="A313" i="117" s="1"/>
  <c r="I33" i="116"/>
  <c r="K33" i="116" s="1"/>
  <c r="H404" i="119"/>
  <c r="C54" i="119"/>
  <c r="C71" i="119" s="1"/>
  <c r="H436" i="119"/>
  <c r="C138" i="119"/>
  <c r="F140" i="119" s="1"/>
  <c r="D96" i="119"/>
  <c r="F99" i="119" s="1"/>
  <c r="K29" i="120"/>
  <c r="G241" i="121"/>
  <c r="I36" i="122"/>
  <c r="C14" i="123"/>
  <c r="G14" i="123" s="1"/>
  <c r="AA29" i="122"/>
  <c r="E140" i="123"/>
  <c r="H458" i="123"/>
  <c r="H490" i="123"/>
  <c r="E224" i="123"/>
  <c r="F228" i="123" s="1"/>
  <c r="H455" i="123"/>
  <c r="F9" i="125"/>
  <c r="H9" i="125" s="1"/>
  <c r="AB15" i="124"/>
  <c r="D6" i="125"/>
  <c r="AB11" i="130"/>
  <c r="AA29" i="130"/>
  <c r="C14" i="131"/>
  <c r="K32" i="114"/>
  <c r="D487" i="119"/>
  <c r="J36" i="122"/>
  <c r="AB29" i="122"/>
  <c r="D14" i="123"/>
  <c r="H14" i="123" s="1"/>
  <c r="K31" i="124"/>
  <c r="F47" i="125"/>
  <c r="J41" i="126"/>
  <c r="AB45" i="126"/>
  <c r="H280" i="129"/>
  <c r="C44" i="129"/>
  <c r="F46" i="129" s="1"/>
  <c r="D54" i="117"/>
  <c r="C75" i="117"/>
  <c r="C485" i="119"/>
  <c r="H403" i="119"/>
  <c r="H435" i="119"/>
  <c r="B138" i="119"/>
  <c r="H467" i="119"/>
  <c r="C493" i="119"/>
  <c r="F244" i="119"/>
  <c r="L250" i="119"/>
  <c r="H253" i="119"/>
  <c r="J260" i="119"/>
  <c r="J33" i="120"/>
  <c r="AB21" i="120"/>
  <c r="I12" i="121"/>
  <c r="P342" i="121"/>
  <c r="G326" i="121"/>
  <c r="J29" i="124"/>
  <c r="K29" i="124" s="1"/>
  <c r="AB9" i="124"/>
  <c r="F7" i="125"/>
  <c r="C6" i="127"/>
  <c r="I28" i="126"/>
  <c r="K28" i="126" s="1"/>
  <c r="AA5" i="126"/>
  <c r="D9" i="127"/>
  <c r="AB14" i="126"/>
  <c r="AA30" i="126"/>
  <c r="I36" i="126"/>
  <c r="K36" i="126" s="1"/>
  <c r="H329" i="127"/>
  <c r="D103" i="127"/>
  <c r="F106" i="127" s="1"/>
  <c r="D364" i="127"/>
  <c r="N228" i="127"/>
  <c r="G214" i="127"/>
  <c r="F328" i="129"/>
  <c r="P321" i="131"/>
  <c r="G305" i="131"/>
  <c r="C9" i="131"/>
  <c r="G9" i="131" s="1"/>
  <c r="AA14" i="130"/>
  <c r="AB32" i="132"/>
  <c r="D15" i="133"/>
  <c r="H223" i="137"/>
  <c r="E23" i="137"/>
  <c r="D35" i="137" s="1"/>
  <c r="H255" i="137"/>
  <c r="E91" i="137"/>
  <c r="AA48" i="116"/>
  <c r="F89" i="117"/>
  <c r="B88" i="117"/>
  <c r="B84" i="117"/>
  <c r="B176" i="117"/>
  <c r="J174" i="117"/>
  <c r="F173" i="117"/>
  <c r="B172" i="117"/>
  <c r="J170" i="117"/>
  <c r="F169" i="117"/>
  <c r="B168" i="117"/>
  <c r="J166" i="117"/>
  <c r="B243" i="117"/>
  <c r="H475" i="117"/>
  <c r="C83" i="117"/>
  <c r="H84" i="117"/>
  <c r="F87" i="117"/>
  <c r="B93" i="117"/>
  <c r="M167" i="117"/>
  <c r="G169" i="117"/>
  <c r="E172" i="117"/>
  <c r="J173" i="117"/>
  <c r="C175" i="117"/>
  <c r="H176" i="117"/>
  <c r="C494" i="117"/>
  <c r="E13" i="119"/>
  <c r="G13" i="119" s="1"/>
  <c r="H405" i="119"/>
  <c r="D485" i="119"/>
  <c r="J253" i="119"/>
  <c r="M255" i="119"/>
  <c r="G8" i="121"/>
  <c r="F7" i="123"/>
  <c r="H7" i="123" s="1"/>
  <c r="AB9" i="122"/>
  <c r="C12" i="123"/>
  <c r="G12" i="123" s="1"/>
  <c r="AA23" i="122"/>
  <c r="H236" i="125"/>
  <c r="B57" i="125"/>
  <c r="C36" i="125"/>
  <c r="C34" i="125"/>
  <c r="C37" i="125"/>
  <c r="B35" i="125"/>
  <c r="I32" i="125"/>
  <c r="H30" i="125"/>
  <c r="B37" i="125"/>
  <c r="I34" i="125"/>
  <c r="H32" i="125"/>
  <c r="G30" i="125"/>
  <c r="I36" i="125"/>
  <c r="H34" i="125"/>
  <c r="G32" i="125"/>
  <c r="F30" i="125"/>
  <c r="G36" i="125"/>
  <c r="F34" i="125"/>
  <c r="F24" i="125"/>
  <c r="G37" i="125"/>
  <c r="G34" i="125"/>
  <c r="H31" i="125"/>
  <c r="F37" i="125"/>
  <c r="E34" i="125"/>
  <c r="G31" i="125"/>
  <c r="E37" i="125"/>
  <c r="D34" i="125"/>
  <c r="F31" i="125"/>
  <c r="D37" i="125"/>
  <c r="B34" i="125"/>
  <c r="H36" i="125"/>
  <c r="I33" i="125"/>
  <c r="B36" i="125"/>
  <c r="G35" i="125"/>
  <c r="F35" i="125"/>
  <c r="I30" i="125"/>
  <c r="E35" i="125"/>
  <c r="D35" i="125"/>
  <c r="H33" i="125"/>
  <c r="AB15" i="126"/>
  <c r="F9" i="127"/>
  <c r="H9" i="127" s="1"/>
  <c r="J31" i="126"/>
  <c r="F11" i="127"/>
  <c r="H11" i="127" s="1"/>
  <c r="J33" i="126"/>
  <c r="AB21" i="126"/>
  <c r="D12" i="127"/>
  <c r="H12" i="127" s="1"/>
  <c r="J32" i="128"/>
  <c r="F10" i="129"/>
  <c r="H10" i="129" s="1"/>
  <c r="I10" i="129" s="1"/>
  <c r="AB18" i="128"/>
  <c r="H33" i="129"/>
  <c r="J36" i="129"/>
  <c r="E41" i="129"/>
  <c r="B41" i="129"/>
  <c r="E40" i="129"/>
  <c r="E279" i="133"/>
  <c r="E265" i="133"/>
  <c r="A295" i="133" s="1"/>
  <c r="AA11" i="132"/>
  <c r="C8" i="133"/>
  <c r="F15" i="133"/>
  <c r="AB33" i="132"/>
  <c r="J37" i="132"/>
  <c r="G327" i="135"/>
  <c r="P343" i="135"/>
  <c r="F16" i="119"/>
  <c r="E222" i="119"/>
  <c r="H470" i="119"/>
  <c r="B256" i="119"/>
  <c r="H437" i="119"/>
  <c r="N16" i="121"/>
  <c r="A495" i="121" s="1"/>
  <c r="F522" i="121"/>
  <c r="E321" i="123"/>
  <c r="E307" i="123"/>
  <c r="A337" i="123" s="1"/>
  <c r="J29" i="122"/>
  <c r="K284" i="123"/>
  <c r="H237" i="125"/>
  <c r="C57" i="125"/>
  <c r="F59" i="125" s="1"/>
  <c r="G152" i="125"/>
  <c r="L164" i="125"/>
  <c r="AB23" i="130"/>
  <c r="D12" i="131"/>
  <c r="H135" i="131"/>
  <c r="D134" i="131"/>
  <c r="L132" i="131"/>
  <c r="H131" i="131"/>
  <c r="D130" i="131"/>
  <c r="L128" i="131"/>
  <c r="H127" i="131"/>
  <c r="D126" i="131"/>
  <c r="L124" i="131"/>
  <c r="G135" i="131"/>
  <c r="B134" i="131"/>
  <c r="I132" i="131"/>
  <c r="D131" i="131"/>
  <c r="K129" i="131"/>
  <c r="F128" i="131"/>
  <c r="M126" i="131"/>
  <c r="H125" i="131"/>
  <c r="F118" i="131"/>
  <c r="L134" i="131"/>
  <c r="F133" i="131"/>
  <c r="L131" i="131"/>
  <c r="F130" i="131"/>
  <c r="K128" i="131"/>
  <c r="E127" i="131"/>
  <c r="E124" i="131"/>
  <c r="K134" i="131"/>
  <c r="E133" i="131"/>
  <c r="K131" i="131"/>
  <c r="E130" i="131"/>
  <c r="J128" i="131"/>
  <c r="D127" i="131"/>
  <c r="D124" i="131"/>
  <c r="J134" i="131"/>
  <c r="D133" i="131"/>
  <c r="J131" i="131"/>
  <c r="I134" i="131"/>
  <c r="I131" i="131"/>
  <c r="B130" i="131"/>
  <c r="H128" i="131"/>
  <c r="B127" i="131"/>
  <c r="G125" i="131"/>
  <c r="J135" i="131"/>
  <c r="C134" i="131"/>
  <c r="H132" i="131"/>
  <c r="B131" i="131"/>
  <c r="H129" i="131"/>
  <c r="B128" i="131"/>
  <c r="H126" i="131"/>
  <c r="F135" i="131"/>
  <c r="G133" i="131"/>
  <c r="M130" i="131"/>
  <c r="C129" i="131"/>
  <c r="L126" i="131"/>
  <c r="M124" i="131"/>
  <c r="C135" i="131"/>
  <c r="J130" i="131"/>
  <c r="I128" i="131"/>
  <c r="I126" i="131"/>
  <c r="I124" i="131"/>
  <c r="B135" i="131"/>
  <c r="I130" i="131"/>
  <c r="G128" i="131"/>
  <c r="G126" i="131"/>
  <c r="H124" i="131"/>
  <c r="F134" i="131"/>
  <c r="D132" i="131"/>
  <c r="M129" i="131"/>
  <c r="M127" i="131"/>
  <c r="B126" i="131"/>
  <c r="H134" i="131"/>
  <c r="M131" i="131"/>
  <c r="D129" i="131"/>
  <c r="E126" i="131"/>
  <c r="G134" i="131"/>
  <c r="G131" i="131"/>
  <c r="B129" i="131"/>
  <c r="C126" i="131"/>
  <c r="E134" i="131"/>
  <c r="F131" i="131"/>
  <c r="M128" i="131"/>
  <c r="M125" i="131"/>
  <c r="M133" i="131"/>
  <c r="E131" i="131"/>
  <c r="E128" i="131"/>
  <c r="L125" i="131"/>
  <c r="L133" i="131"/>
  <c r="C131" i="131"/>
  <c r="D128" i="131"/>
  <c r="I125" i="131"/>
  <c r="H133" i="131"/>
  <c r="G129" i="131"/>
  <c r="D125" i="131"/>
  <c r="F129" i="131"/>
  <c r="M132" i="131"/>
  <c r="E129" i="131"/>
  <c r="G132" i="131"/>
  <c r="C128" i="131"/>
  <c r="F132" i="131"/>
  <c r="L127" i="131"/>
  <c r="G124" i="131"/>
  <c r="K135" i="131"/>
  <c r="L130" i="131"/>
  <c r="G127" i="131"/>
  <c r="M135" i="131"/>
  <c r="L129" i="131"/>
  <c r="L135" i="131"/>
  <c r="J129" i="131"/>
  <c r="I135" i="131"/>
  <c r="I129" i="131"/>
  <c r="E135" i="131"/>
  <c r="K127" i="131"/>
  <c r="M134" i="131"/>
  <c r="I127" i="131"/>
  <c r="H130" i="131"/>
  <c r="E11" i="133"/>
  <c r="G11" i="133" s="1"/>
  <c r="AA21" i="132"/>
  <c r="I14" i="133"/>
  <c r="E458" i="133" s="1"/>
  <c r="B257" i="119"/>
  <c r="J251" i="119"/>
  <c r="F250" i="119"/>
  <c r="M260" i="119"/>
  <c r="E258" i="119"/>
  <c r="M256" i="119"/>
  <c r="M261" i="119"/>
  <c r="I260" i="119"/>
  <c r="E259" i="119"/>
  <c r="M257" i="119"/>
  <c r="E255" i="119"/>
  <c r="M253" i="119"/>
  <c r="E251" i="119"/>
  <c r="L261" i="119"/>
  <c r="D260" i="119"/>
  <c r="C250" i="119"/>
  <c r="K261" i="119"/>
  <c r="C260" i="119"/>
  <c r="D258" i="119"/>
  <c r="F253" i="119"/>
  <c r="K251" i="119"/>
  <c r="B250" i="119"/>
  <c r="J261" i="119"/>
  <c r="B260" i="119"/>
  <c r="I261" i="119"/>
  <c r="L259" i="119"/>
  <c r="F256" i="119"/>
  <c r="D253" i="119"/>
  <c r="G251" i="119"/>
  <c r="G261" i="119"/>
  <c r="H259" i="119"/>
  <c r="K257" i="119"/>
  <c r="D256" i="119"/>
  <c r="C256" i="119"/>
  <c r="D261" i="119"/>
  <c r="E311" i="121"/>
  <c r="A341" i="121" s="1"/>
  <c r="E325" i="121"/>
  <c r="F518" i="121"/>
  <c r="M41" i="122"/>
  <c r="L41" i="122"/>
  <c r="D271" i="125"/>
  <c r="D57" i="125"/>
  <c r="F60" i="125" s="1"/>
  <c r="G193" i="129"/>
  <c r="I37" i="128"/>
  <c r="K37" i="128" s="1"/>
  <c r="AA33" i="128"/>
  <c r="AB48" i="128"/>
  <c r="J42" i="128"/>
  <c r="H274" i="129"/>
  <c r="E25" i="129"/>
  <c r="K33" i="129" s="1"/>
  <c r="E101" i="129"/>
  <c r="F105" i="129" s="1"/>
  <c r="H306" i="129"/>
  <c r="AA12" i="132"/>
  <c r="E8" i="133"/>
  <c r="E284" i="141"/>
  <c r="A314" i="141" s="1"/>
  <c r="E298" i="141"/>
  <c r="F6" i="140"/>
  <c r="H6" i="140" s="1"/>
  <c r="J6" i="140" s="1"/>
  <c r="C65" i="115"/>
  <c r="F67" i="115" s="1"/>
  <c r="N13" i="117"/>
  <c r="A451" i="117" s="1"/>
  <c r="F83" i="117"/>
  <c r="D86" i="117"/>
  <c r="I87" i="117"/>
  <c r="L166" i="117"/>
  <c r="E168" i="117"/>
  <c r="J169" i="117"/>
  <c r="C171" i="117"/>
  <c r="H172" i="117"/>
  <c r="M173" i="117"/>
  <c r="F175" i="117"/>
  <c r="K176" i="117"/>
  <c r="H405" i="117"/>
  <c r="J40" i="118"/>
  <c r="N8" i="119"/>
  <c r="A411" i="119" s="1"/>
  <c r="I10" i="119"/>
  <c r="F261" i="119"/>
  <c r="E301" i="119"/>
  <c r="D493" i="119"/>
  <c r="I40" i="120"/>
  <c r="K40" i="120" s="1"/>
  <c r="AB23" i="122"/>
  <c r="E10" i="123"/>
  <c r="G10" i="123" s="1"/>
  <c r="AA18" i="122"/>
  <c r="F12" i="123"/>
  <c r="H12" i="123" s="1"/>
  <c r="AB24" i="122"/>
  <c r="AA39" i="122"/>
  <c r="I39" i="122"/>
  <c r="K39" i="122" s="1"/>
  <c r="E94" i="123"/>
  <c r="M92" i="123"/>
  <c r="E90" i="123"/>
  <c r="I87" i="123"/>
  <c r="M84" i="123"/>
  <c r="H95" i="123"/>
  <c r="D94" i="123"/>
  <c r="L92" i="123"/>
  <c r="L84" i="123"/>
  <c r="E95" i="123"/>
  <c r="M93" i="123"/>
  <c r="M89" i="123"/>
  <c r="I88" i="123"/>
  <c r="E87" i="123"/>
  <c r="M85" i="123"/>
  <c r="I84" i="123"/>
  <c r="L94" i="123"/>
  <c r="C85" i="123"/>
  <c r="K94" i="123"/>
  <c r="G91" i="123"/>
  <c r="D88" i="123"/>
  <c r="I86" i="123"/>
  <c r="B85" i="123"/>
  <c r="J94" i="123"/>
  <c r="C93" i="123"/>
  <c r="F91" i="123"/>
  <c r="B93" i="123"/>
  <c r="D91" i="123"/>
  <c r="I89" i="123"/>
  <c r="B88" i="123"/>
  <c r="J84" i="123"/>
  <c r="H94" i="123"/>
  <c r="C91" i="123"/>
  <c r="H89" i="123"/>
  <c r="D89" i="123"/>
  <c r="G87" i="123"/>
  <c r="K85" i="123"/>
  <c r="B91" i="123"/>
  <c r="J88" i="123"/>
  <c r="L85" i="123"/>
  <c r="M90" i="123"/>
  <c r="I85" i="123"/>
  <c r="M95" i="123"/>
  <c r="H85" i="123"/>
  <c r="J95" i="123"/>
  <c r="F93" i="123"/>
  <c r="K87" i="123"/>
  <c r="F85" i="123"/>
  <c r="F33" i="125"/>
  <c r="H279" i="129"/>
  <c r="B44" i="129"/>
  <c r="B120" i="129"/>
  <c r="C333" i="129"/>
  <c r="B39" i="129"/>
  <c r="L28" i="130"/>
  <c r="M28" i="130"/>
  <c r="I33" i="132"/>
  <c r="K33" i="132" s="1"/>
  <c r="F118" i="133"/>
  <c r="I133" i="133"/>
  <c r="C132" i="133"/>
  <c r="I130" i="133"/>
  <c r="B129" i="133"/>
  <c r="H127" i="133"/>
  <c r="B126" i="133"/>
  <c r="G124" i="133"/>
  <c r="M122" i="133"/>
  <c r="H133" i="133"/>
  <c r="B132" i="133"/>
  <c r="G130" i="133"/>
  <c r="M128" i="133"/>
  <c r="G127" i="133"/>
  <c r="L125" i="133"/>
  <c r="F124" i="133"/>
  <c r="L122" i="133"/>
  <c r="G133" i="133"/>
  <c r="M131" i="133"/>
  <c r="F130" i="133"/>
  <c r="L128" i="133"/>
  <c r="E127" i="133"/>
  <c r="K125" i="133"/>
  <c r="E124" i="133"/>
  <c r="L133" i="133"/>
  <c r="D131" i="133"/>
  <c r="I128" i="133"/>
  <c r="G126" i="133"/>
  <c r="F133" i="133"/>
  <c r="H128" i="133"/>
  <c r="F126" i="133"/>
  <c r="E133" i="133"/>
  <c r="F128" i="133"/>
  <c r="E126" i="133"/>
  <c r="I123" i="133"/>
  <c r="C133" i="133"/>
  <c r="M130" i="133"/>
  <c r="E128" i="133"/>
  <c r="J125" i="133"/>
  <c r="H123" i="133"/>
  <c r="L132" i="133"/>
  <c r="L130" i="133"/>
  <c r="D128" i="133"/>
  <c r="I125" i="133"/>
  <c r="G123" i="133"/>
  <c r="H132" i="133"/>
  <c r="L129" i="133"/>
  <c r="K127" i="133"/>
  <c r="C125" i="133"/>
  <c r="I122" i="133"/>
  <c r="K132" i="133"/>
  <c r="H129" i="133"/>
  <c r="E125" i="133"/>
  <c r="J132" i="133"/>
  <c r="G129" i="133"/>
  <c r="B125" i="133"/>
  <c r="I132" i="133"/>
  <c r="F129" i="133"/>
  <c r="M124" i="133"/>
  <c r="G132" i="133"/>
  <c r="J128" i="133"/>
  <c r="L124" i="133"/>
  <c r="F132" i="133"/>
  <c r="C128" i="133"/>
  <c r="K124" i="133"/>
  <c r="F131" i="133"/>
  <c r="C127" i="133"/>
  <c r="F123" i="133"/>
  <c r="C124" i="133"/>
  <c r="B124" i="133"/>
  <c r="K129" i="133"/>
  <c r="E123" i="133"/>
  <c r="J129" i="133"/>
  <c r="I129" i="133"/>
  <c r="G122" i="133"/>
  <c r="F125" i="133"/>
  <c r="M133" i="133"/>
  <c r="D124" i="133"/>
  <c r="E122" i="133"/>
  <c r="D122" i="133"/>
  <c r="H131" i="133"/>
  <c r="M127" i="133"/>
  <c r="F138" i="133"/>
  <c r="J148" i="133"/>
  <c r="H148" i="133"/>
  <c r="F146" i="133"/>
  <c r="F153" i="133"/>
  <c r="G144" i="133"/>
  <c r="K153" i="133"/>
  <c r="G153" i="133"/>
  <c r="D153" i="133"/>
  <c r="F185" i="135"/>
  <c r="G296" i="119"/>
  <c r="F296" i="119"/>
  <c r="D257" i="121"/>
  <c r="L252" i="121"/>
  <c r="I37" i="122"/>
  <c r="K37" i="122" s="1"/>
  <c r="G13" i="123"/>
  <c r="H465" i="123"/>
  <c r="D518" i="123"/>
  <c r="D161" i="123"/>
  <c r="F164" i="123" s="1"/>
  <c r="D245" i="123"/>
  <c r="F248" i="123" s="1"/>
  <c r="H497" i="123"/>
  <c r="D522" i="123"/>
  <c r="F204" i="123"/>
  <c r="H273" i="123"/>
  <c r="F276" i="123"/>
  <c r="K278" i="123"/>
  <c r="H281" i="123"/>
  <c r="F284" i="123"/>
  <c r="E8" i="125"/>
  <c r="G8" i="125" s="1"/>
  <c r="I30" i="124"/>
  <c r="K30" i="124" s="1"/>
  <c r="AA45" i="124"/>
  <c r="I41" i="124"/>
  <c r="K41" i="124" s="1"/>
  <c r="K32" i="128"/>
  <c r="M39" i="128"/>
  <c r="L39" i="128"/>
  <c r="I42" i="128"/>
  <c r="K42" i="128" s="1"/>
  <c r="AA48" i="128"/>
  <c r="G79" i="129"/>
  <c r="H75" i="129"/>
  <c r="I73" i="129"/>
  <c r="J71" i="129"/>
  <c r="B79" i="129"/>
  <c r="B75" i="129"/>
  <c r="C73" i="129"/>
  <c r="D71" i="129"/>
  <c r="J74" i="129"/>
  <c r="E72" i="129"/>
  <c r="K79" i="129"/>
  <c r="F77" i="129"/>
  <c r="I74" i="129"/>
  <c r="D72" i="129"/>
  <c r="J79" i="129"/>
  <c r="E77" i="129"/>
  <c r="G74" i="129"/>
  <c r="C72" i="129"/>
  <c r="I79" i="129"/>
  <c r="K76" i="129"/>
  <c r="F74" i="129"/>
  <c r="B72" i="129"/>
  <c r="H79" i="129"/>
  <c r="D74" i="129"/>
  <c r="K71" i="129"/>
  <c r="E78" i="129"/>
  <c r="K74" i="129"/>
  <c r="J70" i="129"/>
  <c r="D78" i="129"/>
  <c r="C74" i="129"/>
  <c r="C78" i="129"/>
  <c r="B74" i="129"/>
  <c r="G70" i="129"/>
  <c r="B78" i="129"/>
  <c r="K73" i="129"/>
  <c r="F70" i="129"/>
  <c r="K77" i="129"/>
  <c r="J73" i="129"/>
  <c r="E70" i="129"/>
  <c r="E76" i="129"/>
  <c r="K72" i="129"/>
  <c r="F65" i="129"/>
  <c r="C139" i="129"/>
  <c r="H320" i="129"/>
  <c r="B73" i="129"/>
  <c r="E79" i="129"/>
  <c r="D6" i="137"/>
  <c r="H6" i="137" s="1"/>
  <c r="J28" i="136"/>
  <c r="AB5" i="136"/>
  <c r="AA18" i="120"/>
  <c r="E10" i="121"/>
  <c r="G10" i="121" s="1"/>
  <c r="C518" i="121"/>
  <c r="H463" i="121"/>
  <c r="M232" i="121"/>
  <c r="K234" i="121"/>
  <c r="C237" i="121"/>
  <c r="B239" i="121"/>
  <c r="E307" i="121"/>
  <c r="A337" i="121" s="1"/>
  <c r="E9" i="123"/>
  <c r="G9" i="123" s="1"/>
  <c r="I31" i="122"/>
  <c r="K273" i="123"/>
  <c r="H276" i="123"/>
  <c r="J281" i="123"/>
  <c r="H284" i="123"/>
  <c r="E150" i="125"/>
  <c r="E140" i="125"/>
  <c r="A162" i="125" s="1"/>
  <c r="AA6" i="124"/>
  <c r="I28" i="124"/>
  <c r="K28" i="124" s="1"/>
  <c r="AA27" i="124"/>
  <c r="I35" i="124"/>
  <c r="K35" i="124" s="1"/>
  <c r="E6" i="125"/>
  <c r="G6" i="125" s="1"/>
  <c r="AA24" i="126"/>
  <c r="I34" i="126"/>
  <c r="K34" i="126" s="1"/>
  <c r="G80" i="127"/>
  <c r="K78" i="127"/>
  <c r="E77" i="127"/>
  <c r="I75" i="127"/>
  <c r="C74" i="127"/>
  <c r="G72" i="127"/>
  <c r="I80" i="127"/>
  <c r="D77" i="127"/>
  <c r="G75" i="127"/>
  <c r="J73" i="127"/>
  <c r="F66" i="127"/>
  <c r="E81" i="127"/>
  <c r="G79" i="127"/>
  <c r="I77" i="127"/>
  <c r="K75" i="127"/>
  <c r="B74" i="127"/>
  <c r="D72" i="127"/>
  <c r="F80" i="127"/>
  <c r="G78" i="127"/>
  <c r="H76" i="127"/>
  <c r="I74" i="127"/>
  <c r="J72" i="127"/>
  <c r="E80" i="127"/>
  <c r="F78" i="127"/>
  <c r="G76" i="127"/>
  <c r="H74" i="127"/>
  <c r="D80" i="127"/>
  <c r="E78" i="127"/>
  <c r="F76" i="127"/>
  <c r="G74" i="127"/>
  <c r="C80" i="127"/>
  <c r="D78" i="127"/>
  <c r="E76" i="127"/>
  <c r="F74" i="127"/>
  <c r="F72" i="127"/>
  <c r="K81" i="127"/>
  <c r="B80" i="127"/>
  <c r="D76" i="127"/>
  <c r="E74" i="127"/>
  <c r="E72" i="127"/>
  <c r="B81" i="127"/>
  <c r="K77" i="127"/>
  <c r="D75" i="127"/>
  <c r="K80" i="127"/>
  <c r="J77" i="127"/>
  <c r="C75" i="127"/>
  <c r="J80" i="127"/>
  <c r="H77" i="127"/>
  <c r="B75" i="127"/>
  <c r="H80" i="127"/>
  <c r="G77" i="127"/>
  <c r="K74" i="127"/>
  <c r="K79" i="127"/>
  <c r="F77" i="127"/>
  <c r="J74" i="127"/>
  <c r="F79" i="127"/>
  <c r="J76" i="127"/>
  <c r="J78" i="127"/>
  <c r="H73" i="129"/>
  <c r="I42" i="130"/>
  <c r="K42" i="130" s="1"/>
  <c r="AA48" i="130"/>
  <c r="I30" i="120"/>
  <c r="K30" i="120" s="1"/>
  <c r="J31" i="122"/>
  <c r="F9" i="123"/>
  <c r="H9" i="123" s="1"/>
  <c r="I115" i="123"/>
  <c r="L109" i="123"/>
  <c r="M177" i="123"/>
  <c r="I176" i="123"/>
  <c r="E175" i="123"/>
  <c r="J168" i="123"/>
  <c r="F170" i="123"/>
  <c r="H168" i="123"/>
  <c r="D171" i="123"/>
  <c r="I169" i="123"/>
  <c r="B168" i="123"/>
  <c r="B169" i="123"/>
  <c r="L273" i="123"/>
  <c r="I276" i="123"/>
  <c r="L281" i="123"/>
  <c r="I284" i="123"/>
  <c r="AB6" i="124"/>
  <c r="J28" i="124"/>
  <c r="I33" i="124"/>
  <c r="K33" i="124" s="1"/>
  <c r="AA21" i="124"/>
  <c r="M39" i="124"/>
  <c r="L39" i="124"/>
  <c r="F6" i="125"/>
  <c r="C108" i="125"/>
  <c r="H261" i="125"/>
  <c r="H229" i="125"/>
  <c r="J34" i="126"/>
  <c r="K38" i="129"/>
  <c r="F75" i="129"/>
  <c r="F494" i="131"/>
  <c r="M42" i="134"/>
  <c r="L42" i="134"/>
  <c r="J35" i="118"/>
  <c r="K35" i="118" s="1"/>
  <c r="C117" i="119"/>
  <c r="F119" i="119" s="1"/>
  <c r="J28" i="120"/>
  <c r="I32" i="120"/>
  <c r="K32" i="120" s="1"/>
  <c r="I39" i="120"/>
  <c r="D518" i="121"/>
  <c r="D161" i="121"/>
  <c r="C233" i="121"/>
  <c r="B235" i="121"/>
  <c r="E237" i="121"/>
  <c r="I239" i="121"/>
  <c r="M254" i="121"/>
  <c r="D514" i="121"/>
  <c r="F515" i="123"/>
  <c r="G274" i="123"/>
  <c r="J276" i="123"/>
  <c r="M281" i="123"/>
  <c r="J284" i="123"/>
  <c r="E313" i="123"/>
  <c r="A343" i="123" s="1"/>
  <c r="G327" i="123"/>
  <c r="I37" i="124"/>
  <c r="K37" i="124" s="1"/>
  <c r="J39" i="124"/>
  <c r="C13" i="127"/>
  <c r="G13" i="127" s="1"/>
  <c r="I35" i="126"/>
  <c r="J37" i="126"/>
  <c r="D74" i="127"/>
  <c r="D79" i="127"/>
  <c r="E11" i="129"/>
  <c r="AA21" i="128"/>
  <c r="AA42" i="128"/>
  <c r="G75" i="129"/>
  <c r="G321" i="121"/>
  <c r="F321" i="121"/>
  <c r="AB24" i="120"/>
  <c r="J34" i="120"/>
  <c r="K34" i="120" s="1"/>
  <c r="J39" i="120"/>
  <c r="H434" i="121"/>
  <c r="E77" i="121"/>
  <c r="H498" i="121"/>
  <c r="E245" i="121"/>
  <c r="I263" i="121" s="1"/>
  <c r="L240" i="121"/>
  <c r="H239" i="121"/>
  <c r="D238" i="121"/>
  <c r="L236" i="121"/>
  <c r="H235" i="121"/>
  <c r="L232" i="121"/>
  <c r="H231" i="121"/>
  <c r="C242" i="121"/>
  <c r="K240" i="121"/>
  <c r="G239" i="121"/>
  <c r="C238" i="121"/>
  <c r="K236" i="121"/>
  <c r="G235" i="121"/>
  <c r="C234" i="121"/>
  <c r="K232" i="121"/>
  <c r="G231" i="121"/>
  <c r="B242" i="121"/>
  <c r="J240" i="121"/>
  <c r="F239" i="121"/>
  <c r="B238" i="121"/>
  <c r="J236" i="121"/>
  <c r="F235" i="121"/>
  <c r="B234" i="121"/>
  <c r="J232" i="121"/>
  <c r="F231" i="121"/>
  <c r="I240" i="121"/>
  <c r="E239" i="121"/>
  <c r="M237" i="121"/>
  <c r="I236" i="121"/>
  <c r="E235" i="121"/>
  <c r="I232" i="121"/>
  <c r="E231" i="121"/>
  <c r="H240" i="121"/>
  <c r="D239" i="121"/>
  <c r="L237" i="121"/>
  <c r="H236" i="121"/>
  <c r="D235" i="121"/>
  <c r="H232" i="121"/>
  <c r="D231" i="121"/>
  <c r="H241" i="121"/>
  <c r="D240" i="121"/>
  <c r="L238" i="121"/>
  <c r="H237" i="121"/>
  <c r="D236" i="121"/>
  <c r="H233" i="121"/>
  <c r="D232" i="121"/>
  <c r="C235" i="121"/>
  <c r="F237" i="121"/>
  <c r="J239" i="121"/>
  <c r="I241" i="121"/>
  <c r="E318" i="123"/>
  <c r="E304" i="123"/>
  <c r="A334" i="123" s="1"/>
  <c r="AA33" i="122"/>
  <c r="F517" i="123"/>
  <c r="N11" i="123"/>
  <c r="A455" i="123" s="1"/>
  <c r="J108" i="123"/>
  <c r="J274" i="123"/>
  <c r="L276" i="123"/>
  <c r="J279" i="123"/>
  <c r="B282" i="123"/>
  <c r="E314" i="123"/>
  <c r="A344" i="123" s="1"/>
  <c r="D514" i="123"/>
  <c r="E11" i="125"/>
  <c r="G11" i="125" s="1"/>
  <c r="D13" i="127"/>
  <c r="H13" i="127" s="1"/>
  <c r="J35" i="126"/>
  <c r="F364" i="127"/>
  <c r="G205" i="127"/>
  <c r="F205" i="127"/>
  <c r="F11" i="129"/>
  <c r="H11" i="129" s="1"/>
  <c r="J33" i="128"/>
  <c r="K33" i="128" s="1"/>
  <c r="AB21" i="128"/>
  <c r="I75" i="129"/>
  <c r="K35" i="130"/>
  <c r="H371" i="133"/>
  <c r="D31" i="133"/>
  <c r="I39" i="133" s="1"/>
  <c r="H403" i="133"/>
  <c r="D454" i="133"/>
  <c r="H435" i="133"/>
  <c r="D199" i="133"/>
  <c r="C211" i="133" s="1"/>
  <c r="D458" i="133"/>
  <c r="H487" i="121"/>
  <c r="C518" i="123"/>
  <c r="H463" i="123"/>
  <c r="I273" i="123"/>
  <c r="D275" i="123"/>
  <c r="K276" i="123"/>
  <c r="D280" i="123"/>
  <c r="K281" i="123"/>
  <c r="F283" i="123"/>
  <c r="F149" i="125"/>
  <c r="AA11" i="124"/>
  <c r="C8" i="125"/>
  <c r="C272" i="125"/>
  <c r="B74" i="125"/>
  <c r="E172" i="129"/>
  <c r="A198" i="129" s="1"/>
  <c r="E184" i="129"/>
  <c r="F193" i="129" s="1"/>
  <c r="F6" i="128"/>
  <c r="H6" i="128" s="1"/>
  <c r="J6" i="128" s="1"/>
  <c r="I34" i="128"/>
  <c r="K34" i="128" s="1"/>
  <c r="AA24" i="128"/>
  <c r="F331" i="129"/>
  <c r="I35" i="129"/>
  <c r="B147" i="129"/>
  <c r="G148" i="129"/>
  <c r="H146" i="129"/>
  <c r="B154" i="129"/>
  <c r="C150" i="129"/>
  <c r="E146" i="129"/>
  <c r="F140" i="129"/>
  <c r="K153" i="129"/>
  <c r="C148" i="129"/>
  <c r="J152" i="129"/>
  <c r="F147" i="129"/>
  <c r="J149" i="129"/>
  <c r="E147" i="129"/>
  <c r="E152" i="129"/>
  <c r="I149" i="129"/>
  <c r="K147" i="129"/>
  <c r="C96" i="131"/>
  <c r="F98" i="131" s="1"/>
  <c r="F301" i="131"/>
  <c r="E258" i="133"/>
  <c r="A288" i="133" s="1"/>
  <c r="E272" i="133"/>
  <c r="E282" i="133"/>
  <c r="E268" i="133"/>
  <c r="A298" i="133" s="1"/>
  <c r="M42" i="132"/>
  <c r="L42" i="132"/>
  <c r="AA5" i="134"/>
  <c r="I28" i="134"/>
  <c r="K28" i="134" s="1"/>
  <c r="K33" i="140"/>
  <c r="H414" i="141"/>
  <c r="E75" i="141"/>
  <c r="F79" i="141" s="1"/>
  <c r="H446" i="141"/>
  <c r="E159" i="141"/>
  <c r="F163" i="141" s="1"/>
  <c r="H478" i="141"/>
  <c r="E243" i="141"/>
  <c r="F247" i="141" s="1"/>
  <c r="J30" i="142"/>
  <c r="AB12" i="142"/>
  <c r="F8" i="143"/>
  <c r="H8" i="143" s="1"/>
  <c r="D35" i="121"/>
  <c r="F38" i="121" s="1"/>
  <c r="I28" i="122"/>
  <c r="E16" i="123"/>
  <c r="G16" i="123" s="1"/>
  <c r="C98" i="123"/>
  <c r="H106" i="123" s="1"/>
  <c r="M273" i="123"/>
  <c r="H275" i="123"/>
  <c r="M278" i="123"/>
  <c r="C282" i="123"/>
  <c r="K283" i="123"/>
  <c r="H439" i="123"/>
  <c r="H495" i="123"/>
  <c r="H505" i="123"/>
  <c r="B141" i="127"/>
  <c r="H343" i="127"/>
  <c r="F172" i="127"/>
  <c r="H295" i="129"/>
  <c r="C331" i="129"/>
  <c r="B82" i="129"/>
  <c r="I40" i="129"/>
  <c r="K35" i="129"/>
  <c r="I32" i="129"/>
  <c r="C41" i="129"/>
  <c r="F39" i="129"/>
  <c r="B36" i="129"/>
  <c r="G32" i="129"/>
  <c r="D40" i="129"/>
  <c r="H36" i="129"/>
  <c r="K39" i="129"/>
  <c r="E36" i="129"/>
  <c r="H41" i="129"/>
  <c r="J39" i="129"/>
  <c r="B38" i="129"/>
  <c r="D36" i="129"/>
  <c r="F32" i="129"/>
  <c r="D41" i="129"/>
  <c r="E39" i="129"/>
  <c r="J33" i="129"/>
  <c r="E37" i="129"/>
  <c r="I39" i="129"/>
  <c r="C37" i="129"/>
  <c r="K34" i="129"/>
  <c r="G39" i="129"/>
  <c r="B37" i="129"/>
  <c r="J41" i="129"/>
  <c r="D39" i="129"/>
  <c r="K36" i="129"/>
  <c r="G36" i="129"/>
  <c r="AA24" i="130"/>
  <c r="I34" i="130"/>
  <c r="P292" i="133"/>
  <c r="F276" i="133"/>
  <c r="F10" i="121"/>
  <c r="H10" i="121" s="1"/>
  <c r="E35" i="121"/>
  <c r="F39" i="121" s="1"/>
  <c r="H425" i="121"/>
  <c r="H489" i="121"/>
  <c r="AB21" i="122"/>
  <c r="D98" i="123"/>
  <c r="F101" i="123" s="1"/>
  <c r="B182" i="123"/>
  <c r="B274" i="123"/>
  <c r="J275" i="123"/>
  <c r="B279" i="123"/>
  <c r="D282" i="123"/>
  <c r="B284" i="123"/>
  <c r="E320" i="123"/>
  <c r="J41" i="124"/>
  <c r="D7" i="125"/>
  <c r="J28" i="126"/>
  <c r="J38" i="126"/>
  <c r="E6" i="127"/>
  <c r="H344" i="127"/>
  <c r="C141" i="127"/>
  <c r="F143" i="127" s="1"/>
  <c r="J28" i="128"/>
  <c r="M41" i="128"/>
  <c r="L41" i="128"/>
  <c r="F33" i="129"/>
  <c r="I36" i="129"/>
  <c r="E286" i="131"/>
  <c r="A316" i="131" s="1"/>
  <c r="E300" i="131"/>
  <c r="F12" i="131"/>
  <c r="J34" i="130"/>
  <c r="AB24" i="130"/>
  <c r="C239" i="131"/>
  <c r="L229" i="131"/>
  <c r="G231" i="131"/>
  <c r="F223" i="131"/>
  <c r="J236" i="131"/>
  <c r="G8" i="135"/>
  <c r="G273" i="135"/>
  <c r="F268" i="135"/>
  <c r="E274" i="135"/>
  <c r="F57" i="135"/>
  <c r="C67" i="135"/>
  <c r="J67" i="135"/>
  <c r="D512" i="121"/>
  <c r="N17" i="123"/>
  <c r="A503" i="123" s="1"/>
  <c r="C182" i="123"/>
  <c r="F184" i="123" s="1"/>
  <c r="C274" i="123"/>
  <c r="K275" i="123"/>
  <c r="C279" i="123"/>
  <c r="J280" i="123"/>
  <c r="F282" i="123"/>
  <c r="L166" i="125"/>
  <c r="E210" i="127"/>
  <c r="E198" i="127"/>
  <c r="A224" i="127" s="1"/>
  <c r="D141" i="127"/>
  <c r="F144" i="127" s="1"/>
  <c r="H345" i="127"/>
  <c r="H313" i="127"/>
  <c r="E176" i="129"/>
  <c r="A202" i="129" s="1"/>
  <c r="E188" i="129"/>
  <c r="E287" i="131"/>
  <c r="A317" i="131" s="1"/>
  <c r="D10" i="133"/>
  <c r="H10" i="133" s="1"/>
  <c r="J32" i="132"/>
  <c r="J40" i="136"/>
  <c r="AB42" i="136"/>
  <c r="AA45" i="138"/>
  <c r="I41" i="138"/>
  <c r="K41" i="138" s="1"/>
  <c r="B154" i="139"/>
  <c r="D143" i="139"/>
  <c r="F137" i="139"/>
  <c r="J150" i="139"/>
  <c r="D149" i="139"/>
  <c r="I144" i="139"/>
  <c r="L145" i="139"/>
  <c r="F144" i="139"/>
  <c r="B153" i="139"/>
  <c r="H146" i="139"/>
  <c r="H144" i="139"/>
  <c r="L146" i="139"/>
  <c r="B143" i="139"/>
  <c r="F152" i="139"/>
  <c r="K146" i="139"/>
  <c r="P297" i="139"/>
  <c r="M283" i="123"/>
  <c r="I282" i="123"/>
  <c r="E281" i="123"/>
  <c r="M279" i="123"/>
  <c r="E277" i="123"/>
  <c r="M275" i="123"/>
  <c r="I274" i="123"/>
  <c r="E273" i="123"/>
  <c r="L283" i="123"/>
  <c r="H282" i="123"/>
  <c r="D281" i="123"/>
  <c r="L279" i="123"/>
  <c r="D277" i="123"/>
  <c r="L275" i="123"/>
  <c r="H274" i="123"/>
  <c r="D273" i="123"/>
  <c r="M284" i="123"/>
  <c r="I283" i="123"/>
  <c r="E282" i="123"/>
  <c r="M280" i="123"/>
  <c r="E278" i="123"/>
  <c r="M276" i="123"/>
  <c r="I275" i="123"/>
  <c r="E274" i="123"/>
  <c r="D274" i="123"/>
  <c r="B276" i="123"/>
  <c r="D279" i="123"/>
  <c r="K280" i="123"/>
  <c r="G282" i="123"/>
  <c r="D284" i="123"/>
  <c r="E211" i="127"/>
  <c r="E199" i="127"/>
  <c r="A225" i="127" s="1"/>
  <c r="H346" i="127"/>
  <c r="E141" i="127"/>
  <c r="F145" i="127" s="1"/>
  <c r="AA20" i="128"/>
  <c r="C11" i="129"/>
  <c r="E10" i="131"/>
  <c r="G10" i="131" s="1"/>
  <c r="I32" i="130"/>
  <c r="K32" i="130" s="1"/>
  <c r="AA18" i="130"/>
  <c r="M29" i="132"/>
  <c r="L29" i="132"/>
  <c r="I32" i="132"/>
  <c r="E10" i="133"/>
  <c r="G10" i="133" s="1"/>
  <c r="AA27" i="132"/>
  <c r="E13" i="133"/>
  <c r="G13" i="133" s="1"/>
  <c r="E98" i="135"/>
  <c r="M106" i="135" s="1"/>
  <c r="H448" i="135"/>
  <c r="H480" i="135"/>
  <c r="E182" i="135"/>
  <c r="I192" i="135" s="1"/>
  <c r="H512" i="135"/>
  <c r="E266" i="135"/>
  <c r="F270" i="135" s="1"/>
  <c r="M33" i="136"/>
  <c r="L33" i="136"/>
  <c r="D104" i="137"/>
  <c r="H381" i="139"/>
  <c r="C52" i="139"/>
  <c r="F54" i="139" s="1"/>
  <c r="H413" i="139"/>
  <c r="C136" i="139"/>
  <c r="H445" i="139"/>
  <c r="C220" i="139"/>
  <c r="B229" i="139" s="1"/>
  <c r="E314" i="121"/>
  <c r="A344" i="121" s="1"/>
  <c r="J33" i="122"/>
  <c r="F274" i="123"/>
  <c r="C276" i="123"/>
  <c r="J277" i="123"/>
  <c r="E279" i="123"/>
  <c r="L280" i="123"/>
  <c r="J282" i="123"/>
  <c r="E284" i="123"/>
  <c r="H441" i="123"/>
  <c r="H319" i="127"/>
  <c r="B84" i="127"/>
  <c r="C171" i="127"/>
  <c r="F173" i="127"/>
  <c r="E168" i="127"/>
  <c r="F175" i="127"/>
  <c r="D171" i="127"/>
  <c r="C169" i="127"/>
  <c r="K170" i="127"/>
  <c r="K172" i="127"/>
  <c r="J170" i="127"/>
  <c r="C366" i="127"/>
  <c r="AB6" i="128"/>
  <c r="J37" i="129"/>
  <c r="F189" i="129"/>
  <c r="J29" i="130"/>
  <c r="K29" i="130" s="1"/>
  <c r="AB18" i="130"/>
  <c r="F10" i="131"/>
  <c r="H10" i="131" s="1"/>
  <c r="J32" i="130"/>
  <c r="C7" i="131"/>
  <c r="G7" i="131" s="1"/>
  <c r="C180" i="131"/>
  <c r="F182" i="131" s="1"/>
  <c r="L154" i="133"/>
  <c r="H153" i="133"/>
  <c r="L150" i="133"/>
  <c r="H149" i="133"/>
  <c r="D148" i="133"/>
  <c r="L146" i="133"/>
  <c r="H145" i="133"/>
  <c r="D144" i="133"/>
  <c r="E154" i="133"/>
  <c r="L152" i="133"/>
  <c r="G151" i="133"/>
  <c r="B150" i="133"/>
  <c r="I148" i="133"/>
  <c r="D147" i="133"/>
  <c r="F144" i="133"/>
  <c r="G154" i="133"/>
  <c r="M152" i="133"/>
  <c r="F151" i="133"/>
  <c r="L149" i="133"/>
  <c r="F148" i="133"/>
  <c r="K143" i="133"/>
  <c r="F154" i="133"/>
  <c r="K149" i="133"/>
  <c r="E148" i="133"/>
  <c r="J143" i="133"/>
  <c r="D154" i="133"/>
  <c r="J149" i="133"/>
  <c r="C148" i="133"/>
  <c r="I146" i="133"/>
  <c r="C145" i="133"/>
  <c r="I143" i="133"/>
  <c r="C154" i="133"/>
  <c r="I152" i="133"/>
  <c r="C151" i="133"/>
  <c r="I149" i="133"/>
  <c r="B148" i="133"/>
  <c r="H146" i="133"/>
  <c r="B145" i="133"/>
  <c r="H143" i="133"/>
  <c r="B154" i="133"/>
  <c r="H152" i="133"/>
  <c r="B151" i="133"/>
  <c r="G149" i="133"/>
  <c r="M147" i="133"/>
  <c r="G146" i="133"/>
  <c r="M144" i="133"/>
  <c r="G143" i="133"/>
  <c r="J153" i="133"/>
  <c r="C152" i="133"/>
  <c r="I150" i="133"/>
  <c r="C149" i="133"/>
  <c r="I147" i="133"/>
  <c r="C146" i="133"/>
  <c r="I144" i="133"/>
  <c r="C143" i="133"/>
  <c r="B153" i="133"/>
  <c r="F150" i="133"/>
  <c r="K147" i="133"/>
  <c r="I145" i="133"/>
  <c r="B143" i="133"/>
  <c r="G152" i="133"/>
  <c r="E150" i="133"/>
  <c r="J147" i="133"/>
  <c r="G145" i="133"/>
  <c r="M154" i="133"/>
  <c r="F152" i="133"/>
  <c r="D150" i="133"/>
  <c r="H147" i="133"/>
  <c r="F145" i="133"/>
  <c r="K154" i="133"/>
  <c r="C150" i="133"/>
  <c r="G147" i="133"/>
  <c r="L144" i="133"/>
  <c r="J154" i="133"/>
  <c r="B152" i="133"/>
  <c r="M149" i="133"/>
  <c r="F147" i="133"/>
  <c r="K144" i="133"/>
  <c r="L153" i="133"/>
  <c r="B149" i="133"/>
  <c r="M146" i="133"/>
  <c r="E144" i="133"/>
  <c r="G148" i="133"/>
  <c r="B144" i="133"/>
  <c r="I151" i="133"/>
  <c r="L147" i="133"/>
  <c r="M143" i="133"/>
  <c r="H151" i="133"/>
  <c r="E147" i="133"/>
  <c r="L143" i="133"/>
  <c r="M150" i="133"/>
  <c r="C147" i="133"/>
  <c r="F143" i="133"/>
  <c r="I154" i="133"/>
  <c r="K150" i="133"/>
  <c r="B147" i="133"/>
  <c r="E143" i="133"/>
  <c r="I153" i="133"/>
  <c r="F149" i="133"/>
  <c r="B146" i="133"/>
  <c r="E149" i="133"/>
  <c r="C144" i="133"/>
  <c r="D149" i="133"/>
  <c r="D143" i="133"/>
  <c r="M148" i="133"/>
  <c r="H154" i="133"/>
  <c r="L148" i="133"/>
  <c r="M153" i="133"/>
  <c r="K148" i="133"/>
  <c r="F137" i="133"/>
  <c r="G150" i="133"/>
  <c r="F78" i="135"/>
  <c r="F93" i="137"/>
  <c r="F101" i="137"/>
  <c r="D101" i="137"/>
  <c r="B105" i="137"/>
  <c r="B101" i="137"/>
  <c r="I104" i="137"/>
  <c r="H104" i="137"/>
  <c r="H100" i="137"/>
  <c r="D103" i="137"/>
  <c r="G101" i="137"/>
  <c r="F100" i="137"/>
  <c r="B104" i="137"/>
  <c r="H102" i="137"/>
  <c r="E100" i="137"/>
  <c r="H98" i="137"/>
  <c r="F105" i="137"/>
  <c r="E98" i="137"/>
  <c r="C101" i="125"/>
  <c r="F332" i="129"/>
  <c r="N10" i="129"/>
  <c r="A303" i="129" s="1"/>
  <c r="B101" i="129"/>
  <c r="F495" i="131"/>
  <c r="C495" i="131"/>
  <c r="H462" i="131"/>
  <c r="B201" i="131"/>
  <c r="C6" i="139"/>
  <c r="AA5" i="138"/>
  <c r="H420" i="141"/>
  <c r="C96" i="141"/>
  <c r="F98" i="141" s="1"/>
  <c r="H452" i="141"/>
  <c r="C180" i="141"/>
  <c r="H192" i="141" s="1"/>
  <c r="C365" i="127"/>
  <c r="H335" i="127"/>
  <c r="B122" i="127"/>
  <c r="D331" i="129"/>
  <c r="D9" i="135"/>
  <c r="H9" i="135" s="1"/>
  <c r="AB14" i="134"/>
  <c r="C12" i="135"/>
  <c r="I34" i="134"/>
  <c r="K34" i="134" s="1"/>
  <c r="AA23" i="134"/>
  <c r="AB5" i="138"/>
  <c r="D6" i="139"/>
  <c r="H6" i="139" s="1"/>
  <c r="J28" i="138"/>
  <c r="F14" i="139"/>
  <c r="H14" i="139" s="1"/>
  <c r="AB30" i="138"/>
  <c r="F491" i="141"/>
  <c r="C104" i="125"/>
  <c r="G105" i="125"/>
  <c r="H254" i="125"/>
  <c r="K6" i="135"/>
  <c r="E268" i="139"/>
  <c r="A298" i="139" s="1"/>
  <c r="E282" i="139"/>
  <c r="I28" i="138"/>
  <c r="E6" i="139"/>
  <c r="AA6" i="138"/>
  <c r="J36" i="138"/>
  <c r="I30" i="126"/>
  <c r="K30" i="126" s="1"/>
  <c r="K112" i="127"/>
  <c r="E111" i="127"/>
  <c r="J117" i="127"/>
  <c r="C361" i="127"/>
  <c r="E283" i="131"/>
  <c r="A313" i="131" s="1"/>
  <c r="E297" i="131"/>
  <c r="AB39" i="130"/>
  <c r="J39" i="130"/>
  <c r="F6" i="131"/>
  <c r="H6" i="131" s="1"/>
  <c r="E15" i="131"/>
  <c r="H401" i="131"/>
  <c r="E33" i="131"/>
  <c r="F37" i="131" s="1"/>
  <c r="H465" i="131"/>
  <c r="E201" i="131"/>
  <c r="F205" i="131" s="1"/>
  <c r="I40" i="132"/>
  <c r="K40" i="132" s="1"/>
  <c r="H394" i="133"/>
  <c r="C94" i="133"/>
  <c r="F96" i="133" s="1"/>
  <c r="H426" i="133"/>
  <c r="C178" i="133"/>
  <c r="F180" i="133" s="1"/>
  <c r="M39" i="136"/>
  <c r="E229" i="139"/>
  <c r="H237" i="139"/>
  <c r="J234" i="139"/>
  <c r="J40" i="140"/>
  <c r="D91" i="125"/>
  <c r="H10" i="127"/>
  <c r="I10" i="127" s="1"/>
  <c r="B46" i="127"/>
  <c r="D122" i="127"/>
  <c r="F125" i="127" s="1"/>
  <c r="D361" i="127"/>
  <c r="I28" i="128"/>
  <c r="E6" i="129"/>
  <c r="G6" i="129" s="1"/>
  <c r="F78" i="129"/>
  <c r="F6" i="130"/>
  <c r="H6" i="130" s="1"/>
  <c r="J6" i="130" s="1"/>
  <c r="H15" i="131"/>
  <c r="H406" i="131"/>
  <c r="B54" i="131"/>
  <c r="C488" i="131"/>
  <c r="C492" i="131"/>
  <c r="H438" i="131"/>
  <c r="F459" i="133"/>
  <c r="D453" i="133"/>
  <c r="H395" i="133"/>
  <c r="D94" i="133"/>
  <c r="F97" i="133" s="1"/>
  <c r="D178" i="133"/>
  <c r="F181" i="133" s="1"/>
  <c r="D457" i="133"/>
  <c r="H427" i="133"/>
  <c r="M132" i="133"/>
  <c r="P296" i="133"/>
  <c r="G280" i="133"/>
  <c r="D120" i="137"/>
  <c r="B116" i="137"/>
  <c r="I116" i="137"/>
  <c r="F122" i="137"/>
  <c r="C121" i="137"/>
  <c r="F109" i="137"/>
  <c r="F116" i="137"/>
  <c r="H72" i="129"/>
  <c r="H74" i="129"/>
  <c r="G76" i="129"/>
  <c r="H281" i="129"/>
  <c r="D334" i="129"/>
  <c r="D488" i="131"/>
  <c r="D54" i="131"/>
  <c r="F57" i="131" s="1"/>
  <c r="D496" i="131"/>
  <c r="H472" i="131"/>
  <c r="F295" i="131"/>
  <c r="F6" i="132"/>
  <c r="H6" i="132" s="1"/>
  <c r="J6" i="132" s="1"/>
  <c r="G281" i="133"/>
  <c r="P297" i="133"/>
  <c r="J30" i="132"/>
  <c r="K30" i="132" s="1"/>
  <c r="F8" i="133"/>
  <c r="H8" i="133" s="1"/>
  <c r="AB20" i="132"/>
  <c r="D11" i="133"/>
  <c r="H11" i="133" s="1"/>
  <c r="AB27" i="132"/>
  <c r="J35" i="132"/>
  <c r="K35" i="132" s="1"/>
  <c r="F455" i="133"/>
  <c r="E227" i="133"/>
  <c r="H231" i="133"/>
  <c r="K234" i="133"/>
  <c r="H17" i="135"/>
  <c r="B40" i="137"/>
  <c r="C270" i="137"/>
  <c r="H260" i="137"/>
  <c r="C274" i="137"/>
  <c r="E280" i="131"/>
  <c r="A310" i="131" s="1"/>
  <c r="E294" i="131"/>
  <c r="C15" i="131"/>
  <c r="AA32" i="130"/>
  <c r="D492" i="131"/>
  <c r="K37" i="132"/>
  <c r="E228" i="133"/>
  <c r="M231" i="133"/>
  <c r="E271" i="133"/>
  <c r="F273" i="133" s="1"/>
  <c r="C518" i="135"/>
  <c r="H421" i="135"/>
  <c r="H453" i="135"/>
  <c r="B119" i="135"/>
  <c r="C522" i="135"/>
  <c r="H485" i="135"/>
  <c r="B203" i="135"/>
  <c r="B35" i="135"/>
  <c r="C526" i="135"/>
  <c r="G147" i="137"/>
  <c r="G148" i="137"/>
  <c r="F147" i="137"/>
  <c r="F152" i="137"/>
  <c r="E285" i="141"/>
  <c r="A315" i="141" s="1"/>
  <c r="E299" i="141"/>
  <c r="F494" i="141"/>
  <c r="D487" i="141"/>
  <c r="D96" i="141"/>
  <c r="F99" i="141" s="1"/>
  <c r="H421" i="141"/>
  <c r="D491" i="141"/>
  <c r="D180" i="141"/>
  <c r="F183" i="141" s="1"/>
  <c r="H453" i="141"/>
  <c r="H282" i="129"/>
  <c r="E44" i="129"/>
  <c r="F48" i="129" s="1"/>
  <c r="C79" i="129"/>
  <c r="G77" i="129"/>
  <c r="K75" i="129"/>
  <c r="E74" i="129"/>
  <c r="I72" i="129"/>
  <c r="G78" i="129"/>
  <c r="J76" i="129"/>
  <c r="C75" i="129"/>
  <c r="F73" i="129"/>
  <c r="J78" i="129"/>
  <c r="D75" i="129"/>
  <c r="E73" i="129"/>
  <c r="G71" i="129"/>
  <c r="E71" i="129"/>
  <c r="D73" i="129"/>
  <c r="E75" i="129"/>
  <c r="D77" i="129"/>
  <c r="D79" i="129"/>
  <c r="G192" i="129"/>
  <c r="H305" i="129"/>
  <c r="I31" i="130"/>
  <c r="K31" i="130" s="1"/>
  <c r="I33" i="130"/>
  <c r="K33" i="130" s="1"/>
  <c r="E11" i="131"/>
  <c r="G11" i="131" s="1"/>
  <c r="L39" i="132"/>
  <c r="M39" i="132"/>
  <c r="C73" i="133"/>
  <c r="H386" i="133"/>
  <c r="H418" i="133"/>
  <c r="C157" i="133"/>
  <c r="H167" i="133" s="1"/>
  <c r="B48" i="133"/>
  <c r="K44" i="133"/>
  <c r="E43" i="133"/>
  <c r="K38" i="133"/>
  <c r="F33" i="133"/>
  <c r="M49" i="133"/>
  <c r="C45" i="133"/>
  <c r="L238" i="133"/>
  <c r="H237" i="133"/>
  <c r="D236" i="133"/>
  <c r="L234" i="133"/>
  <c r="H233" i="133"/>
  <c r="D232" i="133"/>
  <c r="L230" i="133"/>
  <c r="H229" i="133"/>
  <c r="D228" i="133"/>
  <c r="C238" i="133"/>
  <c r="K237" i="133"/>
  <c r="M234" i="133"/>
  <c r="G233" i="133"/>
  <c r="B232" i="133"/>
  <c r="I230" i="133"/>
  <c r="D229" i="133"/>
  <c r="K227" i="133"/>
  <c r="I238" i="133"/>
  <c r="B237" i="133"/>
  <c r="H235" i="133"/>
  <c r="B234" i="133"/>
  <c r="H232" i="133"/>
  <c r="B231" i="133"/>
  <c r="G229" i="133"/>
  <c r="M227" i="133"/>
  <c r="H238" i="133"/>
  <c r="M236" i="133"/>
  <c r="M233" i="133"/>
  <c r="M230" i="133"/>
  <c r="F229" i="133"/>
  <c r="L227" i="133"/>
  <c r="G238" i="133"/>
  <c r="L236" i="133"/>
  <c r="L233" i="133"/>
  <c r="K230" i="133"/>
  <c r="E229" i="133"/>
  <c r="J227" i="133"/>
  <c r="F238" i="133"/>
  <c r="E235" i="133"/>
  <c r="K233" i="133"/>
  <c r="E232" i="133"/>
  <c r="J230" i="133"/>
  <c r="C229" i="133"/>
  <c r="I227" i="133"/>
  <c r="E238" i="133"/>
  <c r="D235" i="133"/>
  <c r="J233" i="133"/>
  <c r="C232" i="133"/>
  <c r="H230" i="133"/>
  <c r="B229" i="133"/>
  <c r="H227" i="133"/>
  <c r="L237" i="133"/>
  <c r="E236" i="133"/>
  <c r="J234" i="133"/>
  <c r="D233" i="133"/>
  <c r="D230" i="133"/>
  <c r="J228" i="133"/>
  <c r="D227" i="133"/>
  <c r="F221" i="133"/>
  <c r="M238" i="133"/>
  <c r="C236" i="133"/>
  <c r="C234" i="133"/>
  <c r="L228" i="133"/>
  <c r="K238" i="133"/>
  <c r="B236" i="133"/>
  <c r="I233" i="133"/>
  <c r="K228" i="133"/>
  <c r="J238" i="133"/>
  <c r="M235" i="133"/>
  <c r="F233" i="133"/>
  <c r="E231" i="133"/>
  <c r="I228" i="133"/>
  <c r="D238" i="133"/>
  <c r="L235" i="133"/>
  <c r="E233" i="133"/>
  <c r="D231" i="133"/>
  <c r="H228" i="133"/>
  <c r="B238" i="133"/>
  <c r="C233" i="133"/>
  <c r="C231" i="133"/>
  <c r="G228" i="133"/>
  <c r="G237" i="133"/>
  <c r="B235" i="133"/>
  <c r="C230" i="133"/>
  <c r="B228" i="133"/>
  <c r="F228" i="133"/>
  <c r="I232" i="133"/>
  <c r="H236" i="133"/>
  <c r="K32" i="134"/>
  <c r="H15" i="135"/>
  <c r="E35" i="135"/>
  <c r="F39" i="135" s="1"/>
  <c r="I115" i="135"/>
  <c r="D112" i="135"/>
  <c r="H110" i="135"/>
  <c r="K108" i="135"/>
  <c r="B107" i="135"/>
  <c r="G105" i="135"/>
  <c r="H115" i="135"/>
  <c r="E110" i="135"/>
  <c r="I108" i="135"/>
  <c r="F105" i="135"/>
  <c r="G115" i="135"/>
  <c r="B112" i="135"/>
  <c r="D110" i="135"/>
  <c r="G108" i="135"/>
  <c r="L106" i="135"/>
  <c r="E105" i="135"/>
  <c r="E115" i="135"/>
  <c r="I113" i="135"/>
  <c r="M111" i="135"/>
  <c r="C110" i="135"/>
  <c r="F108" i="135"/>
  <c r="K106" i="135"/>
  <c r="H113" i="135"/>
  <c r="J111" i="135"/>
  <c r="L109" i="135"/>
  <c r="E108" i="135"/>
  <c r="J106" i="135"/>
  <c r="C105" i="135"/>
  <c r="D116" i="135"/>
  <c r="C113" i="135"/>
  <c r="J110" i="135"/>
  <c r="K107" i="135"/>
  <c r="B105" i="135"/>
  <c r="M112" i="135"/>
  <c r="I110" i="135"/>
  <c r="J107" i="135"/>
  <c r="K112" i="135"/>
  <c r="H107" i="135"/>
  <c r="I112" i="135"/>
  <c r="J109" i="135"/>
  <c r="G107" i="135"/>
  <c r="C115" i="135"/>
  <c r="H112" i="135"/>
  <c r="I109" i="135"/>
  <c r="E107" i="135"/>
  <c r="H114" i="135"/>
  <c r="I111" i="135"/>
  <c r="D109" i="135"/>
  <c r="G106" i="135"/>
  <c r="G112" i="135"/>
  <c r="D108" i="135"/>
  <c r="F100" i="135"/>
  <c r="C108" i="135"/>
  <c r="I116" i="135"/>
  <c r="E112" i="135"/>
  <c r="B108" i="135"/>
  <c r="G116" i="135"/>
  <c r="H111" i="135"/>
  <c r="L107" i="135"/>
  <c r="F116" i="135"/>
  <c r="E111" i="135"/>
  <c r="D107" i="135"/>
  <c r="L110" i="135"/>
  <c r="C106" i="135"/>
  <c r="E109" i="135"/>
  <c r="E116" i="135"/>
  <c r="J30" i="136"/>
  <c r="AB11" i="136"/>
  <c r="D8" i="137"/>
  <c r="H8" i="137" s="1"/>
  <c r="J35" i="136"/>
  <c r="AB27" i="136"/>
  <c r="C13" i="139"/>
  <c r="G13" i="139" s="1"/>
  <c r="I35" i="138"/>
  <c r="K35" i="138" s="1"/>
  <c r="AA26" i="138"/>
  <c r="F9" i="133"/>
  <c r="H9" i="133" s="1"/>
  <c r="AB15" i="132"/>
  <c r="D452" i="133"/>
  <c r="D73" i="133"/>
  <c r="C89" i="133" s="1"/>
  <c r="H419" i="133"/>
  <c r="D456" i="133"/>
  <c r="D157" i="133"/>
  <c r="E157" i="133"/>
  <c r="F161" i="133" s="1"/>
  <c r="M228" i="133"/>
  <c r="I236" i="133"/>
  <c r="D518" i="135"/>
  <c r="H423" i="135"/>
  <c r="D35" i="135"/>
  <c r="F38" i="135" s="1"/>
  <c r="H455" i="135"/>
  <c r="D119" i="135"/>
  <c r="F122" i="135" s="1"/>
  <c r="D522" i="135"/>
  <c r="H487" i="135"/>
  <c r="D203" i="135"/>
  <c r="F206" i="135" s="1"/>
  <c r="N386" i="135"/>
  <c r="I30" i="136"/>
  <c r="AA12" i="136"/>
  <c r="E8" i="137"/>
  <c r="G8" i="137" s="1"/>
  <c r="M35" i="136"/>
  <c r="L35" i="136"/>
  <c r="F487" i="143"/>
  <c r="J31" i="132"/>
  <c r="I229" i="133"/>
  <c r="L232" i="133"/>
  <c r="C237" i="133"/>
  <c r="I40" i="134"/>
  <c r="K40" i="134" s="1"/>
  <c r="AA42" i="134"/>
  <c r="H456" i="135"/>
  <c r="E119" i="135"/>
  <c r="F123" i="135" s="1"/>
  <c r="H488" i="135"/>
  <c r="E203" i="135"/>
  <c r="F207" i="135" s="1"/>
  <c r="I11" i="137"/>
  <c r="J11" i="137" s="1"/>
  <c r="E187" i="129"/>
  <c r="E175" i="129"/>
  <c r="A201" i="129" s="1"/>
  <c r="E282" i="131"/>
  <c r="A312" i="131" s="1"/>
  <c r="E296" i="131"/>
  <c r="F497" i="131"/>
  <c r="AB9" i="132"/>
  <c r="F7" i="133"/>
  <c r="H7" i="133" s="1"/>
  <c r="C453" i="133"/>
  <c r="B94" i="133"/>
  <c r="H393" i="133"/>
  <c r="C457" i="133"/>
  <c r="B178" i="133"/>
  <c r="J229" i="133"/>
  <c r="M232" i="133"/>
  <c r="D237" i="133"/>
  <c r="E326" i="135"/>
  <c r="E312" i="135"/>
  <c r="A342" i="135" s="1"/>
  <c r="F16" i="135"/>
  <c r="H16" i="135" s="1"/>
  <c r="J38" i="134"/>
  <c r="K38" i="134" s="1"/>
  <c r="AB36" i="134"/>
  <c r="F524" i="135"/>
  <c r="F151" i="137"/>
  <c r="I38" i="138"/>
  <c r="K38" i="138" s="1"/>
  <c r="AA36" i="138"/>
  <c r="F455" i="139"/>
  <c r="G280" i="139"/>
  <c r="P296" i="139"/>
  <c r="AB5" i="130"/>
  <c r="H416" i="131"/>
  <c r="D75" i="131"/>
  <c r="F78" i="131" s="1"/>
  <c r="H448" i="131"/>
  <c r="D159" i="131"/>
  <c r="F162" i="131" s="1"/>
  <c r="D493" i="131"/>
  <c r="E96" i="131"/>
  <c r="F100" i="131" s="1"/>
  <c r="C12" i="133"/>
  <c r="H396" i="133"/>
  <c r="E94" i="133"/>
  <c r="F98" i="133" s="1"/>
  <c r="H428" i="133"/>
  <c r="E178" i="133"/>
  <c r="F182" i="133" s="1"/>
  <c r="F274" i="133"/>
  <c r="AA21" i="134"/>
  <c r="I33" i="134"/>
  <c r="K33" i="134" s="1"/>
  <c r="D14" i="135"/>
  <c r="AB29" i="134"/>
  <c r="G16" i="135"/>
  <c r="C56" i="135"/>
  <c r="C73" i="135" s="1"/>
  <c r="AA5" i="136"/>
  <c r="C6" i="137"/>
  <c r="G6" i="137" s="1"/>
  <c r="I28" i="136"/>
  <c r="L41" i="140"/>
  <c r="M41" i="140"/>
  <c r="P320" i="141"/>
  <c r="D495" i="131"/>
  <c r="F74" i="133"/>
  <c r="J31" i="134"/>
  <c r="K31" i="134" s="1"/>
  <c r="C140" i="135"/>
  <c r="F142" i="135" s="1"/>
  <c r="H462" i="135"/>
  <c r="H494" i="135"/>
  <c r="C224" i="135"/>
  <c r="F226" i="135" s="1"/>
  <c r="M40" i="136"/>
  <c r="L40" i="136"/>
  <c r="E275" i="139"/>
  <c r="E261" i="139"/>
  <c r="A291" i="139" s="1"/>
  <c r="G302" i="131"/>
  <c r="D491" i="131"/>
  <c r="E275" i="133"/>
  <c r="E261" i="133"/>
  <c r="A291" i="133" s="1"/>
  <c r="L41" i="132"/>
  <c r="H409" i="133"/>
  <c r="C455" i="133"/>
  <c r="H431" i="135"/>
  <c r="D519" i="135"/>
  <c r="D523" i="135"/>
  <c r="H463" i="135"/>
  <c r="D140" i="135"/>
  <c r="F143" i="135" s="1"/>
  <c r="D527" i="135"/>
  <c r="D224" i="135"/>
  <c r="F227" i="135" s="1"/>
  <c r="AA17" i="138"/>
  <c r="I32" i="138"/>
  <c r="K32" i="138" s="1"/>
  <c r="C10" i="139"/>
  <c r="G10" i="139" s="1"/>
  <c r="AB23" i="138"/>
  <c r="D12" i="139"/>
  <c r="M39" i="138"/>
  <c r="L39" i="138"/>
  <c r="I34" i="132"/>
  <c r="E12" i="133"/>
  <c r="G12" i="133" s="1"/>
  <c r="F6" i="134"/>
  <c r="H6" i="134" s="1"/>
  <c r="J6" i="134" s="1"/>
  <c r="G321" i="135"/>
  <c r="G153" i="137"/>
  <c r="L165" i="137"/>
  <c r="F153" i="137"/>
  <c r="J32" i="138"/>
  <c r="D10" i="139"/>
  <c r="H10" i="139" s="1"/>
  <c r="AB17" i="138"/>
  <c r="AA24" i="138"/>
  <c r="E12" i="139"/>
  <c r="G12" i="139" s="1"/>
  <c r="I34" i="138"/>
  <c r="F453" i="139"/>
  <c r="AB14" i="140"/>
  <c r="J31" i="140"/>
  <c r="J36" i="130"/>
  <c r="J41" i="130"/>
  <c r="D14" i="131"/>
  <c r="H463" i="131"/>
  <c r="C201" i="131"/>
  <c r="F203" i="131" s="1"/>
  <c r="E277" i="133"/>
  <c r="E263" i="133"/>
  <c r="A293" i="133" s="1"/>
  <c r="B52" i="133"/>
  <c r="C174" i="133"/>
  <c r="F158" i="133"/>
  <c r="H377" i="133"/>
  <c r="E324" i="135"/>
  <c r="E310" i="135"/>
  <c r="A340" i="135" s="1"/>
  <c r="D10" i="135"/>
  <c r="H10" i="135" s="1"/>
  <c r="AB17" i="134"/>
  <c r="F6" i="138"/>
  <c r="H6" i="138" s="1"/>
  <c r="J6" i="138" s="1"/>
  <c r="H399" i="139"/>
  <c r="E94" i="139"/>
  <c r="F98" i="139" s="1"/>
  <c r="H431" i="139"/>
  <c r="E178" i="139"/>
  <c r="F190" i="139" s="1"/>
  <c r="F273" i="139"/>
  <c r="C159" i="141"/>
  <c r="F161" i="141" s="1"/>
  <c r="I38" i="130"/>
  <c r="K38" i="130" s="1"/>
  <c r="F14" i="131"/>
  <c r="D33" i="131"/>
  <c r="I44" i="131" s="1"/>
  <c r="D487" i="131"/>
  <c r="H400" i="131"/>
  <c r="G303" i="131"/>
  <c r="AB30" i="132"/>
  <c r="F7" i="135"/>
  <c r="H7" i="135" s="1"/>
  <c r="J29" i="134"/>
  <c r="AB9" i="134"/>
  <c r="C15" i="135"/>
  <c r="AA32" i="134"/>
  <c r="L34" i="136"/>
  <c r="M34" i="136"/>
  <c r="J34" i="138"/>
  <c r="AA39" i="138"/>
  <c r="H412" i="141"/>
  <c r="C75" i="141"/>
  <c r="F77" i="141" s="1"/>
  <c r="F32" i="133"/>
  <c r="F122" i="133"/>
  <c r="M123" i="133"/>
  <c r="G125" i="133"/>
  <c r="M126" i="133"/>
  <c r="G128" i="133"/>
  <c r="M129" i="133"/>
  <c r="G131" i="133"/>
  <c r="G206" i="133"/>
  <c r="C208" i="133"/>
  <c r="I209" i="133"/>
  <c r="C214" i="133"/>
  <c r="I215" i="133"/>
  <c r="C217" i="133"/>
  <c r="J42" i="134"/>
  <c r="AB48" i="134"/>
  <c r="H461" i="135"/>
  <c r="C523" i="135"/>
  <c r="B140" i="135"/>
  <c r="C527" i="135"/>
  <c r="H493" i="135"/>
  <c r="B224" i="135"/>
  <c r="E77" i="135"/>
  <c r="F81" i="135" s="1"/>
  <c r="E314" i="135"/>
  <c r="A344" i="135" s="1"/>
  <c r="C40" i="137"/>
  <c r="F42" i="137" s="1"/>
  <c r="H229" i="137"/>
  <c r="AB24" i="138"/>
  <c r="F12" i="139"/>
  <c r="E220" i="139"/>
  <c r="AA21" i="140"/>
  <c r="E11" i="141"/>
  <c r="I14" i="141"/>
  <c r="J14" i="141" s="1"/>
  <c r="P319" i="141"/>
  <c r="G303" i="141"/>
  <c r="M39" i="142"/>
  <c r="L39" i="142"/>
  <c r="H400" i="143"/>
  <c r="E54" i="143"/>
  <c r="F58" i="143" s="1"/>
  <c r="E222" i="143"/>
  <c r="F226" i="143" s="1"/>
  <c r="H464" i="143"/>
  <c r="M209" i="133"/>
  <c r="G214" i="133"/>
  <c r="B216" i="133"/>
  <c r="D17" i="135"/>
  <c r="C524" i="135"/>
  <c r="H469" i="135"/>
  <c r="B161" i="135"/>
  <c r="B245" i="135"/>
  <c r="C528" i="135"/>
  <c r="G328" i="135"/>
  <c r="E57" i="137"/>
  <c r="F61" i="137" s="1"/>
  <c r="L47" i="139"/>
  <c r="I31" i="140"/>
  <c r="K31" i="140" s="1"/>
  <c r="AA15" i="140"/>
  <c r="K30" i="142"/>
  <c r="D217" i="133"/>
  <c r="H214" i="133"/>
  <c r="D213" i="133"/>
  <c r="L211" i="133"/>
  <c r="H210" i="133"/>
  <c r="D209" i="133"/>
  <c r="L207" i="133"/>
  <c r="H206" i="133"/>
  <c r="C215" i="133"/>
  <c r="J213" i="133"/>
  <c r="E212" i="133"/>
  <c r="L210" i="133"/>
  <c r="G209" i="133"/>
  <c r="B208" i="133"/>
  <c r="I206" i="133"/>
  <c r="B207" i="133"/>
  <c r="B210" i="133"/>
  <c r="H211" i="133"/>
  <c r="B213" i="133"/>
  <c r="I214" i="133"/>
  <c r="C216" i="133"/>
  <c r="E318" i="135"/>
  <c r="E304" i="135"/>
  <c r="A334" i="135" s="1"/>
  <c r="F13" i="135"/>
  <c r="H13" i="135" s="1"/>
  <c r="J35" i="134"/>
  <c r="G17" i="135"/>
  <c r="G10" i="135"/>
  <c r="E319" i="135"/>
  <c r="F325" i="135" s="1"/>
  <c r="H6" i="136"/>
  <c r="J6" i="136" s="1"/>
  <c r="AA12" i="138"/>
  <c r="I30" i="138"/>
  <c r="C11" i="139"/>
  <c r="G11" i="139" s="1"/>
  <c r="I33" i="138"/>
  <c r="K33" i="138" s="1"/>
  <c r="AA20" i="138"/>
  <c r="H415" i="139"/>
  <c r="E136" i="139"/>
  <c r="F140" i="139" s="1"/>
  <c r="C15" i="141"/>
  <c r="I37" i="140"/>
  <c r="AA32" i="140"/>
  <c r="E305" i="143"/>
  <c r="E291" i="143"/>
  <c r="A321" i="143" s="1"/>
  <c r="J34" i="132"/>
  <c r="C207" i="133"/>
  <c r="I208" i="133"/>
  <c r="C210" i="133"/>
  <c r="I211" i="133"/>
  <c r="C213" i="133"/>
  <c r="D216" i="133"/>
  <c r="J217" i="133"/>
  <c r="I35" i="134"/>
  <c r="H439" i="135"/>
  <c r="D77" i="135"/>
  <c r="D524" i="135"/>
  <c r="D161" i="135"/>
  <c r="F164" i="135" s="1"/>
  <c r="H503" i="135"/>
  <c r="D528" i="135"/>
  <c r="G320" i="135"/>
  <c r="F6" i="136"/>
  <c r="I36" i="136"/>
  <c r="K36" i="136" s="1"/>
  <c r="AA30" i="136"/>
  <c r="AB12" i="138"/>
  <c r="J30" i="138"/>
  <c r="M37" i="138"/>
  <c r="AA42" i="138"/>
  <c r="I40" i="138"/>
  <c r="K40" i="138" s="1"/>
  <c r="G7" i="139"/>
  <c r="H388" i="139"/>
  <c r="B73" i="139"/>
  <c r="C455" i="139"/>
  <c r="H420" i="139"/>
  <c r="C459" i="139"/>
  <c r="B157" i="139"/>
  <c r="E45" i="139"/>
  <c r="I39" i="139"/>
  <c r="I47" i="139"/>
  <c r="C46" i="139"/>
  <c r="H41" i="139"/>
  <c r="F32" i="139"/>
  <c r="H46" i="139"/>
  <c r="L44" i="139"/>
  <c r="J44" i="139"/>
  <c r="K45" i="139"/>
  <c r="F39" i="139"/>
  <c r="F12" i="133"/>
  <c r="H12" i="133" s="1"/>
  <c r="D133" i="133"/>
  <c r="L131" i="133"/>
  <c r="H130" i="133"/>
  <c r="D129" i="133"/>
  <c r="L127" i="133"/>
  <c r="H126" i="133"/>
  <c r="D125" i="133"/>
  <c r="L123" i="133"/>
  <c r="H122" i="133"/>
  <c r="B133" i="133"/>
  <c r="I131" i="133"/>
  <c r="D130" i="133"/>
  <c r="K128" i="133"/>
  <c r="F127" i="133"/>
  <c r="M125" i="133"/>
  <c r="H124" i="133"/>
  <c r="I124" i="133"/>
  <c r="C126" i="133"/>
  <c r="I127" i="133"/>
  <c r="C129" i="133"/>
  <c r="D132" i="133"/>
  <c r="J133" i="133"/>
  <c r="D207" i="133"/>
  <c r="J208" i="133"/>
  <c r="D210" i="133"/>
  <c r="J211" i="133"/>
  <c r="E213" i="133"/>
  <c r="K214" i="133"/>
  <c r="E216" i="133"/>
  <c r="K217" i="133"/>
  <c r="I41" i="134"/>
  <c r="K41" i="134" s="1"/>
  <c r="G12" i="135"/>
  <c r="H504" i="135"/>
  <c r="E245" i="135"/>
  <c r="F249" i="135" s="1"/>
  <c r="F198" i="135"/>
  <c r="C194" i="135"/>
  <c r="D191" i="135"/>
  <c r="C192" i="135"/>
  <c r="J199" i="135"/>
  <c r="M198" i="135"/>
  <c r="D197" i="135"/>
  <c r="E193" i="135"/>
  <c r="G189" i="135"/>
  <c r="E7" i="137"/>
  <c r="G7" i="137" s="1"/>
  <c r="AA9" i="136"/>
  <c r="AB30" i="136"/>
  <c r="J36" i="136"/>
  <c r="C272" i="137"/>
  <c r="B74" i="137"/>
  <c r="H244" i="137"/>
  <c r="H389" i="139"/>
  <c r="C73" i="139"/>
  <c r="F75" i="139" s="1"/>
  <c r="H421" i="139"/>
  <c r="C157" i="139"/>
  <c r="F159" i="139" s="1"/>
  <c r="G44" i="139"/>
  <c r="I31" i="132"/>
  <c r="K31" i="132" s="1"/>
  <c r="E9" i="133"/>
  <c r="G9" i="133" s="1"/>
  <c r="D49" i="133"/>
  <c r="B42" i="133"/>
  <c r="H43" i="133"/>
  <c r="D123" i="133"/>
  <c r="J124" i="133"/>
  <c r="D126" i="133"/>
  <c r="J127" i="133"/>
  <c r="E129" i="133"/>
  <c r="E132" i="133"/>
  <c r="K133" i="133"/>
  <c r="E207" i="133"/>
  <c r="K208" i="133"/>
  <c r="E210" i="133"/>
  <c r="K211" i="133"/>
  <c r="F213" i="133"/>
  <c r="L214" i="133"/>
  <c r="F216" i="133"/>
  <c r="AB27" i="134"/>
  <c r="J39" i="134"/>
  <c r="K39" i="134" s="1"/>
  <c r="D245" i="135"/>
  <c r="F248" i="135" s="1"/>
  <c r="C10" i="137"/>
  <c r="G10" i="137" s="1"/>
  <c r="AA17" i="136"/>
  <c r="H245" i="137"/>
  <c r="C74" i="137"/>
  <c r="F76" i="137" s="1"/>
  <c r="I36" i="138"/>
  <c r="K36" i="138" s="1"/>
  <c r="C14" i="139"/>
  <c r="G14" i="139" s="1"/>
  <c r="C486" i="141"/>
  <c r="H411" i="141"/>
  <c r="B75" i="141"/>
  <c r="H443" i="141"/>
  <c r="B159" i="141"/>
  <c r="C490" i="141"/>
  <c r="C494" i="141"/>
  <c r="H475" i="141"/>
  <c r="B243" i="141"/>
  <c r="F224" i="141"/>
  <c r="AA9" i="134"/>
  <c r="F115" i="135"/>
  <c r="B114" i="135"/>
  <c r="J112" i="135"/>
  <c r="F111" i="135"/>
  <c r="B110" i="135"/>
  <c r="J108" i="135"/>
  <c r="F107" i="135"/>
  <c r="B106" i="135"/>
  <c r="C116" i="135"/>
  <c r="L111" i="135"/>
  <c r="G110" i="135"/>
  <c r="B109" i="135"/>
  <c r="I107" i="135"/>
  <c r="D106" i="135"/>
  <c r="B116" i="135"/>
  <c r="I114" i="135"/>
  <c r="D113" i="135"/>
  <c r="K111" i="135"/>
  <c r="F110" i="135"/>
  <c r="E114" i="135"/>
  <c r="L112" i="135"/>
  <c r="G111" i="135"/>
  <c r="M109" i="135"/>
  <c r="H108" i="135"/>
  <c r="J105" i="135"/>
  <c r="F106" i="135"/>
  <c r="M107" i="135"/>
  <c r="H109" i="135"/>
  <c r="D111" i="135"/>
  <c r="B113" i="135"/>
  <c r="H116" i="135"/>
  <c r="G150" i="137"/>
  <c r="F150" i="137"/>
  <c r="AB36" i="136"/>
  <c r="J38" i="136"/>
  <c r="H10" i="137"/>
  <c r="E154" i="137"/>
  <c r="E260" i="139"/>
  <c r="A290" i="139" s="1"/>
  <c r="E274" i="139"/>
  <c r="F276" i="139" s="1"/>
  <c r="D8" i="139"/>
  <c r="H8" i="139" s="1"/>
  <c r="AB11" i="138"/>
  <c r="H15" i="139"/>
  <c r="AB8" i="140"/>
  <c r="D7" i="141"/>
  <c r="H7" i="141" s="1"/>
  <c r="AA45" i="142"/>
  <c r="B282" i="135"/>
  <c r="K278" i="135"/>
  <c r="F267" i="135"/>
  <c r="H275" i="135"/>
  <c r="H7" i="139"/>
  <c r="M41" i="142"/>
  <c r="L41" i="142"/>
  <c r="I37" i="134"/>
  <c r="K37" i="134" s="1"/>
  <c r="D529" i="135"/>
  <c r="H511" i="135"/>
  <c r="D266" i="135"/>
  <c r="H282" i="135" s="1"/>
  <c r="P341" i="135"/>
  <c r="F271" i="137"/>
  <c r="H263" i="137"/>
  <c r="E108" i="137"/>
  <c r="E301" i="141"/>
  <c r="E287" i="141"/>
  <c r="A317" i="141" s="1"/>
  <c r="N14" i="141"/>
  <c r="A459" i="141" s="1"/>
  <c r="E311" i="135"/>
  <c r="A341" i="135" s="1"/>
  <c r="P339" i="135"/>
  <c r="G323" i="135"/>
  <c r="G30" i="137"/>
  <c r="D37" i="137"/>
  <c r="B35" i="137"/>
  <c r="H32" i="137"/>
  <c r="F24" i="137"/>
  <c r="B57" i="137"/>
  <c r="E264" i="139"/>
  <c r="A294" i="139" s="1"/>
  <c r="E278" i="139"/>
  <c r="H374" i="139"/>
  <c r="D31" i="139"/>
  <c r="M47" i="139" s="1"/>
  <c r="D457" i="139"/>
  <c r="D115" i="139"/>
  <c r="F118" i="139" s="1"/>
  <c r="H438" i="139"/>
  <c r="D461" i="139"/>
  <c r="D130" i="139"/>
  <c r="G125" i="139"/>
  <c r="D122" i="139"/>
  <c r="F116" i="139"/>
  <c r="E123" i="139"/>
  <c r="C199" i="139"/>
  <c r="I215" i="139" s="1"/>
  <c r="H375" i="139"/>
  <c r="E31" i="139"/>
  <c r="F35" i="139" s="1"/>
  <c r="H407" i="139"/>
  <c r="E115" i="139"/>
  <c r="F119" i="139" s="1"/>
  <c r="E199" i="139"/>
  <c r="F203" i="139" s="1"/>
  <c r="H439" i="139"/>
  <c r="C115" i="139"/>
  <c r="G130" i="139" s="1"/>
  <c r="D199" i="139"/>
  <c r="F202" i="139" s="1"/>
  <c r="I29" i="134"/>
  <c r="E15" i="135"/>
  <c r="G15" i="135" s="1"/>
  <c r="H454" i="135"/>
  <c r="C119" i="135"/>
  <c r="F121" i="135" s="1"/>
  <c r="C35" i="135"/>
  <c r="F37" i="135" s="1"/>
  <c r="J31" i="138"/>
  <c r="K31" i="138" s="1"/>
  <c r="F9" i="139"/>
  <c r="H9" i="139" s="1"/>
  <c r="H380" i="139"/>
  <c r="C454" i="139"/>
  <c r="B52" i="139"/>
  <c r="H412" i="139"/>
  <c r="C458" i="139"/>
  <c r="C462" i="139"/>
  <c r="H444" i="139"/>
  <c r="D7" i="137"/>
  <c r="H7" i="137" s="1"/>
  <c r="I98" i="137"/>
  <c r="C101" i="137"/>
  <c r="E103" i="137"/>
  <c r="P292" i="139"/>
  <c r="G276" i="139"/>
  <c r="H382" i="139"/>
  <c r="D454" i="139"/>
  <c r="D458" i="139"/>
  <c r="H414" i="139"/>
  <c r="H446" i="139"/>
  <c r="D462" i="139"/>
  <c r="B187" i="139"/>
  <c r="I189" i="139"/>
  <c r="G192" i="139"/>
  <c r="G195" i="139"/>
  <c r="D460" i="139"/>
  <c r="AB6" i="140"/>
  <c r="G8" i="143"/>
  <c r="F483" i="143"/>
  <c r="H101" i="137"/>
  <c r="G149" i="137"/>
  <c r="H253" i="137"/>
  <c r="E265" i="139"/>
  <c r="A295" i="139" s="1"/>
  <c r="E279" i="139"/>
  <c r="C185" i="139"/>
  <c r="F187" i="139"/>
  <c r="I189" i="141"/>
  <c r="C197" i="141"/>
  <c r="F191" i="141"/>
  <c r="AA15" i="142"/>
  <c r="E9" i="143"/>
  <c r="G9" i="143" s="1"/>
  <c r="I31" i="142"/>
  <c r="I32" i="136"/>
  <c r="K32" i="136" s="1"/>
  <c r="F149" i="137"/>
  <c r="C94" i="139"/>
  <c r="B112" i="139" s="1"/>
  <c r="E185" i="139"/>
  <c r="J187" i="139"/>
  <c r="G190" i="139"/>
  <c r="B193" i="139"/>
  <c r="D456" i="139"/>
  <c r="AA26" i="140"/>
  <c r="C13" i="141"/>
  <c r="G15" i="141"/>
  <c r="I105" i="137"/>
  <c r="I103" i="137"/>
  <c r="I101" i="137"/>
  <c r="I99" i="137"/>
  <c r="G105" i="137"/>
  <c r="E101" i="137"/>
  <c r="D99" i="137"/>
  <c r="H99" i="137"/>
  <c r="D94" i="139"/>
  <c r="F97" i="139" s="1"/>
  <c r="G185" i="139"/>
  <c r="K187" i="139"/>
  <c r="I190" i="139"/>
  <c r="J193" i="139"/>
  <c r="M28" i="140"/>
  <c r="L28" i="140"/>
  <c r="D13" i="141"/>
  <c r="AB26" i="140"/>
  <c r="H404" i="141"/>
  <c r="C54" i="141"/>
  <c r="I71" i="141" s="1"/>
  <c r="H436" i="141"/>
  <c r="C138" i="141"/>
  <c r="I149" i="141" s="1"/>
  <c r="G294" i="141"/>
  <c r="G295" i="141"/>
  <c r="F294" i="141"/>
  <c r="B100" i="137"/>
  <c r="F104" i="137"/>
  <c r="G271" i="139"/>
  <c r="F271" i="139"/>
  <c r="H193" i="139"/>
  <c r="K191" i="139"/>
  <c r="C190" i="139"/>
  <c r="G188" i="139"/>
  <c r="K186" i="139"/>
  <c r="B185" i="139"/>
  <c r="E195" i="139"/>
  <c r="G193" i="139"/>
  <c r="J191" i="139"/>
  <c r="B190" i="139"/>
  <c r="F188" i="139"/>
  <c r="H186" i="139"/>
  <c r="B195" i="139"/>
  <c r="M189" i="139"/>
  <c r="E188" i="139"/>
  <c r="G186" i="139"/>
  <c r="K196" i="139"/>
  <c r="M194" i="139"/>
  <c r="D193" i="139"/>
  <c r="L189" i="139"/>
  <c r="D188" i="139"/>
  <c r="F186" i="139"/>
  <c r="L194" i="139"/>
  <c r="C193" i="139"/>
  <c r="G191" i="139"/>
  <c r="K189" i="139"/>
  <c r="E186" i="139"/>
  <c r="D196" i="139"/>
  <c r="G194" i="139"/>
  <c r="K192" i="139"/>
  <c r="C191" i="139"/>
  <c r="E189" i="139"/>
  <c r="G187" i="139"/>
  <c r="L185" i="139"/>
  <c r="H185" i="139"/>
  <c r="L187" i="139"/>
  <c r="K190" i="139"/>
  <c r="L193" i="139"/>
  <c r="E196" i="139"/>
  <c r="AB20" i="140"/>
  <c r="C11" i="141"/>
  <c r="AA20" i="140"/>
  <c r="E13" i="141"/>
  <c r="I35" i="140"/>
  <c r="AA27" i="140"/>
  <c r="M39" i="140"/>
  <c r="L39" i="140"/>
  <c r="F487" i="141"/>
  <c r="H437" i="141"/>
  <c r="D489" i="141"/>
  <c r="D138" i="141"/>
  <c r="F141" i="141" s="1"/>
  <c r="D493" i="141"/>
  <c r="D222" i="141"/>
  <c r="L238" i="141" s="1"/>
  <c r="H469" i="141"/>
  <c r="F181" i="141"/>
  <c r="C100" i="137"/>
  <c r="E102" i="137"/>
  <c r="G104" i="137"/>
  <c r="I185" i="139"/>
  <c r="H188" i="139"/>
  <c r="B191" i="139"/>
  <c r="M193" i="139"/>
  <c r="F196" i="139"/>
  <c r="C7" i="141"/>
  <c r="G7" i="141" s="1"/>
  <c r="I29" i="140"/>
  <c r="K29" i="140" s="1"/>
  <c r="AA8" i="140"/>
  <c r="C9" i="141"/>
  <c r="G9" i="141" s="1"/>
  <c r="AA14" i="140"/>
  <c r="F13" i="141"/>
  <c r="AB27" i="140"/>
  <c r="J35" i="140"/>
  <c r="E263" i="139"/>
  <c r="A293" i="139" s="1"/>
  <c r="E277" i="139"/>
  <c r="C10" i="141"/>
  <c r="G10" i="141" s="1"/>
  <c r="C33" i="141"/>
  <c r="F35" i="141" s="1"/>
  <c r="F223" i="141"/>
  <c r="H399" i="143"/>
  <c r="D54" i="143"/>
  <c r="F57" i="143" s="1"/>
  <c r="D479" i="143"/>
  <c r="H431" i="143"/>
  <c r="D138" i="143"/>
  <c r="F141" i="143" s="1"/>
  <c r="D483" i="143"/>
  <c r="D222" i="143"/>
  <c r="F225" i="143" s="1"/>
  <c r="D487" i="143"/>
  <c r="H463" i="143"/>
  <c r="C16" i="141"/>
  <c r="G16" i="141" s="1"/>
  <c r="AA35" i="140"/>
  <c r="G6" i="141"/>
  <c r="F490" i="141"/>
  <c r="C484" i="141"/>
  <c r="B33" i="141"/>
  <c r="H395" i="141"/>
  <c r="C488" i="141"/>
  <c r="B117" i="141"/>
  <c r="H427" i="141"/>
  <c r="C492" i="141"/>
  <c r="H459" i="141"/>
  <c r="B201" i="141"/>
  <c r="E286" i="143"/>
  <c r="A316" i="143" s="1"/>
  <c r="E300" i="143"/>
  <c r="F6" i="142"/>
  <c r="H6" i="142" s="1"/>
  <c r="J6" i="142" s="1"/>
  <c r="C12" i="141"/>
  <c r="AA23" i="140"/>
  <c r="I36" i="140"/>
  <c r="K36" i="140" s="1"/>
  <c r="AA30" i="140"/>
  <c r="C201" i="141"/>
  <c r="F203" i="141" s="1"/>
  <c r="H460" i="141"/>
  <c r="H408" i="143"/>
  <c r="E75" i="143"/>
  <c r="F79" i="143" s="1"/>
  <c r="H440" i="143"/>
  <c r="E159" i="143"/>
  <c r="F163" i="143" s="1"/>
  <c r="E243" i="143"/>
  <c r="F247" i="143" s="1"/>
  <c r="H472" i="143"/>
  <c r="AA11" i="140"/>
  <c r="C8" i="141"/>
  <c r="G8" i="141" s="1"/>
  <c r="D117" i="141"/>
  <c r="F120" i="141" s="1"/>
  <c r="D488" i="141"/>
  <c r="H461" i="141"/>
  <c r="D492" i="141"/>
  <c r="F484" i="143"/>
  <c r="E282" i="141"/>
  <c r="A312" i="141" s="1"/>
  <c r="E296" i="141"/>
  <c r="D8" i="141"/>
  <c r="H8" i="141" s="1"/>
  <c r="AB11" i="140"/>
  <c r="J30" i="140"/>
  <c r="I32" i="140"/>
  <c r="K32" i="140" s="1"/>
  <c r="I34" i="140"/>
  <c r="K34" i="140" s="1"/>
  <c r="E12" i="141"/>
  <c r="G12" i="141" s="1"/>
  <c r="F486" i="141"/>
  <c r="F139" i="141"/>
  <c r="H428" i="141"/>
  <c r="J213" i="139"/>
  <c r="J209" i="139"/>
  <c r="H213" i="139"/>
  <c r="C212" i="139"/>
  <c r="E209" i="139"/>
  <c r="L207" i="139"/>
  <c r="E217" i="139"/>
  <c r="E214" i="139"/>
  <c r="M210" i="139"/>
  <c r="J212" i="139"/>
  <c r="G214" i="139"/>
  <c r="C216" i="139"/>
  <c r="AA5" i="140"/>
  <c r="E283" i="141"/>
  <c r="A313" i="141" s="1"/>
  <c r="E297" i="141"/>
  <c r="I30" i="140"/>
  <c r="I38" i="140"/>
  <c r="K38" i="140" s="1"/>
  <c r="I40" i="140"/>
  <c r="K40" i="140" s="1"/>
  <c r="AA42" i="140"/>
  <c r="H429" i="141"/>
  <c r="I193" i="143"/>
  <c r="E188" i="143"/>
  <c r="K197" i="143"/>
  <c r="E196" i="143"/>
  <c r="K194" i="143"/>
  <c r="L191" i="143"/>
  <c r="F190" i="143"/>
  <c r="F187" i="143"/>
  <c r="E198" i="143"/>
  <c r="D196" i="143"/>
  <c r="G194" i="143"/>
  <c r="K192" i="143"/>
  <c r="G197" i="143"/>
  <c r="G188" i="143"/>
  <c r="D189" i="143"/>
  <c r="E187" i="143"/>
  <c r="F194" i="143"/>
  <c r="C192" i="143"/>
  <c r="K189" i="143"/>
  <c r="H187" i="143"/>
  <c r="L196" i="143"/>
  <c r="I197" i="143"/>
  <c r="J194" i="143"/>
  <c r="F197" i="143"/>
  <c r="I194" i="143"/>
  <c r="D197" i="143"/>
  <c r="F181" i="143"/>
  <c r="C191" i="143"/>
  <c r="B191" i="143"/>
  <c r="J197" i="143"/>
  <c r="L198" i="143"/>
  <c r="M192" i="143"/>
  <c r="K198" i="143"/>
  <c r="J198" i="143"/>
  <c r="I192" i="143"/>
  <c r="E190" i="143"/>
  <c r="G189" i="143"/>
  <c r="G196" i="143"/>
  <c r="C461" i="139"/>
  <c r="H436" i="139"/>
  <c r="J104" i="139"/>
  <c r="F110" i="139"/>
  <c r="K111" i="139"/>
  <c r="B196" i="139"/>
  <c r="J194" i="139"/>
  <c r="F193" i="139"/>
  <c r="B192" i="139"/>
  <c r="J190" i="139"/>
  <c r="F189" i="139"/>
  <c r="B188" i="139"/>
  <c r="J186" i="139"/>
  <c r="F185" i="139"/>
  <c r="D195" i="139"/>
  <c r="K193" i="139"/>
  <c r="F192" i="139"/>
  <c r="M190" i="139"/>
  <c r="H189" i="139"/>
  <c r="C188" i="139"/>
  <c r="I186" i="139"/>
  <c r="D185" i="139"/>
  <c r="J196" i="139"/>
  <c r="C195" i="139"/>
  <c r="I193" i="139"/>
  <c r="C192" i="139"/>
  <c r="H190" i="139"/>
  <c r="B189" i="139"/>
  <c r="H187" i="139"/>
  <c r="B186" i="139"/>
  <c r="I187" i="139"/>
  <c r="D189" i="139"/>
  <c r="L190" i="139"/>
  <c r="C194" i="139"/>
  <c r="J195" i="139"/>
  <c r="H9" i="143"/>
  <c r="F482" i="143"/>
  <c r="J34" i="140"/>
  <c r="F493" i="141"/>
  <c r="E180" i="141"/>
  <c r="F184" i="141" s="1"/>
  <c r="H454" i="141"/>
  <c r="AB18" i="142"/>
  <c r="F10" i="143"/>
  <c r="H10" i="143" s="1"/>
  <c r="C480" i="143"/>
  <c r="H405" i="143"/>
  <c r="B75" i="143"/>
  <c r="H437" i="143"/>
  <c r="C484" i="143"/>
  <c r="B159" i="143"/>
  <c r="C488" i="143"/>
  <c r="H469" i="143"/>
  <c r="B243" i="143"/>
  <c r="J38" i="142"/>
  <c r="AB35" i="142"/>
  <c r="E287" i="143"/>
  <c r="A317" i="143" s="1"/>
  <c r="E301" i="143"/>
  <c r="C14" i="143"/>
  <c r="G14" i="143" s="1"/>
  <c r="AA29" i="142"/>
  <c r="G16" i="143"/>
  <c r="F478" i="143"/>
  <c r="H446" i="143"/>
  <c r="C180" i="143"/>
  <c r="C198" i="143" s="1"/>
  <c r="J37" i="140"/>
  <c r="AB33" i="140"/>
  <c r="AB29" i="142"/>
  <c r="D14" i="143"/>
  <c r="H14" i="143" s="1"/>
  <c r="C12" i="143"/>
  <c r="G12" i="143" s="1"/>
  <c r="F488" i="143"/>
  <c r="J29" i="142"/>
  <c r="K29" i="142" s="1"/>
  <c r="F7" i="143"/>
  <c r="H7" i="143" s="1"/>
  <c r="I38" i="142"/>
  <c r="AA42" i="142"/>
  <c r="I40" i="142"/>
  <c r="K40" i="142" s="1"/>
  <c r="C96" i="143"/>
  <c r="E288" i="143"/>
  <c r="A318" i="143" s="1"/>
  <c r="E302" i="143"/>
  <c r="G7" i="143"/>
  <c r="F12" i="143"/>
  <c r="F300" i="141"/>
  <c r="I36" i="142"/>
  <c r="K36" i="142" s="1"/>
  <c r="J40" i="142"/>
  <c r="D478" i="143"/>
  <c r="D33" i="143"/>
  <c r="H391" i="143"/>
  <c r="D482" i="143"/>
  <c r="H423" i="143"/>
  <c r="D117" i="143"/>
  <c r="G125" i="143" s="1"/>
  <c r="D486" i="143"/>
  <c r="H455" i="143"/>
  <c r="D201" i="143"/>
  <c r="L208" i="143" s="1"/>
  <c r="E299" i="143"/>
  <c r="E285" i="143"/>
  <c r="A315" i="143" s="1"/>
  <c r="H398" i="143"/>
  <c r="C54" i="143"/>
  <c r="F56" i="143" s="1"/>
  <c r="C138" i="143"/>
  <c r="F140" i="143" s="1"/>
  <c r="H430" i="143"/>
  <c r="H462" i="143"/>
  <c r="C222" i="143"/>
  <c r="F224" i="143" s="1"/>
  <c r="G304" i="143"/>
  <c r="P320" i="143"/>
  <c r="H419" i="141"/>
  <c r="B96" i="141"/>
  <c r="F11" i="143"/>
  <c r="J33" i="142"/>
  <c r="K104" i="143"/>
  <c r="E106" i="143"/>
  <c r="H108" i="143"/>
  <c r="AB23" i="142"/>
  <c r="D12" i="143"/>
  <c r="H397" i="143"/>
  <c r="C479" i="143"/>
  <c r="B54" i="143"/>
  <c r="H429" i="143"/>
  <c r="B138" i="143"/>
  <c r="C483" i="143"/>
  <c r="H461" i="143"/>
  <c r="C487" i="143"/>
  <c r="B222" i="143"/>
  <c r="H407" i="143"/>
  <c r="D75" i="143"/>
  <c r="F78" i="143" s="1"/>
  <c r="H439" i="143"/>
  <c r="D484" i="143"/>
  <c r="D159" i="143"/>
  <c r="F162" i="143" s="1"/>
  <c r="H471" i="143"/>
  <c r="D488" i="143"/>
  <c r="D243" i="143"/>
  <c r="F246" i="143" s="1"/>
  <c r="F296" i="143"/>
  <c r="F35" i="143"/>
  <c r="J135" i="143"/>
  <c r="J131" i="143"/>
  <c r="F130" i="143"/>
  <c r="J127" i="143"/>
  <c r="F126" i="143"/>
  <c r="D134" i="143"/>
  <c r="F131" i="143"/>
  <c r="E124" i="143"/>
  <c r="I134" i="143"/>
  <c r="G128" i="143"/>
  <c r="M126" i="143"/>
  <c r="H129" i="143"/>
  <c r="F135" i="143"/>
  <c r="J133" i="143"/>
  <c r="B132" i="143"/>
  <c r="E130" i="143"/>
  <c r="K126" i="143"/>
  <c r="G135" i="143"/>
  <c r="K125" i="143"/>
  <c r="E135" i="143"/>
  <c r="G129" i="143"/>
  <c r="H127" i="143"/>
  <c r="L135" i="143"/>
  <c r="F133" i="143"/>
  <c r="D128" i="143"/>
  <c r="J124" i="143"/>
  <c r="G127" i="143"/>
  <c r="M132" i="143"/>
  <c r="K33" i="142"/>
  <c r="D13" i="143"/>
  <c r="H13" i="143" s="1"/>
  <c r="AB26" i="142"/>
  <c r="D15" i="143"/>
  <c r="H15" i="143" s="1"/>
  <c r="J37" i="142"/>
  <c r="L124" i="143"/>
  <c r="E294" i="143"/>
  <c r="E280" i="143"/>
  <c r="A310" i="143" s="1"/>
  <c r="J31" i="142"/>
  <c r="AB20" i="142"/>
  <c r="D11" i="143"/>
  <c r="P321" i="141"/>
  <c r="I37" i="142"/>
  <c r="AA33" i="142"/>
  <c r="E15" i="143"/>
  <c r="G15" i="143" s="1"/>
  <c r="H416" i="143"/>
  <c r="E96" i="143"/>
  <c r="H104" i="143" s="1"/>
  <c r="E297" i="143"/>
  <c r="E283" i="143"/>
  <c r="A313" i="143" s="1"/>
  <c r="I28" i="142"/>
  <c r="K28" i="142" s="1"/>
  <c r="AA6" i="142"/>
  <c r="L216" i="143"/>
  <c r="G211" i="143"/>
  <c r="F203" i="143"/>
  <c r="E219" i="143"/>
  <c r="D217" i="143"/>
  <c r="M214" i="143"/>
  <c r="K212" i="143"/>
  <c r="H208" i="143"/>
  <c r="M219" i="143"/>
  <c r="K214" i="143"/>
  <c r="E212" i="143"/>
  <c r="B219" i="143"/>
  <c r="M211" i="143"/>
  <c r="D209" i="143"/>
  <c r="B212" i="143"/>
  <c r="J214" i="143"/>
  <c r="I217" i="143"/>
  <c r="C13" i="143"/>
  <c r="G13" i="143" s="1"/>
  <c r="I35" i="142"/>
  <c r="K35" i="142" s="1"/>
  <c r="C485" i="143"/>
  <c r="H445" i="143"/>
  <c r="F42" i="143"/>
  <c r="F34" i="143"/>
  <c r="F295" i="143"/>
  <c r="P319" i="143"/>
  <c r="D481" i="143"/>
  <c r="H415" i="143"/>
  <c r="D485" i="143"/>
  <c r="H447" i="143"/>
  <c r="G10" i="143"/>
  <c r="H389" i="143"/>
  <c r="C478" i="143"/>
  <c r="M208" i="143"/>
  <c r="H212" i="143"/>
  <c r="C216" i="143"/>
  <c r="K217" i="143"/>
  <c r="G214" i="143"/>
  <c r="K211" i="143"/>
  <c r="G210" i="143"/>
  <c r="J219" i="143"/>
  <c r="B217" i="143"/>
  <c r="J215" i="143"/>
  <c r="B213" i="143"/>
  <c r="J211" i="143"/>
  <c r="F210" i="143"/>
  <c r="B209" i="143"/>
  <c r="I219" i="143"/>
  <c r="J209" i="143"/>
  <c r="F202" i="143"/>
  <c r="M216" i="143"/>
  <c r="G215" i="143"/>
  <c r="G212" i="143"/>
  <c r="M210" i="143"/>
  <c r="G209" i="143"/>
  <c r="I209" i="143"/>
  <c r="F211" i="143"/>
  <c r="D213" i="143"/>
  <c r="L214" i="143"/>
  <c r="K6" i="146" l="1"/>
  <c r="J6" i="146"/>
  <c r="E394" i="146"/>
  <c r="N6" i="146"/>
  <c r="E396" i="146"/>
  <c r="N8" i="146"/>
  <c r="K8" i="146"/>
  <c r="J8" i="146"/>
  <c r="L147" i="146"/>
  <c r="B58" i="146"/>
  <c r="L143" i="146"/>
  <c r="F127" i="146"/>
  <c r="H119" i="146"/>
  <c r="G127" i="146"/>
  <c r="L127" i="146"/>
  <c r="D128" i="146"/>
  <c r="M127" i="146"/>
  <c r="L79" i="146"/>
  <c r="H86" i="146"/>
  <c r="F81" i="146"/>
  <c r="M81" i="146"/>
  <c r="G79" i="146"/>
  <c r="J146" i="146"/>
  <c r="E122" i="146"/>
  <c r="D122" i="146"/>
  <c r="L55" i="146"/>
  <c r="L59" i="146"/>
  <c r="J63" i="146"/>
  <c r="I65" i="146"/>
  <c r="G64" i="146"/>
  <c r="I148" i="146"/>
  <c r="J140" i="146"/>
  <c r="I146" i="146"/>
  <c r="B142" i="146"/>
  <c r="K140" i="146"/>
  <c r="E140" i="146"/>
  <c r="F148" i="146"/>
  <c r="H127" i="146"/>
  <c r="E398" i="146"/>
  <c r="K10" i="146"/>
  <c r="J10" i="146"/>
  <c r="N10" i="146"/>
  <c r="E369" i="146"/>
  <c r="C369" i="146"/>
  <c r="A243" i="146"/>
  <c r="F369" i="146"/>
  <c r="D369" i="146"/>
  <c r="P243" i="146"/>
  <c r="I85" i="146"/>
  <c r="H78" i="146"/>
  <c r="J81" i="146"/>
  <c r="I81" i="146"/>
  <c r="F78" i="146"/>
  <c r="M87" i="146"/>
  <c r="E78" i="146"/>
  <c r="E82" i="146"/>
  <c r="L81" i="146"/>
  <c r="G85" i="146"/>
  <c r="H84" i="146"/>
  <c r="G84" i="146"/>
  <c r="G78" i="146"/>
  <c r="E84" i="146"/>
  <c r="C81" i="146"/>
  <c r="C84" i="146"/>
  <c r="L78" i="146"/>
  <c r="I78" i="146"/>
  <c r="C86" i="146"/>
  <c r="K82" i="146"/>
  <c r="B80" i="146"/>
  <c r="L85" i="146"/>
  <c r="J82" i="146"/>
  <c r="M79" i="146"/>
  <c r="G76" i="146"/>
  <c r="J78" i="146"/>
  <c r="K85" i="146"/>
  <c r="C79" i="146"/>
  <c r="F76" i="146"/>
  <c r="J85" i="146"/>
  <c r="F82" i="146"/>
  <c r="B79" i="146"/>
  <c r="E76" i="146"/>
  <c r="H85" i="146"/>
  <c r="K81" i="146"/>
  <c r="B81" i="146"/>
  <c r="H87" i="146"/>
  <c r="B84" i="146"/>
  <c r="H80" i="146"/>
  <c r="G77" i="146"/>
  <c r="F119" i="146"/>
  <c r="M121" i="146"/>
  <c r="F124" i="146"/>
  <c r="H124" i="146"/>
  <c r="B124" i="146"/>
  <c r="D80" i="146"/>
  <c r="K78" i="146"/>
  <c r="K86" i="146"/>
  <c r="K79" i="146"/>
  <c r="B78" i="146"/>
  <c r="K87" i="146"/>
  <c r="J119" i="146"/>
  <c r="K123" i="146"/>
  <c r="B126" i="146"/>
  <c r="D126" i="146"/>
  <c r="I125" i="146"/>
  <c r="G80" i="146"/>
  <c r="G81" i="146"/>
  <c r="F79" i="146"/>
  <c r="L76" i="146"/>
  <c r="P241" i="146"/>
  <c r="F225" i="146"/>
  <c r="F226" i="146" s="1"/>
  <c r="E57" i="146"/>
  <c r="K59" i="146"/>
  <c r="B56" i="146"/>
  <c r="M59" i="146"/>
  <c r="K63" i="146"/>
  <c r="F64" i="146"/>
  <c r="D63" i="146"/>
  <c r="H142" i="146"/>
  <c r="D148" i="146"/>
  <c r="C147" i="146"/>
  <c r="K143" i="146"/>
  <c r="C140" i="146"/>
  <c r="I149" i="146"/>
  <c r="D61" i="146"/>
  <c r="E377" i="146"/>
  <c r="C377" i="146"/>
  <c r="J124" i="146"/>
  <c r="J120" i="146"/>
  <c r="E124" i="146"/>
  <c r="D124" i="146"/>
  <c r="E128" i="146"/>
  <c r="B129" i="146"/>
  <c r="M128" i="146"/>
  <c r="I120" i="146"/>
  <c r="F128" i="146"/>
  <c r="H120" i="146"/>
  <c r="M123" i="146"/>
  <c r="G120" i="146"/>
  <c r="B122" i="146"/>
  <c r="H123" i="146"/>
  <c r="F126" i="146"/>
  <c r="J127" i="146"/>
  <c r="C128" i="146"/>
  <c r="D127" i="146"/>
  <c r="K66" i="146"/>
  <c r="G82" i="146"/>
  <c r="I79" i="146"/>
  <c r="J80" i="146"/>
  <c r="D78" i="146"/>
  <c r="H66" i="146"/>
  <c r="C57" i="146"/>
  <c r="B57" i="146"/>
  <c r="M57" i="146"/>
  <c r="M61" i="146"/>
  <c r="G65" i="146"/>
  <c r="J65" i="146"/>
  <c r="H64" i="146"/>
  <c r="L144" i="146"/>
  <c r="M140" i="146"/>
  <c r="B149" i="146"/>
  <c r="H145" i="146"/>
  <c r="G141" i="146"/>
  <c r="M150" i="146"/>
  <c r="D66" i="146"/>
  <c r="C58" i="146"/>
  <c r="E133" i="146"/>
  <c r="D136" i="146"/>
  <c r="C133" i="146"/>
  <c r="B133" i="146"/>
  <c r="E135" i="146"/>
  <c r="D135" i="146"/>
  <c r="C135" i="146"/>
  <c r="E134" i="146"/>
  <c r="B135" i="146"/>
  <c r="A369" i="146"/>
  <c r="B370" i="146" s="1"/>
  <c r="D134" i="146"/>
  <c r="C134" i="146"/>
  <c r="B136" i="146"/>
  <c r="E136" i="146"/>
  <c r="C136" i="146"/>
  <c r="B134" i="146"/>
  <c r="D133" i="146"/>
  <c r="F377" i="146"/>
  <c r="D377" i="146"/>
  <c r="G87" i="146"/>
  <c r="D87" i="146"/>
  <c r="L123" i="146"/>
  <c r="J125" i="146"/>
  <c r="J128" i="146"/>
  <c r="I129" i="146"/>
  <c r="K129" i="146"/>
  <c r="K128" i="146"/>
  <c r="B64" i="146"/>
  <c r="D84" i="146"/>
  <c r="E81" i="146"/>
  <c r="E85" i="146"/>
  <c r="H79" i="146"/>
  <c r="I142" i="146"/>
  <c r="G63" i="146"/>
  <c r="E146" i="146"/>
  <c r="C145" i="146"/>
  <c r="M149" i="146"/>
  <c r="K144" i="146"/>
  <c r="F150" i="146"/>
  <c r="D141" i="146"/>
  <c r="C141" i="146"/>
  <c r="H140" i="146"/>
  <c r="K149" i="146"/>
  <c r="L139" i="146"/>
  <c r="H149" i="146"/>
  <c r="I139" i="146"/>
  <c r="E141" i="146"/>
  <c r="L149" i="146"/>
  <c r="I144" i="146"/>
  <c r="H144" i="146"/>
  <c r="F149" i="146"/>
  <c r="G139" i="146"/>
  <c r="C150" i="146"/>
  <c r="B145" i="146"/>
  <c r="G144" i="146"/>
  <c r="E55" i="146"/>
  <c r="I63" i="146"/>
  <c r="E56" i="146"/>
  <c r="C55" i="146"/>
  <c r="L65" i="146"/>
  <c r="J147" i="146"/>
  <c r="F143" i="146"/>
  <c r="B140" i="146"/>
  <c r="G147" i="146"/>
  <c r="K142" i="146"/>
  <c r="B139" i="146"/>
  <c r="J62" i="146"/>
  <c r="G45" i="146"/>
  <c r="E45" i="146"/>
  <c r="B45" i="146"/>
  <c r="J43" i="146"/>
  <c r="F42" i="146"/>
  <c r="B41" i="146"/>
  <c r="J39" i="146"/>
  <c r="B37" i="146"/>
  <c r="J35" i="146"/>
  <c r="F34" i="146"/>
  <c r="M44" i="146"/>
  <c r="I43" i="146"/>
  <c r="E42" i="146"/>
  <c r="M40" i="146"/>
  <c r="I39" i="146"/>
  <c r="M36" i="146"/>
  <c r="I35" i="146"/>
  <c r="E34" i="146"/>
  <c r="L44" i="146"/>
  <c r="H43" i="146"/>
  <c r="D42" i="146"/>
  <c r="L40" i="146"/>
  <c r="H39" i="146"/>
  <c r="L36" i="146"/>
  <c r="H35" i="146"/>
  <c r="D34" i="146"/>
  <c r="K44" i="146"/>
  <c r="G43" i="146"/>
  <c r="C42" i="146"/>
  <c r="K40" i="146"/>
  <c r="C38" i="146"/>
  <c r="K36" i="146"/>
  <c r="G35" i="146"/>
  <c r="C34" i="146"/>
  <c r="H44" i="146"/>
  <c r="D43" i="146"/>
  <c r="L41" i="146"/>
  <c r="H40" i="146"/>
  <c r="L37" i="146"/>
  <c r="H36" i="146"/>
  <c r="D35" i="146"/>
  <c r="L45" i="146"/>
  <c r="F44" i="146"/>
  <c r="B43" i="146"/>
  <c r="J41" i="146"/>
  <c r="F40" i="146"/>
  <c r="B39" i="146"/>
  <c r="J37" i="146"/>
  <c r="B35" i="146"/>
  <c r="C45" i="146"/>
  <c r="K43" i="146"/>
  <c r="G42" i="146"/>
  <c r="C41" i="146"/>
  <c r="K39" i="146"/>
  <c r="C37" i="146"/>
  <c r="K35" i="146"/>
  <c r="G34" i="146"/>
  <c r="H45" i="146"/>
  <c r="L42" i="146"/>
  <c r="G40" i="146"/>
  <c r="B38" i="146"/>
  <c r="M35" i="146"/>
  <c r="C44" i="146"/>
  <c r="C39" i="146"/>
  <c r="M43" i="146"/>
  <c r="H34" i="146"/>
  <c r="F45" i="146"/>
  <c r="K42" i="146"/>
  <c r="E40" i="146"/>
  <c r="M37" i="146"/>
  <c r="L35" i="146"/>
  <c r="I41" i="146"/>
  <c r="J34" i="146"/>
  <c r="J36" i="146"/>
  <c r="G41" i="146"/>
  <c r="F41" i="146"/>
  <c r="M45" i="146"/>
  <c r="F43" i="146"/>
  <c r="K38" i="146"/>
  <c r="K45" i="146"/>
  <c r="D41" i="146"/>
  <c r="D45" i="146"/>
  <c r="J42" i="146"/>
  <c r="D40" i="146"/>
  <c r="K37" i="146"/>
  <c r="F35" i="146"/>
  <c r="H41" i="146"/>
  <c r="I34" i="146"/>
  <c r="I36" i="146"/>
  <c r="L43" i="146"/>
  <c r="L38" i="146"/>
  <c r="B34" i="146"/>
  <c r="E41" i="146"/>
  <c r="E43" i="146"/>
  <c r="J38" i="146"/>
  <c r="J45" i="146"/>
  <c r="J40" i="146"/>
  <c r="C36" i="146"/>
  <c r="J44" i="146"/>
  <c r="I42" i="146"/>
  <c r="C40" i="146"/>
  <c r="I37" i="146"/>
  <c r="E35" i="146"/>
  <c r="I44" i="146"/>
  <c r="H42" i="146"/>
  <c r="B40" i="146"/>
  <c r="H37" i="146"/>
  <c r="C35" i="146"/>
  <c r="G44" i="146"/>
  <c r="B42" i="146"/>
  <c r="M39" i="146"/>
  <c r="M34" i="146"/>
  <c r="E44" i="146"/>
  <c r="M41" i="146"/>
  <c r="L39" i="146"/>
  <c r="L34" i="146"/>
  <c r="D44" i="146"/>
  <c r="K41" i="146"/>
  <c r="K34" i="146"/>
  <c r="B44" i="146"/>
  <c r="M38" i="146"/>
  <c r="C43" i="146"/>
  <c r="I38" i="146"/>
  <c r="I45" i="146"/>
  <c r="M42" i="146"/>
  <c r="I40" i="146"/>
  <c r="H38" i="146"/>
  <c r="B36" i="146"/>
  <c r="D156" i="146"/>
  <c r="C156" i="146"/>
  <c r="B156" i="146"/>
  <c r="E155" i="146"/>
  <c r="C155" i="146"/>
  <c r="B154" i="146"/>
  <c r="A377" i="146"/>
  <c r="B378" i="146" s="1"/>
  <c r="C157" i="146"/>
  <c r="E154" i="146"/>
  <c r="D154" i="146"/>
  <c r="C154" i="146"/>
  <c r="E157" i="146"/>
  <c r="D157" i="146"/>
  <c r="B157" i="146"/>
  <c r="E156" i="146"/>
  <c r="D155" i="146"/>
  <c r="B155" i="146"/>
  <c r="I119" i="146"/>
  <c r="C123" i="146"/>
  <c r="F129" i="146"/>
  <c r="I84" i="146"/>
  <c r="K77" i="146"/>
  <c r="F86" i="146"/>
  <c r="E401" i="146"/>
  <c r="K13" i="146"/>
  <c r="J13" i="146"/>
  <c r="N13" i="146"/>
  <c r="I86" i="146"/>
  <c r="M83" i="146"/>
  <c r="L83" i="146"/>
  <c r="H126" i="146"/>
  <c r="G128" i="146"/>
  <c r="F118" i="146"/>
  <c r="K118" i="146"/>
  <c r="M118" i="146"/>
  <c r="C125" i="146"/>
  <c r="M85" i="146"/>
  <c r="M82" i="146"/>
  <c r="B87" i="146"/>
  <c r="G83" i="146"/>
  <c r="L80" i="146"/>
  <c r="A242" i="146"/>
  <c r="G226" i="146"/>
  <c r="M126" i="146"/>
  <c r="B65" i="146"/>
  <c r="K58" i="146"/>
  <c r="E62" i="146"/>
  <c r="J55" i="146"/>
  <c r="L64" i="146"/>
  <c r="J58" i="146"/>
  <c r="I55" i="146"/>
  <c r="J64" i="146"/>
  <c r="H55" i="146"/>
  <c r="I58" i="146"/>
  <c r="J60" i="146"/>
  <c r="L56" i="146"/>
  <c r="E61" i="146"/>
  <c r="E65" i="146"/>
  <c r="I57" i="146"/>
  <c r="G56" i="146"/>
  <c r="J59" i="146"/>
  <c r="F80" i="146"/>
  <c r="E80" i="146"/>
  <c r="L128" i="146"/>
  <c r="G119" i="146"/>
  <c r="K119" i="146"/>
  <c r="F120" i="146"/>
  <c r="G126" i="146"/>
  <c r="F57" i="146"/>
  <c r="E77" i="146"/>
  <c r="C85" i="146"/>
  <c r="E87" i="146"/>
  <c r="L84" i="146"/>
  <c r="D82" i="146"/>
  <c r="P242" i="146"/>
  <c r="G122" i="146"/>
  <c r="D57" i="146"/>
  <c r="H58" i="146"/>
  <c r="E63" i="146"/>
  <c r="B55" i="146"/>
  <c r="M58" i="146"/>
  <c r="K57" i="146"/>
  <c r="G145" i="146"/>
  <c r="B127" i="146"/>
  <c r="J191" i="146"/>
  <c r="F190" i="146"/>
  <c r="B189" i="146"/>
  <c r="J187" i="146"/>
  <c r="F186" i="146"/>
  <c r="B185" i="146"/>
  <c r="J183" i="146"/>
  <c r="F182" i="146"/>
  <c r="B181" i="146"/>
  <c r="M192" i="146"/>
  <c r="I191" i="146"/>
  <c r="E190" i="146"/>
  <c r="M188" i="146"/>
  <c r="I187" i="146"/>
  <c r="E186" i="146"/>
  <c r="M184" i="146"/>
  <c r="I183" i="146"/>
  <c r="E182" i="146"/>
  <c r="K192" i="146"/>
  <c r="G191" i="146"/>
  <c r="C190" i="146"/>
  <c r="K188" i="146"/>
  <c r="G187" i="146"/>
  <c r="C186" i="146"/>
  <c r="K184" i="146"/>
  <c r="G183" i="146"/>
  <c r="C182" i="146"/>
  <c r="G192" i="146"/>
  <c r="L190" i="146"/>
  <c r="E189" i="146"/>
  <c r="H187" i="146"/>
  <c r="L185" i="146"/>
  <c r="E184" i="146"/>
  <c r="J182" i="146"/>
  <c r="C181" i="146"/>
  <c r="F192" i="146"/>
  <c r="K190" i="146"/>
  <c r="D189" i="146"/>
  <c r="F187" i="146"/>
  <c r="K185" i="146"/>
  <c r="D184" i="146"/>
  <c r="I182" i="146"/>
  <c r="E192" i="146"/>
  <c r="J190" i="146"/>
  <c r="C189" i="146"/>
  <c r="E187" i="146"/>
  <c r="D192" i="146"/>
  <c r="I190" i="146"/>
  <c r="L188" i="146"/>
  <c r="D187" i="146"/>
  <c r="I185" i="146"/>
  <c r="B184" i="146"/>
  <c r="G182" i="146"/>
  <c r="M191" i="146"/>
  <c r="K189" i="146"/>
  <c r="L187" i="146"/>
  <c r="G185" i="146"/>
  <c r="F183" i="146"/>
  <c r="H181" i="146"/>
  <c r="L191" i="146"/>
  <c r="J189" i="146"/>
  <c r="K187" i="146"/>
  <c r="F185" i="146"/>
  <c r="E183" i="146"/>
  <c r="G181" i="146"/>
  <c r="K191" i="146"/>
  <c r="I189" i="146"/>
  <c r="C187" i="146"/>
  <c r="E185" i="146"/>
  <c r="D183" i="146"/>
  <c r="F181" i="146"/>
  <c r="H191" i="146"/>
  <c r="H189" i="146"/>
  <c r="B187" i="146"/>
  <c r="D185" i="146"/>
  <c r="C183" i="146"/>
  <c r="E181" i="146"/>
  <c r="D191" i="146"/>
  <c r="J188" i="146"/>
  <c r="K186" i="146"/>
  <c r="J184" i="146"/>
  <c r="L182" i="146"/>
  <c r="I192" i="146"/>
  <c r="F189" i="146"/>
  <c r="D186" i="146"/>
  <c r="B183" i="146"/>
  <c r="H185" i="146"/>
  <c r="H192" i="146"/>
  <c r="I188" i="146"/>
  <c r="B186" i="146"/>
  <c r="M182" i="146"/>
  <c r="C192" i="146"/>
  <c r="H188" i="146"/>
  <c r="M185" i="146"/>
  <c r="K182" i="146"/>
  <c r="F191" i="146"/>
  <c r="B192" i="146"/>
  <c r="G188" i="146"/>
  <c r="J185" i="146"/>
  <c r="H182" i="146"/>
  <c r="C191" i="146"/>
  <c r="D188" i="146"/>
  <c r="L184" i="146"/>
  <c r="M181" i="146"/>
  <c r="M190" i="146"/>
  <c r="B188" i="146"/>
  <c r="H184" i="146"/>
  <c r="K181" i="146"/>
  <c r="J192" i="146"/>
  <c r="G189" i="146"/>
  <c r="G186" i="146"/>
  <c r="H183" i="146"/>
  <c r="F188" i="146"/>
  <c r="K183" i="146"/>
  <c r="H186" i="146"/>
  <c r="G190" i="146"/>
  <c r="E188" i="146"/>
  <c r="D182" i="146"/>
  <c r="D190" i="146"/>
  <c r="C184" i="146"/>
  <c r="M189" i="146"/>
  <c r="C188" i="146"/>
  <c r="B182" i="146"/>
  <c r="E191" i="146"/>
  <c r="B191" i="146"/>
  <c r="G184" i="146"/>
  <c r="F184" i="146"/>
  <c r="B190" i="146"/>
  <c r="M187" i="146"/>
  <c r="L181" i="146"/>
  <c r="M186" i="146"/>
  <c r="J181" i="146"/>
  <c r="L186" i="146"/>
  <c r="I181" i="146"/>
  <c r="J186" i="146"/>
  <c r="D181" i="146"/>
  <c r="L192" i="146"/>
  <c r="I186" i="146"/>
  <c r="C185" i="146"/>
  <c r="H190" i="146"/>
  <c r="I184" i="146"/>
  <c r="M183" i="146"/>
  <c r="L189" i="146"/>
  <c r="L183" i="146"/>
  <c r="P247" i="146"/>
  <c r="F77" i="146"/>
  <c r="D77" i="146"/>
  <c r="H118" i="146"/>
  <c r="G121" i="146"/>
  <c r="I121" i="146"/>
  <c r="K121" i="146"/>
  <c r="K127" i="146"/>
  <c r="M78" i="146"/>
  <c r="L86" i="146"/>
  <c r="E86" i="146"/>
  <c r="M55" i="146"/>
  <c r="D60" i="146"/>
  <c r="M64" i="146"/>
  <c r="J56" i="146"/>
  <c r="E60" i="146"/>
  <c r="C59" i="146"/>
  <c r="H141" i="146"/>
  <c r="L142" i="146"/>
  <c r="J139" i="146"/>
  <c r="E145" i="146"/>
  <c r="E150" i="146"/>
  <c r="K146" i="146"/>
  <c r="B143" i="146"/>
  <c r="M129" i="146"/>
  <c r="A244" i="146"/>
  <c r="I127" i="146"/>
  <c r="M122" i="146"/>
  <c r="K83" i="146"/>
  <c r="N9" i="146"/>
  <c r="K9" i="146"/>
  <c r="J9" i="146"/>
  <c r="E397" i="146"/>
  <c r="C64" i="146"/>
  <c r="K120" i="146"/>
  <c r="I123" i="146"/>
  <c r="I122" i="146"/>
  <c r="B123" i="146"/>
  <c r="D123" i="146"/>
  <c r="C129" i="146"/>
  <c r="I147" i="146"/>
  <c r="F171" i="146"/>
  <c r="B170" i="146"/>
  <c r="J168" i="146"/>
  <c r="F167" i="146"/>
  <c r="B166" i="146"/>
  <c r="J164" i="146"/>
  <c r="F163" i="146"/>
  <c r="B162" i="146"/>
  <c r="J160" i="146"/>
  <c r="E171" i="146"/>
  <c r="M169" i="146"/>
  <c r="I168" i="146"/>
  <c r="E167" i="146"/>
  <c r="M165" i="146"/>
  <c r="I164" i="146"/>
  <c r="E163" i="146"/>
  <c r="M161" i="146"/>
  <c r="I160" i="146"/>
  <c r="C171" i="146"/>
  <c r="K169" i="146"/>
  <c r="G168" i="146"/>
  <c r="C167" i="146"/>
  <c r="K165" i="146"/>
  <c r="G164" i="146"/>
  <c r="C163" i="146"/>
  <c r="K161" i="146"/>
  <c r="G160" i="146"/>
  <c r="J170" i="146"/>
  <c r="C169" i="146"/>
  <c r="H167" i="146"/>
  <c r="J165" i="146"/>
  <c r="C164" i="146"/>
  <c r="H162" i="146"/>
  <c r="M160" i="146"/>
  <c r="I170" i="146"/>
  <c r="B169" i="146"/>
  <c r="G167" i="146"/>
  <c r="I165" i="146"/>
  <c r="B164" i="146"/>
  <c r="G162" i="146"/>
  <c r="L160" i="146"/>
  <c r="G170" i="146"/>
  <c r="L168" i="146"/>
  <c r="B167" i="146"/>
  <c r="G165" i="146"/>
  <c r="L163" i="146"/>
  <c r="E162" i="146"/>
  <c r="H160" i="146"/>
  <c r="F170" i="146"/>
  <c r="E168" i="146"/>
  <c r="G166" i="146"/>
  <c r="F164" i="146"/>
  <c r="F162" i="146"/>
  <c r="D160" i="146"/>
  <c r="E170" i="146"/>
  <c r="D168" i="146"/>
  <c r="F166" i="146"/>
  <c r="E164" i="146"/>
  <c r="D162" i="146"/>
  <c r="C160" i="146"/>
  <c r="D170" i="146"/>
  <c r="C168" i="146"/>
  <c r="E166" i="146"/>
  <c r="D164" i="146"/>
  <c r="C162" i="146"/>
  <c r="B160" i="146"/>
  <c r="M171" i="146"/>
  <c r="C170" i="146"/>
  <c r="B168" i="146"/>
  <c r="D166" i="146"/>
  <c r="M163" i="146"/>
  <c r="L161" i="146"/>
  <c r="J171" i="146"/>
  <c r="I169" i="146"/>
  <c r="K167" i="146"/>
  <c r="H165" i="146"/>
  <c r="I163" i="146"/>
  <c r="H161" i="146"/>
  <c r="H170" i="146"/>
  <c r="D167" i="146"/>
  <c r="K164" i="146"/>
  <c r="F161" i="146"/>
  <c r="L169" i="146"/>
  <c r="M166" i="146"/>
  <c r="H164" i="146"/>
  <c r="E161" i="146"/>
  <c r="J169" i="146"/>
  <c r="L166" i="146"/>
  <c r="K163" i="146"/>
  <c r="D161" i="146"/>
  <c r="H169" i="146"/>
  <c r="K166" i="146"/>
  <c r="J163" i="146"/>
  <c r="C161" i="146"/>
  <c r="L171" i="146"/>
  <c r="E169" i="146"/>
  <c r="H166" i="146"/>
  <c r="D163" i="146"/>
  <c r="F160" i="146"/>
  <c r="I171" i="146"/>
  <c r="M168" i="146"/>
  <c r="L165" i="146"/>
  <c r="M162" i="146"/>
  <c r="K170" i="146"/>
  <c r="I167" i="146"/>
  <c r="L164" i="146"/>
  <c r="G161" i="146"/>
  <c r="B171" i="146"/>
  <c r="E165" i="146"/>
  <c r="E160" i="146"/>
  <c r="I162" i="146"/>
  <c r="M170" i="146"/>
  <c r="D165" i="146"/>
  <c r="J167" i="146"/>
  <c r="J166" i="146"/>
  <c r="I166" i="146"/>
  <c r="L170" i="146"/>
  <c r="C165" i="146"/>
  <c r="F168" i="146"/>
  <c r="K162" i="146"/>
  <c r="J162" i="146"/>
  <c r="K171" i="146"/>
  <c r="J161" i="146"/>
  <c r="H171" i="146"/>
  <c r="I161" i="146"/>
  <c r="G171" i="146"/>
  <c r="C166" i="146"/>
  <c r="B161" i="146"/>
  <c r="G169" i="146"/>
  <c r="B165" i="146"/>
  <c r="L162" i="146"/>
  <c r="F169" i="146"/>
  <c r="M164" i="146"/>
  <c r="D169" i="146"/>
  <c r="H163" i="146"/>
  <c r="K168" i="146"/>
  <c r="G163" i="146"/>
  <c r="H168" i="146"/>
  <c r="B163" i="146"/>
  <c r="M167" i="146"/>
  <c r="L167" i="146"/>
  <c r="D171" i="146"/>
  <c r="F165" i="146"/>
  <c r="K160" i="146"/>
  <c r="M80" i="146"/>
  <c r="M77" i="146"/>
  <c r="J87" i="146"/>
  <c r="B85" i="146"/>
  <c r="H146" i="146"/>
  <c r="G146" i="146"/>
  <c r="D62" i="146"/>
  <c r="I66" i="146"/>
  <c r="F58" i="146"/>
  <c r="B141" i="146"/>
  <c r="L145" i="146"/>
  <c r="F141" i="146"/>
  <c r="D147" i="146"/>
  <c r="L148" i="146"/>
  <c r="C148" i="146"/>
  <c r="F144" i="146"/>
  <c r="P244" i="146"/>
  <c r="A245" i="146"/>
  <c r="G229" i="146"/>
  <c r="P246" i="146"/>
  <c r="D64" i="146"/>
  <c r="M60" i="146"/>
  <c r="K122" i="146"/>
  <c r="L125" i="146"/>
  <c r="C124" i="146"/>
  <c r="G124" i="146"/>
  <c r="I124" i="146"/>
  <c r="E125" i="146"/>
  <c r="J142" i="146"/>
  <c r="D76" i="146"/>
  <c r="J77" i="146"/>
  <c r="E79" i="146"/>
  <c r="K76" i="146"/>
  <c r="G86" i="146"/>
  <c r="C65" i="146"/>
  <c r="D142" i="146"/>
  <c r="K141" i="146"/>
  <c r="L63" i="146"/>
  <c r="F56" i="146"/>
  <c r="B60" i="146"/>
  <c r="M62" i="146"/>
  <c r="K61" i="146"/>
  <c r="G143" i="146"/>
  <c r="M147" i="146"/>
  <c r="E143" i="146"/>
  <c r="C149" i="146"/>
  <c r="G150" i="146"/>
  <c r="G149" i="146"/>
  <c r="J145" i="146"/>
  <c r="L124" i="146"/>
  <c r="D144" i="146"/>
  <c r="E395" i="146"/>
  <c r="K7" i="146"/>
  <c r="J7" i="146"/>
  <c r="N7" i="146"/>
  <c r="P245" i="146"/>
  <c r="A246" i="146"/>
  <c r="B61" i="146"/>
  <c r="H57" i="146"/>
  <c r="M124" i="146"/>
  <c r="H128" i="146"/>
  <c r="K125" i="146"/>
  <c r="C126" i="146"/>
  <c r="E126" i="146"/>
  <c r="I126" i="146"/>
  <c r="H122" i="146"/>
  <c r="L77" i="146"/>
  <c r="F84" i="146"/>
  <c r="J79" i="146"/>
  <c r="I80" i="146"/>
  <c r="C78" i="146"/>
  <c r="L87" i="146"/>
  <c r="L58" i="146"/>
  <c r="K126" i="146"/>
  <c r="H125" i="146"/>
  <c r="H65" i="146"/>
  <c r="D58" i="146"/>
  <c r="B62" i="146"/>
  <c r="E64" i="146"/>
  <c r="C63" i="146"/>
  <c r="D146" i="146"/>
  <c r="L150" i="146"/>
  <c r="M144" i="146"/>
  <c r="D140" i="146"/>
  <c r="D139" i="146"/>
  <c r="K150" i="146"/>
  <c r="B147" i="146"/>
  <c r="F139" i="146"/>
  <c r="K148" i="146"/>
  <c r="G100" i="145"/>
  <c r="E108" i="145"/>
  <c r="L101" i="145"/>
  <c r="F107" i="145"/>
  <c r="G97" i="145"/>
  <c r="F106" i="145"/>
  <c r="I9" i="145"/>
  <c r="N9" i="145" s="1"/>
  <c r="J103" i="145"/>
  <c r="D108" i="145"/>
  <c r="F108" i="145"/>
  <c r="F103" i="145"/>
  <c r="L100" i="145"/>
  <c r="G102" i="145"/>
  <c r="D102" i="145"/>
  <c r="L105" i="145"/>
  <c r="C102" i="145"/>
  <c r="M98" i="145"/>
  <c r="K101" i="145"/>
  <c r="I107" i="145"/>
  <c r="F99" i="145"/>
  <c r="J106" i="145"/>
  <c r="E106" i="145"/>
  <c r="J98" i="145"/>
  <c r="I101" i="145"/>
  <c r="F98" i="145"/>
  <c r="F101" i="145"/>
  <c r="B108" i="145"/>
  <c r="K105" i="145"/>
  <c r="L104" i="145"/>
  <c r="I108" i="145"/>
  <c r="M102" i="145"/>
  <c r="K107" i="145"/>
  <c r="D107" i="145"/>
  <c r="L103" i="145"/>
  <c r="L97" i="145"/>
  <c r="D105" i="145"/>
  <c r="I105" i="145"/>
  <c r="B105" i="145"/>
  <c r="K100" i="145"/>
  <c r="I102" i="145"/>
  <c r="M107" i="145"/>
  <c r="E102" i="145"/>
  <c r="G105" i="145"/>
  <c r="B102" i="145"/>
  <c r="M106" i="145"/>
  <c r="G103" i="145"/>
  <c r="K98" i="145"/>
  <c r="C106" i="145"/>
  <c r="G104" i="145"/>
  <c r="E101" i="145"/>
  <c r="I11" i="145"/>
  <c r="I13" i="145"/>
  <c r="E401" i="145" s="1"/>
  <c r="H44" i="145"/>
  <c r="I190" i="145"/>
  <c r="H187" i="145"/>
  <c r="L37" i="145"/>
  <c r="H34" i="145"/>
  <c r="J44" i="145"/>
  <c r="B44" i="145"/>
  <c r="J41" i="145"/>
  <c r="K44" i="145"/>
  <c r="B39" i="145"/>
  <c r="D41" i="145"/>
  <c r="J35" i="145"/>
  <c r="L45" i="145"/>
  <c r="E41" i="145"/>
  <c r="C39" i="145"/>
  <c r="I39" i="145"/>
  <c r="B41" i="145"/>
  <c r="H40" i="145"/>
  <c r="E186" i="145"/>
  <c r="E192" i="145"/>
  <c r="M181" i="145"/>
  <c r="M41" i="145"/>
  <c r="F41" i="145"/>
  <c r="F42" i="145"/>
  <c r="F34" i="145"/>
  <c r="E44" i="145"/>
  <c r="M42" i="145"/>
  <c r="J43" i="145"/>
  <c r="I182" i="145"/>
  <c r="E191" i="145"/>
  <c r="C42" i="145"/>
  <c r="L39" i="145"/>
  <c r="G42" i="145"/>
  <c r="C41" i="145"/>
  <c r="G185" i="145"/>
  <c r="C190" i="145"/>
  <c r="D45" i="145"/>
  <c r="G41" i="145"/>
  <c r="K43" i="145"/>
  <c r="I185" i="145"/>
  <c r="G191" i="145"/>
  <c r="I7" i="145"/>
  <c r="J7" i="145" s="1"/>
  <c r="E42" i="145"/>
  <c r="B43" i="145"/>
  <c r="C45" i="145"/>
  <c r="C101" i="145"/>
  <c r="K186" i="145"/>
  <c r="C188" i="145"/>
  <c r="G99" i="145"/>
  <c r="K108" i="145"/>
  <c r="I38" i="145"/>
  <c r="E45" i="145"/>
  <c r="C43" i="145"/>
  <c r="I8" i="145"/>
  <c r="M100" i="145"/>
  <c r="I6" i="145"/>
  <c r="K11" i="145"/>
  <c r="F369" i="145" s="1"/>
  <c r="E399" i="145"/>
  <c r="N11" i="145"/>
  <c r="E133" i="145" s="1"/>
  <c r="J11" i="145"/>
  <c r="E369" i="145" s="1"/>
  <c r="A246" i="145"/>
  <c r="I12" i="145"/>
  <c r="I10" i="145"/>
  <c r="H189" i="145"/>
  <c r="L191" i="145"/>
  <c r="H188" i="145"/>
  <c r="K182" i="145"/>
  <c r="B183" i="145"/>
  <c r="E189" i="145"/>
  <c r="K188" i="145"/>
  <c r="J45" i="145"/>
  <c r="M43" i="145"/>
  <c r="J36" i="145"/>
  <c r="M37" i="145"/>
  <c r="H41" i="145"/>
  <c r="D42" i="145"/>
  <c r="K39" i="145"/>
  <c r="P241" i="145"/>
  <c r="F225" i="145"/>
  <c r="A241" i="145"/>
  <c r="G225" i="145"/>
  <c r="A245" i="145"/>
  <c r="G229" i="145"/>
  <c r="K185" i="145"/>
  <c r="B186" i="145"/>
  <c r="L185" i="145"/>
  <c r="F191" i="145"/>
  <c r="D191" i="145"/>
  <c r="L189" i="145"/>
  <c r="J189" i="145"/>
  <c r="L183" i="145"/>
  <c r="K183" i="145"/>
  <c r="F183" i="145"/>
  <c r="K189" i="145"/>
  <c r="G182" i="145"/>
  <c r="B182" i="145"/>
  <c r="E184" i="145"/>
  <c r="J184" i="145"/>
  <c r="L182" i="145"/>
  <c r="L190" i="145"/>
  <c r="I184" i="145"/>
  <c r="D182" i="145"/>
  <c r="I191" i="145"/>
  <c r="A243" i="145"/>
  <c r="K9" i="145"/>
  <c r="J9" i="145"/>
  <c r="H45" i="145"/>
  <c r="L42" i="145"/>
  <c r="F35" i="145"/>
  <c r="J37" i="145"/>
  <c r="I35" i="145"/>
  <c r="G35" i="145"/>
  <c r="J42" i="145"/>
  <c r="I42" i="145"/>
  <c r="F43" i="145"/>
  <c r="G43" i="145"/>
  <c r="F188" i="145"/>
  <c r="L187" i="145"/>
  <c r="J185" i="145"/>
  <c r="J192" i="145"/>
  <c r="M185" i="145"/>
  <c r="H183" i="145"/>
  <c r="M192" i="145"/>
  <c r="G186" i="145"/>
  <c r="P243" i="145"/>
  <c r="M35" i="145"/>
  <c r="L41" i="145"/>
  <c r="M44" i="145"/>
  <c r="L34" i="145"/>
  <c r="I189" i="145"/>
  <c r="A242" i="145"/>
  <c r="G226" i="145"/>
  <c r="G227" i="145" s="1"/>
  <c r="J186" i="145"/>
  <c r="C192" i="145"/>
  <c r="B190" i="145"/>
  <c r="D188" i="145"/>
  <c r="F181" i="145"/>
  <c r="E187" i="145"/>
  <c r="L184" i="145"/>
  <c r="B181" i="145"/>
  <c r="I45" i="145"/>
  <c r="G40" i="145"/>
  <c r="M40" i="145"/>
  <c r="D44" i="145"/>
  <c r="I34" i="145"/>
  <c r="B40" i="145"/>
  <c r="P248" i="145"/>
  <c r="L181" i="145"/>
  <c r="F226" i="145"/>
  <c r="F227" i="145" s="1"/>
  <c r="P242" i="145"/>
  <c r="I181" i="145"/>
  <c r="C184" i="145"/>
  <c r="G192" i="145"/>
  <c r="J190" i="145"/>
  <c r="C183" i="145"/>
  <c r="I188" i="145"/>
  <c r="D186" i="145"/>
  <c r="F182" i="145"/>
  <c r="J149" i="145"/>
  <c r="F148" i="145"/>
  <c r="B147" i="145"/>
  <c r="J145" i="145"/>
  <c r="F144" i="145"/>
  <c r="B143" i="145"/>
  <c r="J141" i="145"/>
  <c r="F140" i="145"/>
  <c r="B139" i="145"/>
  <c r="M150" i="145"/>
  <c r="I149" i="145"/>
  <c r="E148" i="145"/>
  <c r="M146" i="145"/>
  <c r="I145" i="145"/>
  <c r="E144" i="145"/>
  <c r="M142" i="145"/>
  <c r="I141" i="145"/>
  <c r="E140" i="145"/>
  <c r="K150" i="145"/>
  <c r="G149" i="145"/>
  <c r="C148" i="145"/>
  <c r="K146" i="145"/>
  <c r="G145" i="145"/>
  <c r="C144" i="145"/>
  <c r="K142" i="145"/>
  <c r="G141" i="145"/>
  <c r="C140" i="145"/>
  <c r="I150" i="145"/>
  <c r="E149" i="145"/>
  <c r="M147" i="145"/>
  <c r="I146" i="145"/>
  <c r="E145" i="145"/>
  <c r="M143" i="145"/>
  <c r="I142" i="145"/>
  <c r="E141" i="145"/>
  <c r="M139" i="145"/>
  <c r="H149" i="145"/>
  <c r="J147" i="145"/>
  <c r="B146" i="145"/>
  <c r="D144" i="145"/>
  <c r="F142" i="145"/>
  <c r="J140" i="145"/>
  <c r="F149" i="145"/>
  <c r="I147" i="145"/>
  <c r="M145" i="145"/>
  <c r="B144" i="145"/>
  <c r="E142" i="145"/>
  <c r="I140" i="145"/>
  <c r="D149" i="145"/>
  <c r="H147" i="145"/>
  <c r="L145" i="145"/>
  <c r="L143" i="145"/>
  <c r="D142" i="145"/>
  <c r="H140" i="145"/>
  <c r="C149" i="145"/>
  <c r="G147" i="145"/>
  <c r="K145" i="145"/>
  <c r="K143" i="145"/>
  <c r="C142" i="145"/>
  <c r="G140" i="145"/>
  <c r="B150" i="145"/>
  <c r="F147" i="145"/>
  <c r="B145" i="145"/>
  <c r="L142" i="145"/>
  <c r="D140" i="145"/>
  <c r="M149" i="145"/>
  <c r="E147" i="145"/>
  <c r="M144" i="145"/>
  <c r="J142" i="145"/>
  <c r="B140" i="145"/>
  <c r="L149" i="145"/>
  <c r="D147" i="145"/>
  <c r="L144" i="145"/>
  <c r="H142" i="145"/>
  <c r="L139" i="145"/>
  <c r="K149" i="145"/>
  <c r="C147" i="145"/>
  <c r="K144" i="145"/>
  <c r="G142" i="145"/>
  <c r="K139" i="145"/>
  <c r="B149" i="145"/>
  <c r="L146" i="145"/>
  <c r="J144" i="145"/>
  <c r="B142" i="145"/>
  <c r="J139" i="145"/>
  <c r="D150" i="145"/>
  <c r="F146" i="145"/>
  <c r="E143" i="145"/>
  <c r="G139" i="145"/>
  <c r="C150" i="145"/>
  <c r="E146" i="145"/>
  <c r="D143" i="145"/>
  <c r="F139" i="145"/>
  <c r="K148" i="145"/>
  <c r="H145" i="145"/>
  <c r="L141" i="145"/>
  <c r="M148" i="145"/>
  <c r="D146" i="145"/>
  <c r="C143" i="145"/>
  <c r="E139" i="145"/>
  <c r="C139" i="145"/>
  <c r="L148" i="145"/>
  <c r="C146" i="145"/>
  <c r="M141" i="145"/>
  <c r="D139" i="145"/>
  <c r="J148" i="145"/>
  <c r="F145" i="145"/>
  <c r="K141" i="145"/>
  <c r="E150" i="145"/>
  <c r="G146" i="145"/>
  <c r="F143" i="145"/>
  <c r="H139" i="145"/>
  <c r="H148" i="145"/>
  <c r="G143" i="145"/>
  <c r="G148" i="145"/>
  <c r="H141" i="145"/>
  <c r="D148" i="145"/>
  <c r="F141" i="145"/>
  <c r="B148" i="145"/>
  <c r="D141" i="145"/>
  <c r="L147" i="145"/>
  <c r="C141" i="145"/>
  <c r="K147" i="145"/>
  <c r="B141" i="145"/>
  <c r="L140" i="145"/>
  <c r="K140" i="145"/>
  <c r="C145" i="145"/>
  <c r="J146" i="145"/>
  <c r="M140" i="145"/>
  <c r="H146" i="145"/>
  <c r="D145" i="145"/>
  <c r="I139" i="145"/>
  <c r="G144" i="145"/>
  <c r="I148" i="145"/>
  <c r="I144" i="145"/>
  <c r="J143" i="145"/>
  <c r="I143" i="145"/>
  <c r="G150" i="145"/>
  <c r="F150" i="145"/>
  <c r="H143" i="145"/>
  <c r="L150" i="145"/>
  <c r="J150" i="145"/>
  <c r="H150" i="145"/>
  <c r="H144" i="145"/>
  <c r="K36" i="145"/>
  <c r="B38" i="145"/>
  <c r="I41" i="145"/>
  <c r="J39" i="145"/>
  <c r="J181" i="145"/>
  <c r="M183" i="145"/>
  <c r="F184" i="145"/>
  <c r="G190" i="145"/>
  <c r="L186" i="145"/>
  <c r="M190" i="145"/>
  <c r="C182" i="145"/>
  <c r="H191" i="145"/>
  <c r="J187" i="145"/>
  <c r="K41" i="145"/>
  <c r="K42" i="145"/>
  <c r="I44" i="145"/>
  <c r="H35" i="145"/>
  <c r="B45" i="145"/>
  <c r="C181" i="145"/>
  <c r="D189" i="145"/>
  <c r="D190" i="145"/>
  <c r="D187" i="145"/>
  <c r="G188" i="145"/>
  <c r="J182" i="145"/>
  <c r="J188" i="145"/>
  <c r="G181" i="145"/>
  <c r="G183" i="145"/>
  <c r="L192" i="145"/>
  <c r="B189" i="145"/>
  <c r="C44" i="145"/>
  <c r="M36" i="145"/>
  <c r="D40" i="145"/>
  <c r="F44" i="145"/>
  <c r="M34" i="145"/>
  <c r="L36" i="145"/>
  <c r="G34" i="145"/>
  <c r="F40" i="145"/>
  <c r="K191" i="145"/>
  <c r="D192" i="145"/>
  <c r="H185" i="145"/>
  <c r="K190" i="145"/>
  <c r="D183" i="145"/>
  <c r="K184" i="145"/>
  <c r="E182" i="145"/>
  <c r="F190" i="145"/>
  <c r="K13" i="145"/>
  <c r="J13" i="145"/>
  <c r="N13" i="145"/>
  <c r="J38" i="145"/>
  <c r="H42" i="145"/>
  <c r="M45" i="145"/>
  <c r="H36" i="145"/>
  <c r="K35" i="145"/>
  <c r="G45" i="145"/>
  <c r="K66" i="145"/>
  <c r="G65" i="145"/>
  <c r="C64" i="145"/>
  <c r="K62" i="145"/>
  <c r="C60" i="145"/>
  <c r="K58" i="145"/>
  <c r="C56" i="145"/>
  <c r="J66" i="145"/>
  <c r="F65" i="145"/>
  <c r="B64" i="145"/>
  <c r="J62" i="145"/>
  <c r="B60" i="145"/>
  <c r="J58" i="145"/>
  <c r="B56" i="145"/>
  <c r="H66" i="145"/>
  <c r="D65" i="145"/>
  <c r="L63" i="145"/>
  <c r="D61" i="145"/>
  <c r="L59" i="145"/>
  <c r="H58" i="145"/>
  <c r="L55" i="145"/>
  <c r="I66" i="145"/>
  <c r="M64" i="145"/>
  <c r="F63" i="145"/>
  <c r="K61" i="145"/>
  <c r="K56" i="145"/>
  <c r="D55" i="145"/>
  <c r="G66" i="145"/>
  <c r="L64" i="145"/>
  <c r="E63" i="145"/>
  <c r="J61" i="145"/>
  <c r="M59" i="145"/>
  <c r="J56" i="145"/>
  <c r="C55" i="145"/>
  <c r="F66" i="145"/>
  <c r="K64" i="145"/>
  <c r="D63" i="145"/>
  <c r="K59" i="145"/>
  <c r="I56" i="145"/>
  <c r="B55" i="145"/>
  <c r="E66" i="145"/>
  <c r="J64" i="145"/>
  <c r="C63" i="145"/>
  <c r="J59" i="145"/>
  <c r="C58" i="145"/>
  <c r="H56" i="145"/>
  <c r="C66" i="145"/>
  <c r="H64" i="145"/>
  <c r="M62" i="145"/>
  <c r="C61" i="145"/>
  <c r="M57" i="145"/>
  <c r="F56" i="145"/>
  <c r="L66" i="145"/>
  <c r="B65" i="145"/>
  <c r="G63" i="145"/>
  <c r="L61" i="145"/>
  <c r="L56" i="145"/>
  <c r="E55" i="145"/>
  <c r="H65" i="145"/>
  <c r="H57" i="145"/>
  <c r="E65" i="145"/>
  <c r="C65" i="145"/>
  <c r="E62" i="145"/>
  <c r="C57" i="145"/>
  <c r="I64" i="145"/>
  <c r="D62" i="145"/>
  <c r="B57" i="145"/>
  <c r="G64" i="145"/>
  <c r="C62" i="145"/>
  <c r="M56" i="145"/>
  <c r="F64" i="145"/>
  <c r="B62" i="145"/>
  <c r="G56" i="145"/>
  <c r="E61" i="145"/>
  <c r="B59" i="145"/>
  <c r="M63" i="145"/>
  <c r="M58" i="145"/>
  <c r="D66" i="145"/>
  <c r="K63" i="145"/>
  <c r="L58" i="145"/>
  <c r="K55" i="145"/>
  <c r="E64" i="145"/>
  <c r="M61" i="145"/>
  <c r="C59" i="145"/>
  <c r="E56" i="145"/>
  <c r="D64" i="145"/>
  <c r="D56" i="145"/>
  <c r="M66" i="145"/>
  <c r="B61" i="145"/>
  <c r="M55" i="145"/>
  <c r="M60" i="145"/>
  <c r="G55" i="145"/>
  <c r="L65" i="145"/>
  <c r="I58" i="145"/>
  <c r="I63" i="145"/>
  <c r="H63" i="145"/>
  <c r="J55" i="145"/>
  <c r="I55" i="145"/>
  <c r="L60" i="145"/>
  <c r="F55" i="145"/>
  <c r="K60" i="145"/>
  <c r="B66" i="145"/>
  <c r="M65" i="145"/>
  <c r="J63" i="145"/>
  <c r="J57" i="145"/>
  <c r="I57" i="145"/>
  <c r="B63" i="145"/>
  <c r="J60" i="145"/>
  <c r="K65" i="145"/>
  <c r="B58" i="145"/>
  <c r="J65" i="145"/>
  <c r="L57" i="145"/>
  <c r="I65" i="145"/>
  <c r="K57" i="145"/>
  <c r="L62" i="145"/>
  <c r="H55" i="145"/>
  <c r="G189" i="145"/>
  <c r="C185" i="145"/>
  <c r="B184" i="145"/>
  <c r="H181" i="145"/>
  <c r="B188" i="145"/>
  <c r="H192" i="145"/>
  <c r="F185" i="145"/>
  <c r="C186" i="145"/>
  <c r="I183" i="145"/>
  <c r="J191" i="145"/>
  <c r="H186" i="145"/>
  <c r="I40" i="145"/>
  <c r="K45" i="145"/>
  <c r="L43" i="145"/>
  <c r="B42" i="145"/>
  <c r="F45" i="145"/>
  <c r="K34" i="145"/>
  <c r="C38" i="145"/>
  <c r="H39" i="145"/>
  <c r="I37" i="145"/>
  <c r="F192" i="145"/>
  <c r="M187" i="145"/>
  <c r="I192" i="145"/>
  <c r="F186" i="145"/>
  <c r="F171" i="145"/>
  <c r="B170" i="145"/>
  <c r="J168" i="145"/>
  <c r="F167" i="145"/>
  <c r="B166" i="145"/>
  <c r="J164" i="145"/>
  <c r="F163" i="145"/>
  <c r="B162" i="145"/>
  <c r="J160" i="145"/>
  <c r="E171" i="145"/>
  <c r="M169" i="145"/>
  <c r="I168" i="145"/>
  <c r="E167" i="145"/>
  <c r="M165" i="145"/>
  <c r="I164" i="145"/>
  <c r="E163" i="145"/>
  <c r="M161" i="145"/>
  <c r="I160" i="145"/>
  <c r="C171" i="145"/>
  <c r="K169" i="145"/>
  <c r="G168" i="145"/>
  <c r="C167" i="145"/>
  <c r="K165" i="145"/>
  <c r="G164" i="145"/>
  <c r="C163" i="145"/>
  <c r="K161" i="145"/>
  <c r="G160" i="145"/>
  <c r="M170" i="145"/>
  <c r="I169" i="145"/>
  <c r="E168" i="145"/>
  <c r="M166" i="145"/>
  <c r="I165" i="145"/>
  <c r="E164" i="145"/>
  <c r="M162" i="145"/>
  <c r="I161" i="145"/>
  <c r="E160" i="145"/>
  <c r="J170" i="145"/>
  <c r="B169" i="145"/>
  <c r="D167" i="145"/>
  <c r="F165" i="145"/>
  <c r="J163" i="145"/>
  <c r="L161" i="145"/>
  <c r="B160" i="145"/>
  <c r="I170" i="145"/>
  <c r="M168" i="145"/>
  <c r="B167" i="145"/>
  <c r="E165" i="145"/>
  <c r="I163" i="145"/>
  <c r="J161" i="145"/>
  <c r="H170" i="145"/>
  <c r="L168" i="145"/>
  <c r="L166" i="145"/>
  <c r="D165" i="145"/>
  <c r="H163" i="145"/>
  <c r="H161" i="145"/>
  <c r="G170" i="145"/>
  <c r="K168" i="145"/>
  <c r="K166" i="145"/>
  <c r="C165" i="145"/>
  <c r="G163" i="145"/>
  <c r="G161" i="145"/>
  <c r="D171" i="145"/>
  <c r="H168" i="145"/>
  <c r="F166" i="145"/>
  <c r="B164" i="145"/>
  <c r="F161" i="145"/>
  <c r="B171" i="145"/>
  <c r="F168" i="145"/>
  <c r="E166" i="145"/>
  <c r="M163" i="145"/>
  <c r="E161" i="145"/>
  <c r="L170" i="145"/>
  <c r="D168" i="145"/>
  <c r="D166" i="145"/>
  <c r="L163" i="145"/>
  <c r="D161" i="145"/>
  <c r="K170" i="145"/>
  <c r="C168" i="145"/>
  <c r="C166" i="145"/>
  <c r="K163" i="145"/>
  <c r="C161" i="145"/>
  <c r="F170" i="145"/>
  <c r="B168" i="145"/>
  <c r="L165" i="145"/>
  <c r="D163" i="145"/>
  <c r="B161" i="145"/>
  <c r="E170" i="145"/>
  <c r="H167" i="145"/>
  <c r="C164" i="145"/>
  <c r="F160" i="145"/>
  <c r="D170" i="145"/>
  <c r="G167" i="145"/>
  <c r="B163" i="145"/>
  <c r="D160" i="145"/>
  <c r="J169" i="145"/>
  <c r="H166" i="145"/>
  <c r="C170" i="145"/>
  <c r="J166" i="145"/>
  <c r="L162" i="145"/>
  <c r="C160" i="145"/>
  <c r="L169" i="145"/>
  <c r="I166" i="145"/>
  <c r="K162" i="145"/>
  <c r="J162" i="145"/>
  <c r="H169" i="145"/>
  <c r="G166" i="145"/>
  <c r="I162" i="145"/>
  <c r="G169" i="145"/>
  <c r="G171" i="145"/>
  <c r="I167" i="145"/>
  <c r="D164" i="145"/>
  <c r="H160" i="145"/>
  <c r="L167" i="145"/>
  <c r="D162" i="145"/>
  <c r="K167" i="145"/>
  <c r="C162" i="145"/>
  <c r="J167" i="145"/>
  <c r="M160" i="145"/>
  <c r="J165" i="145"/>
  <c r="L160" i="145"/>
  <c r="H165" i="145"/>
  <c r="K160" i="145"/>
  <c r="M171" i="145"/>
  <c r="G165" i="145"/>
  <c r="M164" i="145"/>
  <c r="J171" i="145"/>
  <c r="I171" i="145"/>
  <c r="K164" i="145"/>
  <c r="L171" i="145"/>
  <c r="B165" i="145"/>
  <c r="K171" i="145"/>
  <c r="L164" i="145"/>
  <c r="M167" i="145"/>
  <c r="E169" i="145"/>
  <c r="H164" i="145"/>
  <c r="F164" i="145"/>
  <c r="G162" i="145"/>
  <c r="F162" i="145"/>
  <c r="E162" i="145"/>
  <c r="H171" i="145"/>
  <c r="F169" i="145"/>
  <c r="D169" i="145"/>
  <c r="H162" i="145"/>
  <c r="C169" i="145"/>
  <c r="F129" i="145"/>
  <c r="B128" i="145"/>
  <c r="J126" i="145"/>
  <c r="F125" i="145"/>
  <c r="E129" i="145"/>
  <c r="M127" i="145"/>
  <c r="I126" i="145"/>
  <c r="C129" i="145"/>
  <c r="K127" i="145"/>
  <c r="G126" i="145"/>
  <c r="C125" i="145"/>
  <c r="M128" i="145"/>
  <c r="I127" i="145"/>
  <c r="E126" i="145"/>
  <c r="M124" i="145"/>
  <c r="F128" i="145"/>
  <c r="H126" i="145"/>
  <c r="J124" i="145"/>
  <c r="F123" i="145"/>
  <c r="B122" i="145"/>
  <c r="J120" i="145"/>
  <c r="F119" i="145"/>
  <c r="M129" i="145"/>
  <c r="E128" i="145"/>
  <c r="F126" i="145"/>
  <c r="E123" i="145"/>
  <c r="M121" i="145"/>
  <c r="L129" i="145"/>
  <c r="D128" i="145"/>
  <c r="D126" i="145"/>
  <c r="D123" i="145"/>
  <c r="L121" i="145"/>
  <c r="K129" i="145"/>
  <c r="C128" i="145"/>
  <c r="C126" i="145"/>
  <c r="G124" i="145"/>
  <c r="C123" i="145"/>
  <c r="K121" i="145"/>
  <c r="J128" i="145"/>
  <c r="B126" i="145"/>
  <c r="B124" i="145"/>
  <c r="F122" i="145"/>
  <c r="G120" i="145"/>
  <c r="L118" i="145"/>
  <c r="I128" i="145"/>
  <c r="M125" i="145"/>
  <c r="M123" i="145"/>
  <c r="E122" i="145"/>
  <c r="F120" i="145"/>
  <c r="K118" i="145"/>
  <c r="H128" i="145"/>
  <c r="L125" i="145"/>
  <c r="L123" i="145"/>
  <c r="D122" i="145"/>
  <c r="G128" i="145"/>
  <c r="K125" i="145"/>
  <c r="K123" i="145"/>
  <c r="C122" i="145"/>
  <c r="I118" i="145"/>
  <c r="L127" i="145"/>
  <c r="J125" i="145"/>
  <c r="J123" i="145"/>
  <c r="J121" i="145"/>
  <c r="H118" i="145"/>
  <c r="D129" i="145"/>
  <c r="K122" i="145"/>
  <c r="B129" i="145"/>
  <c r="G125" i="145"/>
  <c r="J122" i="145"/>
  <c r="M119" i="145"/>
  <c r="J127" i="145"/>
  <c r="G122" i="145"/>
  <c r="J119" i="145"/>
  <c r="L128" i="145"/>
  <c r="I122" i="145"/>
  <c r="L119" i="145"/>
  <c r="K128" i="145"/>
  <c r="B125" i="145"/>
  <c r="H122" i="145"/>
  <c r="K119" i="145"/>
  <c r="L124" i="145"/>
  <c r="H127" i="145"/>
  <c r="K124" i="145"/>
  <c r="I119" i="145"/>
  <c r="G129" i="145"/>
  <c r="L122" i="145"/>
  <c r="K120" i="145"/>
  <c r="J129" i="145"/>
  <c r="I123" i="145"/>
  <c r="I129" i="145"/>
  <c r="H123" i="145"/>
  <c r="H129" i="145"/>
  <c r="G123" i="145"/>
  <c r="M118" i="145"/>
  <c r="G127" i="145"/>
  <c r="B123" i="145"/>
  <c r="J118" i="145"/>
  <c r="F127" i="145"/>
  <c r="M122" i="145"/>
  <c r="G118" i="145"/>
  <c r="E127" i="145"/>
  <c r="F118" i="145"/>
  <c r="F121" i="145"/>
  <c r="M126" i="145"/>
  <c r="D127" i="145"/>
  <c r="G121" i="145"/>
  <c r="C127" i="145"/>
  <c r="B127" i="145"/>
  <c r="M120" i="145"/>
  <c r="H119" i="145"/>
  <c r="G119" i="145"/>
  <c r="K126" i="145"/>
  <c r="F124" i="145"/>
  <c r="L120" i="145"/>
  <c r="L126" i="145"/>
  <c r="C124" i="145"/>
  <c r="F187" i="145"/>
  <c r="G184" i="145"/>
  <c r="H190" i="145"/>
  <c r="E181" i="145"/>
  <c r="C187" i="145"/>
  <c r="G187" i="145"/>
  <c r="M184" i="145"/>
  <c r="J34" i="145"/>
  <c r="J86" i="145"/>
  <c r="F85" i="145"/>
  <c r="B84" i="145"/>
  <c r="J82" i="145"/>
  <c r="B80" i="145"/>
  <c r="J78" i="145"/>
  <c r="F77" i="145"/>
  <c r="L87" i="145"/>
  <c r="H86" i="145"/>
  <c r="D85" i="145"/>
  <c r="L83" i="145"/>
  <c r="D81" i="145"/>
  <c r="L79" i="145"/>
  <c r="H78" i="145"/>
  <c r="B87" i="145"/>
  <c r="H85" i="145"/>
  <c r="M83" i="145"/>
  <c r="L80" i="145"/>
  <c r="F79" i="145"/>
  <c r="L77" i="145"/>
  <c r="G76" i="145"/>
  <c r="M86" i="145"/>
  <c r="G85" i="145"/>
  <c r="K83" i="145"/>
  <c r="E82" i="145"/>
  <c r="K80" i="145"/>
  <c r="E79" i="145"/>
  <c r="K77" i="145"/>
  <c r="F76" i="145"/>
  <c r="K86" i="145"/>
  <c r="C85" i="145"/>
  <c r="C79" i="145"/>
  <c r="D76" i="145"/>
  <c r="I86" i="145"/>
  <c r="B85" i="145"/>
  <c r="G86" i="145"/>
  <c r="I84" i="145"/>
  <c r="K82" i="145"/>
  <c r="K78" i="145"/>
  <c r="M76" i="145"/>
  <c r="F86" i="145"/>
  <c r="H84" i="145"/>
  <c r="I78" i="145"/>
  <c r="L76" i="145"/>
  <c r="E86" i="145"/>
  <c r="G84" i="145"/>
  <c r="G78" i="145"/>
  <c r="K76" i="145"/>
  <c r="D86" i="145"/>
  <c r="F84" i="145"/>
  <c r="D82" i="145"/>
  <c r="E80" i="145"/>
  <c r="F78" i="145"/>
  <c r="J76" i="145"/>
  <c r="M87" i="145"/>
  <c r="B86" i="145"/>
  <c r="D84" i="145"/>
  <c r="L81" i="145"/>
  <c r="C80" i="145"/>
  <c r="D78" i="145"/>
  <c r="L86" i="145"/>
  <c r="J84" i="145"/>
  <c r="L82" i="145"/>
  <c r="J80" i="145"/>
  <c r="L78" i="145"/>
  <c r="E87" i="145"/>
  <c r="M80" i="145"/>
  <c r="D87" i="145"/>
  <c r="D80" i="145"/>
  <c r="G77" i="145"/>
  <c r="C87" i="145"/>
  <c r="E83" i="145"/>
  <c r="M79" i="145"/>
  <c r="E77" i="145"/>
  <c r="C86" i="145"/>
  <c r="D83" i="145"/>
  <c r="K79" i="145"/>
  <c r="D77" i="145"/>
  <c r="M85" i="145"/>
  <c r="J79" i="145"/>
  <c r="L85" i="145"/>
  <c r="I79" i="145"/>
  <c r="J85" i="145"/>
  <c r="G79" i="145"/>
  <c r="I85" i="145"/>
  <c r="K81" i="145"/>
  <c r="E85" i="145"/>
  <c r="J81" i="145"/>
  <c r="B79" i="145"/>
  <c r="K85" i="145"/>
  <c r="M82" i="145"/>
  <c r="H79" i="145"/>
  <c r="E76" i="145"/>
  <c r="M81" i="145"/>
  <c r="D79" i="145"/>
  <c r="I87" i="145"/>
  <c r="M78" i="145"/>
  <c r="H87" i="145"/>
  <c r="J77" i="145"/>
  <c r="K84" i="145"/>
  <c r="E84" i="145"/>
  <c r="K87" i="145"/>
  <c r="C81" i="145"/>
  <c r="J87" i="145"/>
  <c r="B81" i="145"/>
  <c r="L84" i="145"/>
  <c r="C84" i="145"/>
  <c r="E81" i="145"/>
  <c r="G87" i="145"/>
  <c r="C78" i="145"/>
  <c r="F87" i="145"/>
  <c r="B78" i="145"/>
  <c r="M84" i="145"/>
  <c r="M77" i="145"/>
  <c r="J83" i="145"/>
  <c r="E78" i="145"/>
  <c r="E40" i="145"/>
  <c r="K38" i="145"/>
  <c r="G44" i="145"/>
  <c r="M39" i="145"/>
  <c r="L40" i="145"/>
  <c r="I43" i="145"/>
  <c r="I11" i="144"/>
  <c r="J11" i="144" s="1"/>
  <c r="I12" i="144"/>
  <c r="K12" i="144" s="1"/>
  <c r="F377" i="144" s="1"/>
  <c r="E104" i="144"/>
  <c r="J105" i="144"/>
  <c r="C102" i="144"/>
  <c r="D108" i="144"/>
  <c r="L107" i="144"/>
  <c r="D100" i="144"/>
  <c r="G99" i="144"/>
  <c r="E102" i="144"/>
  <c r="G107" i="144"/>
  <c r="K103" i="144"/>
  <c r="L98" i="144"/>
  <c r="B99" i="144"/>
  <c r="L99" i="144"/>
  <c r="G100" i="144"/>
  <c r="I106" i="144"/>
  <c r="D105" i="144"/>
  <c r="E103" i="144"/>
  <c r="B108" i="144"/>
  <c r="L104" i="144"/>
  <c r="D98" i="144"/>
  <c r="F97" i="144"/>
  <c r="E106" i="144"/>
  <c r="I99" i="144"/>
  <c r="J97" i="144"/>
  <c r="K105" i="144"/>
  <c r="J107" i="144"/>
  <c r="M103" i="144"/>
  <c r="D97" i="144"/>
  <c r="L97" i="144"/>
  <c r="F105" i="144"/>
  <c r="H108" i="144"/>
  <c r="E99" i="144"/>
  <c r="K106" i="144"/>
  <c r="N13" i="144"/>
  <c r="E401" i="144"/>
  <c r="J13" i="144"/>
  <c r="E385" i="144" s="1"/>
  <c r="K13" i="144"/>
  <c r="D385" i="144" s="1"/>
  <c r="K6" i="144"/>
  <c r="N6" i="144"/>
  <c r="A329" i="144" s="1"/>
  <c r="E394" i="144"/>
  <c r="J6" i="144"/>
  <c r="D377" i="144"/>
  <c r="N9" i="144"/>
  <c r="J9" i="144"/>
  <c r="E353" i="144" s="1"/>
  <c r="K9" i="144"/>
  <c r="E399" i="144"/>
  <c r="I10" i="144"/>
  <c r="E398" i="144" s="1"/>
  <c r="N11" i="144"/>
  <c r="B135" i="144" s="1"/>
  <c r="K11" i="144"/>
  <c r="D369" i="144" s="1"/>
  <c r="I8" i="144"/>
  <c r="E395" i="144"/>
  <c r="K7" i="144"/>
  <c r="F337" i="144" s="1"/>
  <c r="J7" i="144"/>
  <c r="C337" i="144" s="1"/>
  <c r="N7" i="144"/>
  <c r="F124" i="144"/>
  <c r="G97" i="144"/>
  <c r="G230" i="144"/>
  <c r="A246" i="144"/>
  <c r="C100" i="144"/>
  <c r="G229" i="144"/>
  <c r="A245" i="144"/>
  <c r="B102" i="144"/>
  <c r="D102" i="144"/>
  <c r="D122" i="144"/>
  <c r="K125" i="144"/>
  <c r="J129" i="144"/>
  <c r="L129" i="144"/>
  <c r="E119" i="144"/>
  <c r="H100" i="144"/>
  <c r="L56" i="144"/>
  <c r="L66" i="144"/>
  <c r="D64" i="144"/>
  <c r="F64" i="144"/>
  <c r="L64" i="144"/>
  <c r="G121" i="144"/>
  <c r="C122" i="144"/>
  <c r="G122" i="144"/>
  <c r="D126" i="144"/>
  <c r="A248" i="144"/>
  <c r="G232" i="144"/>
  <c r="G118" i="144"/>
  <c r="M44" i="144"/>
  <c r="I43" i="144"/>
  <c r="E42" i="144"/>
  <c r="M40" i="144"/>
  <c r="I39" i="144"/>
  <c r="E38" i="144"/>
  <c r="M36" i="144"/>
  <c r="I35" i="144"/>
  <c r="L44" i="144"/>
  <c r="H43" i="144"/>
  <c r="D42" i="144"/>
  <c r="L40" i="144"/>
  <c r="H39" i="144"/>
  <c r="D38" i="144"/>
  <c r="L36" i="144"/>
  <c r="H35" i="144"/>
  <c r="K44" i="144"/>
  <c r="G43" i="144"/>
  <c r="C42" i="144"/>
  <c r="K40" i="144"/>
  <c r="G39" i="144"/>
  <c r="C38" i="144"/>
  <c r="K36" i="144"/>
  <c r="G35" i="144"/>
  <c r="J44" i="144"/>
  <c r="F43" i="144"/>
  <c r="B42" i="144"/>
  <c r="J40" i="144"/>
  <c r="F39" i="144"/>
  <c r="B38" i="144"/>
  <c r="J36" i="144"/>
  <c r="F35" i="144"/>
  <c r="M45" i="144"/>
  <c r="I44" i="144"/>
  <c r="E43" i="144"/>
  <c r="M41" i="144"/>
  <c r="I40" i="144"/>
  <c r="E39" i="144"/>
  <c r="M37" i="144"/>
  <c r="I36" i="144"/>
  <c r="L45" i="144"/>
  <c r="H44" i="144"/>
  <c r="D43" i="144"/>
  <c r="L41" i="144"/>
  <c r="H40" i="144"/>
  <c r="D39" i="144"/>
  <c r="L37" i="144"/>
  <c r="H36" i="144"/>
  <c r="K45" i="144"/>
  <c r="G44" i="144"/>
  <c r="C43" i="144"/>
  <c r="K41" i="144"/>
  <c r="G40" i="144"/>
  <c r="C39" i="144"/>
  <c r="K37" i="144"/>
  <c r="G36" i="144"/>
  <c r="I45" i="144"/>
  <c r="E44" i="144"/>
  <c r="M42" i="144"/>
  <c r="I41" i="144"/>
  <c r="E40" i="144"/>
  <c r="M38" i="144"/>
  <c r="I37" i="144"/>
  <c r="M34" i="144"/>
  <c r="J45" i="144"/>
  <c r="B43" i="144"/>
  <c r="F40" i="144"/>
  <c r="J37" i="144"/>
  <c r="H42" i="144"/>
  <c r="H34" i="144"/>
  <c r="K38" i="144"/>
  <c r="F41" i="144"/>
  <c r="M43" i="144"/>
  <c r="H45" i="144"/>
  <c r="L42" i="144"/>
  <c r="D40" i="144"/>
  <c r="H37" i="144"/>
  <c r="L34" i="144"/>
  <c r="D45" i="144"/>
  <c r="G45" i="144"/>
  <c r="K42" i="144"/>
  <c r="C40" i="144"/>
  <c r="G37" i="144"/>
  <c r="K34" i="144"/>
  <c r="G41" i="144"/>
  <c r="F45" i="144"/>
  <c r="J42" i="144"/>
  <c r="B40" i="144"/>
  <c r="F37" i="144"/>
  <c r="J34" i="144"/>
  <c r="L39" i="144"/>
  <c r="C44" i="144"/>
  <c r="B44" i="144"/>
  <c r="E41" i="144"/>
  <c r="E45" i="144"/>
  <c r="I42" i="144"/>
  <c r="M39" i="144"/>
  <c r="I34" i="144"/>
  <c r="M35" i="144"/>
  <c r="C45" i="144"/>
  <c r="G42" i="144"/>
  <c r="K39" i="144"/>
  <c r="G34" i="144"/>
  <c r="B45" i="144"/>
  <c r="F42" i="144"/>
  <c r="J39" i="144"/>
  <c r="F34" i="144"/>
  <c r="J38" i="144"/>
  <c r="I38" i="144"/>
  <c r="F44" i="144"/>
  <c r="J41" i="144"/>
  <c r="B39" i="144"/>
  <c r="F36" i="144"/>
  <c r="D44" i="144"/>
  <c r="H41" i="144"/>
  <c r="L38" i="144"/>
  <c r="J43" i="144"/>
  <c r="B41" i="144"/>
  <c r="F38" i="144"/>
  <c r="J35" i="144"/>
  <c r="G38" i="144"/>
  <c r="L35" i="144"/>
  <c r="K35" i="144"/>
  <c r="C41" i="144"/>
  <c r="L43" i="144"/>
  <c r="K43" i="144"/>
  <c r="D41" i="144"/>
  <c r="H38" i="144"/>
  <c r="F226" i="144"/>
  <c r="P242" i="144"/>
  <c r="L118" i="144"/>
  <c r="J120" i="144"/>
  <c r="E126" i="144"/>
  <c r="I127" i="144"/>
  <c r="P248" i="144"/>
  <c r="P243" i="144"/>
  <c r="I108" i="144"/>
  <c r="H105" i="144"/>
  <c r="K102" i="144"/>
  <c r="J191" i="144"/>
  <c r="F190" i="144"/>
  <c r="B189" i="144"/>
  <c r="J187" i="144"/>
  <c r="F186" i="144"/>
  <c r="B185" i="144"/>
  <c r="J183" i="144"/>
  <c r="F182" i="144"/>
  <c r="B181" i="144"/>
  <c r="M192" i="144"/>
  <c r="I191" i="144"/>
  <c r="E190" i="144"/>
  <c r="M188" i="144"/>
  <c r="I187" i="144"/>
  <c r="E186" i="144"/>
  <c r="M184" i="144"/>
  <c r="I183" i="144"/>
  <c r="E182" i="144"/>
  <c r="K192" i="144"/>
  <c r="G191" i="144"/>
  <c r="C190" i="144"/>
  <c r="K188" i="144"/>
  <c r="G187" i="144"/>
  <c r="C186" i="144"/>
  <c r="K184" i="144"/>
  <c r="G183" i="144"/>
  <c r="C182" i="144"/>
  <c r="J192" i="144"/>
  <c r="F191" i="144"/>
  <c r="B190" i="144"/>
  <c r="J188" i="144"/>
  <c r="F187" i="144"/>
  <c r="B186" i="144"/>
  <c r="J184" i="144"/>
  <c r="F183" i="144"/>
  <c r="B182" i="144"/>
  <c r="I192" i="144"/>
  <c r="E191" i="144"/>
  <c r="M189" i="144"/>
  <c r="I188" i="144"/>
  <c r="E187" i="144"/>
  <c r="M185" i="144"/>
  <c r="I184" i="144"/>
  <c r="E183" i="144"/>
  <c r="M181" i="144"/>
  <c r="H192" i="144"/>
  <c r="D191" i="144"/>
  <c r="L189" i="144"/>
  <c r="H188" i="144"/>
  <c r="D187" i="144"/>
  <c r="L185" i="144"/>
  <c r="H184" i="144"/>
  <c r="D183" i="144"/>
  <c r="L181" i="144"/>
  <c r="K191" i="144"/>
  <c r="G190" i="144"/>
  <c r="C189" i="144"/>
  <c r="K187" i="144"/>
  <c r="G186" i="144"/>
  <c r="C185" i="144"/>
  <c r="K183" i="144"/>
  <c r="G182" i="144"/>
  <c r="C181" i="144"/>
  <c r="B192" i="144"/>
  <c r="H189" i="144"/>
  <c r="B187" i="144"/>
  <c r="L184" i="144"/>
  <c r="I182" i="144"/>
  <c r="L191" i="144"/>
  <c r="F189" i="144"/>
  <c r="L186" i="144"/>
  <c r="F184" i="144"/>
  <c r="D182" i="144"/>
  <c r="H191" i="144"/>
  <c r="E189" i="144"/>
  <c r="K186" i="144"/>
  <c r="E184" i="144"/>
  <c r="K181" i="144"/>
  <c r="B191" i="144"/>
  <c r="L188" i="144"/>
  <c r="I186" i="144"/>
  <c r="C184" i="144"/>
  <c r="I181" i="144"/>
  <c r="H190" i="144"/>
  <c r="C187" i="144"/>
  <c r="M183" i="144"/>
  <c r="D190" i="144"/>
  <c r="M186" i="144"/>
  <c r="L183" i="144"/>
  <c r="K189" i="144"/>
  <c r="J186" i="144"/>
  <c r="H183" i="144"/>
  <c r="L192" i="144"/>
  <c r="J189" i="144"/>
  <c r="H186" i="144"/>
  <c r="C183" i="144"/>
  <c r="G192" i="144"/>
  <c r="I189" i="144"/>
  <c r="D186" i="144"/>
  <c r="B183" i="144"/>
  <c r="F192" i="144"/>
  <c r="G189" i="144"/>
  <c r="K185" i="144"/>
  <c r="M182" i="144"/>
  <c r="E192" i="144"/>
  <c r="D189" i="144"/>
  <c r="J185" i="144"/>
  <c r="L182" i="144"/>
  <c r="C192" i="144"/>
  <c r="F188" i="144"/>
  <c r="H185" i="144"/>
  <c r="J182" i="144"/>
  <c r="D188" i="144"/>
  <c r="J181" i="144"/>
  <c r="L190" i="144"/>
  <c r="G184" i="144"/>
  <c r="J190" i="144"/>
  <c r="C188" i="144"/>
  <c r="H181" i="144"/>
  <c r="D181" i="144"/>
  <c r="B188" i="144"/>
  <c r="G181" i="144"/>
  <c r="M187" i="144"/>
  <c r="F181" i="144"/>
  <c r="H187" i="144"/>
  <c r="D185" i="144"/>
  <c r="K190" i="144"/>
  <c r="D184" i="144"/>
  <c r="I190" i="144"/>
  <c r="L187" i="144"/>
  <c r="E181" i="144"/>
  <c r="D192" i="144"/>
  <c r="I185" i="144"/>
  <c r="M191" i="144"/>
  <c r="G185" i="144"/>
  <c r="B184" i="144"/>
  <c r="C191" i="144"/>
  <c r="F185" i="144"/>
  <c r="M190" i="144"/>
  <c r="E185" i="144"/>
  <c r="E188" i="144"/>
  <c r="H182" i="144"/>
  <c r="G188" i="144"/>
  <c r="K182" i="144"/>
  <c r="L101" i="144"/>
  <c r="J100" i="144"/>
  <c r="L100" i="144"/>
  <c r="B101" i="144"/>
  <c r="E100" i="144"/>
  <c r="K118" i="144"/>
  <c r="E122" i="144"/>
  <c r="L125" i="144"/>
  <c r="M127" i="144"/>
  <c r="F127" i="144"/>
  <c r="B129" i="144"/>
  <c r="P241" i="144"/>
  <c r="F225" i="144"/>
  <c r="F227" i="144" s="1"/>
  <c r="P246" i="144"/>
  <c r="I118" i="144"/>
  <c r="B127" i="144"/>
  <c r="L123" i="144"/>
  <c r="J127" i="144"/>
  <c r="I128" i="144"/>
  <c r="I123" i="144"/>
  <c r="F120" i="144"/>
  <c r="F121" i="144"/>
  <c r="C120" i="144"/>
  <c r="D129" i="144"/>
  <c r="E127" i="144"/>
  <c r="D119" i="144"/>
  <c r="B121" i="144"/>
  <c r="J121" i="144"/>
  <c r="F123" i="144"/>
  <c r="B125" i="144"/>
  <c r="F118" i="144"/>
  <c r="E129" i="144"/>
  <c r="L120" i="144"/>
  <c r="I122" i="144"/>
  <c r="C123" i="144"/>
  <c r="K124" i="144"/>
  <c r="D128" i="144"/>
  <c r="M123" i="144"/>
  <c r="K127" i="144"/>
  <c r="K129" i="144"/>
  <c r="K128" i="144"/>
  <c r="J122" i="144"/>
  <c r="L58" i="144"/>
  <c r="D56" i="144"/>
  <c r="I64" i="144"/>
  <c r="B58" i="144"/>
  <c r="H128" i="144"/>
  <c r="I60" i="144"/>
  <c r="L102" i="144"/>
  <c r="J124" i="144"/>
  <c r="J104" i="144"/>
  <c r="J103" i="144"/>
  <c r="L103" i="144"/>
  <c r="M102" i="144"/>
  <c r="B122" i="144"/>
  <c r="J125" i="144"/>
  <c r="I129" i="144"/>
  <c r="C118" i="144"/>
  <c r="G120" i="144"/>
  <c r="B124" i="144"/>
  <c r="K58" i="144"/>
  <c r="H59" i="144"/>
  <c r="M56" i="144"/>
  <c r="M66" i="144"/>
  <c r="J65" i="144"/>
  <c r="B62" i="144"/>
  <c r="M58" i="144"/>
  <c r="M125" i="144"/>
  <c r="M128" i="144"/>
  <c r="L121" i="144"/>
  <c r="C125" i="144"/>
  <c r="B100" i="144"/>
  <c r="C106" i="144"/>
  <c r="M104" i="144"/>
  <c r="C105" i="144"/>
  <c r="E105" i="144"/>
  <c r="J123" i="144"/>
  <c r="H127" i="144"/>
  <c r="F119" i="144"/>
  <c r="H119" i="144"/>
  <c r="K121" i="144"/>
  <c r="F125" i="144"/>
  <c r="A242" i="144"/>
  <c r="B119" i="144"/>
  <c r="J118" i="144"/>
  <c r="D118" i="144"/>
  <c r="J98" i="144"/>
  <c r="D104" i="144"/>
  <c r="E107" i="144"/>
  <c r="D107" i="144"/>
  <c r="C107" i="144"/>
  <c r="B107" i="144"/>
  <c r="F107" i="144"/>
  <c r="K98" i="144"/>
  <c r="J101" i="144"/>
  <c r="L106" i="144"/>
  <c r="E101" i="144"/>
  <c r="D101" i="144"/>
  <c r="G98" i="144"/>
  <c r="F98" i="144"/>
  <c r="H107" i="144"/>
  <c r="F106" i="144"/>
  <c r="H106" i="144"/>
  <c r="J106" i="144"/>
  <c r="I105" i="144"/>
  <c r="G125" i="144"/>
  <c r="G129" i="144"/>
  <c r="M120" i="144"/>
  <c r="C121" i="144"/>
  <c r="D123" i="144"/>
  <c r="J149" i="144"/>
  <c r="F148" i="144"/>
  <c r="B147" i="144"/>
  <c r="J145" i="144"/>
  <c r="F144" i="144"/>
  <c r="B143" i="144"/>
  <c r="J141" i="144"/>
  <c r="F140" i="144"/>
  <c r="B139" i="144"/>
  <c r="M150" i="144"/>
  <c r="I149" i="144"/>
  <c r="E148" i="144"/>
  <c r="M146" i="144"/>
  <c r="I145" i="144"/>
  <c r="E144" i="144"/>
  <c r="M142" i="144"/>
  <c r="I141" i="144"/>
  <c r="K150" i="144"/>
  <c r="G149" i="144"/>
  <c r="C148" i="144"/>
  <c r="K146" i="144"/>
  <c r="G145" i="144"/>
  <c r="C144" i="144"/>
  <c r="J150" i="144"/>
  <c r="F149" i="144"/>
  <c r="I150" i="144"/>
  <c r="E149" i="144"/>
  <c r="M147" i="144"/>
  <c r="I146" i="144"/>
  <c r="E145" i="144"/>
  <c r="M143" i="144"/>
  <c r="H150" i="144"/>
  <c r="D149" i="144"/>
  <c r="L147" i="144"/>
  <c r="H146" i="144"/>
  <c r="D145" i="144"/>
  <c r="L143" i="144"/>
  <c r="H142" i="144"/>
  <c r="K149" i="144"/>
  <c r="G148" i="144"/>
  <c r="H149" i="144"/>
  <c r="F147" i="144"/>
  <c r="F145" i="144"/>
  <c r="G143" i="144"/>
  <c r="L141" i="144"/>
  <c r="E140" i="144"/>
  <c r="B149" i="144"/>
  <c r="D147" i="144"/>
  <c r="B145" i="144"/>
  <c r="E143" i="144"/>
  <c r="H141" i="144"/>
  <c r="C140" i="144"/>
  <c r="M148" i="144"/>
  <c r="C147" i="144"/>
  <c r="M144" i="144"/>
  <c r="D143" i="144"/>
  <c r="G141" i="144"/>
  <c r="B140" i="144"/>
  <c r="K148" i="144"/>
  <c r="J146" i="144"/>
  <c r="K144" i="144"/>
  <c r="L142" i="144"/>
  <c r="E141" i="144"/>
  <c r="L139" i="144"/>
  <c r="L150" i="144"/>
  <c r="K147" i="144"/>
  <c r="H145" i="144"/>
  <c r="J142" i="144"/>
  <c r="K140" i="144"/>
  <c r="G150" i="144"/>
  <c r="J147" i="144"/>
  <c r="C145" i="144"/>
  <c r="I142" i="144"/>
  <c r="J140" i="144"/>
  <c r="F150" i="144"/>
  <c r="I147" i="144"/>
  <c r="L144" i="144"/>
  <c r="G142" i="144"/>
  <c r="I140" i="144"/>
  <c r="E150" i="144"/>
  <c r="H147" i="144"/>
  <c r="J144" i="144"/>
  <c r="F142" i="144"/>
  <c r="H140" i="144"/>
  <c r="D150" i="144"/>
  <c r="G147" i="144"/>
  <c r="I144" i="144"/>
  <c r="E142" i="144"/>
  <c r="G140" i="144"/>
  <c r="C150" i="144"/>
  <c r="E147" i="144"/>
  <c r="H144" i="144"/>
  <c r="D142" i="144"/>
  <c r="D140" i="144"/>
  <c r="B150" i="144"/>
  <c r="L146" i="144"/>
  <c r="G144" i="144"/>
  <c r="C142" i="144"/>
  <c r="M139" i="144"/>
  <c r="L149" i="144"/>
  <c r="F146" i="144"/>
  <c r="B144" i="144"/>
  <c r="M141" i="144"/>
  <c r="J139" i="144"/>
  <c r="C149" i="144"/>
  <c r="K143" i="144"/>
  <c r="I139" i="144"/>
  <c r="D148" i="144"/>
  <c r="D141" i="144"/>
  <c r="B146" i="144"/>
  <c r="C141" i="144"/>
  <c r="B141" i="144"/>
  <c r="M140" i="144"/>
  <c r="L148" i="144"/>
  <c r="J143" i="144"/>
  <c r="H139" i="144"/>
  <c r="C143" i="144"/>
  <c r="J148" i="144"/>
  <c r="I143" i="144"/>
  <c r="G139" i="144"/>
  <c r="I148" i="144"/>
  <c r="H143" i="144"/>
  <c r="F139" i="144"/>
  <c r="D139" i="144"/>
  <c r="C146" i="144"/>
  <c r="L145" i="144"/>
  <c r="H148" i="144"/>
  <c r="F143" i="144"/>
  <c r="E139" i="144"/>
  <c r="M145" i="144"/>
  <c r="B148" i="144"/>
  <c r="K142" i="144"/>
  <c r="C139" i="144"/>
  <c r="G146" i="144"/>
  <c r="B142" i="144"/>
  <c r="E146" i="144"/>
  <c r="K141" i="144"/>
  <c r="D146" i="144"/>
  <c r="F141" i="144"/>
  <c r="M149" i="144"/>
  <c r="D144" i="144"/>
  <c r="K139" i="144"/>
  <c r="L140" i="144"/>
  <c r="K145" i="144"/>
  <c r="C57" i="144"/>
  <c r="H56" i="144"/>
  <c r="F369" i="144"/>
  <c r="E128" i="144"/>
  <c r="L126" i="144"/>
  <c r="E123" i="144"/>
  <c r="I126" i="144"/>
  <c r="E118" i="144"/>
  <c r="G123" i="144"/>
  <c r="L119" i="144"/>
  <c r="B123" i="144"/>
  <c r="M119" i="144"/>
  <c r="K119" i="144"/>
  <c r="M122" i="144"/>
  <c r="L124" i="144"/>
  <c r="J119" i="144"/>
  <c r="D127" i="144"/>
  <c r="K123" i="144"/>
  <c r="K126" i="144"/>
  <c r="M126" i="144"/>
  <c r="H123" i="144"/>
  <c r="B120" i="144"/>
  <c r="I119" i="144"/>
  <c r="M129" i="144"/>
  <c r="H126" i="144"/>
  <c r="G126" i="144"/>
  <c r="L122" i="144"/>
  <c r="B118" i="144"/>
  <c r="M124" i="144"/>
  <c r="M121" i="144"/>
  <c r="G128" i="144"/>
  <c r="A241" i="144"/>
  <c r="G225" i="144"/>
  <c r="G231" i="144"/>
  <c r="A247" i="144"/>
  <c r="L108" i="144"/>
  <c r="H63" i="144"/>
  <c r="H118" i="144"/>
  <c r="G108" i="144"/>
  <c r="F108" i="144"/>
  <c r="I107" i="144"/>
  <c r="M108" i="144"/>
  <c r="K107" i="144"/>
  <c r="M107" i="144"/>
  <c r="C108" i="144"/>
  <c r="M106" i="144"/>
  <c r="F62" i="144"/>
  <c r="C127" i="144"/>
  <c r="C119" i="144"/>
  <c r="H122" i="144"/>
  <c r="K122" i="144"/>
  <c r="B128" i="144"/>
  <c r="L63" i="144"/>
  <c r="D61" i="144"/>
  <c r="H58" i="144"/>
  <c r="J58" i="144"/>
  <c r="E369" i="144"/>
  <c r="C369" i="144"/>
  <c r="B106" i="144"/>
  <c r="J60" i="144"/>
  <c r="J108" i="144"/>
  <c r="G105" i="144"/>
  <c r="K104" i="144"/>
  <c r="K97" i="144"/>
  <c r="M97" i="144"/>
  <c r="E98" i="144"/>
  <c r="E108" i="144"/>
  <c r="C129" i="144"/>
  <c r="K120" i="144"/>
  <c r="G124" i="144"/>
  <c r="B126" i="144"/>
  <c r="F129" i="144"/>
  <c r="E55" i="144"/>
  <c r="E65" i="144"/>
  <c r="I62" i="144"/>
  <c r="M59" i="144"/>
  <c r="C62" i="144"/>
  <c r="B66" i="144"/>
  <c r="D103" i="144"/>
  <c r="J128" i="144"/>
  <c r="L57" i="144"/>
  <c r="L105" i="144"/>
  <c r="C66" i="144"/>
  <c r="M101" i="144"/>
  <c r="D99" i="144"/>
  <c r="F99" i="144"/>
  <c r="H99" i="144"/>
  <c r="J99" i="144"/>
  <c r="J56" i="144"/>
  <c r="M118" i="144"/>
  <c r="F122" i="144"/>
  <c r="C126" i="144"/>
  <c r="F126" i="144"/>
  <c r="G127" i="144"/>
  <c r="D106" i="144"/>
  <c r="I56" i="144"/>
  <c r="J66" i="144"/>
  <c r="B64" i="144"/>
  <c r="F61" i="144"/>
  <c r="H61" i="144"/>
  <c r="B65" i="144"/>
  <c r="L61" i="144"/>
  <c r="F171" i="144"/>
  <c r="B170" i="144"/>
  <c r="J168" i="144"/>
  <c r="F167" i="144"/>
  <c r="B166" i="144"/>
  <c r="J164" i="144"/>
  <c r="F163" i="144"/>
  <c r="B162" i="144"/>
  <c r="J160" i="144"/>
  <c r="E171" i="144"/>
  <c r="M169" i="144"/>
  <c r="I168" i="144"/>
  <c r="E167" i="144"/>
  <c r="M165" i="144"/>
  <c r="I164" i="144"/>
  <c r="E163" i="144"/>
  <c r="M161" i="144"/>
  <c r="I160" i="144"/>
  <c r="C171" i="144"/>
  <c r="K169" i="144"/>
  <c r="G168" i="144"/>
  <c r="C167" i="144"/>
  <c r="K165" i="144"/>
  <c r="G164" i="144"/>
  <c r="C163" i="144"/>
  <c r="K161" i="144"/>
  <c r="G160" i="144"/>
  <c r="B171" i="144"/>
  <c r="J169" i="144"/>
  <c r="F168" i="144"/>
  <c r="B167" i="144"/>
  <c r="J165" i="144"/>
  <c r="F164" i="144"/>
  <c r="B163" i="144"/>
  <c r="J161" i="144"/>
  <c r="F160" i="144"/>
  <c r="M170" i="144"/>
  <c r="I169" i="144"/>
  <c r="E168" i="144"/>
  <c r="M166" i="144"/>
  <c r="I165" i="144"/>
  <c r="E164" i="144"/>
  <c r="M162" i="144"/>
  <c r="I161" i="144"/>
  <c r="E160" i="144"/>
  <c r="L170" i="144"/>
  <c r="H169" i="144"/>
  <c r="D168" i="144"/>
  <c r="L166" i="144"/>
  <c r="H165" i="144"/>
  <c r="D164" i="144"/>
  <c r="L162" i="144"/>
  <c r="H161" i="144"/>
  <c r="D160" i="144"/>
  <c r="G171" i="144"/>
  <c r="C170" i="144"/>
  <c r="K168" i="144"/>
  <c r="G167" i="144"/>
  <c r="C166" i="144"/>
  <c r="K164" i="144"/>
  <c r="G163" i="144"/>
  <c r="C162" i="144"/>
  <c r="K160" i="144"/>
  <c r="I170" i="144"/>
  <c r="C168" i="144"/>
  <c r="D166" i="144"/>
  <c r="J163" i="144"/>
  <c r="D161" i="144"/>
  <c r="G170" i="144"/>
  <c r="M167" i="144"/>
  <c r="G165" i="144"/>
  <c r="H163" i="144"/>
  <c r="B161" i="144"/>
  <c r="F170" i="144"/>
  <c r="L167" i="144"/>
  <c r="F165" i="144"/>
  <c r="D163" i="144"/>
  <c r="M160" i="144"/>
  <c r="D170" i="144"/>
  <c r="J167" i="144"/>
  <c r="D165" i="144"/>
  <c r="J162" i="144"/>
  <c r="H160" i="144"/>
  <c r="J170" i="144"/>
  <c r="H167" i="144"/>
  <c r="C164" i="144"/>
  <c r="E161" i="144"/>
  <c r="H170" i="144"/>
  <c r="D167" i="144"/>
  <c r="B164" i="144"/>
  <c r="C161" i="144"/>
  <c r="E170" i="144"/>
  <c r="K166" i="144"/>
  <c r="M163" i="144"/>
  <c r="L160" i="144"/>
  <c r="L169" i="144"/>
  <c r="J166" i="144"/>
  <c r="L163" i="144"/>
  <c r="C160" i="144"/>
  <c r="G169" i="144"/>
  <c r="I166" i="144"/>
  <c r="K163" i="144"/>
  <c r="B160" i="144"/>
  <c r="F169" i="144"/>
  <c r="H166" i="144"/>
  <c r="I163" i="144"/>
  <c r="E169" i="144"/>
  <c r="G166" i="144"/>
  <c r="K162" i="144"/>
  <c r="M171" i="144"/>
  <c r="C169" i="144"/>
  <c r="E166" i="144"/>
  <c r="H162" i="144"/>
  <c r="M168" i="144"/>
  <c r="F162" i="144"/>
  <c r="I167" i="144"/>
  <c r="I171" i="144"/>
  <c r="B165" i="144"/>
  <c r="M164" i="144"/>
  <c r="L168" i="144"/>
  <c r="E162" i="144"/>
  <c r="L164" i="144"/>
  <c r="H168" i="144"/>
  <c r="D162" i="144"/>
  <c r="B168" i="144"/>
  <c r="L161" i="144"/>
  <c r="F161" i="144"/>
  <c r="K170" i="144"/>
  <c r="K167" i="144"/>
  <c r="G161" i="144"/>
  <c r="F166" i="144"/>
  <c r="L171" i="144"/>
  <c r="L165" i="144"/>
  <c r="H171" i="144"/>
  <c r="H164" i="144"/>
  <c r="K171" i="144"/>
  <c r="E165" i="144"/>
  <c r="J171" i="144"/>
  <c r="C165" i="144"/>
  <c r="D171" i="144"/>
  <c r="B169" i="144"/>
  <c r="G162" i="144"/>
  <c r="D169" i="144"/>
  <c r="I162" i="144"/>
  <c r="F128" i="144"/>
  <c r="H129" i="144"/>
  <c r="G119" i="144"/>
  <c r="F100" i="144"/>
  <c r="D55" i="144"/>
  <c r="P245" i="144"/>
  <c r="E63" i="144"/>
  <c r="K99" i="144"/>
  <c r="C99" i="144"/>
  <c r="I100" i="144"/>
  <c r="K100" i="144"/>
  <c r="M100" i="144"/>
  <c r="C101" i="144"/>
  <c r="C124" i="144"/>
  <c r="L127" i="144"/>
  <c r="C128" i="144"/>
  <c r="L128" i="144"/>
  <c r="M57" i="144"/>
  <c r="H55" i="144"/>
  <c r="G65" i="144"/>
  <c r="K62" i="144"/>
  <c r="M62" i="144"/>
  <c r="M61" i="144"/>
  <c r="K61" i="144"/>
  <c r="I8" i="2"/>
  <c r="A241" i="2"/>
  <c r="I10" i="2"/>
  <c r="E398" i="2" s="1"/>
  <c r="C123" i="2"/>
  <c r="A248" i="2"/>
  <c r="I7" i="2"/>
  <c r="J7" i="2" s="1"/>
  <c r="C337" i="2" s="1"/>
  <c r="F226" i="2"/>
  <c r="I13" i="2"/>
  <c r="N13" i="2" s="1"/>
  <c r="N11" i="2"/>
  <c r="K11" i="2"/>
  <c r="F369" i="2" s="1"/>
  <c r="E399" i="2"/>
  <c r="I9" i="2"/>
  <c r="J11" i="2"/>
  <c r="C369" i="2" s="1"/>
  <c r="I6" i="2"/>
  <c r="E394" i="2" s="1"/>
  <c r="I12" i="2"/>
  <c r="J12" i="2" s="1"/>
  <c r="K7" i="2"/>
  <c r="D337" i="2" s="1"/>
  <c r="D106" i="143"/>
  <c r="B105" i="143"/>
  <c r="M62" i="141"/>
  <c r="I190" i="141"/>
  <c r="B166" i="133"/>
  <c r="K80" i="133"/>
  <c r="G101" i="125"/>
  <c r="I105" i="125"/>
  <c r="G254" i="121"/>
  <c r="E151" i="123"/>
  <c r="M153" i="123"/>
  <c r="M149" i="123"/>
  <c r="B147" i="123"/>
  <c r="J151" i="123"/>
  <c r="B150" i="123"/>
  <c r="L148" i="123"/>
  <c r="F147" i="123"/>
  <c r="M50" i="117"/>
  <c r="B231" i="141"/>
  <c r="I112" i="143"/>
  <c r="K30" i="140"/>
  <c r="H230" i="141"/>
  <c r="L234" i="141"/>
  <c r="F69" i="135"/>
  <c r="G185" i="129"/>
  <c r="J50" i="143"/>
  <c r="C47" i="143"/>
  <c r="J43" i="143"/>
  <c r="G206" i="139"/>
  <c r="L237" i="141"/>
  <c r="H191" i="135"/>
  <c r="B88" i="133"/>
  <c r="D103" i="125"/>
  <c r="B72" i="135"/>
  <c r="C263" i="121"/>
  <c r="G152" i="129"/>
  <c r="G153" i="129"/>
  <c r="C152" i="129"/>
  <c r="D150" i="129"/>
  <c r="I148" i="129"/>
  <c r="D148" i="129"/>
  <c r="D155" i="129"/>
  <c r="I152" i="129"/>
  <c r="K149" i="129"/>
  <c r="E149" i="129"/>
  <c r="B152" i="129"/>
  <c r="B155" i="129"/>
  <c r="E153" i="129"/>
  <c r="H147" i="129"/>
  <c r="B150" i="129"/>
  <c r="H152" i="129"/>
  <c r="F152" i="129"/>
  <c r="I147" i="129"/>
  <c r="D147" i="129"/>
  <c r="G258" i="121"/>
  <c r="G8" i="133"/>
  <c r="E522" i="121"/>
  <c r="J16" i="121"/>
  <c r="J133" i="121"/>
  <c r="M126" i="121"/>
  <c r="H135" i="121"/>
  <c r="D128" i="121"/>
  <c r="J131" i="121"/>
  <c r="H130" i="121"/>
  <c r="J126" i="121"/>
  <c r="G135" i="121"/>
  <c r="K134" i="121"/>
  <c r="H131" i="121"/>
  <c r="G129" i="121"/>
  <c r="K135" i="121"/>
  <c r="G127" i="121"/>
  <c r="C135" i="121"/>
  <c r="M128" i="121"/>
  <c r="B131" i="121"/>
  <c r="D134" i="121"/>
  <c r="I137" i="121"/>
  <c r="M133" i="121"/>
  <c r="E136" i="121"/>
  <c r="B128" i="121"/>
  <c r="B86" i="133"/>
  <c r="G195" i="135"/>
  <c r="C191" i="135"/>
  <c r="F193" i="135"/>
  <c r="B192" i="135"/>
  <c r="F190" i="135"/>
  <c r="M196" i="135"/>
  <c r="E190" i="135"/>
  <c r="E189" i="135"/>
  <c r="H193" i="135"/>
  <c r="F324" i="123"/>
  <c r="K254" i="121"/>
  <c r="K259" i="121"/>
  <c r="H92" i="119"/>
  <c r="H93" i="119"/>
  <c r="E91" i="119"/>
  <c r="D84" i="119"/>
  <c r="E87" i="119"/>
  <c r="L91" i="119"/>
  <c r="L93" i="119"/>
  <c r="B89" i="119"/>
  <c r="D88" i="119"/>
  <c r="L83" i="119"/>
  <c r="F85" i="119"/>
  <c r="L88" i="119"/>
  <c r="M83" i="119"/>
  <c r="G86" i="119"/>
  <c r="D90" i="119"/>
  <c r="H82" i="119"/>
  <c r="I83" i="119"/>
  <c r="I86" i="119"/>
  <c r="K93" i="119"/>
  <c r="D85" i="119"/>
  <c r="J84" i="119"/>
  <c r="E85" i="119"/>
  <c r="H84" i="119"/>
  <c r="B83" i="119"/>
  <c r="L87" i="119"/>
  <c r="C92" i="119"/>
  <c r="D86" i="119"/>
  <c r="H87" i="119"/>
  <c r="D89" i="119"/>
  <c r="M93" i="119"/>
  <c r="G84" i="119"/>
  <c r="C84" i="119"/>
  <c r="K82" i="119"/>
  <c r="D46" i="117"/>
  <c r="E171" i="133"/>
  <c r="E170" i="133"/>
  <c r="J165" i="133"/>
  <c r="H172" i="133"/>
  <c r="J174" i="133"/>
  <c r="D171" i="133"/>
  <c r="C167" i="133"/>
  <c r="L82" i="119"/>
  <c r="F233" i="141"/>
  <c r="M233" i="141"/>
  <c r="L232" i="141"/>
  <c r="B233" i="141"/>
  <c r="J230" i="141"/>
  <c r="G236" i="141"/>
  <c r="E233" i="141"/>
  <c r="G232" i="141"/>
  <c r="F232" i="141"/>
  <c r="D234" i="141"/>
  <c r="M237" i="141"/>
  <c r="M232" i="141"/>
  <c r="D239" i="141"/>
  <c r="M195" i="141"/>
  <c r="K192" i="141"/>
  <c r="H175" i="133"/>
  <c r="F73" i="135"/>
  <c r="L68" i="135"/>
  <c r="J70" i="135"/>
  <c r="I73" i="135"/>
  <c r="L72" i="135"/>
  <c r="E70" i="135"/>
  <c r="K69" i="135"/>
  <c r="L65" i="135"/>
  <c r="K66" i="135"/>
  <c r="G73" i="135"/>
  <c r="M67" i="135"/>
  <c r="E198" i="141"/>
  <c r="I196" i="141"/>
  <c r="J192" i="141"/>
  <c r="G193" i="141"/>
  <c r="F194" i="141"/>
  <c r="D191" i="141"/>
  <c r="E196" i="141"/>
  <c r="H95" i="135"/>
  <c r="G64" i="135"/>
  <c r="C259" i="121"/>
  <c r="M263" i="121"/>
  <c r="E155" i="115"/>
  <c r="I153" i="115"/>
  <c r="C152" i="115"/>
  <c r="F148" i="115"/>
  <c r="J149" i="115"/>
  <c r="C156" i="115"/>
  <c r="B152" i="115"/>
  <c r="I149" i="115"/>
  <c r="B151" i="115"/>
  <c r="K155" i="115"/>
  <c r="G9" i="121"/>
  <c r="L214" i="123"/>
  <c r="H215" i="123"/>
  <c r="I92" i="119"/>
  <c r="F100" i="143"/>
  <c r="C111" i="143"/>
  <c r="I104" i="143"/>
  <c r="E253" i="121"/>
  <c r="C47" i="117"/>
  <c r="H49" i="117"/>
  <c r="F51" i="117"/>
  <c r="B45" i="117"/>
  <c r="C49" i="117"/>
  <c r="L46" i="117"/>
  <c r="J47" i="117"/>
  <c r="H47" i="117"/>
  <c r="H45" i="117"/>
  <c r="B46" i="117"/>
  <c r="M44" i="117"/>
  <c r="H40" i="117"/>
  <c r="D44" i="117"/>
  <c r="F42" i="117"/>
  <c r="L41" i="117"/>
  <c r="J51" i="117"/>
  <c r="J40" i="117"/>
  <c r="M43" i="117"/>
  <c r="E51" i="117"/>
  <c r="I51" i="117"/>
  <c r="F47" i="117"/>
  <c r="I48" i="117"/>
  <c r="L49" i="117"/>
  <c r="M51" i="117"/>
  <c r="H43" i="117"/>
  <c r="C51" i="117"/>
  <c r="M47" i="117"/>
  <c r="B49" i="117"/>
  <c r="I46" i="117"/>
  <c r="K49" i="117"/>
  <c r="H44" i="117"/>
  <c r="H46" i="117"/>
  <c r="E45" i="117"/>
  <c r="G48" i="117"/>
  <c r="I42" i="117"/>
  <c r="K51" i="117"/>
  <c r="L51" i="117"/>
  <c r="L44" i="117"/>
  <c r="K45" i="117"/>
  <c r="H51" i="117"/>
  <c r="K48" i="117"/>
  <c r="G44" i="117"/>
  <c r="L47" i="117"/>
  <c r="F45" i="117"/>
  <c r="J49" i="117"/>
  <c r="C46" i="117"/>
  <c r="E48" i="117"/>
  <c r="F40" i="117"/>
  <c r="C44" i="117"/>
  <c r="I50" i="117"/>
  <c r="G41" i="117"/>
  <c r="L50" i="117"/>
  <c r="G42" i="117"/>
  <c r="I47" i="117"/>
  <c r="F41" i="117"/>
  <c r="D240" i="141"/>
  <c r="K234" i="141"/>
  <c r="F76" i="133"/>
  <c r="L87" i="133"/>
  <c r="K84" i="133"/>
  <c r="C86" i="133"/>
  <c r="F82" i="133"/>
  <c r="B89" i="133"/>
  <c r="L84" i="133"/>
  <c r="F104" i="143"/>
  <c r="E229" i="141"/>
  <c r="G231" i="141"/>
  <c r="F105" i="143"/>
  <c r="G235" i="141"/>
  <c r="B195" i="141"/>
  <c r="G90" i="133"/>
  <c r="F89" i="133"/>
  <c r="D95" i="135"/>
  <c r="L74" i="135"/>
  <c r="H256" i="121"/>
  <c r="B262" i="121"/>
  <c r="K191" i="141"/>
  <c r="L236" i="141"/>
  <c r="B187" i="141"/>
  <c r="F88" i="135"/>
  <c r="D64" i="135"/>
  <c r="G200" i="135"/>
  <c r="G114" i="143"/>
  <c r="B215" i="139"/>
  <c r="I233" i="141"/>
  <c r="G191" i="141"/>
  <c r="F132" i="139"/>
  <c r="M133" i="139"/>
  <c r="G127" i="139"/>
  <c r="B232" i="141"/>
  <c r="J164" i="133"/>
  <c r="F83" i="133"/>
  <c r="H71" i="135"/>
  <c r="K35" i="126"/>
  <c r="I191" i="135"/>
  <c r="K153" i="123"/>
  <c r="F252" i="121"/>
  <c r="G113" i="143"/>
  <c r="F240" i="141"/>
  <c r="G233" i="141"/>
  <c r="F235" i="141"/>
  <c r="D198" i="141"/>
  <c r="D208" i="143"/>
  <c r="C213" i="143"/>
  <c r="H217" i="143"/>
  <c r="E209" i="143"/>
  <c r="B126" i="143"/>
  <c r="G132" i="143"/>
  <c r="J49" i="143"/>
  <c r="J109" i="143"/>
  <c r="F103" i="143"/>
  <c r="M108" i="139"/>
  <c r="M187" i="143"/>
  <c r="G198" i="143"/>
  <c r="I189" i="143"/>
  <c r="H207" i="139"/>
  <c r="B230" i="141"/>
  <c r="G229" i="141"/>
  <c r="M238" i="141"/>
  <c r="M187" i="141"/>
  <c r="L195" i="141"/>
  <c r="B235" i="141"/>
  <c r="G193" i="135"/>
  <c r="K48" i="139"/>
  <c r="H14" i="131"/>
  <c r="I165" i="133"/>
  <c r="H80" i="133"/>
  <c r="J145" i="139"/>
  <c r="M143" i="139"/>
  <c r="G143" i="139"/>
  <c r="M150" i="139"/>
  <c r="D153" i="139"/>
  <c r="J152" i="139"/>
  <c r="I152" i="139"/>
  <c r="D151" i="139"/>
  <c r="F143" i="139"/>
  <c r="J154" i="139"/>
  <c r="H145" i="139"/>
  <c r="E154" i="139"/>
  <c r="H152" i="139"/>
  <c r="F153" i="139"/>
  <c r="J147" i="139"/>
  <c r="L147" i="139"/>
  <c r="K32" i="132"/>
  <c r="D150" i="139"/>
  <c r="J144" i="139"/>
  <c r="G147" i="129"/>
  <c r="K148" i="129"/>
  <c r="B93" i="121"/>
  <c r="H86" i="121"/>
  <c r="L93" i="121"/>
  <c r="B92" i="121"/>
  <c r="M85" i="121"/>
  <c r="E85" i="121"/>
  <c r="F90" i="121"/>
  <c r="D91" i="121"/>
  <c r="M89" i="121"/>
  <c r="I94" i="121"/>
  <c r="I89" i="121"/>
  <c r="B89" i="121"/>
  <c r="C94" i="121"/>
  <c r="C88" i="121"/>
  <c r="E91" i="121"/>
  <c r="H89" i="121"/>
  <c r="J87" i="121"/>
  <c r="E92" i="121"/>
  <c r="B86" i="121"/>
  <c r="J88" i="121"/>
  <c r="J94" i="121"/>
  <c r="F86" i="121"/>
  <c r="G90" i="121"/>
  <c r="D84" i="121"/>
  <c r="E93" i="121"/>
  <c r="I95" i="121"/>
  <c r="F88" i="121"/>
  <c r="G95" i="121"/>
  <c r="K88" i="121"/>
  <c r="E94" i="121"/>
  <c r="G84" i="121"/>
  <c r="B84" i="121"/>
  <c r="C85" i="121"/>
  <c r="G85" i="121"/>
  <c r="M92" i="121"/>
  <c r="B95" i="121"/>
  <c r="C93" i="121"/>
  <c r="E90" i="121"/>
  <c r="B94" i="121"/>
  <c r="G92" i="121"/>
  <c r="I88" i="121"/>
  <c r="M88" i="121"/>
  <c r="D92" i="121"/>
  <c r="G89" i="121"/>
  <c r="K84" i="121"/>
  <c r="C95" i="121"/>
  <c r="L92" i="121"/>
  <c r="C90" i="121"/>
  <c r="M94" i="121"/>
  <c r="I84" i="121"/>
  <c r="D93" i="121"/>
  <c r="L88" i="121"/>
  <c r="D88" i="121"/>
  <c r="F89" i="121"/>
  <c r="C84" i="121"/>
  <c r="L91" i="121"/>
  <c r="D86" i="121"/>
  <c r="C86" i="121"/>
  <c r="K86" i="121"/>
  <c r="M90" i="121"/>
  <c r="D89" i="121"/>
  <c r="L84" i="121"/>
  <c r="E84" i="121"/>
  <c r="L94" i="121"/>
  <c r="C87" i="121"/>
  <c r="F85" i="121"/>
  <c r="B120" i="125"/>
  <c r="B122" i="125"/>
  <c r="D254" i="121"/>
  <c r="J194" i="135"/>
  <c r="H153" i="123"/>
  <c r="C42" i="127"/>
  <c r="D42" i="127"/>
  <c r="G40" i="127"/>
  <c r="J36" i="127"/>
  <c r="B40" i="127"/>
  <c r="F36" i="127"/>
  <c r="F40" i="127"/>
  <c r="C38" i="127"/>
  <c r="F41" i="127"/>
  <c r="G39" i="127"/>
  <c r="B42" i="127"/>
  <c r="K38" i="127"/>
  <c r="H35" i="127"/>
  <c r="B38" i="127"/>
  <c r="J38" i="127"/>
  <c r="D43" i="127"/>
  <c r="I41" i="127"/>
  <c r="I43" i="127"/>
  <c r="F39" i="127"/>
  <c r="K34" i="127"/>
  <c r="C40" i="127"/>
  <c r="H41" i="127"/>
  <c r="I34" i="127"/>
  <c r="K36" i="127"/>
  <c r="K35" i="127"/>
  <c r="H34" i="127"/>
  <c r="K41" i="127"/>
  <c r="G41" i="127"/>
  <c r="G34" i="127"/>
  <c r="D40" i="127"/>
  <c r="E42" i="127"/>
  <c r="K42" i="127"/>
  <c r="B135" i="121"/>
  <c r="I252" i="121"/>
  <c r="D107" i="143"/>
  <c r="B259" i="121"/>
  <c r="H164" i="133"/>
  <c r="E86" i="133"/>
  <c r="G104" i="143"/>
  <c r="D194" i="135"/>
  <c r="D259" i="121"/>
  <c r="D192" i="135"/>
  <c r="F66" i="141"/>
  <c r="E240" i="141"/>
  <c r="D164" i="133"/>
  <c r="E155" i="129"/>
  <c r="H263" i="121"/>
  <c r="H68" i="117"/>
  <c r="H72" i="117"/>
  <c r="K71" i="117"/>
  <c r="H71" i="117"/>
  <c r="L68" i="117"/>
  <c r="G70" i="117"/>
  <c r="L61" i="117"/>
  <c r="K61" i="117"/>
  <c r="G137" i="121"/>
  <c r="L215" i="143"/>
  <c r="K215" i="143"/>
  <c r="K208" i="143"/>
  <c r="J217" i="143"/>
  <c r="E126" i="143"/>
  <c r="H135" i="143"/>
  <c r="F51" i="143"/>
  <c r="D104" i="143"/>
  <c r="J108" i="143"/>
  <c r="H64" i="141"/>
  <c r="L101" i="139"/>
  <c r="L195" i="143"/>
  <c r="C190" i="143"/>
  <c r="B214" i="139"/>
  <c r="J150" i="141"/>
  <c r="I234" i="141"/>
  <c r="E239" i="141"/>
  <c r="G197" i="141"/>
  <c r="J198" i="141"/>
  <c r="F229" i="141"/>
  <c r="E196" i="135"/>
  <c r="L48" i="139"/>
  <c r="K37" i="140"/>
  <c r="K168" i="133"/>
  <c r="L85" i="133"/>
  <c r="B85" i="133"/>
  <c r="H154" i="139"/>
  <c r="H69" i="135"/>
  <c r="J147" i="129"/>
  <c r="E154" i="129"/>
  <c r="M252" i="121"/>
  <c r="F189" i="135"/>
  <c r="F231" i="119"/>
  <c r="M238" i="119"/>
  <c r="D236" i="119"/>
  <c r="B239" i="119"/>
  <c r="C234" i="119"/>
  <c r="I237" i="119"/>
  <c r="I234" i="119"/>
  <c r="M236" i="119"/>
  <c r="H238" i="119"/>
  <c r="E238" i="119"/>
  <c r="B233" i="119"/>
  <c r="B232" i="119"/>
  <c r="B231" i="119"/>
  <c r="H236" i="119"/>
  <c r="J229" i="119"/>
  <c r="F229" i="119"/>
  <c r="H237" i="119"/>
  <c r="L234" i="119"/>
  <c r="G239" i="119"/>
  <c r="H240" i="119"/>
  <c r="K230" i="119"/>
  <c r="J231" i="119"/>
  <c r="G229" i="119"/>
  <c r="B237" i="119"/>
  <c r="G237" i="119"/>
  <c r="C232" i="119"/>
  <c r="K233" i="119"/>
  <c r="C230" i="119"/>
  <c r="B240" i="119"/>
  <c r="H229" i="119"/>
  <c r="J230" i="119"/>
  <c r="K240" i="119"/>
  <c r="J240" i="119"/>
  <c r="K239" i="119"/>
  <c r="F237" i="119"/>
  <c r="F240" i="119"/>
  <c r="L235" i="119"/>
  <c r="K231" i="119"/>
  <c r="F239" i="119"/>
  <c r="D238" i="119"/>
  <c r="D235" i="119"/>
  <c r="K236" i="119"/>
  <c r="B238" i="119"/>
  <c r="G236" i="119"/>
  <c r="G230" i="119"/>
  <c r="G233" i="119"/>
  <c r="J236" i="119"/>
  <c r="D233" i="119"/>
  <c r="E237" i="119"/>
  <c r="F233" i="119"/>
  <c r="M237" i="119"/>
  <c r="J234" i="119"/>
  <c r="G232" i="119"/>
  <c r="D229" i="119"/>
  <c r="K238" i="119"/>
  <c r="E235" i="119"/>
  <c r="H231" i="119"/>
  <c r="M235" i="119"/>
  <c r="I232" i="119"/>
  <c r="K229" i="119"/>
  <c r="C237" i="119"/>
  <c r="D234" i="119"/>
  <c r="M229" i="119"/>
  <c r="L237" i="119"/>
  <c r="H234" i="119"/>
  <c r="L238" i="119"/>
  <c r="F217" i="143"/>
  <c r="C217" i="143"/>
  <c r="H42" i="143"/>
  <c r="F209" i="143"/>
  <c r="G124" i="143"/>
  <c r="C45" i="143"/>
  <c r="F106" i="143"/>
  <c r="H72" i="141"/>
  <c r="M193" i="143"/>
  <c r="D187" i="143"/>
  <c r="E189" i="143"/>
  <c r="D193" i="143"/>
  <c r="E192" i="143"/>
  <c r="K191" i="143"/>
  <c r="I191" i="143"/>
  <c r="D188" i="143"/>
  <c r="F101" i="139"/>
  <c r="J193" i="143"/>
  <c r="M152" i="141"/>
  <c r="D237" i="141"/>
  <c r="J234" i="141"/>
  <c r="K190" i="141"/>
  <c r="I187" i="141"/>
  <c r="D229" i="141"/>
  <c r="H200" i="135"/>
  <c r="B46" i="139"/>
  <c r="G167" i="133"/>
  <c r="D87" i="133"/>
  <c r="J151" i="139"/>
  <c r="B71" i="135"/>
  <c r="B153" i="129"/>
  <c r="B151" i="129"/>
  <c r="J213" i="123"/>
  <c r="I255" i="121"/>
  <c r="E332" i="129"/>
  <c r="J10" i="129"/>
  <c r="K12" i="121"/>
  <c r="N12" i="121"/>
  <c r="A463" i="121" s="1"/>
  <c r="C240" i="119"/>
  <c r="K229" i="141"/>
  <c r="H233" i="141"/>
  <c r="H107" i="143"/>
  <c r="K197" i="141"/>
  <c r="E47" i="143"/>
  <c r="J105" i="143"/>
  <c r="C219" i="143"/>
  <c r="G217" i="143"/>
  <c r="F218" i="143"/>
  <c r="J218" i="143"/>
  <c r="M212" i="143"/>
  <c r="B210" i="143"/>
  <c r="K210" i="143"/>
  <c r="F214" i="143"/>
  <c r="M213" i="143"/>
  <c r="D232" i="141"/>
  <c r="E195" i="141"/>
  <c r="H119" i="137"/>
  <c r="C118" i="137"/>
  <c r="B122" i="137"/>
  <c r="G118" i="137"/>
  <c r="F118" i="137"/>
  <c r="D115" i="137"/>
  <c r="G122" i="137"/>
  <c r="M235" i="141"/>
  <c r="L194" i="135"/>
  <c r="H40" i="139"/>
  <c r="D83" i="133"/>
  <c r="H105" i="125"/>
  <c r="B67" i="135"/>
  <c r="I150" i="129"/>
  <c r="H171" i="121"/>
  <c r="D171" i="121"/>
  <c r="I170" i="121"/>
  <c r="E172" i="121"/>
  <c r="D168" i="121"/>
  <c r="C179" i="121"/>
  <c r="I176" i="121"/>
  <c r="I173" i="121"/>
  <c r="E168" i="121"/>
  <c r="F171" i="121"/>
  <c r="G175" i="121"/>
  <c r="E170" i="121"/>
  <c r="H175" i="121"/>
  <c r="D174" i="121"/>
  <c r="C200" i="135"/>
  <c r="M218" i="143"/>
  <c r="G218" i="143"/>
  <c r="M43" i="143"/>
  <c r="L211" i="143"/>
  <c r="B211" i="143"/>
  <c r="J46" i="143"/>
  <c r="G108" i="143"/>
  <c r="K132" i="143"/>
  <c r="H132" i="143"/>
  <c r="L128" i="143"/>
  <c r="I133" i="143"/>
  <c r="F134" i="143"/>
  <c r="K130" i="143"/>
  <c r="M134" i="143"/>
  <c r="C63" i="141"/>
  <c r="K209" i="139"/>
  <c r="K154" i="141"/>
  <c r="F236" i="141"/>
  <c r="K211" i="139"/>
  <c r="K35" i="140"/>
  <c r="C189" i="141"/>
  <c r="I191" i="141"/>
  <c r="F192" i="135"/>
  <c r="L95" i="135"/>
  <c r="C90" i="135"/>
  <c r="M84" i="135"/>
  <c r="M168" i="133"/>
  <c r="F90" i="133"/>
  <c r="G120" i="137"/>
  <c r="J149" i="139"/>
  <c r="H72" i="135"/>
  <c r="H149" i="129"/>
  <c r="C147" i="129"/>
  <c r="H220" i="123"/>
  <c r="L90" i="121"/>
  <c r="B113" i="143"/>
  <c r="G238" i="141"/>
  <c r="L90" i="133"/>
  <c r="B258" i="121"/>
  <c r="C258" i="121"/>
  <c r="J263" i="121"/>
  <c r="D263" i="121"/>
  <c r="M258" i="121"/>
  <c r="F255" i="121"/>
  <c r="F262" i="121"/>
  <c r="L261" i="121"/>
  <c r="E261" i="121"/>
  <c r="C252" i="121"/>
  <c r="D256" i="121"/>
  <c r="E256" i="121"/>
  <c r="I261" i="121"/>
  <c r="J259" i="121"/>
  <c r="L257" i="121"/>
  <c r="J252" i="121"/>
  <c r="B252" i="121"/>
  <c r="H262" i="121"/>
  <c r="E262" i="121"/>
  <c r="D255" i="121"/>
  <c r="E257" i="121"/>
  <c r="M260" i="121"/>
  <c r="I260" i="121"/>
  <c r="D261" i="121"/>
  <c r="L253" i="121"/>
  <c r="J254" i="121"/>
  <c r="L259" i="121"/>
  <c r="I259" i="121"/>
  <c r="H252" i="121"/>
  <c r="H261" i="121"/>
  <c r="E263" i="121"/>
  <c r="I262" i="121"/>
  <c r="H258" i="121"/>
  <c r="M256" i="121"/>
  <c r="M262" i="121"/>
  <c r="G263" i="121"/>
  <c r="L254" i="121"/>
  <c r="F253" i="121"/>
  <c r="C261" i="121"/>
  <c r="E254" i="121"/>
  <c r="F259" i="121"/>
  <c r="M261" i="121"/>
  <c r="C260" i="121"/>
  <c r="J258" i="121"/>
  <c r="B256" i="121"/>
  <c r="C257" i="121"/>
  <c r="D262" i="121"/>
  <c r="M255" i="121"/>
  <c r="M259" i="121"/>
  <c r="E191" i="135"/>
  <c r="E255" i="121"/>
  <c r="D209" i="139"/>
  <c r="I239" i="141"/>
  <c r="E237" i="141"/>
  <c r="H190" i="141"/>
  <c r="J104" i="143"/>
  <c r="K210" i="139"/>
  <c r="C231" i="141"/>
  <c r="E197" i="141"/>
  <c r="B49" i="139"/>
  <c r="I44" i="139"/>
  <c r="D49" i="139"/>
  <c r="D43" i="139"/>
  <c r="M40" i="139"/>
  <c r="D218" i="143"/>
  <c r="E218" i="143"/>
  <c r="K219" i="143"/>
  <c r="F45" i="143"/>
  <c r="B214" i="143"/>
  <c r="B215" i="143"/>
  <c r="G295" i="143"/>
  <c r="F304" i="143"/>
  <c r="F48" i="143"/>
  <c r="H110" i="143"/>
  <c r="K72" i="141"/>
  <c r="K212" i="139"/>
  <c r="E230" i="141"/>
  <c r="H239" i="141"/>
  <c r="F280" i="139"/>
  <c r="J193" i="141"/>
  <c r="K193" i="135"/>
  <c r="K49" i="139"/>
  <c r="G170" i="133"/>
  <c r="L80" i="133"/>
  <c r="H120" i="137"/>
  <c r="D149" i="129"/>
  <c r="E150" i="139"/>
  <c r="C68" i="135"/>
  <c r="F153" i="129"/>
  <c r="E150" i="129"/>
  <c r="B261" i="121"/>
  <c r="D152" i="115"/>
  <c r="K87" i="121"/>
  <c r="F230" i="119"/>
  <c r="G240" i="141"/>
  <c r="D231" i="141"/>
  <c r="B109" i="143"/>
  <c r="G237" i="141"/>
  <c r="I232" i="141"/>
  <c r="C187" i="141"/>
  <c r="G230" i="141"/>
  <c r="C230" i="141"/>
  <c r="K195" i="141"/>
  <c r="C210" i="139"/>
  <c r="G208" i="139"/>
  <c r="F216" i="139"/>
  <c r="G212" i="139"/>
  <c r="F212" i="139"/>
  <c r="G207" i="139"/>
  <c r="J195" i="135"/>
  <c r="D198" i="135"/>
  <c r="J39" i="139"/>
  <c r="M171" i="133"/>
  <c r="L82" i="133"/>
  <c r="F304" i="131"/>
  <c r="F302" i="131"/>
  <c r="G115" i="137"/>
  <c r="H103" i="125"/>
  <c r="K143" i="139"/>
  <c r="E71" i="135"/>
  <c r="D146" i="129"/>
  <c r="C155" i="129"/>
  <c r="C253" i="121"/>
  <c r="F95" i="137"/>
  <c r="D100" i="137"/>
  <c r="G100" i="137"/>
  <c r="H105" i="137"/>
  <c r="E104" i="137"/>
  <c r="D105" i="137"/>
  <c r="E105" i="137"/>
  <c r="C104" i="137"/>
  <c r="D102" i="137"/>
  <c r="D98" i="137"/>
  <c r="H103" i="137"/>
  <c r="C105" i="137"/>
  <c r="E99" i="137"/>
  <c r="I100" i="137"/>
  <c r="I102" i="137"/>
  <c r="L84" i="119"/>
  <c r="M91" i="121"/>
  <c r="C233" i="119"/>
  <c r="E175" i="99"/>
  <c r="B167" i="99"/>
  <c r="B306" i="83"/>
  <c r="F301" i="83"/>
  <c r="G295" i="83"/>
  <c r="O308" i="83"/>
  <c r="K303" i="83"/>
  <c r="E100" i="87"/>
  <c r="F408" i="81"/>
  <c r="K62" i="91"/>
  <c r="H131" i="107"/>
  <c r="E232" i="77"/>
  <c r="F237" i="77"/>
  <c r="H229" i="77"/>
  <c r="H334" i="81"/>
  <c r="C120" i="85"/>
  <c r="E139" i="75"/>
  <c r="H142" i="75"/>
  <c r="D185" i="63"/>
  <c r="B173" i="127"/>
  <c r="I34" i="129"/>
  <c r="F34" i="129"/>
  <c r="I37" i="129"/>
  <c r="H6" i="125"/>
  <c r="F35" i="129"/>
  <c r="G8" i="131"/>
  <c r="I147" i="131"/>
  <c r="H46" i="123"/>
  <c r="I45" i="123"/>
  <c r="M42" i="123"/>
  <c r="I71" i="119"/>
  <c r="I62" i="119"/>
  <c r="H131" i="123"/>
  <c r="K88" i="123"/>
  <c r="K36" i="120"/>
  <c r="E166" i="119"/>
  <c r="K177" i="119"/>
  <c r="I173" i="119"/>
  <c r="K167" i="119"/>
  <c r="L175" i="119"/>
  <c r="J98" i="115"/>
  <c r="B98" i="115"/>
  <c r="E111" i="115"/>
  <c r="F48" i="113"/>
  <c r="C49" i="113"/>
  <c r="J41" i="115"/>
  <c r="L79" i="111"/>
  <c r="I89" i="111"/>
  <c r="L87" i="111"/>
  <c r="C212" i="99"/>
  <c r="K217" i="99"/>
  <c r="L215" i="99"/>
  <c r="K216" i="99"/>
  <c r="C216" i="99"/>
  <c r="K208" i="99"/>
  <c r="G88" i="99"/>
  <c r="I176" i="99"/>
  <c r="D93" i="99"/>
  <c r="B79" i="111"/>
  <c r="F153" i="91"/>
  <c r="E155" i="91"/>
  <c r="I84" i="83"/>
  <c r="O309" i="83"/>
  <c r="H84" i="83"/>
  <c r="C40" i="103"/>
  <c r="J208" i="99"/>
  <c r="J219" i="99"/>
  <c r="G195" i="91"/>
  <c r="K190" i="91"/>
  <c r="J190" i="91"/>
  <c r="K189" i="91"/>
  <c r="I194" i="91"/>
  <c r="F194" i="91"/>
  <c r="B105" i="95"/>
  <c r="P305" i="83"/>
  <c r="G64" i="91"/>
  <c r="F92" i="115"/>
  <c r="H133" i="107"/>
  <c r="I65" i="87"/>
  <c r="C237" i="77"/>
  <c r="K227" i="77"/>
  <c r="J230" i="77"/>
  <c r="K45" i="69"/>
  <c r="I43" i="69"/>
  <c r="K43" i="69"/>
  <c r="J44" i="69"/>
  <c r="K38" i="69"/>
  <c r="B42" i="69"/>
  <c r="H46" i="69"/>
  <c r="L37" i="69"/>
  <c r="D43" i="69"/>
  <c r="J40" i="69"/>
  <c r="L44" i="69"/>
  <c r="M41" i="69"/>
  <c r="F38" i="69"/>
  <c r="K39" i="69"/>
  <c r="B45" i="69"/>
  <c r="G42" i="69"/>
  <c r="K47" i="69"/>
  <c r="K40" i="69"/>
  <c r="C41" i="69"/>
  <c r="M43" i="69"/>
  <c r="G43" i="69"/>
  <c r="F42" i="69"/>
  <c r="G38" i="69"/>
  <c r="M44" i="69"/>
  <c r="L43" i="69"/>
  <c r="F46" i="69"/>
  <c r="I329" i="81"/>
  <c r="C116" i="85"/>
  <c r="I135" i="75"/>
  <c r="H138" i="75"/>
  <c r="F258" i="61"/>
  <c r="F256" i="61"/>
  <c r="F254" i="61"/>
  <c r="J130" i="123"/>
  <c r="K31" i="118"/>
  <c r="B170" i="119"/>
  <c r="K175" i="99"/>
  <c r="E166" i="99"/>
  <c r="F175" i="99"/>
  <c r="Q295" i="83"/>
  <c r="M308" i="83"/>
  <c r="L216" i="99"/>
  <c r="E209" i="99"/>
  <c r="E103" i="87"/>
  <c r="G296" i="83"/>
  <c r="G92" i="115"/>
  <c r="I133" i="107"/>
  <c r="M230" i="77"/>
  <c r="B225" i="77"/>
  <c r="N228" i="77"/>
  <c r="N232" i="77"/>
  <c r="F60" i="87"/>
  <c r="E69" i="87"/>
  <c r="B71" i="87"/>
  <c r="F66" i="87"/>
  <c r="D68" i="87"/>
  <c r="I230" i="77"/>
  <c r="I74" i="83"/>
  <c r="O76" i="83"/>
  <c r="H83" i="83"/>
  <c r="K72" i="83"/>
  <c r="N321" i="81"/>
  <c r="F326" i="75"/>
  <c r="B174" i="99"/>
  <c r="E85" i="99"/>
  <c r="I167" i="99"/>
  <c r="C172" i="99"/>
  <c r="L84" i="99"/>
  <c r="Q297" i="83"/>
  <c r="K304" i="83"/>
  <c r="M130" i="93"/>
  <c r="G133" i="93"/>
  <c r="J128" i="93"/>
  <c r="M127" i="93"/>
  <c r="F131" i="93"/>
  <c r="C307" i="83"/>
  <c r="F35" i="103"/>
  <c r="B42" i="103"/>
  <c r="E40" i="103"/>
  <c r="C39" i="103"/>
  <c r="B40" i="103"/>
  <c r="G214" i="99"/>
  <c r="E208" i="99"/>
  <c r="G100" i="87"/>
  <c r="B97" i="115"/>
  <c r="J224" i="77"/>
  <c r="H227" i="77"/>
  <c r="F231" i="77"/>
  <c r="B234" i="77"/>
  <c r="G228" i="77"/>
  <c r="G157" i="91"/>
  <c r="F96" i="63"/>
  <c r="K102" i="63"/>
  <c r="M107" i="63"/>
  <c r="E105" i="63"/>
  <c r="O329" i="81"/>
  <c r="I101" i="63"/>
  <c r="H40" i="129"/>
  <c r="H147" i="131"/>
  <c r="D152" i="131"/>
  <c r="D135" i="123"/>
  <c r="H166" i="119"/>
  <c r="J170" i="119"/>
  <c r="I171" i="119"/>
  <c r="E170" i="119"/>
  <c r="I95" i="115"/>
  <c r="J91" i="115"/>
  <c r="B116" i="115"/>
  <c r="J89" i="111"/>
  <c r="K88" i="111"/>
  <c r="F85" i="111"/>
  <c r="H79" i="111"/>
  <c r="B88" i="111"/>
  <c r="K79" i="111"/>
  <c r="I81" i="111"/>
  <c r="C87" i="111"/>
  <c r="F172" i="99"/>
  <c r="M168" i="99"/>
  <c r="H170" i="99"/>
  <c r="E83" i="99"/>
  <c r="B127" i="107"/>
  <c r="K127" i="107"/>
  <c r="C101" i="87"/>
  <c r="H103" i="87"/>
  <c r="J82" i="111"/>
  <c r="E309" i="83"/>
  <c r="F155" i="91"/>
  <c r="E150" i="91"/>
  <c r="Q298" i="83"/>
  <c r="E81" i="83"/>
  <c r="F303" i="83"/>
  <c r="D159" i="91"/>
  <c r="K305" i="83"/>
  <c r="J75" i="83"/>
  <c r="B41" i="103"/>
  <c r="H32" i="87"/>
  <c r="D212" i="99"/>
  <c r="I209" i="99"/>
  <c r="D169" i="89"/>
  <c r="H100" i="87"/>
  <c r="K38" i="92"/>
  <c r="I136" i="89"/>
  <c r="C255" i="79"/>
  <c r="D247" i="79"/>
  <c r="K247" i="79"/>
  <c r="C258" i="79"/>
  <c r="I256" i="79"/>
  <c r="M252" i="79"/>
  <c r="H92" i="115"/>
  <c r="N229" i="77"/>
  <c r="I232" i="77"/>
  <c r="F236" i="77"/>
  <c r="F146" i="71"/>
  <c r="M146" i="71"/>
  <c r="G152" i="71"/>
  <c r="I150" i="71"/>
  <c r="D152" i="71"/>
  <c r="J145" i="71"/>
  <c r="L321" i="81"/>
  <c r="D137" i="75"/>
  <c r="H102" i="63"/>
  <c r="F201" i="73"/>
  <c r="F210" i="73"/>
  <c r="M205" i="73"/>
  <c r="B213" i="73"/>
  <c r="G211" i="73"/>
  <c r="M209" i="73"/>
  <c r="D205" i="73"/>
  <c r="M213" i="73"/>
  <c r="G100" i="69"/>
  <c r="G109" i="69"/>
  <c r="F108" i="69"/>
  <c r="K105" i="69"/>
  <c r="D110" i="69"/>
  <c r="E104" i="69"/>
  <c r="B102" i="69"/>
  <c r="M102" i="69"/>
  <c r="D100" i="69"/>
  <c r="I101" i="69"/>
  <c r="K108" i="69"/>
  <c r="D104" i="69"/>
  <c r="D101" i="69"/>
  <c r="I102" i="69"/>
  <c r="K101" i="69"/>
  <c r="B101" i="69"/>
  <c r="M100" i="69"/>
  <c r="M109" i="69"/>
  <c r="I110" i="69"/>
  <c r="E107" i="69"/>
  <c r="G107" i="69"/>
  <c r="F100" i="69"/>
  <c r="C99" i="69"/>
  <c r="G187" i="63"/>
  <c r="K194" i="63"/>
  <c r="B184" i="63"/>
  <c r="H191" i="63"/>
  <c r="J193" i="63"/>
  <c r="H188" i="63"/>
  <c r="C188" i="63"/>
  <c r="E185" i="63"/>
  <c r="J189" i="63"/>
  <c r="K184" i="63"/>
  <c r="I183" i="63"/>
  <c r="C194" i="63"/>
  <c r="M186" i="63"/>
  <c r="G185" i="63"/>
  <c r="L191" i="63"/>
  <c r="C185" i="63"/>
  <c r="D191" i="63"/>
  <c r="G184" i="63"/>
  <c r="E190" i="63"/>
  <c r="J183" i="63"/>
  <c r="C184" i="63"/>
  <c r="D189" i="63"/>
  <c r="D183" i="63"/>
  <c r="M188" i="63"/>
  <c r="K187" i="63"/>
  <c r="B194" i="63"/>
  <c r="F190" i="63"/>
  <c r="J194" i="63"/>
  <c r="L187" i="63"/>
  <c r="K193" i="63"/>
  <c r="B187" i="63"/>
  <c r="C191" i="63"/>
  <c r="F189" i="63"/>
  <c r="L183" i="63"/>
  <c r="B185" i="63"/>
  <c r="G190" i="63"/>
  <c r="D192" i="63"/>
  <c r="B188" i="63"/>
  <c r="D194" i="63"/>
  <c r="C183" i="63"/>
  <c r="F184" i="63"/>
  <c r="L186" i="63"/>
  <c r="J186" i="63"/>
  <c r="L192" i="63"/>
  <c r="F191" i="63"/>
  <c r="E184" i="63"/>
  <c r="H185" i="63"/>
  <c r="F185" i="63"/>
  <c r="D190" i="63"/>
  <c r="C189" i="63"/>
  <c r="J187" i="63"/>
  <c r="G193" i="63"/>
  <c r="M191" i="63"/>
  <c r="H187" i="63"/>
  <c r="B183" i="63"/>
  <c r="F194" i="63"/>
  <c r="C192" i="63"/>
  <c r="E189" i="63"/>
  <c r="D186" i="63"/>
  <c r="E191" i="63"/>
  <c r="G189" i="63"/>
  <c r="I186" i="63"/>
  <c r="I191" i="63"/>
  <c r="C187" i="63"/>
  <c r="E193" i="63"/>
  <c r="K166" i="119"/>
  <c r="J173" i="119"/>
  <c r="H173" i="119"/>
  <c r="J171" i="119"/>
  <c r="D99" i="115"/>
  <c r="F93" i="115"/>
  <c r="B115" i="115"/>
  <c r="D119" i="115"/>
  <c r="C85" i="111"/>
  <c r="M85" i="111"/>
  <c r="C174" i="99"/>
  <c r="D169" i="99"/>
  <c r="I171" i="99"/>
  <c r="K168" i="99"/>
  <c r="I92" i="99"/>
  <c r="L307" i="83"/>
  <c r="K300" i="83"/>
  <c r="B157" i="91"/>
  <c r="B303" i="83"/>
  <c r="I36" i="87"/>
  <c r="M213" i="99"/>
  <c r="M210" i="99"/>
  <c r="C231" i="77"/>
  <c r="D236" i="77"/>
  <c r="M103" i="63"/>
  <c r="C101" i="63"/>
  <c r="D190" i="91"/>
  <c r="F107" i="143"/>
  <c r="B87" i="133"/>
  <c r="B170" i="127"/>
  <c r="H39" i="129"/>
  <c r="H32" i="129"/>
  <c r="G37" i="129"/>
  <c r="L168" i="123"/>
  <c r="F324" i="121"/>
  <c r="H37" i="129"/>
  <c r="J149" i="131"/>
  <c r="M147" i="131"/>
  <c r="L52" i="123"/>
  <c r="E70" i="119"/>
  <c r="M63" i="119"/>
  <c r="H137" i="123"/>
  <c r="L93" i="123"/>
  <c r="E89" i="123"/>
  <c r="C210" i="121"/>
  <c r="G172" i="119"/>
  <c r="K170" i="119"/>
  <c r="F175" i="119"/>
  <c r="B93" i="115"/>
  <c r="B95" i="115"/>
  <c r="J111" i="115"/>
  <c r="C113" i="115"/>
  <c r="I78" i="111"/>
  <c r="E87" i="111"/>
  <c r="G172" i="99"/>
  <c r="G167" i="99"/>
  <c r="F166" i="99"/>
  <c r="C167" i="99"/>
  <c r="M88" i="99"/>
  <c r="F302" i="83"/>
  <c r="G154" i="91"/>
  <c r="G153" i="91"/>
  <c r="I154" i="91"/>
  <c r="D154" i="91"/>
  <c r="G34" i="87"/>
  <c r="B214" i="99"/>
  <c r="E212" i="99"/>
  <c r="G101" i="87"/>
  <c r="E129" i="89"/>
  <c r="H247" i="79"/>
  <c r="M260" i="79"/>
  <c r="C235" i="77"/>
  <c r="C225" i="77"/>
  <c r="G237" i="77"/>
  <c r="L46" i="99"/>
  <c r="M134" i="75"/>
  <c r="L40" i="69"/>
  <c r="J110" i="63"/>
  <c r="J192" i="63"/>
  <c r="F193" i="63"/>
  <c r="J227" i="139"/>
  <c r="I171" i="127"/>
  <c r="D37" i="129"/>
  <c r="G34" i="129"/>
  <c r="C39" i="129"/>
  <c r="H112" i="123"/>
  <c r="I152" i="131"/>
  <c r="G149" i="131"/>
  <c r="J45" i="123"/>
  <c r="H63" i="119"/>
  <c r="L71" i="119"/>
  <c r="H72" i="119"/>
  <c r="I129" i="123"/>
  <c r="K29" i="122"/>
  <c r="C94" i="123"/>
  <c r="G85" i="123"/>
  <c r="F219" i="121"/>
  <c r="F168" i="119"/>
  <c r="K173" i="119"/>
  <c r="I177" i="119"/>
  <c r="C166" i="119"/>
  <c r="G99" i="115"/>
  <c r="J99" i="115"/>
  <c r="J115" i="115"/>
  <c r="E116" i="115"/>
  <c r="J114" i="115"/>
  <c r="D80" i="111"/>
  <c r="I88" i="111"/>
  <c r="E169" i="99"/>
  <c r="J167" i="99"/>
  <c r="E93" i="99"/>
  <c r="M92" i="99"/>
  <c r="C89" i="111"/>
  <c r="B301" i="83"/>
  <c r="K307" i="83"/>
  <c r="C156" i="91"/>
  <c r="C155" i="91"/>
  <c r="K34" i="106"/>
  <c r="E490" i="99"/>
  <c r="N9" i="99"/>
  <c r="A422" i="99" s="1"/>
  <c r="F152" i="91"/>
  <c r="C333" i="81"/>
  <c r="K326" i="81"/>
  <c r="C321" i="81"/>
  <c r="G320" i="81"/>
  <c r="B333" i="81"/>
  <c r="H332" i="81"/>
  <c r="B329" i="81"/>
  <c r="H322" i="81"/>
  <c r="P319" i="81"/>
  <c r="N325" i="81"/>
  <c r="L332" i="81"/>
  <c r="E323" i="81"/>
  <c r="L323" i="81"/>
  <c r="N320" i="81"/>
  <c r="L322" i="81"/>
  <c r="G321" i="81"/>
  <c r="L319" i="81"/>
  <c r="M328" i="81"/>
  <c r="D332" i="81"/>
  <c r="N326" i="81"/>
  <c r="N322" i="81"/>
  <c r="C334" i="81"/>
  <c r="F325" i="81"/>
  <c r="C43" i="103"/>
  <c r="B35" i="87"/>
  <c r="F210" i="99"/>
  <c r="J215" i="99"/>
  <c r="B211" i="99"/>
  <c r="G105" i="87"/>
  <c r="B131" i="89"/>
  <c r="E258" i="79"/>
  <c r="F248" i="79"/>
  <c r="L230" i="77"/>
  <c r="D51" i="99"/>
  <c r="C332" i="81"/>
  <c r="L139" i="75"/>
  <c r="G109" i="63"/>
  <c r="F323" i="77"/>
  <c r="F325" i="77"/>
  <c r="F322" i="77"/>
  <c r="J184" i="63"/>
  <c r="K186" i="63"/>
  <c r="F328" i="121"/>
  <c r="K33" i="114"/>
  <c r="B173" i="99"/>
  <c r="G82" i="103"/>
  <c r="F81" i="103"/>
  <c r="E492" i="99"/>
  <c r="K11" i="99"/>
  <c r="D299" i="83"/>
  <c r="E390" i="91"/>
  <c r="K7" i="91"/>
  <c r="F308" i="83"/>
  <c r="E228" i="77"/>
  <c r="J232" i="77"/>
  <c r="B224" i="77"/>
  <c r="F226" i="77"/>
  <c r="O224" i="77"/>
  <c r="B229" i="77"/>
  <c r="H234" i="77"/>
  <c r="O228" i="77"/>
  <c r="C236" i="77"/>
  <c r="D237" i="77"/>
  <c r="F233" i="77"/>
  <c r="B233" i="77"/>
  <c r="K236" i="77"/>
  <c r="G224" i="77"/>
  <c r="H237" i="77"/>
  <c r="L227" i="77"/>
  <c r="H232" i="77"/>
  <c r="I233" i="77"/>
  <c r="J231" i="77"/>
  <c r="J226" i="77"/>
  <c r="L232" i="77"/>
  <c r="H224" i="77"/>
  <c r="L231" i="77"/>
  <c r="J227" i="77"/>
  <c r="E226" i="77"/>
  <c r="L226" i="77"/>
  <c r="K230" i="77"/>
  <c r="D227" i="77"/>
  <c r="L233" i="77"/>
  <c r="B236" i="77"/>
  <c r="H233" i="77"/>
  <c r="O232" i="77"/>
  <c r="C226" i="77"/>
  <c r="B235" i="77"/>
  <c r="E225" i="77"/>
  <c r="L228" i="77"/>
  <c r="G227" i="77"/>
  <c r="M226" i="77"/>
  <c r="J154" i="91"/>
  <c r="G158" i="91"/>
  <c r="J159" i="91"/>
  <c r="E151" i="91"/>
  <c r="I228" i="77"/>
  <c r="D231" i="77"/>
  <c r="C224" i="77"/>
  <c r="F163" i="89"/>
  <c r="I169" i="89"/>
  <c r="E173" i="89"/>
  <c r="B112" i="143"/>
  <c r="I107" i="143"/>
  <c r="K38" i="142"/>
  <c r="C107" i="135"/>
  <c r="E113" i="135"/>
  <c r="J214" i="133"/>
  <c r="H208" i="133"/>
  <c r="L215" i="133"/>
  <c r="G211" i="133"/>
  <c r="J90" i="133"/>
  <c r="F112" i="135"/>
  <c r="K109" i="135"/>
  <c r="D105" i="135"/>
  <c r="C112" i="135"/>
  <c r="K28" i="138"/>
  <c r="K40" i="129"/>
  <c r="G169" i="127"/>
  <c r="K34" i="130"/>
  <c r="J32" i="129"/>
  <c r="C38" i="129"/>
  <c r="G116" i="123"/>
  <c r="M87" i="123"/>
  <c r="D93" i="123"/>
  <c r="E86" i="123"/>
  <c r="K84" i="117"/>
  <c r="L258" i="119"/>
  <c r="M254" i="119"/>
  <c r="H166" i="117"/>
  <c r="J82" i="117"/>
  <c r="B149" i="131"/>
  <c r="G152" i="131"/>
  <c r="J48" i="123"/>
  <c r="L70" i="119"/>
  <c r="E67" i="119"/>
  <c r="E71" i="119"/>
  <c r="M137" i="123"/>
  <c r="E255" i="123"/>
  <c r="G84" i="123"/>
  <c r="J174" i="119"/>
  <c r="C220" i="121"/>
  <c r="E174" i="119"/>
  <c r="E168" i="119"/>
  <c r="F169" i="119"/>
  <c r="L169" i="119"/>
  <c r="M168" i="119"/>
  <c r="J94" i="115"/>
  <c r="E95" i="115"/>
  <c r="F116" i="115"/>
  <c r="E113" i="115"/>
  <c r="I48" i="113"/>
  <c r="B49" i="113"/>
  <c r="K174" i="117"/>
  <c r="E177" i="117"/>
  <c r="E173" i="117"/>
  <c r="B174" i="117"/>
  <c r="H169" i="117"/>
  <c r="G9" i="115"/>
  <c r="H83" i="111"/>
  <c r="G79" i="111"/>
  <c r="E93" i="107"/>
  <c r="I93" i="99"/>
  <c r="G175" i="99"/>
  <c r="J175" i="99"/>
  <c r="B93" i="99"/>
  <c r="F81" i="111"/>
  <c r="H155" i="91"/>
  <c r="K84" i="83"/>
  <c r="B72" i="83"/>
  <c r="I303" i="83"/>
  <c r="F154" i="95"/>
  <c r="C150" i="91"/>
  <c r="K159" i="91"/>
  <c r="K70" i="83"/>
  <c r="O75" i="83"/>
  <c r="I52" i="105"/>
  <c r="C80" i="83"/>
  <c r="J11" i="99"/>
  <c r="D76" i="81"/>
  <c r="L70" i="81"/>
  <c r="K77" i="81"/>
  <c r="G40" i="103"/>
  <c r="B92" i="107"/>
  <c r="J211" i="99"/>
  <c r="K215" i="99"/>
  <c r="F219" i="99"/>
  <c r="B76" i="91"/>
  <c r="F149" i="95"/>
  <c r="H175" i="89"/>
  <c r="H105" i="87"/>
  <c r="N7" i="91"/>
  <c r="A324" i="91" s="1"/>
  <c r="I103" i="95"/>
  <c r="H6" i="91"/>
  <c r="I6" i="91" s="1"/>
  <c r="C296" i="83"/>
  <c r="B72" i="81"/>
  <c r="L247" i="79"/>
  <c r="D64" i="91"/>
  <c r="K35" i="82"/>
  <c r="K225" i="77"/>
  <c r="G232" i="77"/>
  <c r="F225" i="77"/>
  <c r="H41" i="69"/>
  <c r="L98" i="77"/>
  <c r="D98" i="77"/>
  <c r="B141" i="75"/>
  <c r="B189" i="63"/>
  <c r="D184" i="63"/>
  <c r="D172" i="99"/>
  <c r="B177" i="99"/>
  <c r="H51" i="99"/>
  <c r="M44" i="99"/>
  <c r="H50" i="99"/>
  <c r="C50" i="99"/>
  <c r="P300" i="83"/>
  <c r="C60" i="91"/>
  <c r="M227" i="77"/>
  <c r="J233" i="77"/>
  <c r="I226" i="77"/>
  <c r="J234" i="77"/>
  <c r="K43" i="99"/>
  <c r="E537" i="79"/>
  <c r="J16" i="79"/>
  <c r="G13" i="141"/>
  <c r="I33" i="129"/>
  <c r="F40" i="129"/>
  <c r="B40" i="129"/>
  <c r="I41" i="129"/>
  <c r="D90" i="117"/>
  <c r="J86" i="117"/>
  <c r="F207" i="127"/>
  <c r="C154" i="131"/>
  <c r="G9" i="129"/>
  <c r="G48" i="123"/>
  <c r="G47" i="123"/>
  <c r="H66" i="119"/>
  <c r="G70" i="119"/>
  <c r="K72" i="119"/>
  <c r="B137" i="123"/>
  <c r="D254" i="119"/>
  <c r="J175" i="119"/>
  <c r="G175" i="119"/>
  <c r="C257" i="119"/>
  <c r="F217" i="121"/>
  <c r="J166" i="119"/>
  <c r="E173" i="119"/>
  <c r="D174" i="119"/>
  <c r="D173" i="119"/>
  <c r="G91" i="115"/>
  <c r="C100" i="115"/>
  <c r="K110" i="115"/>
  <c r="G116" i="115"/>
  <c r="B50" i="113"/>
  <c r="G175" i="117"/>
  <c r="E171" i="117"/>
  <c r="F174" i="117"/>
  <c r="H177" i="117"/>
  <c r="I167" i="117"/>
  <c r="D175" i="117"/>
  <c r="J43" i="115"/>
  <c r="D53" i="113"/>
  <c r="H88" i="111"/>
  <c r="C86" i="111"/>
  <c r="L173" i="99"/>
  <c r="N11" i="99"/>
  <c r="A438" i="99" s="1"/>
  <c r="G7" i="101"/>
  <c r="K37" i="92"/>
  <c r="K34" i="98"/>
  <c r="E84" i="111"/>
  <c r="K35" i="98"/>
  <c r="H150" i="91"/>
  <c r="I82" i="83"/>
  <c r="B74" i="83"/>
  <c r="J157" i="91"/>
  <c r="I83" i="83"/>
  <c r="K154" i="91"/>
  <c r="B152" i="91"/>
  <c r="J297" i="83"/>
  <c r="I69" i="83"/>
  <c r="P77" i="83"/>
  <c r="E39" i="103"/>
  <c r="B36" i="87"/>
  <c r="B98" i="107"/>
  <c r="B213" i="99"/>
  <c r="G219" i="99"/>
  <c r="G216" i="99"/>
  <c r="K172" i="89"/>
  <c r="I103" i="87"/>
  <c r="G299" i="99"/>
  <c r="F253" i="79"/>
  <c r="G55" i="91"/>
  <c r="I229" i="77"/>
  <c r="E237" i="77"/>
  <c r="G231" i="77"/>
  <c r="H228" i="77"/>
  <c r="L43" i="99"/>
  <c r="H40" i="69"/>
  <c r="H139" i="75"/>
  <c r="O134" i="75"/>
  <c r="H213" i="73"/>
  <c r="E187" i="63"/>
  <c r="I146" i="131"/>
  <c r="H52" i="123"/>
  <c r="M48" i="123"/>
  <c r="B128" i="123"/>
  <c r="B169" i="119"/>
  <c r="K168" i="119"/>
  <c r="J169" i="119"/>
  <c r="B175" i="119"/>
  <c r="H171" i="119"/>
  <c r="E167" i="119"/>
  <c r="J93" i="115"/>
  <c r="E92" i="115"/>
  <c r="D113" i="115"/>
  <c r="B38" i="115"/>
  <c r="F47" i="113"/>
  <c r="J78" i="111"/>
  <c r="G87" i="111"/>
  <c r="E172" i="99"/>
  <c r="I168" i="99"/>
  <c r="K89" i="111"/>
  <c r="G155" i="91"/>
  <c r="G156" i="91"/>
  <c r="D155" i="91"/>
  <c r="J299" i="83"/>
  <c r="N75" i="83"/>
  <c r="C42" i="103"/>
  <c r="B104" i="95"/>
  <c r="D103" i="95"/>
  <c r="F100" i="95"/>
  <c r="H89" i="107"/>
  <c r="G215" i="99"/>
  <c r="L210" i="99"/>
  <c r="G174" i="89"/>
  <c r="F99" i="95"/>
  <c r="E259" i="79"/>
  <c r="K57" i="91"/>
  <c r="J237" i="77"/>
  <c r="G226" i="77"/>
  <c r="E236" i="77"/>
  <c r="K226" i="77"/>
  <c r="H46" i="99"/>
  <c r="H188" i="71"/>
  <c r="D183" i="71"/>
  <c r="C186" i="71"/>
  <c r="L192" i="71"/>
  <c r="J191" i="71"/>
  <c r="B192" i="71"/>
  <c r="K189" i="71"/>
  <c r="M185" i="71"/>
  <c r="B191" i="71"/>
  <c r="I183" i="71"/>
  <c r="B187" i="71"/>
  <c r="L191" i="71"/>
  <c r="B183" i="71"/>
  <c r="J187" i="71"/>
  <c r="G191" i="71"/>
  <c r="M190" i="71"/>
  <c r="E187" i="71"/>
  <c r="K192" i="71"/>
  <c r="H193" i="71"/>
  <c r="D193" i="71"/>
  <c r="D192" i="71"/>
  <c r="F190" i="71"/>
  <c r="H185" i="71"/>
  <c r="F189" i="71"/>
  <c r="D184" i="71"/>
  <c r="M192" i="71"/>
  <c r="K186" i="71"/>
  <c r="H45" i="69"/>
  <c r="C46" i="69"/>
  <c r="F144" i="75"/>
  <c r="G191" i="63"/>
  <c r="B190" i="71"/>
  <c r="G40" i="129"/>
  <c r="H34" i="129"/>
  <c r="H35" i="129"/>
  <c r="F38" i="129"/>
  <c r="H149" i="131"/>
  <c r="F45" i="123"/>
  <c r="C151" i="131"/>
  <c r="G45" i="123"/>
  <c r="G50" i="123"/>
  <c r="F134" i="123"/>
  <c r="G71" i="119"/>
  <c r="L65" i="119"/>
  <c r="M66" i="119"/>
  <c r="K37" i="120"/>
  <c r="D220" i="121"/>
  <c r="E172" i="119"/>
  <c r="J167" i="119"/>
  <c r="M172" i="119"/>
  <c r="I168" i="119"/>
  <c r="K97" i="115"/>
  <c r="K93" i="115"/>
  <c r="E115" i="115"/>
  <c r="B54" i="113"/>
  <c r="E41" i="115"/>
  <c r="I122" i="111"/>
  <c r="D121" i="111"/>
  <c r="J126" i="111"/>
  <c r="J120" i="111"/>
  <c r="I54" i="113"/>
  <c r="M83" i="111"/>
  <c r="L81" i="111"/>
  <c r="J170" i="99"/>
  <c r="M169" i="99"/>
  <c r="J173" i="99"/>
  <c r="F174" i="99"/>
  <c r="K173" i="99"/>
  <c r="G84" i="111"/>
  <c r="B150" i="91"/>
  <c r="C158" i="91"/>
  <c r="J156" i="91"/>
  <c r="J301" i="83"/>
  <c r="F405" i="83"/>
  <c r="F404" i="83"/>
  <c r="L304" i="83"/>
  <c r="F39" i="103"/>
  <c r="G218" i="99"/>
  <c r="I212" i="99"/>
  <c r="F129" i="89"/>
  <c r="C129" i="89"/>
  <c r="I174" i="89"/>
  <c r="B104" i="87"/>
  <c r="B116" i="85"/>
  <c r="F119" i="85"/>
  <c r="E119" i="85"/>
  <c r="I120" i="85"/>
  <c r="E64" i="91"/>
  <c r="C129" i="107"/>
  <c r="J228" i="77"/>
  <c r="M228" i="77"/>
  <c r="I237" i="77"/>
  <c r="D136" i="75"/>
  <c r="O132" i="75"/>
  <c r="K143" i="75"/>
  <c r="C141" i="75"/>
  <c r="B136" i="75"/>
  <c r="K137" i="75"/>
  <c r="D133" i="75"/>
  <c r="I145" i="75"/>
  <c r="B142" i="75"/>
  <c r="M138" i="75"/>
  <c r="I132" i="75"/>
  <c r="J133" i="75"/>
  <c r="G133" i="75"/>
  <c r="J142" i="75"/>
  <c r="J136" i="75"/>
  <c r="C132" i="75"/>
  <c r="J137" i="75"/>
  <c r="N145" i="75"/>
  <c r="G132" i="75"/>
  <c r="C143" i="75"/>
  <c r="N132" i="75"/>
  <c r="L142" i="75"/>
  <c r="C134" i="75"/>
  <c r="D138" i="75"/>
  <c r="G136" i="75"/>
  <c r="K144" i="75"/>
  <c r="L145" i="75"/>
  <c r="G141" i="75"/>
  <c r="H136" i="75"/>
  <c r="L136" i="75"/>
  <c r="O139" i="75"/>
  <c r="M139" i="75"/>
  <c r="O135" i="75"/>
  <c r="H135" i="75"/>
  <c r="I137" i="75"/>
  <c r="J138" i="75"/>
  <c r="L134" i="75"/>
  <c r="F133" i="75"/>
  <c r="I136" i="75"/>
  <c r="D144" i="75"/>
  <c r="F136" i="75"/>
  <c r="G137" i="75"/>
  <c r="F132" i="75"/>
  <c r="B137" i="75"/>
  <c r="I139" i="75"/>
  <c r="B143" i="75"/>
  <c r="C135" i="75"/>
  <c r="C136" i="75"/>
  <c r="G145" i="75"/>
  <c r="E133" i="75"/>
  <c r="K142" i="75"/>
  <c r="L140" i="75"/>
  <c r="O145" i="75"/>
  <c r="D142" i="75"/>
  <c r="I141" i="75"/>
  <c r="N142" i="75"/>
  <c r="J139" i="75"/>
  <c r="L144" i="75"/>
  <c r="O140" i="75"/>
  <c r="G139" i="75"/>
  <c r="C139" i="75"/>
  <c r="L132" i="75"/>
  <c r="F142" i="75"/>
  <c r="E137" i="75"/>
  <c r="H141" i="75"/>
  <c r="F135" i="75"/>
  <c r="J51" i="99"/>
  <c r="H230" i="77"/>
  <c r="G101" i="63"/>
  <c r="B44" i="69"/>
  <c r="O136" i="75"/>
  <c r="J132" i="75"/>
  <c r="F211" i="73"/>
  <c r="F187" i="63"/>
  <c r="D190" i="71"/>
  <c r="J38" i="129"/>
  <c r="C153" i="131"/>
  <c r="H49" i="123"/>
  <c r="B52" i="123"/>
  <c r="D136" i="123"/>
  <c r="J64" i="119"/>
  <c r="B69" i="119"/>
  <c r="E68" i="119"/>
  <c r="B136" i="123"/>
  <c r="E220" i="121"/>
  <c r="F167" i="119"/>
  <c r="D171" i="119"/>
  <c r="F174" i="119"/>
  <c r="M169" i="119"/>
  <c r="D100" i="115"/>
  <c r="C97" i="115"/>
  <c r="B111" i="115"/>
  <c r="F42" i="115"/>
  <c r="C130" i="111"/>
  <c r="E81" i="111"/>
  <c r="B87" i="111"/>
  <c r="C169" i="99"/>
  <c r="I172" i="99"/>
  <c r="B172" i="99"/>
  <c r="H81" i="111"/>
  <c r="I159" i="91"/>
  <c r="F158" i="91"/>
  <c r="J302" i="83"/>
  <c r="C302" i="83"/>
  <c r="L73" i="83"/>
  <c r="P81" i="83"/>
  <c r="G39" i="103"/>
  <c r="I89" i="107"/>
  <c r="G208" i="99"/>
  <c r="I217" i="99"/>
  <c r="E105" i="87"/>
  <c r="C100" i="87"/>
  <c r="H47" i="105"/>
  <c r="G46" i="105"/>
  <c r="C46" i="105"/>
  <c r="D102" i="95"/>
  <c r="F56" i="91"/>
  <c r="F129" i="107"/>
  <c r="M229" i="77"/>
  <c r="B230" i="77"/>
  <c r="N224" i="77"/>
  <c r="J41" i="99"/>
  <c r="F224" i="77"/>
  <c r="J36" i="69"/>
  <c r="M322" i="81"/>
  <c r="B145" i="75"/>
  <c r="K132" i="75"/>
  <c r="K106" i="69"/>
  <c r="K205" i="73"/>
  <c r="L184" i="63"/>
  <c r="K194" i="71"/>
  <c r="D88" i="99"/>
  <c r="E90" i="99"/>
  <c r="F83" i="99"/>
  <c r="G85" i="99"/>
  <c r="F86" i="111"/>
  <c r="J308" i="83"/>
  <c r="C294" i="83"/>
  <c r="K213" i="99"/>
  <c r="K212" i="99"/>
  <c r="H294" i="83"/>
  <c r="H59" i="91"/>
  <c r="G409" i="81"/>
  <c r="G129" i="107"/>
  <c r="B231" i="77"/>
  <c r="E231" i="77"/>
  <c r="B226" i="77"/>
  <c r="H13" i="77"/>
  <c r="B47" i="99"/>
  <c r="F39" i="69"/>
  <c r="B134" i="75"/>
  <c r="O320" i="81"/>
  <c r="K107" i="63"/>
  <c r="C137" i="75"/>
  <c r="O133" i="75"/>
  <c r="M103" i="69"/>
  <c r="B206" i="73"/>
  <c r="L188" i="63"/>
  <c r="L190" i="71"/>
  <c r="F83" i="77"/>
  <c r="D94" i="77"/>
  <c r="D93" i="77"/>
  <c r="L87" i="77"/>
  <c r="N94" i="77"/>
  <c r="I87" i="77"/>
  <c r="K94" i="77"/>
  <c r="B94" i="77"/>
  <c r="O99" i="77"/>
  <c r="B87" i="77"/>
  <c r="C88" i="77"/>
  <c r="N90" i="77"/>
  <c r="M99" i="77"/>
  <c r="E91" i="77"/>
  <c r="J99" i="77"/>
  <c r="B91" i="77"/>
  <c r="J89" i="77"/>
  <c r="J95" i="77"/>
  <c r="D95" i="77"/>
  <c r="H94" i="77"/>
  <c r="L89" i="77"/>
  <c r="J98" i="77"/>
  <c r="B90" i="77"/>
  <c r="G98" i="77"/>
  <c r="M89" i="77"/>
  <c r="N87" i="77"/>
  <c r="J91" i="77"/>
  <c r="O91" i="77"/>
  <c r="L90" i="77"/>
  <c r="J88" i="77"/>
  <c r="G97" i="77"/>
  <c r="M88" i="77"/>
  <c r="D97" i="77"/>
  <c r="I88" i="77"/>
  <c r="O97" i="77"/>
  <c r="G89" i="77"/>
  <c r="F88" i="77"/>
  <c r="B88" i="77"/>
  <c r="N86" i="77"/>
  <c r="N99" i="77"/>
  <c r="L93" i="77"/>
  <c r="K99" i="77"/>
  <c r="C91" i="77"/>
  <c r="L91" i="77"/>
  <c r="K97" i="77"/>
  <c r="N91" i="77"/>
  <c r="M86" i="77"/>
  <c r="M92" i="77"/>
  <c r="B97" i="77"/>
  <c r="H97" i="77"/>
  <c r="N88" i="77"/>
  <c r="E97" i="77"/>
  <c r="K88" i="77"/>
  <c r="H96" i="77"/>
  <c r="M87" i="77"/>
  <c r="F89" i="77"/>
  <c r="E98" i="77"/>
  <c r="E95" i="77"/>
  <c r="E96" i="77"/>
  <c r="K87" i="77"/>
  <c r="B96" i="77"/>
  <c r="G87" i="77"/>
  <c r="G94" i="77"/>
  <c r="N97" i="77"/>
  <c r="C87" i="77"/>
  <c r="J94" i="77"/>
  <c r="L97" i="77"/>
  <c r="M93" i="77"/>
  <c r="L99" i="77"/>
  <c r="J93" i="77"/>
  <c r="I99" i="77"/>
  <c r="G88" i="77"/>
  <c r="N93" i="77"/>
  <c r="J97" i="77"/>
  <c r="D88" i="77"/>
  <c r="B89" i="77"/>
  <c r="J96" i="77"/>
  <c r="J92" i="77"/>
  <c r="I98" i="77"/>
  <c r="D91" i="77"/>
  <c r="F98" i="77"/>
  <c r="L86" i="77"/>
  <c r="K91" i="77"/>
  <c r="G95" i="77"/>
  <c r="C98" i="77"/>
  <c r="D99" i="77"/>
  <c r="C89" i="77"/>
  <c r="F94" i="77"/>
  <c r="O88" i="77"/>
  <c r="C96" i="77"/>
  <c r="L88" i="77"/>
  <c r="N95" i="77"/>
  <c r="M95" i="77"/>
  <c r="E87" i="77"/>
  <c r="E89" i="77"/>
  <c r="M90" i="77"/>
  <c r="H67" i="77"/>
  <c r="I76" i="77"/>
  <c r="B63" i="77"/>
  <c r="Q175" i="81"/>
  <c r="D281" i="75"/>
  <c r="F277" i="75"/>
  <c r="M144" i="65"/>
  <c r="B148" i="65"/>
  <c r="F99" i="63"/>
  <c r="B143" i="59"/>
  <c r="I102" i="63"/>
  <c r="H128" i="53"/>
  <c r="H134" i="53"/>
  <c r="H130" i="53"/>
  <c r="F131" i="53"/>
  <c r="I132" i="53"/>
  <c r="D128" i="53"/>
  <c r="F130" i="53"/>
  <c r="C136" i="53"/>
  <c r="I127" i="53"/>
  <c r="I129" i="53"/>
  <c r="G132" i="53"/>
  <c r="I130" i="53"/>
  <c r="D131" i="53"/>
  <c r="K46" i="73"/>
  <c r="H11" i="89"/>
  <c r="M42" i="55"/>
  <c r="J65" i="61"/>
  <c r="B66" i="61"/>
  <c r="F108" i="51"/>
  <c r="I109" i="51"/>
  <c r="G109" i="51"/>
  <c r="K110" i="51"/>
  <c r="G88" i="65"/>
  <c r="K85" i="65"/>
  <c r="K31" i="68"/>
  <c r="F54" i="67"/>
  <c r="E63" i="67"/>
  <c r="C67" i="67"/>
  <c r="D58" i="67"/>
  <c r="D63" i="67"/>
  <c r="G64" i="67"/>
  <c r="M60" i="67"/>
  <c r="D163" i="75"/>
  <c r="H167" i="75"/>
  <c r="G160" i="75"/>
  <c r="N168" i="75"/>
  <c r="H157" i="75"/>
  <c r="F158" i="75"/>
  <c r="D159" i="75"/>
  <c r="L159" i="75"/>
  <c r="G166" i="75"/>
  <c r="D157" i="75"/>
  <c r="O157" i="75"/>
  <c r="J156" i="75"/>
  <c r="D155" i="75"/>
  <c r="B156" i="75"/>
  <c r="L156" i="75"/>
  <c r="M168" i="75"/>
  <c r="B168" i="75"/>
  <c r="L162" i="75"/>
  <c r="H168" i="75"/>
  <c r="N161" i="75"/>
  <c r="I164" i="75"/>
  <c r="O164" i="75"/>
  <c r="K160" i="75"/>
  <c r="H164" i="75"/>
  <c r="B162" i="75"/>
  <c r="G159" i="75"/>
  <c r="F162" i="75"/>
  <c r="N155" i="75"/>
  <c r="O156" i="75"/>
  <c r="G156" i="75"/>
  <c r="N159" i="75"/>
  <c r="L155" i="75"/>
  <c r="D168" i="75"/>
  <c r="M159" i="75"/>
  <c r="I160" i="75"/>
  <c r="B166" i="75"/>
  <c r="M158" i="75"/>
  <c r="F159" i="75"/>
  <c r="N163" i="75"/>
  <c r="C158" i="75"/>
  <c r="E162" i="75"/>
  <c r="M160" i="75"/>
  <c r="I166" i="75"/>
  <c r="O159" i="75"/>
  <c r="K157" i="75"/>
  <c r="F165" i="75"/>
  <c r="M157" i="75"/>
  <c r="O166" i="75"/>
  <c r="G136" i="53"/>
  <c r="C186" i="73"/>
  <c r="B134" i="53"/>
  <c r="C114" i="45"/>
  <c r="N9" i="55"/>
  <c r="A376" i="55" s="1"/>
  <c r="C55" i="53"/>
  <c r="C132" i="53"/>
  <c r="D192" i="73"/>
  <c r="H187" i="73"/>
  <c r="H135" i="53"/>
  <c r="H101" i="19"/>
  <c r="G96" i="19"/>
  <c r="F102" i="19"/>
  <c r="B100" i="19"/>
  <c r="D181" i="81"/>
  <c r="M40" i="73"/>
  <c r="G47" i="73"/>
  <c r="L42" i="73"/>
  <c r="I59" i="53"/>
  <c r="E60" i="53"/>
  <c r="C58" i="53"/>
  <c r="I58" i="53"/>
  <c r="J57" i="53"/>
  <c r="D52" i="53"/>
  <c r="J52" i="53"/>
  <c r="C60" i="53"/>
  <c r="I57" i="53"/>
  <c r="I51" i="53"/>
  <c r="G58" i="53"/>
  <c r="B55" i="53"/>
  <c r="E59" i="53"/>
  <c r="I53" i="53"/>
  <c r="I52" i="53"/>
  <c r="C52" i="53"/>
  <c r="C59" i="53"/>
  <c r="C54" i="53"/>
  <c r="H51" i="53"/>
  <c r="B51" i="53"/>
  <c r="J58" i="53"/>
  <c r="D58" i="53"/>
  <c r="K59" i="53"/>
  <c r="G42" i="73"/>
  <c r="H88" i="65"/>
  <c r="J88" i="65"/>
  <c r="K33" i="82"/>
  <c r="F96" i="59"/>
  <c r="L104" i="59"/>
  <c r="F105" i="59"/>
  <c r="B103" i="59"/>
  <c r="D103" i="59"/>
  <c r="J128" i="53"/>
  <c r="C185" i="73"/>
  <c r="B128" i="53"/>
  <c r="K114" i="51"/>
  <c r="C53" i="53"/>
  <c r="C81" i="65"/>
  <c r="G85" i="65"/>
  <c r="E78" i="65"/>
  <c r="C80" i="65"/>
  <c r="I87" i="65"/>
  <c r="M34" i="64"/>
  <c r="L34" i="64"/>
  <c r="J187" i="73"/>
  <c r="M189" i="73"/>
  <c r="B191" i="73"/>
  <c r="G183" i="73"/>
  <c r="K183" i="73"/>
  <c r="F190" i="73"/>
  <c r="H189" i="73"/>
  <c r="C188" i="73"/>
  <c r="F142" i="59"/>
  <c r="L150" i="59"/>
  <c r="I40" i="73"/>
  <c r="H145" i="65"/>
  <c r="M81" i="65"/>
  <c r="M85" i="65"/>
  <c r="H116" i="51"/>
  <c r="K190" i="73"/>
  <c r="I188" i="73"/>
  <c r="E131" i="53"/>
  <c r="H111" i="51"/>
  <c r="K147" i="47"/>
  <c r="K55" i="53"/>
  <c r="L29" i="6"/>
  <c r="M29" i="6"/>
  <c r="D185" i="73"/>
  <c r="E191" i="73"/>
  <c r="F192" i="45"/>
  <c r="F190" i="45"/>
  <c r="D96" i="23"/>
  <c r="B98" i="23"/>
  <c r="J54" i="53"/>
  <c r="E62" i="33"/>
  <c r="D68" i="33"/>
  <c r="K29" i="80"/>
  <c r="D35" i="85"/>
  <c r="F146" i="59"/>
  <c r="G16" i="77"/>
  <c r="C100" i="63"/>
  <c r="G146" i="59"/>
  <c r="D99" i="63"/>
  <c r="E143" i="59"/>
  <c r="I41" i="73"/>
  <c r="H40" i="55"/>
  <c r="K41" i="55"/>
  <c r="K61" i="61"/>
  <c r="E58" i="61"/>
  <c r="D89" i="65"/>
  <c r="K88" i="65"/>
  <c r="F73" i="41"/>
  <c r="H75" i="41"/>
  <c r="I79" i="41"/>
  <c r="F79" i="41"/>
  <c r="D74" i="41"/>
  <c r="K78" i="41"/>
  <c r="L192" i="73"/>
  <c r="I192" i="73"/>
  <c r="G134" i="53"/>
  <c r="E115" i="51"/>
  <c r="H148" i="47"/>
  <c r="F58" i="53"/>
  <c r="C69" i="33"/>
  <c r="C66" i="33"/>
  <c r="G9" i="71"/>
  <c r="B36" i="85"/>
  <c r="G6" i="75"/>
  <c r="L144" i="59"/>
  <c r="H47" i="73"/>
  <c r="J144" i="63"/>
  <c r="E141" i="63"/>
  <c r="I146" i="63"/>
  <c r="E65" i="61"/>
  <c r="B150" i="55"/>
  <c r="D147" i="55"/>
  <c r="F144" i="55"/>
  <c r="B43" i="73"/>
  <c r="H106" i="71"/>
  <c r="M106" i="71"/>
  <c r="B152" i="63"/>
  <c r="D142" i="63"/>
  <c r="K39" i="55"/>
  <c r="C43" i="55"/>
  <c r="F99" i="77"/>
  <c r="M209" i="65"/>
  <c r="E204" i="65"/>
  <c r="C213" i="65"/>
  <c r="G213" i="65"/>
  <c r="B64" i="61"/>
  <c r="M60" i="61"/>
  <c r="F46" i="55"/>
  <c r="D84" i="65"/>
  <c r="D83" i="65"/>
  <c r="M271" i="75"/>
  <c r="L63" i="67"/>
  <c r="M65" i="67"/>
  <c r="E66" i="67"/>
  <c r="M61" i="73"/>
  <c r="E58" i="73"/>
  <c r="J58" i="73"/>
  <c r="I66" i="73"/>
  <c r="F191" i="45"/>
  <c r="D188" i="73"/>
  <c r="B133" i="53"/>
  <c r="I111" i="51"/>
  <c r="L68" i="55"/>
  <c r="H78" i="41"/>
  <c r="C207" i="67"/>
  <c r="K205" i="67"/>
  <c r="K60" i="39"/>
  <c r="E644" i="83"/>
  <c r="J13" i="83"/>
  <c r="K13" i="83"/>
  <c r="H112" i="45"/>
  <c r="G117" i="45"/>
  <c r="J115" i="45"/>
  <c r="J15" i="77"/>
  <c r="J14" i="63"/>
  <c r="D152" i="47"/>
  <c r="B60" i="53"/>
  <c r="B62" i="33"/>
  <c r="F259" i="71"/>
  <c r="G206" i="65"/>
  <c r="J206" i="65"/>
  <c r="B206" i="65"/>
  <c r="C206" i="65"/>
  <c r="C61" i="61"/>
  <c r="M62" i="61"/>
  <c r="I67" i="61"/>
  <c r="H44" i="55"/>
  <c r="M84" i="65"/>
  <c r="J84" i="65"/>
  <c r="L65" i="67"/>
  <c r="F67" i="67"/>
  <c r="K67" i="67"/>
  <c r="D189" i="73"/>
  <c r="E128" i="53"/>
  <c r="H113" i="51"/>
  <c r="H60" i="55"/>
  <c r="G187" i="45"/>
  <c r="J74" i="41"/>
  <c r="I149" i="47"/>
  <c r="J59" i="53"/>
  <c r="F142" i="35"/>
  <c r="K147" i="35"/>
  <c r="B147" i="35"/>
  <c r="E146" i="35"/>
  <c r="J149" i="35"/>
  <c r="D148" i="35"/>
  <c r="B149" i="35"/>
  <c r="D147" i="35"/>
  <c r="I152" i="35"/>
  <c r="H12" i="67"/>
  <c r="C57" i="53"/>
  <c r="N166" i="75"/>
  <c r="M28" i="54"/>
  <c r="L28" i="54"/>
  <c r="H178" i="81"/>
  <c r="D108" i="63"/>
  <c r="H143" i="59"/>
  <c r="F64" i="59"/>
  <c r="M109" i="63"/>
  <c r="C104" i="63"/>
  <c r="L45" i="73"/>
  <c r="L100" i="71"/>
  <c r="I100" i="71"/>
  <c r="J34" i="51"/>
  <c r="C38" i="51"/>
  <c r="C39" i="51"/>
  <c r="G37" i="51"/>
  <c r="J35" i="51"/>
  <c r="E39" i="51"/>
  <c r="K36" i="51"/>
  <c r="G34" i="51"/>
  <c r="J39" i="51"/>
  <c r="I38" i="51"/>
  <c r="G33" i="51"/>
  <c r="K43" i="55"/>
  <c r="C211" i="65"/>
  <c r="H207" i="65"/>
  <c r="G207" i="65"/>
  <c r="E64" i="61"/>
  <c r="B87" i="65"/>
  <c r="K82" i="65"/>
  <c r="L57" i="67"/>
  <c r="H57" i="67"/>
  <c r="K186" i="73"/>
  <c r="F128" i="53"/>
  <c r="D63" i="55"/>
  <c r="G52" i="53"/>
  <c r="F52" i="53"/>
  <c r="I130" i="45"/>
  <c r="F134" i="45"/>
  <c r="D133" i="45"/>
  <c r="B128" i="45"/>
  <c r="F130" i="45"/>
  <c r="F136" i="45"/>
  <c r="E128" i="45"/>
  <c r="C127" i="45"/>
  <c r="B133" i="45"/>
  <c r="B132" i="45"/>
  <c r="K130" i="45"/>
  <c r="I131" i="45"/>
  <c r="D129" i="45"/>
  <c r="C128" i="45"/>
  <c r="G133" i="45"/>
  <c r="G191" i="73"/>
  <c r="L150" i="67"/>
  <c r="L143" i="67"/>
  <c r="E146" i="67"/>
  <c r="D150" i="47"/>
  <c r="F148" i="47"/>
  <c r="H147" i="47"/>
  <c r="G151" i="47"/>
  <c r="H155" i="47"/>
  <c r="G152" i="47"/>
  <c r="I154" i="47"/>
  <c r="I151" i="47"/>
  <c r="H55" i="53"/>
  <c r="I80" i="21"/>
  <c r="B86" i="21"/>
  <c r="C81" i="21"/>
  <c r="F35" i="51"/>
  <c r="G96" i="33"/>
  <c r="G102" i="33"/>
  <c r="I97" i="33"/>
  <c r="H101" i="33"/>
  <c r="F102" i="33"/>
  <c r="B96" i="33"/>
  <c r="B102" i="33"/>
  <c r="H100" i="33"/>
  <c r="G103" i="33"/>
  <c r="G98" i="33"/>
  <c r="E100" i="33"/>
  <c r="D156" i="75"/>
  <c r="J41" i="51"/>
  <c r="I63" i="73"/>
  <c r="L60" i="73"/>
  <c r="I61" i="73"/>
  <c r="J77" i="41"/>
  <c r="F184" i="73"/>
  <c r="C144" i="67"/>
  <c r="H132" i="53"/>
  <c r="H131" i="53"/>
  <c r="C74" i="41"/>
  <c r="C66" i="55"/>
  <c r="D132" i="45"/>
  <c r="K53" i="39"/>
  <c r="E129" i="45"/>
  <c r="E153" i="47"/>
  <c r="E57" i="53"/>
  <c r="D57" i="53"/>
  <c r="M162" i="75"/>
  <c r="E249" i="21"/>
  <c r="N10" i="21"/>
  <c r="A236" i="21" s="1"/>
  <c r="J171" i="81"/>
  <c r="H32" i="85"/>
  <c r="B148" i="59"/>
  <c r="L108" i="63"/>
  <c r="H101" i="63"/>
  <c r="K32" i="76"/>
  <c r="B42" i="73"/>
  <c r="E146" i="65"/>
  <c r="H37" i="55"/>
  <c r="F108" i="71"/>
  <c r="J106" i="71"/>
  <c r="M104" i="71"/>
  <c r="L82" i="65"/>
  <c r="K29" i="74"/>
  <c r="J71" i="41"/>
  <c r="K185" i="73"/>
  <c r="D133" i="53"/>
  <c r="I75" i="41"/>
  <c r="J67" i="67"/>
  <c r="G67" i="55"/>
  <c r="E52" i="39"/>
  <c r="J168" i="75"/>
  <c r="E60" i="39"/>
  <c r="K31" i="96"/>
  <c r="J279" i="83"/>
  <c r="B277" i="83"/>
  <c r="F277" i="83"/>
  <c r="G277" i="83"/>
  <c r="C37" i="85"/>
  <c r="G33" i="85"/>
  <c r="K32" i="104"/>
  <c r="G14" i="83"/>
  <c r="H91" i="89"/>
  <c r="E95" i="89"/>
  <c r="K36" i="78"/>
  <c r="M66" i="77"/>
  <c r="N71" i="77"/>
  <c r="K65" i="79"/>
  <c r="H46" i="67"/>
  <c r="O66" i="79"/>
  <c r="F74" i="79"/>
  <c r="J70" i="79"/>
  <c r="F72" i="79"/>
  <c r="J76" i="79"/>
  <c r="E75" i="79"/>
  <c r="B71" i="79"/>
  <c r="H184" i="81"/>
  <c r="H12" i="71"/>
  <c r="L66" i="59"/>
  <c r="D68" i="59"/>
  <c r="D110" i="63"/>
  <c r="H109" i="63"/>
  <c r="H97" i="75"/>
  <c r="B86" i="75"/>
  <c r="N89" i="75"/>
  <c r="F97" i="75"/>
  <c r="H38" i="73"/>
  <c r="I44" i="73"/>
  <c r="H99" i="71"/>
  <c r="G109" i="71"/>
  <c r="G104" i="71"/>
  <c r="B149" i="63"/>
  <c r="D151" i="63"/>
  <c r="J141" i="65"/>
  <c r="D40" i="55"/>
  <c r="H204" i="73"/>
  <c r="C208" i="65"/>
  <c r="F209" i="65"/>
  <c r="D65" i="61"/>
  <c r="J60" i="61"/>
  <c r="J79" i="65"/>
  <c r="H61" i="67"/>
  <c r="M80" i="65"/>
  <c r="H59" i="67"/>
  <c r="K66" i="67"/>
  <c r="L61" i="67"/>
  <c r="J63" i="73"/>
  <c r="G65" i="73"/>
  <c r="G64" i="73"/>
  <c r="D187" i="73"/>
  <c r="F150" i="67"/>
  <c r="J127" i="53"/>
  <c r="J134" i="53"/>
  <c r="E77" i="41"/>
  <c r="H56" i="53"/>
  <c r="K6" i="3"/>
  <c r="E391" i="3"/>
  <c r="N6" i="3"/>
  <c r="J6" i="3"/>
  <c r="I8" i="13"/>
  <c r="K8" i="13" s="1"/>
  <c r="K33" i="86"/>
  <c r="G181" i="81"/>
  <c r="J66" i="59"/>
  <c r="D101" i="63"/>
  <c r="I210" i="65"/>
  <c r="H214" i="65"/>
  <c r="J215" i="65"/>
  <c r="K207" i="65"/>
  <c r="J211" i="65"/>
  <c r="J208" i="65"/>
  <c r="G147" i="59"/>
  <c r="H8" i="63"/>
  <c r="J45" i="73"/>
  <c r="I37" i="73"/>
  <c r="F101" i="71"/>
  <c r="D100" i="71"/>
  <c r="D99" i="71"/>
  <c r="M150" i="63"/>
  <c r="H152" i="63"/>
  <c r="F63" i="55"/>
  <c r="L61" i="55"/>
  <c r="C64" i="55"/>
  <c r="C60" i="55"/>
  <c r="E58" i="55"/>
  <c r="I147" i="65"/>
  <c r="L42" i="55"/>
  <c r="D210" i="65"/>
  <c r="F211" i="65"/>
  <c r="G210" i="65"/>
  <c r="J63" i="61"/>
  <c r="L109" i="63"/>
  <c r="M83" i="65"/>
  <c r="H63" i="67"/>
  <c r="B60" i="67"/>
  <c r="J64" i="67"/>
  <c r="L63" i="73"/>
  <c r="L67" i="73"/>
  <c r="J68" i="73"/>
  <c r="I60" i="39"/>
  <c r="J59" i="39"/>
  <c r="J52" i="39"/>
  <c r="C54" i="39"/>
  <c r="B53" i="39"/>
  <c r="F59" i="39"/>
  <c r="E51" i="39"/>
  <c r="E59" i="39"/>
  <c r="C57" i="39"/>
  <c r="I55" i="39"/>
  <c r="B60" i="39"/>
  <c r="D60" i="39"/>
  <c r="H55" i="39"/>
  <c r="H58" i="39"/>
  <c r="H53" i="39"/>
  <c r="K188" i="73"/>
  <c r="F133" i="53"/>
  <c r="J75" i="41"/>
  <c r="I57" i="39"/>
  <c r="C110" i="45"/>
  <c r="C53" i="39"/>
  <c r="B97" i="33"/>
  <c r="C51" i="53"/>
  <c r="D58" i="61"/>
  <c r="C58" i="61"/>
  <c r="L65" i="61"/>
  <c r="H212" i="65"/>
  <c r="K213" i="65"/>
  <c r="L211" i="65"/>
  <c r="H65" i="61"/>
  <c r="F63" i="61"/>
  <c r="F85" i="65"/>
  <c r="D67" i="67"/>
  <c r="D60" i="67"/>
  <c r="H67" i="67"/>
  <c r="E648" i="81"/>
  <c r="K17" i="81"/>
  <c r="B68" i="73"/>
  <c r="B57" i="73"/>
  <c r="J9" i="55"/>
  <c r="I135" i="53"/>
  <c r="F77" i="41"/>
  <c r="E425" i="65"/>
  <c r="J6" i="65"/>
  <c r="G59" i="39"/>
  <c r="K114" i="45"/>
  <c r="E96" i="33"/>
  <c r="E58" i="53"/>
  <c r="L28" i="112"/>
  <c r="M28" i="112"/>
  <c r="K30" i="102"/>
  <c r="Q174" i="81"/>
  <c r="K31" i="70"/>
  <c r="L105" i="63"/>
  <c r="C58" i="59"/>
  <c r="L103" i="63"/>
  <c r="E171" i="89"/>
  <c r="H7" i="69"/>
  <c r="G150" i="63"/>
  <c r="E44" i="73"/>
  <c r="M41" i="73"/>
  <c r="B106" i="71"/>
  <c r="D108" i="71"/>
  <c r="L101" i="71"/>
  <c r="C147" i="63"/>
  <c r="I144" i="63"/>
  <c r="C148" i="65"/>
  <c r="I41" i="55"/>
  <c r="F188" i="45"/>
  <c r="B215" i="65"/>
  <c r="D204" i="65"/>
  <c r="E213" i="65"/>
  <c r="M152" i="63"/>
  <c r="L67" i="61"/>
  <c r="J64" i="61"/>
  <c r="F84" i="65"/>
  <c r="H57" i="73"/>
  <c r="L62" i="73"/>
  <c r="C65" i="73"/>
  <c r="C59" i="73"/>
  <c r="G57" i="73"/>
  <c r="B67" i="73"/>
  <c r="J60" i="73"/>
  <c r="D68" i="73"/>
  <c r="E67" i="73"/>
  <c r="K62" i="73"/>
  <c r="J64" i="73"/>
  <c r="B62" i="73"/>
  <c r="L60" i="67"/>
  <c r="C65" i="67"/>
  <c r="M68" i="67"/>
  <c r="F86" i="65"/>
  <c r="H60" i="73"/>
  <c r="G58" i="73"/>
  <c r="M58" i="73"/>
  <c r="J184" i="73"/>
  <c r="H127" i="53"/>
  <c r="K131" i="53"/>
  <c r="I53" i="39"/>
  <c r="D115" i="45"/>
  <c r="I54" i="53"/>
  <c r="H129" i="43"/>
  <c r="H134" i="43"/>
  <c r="K130" i="43"/>
  <c r="F191" i="53"/>
  <c r="F133" i="25"/>
  <c r="B39" i="9"/>
  <c r="G109" i="59"/>
  <c r="M126" i="2"/>
  <c r="M31" i="72"/>
  <c r="L31" i="72"/>
  <c r="E86" i="85"/>
  <c r="E88" i="85"/>
  <c r="F82" i="85"/>
  <c r="H86" i="85"/>
  <c r="D82" i="85"/>
  <c r="D86" i="85"/>
  <c r="C85" i="85"/>
  <c r="B85" i="85"/>
  <c r="H84" i="85"/>
  <c r="B84" i="85"/>
  <c r="C83" i="85"/>
  <c r="G88" i="85"/>
  <c r="F88" i="85"/>
  <c r="D88" i="85"/>
  <c r="G86" i="85"/>
  <c r="F86" i="85"/>
  <c r="C86" i="85"/>
  <c r="B86" i="85"/>
  <c r="D85" i="85"/>
  <c r="D83" i="85"/>
  <c r="G82" i="85"/>
  <c r="E82" i="85"/>
  <c r="F75" i="85"/>
  <c r="F226" i="117"/>
  <c r="B236" i="117"/>
  <c r="H236" i="117"/>
  <c r="M67" i="121"/>
  <c r="I51" i="79"/>
  <c r="L192" i="2"/>
  <c r="I191" i="2"/>
  <c r="H191" i="2"/>
  <c r="C191" i="2"/>
  <c r="M190" i="2"/>
  <c r="B191" i="2"/>
  <c r="I184" i="2"/>
  <c r="L185" i="2"/>
  <c r="I183" i="2"/>
  <c r="D182" i="2"/>
  <c r="B181" i="2"/>
  <c r="H184" i="2"/>
  <c r="M192" i="2"/>
  <c r="B186" i="2"/>
  <c r="M185" i="2"/>
  <c r="J183" i="2"/>
  <c r="M39" i="12"/>
  <c r="L39" i="12"/>
  <c r="F92" i="27"/>
  <c r="H102" i="27"/>
  <c r="H99" i="27"/>
  <c r="B99" i="27"/>
  <c r="C52" i="17"/>
  <c r="B52" i="17"/>
  <c r="B50" i="17"/>
  <c r="B48" i="17"/>
  <c r="C49" i="17"/>
  <c r="C48" i="17"/>
  <c r="B46" i="17"/>
  <c r="G81" i="9"/>
  <c r="H119" i="9" s="1"/>
  <c r="J91" i="9"/>
  <c r="E136" i="43"/>
  <c r="C131" i="43"/>
  <c r="E66" i="33"/>
  <c r="C41" i="9"/>
  <c r="C34" i="31"/>
  <c r="B32" i="31"/>
  <c r="F84" i="27"/>
  <c r="D86" i="19"/>
  <c r="G103" i="59"/>
  <c r="E128" i="2"/>
  <c r="G299" i="131"/>
  <c r="P315" i="131"/>
  <c r="M149" i="117"/>
  <c r="I148" i="117"/>
  <c r="I155" i="117"/>
  <c r="K151" i="117"/>
  <c r="H150" i="117"/>
  <c r="C149" i="117"/>
  <c r="E145" i="117"/>
  <c r="F153" i="117"/>
  <c r="M148" i="117"/>
  <c r="L148" i="117"/>
  <c r="H153" i="117"/>
  <c r="L32" i="126"/>
  <c r="M32" i="126"/>
  <c r="L35" i="84"/>
  <c r="M35" i="84"/>
  <c r="F161" i="93"/>
  <c r="K169" i="93"/>
  <c r="I166" i="93"/>
  <c r="H172" i="93"/>
  <c r="F70" i="121"/>
  <c r="L41" i="136"/>
  <c r="M41" i="136"/>
  <c r="J51" i="79"/>
  <c r="N204" i="49"/>
  <c r="G190" i="49"/>
  <c r="R348" i="77"/>
  <c r="G330" i="77"/>
  <c r="R349" i="77"/>
  <c r="G331" i="77"/>
  <c r="K30" i="78"/>
  <c r="K60" i="51"/>
  <c r="K30" i="72"/>
  <c r="G32" i="19"/>
  <c r="D108" i="37"/>
  <c r="H131" i="43"/>
  <c r="D130" i="43"/>
  <c r="G134" i="43"/>
  <c r="E68" i="33"/>
  <c r="C39" i="9"/>
  <c r="H31" i="31"/>
  <c r="D34" i="31"/>
  <c r="F81" i="15"/>
  <c r="H84" i="27"/>
  <c r="G102" i="25"/>
  <c r="D80" i="17"/>
  <c r="G82" i="17"/>
  <c r="I81" i="17"/>
  <c r="K12" i="57"/>
  <c r="D194" i="59"/>
  <c r="L109" i="59"/>
  <c r="K8" i="17"/>
  <c r="G120" i="2"/>
  <c r="I52" i="29"/>
  <c r="D135" i="131"/>
  <c r="I133" i="131"/>
  <c r="E132" i="131"/>
  <c r="K130" i="131"/>
  <c r="G130" i="131"/>
  <c r="J127" i="131"/>
  <c r="F127" i="131"/>
  <c r="F126" i="131"/>
  <c r="C130" i="131"/>
  <c r="C127" i="131"/>
  <c r="J126" i="131"/>
  <c r="K126" i="131"/>
  <c r="F125" i="131"/>
  <c r="F124" i="131"/>
  <c r="E125" i="131"/>
  <c r="G7" i="133"/>
  <c r="I7" i="133" s="1"/>
  <c r="N7" i="133" s="1"/>
  <c r="A377" i="133" s="1"/>
  <c r="C53" i="125"/>
  <c r="G153" i="125"/>
  <c r="L165" i="125"/>
  <c r="I6" i="117"/>
  <c r="J6" i="117" s="1"/>
  <c r="F143" i="121"/>
  <c r="M158" i="121"/>
  <c r="C155" i="121"/>
  <c r="I147" i="121"/>
  <c r="G147" i="121"/>
  <c r="I260" i="99"/>
  <c r="E259" i="99"/>
  <c r="E251" i="99"/>
  <c r="C260" i="99"/>
  <c r="E258" i="99"/>
  <c r="D258" i="99"/>
  <c r="M256" i="99"/>
  <c r="E257" i="99"/>
  <c r="D257" i="99"/>
  <c r="C255" i="99"/>
  <c r="M254" i="99"/>
  <c r="K253" i="99"/>
  <c r="L253" i="99"/>
  <c r="E252" i="99"/>
  <c r="I250" i="99"/>
  <c r="I253" i="99"/>
  <c r="J253" i="99"/>
  <c r="I82" i="105"/>
  <c r="C82" i="105"/>
  <c r="K29" i="90"/>
  <c r="G318" i="121"/>
  <c r="K148" i="121"/>
  <c r="L172" i="93"/>
  <c r="M169" i="93"/>
  <c r="H123" i="65"/>
  <c r="E122" i="65"/>
  <c r="M36" i="132"/>
  <c r="L36" i="132"/>
  <c r="F77" i="93"/>
  <c r="J93" i="93"/>
  <c r="E93" i="93"/>
  <c r="B84" i="93"/>
  <c r="B83" i="93"/>
  <c r="C87" i="93"/>
  <c r="B86" i="93"/>
  <c r="M85" i="93"/>
  <c r="G84" i="93"/>
  <c r="D84" i="93"/>
  <c r="K92" i="93"/>
  <c r="I93" i="93"/>
  <c r="H93" i="93"/>
  <c r="M71" i="121"/>
  <c r="K51" i="79"/>
  <c r="H7" i="21"/>
  <c r="I7" i="21" s="1"/>
  <c r="E246" i="21" s="1"/>
  <c r="B147" i="107"/>
  <c r="B150" i="107"/>
  <c r="M40" i="30"/>
  <c r="L40" i="30"/>
  <c r="I33" i="29"/>
  <c r="E32" i="29"/>
  <c r="D32" i="29"/>
  <c r="H33" i="29"/>
  <c r="I31" i="29"/>
  <c r="H13" i="59"/>
  <c r="F190" i="2"/>
  <c r="G8" i="107"/>
  <c r="C52" i="51"/>
  <c r="F34" i="21"/>
  <c r="C146" i="41"/>
  <c r="G34" i="19"/>
  <c r="I111" i="37"/>
  <c r="H136" i="43"/>
  <c r="E132" i="43"/>
  <c r="D136" i="43"/>
  <c r="B66" i="23"/>
  <c r="D39" i="9"/>
  <c r="G34" i="31"/>
  <c r="E32" i="31"/>
  <c r="C81" i="27"/>
  <c r="H100" i="25"/>
  <c r="H82" i="19"/>
  <c r="N6" i="7"/>
  <c r="A142" i="7" s="1"/>
  <c r="I183" i="59"/>
  <c r="B105" i="59"/>
  <c r="K121" i="2"/>
  <c r="M39" i="130"/>
  <c r="L39" i="130"/>
  <c r="K33" i="76"/>
  <c r="L42" i="54"/>
  <c r="M42" i="54"/>
  <c r="O42" i="77"/>
  <c r="I76" i="89"/>
  <c r="H76" i="89"/>
  <c r="G89" i="67"/>
  <c r="F75" i="67"/>
  <c r="H176" i="93"/>
  <c r="F172" i="93"/>
  <c r="I124" i="65"/>
  <c r="B130" i="65"/>
  <c r="K68" i="121"/>
  <c r="J212" i="57"/>
  <c r="L212" i="57"/>
  <c r="I212" i="57"/>
  <c r="H212" i="57"/>
  <c r="M211" i="57"/>
  <c r="L211" i="57"/>
  <c r="E210" i="57"/>
  <c r="K209" i="57"/>
  <c r="I204" i="57"/>
  <c r="D210" i="57"/>
  <c r="C210" i="57"/>
  <c r="E205" i="57"/>
  <c r="K205" i="57"/>
  <c r="L209" i="57"/>
  <c r="M205" i="57"/>
  <c r="L205" i="57"/>
  <c r="D205" i="57"/>
  <c r="M38" i="136"/>
  <c r="L38" i="136"/>
  <c r="N41" i="79"/>
  <c r="G13" i="69"/>
  <c r="I13" i="69" s="1"/>
  <c r="N13" i="69" s="1"/>
  <c r="A408" i="69" s="1"/>
  <c r="B48" i="19"/>
  <c r="I45" i="19"/>
  <c r="G147" i="107"/>
  <c r="B148" i="107"/>
  <c r="I7" i="3"/>
  <c r="L37" i="56"/>
  <c r="M37" i="56"/>
  <c r="F129" i="65"/>
  <c r="D155" i="39"/>
  <c r="E151" i="39"/>
  <c r="K148" i="39"/>
  <c r="C155" i="39"/>
  <c r="B148" i="39"/>
  <c r="M35" i="42"/>
  <c r="L35" i="42"/>
  <c r="K32" i="34"/>
  <c r="H14" i="55"/>
  <c r="D133" i="43"/>
  <c r="B42" i="9"/>
  <c r="I31" i="31"/>
  <c r="E34" i="31"/>
  <c r="D83" i="27"/>
  <c r="G13" i="131"/>
  <c r="I13" i="131" s="1"/>
  <c r="F322" i="123"/>
  <c r="P338" i="123"/>
  <c r="M40" i="96"/>
  <c r="L40" i="96"/>
  <c r="P315" i="117"/>
  <c r="F299" i="117"/>
  <c r="F35" i="77"/>
  <c r="G50" i="77"/>
  <c r="G49" i="77"/>
  <c r="O48" i="77"/>
  <c r="D45" i="77"/>
  <c r="L42" i="77"/>
  <c r="J51" i="77"/>
  <c r="H51" i="77"/>
  <c r="G51" i="77"/>
  <c r="O41" i="77"/>
  <c r="O40" i="77"/>
  <c r="E237" i="133"/>
  <c r="M229" i="133"/>
  <c r="I235" i="133"/>
  <c r="L229" i="133"/>
  <c r="C235" i="133"/>
  <c r="K229" i="133"/>
  <c r="I234" i="133"/>
  <c r="C228" i="133"/>
  <c r="H234" i="133"/>
  <c r="G227" i="133"/>
  <c r="G234" i="133"/>
  <c r="F227" i="133"/>
  <c r="L231" i="133"/>
  <c r="I231" i="133"/>
  <c r="B230" i="133"/>
  <c r="C227" i="133"/>
  <c r="F234" i="133"/>
  <c r="D234" i="133"/>
  <c r="E234" i="133"/>
  <c r="B227" i="133"/>
  <c r="M237" i="133"/>
  <c r="J237" i="133"/>
  <c r="G230" i="133"/>
  <c r="F230" i="133"/>
  <c r="E230" i="133"/>
  <c r="I237" i="133"/>
  <c r="F237" i="133"/>
  <c r="B233" i="133"/>
  <c r="I51" i="77"/>
  <c r="P273" i="55"/>
  <c r="G257" i="55"/>
  <c r="M32" i="48"/>
  <c r="L32" i="48"/>
  <c r="C172" i="93"/>
  <c r="F143" i="97"/>
  <c r="J153" i="97"/>
  <c r="J176" i="93"/>
  <c r="J169" i="93"/>
  <c r="K31" i="64"/>
  <c r="K35" i="122"/>
  <c r="L71" i="121"/>
  <c r="G8" i="115"/>
  <c r="M33" i="66"/>
  <c r="L33" i="66"/>
  <c r="H147" i="107"/>
  <c r="E153" i="107"/>
  <c r="M37" i="16"/>
  <c r="L37" i="16"/>
  <c r="E96" i="45"/>
  <c r="C103" i="27"/>
  <c r="E96" i="27"/>
  <c r="J41" i="37"/>
  <c r="K32" i="37"/>
  <c r="F33" i="37"/>
  <c r="D39" i="37"/>
  <c r="D37" i="37"/>
  <c r="C37" i="37"/>
  <c r="J33" i="37"/>
  <c r="C39" i="37"/>
  <c r="B37" i="37"/>
  <c r="B36" i="37"/>
  <c r="F168" i="67"/>
  <c r="E167" i="67"/>
  <c r="D167" i="67"/>
  <c r="M166" i="67"/>
  <c r="E164" i="67"/>
  <c r="C164" i="67"/>
  <c r="G163" i="67"/>
  <c r="L162" i="67"/>
  <c r="G173" i="67"/>
  <c r="K162" i="67"/>
  <c r="E173" i="67"/>
  <c r="I162" i="67"/>
  <c r="F156" i="67"/>
  <c r="D173" i="67"/>
  <c r="B173" i="67"/>
  <c r="J169" i="67"/>
  <c r="F171" i="67"/>
  <c r="G170" i="67"/>
  <c r="K169" i="67"/>
  <c r="M168" i="67"/>
  <c r="L166" i="67"/>
  <c r="C169" i="67"/>
  <c r="B162" i="67"/>
  <c r="D166" i="67"/>
  <c r="L36" i="12"/>
  <c r="M36" i="12"/>
  <c r="M119" i="2"/>
  <c r="H16" i="141"/>
  <c r="F317" i="123"/>
  <c r="G317" i="123"/>
  <c r="L380" i="123" s="1"/>
  <c r="A380" i="123" s="1"/>
  <c r="A388" i="123" s="1"/>
  <c r="F64" i="109"/>
  <c r="E64" i="109"/>
  <c r="I66" i="109"/>
  <c r="G66" i="109"/>
  <c r="C66" i="109"/>
  <c r="B66" i="109"/>
  <c r="C67" i="109"/>
  <c r="F66" i="109"/>
  <c r="E66" i="109"/>
  <c r="E62" i="109"/>
  <c r="F69" i="109"/>
  <c r="D66" i="109"/>
  <c r="D68" i="109"/>
  <c r="G62" i="109"/>
  <c r="D62" i="109"/>
  <c r="F56" i="109"/>
  <c r="M35" i="80"/>
  <c r="L35" i="80"/>
  <c r="F35" i="79"/>
  <c r="B53" i="79"/>
  <c r="H40" i="79"/>
  <c r="J50" i="79"/>
  <c r="N44" i="79"/>
  <c r="F122" i="49"/>
  <c r="C134" i="49"/>
  <c r="E133" i="49"/>
  <c r="D133" i="49"/>
  <c r="B131" i="49"/>
  <c r="H129" i="49"/>
  <c r="D128" i="49"/>
  <c r="B129" i="49"/>
  <c r="E128" i="49"/>
  <c r="E45" i="77"/>
  <c r="G172" i="93"/>
  <c r="G189" i="51"/>
  <c r="N203" i="51"/>
  <c r="F115" i="65"/>
  <c r="I131" i="65"/>
  <c r="F122" i="65"/>
  <c r="D120" i="65"/>
  <c r="G130" i="65"/>
  <c r="M122" i="65"/>
  <c r="B168" i="93"/>
  <c r="I176" i="93"/>
  <c r="F130" i="65"/>
  <c r="K66" i="121"/>
  <c r="E46" i="57"/>
  <c r="H47" i="57"/>
  <c r="H42" i="57"/>
  <c r="I36" i="57"/>
  <c r="G47" i="57"/>
  <c r="L41" i="57"/>
  <c r="H36" i="57"/>
  <c r="F47" i="57"/>
  <c r="K41" i="57"/>
  <c r="M45" i="57"/>
  <c r="E41" i="57"/>
  <c r="L45" i="57"/>
  <c r="D41" i="57"/>
  <c r="K45" i="57"/>
  <c r="C41" i="57"/>
  <c r="M44" i="57"/>
  <c r="K36" i="57"/>
  <c r="L44" i="57"/>
  <c r="J36" i="57"/>
  <c r="K44" i="57"/>
  <c r="L43" i="57"/>
  <c r="K43" i="57"/>
  <c r="M40" i="57"/>
  <c r="K37" i="57"/>
  <c r="L47" i="57"/>
  <c r="K47" i="57"/>
  <c r="I47" i="57"/>
  <c r="E45" i="57"/>
  <c r="C45" i="57"/>
  <c r="C43" i="57"/>
  <c r="I42" i="57"/>
  <c r="H38" i="57"/>
  <c r="I38" i="57"/>
  <c r="D43" i="57"/>
  <c r="H39" i="57"/>
  <c r="G39" i="57"/>
  <c r="F39" i="57"/>
  <c r="G38" i="57"/>
  <c r="M186" i="65"/>
  <c r="I44" i="79"/>
  <c r="I147" i="107"/>
  <c r="G149" i="107"/>
  <c r="L41" i="16"/>
  <c r="M41" i="16"/>
  <c r="H52" i="23"/>
  <c r="K128" i="43"/>
  <c r="G10" i="47"/>
  <c r="G108" i="59"/>
  <c r="I123" i="2"/>
  <c r="K29" i="138"/>
  <c r="L42" i="142"/>
  <c r="M42" i="142"/>
  <c r="F272" i="139"/>
  <c r="G272" i="139"/>
  <c r="L42" i="126"/>
  <c r="M42" i="126"/>
  <c r="E333" i="107"/>
  <c r="J11" i="107"/>
  <c r="K8" i="123"/>
  <c r="K29" i="86"/>
  <c r="L38" i="108"/>
  <c r="M38" i="108"/>
  <c r="G40" i="77"/>
  <c r="D60" i="49"/>
  <c r="J58" i="49"/>
  <c r="I58" i="49"/>
  <c r="H58" i="49"/>
  <c r="F58" i="49"/>
  <c r="E58" i="49"/>
  <c r="H57" i="49"/>
  <c r="C60" i="49"/>
  <c r="I56" i="49"/>
  <c r="K55" i="49"/>
  <c r="E52" i="49"/>
  <c r="I53" i="49"/>
  <c r="H53" i="49"/>
  <c r="H51" i="49"/>
  <c r="F51" i="49"/>
  <c r="K53" i="49"/>
  <c r="J52" i="77"/>
  <c r="F119" i="133"/>
  <c r="K126" i="133"/>
  <c r="C168" i="93"/>
  <c r="H171" i="93"/>
  <c r="L38" i="68"/>
  <c r="M38" i="68"/>
  <c r="F48" i="103"/>
  <c r="D56" i="103"/>
  <c r="B56" i="103"/>
  <c r="D58" i="103"/>
  <c r="D58" i="49"/>
  <c r="H12" i="61"/>
  <c r="B187" i="65"/>
  <c r="K30" i="104"/>
  <c r="J8" i="49"/>
  <c r="I8" i="49"/>
  <c r="J44" i="79"/>
  <c r="H149" i="107"/>
  <c r="E150" i="107"/>
  <c r="F153" i="107"/>
  <c r="I259" i="77"/>
  <c r="F258" i="77"/>
  <c r="O255" i="77"/>
  <c r="K253" i="77"/>
  <c r="J253" i="77"/>
  <c r="I251" i="77"/>
  <c r="H251" i="77"/>
  <c r="H259" i="77"/>
  <c r="D257" i="77"/>
  <c r="B256" i="77"/>
  <c r="F247" i="77"/>
  <c r="B251" i="77"/>
  <c r="G247" i="77"/>
  <c r="G30" i="15"/>
  <c r="D39" i="11"/>
  <c r="C39" i="11"/>
  <c r="C43" i="11"/>
  <c r="B42" i="11"/>
  <c r="B41" i="11"/>
  <c r="B39" i="11"/>
  <c r="M35" i="32"/>
  <c r="L35" i="32"/>
  <c r="H11" i="59"/>
  <c r="K29" i="58"/>
  <c r="C83" i="27"/>
  <c r="I64" i="23"/>
  <c r="F31" i="19"/>
  <c r="G109" i="37"/>
  <c r="H130" i="43"/>
  <c r="I132" i="43"/>
  <c r="E133" i="43"/>
  <c r="G65" i="33"/>
  <c r="E69" i="19"/>
  <c r="K169" i="2"/>
  <c r="C32" i="31"/>
  <c r="F32" i="31"/>
  <c r="G83" i="27"/>
  <c r="D82" i="19"/>
  <c r="B86" i="17"/>
  <c r="E83" i="17"/>
  <c r="E103" i="59"/>
  <c r="B78" i="107"/>
  <c r="D77" i="107"/>
  <c r="J71" i="107"/>
  <c r="K76" i="107"/>
  <c r="K70" i="107"/>
  <c r="E77" i="107"/>
  <c r="G70" i="107"/>
  <c r="J76" i="107"/>
  <c r="G74" i="107"/>
  <c r="F74" i="107"/>
  <c r="J75" i="107"/>
  <c r="B75" i="107"/>
  <c r="E74" i="107"/>
  <c r="H73" i="107"/>
  <c r="F77" i="107"/>
  <c r="K75" i="107"/>
  <c r="K73" i="107"/>
  <c r="J73" i="107"/>
  <c r="F73" i="107"/>
  <c r="B79" i="107"/>
  <c r="K78" i="107"/>
  <c r="G73" i="107"/>
  <c r="E73" i="107"/>
  <c r="J70" i="107"/>
  <c r="E79" i="107"/>
  <c r="D79" i="107"/>
  <c r="C79" i="107"/>
  <c r="K71" i="107"/>
  <c r="F64" i="107"/>
  <c r="G79" i="107"/>
  <c r="I79" i="107"/>
  <c r="H79" i="107"/>
  <c r="J81" i="127"/>
  <c r="D81" i="127"/>
  <c r="G81" i="127"/>
  <c r="F81" i="127"/>
  <c r="I81" i="127"/>
  <c r="K76" i="127"/>
  <c r="C81" i="127"/>
  <c r="B239" i="97"/>
  <c r="F226" i="97"/>
  <c r="G240" i="97"/>
  <c r="I239" i="97"/>
  <c r="G239" i="97"/>
  <c r="F236" i="97"/>
  <c r="B236" i="97"/>
  <c r="K234" i="97"/>
  <c r="J234" i="97"/>
  <c r="I234" i="97"/>
  <c r="G234" i="97"/>
  <c r="G236" i="97"/>
  <c r="F234" i="97"/>
  <c r="G231" i="97"/>
  <c r="F45" i="77"/>
  <c r="M28" i="92"/>
  <c r="L28" i="92"/>
  <c r="D168" i="93"/>
  <c r="B177" i="93"/>
  <c r="L125" i="65"/>
  <c r="L42" i="56"/>
  <c r="M42" i="56"/>
  <c r="I191" i="65"/>
  <c r="L33" i="64"/>
  <c r="M33" i="64"/>
  <c r="L44" i="79"/>
  <c r="M32" i="16"/>
  <c r="L32" i="16"/>
  <c r="J149" i="107"/>
  <c r="B152" i="107"/>
  <c r="E62" i="25"/>
  <c r="J6" i="69"/>
  <c r="I6" i="69"/>
  <c r="M29" i="14"/>
  <c r="L29" i="14"/>
  <c r="C144" i="69"/>
  <c r="B144" i="69"/>
  <c r="E143" i="69"/>
  <c r="D151" i="69"/>
  <c r="J141" i="69"/>
  <c r="G141" i="69"/>
  <c r="C152" i="69"/>
  <c r="B152" i="69"/>
  <c r="B150" i="69"/>
  <c r="M149" i="69"/>
  <c r="G147" i="69"/>
  <c r="F147" i="69"/>
  <c r="E147" i="69"/>
  <c r="D147" i="69"/>
  <c r="C147" i="69"/>
  <c r="I144" i="69"/>
  <c r="D148" i="69"/>
  <c r="D143" i="69"/>
  <c r="C143" i="69"/>
  <c r="I141" i="69"/>
  <c r="E148" i="69"/>
  <c r="H86" i="67"/>
  <c r="E81" i="67"/>
  <c r="D86" i="67"/>
  <c r="D81" i="67"/>
  <c r="J85" i="67"/>
  <c r="B81" i="67"/>
  <c r="I85" i="67"/>
  <c r="H80" i="67"/>
  <c r="F88" i="67"/>
  <c r="M81" i="67"/>
  <c r="D88" i="67"/>
  <c r="G81" i="67"/>
  <c r="C88" i="67"/>
  <c r="M79" i="67"/>
  <c r="M87" i="67"/>
  <c r="L79" i="67"/>
  <c r="B87" i="67"/>
  <c r="I79" i="67"/>
  <c r="M86" i="67"/>
  <c r="H79" i="67"/>
  <c r="B82" i="67"/>
  <c r="G79" i="67"/>
  <c r="E89" i="67"/>
  <c r="F79" i="67"/>
  <c r="D89" i="67"/>
  <c r="E79" i="67"/>
  <c r="B89" i="67"/>
  <c r="C79" i="67"/>
  <c r="L84" i="67"/>
  <c r="F72" i="67"/>
  <c r="M84" i="67"/>
  <c r="K84" i="67"/>
  <c r="D84" i="67"/>
  <c r="C84" i="67"/>
  <c r="L83" i="67"/>
  <c r="I83" i="67"/>
  <c r="H83" i="67"/>
  <c r="B78" i="67"/>
  <c r="H88" i="67"/>
  <c r="C82" i="67"/>
  <c r="G88" i="67"/>
  <c r="B187" i="2"/>
  <c r="C33" i="15"/>
  <c r="M32" i="8"/>
  <c r="L32" i="8"/>
  <c r="F122" i="39"/>
  <c r="B135" i="39"/>
  <c r="H127" i="39"/>
  <c r="B127" i="39"/>
  <c r="C69" i="15"/>
  <c r="I51" i="27"/>
  <c r="H52" i="27"/>
  <c r="F46" i="27"/>
  <c r="E46" i="27"/>
  <c r="L41" i="72"/>
  <c r="M41" i="72"/>
  <c r="D63" i="23"/>
  <c r="G29" i="19"/>
  <c r="J115" i="37"/>
  <c r="K133" i="43"/>
  <c r="D128" i="43"/>
  <c r="I62" i="33"/>
  <c r="F131" i="49"/>
  <c r="I134" i="49"/>
  <c r="B133" i="49"/>
  <c r="C127" i="49"/>
  <c r="F133" i="49"/>
  <c r="C67" i="19"/>
  <c r="I34" i="31"/>
  <c r="F34" i="31"/>
  <c r="C82" i="17"/>
  <c r="E85" i="17"/>
  <c r="H108" i="59"/>
  <c r="K32" i="32"/>
  <c r="B42" i="13"/>
  <c r="F119" i="2"/>
  <c r="N8" i="17"/>
  <c r="A220" i="17" s="1"/>
  <c r="F86" i="73"/>
  <c r="E85" i="73"/>
  <c r="J84" i="73"/>
  <c r="E83" i="73"/>
  <c r="G80" i="73"/>
  <c r="G86" i="73"/>
  <c r="D83" i="73"/>
  <c r="H80" i="73"/>
  <c r="D80" i="73"/>
  <c r="H79" i="73"/>
  <c r="H89" i="73"/>
  <c r="F89" i="73"/>
  <c r="E89" i="73"/>
  <c r="I86" i="73"/>
  <c r="H86" i="73"/>
  <c r="D78" i="73"/>
  <c r="L78" i="73"/>
  <c r="G79" i="73"/>
  <c r="K78" i="73"/>
  <c r="K28" i="100"/>
  <c r="D231" i="97"/>
  <c r="B157" i="121"/>
  <c r="H10" i="83"/>
  <c r="L52" i="77"/>
  <c r="K33" i="72"/>
  <c r="K34" i="62"/>
  <c r="L40" i="64"/>
  <c r="M40" i="64"/>
  <c r="G168" i="93"/>
  <c r="D172" i="93"/>
  <c r="M125" i="65"/>
  <c r="D187" i="65"/>
  <c r="M44" i="79"/>
  <c r="G190" i="35"/>
  <c r="N204" i="35"/>
  <c r="D153" i="107"/>
  <c r="H152" i="107"/>
  <c r="K28" i="44"/>
  <c r="G10" i="51"/>
  <c r="K58" i="69"/>
  <c r="K67" i="69"/>
  <c r="D65" i="69"/>
  <c r="K59" i="69"/>
  <c r="H59" i="69"/>
  <c r="G59" i="69"/>
  <c r="F59" i="69"/>
  <c r="E59" i="69"/>
  <c r="K64" i="69"/>
  <c r="J64" i="69"/>
  <c r="H64" i="69"/>
  <c r="G64" i="69"/>
  <c r="E60" i="69"/>
  <c r="G67" i="69"/>
  <c r="M66" i="69"/>
  <c r="D33" i="15"/>
  <c r="K30" i="26"/>
  <c r="D69" i="15"/>
  <c r="M29" i="36"/>
  <c r="L29" i="36"/>
  <c r="G8" i="45"/>
  <c r="I8" i="45" s="1"/>
  <c r="C135" i="39"/>
  <c r="F258" i="63"/>
  <c r="C68" i="67"/>
  <c r="I62" i="67"/>
  <c r="G60" i="67"/>
  <c r="H7" i="51"/>
  <c r="G7" i="51"/>
  <c r="B91" i="47"/>
  <c r="K91" i="47"/>
  <c r="H57" i="51"/>
  <c r="F92" i="47"/>
  <c r="H114" i="37"/>
  <c r="D114" i="37"/>
  <c r="E116" i="37"/>
  <c r="D98" i="47"/>
  <c r="H10" i="53"/>
  <c r="I166" i="55"/>
  <c r="J165" i="55"/>
  <c r="D113" i="37"/>
  <c r="F65" i="23"/>
  <c r="B150" i="35"/>
  <c r="D97" i="21"/>
  <c r="C35" i="21"/>
  <c r="E68" i="23"/>
  <c r="C150" i="35"/>
  <c r="D65" i="23"/>
  <c r="G31" i="19"/>
  <c r="H109" i="37"/>
  <c r="E131" i="43"/>
  <c r="F130" i="43"/>
  <c r="H65" i="33"/>
  <c r="H64" i="27"/>
  <c r="C136" i="49"/>
  <c r="G32" i="31"/>
  <c r="H96" i="25"/>
  <c r="N10" i="15"/>
  <c r="A236" i="15" s="1"/>
  <c r="I55" i="43"/>
  <c r="H58" i="43"/>
  <c r="H54" i="43"/>
  <c r="G136" i="49"/>
  <c r="F129" i="49"/>
  <c r="C128" i="49"/>
  <c r="J128" i="49"/>
  <c r="B135" i="49"/>
  <c r="G33" i="41"/>
  <c r="F63" i="19"/>
  <c r="D40" i="9"/>
  <c r="F35" i="31"/>
  <c r="G29" i="31"/>
  <c r="C86" i="17"/>
  <c r="D83" i="17"/>
  <c r="M105" i="59"/>
  <c r="C44" i="13"/>
  <c r="F121" i="2"/>
  <c r="F52" i="29"/>
  <c r="G51" i="29"/>
  <c r="G161" i="2"/>
  <c r="I8" i="123"/>
  <c r="H125" i="133"/>
  <c r="H7" i="119"/>
  <c r="B149" i="97"/>
  <c r="K36" i="70"/>
  <c r="C239" i="97"/>
  <c r="H8" i="129"/>
  <c r="B147" i="121"/>
  <c r="D69" i="95"/>
  <c r="M40" i="88"/>
  <c r="L40" i="88"/>
  <c r="M41" i="80"/>
  <c r="L41" i="80"/>
  <c r="K38" i="78"/>
  <c r="L155" i="97"/>
  <c r="G148" i="85"/>
  <c r="J197" i="85" s="1"/>
  <c r="F148" i="85"/>
  <c r="I171" i="85" s="1"/>
  <c r="A179" i="85" s="1"/>
  <c r="A187" i="85" s="1"/>
  <c r="H8" i="69"/>
  <c r="G45" i="77"/>
  <c r="P320" i="93"/>
  <c r="G304" i="93"/>
  <c r="G131" i="61"/>
  <c r="F131" i="61"/>
  <c r="B75" i="51"/>
  <c r="K30" i="50"/>
  <c r="H169" i="93"/>
  <c r="E177" i="93"/>
  <c r="I225" i="75"/>
  <c r="B126" i="65"/>
  <c r="B188" i="65"/>
  <c r="Q181" i="83"/>
  <c r="P177" i="83"/>
  <c r="H46" i="79"/>
  <c r="G249" i="63"/>
  <c r="N318" i="63" s="1"/>
  <c r="F249" i="63"/>
  <c r="C155" i="107"/>
  <c r="I146" i="107"/>
  <c r="B76" i="75"/>
  <c r="L75" i="75"/>
  <c r="K75" i="75"/>
  <c r="M69" i="75"/>
  <c r="K32" i="18"/>
  <c r="H225" i="75"/>
  <c r="H13" i="65"/>
  <c r="I13" i="65" s="1"/>
  <c r="E62" i="15"/>
  <c r="L36" i="10"/>
  <c r="M36" i="10"/>
  <c r="D135" i="43"/>
  <c r="C134" i="43"/>
  <c r="D54" i="9"/>
  <c r="K29" i="40"/>
  <c r="B43" i="9"/>
  <c r="H30" i="31"/>
  <c r="D32" i="31"/>
  <c r="K30" i="34"/>
  <c r="D109" i="59"/>
  <c r="L123" i="2"/>
  <c r="M163" i="2"/>
  <c r="B156" i="117"/>
  <c r="K239" i="97"/>
  <c r="M33" i="80"/>
  <c r="L33" i="80"/>
  <c r="H14" i="65"/>
  <c r="I14" i="65" s="1"/>
  <c r="H7" i="131"/>
  <c r="O52" i="77"/>
  <c r="F129" i="77"/>
  <c r="O137" i="77"/>
  <c r="M137" i="77"/>
  <c r="L137" i="77"/>
  <c r="C134" i="77"/>
  <c r="L136" i="77"/>
  <c r="J136" i="77"/>
  <c r="K136" i="77"/>
  <c r="J214" i="61"/>
  <c r="F210" i="61"/>
  <c r="G205" i="61"/>
  <c r="H214" i="61"/>
  <c r="E210" i="61"/>
  <c r="F205" i="61"/>
  <c r="G214" i="61"/>
  <c r="C210" i="61"/>
  <c r="B205" i="61"/>
  <c r="C214" i="61"/>
  <c r="B210" i="61"/>
  <c r="M204" i="61"/>
  <c r="H213" i="61"/>
  <c r="K207" i="61"/>
  <c r="G213" i="61"/>
  <c r="J207" i="61"/>
  <c r="F213" i="61"/>
  <c r="I207" i="61"/>
  <c r="K212" i="61"/>
  <c r="H207" i="61"/>
  <c r="D212" i="61"/>
  <c r="G207" i="61"/>
  <c r="B212" i="61"/>
  <c r="F207" i="61"/>
  <c r="J211" i="61"/>
  <c r="I211" i="61"/>
  <c r="H211" i="61"/>
  <c r="G211" i="61"/>
  <c r="G210" i="61"/>
  <c r="C209" i="61"/>
  <c r="C206" i="61"/>
  <c r="B204" i="61"/>
  <c r="D209" i="61"/>
  <c r="H209" i="61"/>
  <c r="G209" i="61"/>
  <c r="B208" i="61"/>
  <c r="K215" i="61"/>
  <c r="B214" i="61"/>
  <c r="K172" i="93"/>
  <c r="J126" i="65"/>
  <c r="D190" i="65"/>
  <c r="H7" i="65"/>
  <c r="E95" i="45"/>
  <c r="D95" i="45"/>
  <c r="C95" i="45"/>
  <c r="E93" i="45"/>
  <c r="B93" i="45"/>
  <c r="I98" i="45"/>
  <c r="C89" i="45"/>
  <c r="G98" i="45"/>
  <c r="C94" i="45"/>
  <c r="B91" i="45"/>
  <c r="H89" i="45"/>
  <c r="F98" i="45"/>
  <c r="C98" i="45"/>
  <c r="B98" i="45"/>
  <c r="H91" i="45"/>
  <c r="K90" i="45"/>
  <c r="F83" i="45"/>
  <c r="D98" i="45"/>
  <c r="J91" i="45"/>
  <c r="B96" i="45"/>
  <c r="I91" i="45"/>
  <c r="D91" i="45"/>
  <c r="K97" i="45"/>
  <c r="C47" i="79"/>
  <c r="D155" i="107"/>
  <c r="I152" i="107"/>
  <c r="M34" i="88"/>
  <c r="L34" i="88"/>
  <c r="E65" i="31"/>
  <c r="F63" i="31"/>
  <c r="G66" i="31"/>
  <c r="I66" i="31"/>
  <c r="H66" i="31"/>
  <c r="G28" i="15"/>
  <c r="M38" i="8"/>
  <c r="L38" i="8"/>
  <c r="G128" i="29"/>
  <c r="J177" i="29" s="1"/>
  <c r="A177" i="29" s="1"/>
  <c r="A183" i="29" s="1"/>
  <c r="F128" i="29"/>
  <c r="F130" i="29"/>
  <c r="F62" i="15"/>
  <c r="F27" i="9"/>
  <c r="G29" i="9"/>
  <c r="F26" i="9"/>
  <c r="C29" i="9"/>
  <c r="B28" i="9"/>
  <c r="G27" i="9"/>
  <c r="G26" i="9"/>
  <c r="F18" i="9"/>
  <c r="F170" i="55"/>
  <c r="J51" i="51"/>
  <c r="D92" i="47"/>
  <c r="F165" i="55"/>
  <c r="G168" i="55"/>
  <c r="F162" i="55"/>
  <c r="K29" i="28"/>
  <c r="F35" i="21"/>
  <c r="G9" i="43"/>
  <c r="B33" i="21"/>
  <c r="E64" i="23"/>
  <c r="D65" i="33"/>
  <c r="I109" i="37"/>
  <c r="E129" i="43"/>
  <c r="F127" i="43"/>
  <c r="I65" i="33"/>
  <c r="E97" i="31"/>
  <c r="I131" i="49"/>
  <c r="F134" i="49"/>
  <c r="F128" i="49"/>
  <c r="D132" i="49"/>
  <c r="G65" i="19"/>
  <c r="E40" i="9"/>
  <c r="E33" i="31"/>
  <c r="B35" i="31"/>
  <c r="D99" i="25"/>
  <c r="C99" i="25"/>
  <c r="B82" i="17"/>
  <c r="F81" i="17"/>
  <c r="G85" i="5"/>
  <c r="K30" i="14"/>
  <c r="J102" i="59"/>
  <c r="F40" i="13"/>
  <c r="D81" i="15"/>
  <c r="L128" i="2"/>
  <c r="E45" i="29"/>
  <c r="J7" i="17"/>
  <c r="B169" i="2"/>
  <c r="M40" i="126"/>
  <c r="L40" i="126"/>
  <c r="I153" i="117"/>
  <c r="B48" i="125"/>
  <c r="I126" i="133"/>
  <c r="E67" i="109"/>
  <c r="L150" i="97"/>
  <c r="J242" i="97"/>
  <c r="C147" i="121"/>
  <c r="D157" i="97"/>
  <c r="M142" i="77"/>
  <c r="O205" i="81"/>
  <c r="G46" i="77"/>
  <c r="M39" i="52"/>
  <c r="L39" i="52"/>
  <c r="K31" i="62"/>
  <c r="M172" i="93"/>
  <c r="G131" i="99"/>
  <c r="F131" i="99"/>
  <c r="I135" i="99"/>
  <c r="E126" i="99"/>
  <c r="K134" i="99"/>
  <c r="D126" i="99"/>
  <c r="J134" i="99"/>
  <c r="D124" i="99"/>
  <c r="F134" i="99"/>
  <c r="K127" i="99"/>
  <c r="J127" i="99"/>
  <c r="G127" i="99"/>
  <c r="F118" i="99"/>
  <c r="J135" i="99"/>
  <c r="H134" i="99"/>
  <c r="G134" i="99"/>
  <c r="J130" i="99"/>
  <c r="G132" i="99"/>
  <c r="M129" i="99"/>
  <c r="K129" i="99"/>
  <c r="B129" i="99"/>
  <c r="J126" i="99"/>
  <c r="H126" i="99"/>
  <c r="D127" i="65"/>
  <c r="K31" i="54"/>
  <c r="F191" i="65"/>
  <c r="J169" i="83"/>
  <c r="K40" i="79"/>
  <c r="D47" i="79"/>
  <c r="I149" i="107"/>
  <c r="J147" i="107"/>
  <c r="D62" i="25"/>
  <c r="C67" i="15"/>
  <c r="M43" i="3"/>
  <c r="M38" i="3"/>
  <c r="L38" i="3"/>
  <c r="C43" i="9"/>
  <c r="I119" i="2"/>
  <c r="M37" i="130"/>
  <c r="L37" i="130"/>
  <c r="L42" i="86"/>
  <c r="M42" i="86"/>
  <c r="H45" i="61"/>
  <c r="D41" i="61"/>
  <c r="G45" i="61"/>
  <c r="D40" i="61"/>
  <c r="F45" i="61"/>
  <c r="C40" i="61"/>
  <c r="C45" i="61"/>
  <c r="B40" i="61"/>
  <c r="M44" i="61"/>
  <c r="G38" i="61"/>
  <c r="H43" i="61"/>
  <c r="F38" i="61"/>
  <c r="G43" i="61"/>
  <c r="K36" i="61"/>
  <c r="L42" i="61"/>
  <c r="J36" i="61"/>
  <c r="K42" i="61"/>
  <c r="F30" i="61"/>
  <c r="J42" i="61"/>
  <c r="G46" i="61"/>
  <c r="B45" i="61"/>
  <c r="H42" i="61"/>
  <c r="G42" i="61"/>
  <c r="F42" i="61"/>
  <c r="F39" i="61"/>
  <c r="J46" i="61"/>
  <c r="H46" i="61"/>
  <c r="E42" i="61"/>
  <c r="F41" i="61"/>
  <c r="G39" i="61"/>
  <c r="L38" i="61"/>
  <c r="J38" i="61"/>
  <c r="L46" i="61"/>
  <c r="K46" i="61"/>
  <c r="H38" i="61"/>
  <c r="H13" i="79"/>
  <c r="J40" i="43"/>
  <c r="I37" i="43"/>
  <c r="H37" i="43"/>
  <c r="I40" i="43"/>
  <c r="C36" i="43"/>
  <c r="G37" i="43"/>
  <c r="C63" i="121"/>
  <c r="D53" i="79"/>
  <c r="E47" i="79"/>
  <c r="I65" i="25"/>
  <c r="G65" i="25"/>
  <c r="F65" i="25"/>
  <c r="F98" i="17"/>
  <c r="F90" i="17"/>
  <c r="B101" i="17"/>
  <c r="I100" i="17"/>
  <c r="F102" i="17"/>
  <c r="F100" i="17"/>
  <c r="C97" i="17"/>
  <c r="B97" i="17"/>
  <c r="I96" i="17"/>
  <c r="F96" i="17"/>
  <c r="F30" i="15"/>
  <c r="I32" i="19"/>
  <c r="F133" i="43"/>
  <c r="J127" i="43"/>
  <c r="D134" i="43"/>
  <c r="I63" i="33"/>
  <c r="B44" i="9"/>
  <c r="F33" i="31"/>
  <c r="I30" i="31"/>
  <c r="F99" i="25"/>
  <c r="K30" i="10"/>
  <c r="F82" i="17"/>
  <c r="G79" i="17"/>
  <c r="G107" i="59"/>
  <c r="L126" i="2"/>
  <c r="B47" i="29"/>
  <c r="B50" i="29"/>
  <c r="L126" i="133"/>
  <c r="H12" i="141"/>
  <c r="K30" i="108"/>
  <c r="I231" i="97"/>
  <c r="M156" i="121"/>
  <c r="G12" i="77"/>
  <c r="H154" i="107"/>
  <c r="F149" i="97"/>
  <c r="N142" i="77"/>
  <c r="I8" i="69"/>
  <c r="G324" i="121"/>
  <c r="P340" i="121"/>
  <c r="K33" i="74"/>
  <c r="C53" i="77"/>
  <c r="M52" i="77"/>
  <c r="G126" i="63"/>
  <c r="I105" i="113"/>
  <c r="G101" i="113"/>
  <c r="F93" i="113"/>
  <c r="C105" i="113"/>
  <c r="H104" i="113"/>
  <c r="E99" i="113"/>
  <c r="H98" i="113"/>
  <c r="H105" i="113"/>
  <c r="G104" i="113"/>
  <c r="D103" i="113"/>
  <c r="I99" i="113"/>
  <c r="F105" i="113"/>
  <c r="I102" i="113"/>
  <c r="F101" i="113"/>
  <c r="G100" i="113"/>
  <c r="C100" i="113"/>
  <c r="B175" i="93"/>
  <c r="B237" i="75"/>
  <c r="H89" i="67"/>
  <c r="F73" i="67"/>
  <c r="H127" i="65"/>
  <c r="K29" i="84"/>
  <c r="C72" i="121"/>
  <c r="O171" i="83"/>
  <c r="F51" i="79"/>
  <c r="L48" i="79"/>
  <c r="C151" i="107"/>
  <c r="K147" i="107"/>
  <c r="F75" i="33"/>
  <c r="G81" i="33"/>
  <c r="F81" i="33"/>
  <c r="D79" i="33"/>
  <c r="B83" i="33"/>
  <c r="I84" i="33"/>
  <c r="H84" i="33"/>
  <c r="G8" i="55"/>
  <c r="F28" i="19"/>
  <c r="I128" i="43"/>
  <c r="K129" i="43"/>
  <c r="G127" i="43"/>
  <c r="C148" i="41"/>
  <c r="J147" i="41"/>
  <c r="H10" i="25"/>
  <c r="F31" i="31"/>
  <c r="C47" i="29"/>
  <c r="C52" i="29"/>
  <c r="F43" i="125"/>
  <c r="D48" i="125"/>
  <c r="H47" i="125"/>
  <c r="F317" i="121"/>
  <c r="G317" i="121"/>
  <c r="L41" i="84"/>
  <c r="M41" i="84"/>
  <c r="D211" i="111"/>
  <c r="H240" i="97"/>
  <c r="T431" i="83"/>
  <c r="G411" i="83"/>
  <c r="M34" i="76"/>
  <c r="L34" i="76"/>
  <c r="M29" i="102"/>
  <c r="L29" i="102"/>
  <c r="L39" i="74"/>
  <c r="M39" i="74"/>
  <c r="E65" i="65"/>
  <c r="D65" i="65"/>
  <c r="B65" i="65"/>
  <c r="B63" i="65"/>
  <c r="G58" i="65"/>
  <c r="H66" i="65"/>
  <c r="J65" i="65"/>
  <c r="H65" i="65"/>
  <c r="G65" i="65"/>
  <c r="I59" i="65"/>
  <c r="B59" i="65"/>
  <c r="L58" i="65"/>
  <c r="J58" i="65"/>
  <c r="I58" i="65"/>
  <c r="F65" i="65"/>
  <c r="M62" i="65"/>
  <c r="C61" i="65"/>
  <c r="J59" i="65"/>
  <c r="H58" i="65"/>
  <c r="I46" i="77"/>
  <c r="M31" i="92"/>
  <c r="L31" i="92"/>
  <c r="J47" i="65"/>
  <c r="L40" i="65"/>
  <c r="I47" i="65"/>
  <c r="K40" i="65"/>
  <c r="H47" i="65"/>
  <c r="L37" i="65"/>
  <c r="G47" i="65"/>
  <c r="M36" i="65"/>
  <c r="F30" i="65"/>
  <c r="L47" i="65"/>
  <c r="M45" i="65"/>
  <c r="L45" i="65"/>
  <c r="F45" i="65"/>
  <c r="C42" i="65"/>
  <c r="D45" i="65"/>
  <c r="B42" i="65"/>
  <c r="F41" i="65"/>
  <c r="I43" i="65"/>
  <c r="B41" i="65"/>
  <c r="M40" i="65"/>
  <c r="E41" i="65"/>
  <c r="D41" i="65"/>
  <c r="F25" i="113"/>
  <c r="H36" i="113"/>
  <c r="G36" i="113"/>
  <c r="C36" i="113"/>
  <c r="F35" i="113"/>
  <c r="I30" i="113"/>
  <c r="G30" i="113"/>
  <c r="C166" i="93"/>
  <c r="G120" i="65"/>
  <c r="E72" i="121"/>
  <c r="G51" i="79"/>
  <c r="K146" i="107"/>
  <c r="F64" i="25"/>
  <c r="D151" i="107"/>
  <c r="H153" i="107"/>
  <c r="D103" i="27"/>
  <c r="N13" i="3"/>
  <c r="H98" i="27"/>
  <c r="H10" i="49"/>
  <c r="F58" i="15"/>
  <c r="B69" i="15"/>
  <c r="B65" i="15"/>
  <c r="F68" i="15"/>
  <c r="G68" i="15"/>
  <c r="H7" i="11"/>
  <c r="F133" i="23"/>
  <c r="L42" i="138"/>
  <c r="M42" i="138"/>
  <c r="L28" i="116"/>
  <c r="M28" i="116"/>
  <c r="I6" i="143"/>
  <c r="J6" i="143" s="1"/>
  <c r="K30" i="128"/>
  <c r="D171" i="73"/>
  <c r="K168" i="73"/>
  <c r="F162" i="73"/>
  <c r="J168" i="73"/>
  <c r="E162" i="73"/>
  <c r="C168" i="73"/>
  <c r="I172" i="73"/>
  <c r="K166" i="73"/>
  <c r="G172" i="73"/>
  <c r="B163" i="73"/>
  <c r="I171" i="73"/>
  <c r="K162" i="73"/>
  <c r="C170" i="73"/>
  <c r="J162" i="73"/>
  <c r="B170" i="73"/>
  <c r="H162" i="73"/>
  <c r="M169" i="73"/>
  <c r="G162" i="73"/>
  <c r="J169" i="73"/>
  <c r="H169" i="73"/>
  <c r="G169" i="73"/>
  <c r="F169" i="73"/>
  <c r="B167" i="73"/>
  <c r="L166" i="73"/>
  <c r="K173" i="73"/>
  <c r="J173" i="73"/>
  <c r="H172" i="73"/>
  <c r="J165" i="73"/>
  <c r="H165" i="73"/>
  <c r="G165" i="73"/>
  <c r="C165" i="73"/>
  <c r="H164" i="73"/>
  <c r="I78" i="107"/>
  <c r="K38" i="120"/>
  <c r="K57" i="71"/>
  <c r="C208" i="81"/>
  <c r="N200" i="81"/>
  <c r="M195" i="81"/>
  <c r="N205" i="81"/>
  <c r="M200" i="81"/>
  <c r="G195" i="81"/>
  <c r="M205" i="81"/>
  <c r="G200" i="81"/>
  <c r="F188" i="81"/>
  <c r="G205" i="81"/>
  <c r="F200" i="81"/>
  <c r="C204" i="81"/>
  <c r="B199" i="81"/>
  <c r="Q203" i="81"/>
  <c r="B196" i="81"/>
  <c r="P203" i="81"/>
  <c r="P195" i="81"/>
  <c r="N203" i="81"/>
  <c r="O195" i="81"/>
  <c r="M203" i="81"/>
  <c r="N195" i="81"/>
  <c r="G203" i="81"/>
  <c r="F208" i="81"/>
  <c r="E208" i="81"/>
  <c r="F205" i="81"/>
  <c r="B204" i="81"/>
  <c r="O201" i="81"/>
  <c r="N201" i="81"/>
  <c r="O200" i="81"/>
  <c r="C199" i="81"/>
  <c r="Q198" i="81"/>
  <c r="N197" i="81"/>
  <c r="M197" i="81"/>
  <c r="C196" i="81"/>
  <c r="Q196" i="81"/>
  <c r="M208" i="81"/>
  <c r="G208" i="81"/>
  <c r="P200" i="81"/>
  <c r="P196" i="81"/>
  <c r="L39" i="72"/>
  <c r="M39" i="72"/>
  <c r="K46" i="77"/>
  <c r="E205" i="63"/>
  <c r="F198" i="63"/>
  <c r="L42" i="114"/>
  <c r="M42" i="114"/>
  <c r="H6" i="57"/>
  <c r="B96" i="39"/>
  <c r="K93" i="39"/>
  <c r="G93" i="39"/>
  <c r="F93" i="39"/>
  <c r="J89" i="39"/>
  <c r="F72" i="121"/>
  <c r="H51" i="79"/>
  <c r="C153" i="107"/>
  <c r="K149" i="107"/>
  <c r="F41" i="49"/>
  <c r="I40" i="49"/>
  <c r="K39" i="49"/>
  <c r="F26" i="49"/>
  <c r="H65" i="25"/>
  <c r="K28" i="60"/>
  <c r="G7" i="77"/>
  <c r="I7" i="77" s="1"/>
  <c r="B90" i="35"/>
  <c r="F83" i="35"/>
  <c r="I97" i="35"/>
  <c r="E55" i="7"/>
  <c r="E57" i="7"/>
  <c r="D57" i="7"/>
  <c r="D58" i="7"/>
  <c r="E54" i="7"/>
  <c r="D239" i="97"/>
  <c r="I81" i="33"/>
  <c r="E260" i="137"/>
  <c r="C260" i="137"/>
  <c r="L34" i="120"/>
  <c r="M34" i="120"/>
  <c r="J8" i="99"/>
  <c r="I8" i="99"/>
  <c r="I14" i="139"/>
  <c r="I14" i="143"/>
  <c r="J14" i="143" s="1"/>
  <c r="J10" i="141"/>
  <c r="I10" i="141"/>
  <c r="I10" i="139"/>
  <c r="L29" i="142"/>
  <c r="M29" i="142"/>
  <c r="F463" i="121"/>
  <c r="C163" i="121"/>
  <c r="D463" i="121"/>
  <c r="L35" i="126"/>
  <c r="M35" i="126"/>
  <c r="L123" i="139"/>
  <c r="M31" i="140"/>
  <c r="L31" i="140"/>
  <c r="K46" i="143"/>
  <c r="I67" i="137"/>
  <c r="I65" i="137"/>
  <c r="D70" i="137"/>
  <c r="C68" i="137"/>
  <c r="B66" i="137"/>
  <c r="B70" i="137"/>
  <c r="G67" i="137"/>
  <c r="E65" i="137"/>
  <c r="F67" i="137"/>
  <c r="D65" i="137"/>
  <c r="E67" i="137"/>
  <c r="C65" i="137"/>
  <c r="D67" i="137"/>
  <c r="B65" i="137"/>
  <c r="E69" i="137"/>
  <c r="C67" i="137"/>
  <c r="I64" i="137"/>
  <c r="C71" i="137"/>
  <c r="G66" i="137"/>
  <c r="E64" i="137"/>
  <c r="G64" i="137"/>
  <c r="E68" i="137"/>
  <c r="F64" i="137"/>
  <c r="E71" i="137"/>
  <c r="D68" i="137"/>
  <c r="D64" i="137"/>
  <c r="D71" i="137"/>
  <c r="B68" i="137"/>
  <c r="C64" i="137"/>
  <c r="B71" i="137"/>
  <c r="H67" i="137"/>
  <c r="B64" i="137"/>
  <c r="F66" i="137"/>
  <c r="B67" i="137"/>
  <c r="F58" i="137"/>
  <c r="I66" i="137"/>
  <c r="H66" i="137"/>
  <c r="E66" i="137"/>
  <c r="G65" i="137"/>
  <c r="D66" i="137"/>
  <c r="C66" i="137"/>
  <c r="H65" i="137"/>
  <c r="F65" i="137"/>
  <c r="B69" i="137"/>
  <c r="H64" i="137"/>
  <c r="E70" i="137"/>
  <c r="C70" i="137"/>
  <c r="D69" i="137"/>
  <c r="C69" i="137"/>
  <c r="J91" i="139"/>
  <c r="F90" i="139"/>
  <c r="B89" i="139"/>
  <c r="J87" i="139"/>
  <c r="F86" i="139"/>
  <c r="B85" i="139"/>
  <c r="J83" i="139"/>
  <c r="F82" i="139"/>
  <c r="B81" i="139"/>
  <c r="I90" i="139"/>
  <c r="D89" i="139"/>
  <c r="K87" i="139"/>
  <c r="L84" i="139"/>
  <c r="G83" i="139"/>
  <c r="B82" i="139"/>
  <c r="I80" i="139"/>
  <c r="M91" i="139"/>
  <c r="G90" i="139"/>
  <c r="L88" i="139"/>
  <c r="F87" i="139"/>
  <c r="L85" i="139"/>
  <c r="F84" i="139"/>
  <c r="L82" i="139"/>
  <c r="F81" i="139"/>
  <c r="L91" i="139"/>
  <c r="E90" i="139"/>
  <c r="K88" i="139"/>
  <c r="K85" i="139"/>
  <c r="E84" i="139"/>
  <c r="I91" i="139"/>
  <c r="C90" i="139"/>
  <c r="I88" i="139"/>
  <c r="H91" i="139"/>
  <c r="B90" i="139"/>
  <c r="H88" i="139"/>
  <c r="B87" i="139"/>
  <c r="H85" i="139"/>
  <c r="B84" i="139"/>
  <c r="M80" i="139"/>
  <c r="D91" i="139"/>
  <c r="J89" i="139"/>
  <c r="D88" i="139"/>
  <c r="J86" i="139"/>
  <c r="D85" i="139"/>
  <c r="C82" i="139"/>
  <c r="H80" i="139"/>
  <c r="D90" i="139"/>
  <c r="B88" i="139"/>
  <c r="B86" i="139"/>
  <c r="M83" i="139"/>
  <c r="M81" i="139"/>
  <c r="D80" i="139"/>
  <c r="M89" i="139"/>
  <c r="M87" i="139"/>
  <c r="M85" i="139"/>
  <c r="L83" i="139"/>
  <c r="L81" i="139"/>
  <c r="C80" i="139"/>
  <c r="L89" i="139"/>
  <c r="L87" i="139"/>
  <c r="J85" i="139"/>
  <c r="K83" i="139"/>
  <c r="K81" i="139"/>
  <c r="B80" i="139"/>
  <c r="K89" i="139"/>
  <c r="I85" i="139"/>
  <c r="J81" i="139"/>
  <c r="I89" i="139"/>
  <c r="G85" i="139"/>
  <c r="F83" i="139"/>
  <c r="I81" i="139"/>
  <c r="E91" i="139"/>
  <c r="E89" i="139"/>
  <c r="M86" i="139"/>
  <c r="M84" i="139"/>
  <c r="B83" i="139"/>
  <c r="D81" i="139"/>
  <c r="C89" i="139"/>
  <c r="C86" i="139"/>
  <c r="J82" i="139"/>
  <c r="M88" i="139"/>
  <c r="F85" i="139"/>
  <c r="J88" i="139"/>
  <c r="E85" i="139"/>
  <c r="G82" i="139"/>
  <c r="K91" i="139"/>
  <c r="G88" i="139"/>
  <c r="C85" i="139"/>
  <c r="G91" i="139"/>
  <c r="F88" i="139"/>
  <c r="K84" i="139"/>
  <c r="M90" i="139"/>
  <c r="G84" i="139"/>
  <c r="C81" i="139"/>
  <c r="C91" i="139"/>
  <c r="L80" i="139"/>
  <c r="B91" i="139"/>
  <c r="G86" i="139"/>
  <c r="K80" i="139"/>
  <c r="L90" i="139"/>
  <c r="J80" i="139"/>
  <c r="K90" i="139"/>
  <c r="J84" i="139"/>
  <c r="G80" i="139"/>
  <c r="J90" i="139"/>
  <c r="I84" i="139"/>
  <c r="F80" i="139"/>
  <c r="F89" i="139"/>
  <c r="E88" i="139"/>
  <c r="E81" i="139"/>
  <c r="C88" i="139"/>
  <c r="E80" i="139"/>
  <c r="G87" i="139"/>
  <c r="C87" i="139"/>
  <c r="L86" i="139"/>
  <c r="F74" i="139"/>
  <c r="D84" i="139"/>
  <c r="H89" i="139"/>
  <c r="G89" i="139"/>
  <c r="K86" i="139"/>
  <c r="H84" i="139"/>
  <c r="M82" i="139"/>
  <c r="C84" i="139"/>
  <c r="C83" i="139"/>
  <c r="K82" i="139"/>
  <c r="H81" i="139"/>
  <c r="F91" i="139"/>
  <c r="H90" i="139"/>
  <c r="G81" i="139"/>
  <c r="K50" i="143"/>
  <c r="L36" i="142"/>
  <c r="M36" i="142"/>
  <c r="G147" i="141"/>
  <c r="J151" i="141"/>
  <c r="L155" i="141"/>
  <c r="M337" i="139"/>
  <c r="M339" i="139"/>
  <c r="M338" i="139"/>
  <c r="H187" i="141"/>
  <c r="B192" i="141"/>
  <c r="M192" i="141"/>
  <c r="K9" i="139"/>
  <c r="C34" i="137"/>
  <c r="F276" i="135"/>
  <c r="G318" i="135"/>
  <c r="F318" i="135"/>
  <c r="F328" i="135"/>
  <c r="F320" i="135"/>
  <c r="G322" i="135"/>
  <c r="F323" i="135"/>
  <c r="D175" i="123"/>
  <c r="I13" i="143"/>
  <c r="J13" i="143"/>
  <c r="M33" i="142"/>
  <c r="L33" i="142"/>
  <c r="D51" i="143"/>
  <c r="M105" i="143"/>
  <c r="F182" i="143"/>
  <c r="K193" i="143"/>
  <c r="D195" i="143"/>
  <c r="C189" i="143"/>
  <c r="H188" i="143"/>
  <c r="F188" i="143"/>
  <c r="I196" i="143"/>
  <c r="F196" i="143"/>
  <c r="F195" i="143"/>
  <c r="M197" i="143"/>
  <c r="J191" i="143"/>
  <c r="M191" i="143"/>
  <c r="B194" i="143"/>
  <c r="H195" i="143"/>
  <c r="L192" i="143"/>
  <c r="I187" i="143"/>
  <c r="F41" i="143"/>
  <c r="B50" i="143"/>
  <c r="K41" i="143"/>
  <c r="I10" i="143"/>
  <c r="G51" i="143"/>
  <c r="D130" i="143"/>
  <c r="I128" i="143"/>
  <c r="B134" i="143"/>
  <c r="I135" i="143"/>
  <c r="D44" i="143"/>
  <c r="L44" i="143"/>
  <c r="L41" i="143"/>
  <c r="F109" i="143"/>
  <c r="J110" i="143"/>
  <c r="E103" i="143"/>
  <c r="I111" i="143"/>
  <c r="L70" i="141"/>
  <c r="F71" i="141"/>
  <c r="H198" i="143"/>
  <c r="G191" i="143"/>
  <c r="E194" i="143"/>
  <c r="M195" i="143"/>
  <c r="D191" i="143"/>
  <c r="F193" i="143"/>
  <c r="F154" i="141"/>
  <c r="I148" i="141"/>
  <c r="L156" i="141"/>
  <c r="F151" i="141"/>
  <c r="F153" i="141"/>
  <c r="P316" i="143"/>
  <c r="G300" i="143"/>
  <c r="F300" i="143"/>
  <c r="I6" i="141"/>
  <c r="L231" i="141"/>
  <c r="H234" i="141"/>
  <c r="C240" i="141"/>
  <c r="M240" i="141"/>
  <c r="C233" i="141"/>
  <c r="F237" i="141"/>
  <c r="I206" i="139"/>
  <c r="D194" i="141"/>
  <c r="H196" i="141"/>
  <c r="J190" i="141"/>
  <c r="J195" i="141"/>
  <c r="D195" i="141"/>
  <c r="D190" i="141"/>
  <c r="G194" i="141"/>
  <c r="K130" i="139"/>
  <c r="G132" i="139"/>
  <c r="G122" i="139"/>
  <c r="K128" i="139"/>
  <c r="C37" i="137"/>
  <c r="I37" i="137"/>
  <c r="K276" i="135"/>
  <c r="M275" i="135"/>
  <c r="J280" i="135"/>
  <c r="I230" i="141"/>
  <c r="L233" i="141"/>
  <c r="C45" i="139"/>
  <c r="B45" i="133"/>
  <c r="L47" i="133"/>
  <c r="I7" i="137"/>
  <c r="I197" i="135"/>
  <c r="D189" i="135"/>
  <c r="L193" i="135"/>
  <c r="F43" i="139"/>
  <c r="H44" i="139"/>
  <c r="G41" i="139"/>
  <c r="C43" i="139"/>
  <c r="G11" i="141"/>
  <c r="B164" i="133"/>
  <c r="M165" i="133"/>
  <c r="J172" i="133"/>
  <c r="C88" i="133"/>
  <c r="E83" i="133"/>
  <c r="I90" i="133"/>
  <c r="M35" i="138"/>
  <c r="L35" i="138"/>
  <c r="I42" i="133"/>
  <c r="E49" i="133"/>
  <c r="G46" i="133"/>
  <c r="I53" i="137"/>
  <c r="I51" i="137"/>
  <c r="I49" i="137"/>
  <c r="I47" i="137"/>
  <c r="F53" i="137"/>
  <c r="C47" i="137"/>
  <c r="F41" i="137"/>
  <c r="I54" i="137"/>
  <c r="C48" i="137"/>
  <c r="H54" i="137"/>
  <c r="B48" i="137"/>
  <c r="G54" i="137"/>
  <c r="C50" i="137"/>
  <c r="H47" i="137"/>
  <c r="F54" i="137"/>
  <c r="B50" i="137"/>
  <c r="G47" i="137"/>
  <c r="E54" i="137"/>
  <c r="C52" i="137"/>
  <c r="H49" i="137"/>
  <c r="F47" i="137"/>
  <c r="H53" i="137"/>
  <c r="C49" i="137"/>
  <c r="D48" i="137"/>
  <c r="C51" i="137"/>
  <c r="E47" i="137"/>
  <c r="B51" i="137"/>
  <c r="D47" i="137"/>
  <c r="D54" i="137"/>
  <c r="I50" i="137"/>
  <c r="B47" i="137"/>
  <c r="C54" i="137"/>
  <c r="H50" i="137"/>
  <c r="D53" i="137"/>
  <c r="B49" i="137"/>
  <c r="E53" i="137"/>
  <c r="F48" i="137"/>
  <c r="I52" i="137"/>
  <c r="H52" i="137"/>
  <c r="B52" i="137"/>
  <c r="H51" i="137"/>
  <c r="E48" i="137"/>
  <c r="G53" i="137"/>
  <c r="I48" i="137"/>
  <c r="B54" i="137"/>
  <c r="B53" i="137"/>
  <c r="H48" i="137"/>
  <c r="G48" i="137"/>
  <c r="C53" i="137"/>
  <c r="F115" i="137"/>
  <c r="C115" i="137"/>
  <c r="C227" i="139"/>
  <c r="M236" i="139"/>
  <c r="D231" i="139"/>
  <c r="I235" i="139"/>
  <c r="G92" i="135"/>
  <c r="I88" i="135"/>
  <c r="L85" i="135"/>
  <c r="J85" i="135"/>
  <c r="I168" i="127"/>
  <c r="H167" i="127"/>
  <c r="C151" i="139"/>
  <c r="B151" i="139"/>
  <c r="I147" i="139"/>
  <c r="C144" i="139"/>
  <c r="C143" i="139"/>
  <c r="L152" i="139"/>
  <c r="B70" i="135"/>
  <c r="G71" i="135"/>
  <c r="I70" i="135"/>
  <c r="J63" i="135"/>
  <c r="B68" i="135"/>
  <c r="G283" i="135"/>
  <c r="E281" i="135"/>
  <c r="K284" i="135"/>
  <c r="F229" i="131"/>
  <c r="L233" i="131"/>
  <c r="J229" i="131"/>
  <c r="K239" i="131"/>
  <c r="D167" i="127"/>
  <c r="I119" i="125"/>
  <c r="C111" i="123"/>
  <c r="D116" i="123"/>
  <c r="F164" i="121"/>
  <c r="L171" i="121"/>
  <c r="E174" i="121"/>
  <c r="H176" i="121"/>
  <c r="M175" i="121"/>
  <c r="E169" i="121"/>
  <c r="H169" i="121"/>
  <c r="C171" i="121"/>
  <c r="H178" i="121"/>
  <c r="I179" i="121"/>
  <c r="L168" i="121"/>
  <c r="F176" i="121"/>
  <c r="F168" i="121"/>
  <c r="J172" i="121"/>
  <c r="L174" i="121"/>
  <c r="K178" i="121"/>
  <c r="D177" i="121"/>
  <c r="E178" i="121"/>
  <c r="D179" i="121"/>
  <c r="I174" i="121"/>
  <c r="K177" i="121"/>
  <c r="C170" i="121"/>
  <c r="C169" i="121"/>
  <c r="B168" i="121"/>
  <c r="J177" i="121"/>
  <c r="L175" i="121"/>
  <c r="M176" i="121"/>
  <c r="L177" i="121"/>
  <c r="J170" i="121"/>
  <c r="B176" i="121"/>
  <c r="C177" i="121"/>
  <c r="M177" i="121"/>
  <c r="K179" i="121"/>
  <c r="H174" i="121"/>
  <c r="I175" i="121"/>
  <c r="D175" i="121"/>
  <c r="I168" i="121"/>
  <c r="K175" i="121"/>
  <c r="D172" i="121"/>
  <c r="K169" i="121"/>
  <c r="D173" i="121"/>
  <c r="C178" i="121"/>
  <c r="C172" i="121"/>
  <c r="E173" i="121"/>
  <c r="K168" i="121"/>
  <c r="I177" i="121"/>
  <c r="B174" i="121"/>
  <c r="H170" i="121"/>
  <c r="I171" i="121"/>
  <c r="H172" i="121"/>
  <c r="E176" i="121"/>
  <c r="B170" i="121"/>
  <c r="M169" i="121"/>
  <c r="K176" i="121"/>
  <c r="H177" i="121"/>
  <c r="K173" i="121"/>
  <c r="B177" i="121"/>
  <c r="D178" i="121"/>
  <c r="I178" i="121"/>
  <c r="G168" i="121"/>
  <c r="H173" i="121"/>
  <c r="J169" i="121"/>
  <c r="C175" i="121"/>
  <c r="M171" i="121"/>
  <c r="J171" i="121"/>
  <c r="K170" i="121"/>
  <c r="C174" i="121"/>
  <c r="F177" i="121"/>
  <c r="E175" i="121"/>
  <c r="B171" i="121"/>
  <c r="B169" i="121"/>
  <c r="D170" i="121"/>
  <c r="G170" i="121"/>
  <c r="E177" i="121"/>
  <c r="C168" i="121"/>
  <c r="E179" i="121"/>
  <c r="C171" i="123"/>
  <c r="J176" i="123"/>
  <c r="C116" i="123"/>
  <c r="E108" i="123"/>
  <c r="E114" i="123"/>
  <c r="M32" i="128"/>
  <c r="L32" i="128"/>
  <c r="J219" i="123"/>
  <c r="M213" i="123"/>
  <c r="L190" i="135"/>
  <c r="H190" i="135"/>
  <c r="G301" i="119"/>
  <c r="P317" i="119"/>
  <c r="F301" i="119"/>
  <c r="J14" i="133"/>
  <c r="M29" i="124"/>
  <c r="L29" i="124"/>
  <c r="E261" i="123"/>
  <c r="L261" i="123"/>
  <c r="J255" i="123"/>
  <c r="H262" i="123"/>
  <c r="E258" i="123"/>
  <c r="K50" i="123"/>
  <c r="L150" i="123"/>
  <c r="D148" i="123"/>
  <c r="G158" i="123"/>
  <c r="L153" i="123"/>
  <c r="B146" i="131"/>
  <c r="C145" i="131"/>
  <c r="J155" i="131"/>
  <c r="C146" i="131"/>
  <c r="I12" i="129"/>
  <c r="K12" i="129" s="1"/>
  <c r="K53" i="123"/>
  <c r="F51" i="123"/>
  <c r="M45" i="123"/>
  <c r="G297" i="119"/>
  <c r="F297" i="119"/>
  <c r="K137" i="123"/>
  <c r="M132" i="123"/>
  <c r="C128" i="123"/>
  <c r="J131" i="123"/>
  <c r="G134" i="121"/>
  <c r="I128" i="121"/>
  <c r="H137" i="121"/>
  <c r="L137" i="121"/>
  <c r="F89" i="119"/>
  <c r="C93" i="119"/>
  <c r="K83" i="119"/>
  <c r="M85" i="119"/>
  <c r="M28" i="132"/>
  <c r="L28" i="132"/>
  <c r="F213" i="121"/>
  <c r="E218" i="121"/>
  <c r="L216" i="121"/>
  <c r="F215" i="121"/>
  <c r="L218" i="121"/>
  <c r="D211" i="121"/>
  <c r="M135" i="119"/>
  <c r="I134" i="119"/>
  <c r="E133" i="119"/>
  <c r="M131" i="119"/>
  <c r="E129" i="119"/>
  <c r="M127" i="119"/>
  <c r="I126" i="119"/>
  <c r="E125" i="119"/>
  <c r="B135" i="119"/>
  <c r="I133" i="119"/>
  <c r="D132" i="119"/>
  <c r="K130" i="119"/>
  <c r="F129" i="119"/>
  <c r="L127" i="119"/>
  <c r="G126" i="119"/>
  <c r="M134" i="119"/>
  <c r="H133" i="119"/>
  <c r="C132" i="119"/>
  <c r="J130" i="119"/>
  <c r="D129" i="119"/>
  <c r="K127" i="119"/>
  <c r="F126" i="119"/>
  <c r="M124" i="119"/>
  <c r="K134" i="119"/>
  <c r="F133" i="119"/>
  <c r="L131" i="119"/>
  <c r="G130" i="119"/>
  <c r="B129" i="119"/>
  <c r="I127" i="119"/>
  <c r="D126" i="119"/>
  <c r="K124" i="119"/>
  <c r="H134" i="119"/>
  <c r="C133" i="119"/>
  <c r="J131" i="119"/>
  <c r="E130" i="119"/>
  <c r="L128" i="119"/>
  <c r="G127" i="119"/>
  <c r="B126" i="119"/>
  <c r="L134" i="119"/>
  <c r="L132" i="119"/>
  <c r="C129" i="119"/>
  <c r="D127" i="119"/>
  <c r="G125" i="119"/>
  <c r="J134" i="119"/>
  <c r="K132" i="119"/>
  <c r="M128" i="119"/>
  <c r="C127" i="119"/>
  <c r="F125" i="119"/>
  <c r="G134" i="119"/>
  <c r="J132" i="119"/>
  <c r="M130" i="119"/>
  <c r="K128" i="119"/>
  <c r="B127" i="119"/>
  <c r="D125" i="119"/>
  <c r="F134" i="119"/>
  <c r="I132" i="119"/>
  <c r="L130" i="119"/>
  <c r="J128" i="119"/>
  <c r="M126" i="119"/>
  <c r="D134" i="119"/>
  <c r="G132" i="119"/>
  <c r="F130" i="119"/>
  <c r="H128" i="119"/>
  <c r="K126" i="119"/>
  <c r="J124" i="119"/>
  <c r="D135" i="119"/>
  <c r="B132" i="119"/>
  <c r="I129" i="119"/>
  <c r="H126" i="119"/>
  <c r="C135" i="119"/>
  <c r="K131" i="119"/>
  <c r="H129" i="119"/>
  <c r="E126" i="119"/>
  <c r="E134" i="119"/>
  <c r="G129" i="119"/>
  <c r="C126" i="119"/>
  <c r="C134" i="119"/>
  <c r="I128" i="119"/>
  <c r="M125" i="119"/>
  <c r="B134" i="119"/>
  <c r="G131" i="119"/>
  <c r="G128" i="119"/>
  <c r="L125" i="119"/>
  <c r="L135" i="119"/>
  <c r="J133" i="119"/>
  <c r="C128" i="119"/>
  <c r="H132" i="119"/>
  <c r="B128" i="119"/>
  <c r="I135" i="119"/>
  <c r="E131" i="119"/>
  <c r="E127" i="119"/>
  <c r="G133" i="119"/>
  <c r="E128" i="119"/>
  <c r="B133" i="119"/>
  <c r="J127" i="119"/>
  <c r="M132" i="119"/>
  <c r="H127" i="119"/>
  <c r="F132" i="119"/>
  <c r="F127" i="119"/>
  <c r="E132" i="119"/>
  <c r="L126" i="119"/>
  <c r="D133" i="119"/>
  <c r="L124" i="119"/>
  <c r="F131" i="119"/>
  <c r="D131" i="119"/>
  <c r="G124" i="119"/>
  <c r="D130" i="119"/>
  <c r="F124" i="119"/>
  <c r="E124" i="119"/>
  <c r="D124" i="119"/>
  <c r="M129" i="119"/>
  <c r="F118" i="119"/>
  <c r="K135" i="119"/>
  <c r="L129" i="119"/>
  <c r="G135" i="119"/>
  <c r="F128" i="119"/>
  <c r="F135" i="119"/>
  <c r="D128" i="119"/>
  <c r="E135" i="119"/>
  <c r="J126" i="119"/>
  <c r="J129" i="119"/>
  <c r="K125" i="119"/>
  <c r="J125" i="119"/>
  <c r="L133" i="119"/>
  <c r="K133" i="119"/>
  <c r="K129" i="119"/>
  <c r="M133" i="119"/>
  <c r="H135" i="119"/>
  <c r="J135" i="119"/>
  <c r="M47" i="131"/>
  <c r="C47" i="131"/>
  <c r="G48" i="131"/>
  <c r="L40" i="131"/>
  <c r="B156" i="115"/>
  <c r="K148" i="115"/>
  <c r="F303" i="117"/>
  <c r="F34" i="115"/>
  <c r="I169" i="121"/>
  <c r="M170" i="121"/>
  <c r="L169" i="121"/>
  <c r="F247" i="119"/>
  <c r="E261" i="119"/>
  <c r="I255" i="119"/>
  <c r="C258" i="119"/>
  <c r="I254" i="119"/>
  <c r="L260" i="119"/>
  <c r="M259" i="119"/>
  <c r="E254" i="119"/>
  <c r="J256" i="119"/>
  <c r="G256" i="119"/>
  <c r="L252" i="119"/>
  <c r="M251" i="119"/>
  <c r="I258" i="119"/>
  <c r="M252" i="119"/>
  <c r="B255" i="119"/>
  <c r="L254" i="119"/>
  <c r="D251" i="119"/>
  <c r="B254" i="119"/>
  <c r="C251" i="119"/>
  <c r="B261" i="119"/>
  <c r="I251" i="119"/>
  <c r="G253" i="119"/>
  <c r="E253" i="119"/>
  <c r="F251" i="119"/>
  <c r="E256" i="119"/>
  <c r="K253" i="119"/>
  <c r="E250" i="119"/>
  <c r="L251" i="119"/>
  <c r="H251" i="119"/>
  <c r="L253" i="119"/>
  <c r="M258" i="119"/>
  <c r="F257" i="119"/>
  <c r="D259" i="119"/>
  <c r="B253" i="119"/>
  <c r="I256" i="119"/>
  <c r="H256" i="119"/>
  <c r="K73" i="97"/>
  <c r="I9" i="107"/>
  <c r="L31" i="114"/>
  <c r="M31" i="114"/>
  <c r="G68" i="117"/>
  <c r="I7" i="93"/>
  <c r="J7" i="93" s="1"/>
  <c r="E394" i="91"/>
  <c r="N11" i="91"/>
  <c r="A356" i="91" s="1"/>
  <c r="J11" i="91"/>
  <c r="K11" i="91"/>
  <c r="F36" i="75"/>
  <c r="G51" i="75"/>
  <c r="E48" i="75"/>
  <c r="E45" i="75"/>
  <c r="E51" i="75"/>
  <c r="C48" i="75"/>
  <c r="J44" i="75"/>
  <c r="J41" i="75"/>
  <c r="J52" i="75"/>
  <c r="O46" i="75"/>
  <c r="M42" i="75"/>
  <c r="I52" i="75"/>
  <c r="M46" i="75"/>
  <c r="L42" i="75"/>
  <c r="H52" i="75"/>
  <c r="K46" i="75"/>
  <c r="K42" i="75"/>
  <c r="N51" i="75"/>
  <c r="J46" i="75"/>
  <c r="N40" i="75"/>
  <c r="M51" i="75"/>
  <c r="I46" i="75"/>
  <c r="M40" i="75"/>
  <c r="D50" i="75"/>
  <c r="G45" i="75"/>
  <c r="G40" i="75"/>
  <c r="B53" i="75"/>
  <c r="H45" i="75"/>
  <c r="O52" i="75"/>
  <c r="G44" i="75"/>
  <c r="L52" i="75"/>
  <c r="F44" i="75"/>
  <c r="K52" i="75"/>
  <c r="E44" i="75"/>
  <c r="H50" i="75"/>
  <c r="G50" i="75"/>
  <c r="F50" i="75"/>
  <c r="O42" i="75"/>
  <c r="D49" i="75"/>
  <c r="K40" i="75"/>
  <c r="O53" i="75"/>
  <c r="E49" i="75"/>
  <c r="C49" i="75"/>
  <c r="O48" i="75"/>
  <c r="N48" i="75"/>
  <c r="F46" i="75"/>
  <c r="H40" i="75"/>
  <c r="B47" i="75"/>
  <c r="G46" i="75"/>
  <c r="N42" i="75"/>
  <c r="I40" i="75"/>
  <c r="M48" i="75"/>
  <c r="J40" i="75"/>
  <c r="B51" i="75"/>
  <c r="E46" i="75"/>
  <c r="F41" i="75"/>
  <c r="C52" i="75"/>
  <c r="O45" i="75"/>
  <c r="N53" i="75"/>
  <c r="L53" i="75"/>
  <c r="F49" i="75"/>
  <c r="C45" i="75"/>
  <c r="F43" i="75"/>
  <c r="N49" i="75"/>
  <c r="B45" i="75"/>
  <c r="N50" i="75"/>
  <c r="L44" i="75"/>
  <c r="L51" i="75"/>
  <c r="J51" i="75"/>
  <c r="K47" i="75"/>
  <c r="I41" i="75"/>
  <c r="D48" i="75"/>
  <c r="L46" i="75"/>
  <c r="L48" i="75"/>
  <c r="M43" i="75"/>
  <c r="K49" i="75"/>
  <c r="I43" i="75"/>
  <c r="C50" i="75"/>
  <c r="H49" i="75"/>
  <c r="I45" i="75"/>
  <c r="I44" i="75"/>
  <c r="F51" i="75"/>
  <c r="E50" i="75"/>
  <c r="J47" i="75"/>
  <c r="J42" i="75"/>
  <c r="H53" i="75"/>
  <c r="H48" i="75"/>
  <c r="F42" i="75"/>
  <c r="O47" i="75"/>
  <c r="M47" i="75"/>
  <c r="G43" i="75"/>
  <c r="B48" i="75"/>
  <c r="F45" i="75"/>
  <c r="O50" i="75"/>
  <c r="B46" i="75"/>
  <c r="D53" i="75"/>
  <c r="C44" i="75"/>
  <c r="O43" i="75"/>
  <c r="M52" i="75"/>
  <c r="L40" i="75"/>
  <c r="M49" i="75"/>
  <c r="C46" i="75"/>
  <c r="F48" i="75"/>
  <c r="K51" i="75"/>
  <c r="G49" i="75"/>
  <c r="D45" i="75"/>
  <c r="K48" i="75"/>
  <c r="F47" i="75"/>
  <c r="D47" i="75"/>
  <c r="N47" i="75"/>
  <c r="K50" i="75"/>
  <c r="H47" i="75"/>
  <c r="N44" i="75"/>
  <c r="L45" i="75"/>
  <c r="B49" i="75"/>
  <c r="G41" i="75"/>
  <c r="K43" i="75"/>
  <c r="O51" i="75"/>
  <c r="B44" i="75"/>
  <c r="N46" i="75"/>
  <c r="I53" i="75"/>
  <c r="H42" i="75"/>
  <c r="L50" i="75"/>
  <c r="O41" i="75"/>
  <c r="C51" i="75"/>
  <c r="C47" i="75"/>
  <c r="K45" i="75"/>
  <c r="H41" i="75"/>
  <c r="F53" i="75"/>
  <c r="J48" i="75"/>
  <c r="G53" i="75"/>
  <c r="N45" i="75"/>
  <c r="M41" i="75"/>
  <c r="H44" i="75"/>
  <c r="H46" i="75"/>
  <c r="D46" i="75"/>
  <c r="M44" i="75"/>
  <c r="H43" i="75"/>
  <c r="I51" i="75"/>
  <c r="I50" i="75"/>
  <c r="D44" i="75"/>
  <c r="O44" i="75"/>
  <c r="J43" i="75"/>
  <c r="L47" i="75"/>
  <c r="L43" i="75"/>
  <c r="G42" i="75"/>
  <c r="J45" i="75"/>
  <c r="O49" i="75"/>
  <c r="I48" i="75"/>
  <c r="G48" i="75"/>
  <c r="B50" i="75"/>
  <c r="K41" i="75"/>
  <c r="F52" i="75"/>
  <c r="F40" i="75"/>
  <c r="G47" i="75"/>
  <c r="M53" i="75"/>
  <c r="I42" i="75"/>
  <c r="K53" i="75"/>
  <c r="E52" i="75"/>
  <c r="N43" i="75"/>
  <c r="L49" i="75"/>
  <c r="L41" i="75"/>
  <c r="E53" i="75"/>
  <c r="O40" i="75"/>
  <c r="B52" i="75"/>
  <c r="I47" i="75"/>
  <c r="D52" i="75"/>
  <c r="J49" i="75"/>
  <c r="N41" i="75"/>
  <c r="I49" i="75"/>
  <c r="J50" i="75"/>
  <c r="N52" i="75"/>
  <c r="J53" i="75"/>
  <c r="G52" i="75"/>
  <c r="D51" i="75"/>
  <c r="E47" i="75"/>
  <c r="M45" i="75"/>
  <c r="F261" i="117"/>
  <c r="B260" i="117"/>
  <c r="F257" i="117"/>
  <c r="B256" i="117"/>
  <c r="F253" i="117"/>
  <c r="B252" i="117"/>
  <c r="J250" i="117"/>
  <c r="D261" i="117"/>
  <c r="L259" i="117"/>
  <c r="H258" i="117"/>
  <c r="D257" i="117"/>
  <c r="L255" i="117"/>
  <c r="H254" i="117"/>
  <c r="D253" i="117"/>
  <c r="L251" i="117"/>
  <c r="H250" i="117"/>
  <c r="L260" i="117"/>
  <c r="L257" i="117"/>
  <c r="F256" i="117"/>
  <c r="L254" i="117"/>
  <c r="E253" i="117"/>
  <c r="J251" i="117"/>
  <c r="D250" i="117"/>
  <c r="F244" i="117"/>
  <c r="K260" i="117"/>
  <c r="E259" i="117"/>
  <c r="K257" i="117"/>
  <c r="E256" i="117"/>
  <c r="C253" i="117"/>
  <c r="I251" i="117"/>
  <c r="C250" i="117"/>
  <c r="J260" i="117"/>
  <c r="D259" i="117"/>
  <c r="J257" i="117"/>
  <c r="D256" i="117"/>
  <c r="I254" i="117"/>
  <c r="B253" i="117"/>
  <c r="H251" i="117"/>
  <c r="B250" i="117"/>
  <c r="I260" i="117"/>
  <c r="C259" i="117"/>
  <c r="I257" i="117"/>
  <c r="C256" i="117"/>
  <c r="M252" i="117"/>
  <c r="G251" i="117"/>
  <c r="M261" i="117"/>
  <c r="G260" i="117"/>
  <c r="M258" i="117"/>
  <c r="G257" i="117"/>
  <c r="E254" i="117"/>
  <c r="K252" i="117"/>
  <c r="E251" i="117"/>
  <c r="E261" i="117"/>
  <c r="L258" i="117"/>
  <c r="K256" i="117"/>
  <c r="F252" i="117"/>
  <c r="E250" i="117"/>
  <c r="C261" i="117"/>
  <c r="J256" i="117"/>
  <c r="D254" i="117"/>
  <c r="E252" i="117"/>
  <c r="B261" i="117"/>
  <c r="I258" i="117"/>
  <c r="I256" i="117"/>
  <c r="C254" i="117"/>
  <c r="D252" i="117"/>
  <c r="M260" i="117"/>
  <c r="H256" i="117"/>
  <c r="B254" i="117"/>
  <c r="C252" i="117"/>
  <c r="H260" i="117"/>
  <c r="G256" i="117"/>
  <c r="M253" i="117"/>
  <c r="M251" i="117"/>
  <c r="C260" i="117"/>
  <c r="B258" i="117"/>
  <c r="H255" i="117"/>
  <c r="I253" i="117"/>
  <c r="C251" i="117"/>
  <c r="D260" i="117"/>
  <c r="M256" i="117"/>
  <c r="G253" i="117"/>
  <c r="H252" i="117"/>
  <c r="J261" i="117"/>
  <c r="H257" i="117"/>
  <c r="J253" i="117"/>
  <c r="H261" i="117"/>
  <c r="C257" i="117"/>
  <c r="L252" i="117"/>
  <c r="G261" i="117"/>
  <c r="B257" i="117"/>
  <c r="J252" i="117"/>
  <c r="F260" i="117"/>
  <c r="L256" i="117"/>
  <c r="I252" i="117"/>
  <c r="E260" i="117"/>
  <c r="M255" i="117"/>
  <c r="G252" i="117"/>
  <c r="M259" i="117"/>
  <c r="I255" i="117"/>
  <c r="K251" i="117"/>
  <c r="F251" i="117"/>
  <c r="E258" i="117"/>
  <c r="B255" i="117"/>
  <c r="I261" i="117"/>
  <c r="H253" i="117"/>
  <c r="I259" i="117"/>
  <c r="D251" i="117"/>
  <c r="H259" i="117"/>
  <c r="B251" i="117"/>
  <c r="M250" i="117"/>
  <c r="B259" i="117"/>
  <c r="L250" i="117"/>
  <c r="D258" i="117"/>
  <c r="C258" i="117"/>
  <c r="M257" i="117"/>
  <c r="E257" i="117"/>
  <c r="E255" i="117"/>
  <c r="L253" i="117"/>
  <c r="K253" i="117"/>
  <c r="K261" i="117"/>
  <c r="L261" i="117"/>
  <c r="D255" i="117"/>
  <c r="C255" i="117"/>
  <c r="M254" i="117"/>
  <c r="F250" i="117"/>
  <c r="K250" i="117"/>
  <c r="I250" i="117"/>
  <c r="G250" i="117"/>
  <c r="I252" i="123"/>
  <c r="F224" i="131"/>
  <c r="L239" i="131"/>
  <c r="F232" i="131"/>
  <c r="F239" i="131"/>
  <c r="E232" i="131"/>
  <c r="C232" i="131"/>
  <c r="L236" i="131"/>
  <c r="I230" i="131"/>
  <c r="E240" i="131"/>
  <c r="H230" i="131"/>
  <c r="C240" i="131"/>
  <c r="G230" i="131"/>
  <c r="B240" i="131"/>
  <c r="D230" i="131"/>
  <c r="B229" i="131"/>
  <c r="M236" i="131"/>
  <c r="I235" i="131"/>
  <c r="H235" i="131"/>
  <c r="G235" i="131"/>
  <c r="E235" i="131"/>
  <c r="B235" i="131"/>
  <c r="D235" i="131"/>
  <c r="L231" i="131"/>
  <c r="I240" i="131"/>
  <c r="B237" i="131"/>
  <c r="B232" i="131"/>
  <c r="M231" i="131"/>
  <c r="K240" i="131"/>
  <c r="M235" i="131"/>
  <c r="M234" i="131"/>
  <c r="H231" i="131"/>
  <c r="J240" i="131"/>
  <c r="B231" i="131"/>
  <c r="F235" i="131"/>
  <c r="C237" i="131"/>
  <c r="H234" i="131"/>
  <c r="M229" i="131"/>
  <c r="B239" i="131"/>
  <c r="I232" i="131"/>
  <c r="J232" i="131"/>
  <c r="C233" i="131"/>
  <c r="K231" i="131"/>
  <c r="H239" i="131"/>
  <c r="E237" i="131"/>
  <c r="C236" i="131"/>
  <c r="F230" i="131"/>
  <c r="C229" i="131"/>
  <c r="J231" i="131"/>
  <c r="C230" i="131"/>
  <c r="M237" i="131"/>
  <c r="J235" i="131"/>
  <c r="E238" i="131"/>
  <c r="D232" i="131"/>
  <c r="G240" i="131"/>
  <c r="E230" i="131"/>
  <c r="J239" i="131"/>
  <c r="E236" i="131"/>
  <c r="C234" i="131"/>
  <c r="M230" i="131"/>
  <c r="D234" i="131"/>
  <c r="E239" i="131"/>
  <c r="E234" i="131"/>
  <c r="I231" i="131"/>
  <c r="G239" i="131"/>
  <c r="D239" i="131"/>
  <c r="M240" i="131"/>
  <c r="H237" i="131"/>
  <c r="I16" i="141"/>
  <c r="J16" i="141" s="1"/>
  <c r="E272" i="125"/>
  <c r="N9" i="125"/>
  <c r="A244" i="125" s="1"/>
  <c r="J9" i="125"/>
  <c r="M32" i="118"/>
  <c r="L32" i="118"/>
  <c r="F427" i="119"/>
  <c r="D427" i="119"/>
  <c r="K49" i="131"/>
  <c r="G51" i="131"/>
  <c r="G172" i="109"/>
  <c r="G171" i="109"/>
  <c r="G173" i="109"/>
  <c r="G170" i="109"/>
  <c r="G169" i="109"/>
  <c r="G168" i="109"/>
  <c r="E166" i="103"/>
  <c r="J7" i="103"/>
  <c r="N7" i="103"/>
  <c r="A148" i="103" s="1"/>
  <c r="M34" i="78"/>
  <c r="L34" i="78"/>
  <c r="F279" i="139"/>
  <c r="P295" i="139"/>
  <c r="G279" i="139"/>
  <c r="L122" i="139"/>
  <c r="H132" i="139"/>
  <c r="M126" i="139"/>
  <c r="B133" i="139"/>
  <c r="G278" i="139"/>
  <c r="F278" i="139"/>
  <c r="P294" i="139"/>
  <c r="D280" i="135"/>
  <c r="F283" i="135"/>
  <c r="I9" i="133"/>
  <c r="M41" i="134"/>
  <c r="L41" i="134"/>
  <c r="F305" i="143"/>
  <c r="G305" i="143"/>
  <c r="P321" i="143"/>
  <c r="G319" i="135"/>
  <c r="F319" i="135"/>
  <c r="F224" i="139"/>
  <c r="G234" i="139"/>
  <c r="K236" i="139"/>
  <c r="D236" i="139"/>
  <c r="B230" i="139"/>
  <c r="G233" i="139"/>
  <c r="L235" i="139"/>
  <c r="E234" i="139"/>
  <c r="C232" i="139"/>
  <c r="J230" i="139"/>
  <c r="C233" i="139"/>
  <c r="E235" i="139"/>
  <c r="F234" i="139"/>
  <c r="E228" i="139"/>
  <c r="H231" i="139"/>
  <c r="I232" i="139"/>
  <c r="E231" i="139"/>
  <c r="I227" i="139"/>
  <c r="H230" i="139"/>
  <c r="K231" i="139"/>
  <c r="K233" i="139"/>
  <c r="J232" i="139"/>
  <c r="K229" i="139"/>
  <c r="I229" i="139"/>
  <c r="H228" i="139"/>
  <c r="E236" i="139"/>
  <c r="F230" i="139"/>
  <c r="G230" i="139"/>
  <c r="E232" i="139"/>
  <c r="B231" i="139"/>
  <c r="H235" i="139"/>
  <c r="B228" i="139"/>
  <c r="D238" i="139"/>
  <c r="M230" i="139"/>
  <c r="E230" i="139"/>
  <c r="C229" i="139"/>
  <c r="K230" i="139"/>
  <c r="F229" i="139"/>
  <c r="I233" i="139"/>
  <c r="H238" i="139"/>
  <c r="C235" i="139"/>
  <c r="F233" i="139"/>
  <c r="F236" i="139"/>
  <c r="E47" i="133"/>
  <c r="E170" i="137"/>
  <c r="D170" i="137"/>
  <c r="C170" i="137"/>
  <c r="I172" i="137"/>
  <c r="I173" i="137"/>
  <c r="H173" i="137"/>
  <c r="A180" i="137" s="1"/>
  <c r="A187" i="137" s="1"/>
  <c r="H172" i="137"/>
  <c r="A179" i="137" s="1"/>
  <c r="A186" i="137" s="1"/>
  <c r="H171" i="137"/>
  <c r="A178" i="137" s="1"/>
  <c r="A185" i="137" s="1"/>
  <c r="I171" i="137"/>
  <c r="K234" i="139"/>
  <c r="L234" i="139"/>
  <c r="F228" i="139"/>
  <c r="E238" i="139"/>
  <c r="B94" i="135"/>
  <c r="D89" i="135"/>
  <c r="G85" i="135"/>
  <c r="G84" i="135"/>
  <c r="J89" i="135"/>
  <c r="L32" i="130"/>
  <c r="M32" i="130"/>
  <c r="I279" i="135"/>
  <c r="G275" i="135"/>
  <c r="G229" i="131"/>
  <c r="L238" i="131"/>
  <c r="B233" i="131"/>
  <c r="F231" i="131"/>
  <c r="L105" i="123"/>
  <c r="I13" i="127"/>
  <c r="I108" i="123"/>
  <c r="F109" i="123"/>
  <c r="C113" i="123"/>
  <c r="M41" i="124"/>
  <c r="L41" i="124"/>
  <c r="E210" i="123"/>
  <c r="C217" i="123"/>
  <c r="E488" i="119"/>
  <c r="N10" i="119"/>
  <c r="A427" i="119" s="1"/>
  <c r="M33" i="122"/>
  <c r="L33" i="122"/>
  <c r="H261" i="123"/>
  <c r="B257" i="123"/>
  <c r="L258" i="123"/>
  <c r="M253" i="123"/>
  <c r="I240" i="123"/>
  <c r="E239" i="123"/>
  <c r="M237" i="123"/>
  <c r="I236" i="123"/>
  <c r="E235" i="123"/>
  <c r="I232" i="123"/>
  <c r="E231" i="123"/>
  <c r="H240" i="123"/>
  <c r="D239" i="123"/>
  <c r="L237" i="123"/>
  <c r="H236" i="123"/>
  <c r="D235" i="123"/>
  <c r="H232" i="123"/>
  <c r="D231" i="123"/>
  <c r="I241" i="123"/>
  <c r="E240" i="123"/>
  <c r="M238" i="123"/>
  <c r="I237" i="123"/>
  <c r="E236" i="123"/>
  <c r="I233" i="123"/>
  <c r="E232" i="123"/>
  <c r="F242" i="123"/>
  <c r="K240" i="123"/>
  <c r="B239" i="123"/>
  <c r="F237" i="123"/>
  <c r="K235" i="123"/>
  <c r="G232" i="123"/>
  <c r="J240" i="123"/>
  <c r="L238" i="123"/>
  <c r="E237" i="123"/>
  <c r="J235" i="123"/>
  <c r="C234" i="123"/>
  <c r="F232" i="123"/>
  <c r="G240" i="123"/>
  <c r="K238" i="123"/>
  <c r="D237" i="123"/>
  <c r="I235" i="123"/>
  <c r="B234" i="123"/>
  <c r="D232" i="123"/>
  <c r="C242" i="123"/>
  <c r="F240" i="123"/>
  <c r="J238" i="123"/>
  <c r="C237" i="123"/>
  <c r="H235" i="123"/>
  <c r="K233" i="123"/>
  <c r="C232" i="123"/>
  <c r="B242" i="123"/>
  <c r="D240" i="123"/>
  <c r="I238" i="123"/>
  <c r="B237" i="123"/>
  <c r="G235" i="123"/>
  <c r="J233" i="123"/>
  <c r="B232" i="123"/>
  <c r="G241" i="123"/>
  <c r="L239" i="123"/>
  <c r="E238" i="123"/>
  <c r="J236" i="123"/>
  <c r="J231" i="123"/>
  <c r="G242" i="123"/>
  <c r="I239" i="123"/>
  <c r="L236" i="123"/>
  <c r="G234" i="123"/>
  <c r="I231" i="123"/>
  <c r="K241" i="123"/>
  <c r="H239" i="123"/>
  <c r="K236" i="123"/>
  <c r="F234" i="123"/>
  <c r="H231" i="123"/>
  <c r="J241" i="123"/>
  <c r="G239" i="123"/>
  <c r="G236" i="123"/>
  <c r="G231" i="123"/>
  <c r="H241" i="123"/>
  <c r="F239" i="123"/>
  <c r="F236" i="123"/>
  <c r="H233" i="123"/>
  <c r="F231" i="123"/>
  <c r="H238" i="123"/>
  <c r="C236" i="123"/>
  <c r="F233" i="123"/>
  <c r="B231" i="123"/>
  <c r="C240" i="123"/>
  <c r="D236" i="123"/>
  <c r="L232" i="123"/>
  <c r="B240" i="123"/>
  <c r="B236" i="123"/>
  <c r="K232" i="123"/>
  <c r="M239" i="123"/>
  <c r="M235" i="123"/>
  <c r="J232" i="123"/>
  <c r="K239" i="123"/>
  <c r="L235" i="123"/>
  <c r="M231" i="123"/>
  <c r="C239" i="123"/>
  <c r="C235" i="123"/>
  <c r="K231" i="123"/>
  <c r="F238" i="123"/>
  <c r="D238" i="123"/>
  <c r="C233" i="123"/>
  <c r="C238" i="123"/>
  <c r="B233" i="123"/>
  <c r="B238" i="123"/>
  <c r="M232" i="123"/>
  <c r="K242" i="123"/>
  <c r="K237" i="123"/>
  <c r="L231" i="123"/>
  <c r="F241" i="123"/>
  <c r="M236" i="123"/>
  <c r="H237" i="123"/>
  <c r="G237" i="123"/>
  <c r="B235" i="123"/>
  <c r="K234" i="123"/>
  <c r="H234" i="123"/>
  <c r="J242" i="123"/>
  <c r="C231" i="123"/>
  <c r="I242" i="123"/>
  <c r="H242" i="123"/>
  <c r="C241" i="123"/>
  <c r="G233" i="123"/>
  <c r="F225" i="123"/>
  <c r="B241" i="123"/>
  <c r="J239" i="123"/>
  <c r="G238" i="123"/>
  <c r="J237" i="123"/>
  <c r="M240" i="123"/>
  <c r="L240" i="123"/>
  <c r="J234" i="123"/>
  <c r="I234" i="123"/>
  <c r="F235" i="123"/>
  <c r="C156" i="123"/>
  <c r="I151" i="123"/>
  <c r="K148" i="123"/>
  <c r="F121" i="123"/>
  <c r="F131" i="123"/>
  <c r="G130" i="123"/>
  <c r="K129" i="123"/>
  <c r="B129" i="123"/>
  <c r="L127" i="123"/>
  <c r="G127" i="123"/>
  <c r="E126" i="123"/>
  <c r="M136" i="123"/>
  <c r="F135" i="123"/>
  <c r="E135" i="123"/>
  <c r="H134" i="123"/>
  <c r="I135" i="123"/>
  <c r="H135" i="123"/>
  <c r="C134" i="123"/>
  <c r="G134" i="123"/>
  <c r="E130" i="123"/>
  <c r="L130" i="123"/>
  <c r="K131" i="123"/>
  <c r="G128" i="123"/>
  <c r="J137" i="123"/>
  <c r="K128" i="123"/>
  <c r="D126" i="123"/>
  <c r="F132" i="123"/>
  <c r="H129" i="123"/>
  <c r="D130" i="123"/>
  <c r="J126" i="123"/>
  <c r="L135" i="123"/>
  <c r="C136" i="123"/>
  <c r="D137" i="123"/>
  <c r="E127" i="123"/>
  <c r="I137" i="123"/>
  <c r="D128" i="123"/>
  <c r="I128" i="123"/>
  <c r="H136" i="123"/>
  <c r="E134" i="123"/>
  <c r="L133" i="123"/>
  <c r="L132" i="123"/>
  <c r="L137" i="123"/>
  <c r="E136" i="123"/>
  <c r="L126" i="123"/>
  <c r="K134" i="123"/>
  <c r="J132" i="123"/>
  <c r="B131" i="123"/>
  <c r="G129" i="123"/>
  <c r="M134" i="123"/>
  <c r="E137" i="123"/>
  <c r="J136" i="123"/>
  <c r="C131" i="123"/>
  <c r="J128" i="123"/>
  <c r="C137" i="123"/>
  <c r="D127" i="123"/>
  <c r="E128" i="123"/>
  <c r="I130" i="123"/>
  <c r="H128" i="123"/>
  <c r="G136" i="123"/>
  <c r="B134" i="123"/>
  <c r="J135" i="123"/>
  <c r="C129" i="123"/>
  <c r="L131" i="123"/>
  <c r="F140" i="131"/>
  <c r="I154" i="131"/>
  <c r="M151" i="131"/>
  <c r="H145" i="131"/>
  <c r="B155" i="131"/>
  <c r="B152" i="131"/>
  <c r="G145" i="131"/>
  <c r="E145" i="131"/>
  <c r="F156" i="131"/>
  <c r="M154" i="131"/>
  <c r="H154" i="131"/>
  <c r="F145" i="131"/>
  <c r="L156" i="131"/>
  <c r="I156" i="131"/>
  <c r="M146" i="131"/>
  <c r="L154" i="131"/>
  <c r="C147" i="131"/>
  <c r="I145" i="131"/>
  <c r="L145" i="131"/>
  <c r="H151" i="131"/>
  <c r="H155" i="131"/>
  <c r="F155" i="131"/>
  <c r="C155" i="131"/>
  <c r="B156" i="131"/>
  <c r="J152" i="131"/>
  <c r="F153" i="131"/>
  <c r="G156" i="131"/>
  <c r="L151" i="131"/>
  <c r="B154" i="131"/>
  <c r="I153" i="131"/>
  <c r="G153" i="131"/>
  <c r="C150" i="131"/>
  <c r="M149" i="131"/>
  <c r="I151" i="131"/>
  <c r="G151" i="131"/>
  <c r="H150" i="131"/>
  <c r="H152" i="131"/>
  <c r="E152" i="131"/>
  <c r="C152" i="131"/>
  <c r="E151" i="131"/>
  <c r="C148" i="131"/>
  <c r="B147" i="131"/>
  <c r="J146" i="131"/>
  <c r="D149" i="131"/>
  <c r="M150" i="131"/>
  <c r="K150" i="131"/>
  <c r="E156" i="131"/>
  <c r="L148" i="131"/>
  <c r="K145" i="131"/>
  <c r="G154" i="131"/>
  <c r="D151" i="131"/>
  <c r="E155" i="131"/>
  <c r="G155" i="131"/>
  <c r="D155" i="131"/>
  <c r="I148" i="131"/>
  <c r="F150" i="131"/>
  <c r="B145" i="131"/>
  <c r="D156" i="131"/>
  <c r="K151" i="131"/>
  <c r="F127" i="123"/>
  <c r="K130" i="123"/>
  <c r="G131" i="123"/>
  <c r="C135" i="123"/>
  <c r="M126" i="123"/>
  <c r="M39" i="126"/>
  <c r="L39" i="126"/>
  <c r="M29" i="122"/>
  <c r="L29" i="122"/>
  <c r="I9" i="117"/>
  <c r="J9" i="117" s="1"/>
  <c r="F218" i="121"/>
  <c r="G211" i="121"/>
  <c r="I219" i="121"/>
  <c r="H221" i="121"/>
  <c r="D215" i="121"/>
  <c r="G148" i="125"/>
  <c r="F148" i="125"/>
  <c r="F151" i="125"/>
  <c r="G149" i="125"/>
  <c r="F154" i="125"/>
  <c r="K48" i="131"/>
  <c r="D47" i="131"/>
  <c r="L42" i="131"/>
  <c r="L44" i="131"/>
  <c r="F112" i="117"/>
  <c r="B111" i="117"/>
  <c r="J109" i="117"/>
  <c r="F108" i="117"/>
  <c r="B107" i="117"/>
  <c r="J105" i="117"/>
  <c r="F104" i="117"/>
  <c r="B103" i="117"/>
  <c r="F97" i="117"/>
  <c r="H114" i="117"/>
  <c r="C113" i="117"/>
  <c r="E110" i="117"/>
  <c r="L108" i="117"/>
  <c r="G107" i="117"/>
  <c r="B106" i="117"/>
  <c r="I104" i="117"/>
  <c r="D103" i="117"/>
  <c r="F114" i="117"/>
  <c r="H111" i="117"/>
  <c r="C110" i="117"/>
  <c r="J108" i="117"/>
  <c r="E107" i="117"/>
  <c r="L105" i="117"/>
  <c r="G104" i="117"/>
  <c r="E114" i="117"/>
  <c r="G111" i="117"/>
  <c r="B110" i="117"/>
  <c r="I108" i="117"/>
  <c r="D107" i="117"/>
  <c r="K105" i="117"/>
  <c r="E104" i="117"/>
  <c r="C114" i="117"/>
  <c r="E111" i="117"/>
  <c r="L109" i="117"/>
  <c r="G108" i="117"/>
  <c r="M106" i="117"/>
  <c r="H105" i="117"/>
  <c r="C104" i="117"/>
  <c r="C112" i="117"/>
  <c r="F110" i="117"/>
  <c r="D108" i="117"/>
  <c r="G106" i="117"/>
  <c r="J104" i="117"/>
  <c r="B112" i="117"/>
  <c r="D110" i="117"/>
  <c r="C108" i="117"/>
  <c r="F106" i="117"/>
  <c r="H104" i="117"/>
  <c r="M109" i="117"/>
  <c r="B108" i="117"/>
  <c r="E106" i="117"/>
  <c r="D104" i="117"/>
  <c r="I113" i="117"/>
  <c r="K109" i="117"/>
  <c r="M107" i="117"/>
  <c r="D106" i="117"/>
  <c r="B104" i="117"/>
  <c r="H113" i="117"/>
  <c r="I109" i="117"/>
  <c r="L107" i="117"/>
  <c r="C106" i="117"/>
  <c r="M103" i="117"/>
  <c r="D113" i="117"/>
  <c r="C111" i="117"/>
  <c r="E109" i="117"/>
  <c r="H107" i="117"/>
  <c r="F105" i="117"/>
  <c r="I103" i="117"/>
  <c r="H109" i="117"/>
  <c r="K106" i="117"/>
  <c r="J103" i="117"/>
  <c r="G113" i="117"/>
  <c r="I110" i="117"/>
  <c r="C107" i="117"/>
  <c r="K103" i="117"/>
  <c r="H112" i="117"/>
  <c r="C109" i="117"/>
  <c r="G105" i="117"/>
  <c r="E112" i="117"/>
  <c r="M108" i="117"/>
  <c r="D105" i="117"/>
  <c r="D112" i="117"/>
  <c r="K108" i="117"/>
  <c r="C105" i="117"/>
  <c r="I111" i="117"/>
  <c r="H108" i="117"/>
  <c r="B105" i="117"/>
  <c r="F111" i="117"/>
  <c r="E108" i="117"/>
  <c r="M104" i="117"/>
  <c r="B113" i="117"/>
  <c r="I107" i="117"/>
  <c r="C103" i="117"/>
  <c r="I112" i="117"/>
  <c r="F107" i="117"/>
  <c r="G112" i="117"/>
  <c r="L106" i="117"/>
  <c r="D111" i="117"/>
  <c r="J106" i="117"/>
  <c r="M110" i="117"/>
  <c r="I106" i="117"/>
  <c r="G110" i="117"/>
  <c r="L104" i="117"/>
  <c r="B114" i="117"/>
  <c r="E105" i="117"/>
  <c r="F113" i="117"/>
  <c r="K104" i="117"/>
  <c r="E113" i="117"/>
  <c r="L103" i="117"/>
  <c r="L110" i="117"/>
  <c r="H103" i="117"/>
  <c r="K110" i="117"/>
  <c r="G103" i="117"/>
  <c r="F109" i="117"/>
  <c r="D109" i="117"/>
  <c r="D114" i="117"/>
  <c r="I105" i="117"/>
  <c r="J110" i="117"/>
  <c r="H110" i="117"/>
  <c r="G109" i="117"/>
  <c r="B109" i="117"/>
  <c r="K107" i="117"/>
  <c r="F103" i="117"/>
  <c r="E103" i="117"/>
  <c r="G114" i="117"/>
  <c r="I114" i="117"/>
  <c r="J107" i="117"/>
  <c r="M105" i="117"/>
  <c r="H106" i="117"/>
  <c r="E114" i="119"/>
  <c r="I111" i="119"/>
  <c r="E110" i="119"/>
  <c r="M108" i="119"/>
  <c r="I107" i="119"/>
  <c r="E106" i="119"/>
  <c r="M104" i="119"/>
  <c r="I103" i="119"/>
  <c r="F112" i="119"/>
  <c r="M110" i="119"/>
  <c r="H109" i="119"/>
  <c r="C108" i="119"/>
  <c r="J106" i="119"/>
  <c r="E105" i="119"/>
  <c r="L103" i="119"/>
  <c r="E112" i="119"/>
  <c r="L110" i="119"/>
  <c r="G109" i="119"/>
  <c r="B108" i="119"/>
  <c r="I106" i="119"/>
  <c r="D105" i="119"/>
  <c r="K103" i="119"/>
  <c r="H113" i="119"/>
  <c r="C112" i="119"/>
  <c r="J110" i="119"/>
  <c r="E109" i="119"/>
  <c r="L107" i="119"/>
  <c r="G106" i="119"/>
  <c r="B105" i="119"/>
  <c r="H103" i="119"/>
  <c r="F113" i="119"/>
  <c r="H114" i="119"/>
  <c r="B111" i="119"/>
  <c r="C109" i="119"/>
  <c r="F107" i="119"/>
  <c r="J105" i="119"/>
  <c r="B104" i="119"/>
  <c r="G114" i="119"/>
  <c r="I112" i="119"/>
  <c r="K110" i="119"/>
  <c r="B109" i="119"/>
  <c r="E107" i="119"/>
  <c r="I105" i="119"/>
  <c r="M103" i="119"/>
  <c r="F114" i="119"/>
  <c r="H112" i="119"/>
  <c r="I110" i="119"/>
  <c r="L108" i="119"/>
  <c r="D107" i="119"/>
  <c r="H105" i="119"/>
  <c r="J103" i="119"/>
  <c r="D114" i="119"/>
  <c r="G112" i="119"/>
  <c r="H110" i="119"/>
  <c r="K108" i="119"/>
  <c r="C107" i="119"/>
  <c r="G105" i="119"/>
  <c r="G103" i="119"/>
  <c r="B114" i="119"/>
  <c r="B112" i="119"/>
  <c r="F110" i="119"/>
  <c r="I108" i="119"/>
  <c r="M106" i="119"/>
  <c r="C105" i="119"/>
  <c r="E103" i="119"/>
  <c r="G111" i="119"/>
  <c r="J108" i="119"/>
  <c r="D106" i="119"/>
  <c r="C104" i="119"/>
  <c r="F111" i="119"/>
  <c r="H108" i="119"/>
  <c r="C106" i="119"/>
  <c r="F103" i="119"/>
  <c r="I113" i="119"/>
  <c r="E111" i="119"/>
  <c r="G108" i="119"/>
  <c r="B106" i="119"/>
  <c r="D103" i="119"/>
  <c r="G113" i="119"/>
  <c r="D111" i="119"/>
  <c r="F108" i="119"/>
  <c r="M105" i="119"/>
  <c r="C103" i="119"/>
  <c r="E113" i="119"/>
  <c r="C111" i="119"/>
  <c r="E108" i="119"/>
  <c r="L105" i="119"/>
  <c r="B103" i="119"/>
  <c r="B110" i="119"/>
  <c r="J107" i="119"/>
  <c r="K104" i="119"/>
  <c r="M107" i="119"/>
  <c r="F104" i="119"/>
  <c r="H111" i="119"/>
  <c r="B107" i="119"/>
  <c r="K106" i="119"/>
  <c r="D110" i="119"/>
  <c r="F106" i="119"/>
  <c r="C110" i="119"/>
  <c r="K105" i="119"/>
  <c r="M109" i="119"/>
  <c r="F105" i="119"/>
  <c r="L109" i="119"/>
  <c r="L104" i="119"/>
  <c r="H104" i="119"/>
  <c r="G104" i="119"/>
  <c r="G110" i="119"/>
  <c r="E104" i="119"/>
  <c r="K109" i="119"/>
  <c r="D104" i="119"/>
  <c r="J109" i="119"/>
  <c r="I109" i="119"/>
  <c r="F109" i="119"/>
  <c r="D109" i="119"/>
  <c r="C114" i="119"/>
  <c r="H107" i="119"/>
  <c r="D113" i="119"/>
  <c r="G107" i="119"/>
  <c r="C113" i="119"/>
  <c r="L106" i="119"/>
  <c r="D112" i="119"/>
  <c r="D108" i="119"/>
  <c r="K107" i="119"/>
  <c r="F97" i="119"/>
  <c r="I104" i="119"/>
  <c r="I114" i="119"/>
  <c r="J104" i="119"/>
  <c r="B113" i="119"/>
  <c r="H106" i="119"/>
  <c r="M39" i="108"/>
  <c r="L39" i="108"/>
  <c r="D51" i="109"/>
  <c r="D45" i="109"/>
  <c r="E51" i="109"/>
  <c r="C49" i="109"/>
  <c r="B47" i="109"/>
  <c r="C51" i="109"/>
  <c r="B49" i="109"/>
  <c r="I46" i="109"/>
  <c r="B51" i="109"/>
  <c r="I48" i="109"/>
  <c r="H46" i="109"/>
  <c r="I50" i="109"/>
  <c r="H48" i="109"/>
  <c r="G46" i="109"/>
  <c r="I52" i="109"/>
  <c r="H50" i="109"/>
  <c r="F46" i="109"/>
  <c r="D52" i="109"/>
  <c r="C50" i="109"/>
  <c r="B48" i="109"/>
  <c r="I45" i="109"/>
  <c r="F52" i="109"/>
  <c r="H45" i="109"/>
  <c r="E52" i="109"/>
  <c r="G45" i="109"/>
  <c r="C52" i="109"/>
  <c r="F45" i="109"/>
  <c r="B52" i="109"/>
  <c r="E45" i="109"/>
  <c r="C48" i="109"/>
  <c r="I47" i="109"/>
  <c r="H52" i="109"/>
  <c r="H47" i="109"/>
  <c r="H51" i="109"/>
  <c r="C47" i="109"/>
  <c r="I51" i="109"/>
  <c r="B46" i="109"/>
  <c r="G51" i="109"/>
  <c r="C45" i="109"/>
  <c r="F51" i="109"/>
  <c r="B45" i="109"/>
  <c r="E46" i="109"/>
  <c r="D46" i="109"/>
  <c r="C46" i="109"/>
  <c r="G52" i="109"/>
  <c r="B50" i="109"/>
  <c r="I49" i="109"/>
  <c r="H49" i="109"/>
  <c r="F39" i="109"/>
  <c r="I7" i="101"/>
  <c r="H40" i="107"/>
  <c r="B39" i="107"/>
  <c r="F37" i="107"/>
  <c r="J35" i="107"/>
  <c r="H32" i="107"/>
  <c r="D41" i="107"/>
  <c r="G39" i="107"/>
  <c r="J37" i="107"/>
  <c r="C36" i="107"/>
  <c r="F34" i="107"/>
  <c r="I32" i="107"/>
  <c r="C41" i="107"/>
  <c r="F39" i="107"/>
  <c r="I37" i="107"/>
  <c r="B36" i="107"/>
  <c r="G32" i="107"/>
  <c r="B41" i="107"/>
  <c r="E39" i="107"/>
  <c r="H37" i="107"/>
  <c r="K35" i="107"/>
  <c r="F32" i="107"/>
  <c r="D40" i="107"/>
  <c r="D38" i="107"/>
  <c r="D36" i="107"/>
  <c r="J33" i="107"/>
  <c r="C40" i="107"/>
  <c r="C38" i="107"/>
  <c r="I35" i="107"/>
  <c r="I33" i="107"/>
  <c r="B40" i="107"/>
  <c r="B38" i="107"/>
  <c r="H35" i="107"/>
  <c r="H33" i="107"/>
  <c r="I41" i="107"/>
  <c r="I39" i="107"/>
  <c r="E37" i="107"/>
  <c r="J40" i="107"/>
  <c r="E38" i="107"/>
  <c r="I40" i="107"/>
  <c r="K37" i="107"/>
  <c r="G40" i="107"/>
  <c r="G37" i="107"/>
  <c r="K34" i="107"/>
  <c r="F40" i="107"/>
  <c r="D37" i="107"/>
  <c r="J34" i="107"/>
  <c r="E40" i="107"/>
  <c r="C37" i="107"/>
  <c r="I34" i="107"/>
  <c r="K39" i="107"/>
  <c r="B37" i="107"/>
  <c r="H34" i="107"/>
  <c r="F41" i="107"/>
  <c r="H36" i="107"/>
  <c r="J32" i="107"/>
  <c r="E41" i="107"/>
  <c r="G36" i="107"/>
  <c r="K40" i="107"/>
  <c r="F36" i="107"/>
  <c r="J39" i="107"/>
  <c r="E36" i="107"/>
  <c r="H39" i="107"/>
  <c r="G35" i="107"/>
  <c r="J38" i="107"/>
  <c r="K38" i="107"/>
  <c r="I38" i="107"/>
  <c r="K32" i="107"/>
  <c r="H38" i="107"/>
  <c r="G38" i="107"/>
  <c r="F26" i="107"/>
  <c r="F38" i="107"/>
  <c r="F35" i="107"/>
  <c r="D39" i="107"/>
  <c r="C39" i="107"/>
  <c r="K36" i="107"/>
  <c r="J36" i="107"/>
  <c r="I36" i="107"/>
  <c r="K41" i="107"/>
  <c r="J41" i="107"/>
  <c r="H41" i="107"/>
  <c r="K33" i="107"/>
  <c r="G33" i="107"/>
  <c r="F33" i="107"/>
  <c r="G41" i="107"/>
  <c r="G34" i="107"/>
  <c r="B139" i="99"/>
  <c r="D147" i="99" s="1"/>
  <c r="E438" i="99"/>
  <c r="C438" i="99"/>
  <c r="C139" i="99"/>
  <c r="F95" i="85"/>
  <c r="I101" i="85"/>
  <c r="I100" i="85"/>
  <c r="H99" i="85"/>
  <c r="D100" i="85"/>
  <c r="H102" i="85"/>
  <c r="B100" i="85"/>
  <c r="D99" i="85"/>
  <c r="G104" i="85"/>
  <c r="H105" i="85"/>
  <c r="E104" i="85"/>
  <c r="H103" i="85"/>
  <c r="D102" i="85"/>
  <c r="F105" i="85"/>
  <c r="H98" i="85"/>
  <c r="I104" i="85"/>
  <c r="I98" i="85"/>
  <c r="G100" i="85"/>
  <c r="B104" i="85"/>
  <c r="E98" i="85"/>
  <c r="G327" i="75"/>
  <c r="R345" i="75"/>
  <c r="F327" i="75"/>
  <c r="F329" i="75"/>
  <c r="I6" i="71"/>
  <c r="H195" i="133"/>
  <c r="D194" i="133"/>
  <c r="L192" i="133"/>
  <c r="H191" i="133"/>
  <c r="D190" i="133"/>
  <c r="L188" i="133"/>
  <c r="H187" i="133"/>
  <c r="D186" i="133"/>
  <c r="J196" i="133"/>
  <c r="E195" i="133"/>
  <c r="L193" i="133"/>
  <c r="G192" i="133"/>
  <c r="B191" i="133"/>
  <c r="I189" i="133"/>
  <c r="D188" i="133"/>
  <c r="K186" i="133"/>
  <c r="F185" i="133"/>
  <c r="K195" i="133"/>
  <c r="E194" i="133"/>
  <c r="J192" i="133"/>
  <c r="D191" i="133"/>
  <c r="J189" i="133"/>
  <c r="C188" i="133"/>
  <c r="I186" i="133"/>
  <c r="C185" i="133"/>
  <c r="J195" i="133"/>
  <c r="C194" i="133"/>
  <c r="I192" i="133"/>
  <c r="C191" i="133"/>
  <c r="H189" i="133"/>
  <c r="B188" i="133"/>
  <c r="H186" i="133"/>
  <c r="B185" i="133"/>
  <c r="I195" i="133"/>
  <c r="B194" i="133"/>
  <c r="H192" i="133"/>
  <c r="M187" i="133"/>
  <c r="G186" i="133"/>
  <c r="M193" i="133"/>
  <c r="F192" i="133"/>
  <c r="L187" i="133"/>
  <c r="F186" i="133"/>
  <c r="K193" i="133"/>
  <c r="E192" i="133"/>
  <c r="K190" i="133"/>
  <c r="E189" i="133"/>
  <c r="K187" i="133"/>
  <c r="E186" i="133"/>
  <c r="M194" i="133"/>
  <c r="G193" i="133"/>
  <c r="M191" i="133"/>
  <c r="M188" i="133"/>
  <c r="F187" i="133"/>
  <c r="L185" i="133"/>
  <c r="B196" i="133"/>
  <c r="F193" i="133"/>
  <c r="E191" i="133"/>
  <c r="I188" i="133"/>
  <c r="B186" i="133"/>
  <c r="E193" i="133"/>
  <c r="J190" i="133"/>
  <c r="H188" i="133"/>
  <c r="M185" i="133"/>
  <c r="D193" i="133"/>
  <c r="I190" i="133"/>
  <c r="G188" i="133"/>
  <c r="K185" i="133"/>
  <c r="F179" i="133"/>
  <c r="D195" i="133"/>
  <c r="C193" i="133"/>
  <c r="H190" i="133"/>
  <c r="F188" i="133"/>
  <c r="J185" i="133"/>
  <c r="C195" i="133"/>
  <c r="B193" i="133"/>
  <c r="E188" i="133"/>
  <c r="I185" i="133"/>
  <c r="J194" i="133"/>
  <c r="C192" i="133"/>
  <c r="E187" i="133"/>
  <c r="D185" i="133"/>
  <c r="H196" i="133"/>
  <c r="K192" i="133"/>
  <c r="B189" i="133"/>
  <c r="D192" i="133"/>
  <c r="K188" i="133"/>
  <c r="E196" i="133"/>
  <c r="B192" i="133"/>
  <c r="J188" i="133"/>
  <c r="D196" i="133"/>
  <c r="L191" i="133"/>
  <c r="J187" i="133"/>
  <c r="C196" i="133"/>
  <c r="K191" i="133"/>
  <c r="I187" i="133"/>
  <c r="I194" i="133"/>
  <c r="F191" i="133"/>
  <c r="B187" i="133"/>
  <c r="G194" i="133"/>
  <c r="G187" i="133"/>
  <c r="F194" i="133"/>
  <c r="D187" i="133"/>
  <c r="J193" i="133"/>
  <c r="C187" i="133"/>
  <c r="I193" i="133"/>
  <c r="M186" i="133"/>
  <c r="H193" i="133"/>
  <c r="L186" i="133"/>
  <c r="K189" i="133"/>
  <c r="D189" i="133"/>
  <c r="K196" i="133"/>
  <c r="C189" i="133"/>
  <c r="I196" i="133"/>
  <c r="J186" i="133"/>
  <c r="H194" i="133"/>
  <c r="E185" i="133"/>
  <c r="B195" i="133"/>
  <c r="K194" i="133"/>
  <c r="G191" i="133"/>
  <c r="E190" i="133"/>
  <c r="C190" i="133"/>
  <c r="B190" i="133"/>
  <c r="H185" i="133"/>
  <c r="M192" i="133"/>
  <c r="J191" i="133"/>
  <c r="I191" i="133"/>
  <c r="C186" i="133"/>
  <c r="G185" i="133"/>
  <c r="L194" i="133"/>
  <c r="E364" i="127"/>
  <c r="J10" i="127"/>
  <c r="N10" i="127"/>
  <c r="A327" i="127" s="1"/>
  <c r="M33" i="140"/>
  <c r="L33" i="140"/>
  <c r="F150" i="125"/>
  <c r="G150" i="125"/>
  <c r="E149" i="141"/>
  <c r="I8" i="137"/>
  <c r="J228" i="139"/>
  <c r="M234" i="139"/>
  <c r="I236" i="139"/>
  <c r="C230" i="139"/>
  <c r="F227" i="139"/>
  <c r="C94" i="135"/>
  <c r="C88" i="135"/>
  <c r="K94" i="135"/>
  <c r="B86" i="135"/>
  <c r="B91" i="135"/>
  <c r="L29" i="130"/>
  <c r="M29" i="130"/>
  <c r="E280" i="135"/>
  <c r="C278" i="135"/>
  <c r="H273" i="135"/>
  <c r="B234" i="131"/>
  <c r="D231" i="131"/>
  <c r="L232" i="131"/>
  <c r="D115" i="123"/>
  <c r="K111" i="123"/>
  <c r="E107" i="123"/>
  <c r="C115" i="123"/>
  <c r="D111" i="123"/>
  <c r="D107" i="123"/>
  <c r="G114" i="123"/>
  <c r="J110" i="123"/>
  <c r="C107" i="123"/>
  <c r="F114" i="123"/>
  <c r="F110" i="123"/>
  <c r="B107" i="123"/>
  <c r="B114" i="123"/>
  <c r="C110" i="123"/>
  <c r="D106" i="123"/>
  <c r="E115" i="123"/>
  <c r="C109" i="123"/>
  <c r="D114" i="123"/>
  <c r="B109" i="123"/>
  <c r="F100" i="123"/>
  <c r="L108" i="123"/>
  <c r="H113" i="123"/>
  <c r="K108" i="123"/>
  <c r="J112" i="123"/>
  <c r="K107" i="123"/>
  <c r="E112" i="123"/>
  <c r="C106" i="123"/>
  <c r="G109" i="123"/>
  <c r="G107" i="123"/>
  <c r="M106" i="123"/>
  <c r="B106" i="123"/>
  <c r="G112" i="123"/>
  <c r="D112" i="123"/>
  <c r="C112" i="123"/>
  <c r="B112" i="123"/>
  <c r="D110" i="123"/>
  <c r="I109" i="123"/>
  <c r="G115" i="123"/>
  <c r="F115" i="123"/>
  <c r="H109" i="123"/>
  <c r="F107" i="123"/>
  <c r="H105" i="123"/>
  <c r="I112" i="123"/>
  <c r="F112" i="123"/>
  <c r="F105" i="123"/>
  <c r="G110" i="123"/>
  <c r="E109" i="123"/>
  <c r="M112" i="123"/>
  <c r="F113" i="123"/>
  <c r="F111" i="123"/>
  <c r="H107" i="123"/>
  <c r="K112" i="123"/>
  <c r="M107" i="123"/>
  <c r="I111" i="123"/>
  <c r="H111" i="123"/>
  <c r="K109" i="123"/>
  <c r="M105" i="123"/>
  <c r="H115" i="123"/>
  <c r="I106" i="123"/>
  <c r="E110" i="123"/>
  <c r="M109" i="123"/>
  <c r="D108" i="123"/>
  <c r="J105" i="123"/>
  <c r="I105" i="123"/>
  <c r="E105" i="123"/>
  <c r="M108" i="123"/>
  <c r="F108" i="123"/>
  <c r="G106" i="123"/>
  <c r="H108" i="123"/>
  <c r="B108" i="123"/>
  <c r="I107" i="123"/>
  <c r="K106" i="123"/>
  <c r="E116" i="123"/>
  <c r="L110" i="123"/>
  <c r="D109" i="123"/>
  <c r="J111" i="123"/>
  <c r="G111" i="123"/>
  <c r="C108" i="123"/>
  <c r="B111" i="123"/>
  <c r="M28" i="134"/>
  <c r="L28" i="134"/>
  <c r="I11" i="125"/>
  <c r="J11" i="125"/>
  <c r="K105" i="123"/>
  <c r="F110" i="125"/>
  <c r="D119" i="125"/>
  <c r="F116" i="125"/>
  <c r="C119" i="125"/>
  <c r="E116" i="125"/>
  <c r="B119" i="125"/>
  <c r="F115" i="125"/>
  <c r="G121" i="125"/>
  <c r="E115" i="125"/>
  <c r="F119" i="125"/>
  <c r="G118" i="125"/>
  <c r="F118" i="125"/>
  <c r="B121" i="125"/>
  <c r="I120" i="125"/>
  <c r="H120" i="125"/>
  <c r="G120" i="125"/>
  <c r="G119" i="125"/>
  <c r="F121" i="125"/>
  <c r="C117" i="125"/>
  <c r="B117" i="125"/>
  <c r="I116" i="125"/>
  <c r="D115" i="125"/>
  <c r="C115" i="125"/>
  <c r="H119" i="125"/>
  <c r="F117" i="125"/>
  <c r="B115" i="125"/>
  <c r="H116" i="125"/>
  <c r="B116" i="125"/>
  <c r="D120" i="125"/>
  <c r="B118" i="125"/>
  <c r="C116" i="125"/>
  <c r="H115" i="125"/>
  <c r="M110" i="123"/>
  <c r="D105" i="123"/>
  <c r="L30" i="120"/>
  <c r="M30" i="120"/>
  <c r="L211" i="123"/>
  <c r="K218" i="123"/>
  <c r="F144" i="123"/>
  <c r="J153" i="123"/>
  <c r="C149" i="123"/>
  <c r="K157" i="123"/>
  <c r="H157" i="123"/>
  <c r="F157" i="123"/>
  <c r="G147" i="123"/>
  <c r="E157" i="123"/>
  <c r="C147" i="123"/>
  <c r="F152" i="123"/>
  <c r="F149" i="123"/>
  <c r="B148" i="123"/>
  <c r="I158" i="123"/>
  <c r="B158" i="123"/>
  <c r="M152" i="123"/>
  <c r="K152" i="123"/>
  <c r="J152" i="123"/>
  <c r="G152" i="123"/>
  <c r="G157" i="123"/>
  <c r="H154" i="123"/>
  <c r="B153" i="123"/>
  <c r="E154" i="123"/>
  <c r="F154" i="123"/>
  <c r="I148" i="123"/>
  <c r="E152" i="123"/>
  <c r="L151" i="123"/>
  <c r="F148" i="123"/>
  <c r="D154" i="123"/>
  <c r="J158" i="123"/>
  <c r="H151" i="123"/>
  <c r="M155" i="123"/>
  <c r="E147" i="123"/>
  <c r="M150" i="123"/>
  <c r="D158" i="123"/>
  <c r="G151" i="123"/>
  <c r="L155" i="123"/>
  <c r="H147" i="123"/>
  <c r="L157" i="123"/>
  <c r="I149" i="123"/>
  <c r="J148" i="123"/>
  <c r="G156" i="123"/>
  <c r="B149" i="123"/>
  <c r="C153" i="123"/>
  <c r="C158" i="123"/>
  <c r="G150" i="123"/>
  <c r="H156" i="123"/>
  <c r="E148" i="123"/>
  <c r="F158" i="123"/>
  <c r="K154" i="123"/>
  <c r="F156" i="123"/>
  <c r="I154" i="123"/>
  <c r="C157" i="123"/>
  <c r="H158" i="123"/>
  <c r="D153" i="123"/>
  <c r="C154" i="123"/>
  <c r="M147" i="123"/>
  <c r="I150" i="123"/>
  <c r="M157" i="123"/>
  <c r="H148" i="123"/>
  <c r="F150" i="123"/>
  <c r="G148" i="123"/>
  <c r="B156" i="123"/>
  <c r="B151" i="123"/>
  <c r="C152" i="123"/>
  <c r="K254" i="123"/>
  <c r="K259" i="123"/>
  <c r="L158" i="123"/>
  <c r="C150" i="123"/>
  <c r="M151" i="123"/>
  <c r="I152" i="123"/>
  <c r="I9" i="129"/>
  <c r="J9" i="129" s="1"/>
  <c r="F205" i="123"/>
  <c r="J221" i="123"/>
  <c r="E219" i="123"/>
  <c r="G216" i="123"/>
  <c r="C214" i="123"/>
  <c r="E211" i="123"/>
  <c r="M217" i="123"/>
  <c r="G214" i="123"/>
  <c r="C210" i="123"/>
  <c r="D221" i="123"/>
  <c r="L217" i="123"/>
  <c r="F214" i="123"/>
  <c r="B210" i="123"/>
  <c r="B221" i="123"/>
  <c r="K217" i="123"/>
  <c r="F213" i="123"/>
  <c r="M220" i="123"/>
  <c r="J217" i="123"/>
  <c r="B213" i="123"/>
  <c r="K220" i="123"/>
  <c r="F217" i="123"/>
  <c r="L212" i="123"/>
  <c r="J220" i="123"/>
  <c r="D215" i="123"/>
  <c r="B220" i="123"/>
  <c r="C215" i="123"/>
  <c r="L219" i="123"/>
  <c r="B215" i="123"/>
  <c r="K219" i="123"/>
  <c r="J214" i="123"/>
  <c r="I219" i="123"/>
  <c r="H214" i="123"/>
  <c r="D218" i="123"/>
  <c r="K211" i="123"/>
  <c r="H219" i="123"/>
  <c r="I211" i="123"/>
  <c r="C219" i="123"/>
  <c r="C211" i="123"/>
  <c r="K215" i="123"/>
  <c r="M212" i="123"/>
  <c r="K212" i="123"/>
  <c r="J212" i="123"/>
  <c r="J211" i="123"/>
  <c r="K210" i="123"/>
  <c r="L220" i="123"/>
  <c r="E218" i="123"/>
  <c r="B218" i="123"/>
  <c r="G217" i="123"/>
  <c r="K216" i="123"/>
  <c r="J215" i="123"/>
  <c r="D210" i="123"/>
  <c r="L215" i="123"/>
  <c r="C216" i="123"/>
  <c r="M210" i="123"/>
  <c r="H210" i="123"/>
  <c r="L221" i="123"/>
  <c r="B211" i="123"/>
  <c r="H221" i="123"/>
  <c r="M211" i="123"/>
  <c r="G220" i="123"/>
  <c r="C220" i="123"/>
  <c r="F211" i="123"/>
  <c r="D220" i="123"/>
  <c r="I210" i="123"/>
  <c r="J218" i="123"/>
  <c r="G218" i="123"/>
  <c r="B216" i="123"/>
  <c r="D214" i="123"/>
  <c r="L218" i="123"/>
  <c r="I220" i="123"/>
  <c r="B217" i="123"/>
  <c r="L216" i="123"/>
  <c r="F218" i="123"/>
  <c r="B219" i="123"/>
  <c r="G215" i="123"/>
  <c r="E215" i="123"/>
  <c r="C221" i="123"/>
  <c r="F219" i="123"/>
  <c r="G211" i="123"/>
  <c r="E220" i="123"/>
  <c r="L210" i="123"/>
  <c r="J210" i="123"/>
  <c r="F220" i="123"/>
  <c r="F221" i="123"/>
  <c r="I12" i="117"/>
  <c r="J12" i="117" s="1"/>
  <c r="I215" i="121"/>
  <c r="D214" i="121"/>
  <c r="M221" i="121"/>
  <c r="M218" i="121"/>
  <c r="I42" i="131"/>
  <c r="C50" i="131"/>
  <c r="F44" i="131"/>
  <c r="D46" i="131"/>
  <c r="I8" i="117"/>
  <c r="M34" i="114"/>
  <c r="L34" i="114"/>
  <c r="F66" i="113"/>
  <c r="F64" i="113"/>
  <c r="E70" i="113"/>
  <c r="E68" i="113"/>
  <c r="E66" i="113"/>
  <c r="E64" i="113"/>
  <c r="D70" i="113"/>
  <c r="D68" i="113"/>
  <c r="D66" i="113"/>
  <c r="D64" i="113"/>
  <c r="B70" i="113"/>
  <c r="B68" i="113"/>
  <c r="B66" i="113"/>
  <c r="B64" i="113"/>
  <c r="F58" i="113"/>
  <c r="I67" i="113"/>
  <c r="E65" i="113"/>
  <c r="E69" i="113"/>
  <c r="H66" i="113"/>
  <c r="D69" i="113"/>
  <c r="G66" i="113"/>
  <c r="C69" i="113"/>
  <c r="C66" i="113"/>
  <c r="B69" i="113"/>
  <c r="I65" i="113"/>
  <c r="H65" i="113"/>
  <c r="G67" i="113"/>
  <c r="B65" i="113"/>
  <c r="C64" i="113"/>
  <c r="C68" i="113"/>
  <c r="H67" i="113"/>
  <c r="F67" i="113"/>
  <c r="E67" i="113"/>
  <c r="B71" i="113"/>
  <c r="I66" i="113"/>
  <c r="G65" i="113"/>
  <c r="G64" i="113"/>
  <c r="H64" i="113"/>
  <c r="E71" i="113"/>
  <c r="D71" i="113"/>
  <c r="C71" i="113"/>
  <c r="I64" i="113"/>
  <c r="B67" i="113"/>
  <c r="F65" i="113"/>
  <c r="D65" i="113"/>
  <c r="C65" i="113"/>
  <c r="C70" i="113"/>
  <c r="C67" i="113"/>
  <c r="D67" i="113"/>
  <c r="L30" i="116"/>
  <c r="M30" i="116"/>
  <c r="L35" i="96"/>
  <c r="M35" i="96"/>
  <c r="F220" i="113"/>
  <c r="C25" i="113"/>
  <c r="D220" i="113"/>
  <c r="M36" i="82"/>
  <c r="L36" i="82"/>
  <c r="J254" i="123"/>
  <c r="H154" i="141"/>
  <c r="F294" i="143"/>
  <c r="G294" i="143"/>
  <c r="G298" i="143"/>
  <c r="C155" i="141"/>
  <c r="H71" i="141"/>
  <c r="J69" i="141"/>
  <c r="L67" i="141"/>
  <c r="D71" i="141"/>
  <c r="L68" i="141"/>
  <c r="D72" i="141"/>
  <c r="L69" i="141"/>
  <c r="F67" i="141"/>
  <c r="D65" i="141"/>
  <c r="E63" i="141"/>
  <c r="B71" i="141"/>
  <c r="G66" i="141"/>
  <c r="B64" i="141"/>
  <c r="J72" i="141"/>
  <c r="C70" i="141"/>
  <c r="L64" i="141"/>
  <c r="E62" i="141"/>
  <c r="E71" i="141"/>
  <c r="G68" i="141"/>
  <c r="L65" i="141"/>
  <c r="H63" i="141"/>
  <c r="D61" i="141"/>
  <c r="E70" i="141"/>
  <c r="L66" i="141"/>
  <c r="F64" i="141"/>
  <c r="J61" i="141"/>
  <c r="D70" i="141"/>
  <c r="K66" i="141"/>
  <c r="M63" i="141"/>
  <c r="G61" i="141"/>
  <c r="M72" i="141"/>
  <c r="H69" i="141"/>
  <c r="J66" i="141"/>
  <c r="L63" i="141"/>
  <c r="E61" i="141"/>
  <c r="L72" i="141"/>
  <c r="G69" i="141"/>
  <c r="I66" i="141"/>
  <c r="J63" i="141"/>
  <c r="I72" i="141"/>
  <c r="F69" i="141"/>
  <c r="H66" i="141"/>
  <c r="I63" i="141"/>
  <c r="L71" i="141"/>
  <c r="J68" i="141"/>
  <c r="H65" i="141"/>
  <c r="B63" i="141"/>
  <c r="K68" i="141"/>
  <c r="K64" i="141"/>
  <c r="F68" i="141"/>
  <c r="J64" i="141"/>
  <c r="D68" i="141"/>
  <c r="G63" i="141"/>
  <c r="F63" i="141"/>
  <c r="F72" i="141"/>
  <c r="K67" i="141"/>
  <c r="D63" i="141"/>
  <c r="G71" i="141"/>
  <c r="E66" i="141"/>
  <c r="D62" i="141"/>
  <c r="D69" i="141"/>
  <c r="L61" i="141"/>
  <c r="B69" i="141"/>
  <c r="K61" i="141"/>
  <c r="G67" i="141"/>
  <c r="D67" i="141"/>
  <c r="B72" i="141"/>
  <c r="E65" i="141"/>
  <c r="M71" i="141"/>
  <c r="M61" i="141"/>
  <c r="J71" i="141"/>
  <c r="C71" i="141"/>
  <c r="F56" i="141"/>
  <c r="K70" i="141"/>
  <c r="H70" i="141"/>
  <c r="K65" i="141"/>
  <c r="G70" i="141"/>
  <c r="F70" i="141"/>
  <c r="M65" i="141"/>
  <c r="F65" i="141"/>
  <c r="C65" i="141"/>
  <c r="G62" i="141"/>
  <c r="L62" i="141"/>
  <c r="B65" i="141"/>
  <c r="M64" i="141"/>
  <c r="K69" i="141"/>
  <c r="E68" i="141"/>
  <c r="I70" i="141"/>
  <c r="J70" i="141"/>
  <c r="L36" i="138"/>
  <c r="M36" i="138"/>
  <c r="B152" i="141"/>
  <c r="D233" i="131"/>
  <c r="M38" i="126"/>
  <c r="L38" i="126"/>
  <c r="M257" i="123"/>
  <c r="M30" i="132"/>
  <c r="L30" i="132"/>
  <c r="H50" i="131"/>
  <c r="L45" i="131"/>
  <c r="I7" i="107"/>
  <c r="F267" i="75"/>
  <c r="G280" i="75"/>
  <c r="J283" i="75"/>
  <c r="M277" i="75"/>
  <c r="N279" i="75"/>
  <c r="K279" i="75"/>
  <c r="I279" i="75"/>
  <c r="M274" i="75"/>
  <c r="J278" i="75"/>
  <c r="D278" i="75"/>
  <c r="D279" i="75"/>
  <c r="G282" i="75"/>
  <c r="K277" i="75"/>
  <c r="C281" i="75"/>
  <c r="G271" i="75"/>
  <c r="M270" i="75"/>
  <c r="N275" i="75"/>
  <c r="B278" i="75"/>
  <c r="E281" i="75"/>
  <c r="B274" i="75"/>
  <c r="H279" i="75"/>
  <c r="E282" i="75"/>
  <c r="F278" i="75"/>
  <c r="L274" i="75"/>
  <c r="D271" i="75"/>
  <c r="C280" i="75"/>
  <c r="E272" i="75"/>
  <c r="G277" i="75"/>
  <c r="F276" i="75"/>
  <c r="L270" i="75"/>
  <c r="B282" i="75"/>
  <c r="J273" i="75"/>
  <c r="O278" i="75"/>
  <c r="J270" i="75"/>
  <c r="L273" i="75"/>
  <c r="B273" i="75"/>
  <c r="D270" i="75"/>
  <c r="G283" i="75"/>
  <c r="L281" i="75"/>
  <c r="F270" i="75"/>
  <c r="O274" i="75"/>
  <c r="N280" i="75"/>
  <c r="M283" i="75"/>
  <c r="E280" i="75"/>
  <c r="M281" i="75"/>
  <c r="I270" i="75"/>
  <c r="L280" i="75"/>
  <c r="L278" i="75"/>
  <c r="I281" i="75"/>
  <c r="E276" i="75"/>
  <c r="J279" i="75"/>
  <c r="I271" i="75"/>
  <c r="K278" i="75"/>
  <c r="K274" i="75"/>
  <c r="M276" i="75"/>
  <c r="F274" i="75"/>
  <c r="J280" i="75"/>
  <c r="G273" i="75"/>
  <c r="G272" i="75"/>
  <c r="K275" i="75"/>
  <c r="M272" i="75"/>
  <c r="N273" i="75"/>
  <c r="D277" i="75"/>
  <c r="C282" i="75"/>
  <c r="C270" i="75"/>
  <c r="J275" i="75"/>
  <c r="O281" i="75"/>
  <c r="H270" i="75"/>
  <c r="B283" i="75"/>
  <c r="G279" i="75"/>
  <c r="F280" i="75"/>
  <c r="L279" i="75"/>
  <c r="G270" i="75"/>
  <c r="D274" i="75"/>
  <c r="G278" i="75"/>
  <c r="C279" i="75"/>
  <c r="E274" i="75"/>
  <c r="I280" i="75"/>
  <c r="H274" i="75"/>
  <c r="C277" i="75"/>
  <c r="F273" i="75"/>
  <c r="E270" i="75"/>
  <c r="C272" i="75"/>
  <c r="N274" i="75"/>
  <c r="M279" i="75"/>
  <c r="K272" i="75"/>
  <c r="N281" i="75"/>
  <c r="B281" i="75"/>
  <c r="F271" i="75"/>
  <c r="E271" i="75"/>
  <c r="O271" i="75"/>
  <c r="J282" i="75"/>
  <c r="E283" i="75"/>
  <c r="K282" i="75"/>
  <c r="H281" i="75"/>
  <c r="K270" i="75"/>
  <c r="K281" i="75"/>
  <c r="K271" i="75"/>
  <c r="G303" i="99"/>
  <c r="F303" i="99"/>
  <c r="P319" i="99"/>
  <c r="C271" i="75"/>
  <c r="F277" i="139"/>
  <c r="P293" i="139"/>
  <c r="G277" i="139"/>
  <c r="C236" i="139"/>
  <c r="C84" i="135"/>
  <c r="C258" i="123"/>
  <c r="I8" i="127"/>
  <c r="F300" i="117"/>
  <c r="G294" i="117"/>
  <c r="F294" i="117"/>
  <c r="F305" i="117"/>
  <c r="G299" i="117"/>
  <c r="M34" i="116"/>
  <c r="L34" i="116"/>
  <c r="G305" i="119"/>
  <c r="F305" i="119"/>
  <c r="P321" i="119"/>
  <c r="D48" i="143"/>
  <c r="M44" i="143"/>
  <c r="C240" i="143"/>
  <c r="K238" i="143"/>
  <c r="G237" i="143"/>
  <c r="C236" i="143"/>
  <c r="K234" i="143"/>
  <c r="G233" i="143"/>
  <c r="C232" i="143"/>
  <c r="K230" i="143"/>
  <c r="G229" i="143"/>
  <c r="B240" i="143"/>
  <c r="J238" i="143"/>
  <c r="F237" i="143"/>
  <c r="B236" i="143"/>
  <c r="J234" i="143"/>
  <c r="F233" i="143"/>
  <c r="B232" i="143"/>
  <c r="J230" i="143"/>
  <c r="F229" i="143"/>
  <c r="I238" i="143"/>
  <c r="E237" i="143"/>
  <c r="M235" i="143"/>
  <c r="I234" i="143"/>
  <c r="E233" i="143"/>
  <c r="I230" i="143"/>
  <c r="E229" i="143"/>
  <c r="J240" i="143"/>
  <c r="C239" i="143"/>
  <c r="H237" i="143"/>
  <c r="J235" i="143"/>
  <c r="C234" i="143"/>
  <c r="H232" i="143"/>
  <c r="M230" i="143"/>
  <c r="C229" i="143"/>
  <c r="G240" i="143"/>
  <c r="L238" i="143"/>
  <c r="B237" i="143"/>
  <c r="G235" i="143"/>
  <c r="L233" i="143"/>
  <c r="G230" i="143"/>
  <c r="F240" i="143"/>
  <c r="F238" i="143"/>
  <c r="I236" i="143"/>
  <c r="L234" i="143"/>
  <c r="C231" i="143"/>
  <c r="B229" i="143"/>
  <c r="J239" i="143"/>
  <c r="M237" i="143"/>
  <c r="D236" i="143"/>
  <c r="D234" i="143"/>
  <c r="F232" i="143"/>
  <c r="E230" i="143"/>
  <c r="B239" i="143"/>
  <c r="K236" i="143"/>
  <c r="H234" i="143"/>
  <c r="I232" i="143"/>
  <c r="D230" i="143"/>
  <c r="M238" i="143"/>
  <c r="J236" i="143"/>
  <c r="G234" i="143"/>
  <c r="G232" i="143"/>
  <c r="C230" i="143"/>
  <c r="H236" i="143"/>
  <c r="B234" i="143"/>
  <c r="I231" i="143"/>
  <c r="H229" i="143"/>
  <c r="K240" i="143"/>
  <c r="D238" i="143"/>
  <c r="K235" i="143"/>
  <c r="H233" i="143"/>
  <c r="I240" i="143"/>
  <c r="L237" i="143"/>
  <c r="D235" i="143"/>
  <c r="J229" i="143"/>
  <c r="K239" i="143"/>
  <c r="C237" i="143"/>
  <c r="E234" i="143"/>
  <c r="G231" i="143"/>
  <c r="M236" i="143"/>
  <c r="J233" i="143"/>
  <c r="H230" i="143"/>
  <c r="L236" i="143"/>
  <c r="I233" i="143"/>
  <c r="F230" i="143"/>
  <c r="G238" i="143"/>
  <c r="C235" i="143"/>
  <c r="F231" i="143"/>
  <c r="C238" i="143"/>
  <c r="M234" i="143"/>
  <c r="B231" i="143"/>
  <c r="B238" i="143"/>
  <c r="F234" i="143"/>
  <c r="L230" i="143"/>
  <c r="J237" i="143"/>
  <c r="K233" i="143"/>
  <c r="M229" i="143"/>
  <c r="E236" i="143"/>
  <c r="J231" i="143"/>
  <c r="H240" i="143"/>
  <c r="I235" i="143"/>
  <c r="H239" i="143"/>
  <c r="M233" i="143"/>
  <c r="G239" i="143"/>
  <c r="D233" i="143"/>
  <c r="F239" i="143"/>
  <c r="C233" i="143"/>
  <c r="B233" i="143"/>
  <c r="H238" i="143"/>
  <c r="L235" i="143"/>
  <c r="F223" i="143"/>
  <c r="E235" i="143"/>
  <c r="B235" i="143"/>
  <c r="E238" i="143"/>
  <c r="I229" i="143"/>
  <c r="K237" i="143"/>
  <c r="D229" i="143"/>
  <c r="I237" i="143"/>
  <c r="D237" i="143"/>
  <c r="G236" i="143"/>
  <c r="F236" i="143"/>
  <c r="B230" i="143"/>
  <c r="J232" i="143"/>
  <c r="K231" i="143"/>
  <c r="H231" i="143"/>
  <c r="L229" i="143"/>
  <c r="I239" i="143"/>
  <c r="K229" i="143"/>
  <c r="H235" i="143"/>
  <c r="F235" i="143"/>
  <c r="K232" i="143"/>
  <c r="E112" i="143"/>
  <c r="G110" i="143"/>
  <c r="K63" i="141"/>
  <c r="C66" i="141"/>
  <c r="K153" i="141"/>
  <c r="L153" i="141"/>
  <c r="B196" i="141"/>
  <c r="L192" i="141"/>
  <c r="C198" i="141"/>
  <c r="G188" i="141"/>
  <c r="L131" i="139"/>
  <c r="C133" i="139"/>
  <c r="I32" i="137"/>
  <c r="I282" i="135"/>
  <c r="I40" i="139"/>
  <c r="F38" i="139"/>
  <c r="M37" i="140"/>
  <c r="L37" i="140"/>
  <c r="B44" i="139"/>
  <c r="K30" i="136"/>
  <c r="L32" i="134"/>
  <c r="M32" i="134"/>
  <c r="K88" i="133"/>
  <c r="D81" i="133"/>
  <c r="M91" i="133"/>
  <c r="I88" i="133"/>
  <c r="E84" i="133"/>
  <c r="G80" i="133"/>
  <c r="K91" i="133"/>
  <c r="G88" i="133"/>
  <c r="D84" i="133"/>
  <c r="F80" i="133"/>
  <c r="I91" i="133"/>
  <c r="B84" i="133"/>
  <c r="H91" i="133"/>
  <c r="M83" i="133"/>
  <c r="C91" i="133"/>
  <c r="K86" i="133"/>
  <c r="H82" i="133"/>
  <c r="F75" i="133"/>
  <c r="M86" i="133"/>
  <c r="M81" i="133"/>
  <c r="L86" i="133"/>
  <c r="F81" i="133"/>
  <c r="J86" i="133"/>
  <c r="E81" i="133"/>
  <c r="E85" i="133"/>
  <c r="D85" i="133"/>
  <c r="C85" i="133"/>
  <c r="L83" i="133"/>
  <c r="G91" i="133"/>
  <c r="K83" i="133"/>
  <c r="M89" i="133"/>
  <c r="D82" i="133"/>
  <c r="G82" i="133"/>
  <c r="E82" i="133"/>
  <c r="B82" i="133"/>
  <c r="F91" i="133"/>
  <c r="M88" i="133"/>
  <c r="L88" i="133"/>
  <c r="E87" i="133"/>
  <c r="M85" i="133"/>
  <c r="I89" i="133"/>
  <c r="H89" i="133"/>
  <c r="E91" i="133"/>
  <c r="B90" i="133"/>
  <c r="K89" i="133"/>
  <c r="J82" i="133"/>
  <c r="J89" i="133"/>
  <c r="C82" i="133"/>
  <c r="J81" i="133"/>
  <c r="B83" i="133"/>
  <c r="I82" i="133"/>
  <c r="B91" i="133"/>
  <c r="L91" i="133"/>
  <c r="D91" i="133"/>
  <c r="J80" i="133"/>
  <c r="D80" i="133"/>
  <c r="H81" i="133"/>
  <c r="C81" i="133"/>
  <c r="L89" i="133"/>
  <c r="M90" i="133"/>
  <c r="B80" i="133"/>
  <c r="I80" i="133"/>
  <c r="H88" i="133"/>
  <c r="G89" i="133"/>
  <c r="K90" i="133"/>
  <c r="H90" i="133"/>
  <c r="K82" i="133"/>
  <c r="L81" i="133"/>
  <c r="K81" i="133"/>
  <c r="C83" i="133"/>
  <c r="M82" i="133"/>
  <c r="G83" i="133"/>
  <c r="I83" i="133"/>
  <c r="D229" i="139"/>
  <c r="J235" i="139"/>
  <c r="I85" i="135"/>
  <c r="K74" i="135"/>
  <c r="K73" i="135"/>
  <c r="B74" i="135"/>
  <c r="H279" i="135"/>
  <c r="G280" i="135"/>
  <c r="D277" i="135"/>
  <c r="M32" i="124"/>
  <c r="L32" i="124"/>
  <c r="B246" i="121"/>
  <c r="E495" i="121"/>
  <c r="C495" i="121"/>
  <c r="B172" i="121"/>
  <c r="D176" i="121"/>
  <c r="L176" i="121"/>
  <c r="F29" i="115"/>
  <c r="H39" i="115"/>
  <c r="G39" i="115"/>
  <c r="F39" i="115"/>
  <c r="D39" i="115"/>
  <c r="C39" i="115"/>
  <c r="D43" i="115"/>
  <c r="C43" i="115"/>
  <c r="J35" i="115"/>
  <c r="I39" i="115"/>
  <c r="E43" i="115"/>
  <c r="B43" i="115"/>
  <c r="C41" i="115"/>
  <c r="C40" i="115"/>
  <c r="H43" i="115"/>
  <c r="K43" i="115"/>
  <c r="K36" i="115"/>
  <c r="H35" i="115"/>
  <c r="K39" i="115"/>
  <c r="B40" i="115"/>
  <c r="C42" i="115"/>
  <c r="I34" i="115"/>
  <c r="G43" i="115"/>
  <c r="I42" i="115"/>
  <c r="E38" i="115"/>
  <c r="K37" i="115"/>
  <c r="F37" i="115"/>
  <c r="K41" i="115"/>
  <c r="J40" i="115"/>
  <c r="F36" i="115"/>
  <c r="B42" i="115"/>
  <c r="G37" i="115"/>
  <c r="D38" i="115"/>
  <c r="E40" i="115"/>
  <c r="J38" i="115"/>
  <c r="G34" i="115"/>
  <c r="F41" i="115"/>
  <c r="D42" i="115"/>
  <c r="K42" i="115"/>
  <c r="I38" i="115"/>
  <c r="I36" i="115"/>
  <c r="I41" i="115"/>
  <c r="J37" i="115"/>
  <c r="J34" i="115"/>
  <c r="E39" i="115"/>
  <c r="G35" i="115"/>
  <c r="H42" i="115"/>
  <c r="K35" i="115"/>
  <c r="H38" i="115"/>
  <c r="G42" i="115"/>
  <c r="B41" i="115"/>
  <c r="B39" i="115"/>
  <c r="H34" i="115"/>
  <c r="C38" i="115"/>
  <c r="K34" i="115"/>
  <c r="F40" i="115"/>
  <c r="G41" i="115"/>
  <c r="D41" i="115"/>
  <c r="L33" i="94"/>
  <c r="M33" i="94"/>
  <c r="F62" i="117"/>
  <c r="C110" i="95"/>
  <c r="D263" i="95"/>
  <c r="F263" i="95"/>
  <c r="T428" i="83"/>
  <c r="G408" i="83"/>
  <c r="F408" i="83"/>
  <c r="F410" i="83"/>
  <c r="H123" i="111"/>
  <c r="C100" i="85"/>
  <c r="I13" i="77"/>
  <c r="K283" i="75"/>
  <c r="F140" i="141"/>
  <c r="B156" i="141"/>
  <c r="K152" i="141"/>
  <c r="J153" i="141"/>
  <c r="K147" i="141"/>
  <c r="H153" i="141"/>
  <c r="I147" i="141"/>
  <c r="C152" i="141"/>
  <c r="H147" i="141"/>
  <c r="L151" i="141"/>
  <c r="E147" i="141"/>
  <c r="K151" i="141"/>
  <c r="L146" i="141"/>
  <c r="H155" i="141"/>
  <c r="L150" i="141"/>
  <c r="D145" i="141"/>
  <c r="C154" i="141"/>
  <c r="B154" i="141"/>
  <c r="G151" i="141"/>
  <c r="D151" i="141"/>
  <c r="C151" i="141"/>
  <c r="D149" i="141"/>
  <c r="I150" i="141"/>
  <c r="E150" i="141"/>
  <c r="M149" i="141"/>
  <c r="G148" i="141"/>
  <c r="D148" i="141"/>
  <c r="M156" i="141"/>
  <c r="G155" i="141"/>
  <c r="E155" i="141"/>
  <c r="L147" i="141"/>
  <c r="I146" i="141"/>
  <c r="L154" i="141"/>
  <c r="E154" i="141"/>
  <c r="D154" i="141"/>
  <c r="F152" i="141"/>
  <c r="M146" i="141"/>
  <c r="D147" i="141"/>
  <c r="J155" i="141"/>
  <c r="K150" i="141"/>
  <c r="L149" i="141"/>
  <c r="D146" i="141"/>
  <c r="I152" i="141"/>
  <c r="D156" i="141"/>
  <c r="K156" i="141"/>
  <c r="I10" i="135"/>
  <c r="M49" i="143"/>
  <c r="F92" i="135"/>
  <c r="I16" i="123"/>
  <c r="F34" i="133"/>
  <c r="F48" i="133"/>
  <c r="B44" i="133"/>
  <c r="J40" i="133"/>
  <c r="E48" i="133"/>
  <c r="K43" i="133"/>
  <c r="H39" i="133"/>
  <c r="I47" i="133"/>
  <c r="J43" i="133"/>
  <c r="G39" i="133"/>
  <c r="M46" i="133"/>
  <c r="C43" i="133"/>
  <c r="M45" i="133"/>
  <c r="C42" i="133"/>
  <c r="F38" i="133"/>
  <c r="B49" i="133"/>
  <c r="B43" i="133"/>
  <c r="M48" i="133"/>
  <c r="M42" i="133"/>
  <c r="J48" i="133"/>
  <c r="D42" i="133"/>
  <c r="I48" i="133"/>
  <c r="I41" i="133"/>
  <c r="H48" i="133"/>
  <c r="G41" i="133"/>
  <c r="J45" i="133"/>
  <c r="I45" i="133"/>
  <c r="H45" i="133"/>
  <c r="G44" i="133"/>
  <c r="E44" i="133"/>
  <c r="M40" i="133"/>
  <c r="L40" i="133"/>
  <c r="K40" i="133"/>
  <c r="G38" i="133"/>
  <c r="G48" i="133"/>
  <c r="C49" i="133"/>
  <c r="I38" i="133"/>
  <c r="L46" i="133"/>
  <c r="C46" i="133"/>
  <c r="B46" i="133"/>
  <c r="K45" i="133"/>
  <c r="D44" i="133"/>
  <c r="L41" i="133"/>
  <c r="J41" i="133"/>
  <c r="F39" i="133"/>
  <c r="K46" i="133"/>
  <c r="F40" i="133"/>
  <c r="L49" i="133"/>
  <c r="I43" i="133"/>
  <c r="L38" i="133"/>
  <c r="J38" i="133"/>
  <c r="D47" i="133"/>
  <c r="B47" i="133"/>
  <c r="M43" i="133"/>
  <c r="H49" i="133"/>
  <c r="F49" i="133"/>
  <c r="I44" i="133"/>
  <c r="G42" i="133"/>
  <c r="M41" i="133"/>
  <c r="K41" i="133"/>
  <c r="G47" i="133"/>
  <c r="H44" i="133"/>
  <c r="K39" i="133"/>
  <c r="D45" i="133"/>
  <c r="H40" i="133"/>
  <c r="I262" i="123"/>
  <c r="I7" i="127"/>
  <c r="J7" i="127"/>
  <c r="L29" i="128"/>
  <c r="M29" i="128"/>
  <c r="F247" i="123"/>
  <c r="C260" i="123"/>
  <c r="I253" i="123"/>
  <c r="B261" i="123"/>
  <c r="B253" i="123"/>
  <c r="E260" i="123"/>
  <c r="K252" i="123"/>
  <c r="M259" i="123"/>
  <c r="C252" i="123"/>
  <c r="L259" i="123"/>
  <c r="J263" i="123"/>
  <c r="J252" i="123"/>
  <c r="F263" i="123"/>
  <c r="C263" i="123"/>
  <c r="D260" i="123"/>
  <c r="D259" i="123"/>
  <c r="I258" i="123"/>
  <c r="F255" i="123"/>
  <c r="D255" i="123"/>
  <c r="C255" i="123"/>
  <c r="E253" i="123"/>
  <c r="D253" i="123"/>
  <c r="C253" i="123"/>
  <c r="G263" i="123"/>
  <c r="L257" i="123"/>
  <c r="I257" i="123"/>
  <c r="L256" i="123"/>
  <c r="H257" i="123"/>
  <c r="K255" i="123"/>
  <c r="D257" i="123"/>
  <c r="J259" i="123"/>
  <c r="H258" i="123"/>
  <c r="B263" i="123"/>
  <c r="C261" i="123"/>
  <c r="H255" i="123"/>
  <c r="M255" i="123"/>
  <c r="B254" i="123"/>
  <c r="G255" i="123"/>
  <c r="M254" i="123"/>
  <c r="D256" i="123"/>
  <c r="I263" i="123"/>
  <c r="D254" i="123"/>
  <c r="F254" i="123"/>
  <c r="F252" i="123"/>
  <c r="K253" i="123"/>
  <c r="H254" i="123"/>
  <c r="K262" i="123"/>
  <c r="E262" i="123"/>
  <c r="L252" i="123"/>
  <c r="H252" i="123"/>
  <c r="L263" i="123"/>
  <c r="D252" i="123"/>
  <c r="F258" i="123"/>
  <c r="M260" i="123"/>
  <c r="E263" i="123"/>
  <c r="G262" i="123"/>
  <c r="C262" i="123"/>
  <c r="D263" i="123"/>
  <c r="G259" i="123"/>
  <c r="L254" i="123"/>
  <c r="E254" i="123"/>
  <c r="I256" i="123"/>
  <c r="C254" i="123"/>
  <c r="L253" i="123"/>
  <c r="B255" i="123"/>
  <c r="B258" i="123"/>
  <c r="H47" i="131"/>
  <c r="M31" i="118"/>
  <c r="L31" i="118"/>
  <c r="F46" i="143"/>
  <c r="G297" i="143"/>
  <c r="F297" i="143"/>
  <c r="G46" i="143"/>
  <c r="I51" i="143"/>
  <c r="K110" i="143"/>
  <c r="L107" i="143"/>
  <c r="B106" i="143"/>
  <c r="I65" i="141"/>
  <c r="J149" i="141"/>
  <c r="K146" i="141"/>
  <c r="J148" i="141"/>
  <c r="H152" i="141"/>
  <c r="I218" i="141"/>
  <c r="E217" i="141"/>
  <c r="M215" i="141"/>
  <c r="I214" i="141"/>
  <c r="E213" i="141"/>
  <c r="M211" i="141"/>
  <c r="I210" i="141"/>
  <c r="E209" i="141"/>
  <c r="G218" i="141"/>
  <c r="B217" i="141"/>
  <c r="I215" i="141"/>
  <c r="D214" i="141"/>
  <c r="K212" i="141"/>
  <c r="F211" i="141"/>
  <c r="M209" i="141"/>
  <c r="H208" i="141"/>
  <c r="D218" i="141"/>
  <c r="D215" i="141"/>
  <c r="J213" i="141"/>
  <c r="D212" i="141"/>
  <c r="J210" i="141"/>
  <c r="C209" i="141"/>
  <c r="C218" i="141"/>
  <c r="H216" i="141"/>
  <c r="M214" i="141"/>
  <c r="F213" i="141"/>
  <c r="J211" i="141"/>
  <c r="C210" i="141"/>
  <c r="G208" i="141"/>
  <c r="H219" i="141"/>
  <c r="F216" i="141"/>
  <c r="K214" i="141"/>
  <c r="C213" i="141"/>
  <c r="H211" i="141"/>
  <c r="L209" i="141"/>
  <c r="E208" i="141"/>
  <c r="F202" i="141"/>
  <c r="E219" i="141"/>
  <c r="C216" i="141"/>
  <c r="G214" i="141"/>
  <c r="L212" i="141"/>
  <c r="D211" i="141"/>
  <c r="I209" i="141"/>
  <c r="B208" i="141"/>
  <c r="B218" i="141"/>
  <c r="B216" i="141"/>
  <c r="B214" i="141"/>
  <c r="C212" i="141"/>
  <c r="D210" i="141"/>
  <c r="C208" i="141"/>
  <c r="H214" i="141"/>
  <c r="G212" i="141"/>
  <c r="F210" i="141"/>
  <c r="D208" i="141"/>
  <c r="G216" i="141"/>
  <c r="C214" i="141"/>
  <c r="L211" i="141"/>
  <c r="H209" i="141"/>
  <c r="E216" i="141"/>
  <c r="M213" i="141"/>
  <c r="K211" i="141"/>
  <c r="G209" i="141"/>
  <c r="H218" i="141"/>
  <c r="D216" i="141"/>
  <c r="L213" i="141"/>
  <c r="I211" i="141"/>
  <c r="F209" i="141"/>
  <c r="E218" i="141"/>
  <c r="K215" i="141"/>
  <c r="I213" i="141"/>
  <c r="E211" i="141"/>
  <c r="B209" i="141"/>
  <c r="J215" i="141"/>
  <c r="H213" i="141"/>
  <c r="C211" i="141"/>
  <c r="M208" i="141"/>
  <c r="F217" i="141"/>
  <c r="E214" i="141"/>
  <c r="K210" i="141"/>
  <c r="I219" i="141"/>
  <c r="I216" i="141"/>
  <c r="J212" i="141"/>
  <c r="D209" i="141"/>
  <c r="L214" i="141"/>
  <c r="M210" i="141"/>
  <c r="H217" i="141"/>
  <c r="G213" i="141"/>
  <c r="K209" i="141"/>
  <c r="G219" i="141"/>
  <c r="G215" i="141"/>
  <c r="B212" i="141"/>
  <c r="G217" i="141"/>
  <c r="M212" i="141"/>
  <c r="I208" i="141"/>
  <c r="D217" i="141"/>
  <c r="I212" i="141"/>
  <c r="F208" i="141"/>
  <c r="C217" i="141"/>
  <c r="H212" i="141"/>
  <c r="F212" i="141"/>
  <c r="E212" i="141"/>
  <c r="E215" i="141"/>
  <c r="H210" i="141"/>
  <c r="F215" i="141"/>
  <c r="K208" i="141"/>
  <c r="C215" i="141"/>
  <c r="J208" i="141"/>
  <c r="B215" i="141"/>
  <c r="J214" i="141"/>
  <c r="F214" i="141"/>
  <c r="D219" i="141"/>
  <c r="G211" i="141"/>
  <c r="F218" i="141"/>
  <c r="I217" i="141"/>
  <c r="L215" i="141"/>
  <c r="H215" i="141"/>
  <c r="K213" i="141"/>
  <c r="L210" i="141"/>
  <c r="F219" i="141"/>
  <c r="C219" i="141"/>
  <c r="B219" i="141"/>
  <c r="B211" i="141"/>
  <c r="L208" i="141"/>
  <c r="D213" i="141"/>
  <c r="B213" i="141"/>
  <c r="J209" i="141"/>
  <c r="G210" i="141"/>
  <c r="E210" i="141"/>
  <c r="B210" i="141"/>
  <c r="B148" i="141"/>
  <c r="H112" i="139"/>
  <c r="B111" i="139"/>
  <c r="H109" i="139"/>
  <c r="M107" i="139"/>
  <c r="M104" i="139"/>
  <c r="G103" i="139"/>
  <c r="M101" i="139"/>
  <c r="G112" i="139"/>
  <c r="M110" i="139"/>
  <c r="G109" i="139"/>
  <c r="L107" i="139"/>
  <c r="L104" i="139"/>
  <c r="F103" i="139"/>
  <c r="K101" i="139"/>
  <c r="E112" i="139"/>
  <c r="K110" i="139"/>
  <c r="D109" i="139"/>
  <c r="J107" i="139"/>
  <c r="D106" i="139"/>
  <c r="I104" i="139"/>
  <c r="C103" i="139"/>
  <c r="I101" i="139"/>
  <c r="F96" i="139"/>
  <c r="D112" i="139"/>
  <c r="I110" i="139"/>
  <c r="C109" i="139"/>
  <c r="B106" i="139"/>
  <c r="H104" i="139"/>
  <c r="B103" i="139"/>
  <c r="H101" i="139"/>
  <c r="J111" i="139"/>
  <c r="D110" i="139"/>
  <c r="J108" i="139"/>
  <c r="D107" i="139"/>
  <c r="J105" i="139"/>
  <c r="D104" i="139"/>
  <c r="I102" i="139"/>
  <c r="C101" i="139"/>
  <c r="J112" i="139"/>
  <c r="E110" i="139"/>
  <c r="E108" i="139"/>
  <c r="L105" i="139"/>
  <c r="K103" i="139"/>
  <c r="G101" i="139"/>
  <c r="I112" i="139"/>
  <c r="C110" i="139"/>
  <c r="D108" i="139"/>
  <c r="K105" i="139"/>
  <c r="J103" i="139"/>
  <c r="E101" i="139"/>
  <c r="F112" i="139"/>
  <c r="B110" i="139"/>
  <c r="C108" i="139"/>
  <c r="I103" i="139"/>
  <c r="D101" i="139"/>
  <c r="C112" i="139"/>
  <c r="M109" i="139"/>
  <c r="K107" i="139"/>
  <c r="H103" i="139"/>
  <c r="B101" i="139"/>
  <c r="M111" i="139"/>
  <c r="L109" i="139"/>
  <c r="D103" i="139"/>
  <c r="G111" i="139"/>
  <c r="E109" i="139"/>
  <c r="B107" i="139"/>
  <c r="B105" i="139"/>
  <c r="H102" i="139"/>
  <c r="K109" i="139"/>
  <c r="K102" i="139"/>
  <c r="J109" i="139"/>
  <c r="G102" i="139"/>
  <c r="I109" i="139"/>
  <c r="E106" i="139"/>
  <c r="F102" i="139"/>
  <c r="M112" i="139"/>
  <c r="B109" i="139"/>
  <c r="M105" i="139"/>
  <c r="E102" i="139"/>
  <c r="L112" i="139"/>
  <c r="L108" i="139"/>
  <c r="E105" i="139"/>
  <c r="D102" i="139"/>
  <c r="H111" i="139"/>
  <c r="G104" i="139"/>
  <c r="K108" i="139"/>
  <c r="M103" i="139"/>
  <c r="L103" i="139"/>
  <c r="M102" i="139"/>
  <c r="L102" i="139"/>
  <c r="C102" i="139"/>
  <c r="I111" i="139"/>
  <c r="L106" i="139"/>
  <c r="K112" i="139"/>
  <c r="F104" i="139"/>
  <c r="L111" i="139"/>
  <c r="E104" i="139"/>
  <c r="F111" i="139"/>
  <c r="C104" i="139"/>
  <c r="E111" i="139"/>
  <c r="B102" i="139"/>
  <c r="D111" i="139"/>
  <c r="J101" i="139"/>
  <c r="G110" i="139"/>
  <c r="H110" i="139"/>
  <c r="E107" i="139"/>
  <c r="C107" i="139"/>
  <c r="M106" i="139"/>
  <c r="K106" i="139"/>
  <c r="C111" i="139"/>
  <c r="D105" i="139"/>
  <c r="L110" i="139"/>
  <c r="C105" i="139"/>
  <c r="K104" i="139"/>
  <c r="C106" i="139"/>
  <c r="K193" i="141"/>
  <c r="M188" i="141"/>
  <c r="B70" i="139"/>
  <c r="J68" i="139"/>
  <c r="F67" i="139"/>
  <c r="B66" i="139"/>
  <c r="J64" i="139"/>
  <c r="B62" i="139"/>
  <c r="J60" i="139"/>
  <c r="K70" i="139"/>
  <c r="F69" i="139"/>
  <c r="M67" i="139"/>
  <c r="H66" i="139"/>
  <c r="C65" i="139"/>
  <c r="J63" i="139"/>
  <c r="E62" i="139"/>
  <c r="L60" i="139"/>
  <c r="K69" i="139"/>
  <c r="E68" i="139"/>
  <c r="K66" i="139"/>
  <c r="E65" i="139"/>
  <c r="K63" i="139"/>
  <c r="D62" i="139"/>
  <c r="I60" i="139"/>
  <c r="M70" i="139"/>
  <c r="G69" i="139"/>
  <c r="L67" i="139"/>
  <c r="H70" i="139"/>
  <c r="B69" i="139"/>
  <c r="H67" i="139"/>
  <c r="M65" i="139"/>
  <c r="M62" i="139"/>
  <c r="G61" i="139"/>
  <c r="M59" i="139"/>
  <c r="H69" i="139"/>
  <c r="I67" i="139"/>
  <c r="K65" i="139"/>
  <c r="G62" i="139"/>
  <c r="H60" i="139"/>
  <c r="E69" i="139"/>
  <c r="G67" i="139"/>
  <c r="J65" i="139"/>
  <c r="F62" i="139"/>
  <c r="D69" i="139"/>
  <c r="E67" i="139"/>
  <c r="I65" i="139"/>
  <c r="M63" i="139"/>
  <c r="C62" i="139"/>
  <c r="C69" i="139"/>
  <c r="D67" i="139"/>
  <c r="H65" i="139"/>
  <c r="L63" i="139"/>
  <c r="M61" i="139"/>
  <c r="E60" i="139"/>
  <c r="L70" i="139"/>
  <c r="M68" i="139"/>
  <c r="C67" i="139"/>
  <c r="G65" i="139"/>
  <c r="I63" i="139"/>
  <c r="L61" i="139"/>
  <c r="D60" i="139"/>
  <c r="F70" i="139"/>
  <c r="H68" i="139"/>
  <c r="J66" i="139"/>
  <c r="M64" i="139"/>
  <c r="D63" i="139"/>
  <c r="H61" i="139"/>
  <c r="K59" i="139"/>
  <c r="M69" i="139"/>
  <c r="L66" i="139"/>
  <c r="E64" i="139"/>
  <c r="E61" i="139"/>
  <c r="L69" i="139"/>
  <c r="I66" i="139"/>
  <c r="D64" i="139"/>
  <c r="D61" i="139"/>
  <c r="J69" i="139"/>
  <c r="G66" i="139"/>
  <c r="H63" i="139"/>
  <c r="C61" i="139"/>
  <c r="I69" i="139"/>
  <c r="F66" i="139"/>
  <c r="B61" i="139"/>
  <c r="L68" i="139"/>
  <c r="E66" i="139"/>
  <c r="E63" i="139"/>
  <c r="M60" i="139"/>
  <c r="F68" i="139"/>
  <c r="F65" i="139"/>
  <c r="K62" i="139"/>
  <c r="L59" i="139"/>
  <c r="D70" i="139"/>
  <c r="B65" i="139"/>
  <c r="K60" i="139"/>
  <c r="C70" i="139"/>
  <c r="L64" i="139"/>
  <c r="K68" i="139"/>
  <c r="K64" i="139"/>
  <c r="I68" i="139"/>
  <c r="I64" i="139"/>
  <c r="J59" i="139"/>
  <c r="G68" i="139"/>
  <c r="H64" i="139"/>
  <c r="I59" i="139"/>
  <c r="K67" i="139"/>
  <c r="L62" i="139"/>
  <c r="M66" i="139"/>
  <c r="E59" i="139"/>
  <c r="D66" i="139"/>
  <c r="D59" i="139"/>
  <c r="C66" i="139"/>
  <c r="L65" i="139"/>
  <c r="F53" i="139"/>
  <c r="D65" i="139"/>
  <c r="I70" i="139"/>
  <c r="J62" i="139"/>
  <c r="G70" i="139"/>
  <c r="H59" i="139"/>
  <c r="E70" i="139"/>
  <c r="D68" i="139"/>
  <c r="C68" i="139"/>
  <c r="B68" i="139"/>
  <c r="K61" i="139"/>
  <c r="J61" i="139"/>
  <c r="I61" i="139"/>
  <c r="F61" i="139"/>
  <c r="J70" i="139"/>
  <c r="J67" i="139"/>
  <c r="B67" i="139"/>
  <c r="I62" i="139"/>
  <c r="H62" i="139"/>
  <c r="J126" i="139"/>
  <c r="B127" i="139"/>
  <c r="B34" i="137"/>
  <c r="G284" i="135"/>
  <c r="E44" i="139"/>
  <c r="G42" i="139"/>
  <c r="F47" i="133"/>
  <c r="F321" i="135"/>
  <c r="F58" i="135"/>
  <c r="M74" i="135"/>
  <c r="E73" i="135"/>
  <c r="G69" i="135"/>
  <c r="I65" i="135"/>
  <c r="L63" i="135"/>
  <c r="D63" i="135"/>
  <c r="F72" i="135"/>
  <c r="E72" i="135"/>
  <c r="M69" i="135"/>
  <c r="F63" i="135"/>
  <c r="L66" i="135"/>
  <c r="I66" i="135"/>
  <c r="L73" i="135"/>
  <c r="H73" i="135"/>
  <c r="H74" i="135"/>
  <c r="L71" i="135"/>
  <c r="B64" i="135"/>
  <c r="C65" i="135"/>
  <c r="M64" i="135"/>
  <c r="I71" i="135"/>
  <c r="M70" i="135"/>
  <c r="D70" i="135"/>
  <c r="K64" i="135"/>
  <c r="I74" i="135"/>
  <c r="K63" i="135"/>
  <c r="I63" i="135"/>
  <c r="G63" i="135"/>
  <c r="B69" i="135"/>
  <c r="J68" i="135"/>
  <c r="M65" i="135"/>
  <c r="L70" i="135"/>
  <c r="D73" i="135"/>
  <c r="E74" i="135"/>
  <c r="C74" i="135"/>
  <c r="J73" i="135"/>
  <c r="M66" i="135"/>
  <c r="G74" i="135"/>
  <c r="I64" i="135"/>
  <c r="K71" i="135"/>
  <c r="K72" i="135"/>
  <c r="I72" i="135"/>
  <c r="D72" i="135"/>
  <c r="E64" i="135"/>
  <c r="M63" i="135"/>
  <c r="C70" i="135"/>
  <c r="K70" i="135"/>
  <c r="J74" i="135"/>
  <c r="J64" i="135"/>
  <c r="B65" i="135"/>
  <c r="H64" i="135"/>
  <c r="C63" i="135"/>
  <c r="G72" i="135"/>
  <c r="K67" i="135"/>
  <c r="M38" i="138"/>
  <c r="L38" i="138"/>
  <c r="J42" i="133"/>
  <c r="E46" i="133"/>
  <c r="G37" i="137"/>
  <c r="L48" i="133"/>
  <c r="L71" i="131"/>
  <c r="H70" i="131"/>
  <c r="D69" i="131"/>
  <c r="L67" i="131"/>
  <c r="H66" i="131"/>
  <c r="L63" i="131"/>
  <c r="H62" i="131"/>
  <c r="D61" i="131"/>
  <c r="K71" i="131"/>
  <c r="F70" i="131"/>
  <c r="M68" i="131"/>
  <c r="H67" i="131"/>
  <c r="C66" i="131"/>
  <c r="J64" i="131"/>
  <c r="L61" i="131"/>
  <c r="L72" i="131"/>
  <c r="F71" i="131"/>
  <c r="L69" i="131"/>
  <c r="F68" i="131"/>
  <c r="L66" i="131"/>
  <c r="K63" i="131"/>
  <c r="E62" i="131"/>
  <c r="K72" i="131"/>
  <c r="E71" i="131"/>
  <c r="K69" i="131"/>
  <c r="E68" i="131"/>
  <c r="K66" i="131"/>
  <c r="J63" i="131"/>
  <c r="D62" i="131"/>
  <c r="I72" i="131"/>
  <c r="C71" i="131"/>
  <c r="I69" i="131"/>
  <c r="C68" i="131"/>
  <c r="I66" i="131"/>
  <c r="B65" i="131"/>
  <c r="H63" i="131"/>
  <c r="B62" i="131"/>
  <c r="D72" i="131"/>
  <c r="J70" i="131"/>
  <c r="C69" i="131"/>
  <c r="I67" i="131"/>
  <c r="B66" i="131"/>
  <c r="H64" i="131"/>
  <c r="B63" i="131"/>
  <c r="H61" i="131"/>
  <c r="I71" i="131"/>
  <c r="H69" i="131"/>
  <c r="G67" i="131"/>
  <c r="I65" i="131"/>
  <c r="G61" i="131"/>
  <c r="D71" i="131"/>
  <c r="E69" i="131"/>
  <c r="D67" i="131"/>
  <c r="C65" i="131"/>
  <c r="C63" i="131"/>
  <c r="C61" i="131"/>
  <c r="B71" i="131"/>
  <c r="B69" i="131"/>
  <c r="C67" i="131"/>
  <c r="M64" i="131"/>
  <c r="M62" i="131"/>
  <c r="B61" i="131"/>
  <c r="H72" i="131"/>
  <c r="I70" i="131"/>
  <c r="I68" i="131"/>
  <c r="I62" i="131"/>
  <c r="G70" i="131"/>
  <c r="M67" i="131"/>
  <c r="G62" i="131"/>
  <c r="E70" i="131"/>
  <c r="K67" i="131"/>
  <c r="L64" i="131"/>
  <c r="F62" i="131"/>
  <c r="F55" i="131"/>
  <c r="M72" i="131"/>
  <c r="D70" i="131"/>
  <c r="J67" i="131"/>
  <c r="K64" i="131"/>
  <c r="C62" i="131"/>
  <c r="J72" i="131"/>
  <c r="C70" i="131"/>
  <c r="F67" i="131"/>
  <c r="I64" i="131"/>
  <c r="M61" i="131"/>
  <c r="G72" i="131"/>
  <c r="B70" i="131"/>
  <c r="E67" i="131"/>
  <c r="K61" i="131"/>
  <c r="J69" i="131"/>
  <c r="M65" i="131"/>
  <c r="J61" i="131"/>
  <c r="G69" i="131"/>
  <c r="L65" i="131"/>
  <c r="I61" i="131"/>
  <c r="F69" i="131"/>
  <c r="K65" i="131"/>
  <c r="F61" i="131"/>
  <c r="L68" i="131"/>
  <c r="J65" i="131"/>
  <c r="E61" i="131"/>
  <c r="F72" i="131"/>
  <c r="K68" i="131"/>
  <c r="H65" i="131"/>
  <c r="M71" i="131"/>
  <c r="D68" i="131"/>
  <c r="B64" i="131"/>
  <c r="E72" i="131"/>
  <c r="J66" i="131"/>
  <c r="C72" i="131"/>
  <c r="B72" i="131"/>
  <c r="J71" i="131"/>
  <c r="G71" i="131"/>
  <c r="H68" i="131"/>
  <c r="G68" i="131"/>
  <c r="B68" i="131"/>
  <c r="B67" i="131"/>
  <c r="I63" i="131"/>
  <c r="L62" i="131"/>
  <c r="K62" i="131"/>
  <c r="M70" i="131"/>
  <c r="K70" i="131"/>
  <c r="J68" i="131"/>
  <c r="M66" i="131"/>
  <c r="C64" i="131"/>
  <c r="M63" i="131"/>
  <c r="J62" i="131"/>
  <c r="H71" i="131"/>
  <c r="L70" i="131"/>
  <c r="M69" i="131"/>
  <c r="L228" i="139"/>
  <c r="D237" i="139"/>
  <c r="D230" i="139"/>
  <c r="N14" i="133"/>
  <c r="A433" i="133" s="1"/>
  <c r="K87" i="135"/>
  <c r="M92" i="135"/>
  <c r="B89" i="135"/>
  <c r="I275" i="135"/>
  <c r="H229" i="131"/>
  <c r="K236" i="131"/>
  <c r="I115" i="125"/>
  <c r="B173" i="123"/>
  <c r="G170" i="123"/>
  <c r="D170" i="123"/>
  <c r="C114" i="123"/>
  <c r="B105" i="123"/>
  <c r="L107" i="123"/>
  <c r="I8" i="125"/>
  <c r="K8" i="125" s="1"/>
  <c r="F210" i="123"/>
  <c r="G212" i="123"/>
  <c r="M214" i="123"/>
  <c r="I13" i="123"/>
  <c r="J13" i="123" s="1"/>
  <c r="K191" i="135"/>
  <c r="K192" i="135"/>
  <c r="F298" i="141"/>
  <c r="G298" i="141"/>
  <c r="I12" i="127"/>
  <c r="K12" i="127" s="1"/>
  <c r="I12" i="123"/>
  <c r="L30" i="130"/>
  <c r="M30" i="130"/>
  <c r="J262" i="123"/>
  <c r="G253" i="123"/>
  <c r="M258" i="123"/>
  <c r="E259" i="123"/>
  <c r="G155" i="123"/>
  <c r="B154" i="123"/>
  <c r="E153" i="123"/>
  <c r="F155" i="123"/>
  <c r="H156" i="131"/>
  <c r="E150" i="131"/>
  <c r="M155" i="131"/>
  <c r="M42" i="122"/>
  <c r="L42" i="122"/>
  <c r="K117" i="127"/>
  <c r="I115" i="127"/>
  <c r="I113" i="127"/>
  <c r="I111" i="127"/>
  <c r="H117" i="127"/>
  <c r="H115" i="127"/>
  <c r="H113" i="127"/>
  <c r="H111" i="127"/>
  <c r="E117" i="127"/>
  <c r="I114" i="127"/>
  <c r="D111" i="127"/>
  <c r="D117" i="127"/>
  <c r="C111" i="127"/>
  <c r="C117" i="127"/>
  <c r="D114" i="127"/>
  <c r="B111" i="127"/>
  <c r="B117" i="127"/>
  <c r="C114" i="127"/>
  <c r="I110" i="127"/>
  <c r="H119" i="127"/>
  <c r="J116" i="127"/>
  <c r="B114" i="127"/>
  <c r="H110" i="127"/>
  <c r="B119" i="127"/>
  <c r="E116" i="127"/>
  <c r="B113" i="127"/>
  <c r="D110" i="127"/>
  <c r="G110" i="127"/>
  <c r="E115" i="127"/>
  <c r="F110" i="127"/>
  <c r="D115" i="127"/>
  <c r="E110" i="127"/>
  <c r="D119" i="127"/>
  <c r="B115" i="127"/>
  <c r="C110" i="127"/>
  <c r="C119" i="127"/>
  <c r="G112" i="127"/>
  <c r="F112" i="127"/>
  <c r="H118" i="127"/>
  <c r="E112" i="127"/>
  <c r="D112" i="127"/>
  <c r="E118" i="127"/>
  <c r="B112" i="127"/>
  <c r="F117" i="127"/>
  <c r="I116" i="127"/>
  <c r="D116" i="127"/>
  <c r="F113" i="127"/>
  <c r="C113" i="127"/>
  <c r="J112" i="127"/>
  <c r="G116" i="127"/>
  <c r="D113" i="127"/>
  <c r="C112" i="127"/>
  <c r="B110" i="127"/>
  <c r="F105" i="127"/>
  <c r="H116" i="127"/>
  <c r="F111" i="127"/>
  <c r="E114" i="127"/>
  <c r="B118" i="127"/>
  <c r="G113" i="127"/>
  <c r="H112" i="127"/>
  <c r="K110" i="127"/>
  <c r="K111" i="127"/>
  <c r="G117" i="127"/>
  <c r="I118" i="127"/>
  <c r="K113" i="127"/>
  <c r="K116" i="127"/>
  <c r="C116" i="127"/>
  <c r="F116" i="127"/>
  <c r="F37" i="123"/>
  <c r="B48" i="123"/>
  <c r="L47" i="123"/>
  <c r="J47" i="123"/>
  <c r="I47" i="123"/>
  <c r="C50" i="123"/>
  <c r="D48" i="123"/>
  <c r="C48" i="123"/>
  <c r="K47" i="123"/>
  <c r="M44" i="123"/>
  <c r="L44" i="123"/>
  <c r="G52" i="123"/>
  <c r="F52" i="123"/>
  <c r="J50" i="123"/>
  <c r="B50" i="123"/>
  <c r="K44" i="123"/>
  <c r="H43" i="123"/>
  <c r="G43" i="123"/>
  <c r="F43" i="123"/>
  <c r="I52" i="123"/>
  <c r="C53" i="123"/>
  <c r="L53" i="123"/>
  <c r="I53" i="123"/>
  <c r="M43" i="123"/>
  <c r="G44" i="123"/>
  <c r="J43" i="123"/>
  <c r="M53" i="123"/>
  <c r="C46" i="123"/>
  <c r="B47" i="123"/>
  <c r="E52" i="123"/>
  <c r="I42" i="123"/>
  <c r="L42" i="123"/>
  <c r="J42" i="123"/>
  <c r="E51" i="123"/>
  <c r="G42" i="123"/>
  <c r="D51" i="123"/>
  <c r="M50" i="123"/>
  <c r="J53" i="123"/>
  <c r="G53" i="123"/>
  <c r="D53" i="123"/>
  <c r="C49" i="123"/>
  <c r="K52" i="123"/>
  <c r="I49" i="123"/>
  <c r="C52" i="123"/>
  <c r="L51" i="123"/>
  <c r="J51" i="123"/>
  <c r="I51" i="123"/>
  <c r="G46" i="123"/>
  <c r="J49" i="123"/>
  <c r="E48" i="123"/>
  <c r="H50" i="123"/>
  <c r="F50" i="123"/>
  <c r="D50" i="123"/>
  <c r="G49" i="123"/>
  <c r="L43" i="123"/>
  <c r="H45" i="123"/>
  <c r="E53" i="123"/>
  <c r="K42" i="123"/>
  <c r="H42" i="123"/>
  <c r="F49" i="123"/>
  <c r="I43" i="123"/>
  <c r="G132" i="123"/>
  <c r="D131" i="123"/>
  <c r="K136" i="123"/>
  <c r="E132" i="123"/>
  <c r="M211" i="121"/>
  <c r="H211" i="121"/>
  <c r="I221" i="121"/>
  <c r="F49" i="131"/>
  <c r="G46" i="131"/>
  <c r="F45" i="131"/>
  <c r="M48" i="131"/>
  <c r="D50" i="131"/>
  <c r="F303" i="143"/>
  <c r="I49" i="143"/>
  <c r="J47" i="143"/>
  <c r="L127" i="143"/>
  <c r="J132" i="143"/>
  <c r="G131" i="143"/>
  <c r="C129" i="143"/>
  <c r="C133" i="143"/>
  <c r="B133" i="143"/>
  <c r="H48" i="143"/>
  <c r="M46" i="143"/>
  <c r="J103" i="143"/>
  <c r="C103" i="143"/>
  <c r="H109" i="143"/>
  <c r="G65" i="141"/>
  <c r="M66" i="141"/>
  <c r="M67" i="141"/>
  <c r="E103" i="139"/>
  <c r="D190" i="143"/>
  <c r="L190" i="143"/>
  <c r="F191" i="143"/>
  <c r="D192" i="143"/>
  <c r="B197" i="143"/>
  <c r="I195" i="143"/>
  <c r="L188" i="143"/>
  <c r="M190" i="143"/>
  <c r="C209" i="139"/>
  <c r="J210" i="139"/>
  <c r="H156" i="141"/>
  <c r="G156" i="141"/>
  <c r="L148" i="141"/>
  <c r="E145" i="141"/>
  <c r="D150" i="141"/>
  <c r="M150" i="141"/>
  <c r="D236" i="141"/>
  <c r="L239" i="141"/>
  <c r="F230" i="141"/>
  <c r="F239" i="141"/>
  <c r="J231" i="141"/>
  <c r="B234" i="141"/>
  <c r="M191" i="141"/>
  <c r="K196" i="141"/>
  <c r="F195" i="141"/>
  <c r="F188" i="141"/>
  <c r="D196" i="141"/>
  <c r="M189" i="141"/>
  <c r="E190" i="141"/>
  <c r="L133" i="139"/>
  <c r="H130" i="139"/>
  <c r="D128" i="139"/>
  <c r="F128" i="139"/>
  <c r="I30" i="137"/>
  <c r="C35" i="137"/>
  <c r="E273" i="135"/>
  <c r="C282" i="135"/>
  <c r="C236" i="141"/>
  <c r="I260" i="141"/>
  <c r="E259" i="141"/>
  <c r="M257" i="141"/>
  <c r="I256" i="141"/>
  <c r="E255" i="141"/>
  <c r="M253" i="141"/>
  <c r="I252" i="141"/>
  <c r="E251" i="141"/>
  <c r="H259" i="141"/>
  <c r="C258" i="141"/>
  <c r="J256" i="141"/>
  <c r="D255" i="141"/>
  <c r="K253" i="141"/>
  <c r="F252" i="141"/>
  <c r="M250" i="141"/>
  <c r="C261" i="141"/>
  <c r="I259" i="141"/>
  <c r="B258" i="141"/>
  <c r="G256" i="141"/>
  <c r="G253" i="141"/>
  <c r="M251" i="141"/>
  <c r="G250" i="141"/>
  <c r="K259" i="141"/>
  <c r="D258" i="141"/>
  <c r="F256" i="141"/>
  <c r="K254" i="141"/>
  <c r="D253" i="141"/>
  <c r="I251" i="141"/>
  <c r="B250" i="141"/>
  <c r="D261" i="141"/>
  <c r="G259" i="141"/>
  <c r="K257" i="141"/>
  <c r="D256" i="141"/>
  <c r="I254" i="141"/>
  <c r="B253" i="141"/>
  <c r="G251" i="141"/>
  <c r="K260" i="141"/>
  <c r="C259" i="141"/>
  <c r="H257" i="141"/>
  <c r="K252" i="141"/>
  <c r="C251" i="141"/>
  <c r="D260" i="141"/>
  <c r="F258" i="141"/>
  <c r="C256" i="141"/>
  <c r="D254" i="141"/>
  <c r="D252" i="141"/>
  <c r="E250" i="141"/>
  <c r="K261" i="141"/>
  <c r="M259" i="141"/>
  <c r="J257" i="141"/>
  <c r="K255" i="141"/>
  <c r="L253" i="141"/>
  <c r="L251" i="141"/>
  <c r="B260" i="141"/>
  <c r="G257" i="141"/>
  <c r="C253" i="141"/>
  <c r="K250" i="141"/>
  <c r="F244" i="141"/>
  <c r="I261" i="141"/>
  <c r="B259" i="141"/>
  <c r="M256" i="141"/>
  <c r="B252" i="141"/>
  <c r="H261" i="141"/>
  <c r="M258" i="141"/>
  <c r="L256" i="141"/>
  <c r="E254" i="141"/>
  <c r="K251" i="141"/>
  <c r="L258" i="141"/>
  <c r="K256" i="141"/>
  <c r="C254" i="141"/>
  <c r="J251" i="141"/>
  <c r="B261" i="141"/>
  <c r="J258" i="141"/>
  <c r="E256" i="141"/>
  <c r="J253" i="141"/>
  <c r="F251" i="141"/>
  <c r="I258" i="141"/>
  <c r="B256" i="141"/>
  <c r="I253" i="141"/>
  <c r="D251" i="141"/>
  <c r="F259" i="141"/>
  <c r="I255" i="141"/>
  <c r="G252" i="141"/>
  <c r="E260" i="141"/>
  <c r="H256" i="141"/>
  <c r="J252" i="141"/>
  <c r="E258" i="141"/>
  <c r="J254" i="141"/>
  <c r="I250" i="141"/>
  <c r="J261" i="141"/>
  <c r="E257" i="141"/>
  <c r="M252" i="141"/>
  <c r="J259" i="141"/>
  <c r="C255" i="141"/>
  <c r="J250" i="141"/>
  <c r="H260" i="141"/>
  <c r="J255" i="141"/>
  <c r="L250" i="141"/>
  <c r="H255" i="141"/>
  <c r="H250" i="141"/>
  <c r="F250" i="141"/>
  <c r="C260" i="141"/>
  <c r="B255" i="141"/>
  <c r="D250" i="141"/>
  <c r="L259" i="141"/>
  <c r="C250" i="141"/>
  <c r="G258" i="141"/>
  <c r="F253" i="141"/>
  <c r="D259" i="141"/>
  <c r="E252" i="141"/>
  <c r="K258" i="141"/>
  <c r="C252" i="141"/>
  <c r="H258" i="141"/>
  <c r="H251" i="141"/>
  <c r="L257" i="141"/>
  <c r="B251" i="141"/>
  <c r="I257" i="141"/>
  <c r="B257" i="141"/>
  <c r="B254" i="141"/>
  <c r="H253" i="141"/>
  <c r="E253" i="141"/>
  <c r="L252" i="141"/>
  <c r="H252" i="141"/>
  <c r="H254" i="141"/>
  <c r="J260" i="141"/>
  <c r="D257" i="141"/>
  <c r="E261" i="141"/>
  <c r="F257" i="141"/>
  <c r="C257" i="141"/>
  <c r="C195" i="135"/>
  <c r="L199" i="135"/>
  <c r="M190" i="135"/>
  <c r="H195" i="135"/>
  <c r="H43" i="139"/>
  <c r="L42" i="139"/>
  <c r="M39" i="139"/>
  <c r="L43" i="139"/>
  <c r="J7" i="139"/>
  <c r="I7" i="139"/>
  <c r="I13" i="135"/>
  <c r="K13" i="135" s="1"/>
  <c r="G39" i="139"/>
  <c r="L45" i="133"/>
  <c r="L38" i="130"/>
  <c r="M38" i="130"/>
  <c r="P340" i="135"/>
  <c r="G324" i="135"/>
  <c r="F324" i="135"/>
  <c r="G164" i="133"/>
  <c r="L173" i="133"/>
  <c r="D88" i="133"/>
  <c r="C90" i="133"/>
  <c r="E80" i="133"/>
  <c r="A386" i="135"/>
  <c r="A396" i="135" s="1"/>
  <c r="F160" i="133"/>
  <c r="L169" i="133"/>
  <c r="H173" i="133"/>
  <c r="F173" i="133"/>
  <c r="D173" i="133"/>
  <c r="K166" i="133"/>
  <c r="C166" i="133"/>
  <c r="H168" i="133"/>
  <c r="B172" i="133"/>
  <c r="L171" i="133"/>
  <c r="J171" i="133"/>
  <c r="F169" i="133"/>
  <c r="K164" i="133"/>
  <c r="C168" i="133"/>
  <c r="H170" i="133"/>
  <c r="F170" i="133"/>
  <c r="D170" i="133"/>
  <c r="I171" i="133"/>
  <c r="I175" i="133"/>
  <c r="K170" i="133"/>
  <c r="L165" i="133"/>
  <c r="B169" i="133"/>
  <c r="L168" i="133"/>
  <c r="J168" i="133"/>
  <c r="G169" i="133"/>
  <c r="H41" i="133"/>
  <c r="E45" i="133"/>
  <c r="K47" i="133"/>
  <c r="H116" i="137"/>
  <c r="E116" i="137"/>
  <c r="F94" i="125"/>
  <c r="F105" i="125"/>
  <c r="E103" i="125"/>
  <c r="D101" i="125"/>
  <c r="E104" i="125"/>
  <c r="I100" i="125"/>
  <c r="D98" i="125"/>
  <c r="D104" i="125"/>
  <c r="H100" i="125"/>
  <c r="B104" i="125"/>
  <c r="G100" i="125"/>
  <c r="I103" i="125"/>
  <c r="F100" i="125"/>
  <c r="E100" i="125"/>
  <c r="H99" i="125"/>
  <c r="F104" i="125"/>
  <c r="I98" i="125"/>
  <c r="H98" i="125"/>
  <c r="I102" i="125"/>
  <c r="H102" i="125"/>
  <c r="E102" i="125"/>
  <c r="I101" i="125"/>
  <c r="H101" i="125"/>
  <c r="B101" i="125"/>
  <c r="D100" i="125"/>
  <c r="I99" i="125"/>
  <c r="E98" i="125"/>
  <c r="D105" i="125"/>
  <c r="H104" i="125"/>
  <c r="D102" i="125"/>
  <c r="I104" i="125"/>
  <c r="B100" i="125"/>
  <c r="C105" i="125"/>
  <c r="B105" i="125"/>
  <c r="G104" i="125"/>
  <c r="C100" i="125"/>
  <c r="D99" i="125"/>
  <c r="E99" i="125"/>
  <c r="E101" i="125"/>
  <c r="F101" i="125"/>
  <c r="J236" i="139"/>
  <c r="B235" i="139"/>
  <c r="C228" i="139"/>
  <c r="I237" i="139"/>
  <c r="I231" i="139"/>
  <c r="I117" i="127"/>
  <c r="K218" i="131"/>
  <c r="G217" i="131"/>
  <c r="C216" i="131"/>
  <c r="K214" i="131"/>
  <c r="G213" i="131"/>
  <c r="C212" i="131"/>
  <c r="K210" i="131"/>
  <c r="G209" i="131"/>
  <c r="C208" i="131"/>
  <c r="B219" i="131"/>
  <c r="I217" i="131"/>
  <c r="D216" i="131"/>
  <c r="J214" i="131"/>
  <c r="E213" i="131"/>
  <c r="L211" i="131"/>
  <c r="G210" i="131"/>
  <c r="B209" i="131"/>
  <c r="K219" i="131"/>
  <c r="E218" i="131"/>
  <c r="K216" i="131"/>
  <c r="E215" i="131"/>
  <c r="K213" i="131"/>
  <c r="E212" i="131"/>
  <c r="J210" i="131"/>
  <c r="D209" i="131"/>
  <c r="D218" i="131"/>
  <c r="I216" i="131"/>
  <c r="B215" i="131"/>
  <c r="F213" i="131"/>
  <c r="J211" i="131"/>
  <c r="C210" i="131"/>
  <c r="H208" i="131"/>
  <c r="J219" i="131"/>
  <c r="C218" i="131"/>
  <c r="H216" i="131"/>
  <c r="D213" i="131"/>
  <c r="I211" i="131"/>
  <c r="B210" i="131"/>
  <c r="G208" i="131"/>
  <c r="B218" i="131"/>
  <c r="G216" i="131"/>
  <c r="C213" i="131"/>
  <c r="H211" i="131"/>
  <c r="M209" i="131"/>
  <c r="F208" i="131"/>
  <c r="F202" i="131"/>
  <c r="M217" i="131"/>
  <c r="F216" i="131"/>
  <c r="B213" i="131"/>
  <c r="G211" i="131"/>
  <c r="L209" i="131"/>
  <c r="E208" i="131"/>
  <c r="G219" i="131"/>
  <c r="L217" i="131"/>
  <c r="E216" i="131"/>
  <c r="M212" i="131"/>
  <c r="F211" i="131"/>
  <c r="K209" i="131"/>
  <c r="D208" i="131"/>
  <c r="C219" i="131"/>
  <c r="F217" i="131"/>
  <c r="K215" i="131"/>
  <c r="D214" i="131"/>
  <c r="I212" i="131"/>
  <c r="B211" i="131"/>
  <c r="F209" i="131"/>
  <c r="D219" i="131"/>
  <c r="L216" i="131"/>
  <c r="B214" i="131"/>
  <c r="E211" i="131"/>
  <c r="L208" i="131"/>
  <c r="J216" i="131"/>
  <c r="M213" i="131"/>
  <c r="D211" i="131"/>
  <c r="K208" i="131"/>
  <c r="B216" i="131"/>
  <c r="L213" i="131"/>
  <c r="C211" i="131"/>
  <c r="J208" i="131"/>
  <c r="J218" i="131"/>
  <c r="J213" i="131"/>
  <c r="M210" i="131"/>
  <c r="I208" i="131"/>
  <c r="I213" i="131"/>
  <c r="L210" i="131"/>
  <c r="B208" i="131"/>
  <c r="K217" i="131"/>
  <c r="G215" i="131"/>
  <c r="J212" i="131"/>
  <c r="E210" i="131"/>
  <c r="G214" i="131"/>
  <c r="F210" i="131"/>
  <c r="G218" i="131"/>
  <c r="F214" i="131"/>
  <c r="D210" i="131"/>
  <c r="F218" i="131"/>
  <c r="E214" i="131"/>
  <c r="J209" i="131"/>
  <c r="J217" i="131"/>
  <c r="C214" i="131"/>
  <c r="I209" i="131"/>
  <c r="H217" i="131"/>
  <c r="H213" i="131"/>
  <c r="H209" i="131"/>
  <c r="D215" i="131"/>
  <c r="C215" i="131"/>
  <c r="L212" i="131"/>
  <c r="K212" i="131"/>
  <c r="H212" i="131"/>
  <c r="D217" i="131"/>
  <c r="B212" i="131"/>
  <c r="F215" i="131"/>
  <c r="G212" i="131"/>
  <c r="D212" i="131"/>
  <c r="E217" i="131"/>
  <c r="C217" i="131"/>
  <c r="B217" i="131"/>
  <c r="M216" i="131"/>
  <c r="F212" i="131"/>
  <c r="F219" i="131"/>
  <c r="E219" i="131"/>
  <c r="J215" i="131"/>
  <c r="M211" i="131"/>
  <c r="E209" i="131"/>
  <c r="K211" i="131"/>
  <c r="I210" i="131"/>
  <c r="H210" i="131"/>
  <c r="C209" i="131"/>
  <c r="M208" i="131"/>
  <c r="E94" i="135"/>
  <c r="C85" i="135"/>
  <c r="J95" i="135"/>
  <c r="D87" i="135"/>
  <c r="D175" i="127"/>
  <c r="G152" i="139"/>
  <c r="E151" i="139"/>
  <c r="C146" i="139"/>
  <c r="I154" i="139"/>
  <c r="J153" i="139"/>
  <c r="L41" i="138"/>
  <c r="M41" i="138"/>
  <c r="E69" i="135"/>
  <c r="H63" i="135"/>
  <c r="L69" i="135"/>
  <c r="J281" i="135"/>
  <c r="E278" i="135"/>
  <c r="D279" i="135"/>
  <c r="F236" i="131"/>
  <c r="M238" i="131"/>
  <c r="E105" i="125"/>
  <c r="E120" i="125"/>
  <c r="M35" i="118"/>
  <c r="L35" i="118"/>
  <c r="D176" i="123"/>
  <c r="B172" i="123"/>
  <c r="H171" i="123"/>
  <c r="H110" i="123"/>
  <c r="G221" i="123"/>
  <c r="M30" i="134"/>
  <c r="L30" i="134"/>
  <c r="B212" i="123"/>
  <c r="B214" i="123"/>
  <c r="L37" i="122"/>
  <c r="M37" i="122"/>
  <c r="J191" i="135"/>
  <c r="M36" i="126"/>
  <c r="L36" i="126"/>
  <c r="F297" i="117"/>
  <c r="G297" i="117"/>
  <c r="I8" i="131"/>
  <c r="J8" i="131" s="1"/>
  <c r="L262" i="123"/>
  <c r="H260" i="123"/>
  <c r="I260" i="123"/>
  <c r="K158" i="123"/>
  <c r="L154" i="123"/>
  <c r="M156" i="123"/>
  <c r="I156" i="123"/>
  <c r="K149" i="131"/>
  <c r="M148" i="131"/>
  <c r="K156" i="131"/>
  <c r="I149" i="131"/>
  <c r="F42" i="123"/>
  <c r="J46" i="123"/>
  <c r="K45" i="123"/>
  <c r="H44" i="123"/>
  <c r="F29" i="127"/>
  <c r="J42" i="127"/>
  <c r="G42" i="127"/>
  <c r="D41" i="127"/>
  <c r="B41" i="127"/>
  <c r="E40" i="127"/>
  <c r="H37" i="127"/>
  <c r="F37" i="127"/>
  <c r="H42" i="127"/>
  <c r="I37" i="127"/>
  <c r="I35" i="127"/>
  <c r="F34" i="127"/>
  <c r="J40" i="127"/>
  <c r="J43" i="127"/>
  <c r="J35" i="127"/>
  <c r="F43" i="127"/>
  <c r="I42" i="127"/>
  <c r="B39" i="127"/>
  <c r="J41" i="127"/>
  <c r="F42" i="127"/>
  <c r="K40" i="127"/>
  <c r="G37" i="127"/>
  <c r="J39" i="127"/>
  <c r="E39" i="127"/>
  <c r="D38" i="127"/>
  <c r="I40" i="127"/>
  <c r="E43" i="127"/>
  <c r="F35" i="127"/>
  <c r="K37" i="127"/>
  <c r="H36" i="127"/>
  <c r="J34" i="127"/>
  <c r="I39" i="127"/>
  <c r="C39" i="127"/>
  <c r="I38" i="127"/>
  <c r="C41" i="127"/>
  <c r="G35" i="127"/>
  <c r="M61" i="119"/>
  <c r="E62" i="119"/>
  <c r="I65" i="119"/>
  <c r="K135" i="123"/>
  <c r="M133" i="123"/>
  <c r="F128" i="123"/>
  <c r="F130" i="121"/>
  <c r="E131" i="121"/>
  <c r="L127" i="121"/>
  <c r="F128" i="121"/>
  <c r="G16" i="117"/>
  <c r="E92" i="123"/>
  <c r="G90" i="123"/>
  <c r="B89" i="123"/>
  <c r="L87" i="123"/>
  <c r="J87" i="123"/>
  <c r="F90" i="123"/>
  <c r="B90" i="123"/>
  <c r="F87" i="123"/>
  <c r="F81" i="123"/>
  <c r="F84" i="123"/>
  <c r="B95" i="123"/>
  <c r="E93" i="123"/>
  <c r="J89" i="123"/>
  <c r="F86" i="123"/>
  <c r="H88" i="123"/>
  <c r="B86" i="123"/>
  <c r="C92" i="123"/>
  <c r="C87" i="123"/>
  <c r="D90" i="123"/>
  <c r="C88" i="123"/>
  <c r="H84" i="123"/>
  <c r="J85" i="123"/>
  <c r="G89" i="123"/>
  <c r="B87" i="123"/>
  <c r="G94" i="123"/>
  <c r="L88" i="123"/>
  <c r="L89" i="123"/>
  <c r="H86" i="123"/>
  <c r="K95" i="123"/>
  <c r="G93" i="123"/>
  <c r="B92" i="123"/>
  <c r="E84" i="123"/>
  <c r="H87" i="123"/>
  <c r="E88" i="123"/>
  <c r="K84" i="123"/>
  <c r="B94" i="123"/>
  <c r="L90" i="123"/>
  <c r="M86" i="123"/>
  <c r="F94" i="123"/>
  <c r="I95" i="123"/>
  <c r="D86" i="123"/>
  <c r="J86" i="123"/>
  <c r="I94" i="123"/>
  <c r="F92" i="123"/>
  <c r="G88" i="123"/>
  <c r="F89" i="123"/>
  <c r="M91" i="123"/>
  <c r="C84" i="123"/>
  <c r="E85" i="123"/>
  <c r="M94" i="123"/>
  <c r="M88" i="123"/>
  <c r="E91" i="123"/>
  <c r="K89" i="123"/>
  <c r="G86" i="123"/>
  <c r="D84" i="123"/>
  <c r="F88" i="123"/>
  <c r="K92" i="119"/>
  <c r="J86" i="119"/>
  <c r="D93" i="119"/>
  <c r="K86" i="119"/>
  <c r="C261" i="119"/>
  <c r="F163" i="123"/>
  <c r="J177" i="123"/>
  <c r="G174" i="123"/>
  <c r="L169" i="123"/>
  <c r="I177" i="123"/>
  <c r="K173" i="123"/>
  <c r="K169" i="123"/>
  <c r="H177" i="123"/>
  <c r="D173" i="123"/>
  <c r="J169" i="123"/>
  <c r="G177" i="123"/>
  <c r="C173" i="123"/>
  <c r="H169" i="123"/>
  <c r="E177" i="123"/>
  <c r="J172" i="123"/>
  <c r="F169" i="123"/>
  <c r="K179" i="123"/>
  <c r="J174" i="123"/>
  <c r="J179" i="123"/>
  <c r="H174" i="123"/>
  <c r="K172" i="123"/>
  <c r="K178" i="123"/>
  <c r="H172" i="123"/>
  <c r="C178" i="123"/>
  <c r="C176" i="123"/>
  <c r="J171" i="123"/>
  <c r="E172" i="123"/>
  <c r="M170" i="123"/>
  <c r="K170" i="123"/>
  <c r="D168" i="123"/>
  <c r="L177" i="123"/>
  <c r="F177" i="123"/>
  <c r="M175" i="123"/>
  <c r="L175" i="123"/>
  <c r="K175" i="123"/>
  <c r="G175" i="123"/>
  <c r="L174" i="123"/>
  <c r="K174" i="123"/>
  <c r="D172" i="123"/>
  <c r="J170" i="123"/>
  <c r="I170" i="123"/>
  <c r="G169" i="123"/>
  <c r="E169" i="123"/>
  <c r="B178" i="123"/>
  <c r="J175" i="123"/>
  <c r="H179" i="123"/>
  <c r="M169" i="123"/>
  <c r="H178" i="123"/>
  <c r="H176" i="123"/>
  <c r="B174" i="123"/>
  <c r="D179" i="123"/>
  <c r="G171" i="123"/>
  <c r="D178" i="123"/>
  <c r="I168" i="123"/>
  <c r="K176" i="123"/>
  <c r="M174" i="123"/>
  <c r="F176" i="123"/>
  <c r="F174" i="123"/>
  <c r="L176" i="123"/>
  <c r="J178" i="123"/>
  <c r="C175" i="123"/>
  <c r="C179" i="123"/>
  <c r="D177" i="123"/>
  <c r="B179" i="123"/>
  <c r="C168" i="123"/>
  <c r="H175" i="123"/>
  <c r="C177" i="123"/>
  <c r="H173" i="123"/>
  <c r="K171" i="123"/>
  <c r="L170" i="123"/>
  <c r="D174" i="123"/>
  <c r="F175" i="123"/>
  <c r="M171" i="123"/>
  <c r="B170" i="123"/>
  <c r="M176" i="123"/>
  <c r="E179" i="123"/>
  <c r="I178" i="123"/>
  <c r="B175" i="123"/>
  <c r="I174" i="123"/>
  <c r="F95" i="123"/>
  <c r="C89" i="123"/>
  <c r="F304" i="117"/>
  <c r="J250" i="119"/>
  <c r="J216" i="121"/>
  <c r="E214" i="121"/>
  <c r="H215" i="121"/>
  <c r="B211" i="121"/>
  <c r="L50" i="131"/>
  <c r="E47" i="131"/>
  <c r="G50" i="131"/>
  <c r="H51" i="131"/>
  <c r="D200" i="121"/>
  <c r="L198" i="121"/>
  <c r="H197" i="121"/>
  <c r="D196" i="121"/>
  <c r="L194" i="121"/>
  <c r="H193" i="121"/>
  <c r="D192" i="121"/>
  <c r="L190" i="121"/>
  <c r="H189" i="121"/>
  <c r="C200" i="121"/>
  <c r="G197" i="121"/>
  <c r="C196" i="121"/>
  <c r="K194" i="121"/>
  <c r="G193" i="121"/>
  <c r="C192" i="121"/>
  <c r="B200" i="121"/>
  <c r="F197" i="121"/>
  <c r="B196" i="121"/>
  <c r="J194" i="121"/>
  <c r="F193" i="121"/>
  <c r="B192" i="121"/>
  <c r="F189" i="121"/>
  <c r="M199" i="121"/>
  <c r="I198" i="121"/>
  <c r="E197" i="121"/>
  <c r="M195" i="121"/>
  <c r="I194" i="121"/>
  <c r="E193" i="121"/>
  <c r="M191" i="121"/>
  <c r="I190" i="121"/>
  <c r="E189" i="121"/>
  <c r="L199" i="121"/>
  <c r="H198" i="121"/>
  <c r="D197" i="121"/>
  <c r="L195" i="121"/>
  <c r="H194" i="121"/>
  <c r="D193" i="121"/>
  <c r="L191" i="121"/>
  <c r="H190" i="121"/>
  <c r="D189" i="121"/>
  <c r="L200" i="121"/>
  <c r="H199" i="121"/>
  <c r="D198" i="121"/>
  <c r="L196" i="121"/>
  <c r="H195" i="121"/>
  <c r="D194" i="121"/>
  <c r="L192" i="121"/>
  <c r="H191" i="121"/>
  <c r="D190" i="121"/>
  <c r="K199" i="121"/>
  <c r="L197" i="121"/>
  <c r="I195" i="121"/>
  <c r="J193" i="121"/>
  <c r="F191" i="121"/>
  <c r="G189" i="121"/>
  <c r="J199" i="121"/>
  <c r="G195" i="121"/>
  <c r="I193" i="121"/>
  <c r="E191" i="121"/>
  <c r="I199" i="121"/>
  <c r="F195" i="121"/>
  <c r="C193" i="121"/>
  <c r="D191" i="121"/>
  <c r="G199" i="121"/>
  <c r="I197" i="121"/>
  <c r="E195" i="121"/>
  <c r="B193" i="121"/>
  <c r="C191" i="121"/>
  <c r="E199" i="121"/>
  <c r="C195" i="121"/>
  <c r="K192" i="121"/>
  <c r="M190" i="121"/>
  <c r="M200" i="121"/>
  <c r="M194" i="121"/>
  <c r="K191" i="121"/>
  <c r="K200" i="121"/>
  <c r="G194" i="121"/>
  <c r="J191" i="121"/>
  <c r="J200" i="121"/>
  <c r="M197" i="121"/>
  <c r="F194" i="121"/>
  <c r="I191" i="121"/>
  <c r="I200" i="121"/>
  <c r="E194" i="121"/>
  <c r="G191" i="121"/>
  <c r="G200" i="121"/>
  <c r="K196" i="121"/>
  <c r="B194" i="121"/>
  <c r="G190" i="121"/>
  <c r="I196" i="121"/>
  <c r="H192" i="121"/>
  <c r="H196" i="121"/>
  <c r="G192" i="121"/>
  <c r="G196" i="121"/>
  <c r="F192" i="121"/>
  <c r="F183" i="121"/>
  <c r="H200" i="121"/>
  <c r="F196" i="121"/>
  <c r="E192" i="121"/>
  <c r="F200" i="121"/>
  <c r="E196" i="121"/>
  <c r="B191" i="121"/>
  <c r="C199" i="121"/>
  <c r="B195" i="121"/>
  <c r="J196" i="121"/>
  <c r="K195" i="121"/>
  <c r="D195" i="121"/>
  <c r="C194" i="121"/>
  <c r="M192" i="121"/>
  <c r="I192" i="121"/>
  <c r="E200" i="121"/>
  <c r="F190" i="121"/>
  <c r="F199" i="121"/>
  <c r="E190" i="121"/>
  <c r="D199" i="121"/>
  <c r="B199" i="121"/>
  <c r="M189" i="121"/>
  <c r="L193" i="121"/>
  <c r="K193" i="121"/>
  <c r="J192" i="121"/>
  <c r="L189" i="121"/>
  <c r="I189" i="121"/>
  <c r="G198" i="121"/>
  <c r="F198" i="121"/>
  <c r="E198" i="121"/>
  <c r="M193" i="121"/>
  <c r="M198" i="121"/>
  <c r="M196" i="121"/>
  <c r="J195" i="121"/>
  <c r="H37" i="115"/>
  <c r="G36" i="115"/>
  <c r="I43" i="115"/>
  <c r="C173" i="121"/>
  <c r="B178" i="121"/>
  <c r="H179" i="121"/>
  <c r="F106" i="115"/>
  <c r="F119" i="115"/>
  <c r="G117" i="115"/>
  <c r="K112" i="115"/>
  <c r="G115" i="115"/>
  <c r="J110" i="115"/>
  <c r="D116" i="115"/>
  <c r="G113" i="115"/>
  <c r="K111" i="115"/>
  <c r="H114" i="115"/>
  <c r="C111" i="115"/>
  <c r="B114" i="115"/>
  <c r="B112" i="115"/>
  <c r="B113" i="115"/>
  <c r="H110" i="115"/>
  <c r="I115" i="115"/>
  <c r="C112" i="115"/>
  <c r="C118" i="115"/>
  <c r="F111" i="115"/>
  <c r="F117" i="115"/>
  <c r="C119" i="115"/>
  <c r="B119" i="115"/>
  <c r="K115" i="115"/>
  <c r="I111" i="115"/>
  <c r="F114" i="115"/>
  <c r="E117" i="115"/>
  <c r="E112" i="115"/>
  <c r="I114" i="115"/>
  <c r="H113" i="115"/>
  <c r="E119" i="115"/>
  <c r="G111" i="115"/>
  <c r="D115" i="115"/>
  <c r="I6" i="109"/>
  <c r="J6" i="109" s="1"/>
  <c r="L33" i="110"/>
  <c r="M33" i="110"/>
  <c r="L38" i="112"/>
  <c r="M38" i="112"/>
  <c r="F122" i="107"/>
  <c r="F136" i="107"/>
  <c r="G135" i="107"/>
  <c r="C136" i="107"/>
  <c r="G131" i="107"/>
  <c r="I132" i="107"/>
  <c r="I135" i="107"/>
  <c r="C127" i="107"/>
  <c r="I127" i="107"/>
  <c r="K128" i="107"/>
  <c r="G136" i="107"/>
  <c r="E127" i="107"/>
  <c r="B129" i="107"/>
  <c r="B134" i="107"/>
  <c r="F133" i="107"/>
  <c r="C133" i="107"/>
  <c r="J133" i="107"/>
  <c r="I131" i="107"/>
  <c r="G134" i="107"/>
  <c r="B133" i="107"/>
  <c r="C132" i="107"/>
  <c r="I129" i="107"/>
  <c r="F131" i="107"/>
  <c r="C128" i="107"/>
  <c r="K132" i="107"/>
  <c r="B136" i="107"/>
  <c r="I128" i="107"/>
  <c r="K131" i="107"/>
  <c r="H129" i="107"/>
  <c r="B132" i="107"/>
  <c r="G127" i="107"/>
  <c r="I136" i="107"/>
  <c r="B130" i="107"/>
  <c r="I130" i="107"/>
  <c r="J127" i="107"/>
  <c r="B128" i="107"/>
  <c r="D134" i="107"/>
  <c r="I134" i="107"/>
  <c r="H130" i="107"/>
  <c r="F128" i="107"/>
  <c r="G132" i="107"/>
  <c r="C134" i="107"/>
  <c r="B131" i="107"/>
  <c r="F132" i="107"/>
  <c r="F134" i="107"/>
  <c r="J131" i="107"/>
  <c r="E128" i="107"/>
  <c r="E132" i="107"/>
  <c r="J132" i="107"/>
  <c r="H136" i="107"/>
  <c r="D131" i="107"/>
  <c r="H127" i="107"/>
  <c r="G133" i="107"/>
  <c r="G130" i="107"/>
  <c r="E133" i="107"/>
  <c r="C130" i="107"/>
  <c r="J128" i="107"/>
  <c r="E131" i="107"/>
  <c r="J134" i="107"/>
  <c r="F127" i="107"/>
  <c r="F130" i="107"/>
  <c r="D127" i="107"/>
  <c r="D133" i="107"/>
  <c r="E134" i="107"/>
  <c r="C131" i="107"/>
  <c r="H135" i="107"/>
  <c r="D128" i="107"/>
  <c r="K133" i="107"/>
  <c r="B135" i="107"/>
  <c r="D132" i="107"/>
  <c r="K134" i="107"/>
  <c r="H128" i="107"/>
  <c r="H132" i="107"/>
  <c r="G128" i="107"/>
  <c r="C79" i="91"/>
  <c r="F72" i="117"/>
  <c r="J69" i="117"/>
  <c r="J334" i="83"/>
  <c r="J333" i="83"/>
  <c r="J332" i="83"/>
  <c r="J331" i="83"/>
  <c r="J330" i="83"/>
  <c r="J329" i="83"/>
  <c r="J328" i="83"/>
  <c r="J327" i="83"/>
  <c r="J326" i="83"/>
  <c r="J325" i="83"/>
  <c r="J324" i="83"/>
  <c r="J323" i="83"/>
  <c r="J322" i="83"/>
  <c r="J321" i="83"/>
  <c r="J320" i="83"/>
  <c r="J319" i="83"/>
  <c r="I334" i="83"/>
  <c r="I333" i="83"/>
  <c r="I332" i="83"/>
  <c r="I331" i="83"/>
  <c r="I330" i="83"/>
  <c r="I329" i="83"/>
  <c r="I328" i="83"/>
  <c r="I327" i="83"/>
  <c r="I326" i="83"/>
  <c r="I325" i="83"/>
  <c r="I324" i="83"/>
  <c r="I323" i="83"/>
  <c r="I322" i="83"/>
  <c r="I321" i="83"/>
  <c r="I320" i="83"/>
  <c r="I319" i="83"/>
  <c r="H334" i="83"/>
  <c r="H333" i="83"/>
  <c r="H332" i="83"/>
  <c r="H331" i="83"/>
  <c r="H330" i="83"/>
  <c r="G332" i="83"/>
  <c r="G331" i="83"/>
  <c r="G330" i="83"/>
  <c r="G329" i="83"/>
  <c r="G328" i="83"/>
  <c r="G327" i="83"/>
  <c r="G326" i="83"/>
  <c r="G325" i="83"/>
  <c r="G322" i="83"/>
  <c r="G321" i="83"/>
  <c r="G320" i="83"/>
  <c r="G319" i="83"/>
  <c r="F332" i="83"/>
  <c r="F331" i="83"/>
  <c r="F330" i="83"/>
  <c r="F329" i="83"/>
  <c r="F328" i="83"/>
  <c r="F327" i="83"/>
  <c r="F326" i="83"/>
  <c r="F325" i="83"/>
  <c r="F322" i="83"/>
  <c r="F321" i="83"/>
  <c r="F320" i="83"/>
  <c r="F319" i="83"/>
  <c r="B334" i="83"/>
  <c r="B333" i="83"/>
  <c r="B332" i="83"/>
  <c r="B331" i="83"/>
  <c r="B330" i="83"/>
  <c r="B329" i="83"/>
  <c r="B328" i="83"/>
  <c r="B327" i="83"/>
  <c r="B326" i="83"/>
  <c r="B325" i="83"/>
  <c r="B324" i="83"/>
  <c r="B323" i="83"/>
  <c r="B322" i="83"/>
  <c r="B321" i="83"/>
  <c r="B320" i="83"/>
  <c r="B319" i="83"/>
  <c r="F313" i="83"/>
  <c r="L334" i="83"/>
  <c r="P332" i="83"/>
  <c r="E331" i="83"/>
  <c r="N329" i="83"/>
  <c r="E328" i="83"/>
  <c r="O326" i="83"/>
  <c r="H325" i="83"/>
  <c r="K322" i="83"/>
  <c r="Q320" i="83"/>
  <c r="L319" i="83"/>
  <c r="K334" i="83"/>
  <c r="O332" i="83"/>
  <c r="D331" i="83"/>
  <c r="M329" i="83"/>
  <c r="D328" i="83"/>
  <c r="N326" i="83"/>
  <c r="E325" i="83"/>
  <c r="O323" i="83"/>
  <c r="H322" i="83"/>
  <c r="P320" i="83"/>
  <c r="K319" i="83"/>
  <c r="E334" i="83"/>
  <c r="N332" i="83"/>
  <c r="C331" i="83"/>
  <c r="L329" i="83"/>
  <c r="C328" i="83"/>
  <c r="M326" i="83"/>
  <c r="D325" i="83"/>
  <c r="N323" i="83"/>
  <c r="E322" i="83"/>
  <c r="O320" i="83"/>
  <c r="H319" i="83"/>
  <c r="D334" i="83"/>
  <c r="M332" i="83"/>
  <c r="Q330" i="83"/>
  <c r="K329" i="83"/>
  <c r="Q327" i="83"/>
  <c r="L326" i="83"/>
  <c r="C325" i="83"/>
  <c r="M323" i="83"/>
  <c r="D322" i="83"/>
  <c r="N320" i="83"/>
  <c r="E319" i="83"/>
  <c r="C334" i="83"/>
  <c r="L332" i="83"/>
  <c r="P330" i="83"/>
  <c r="H329" i="83"/>
  <c r="P327" i="83"/>
  <c r="K326" i="83"/>
  <c r="L323" i="83"/>
  <c r="C322" i="83"/>
  <c r="M320" i="83"/>
  <c r="D319" i="83"/>
  <c r="N333" i="83"/>
  <c r="C332" i="83"/>
  <c r="L330" i="83"/>
  <c r="Q328" i="83"/>
  <c r="L327" i="83"/>
  <c r="C326" i="83"/>
  <c r="M324" i="83"/>
  <c r="D323" i="83"/>
  <c r="N321" i="83"/>
  <c r="E320" i="83"/>
  <c r="K333" i="83"/>
  <c r="N330" i="83"/>
  <c r="L328" i="83"/>
  <c r="Q325" i="83"/>
  <c r="K321" i="83"/>
  <c r="Q332" i="83"/>
  <c r="D330" i="83"/>
  <c r="N327" i="83"/>
  <c r="M325" i="83"/>
  <c r="C323" i="83"/>
  <c r="C321" i="83"/>
  <c r="C333" i="83"/>
  <c r="Q329" i="83"/>
  <c r="E327" i="83"/>
  <c r="L324" i="83"/>
  <c r="P321" i="83"/>
  <c r="M319" i="83"/>
  <c r="K332" i="83"/>
  <c r="P329" i="83"/>
  <c r="D327" i="83"/>
  <c r="K324" i="83"/>
  <c r="O321" i="83"/>
  <c r="C319" i="83"/>
  <c r="E332" i="83"/>
  <c r="O329" i="83"/>
  <c r="C327" i="83"/>
  <c r="H324" i="83"/>
  <c r="M321" i="83"/>
  <c r="D332" i="83"/>
  <c r="E329" i="83"/>
  <c r="Q326" i="83"/>
  <c r="E324" i="83"/>
  <c r="L321" i="83"/>
  <c r="Q331" i="83"/>
  <c r="D329" i="83"/>
  <c r="P326" i="83"/>
  <c r="D324" i="83"/>
  <c r="H321" i="83"/>
  <c r="P331" i="83"/>
  <c r="C329" i="83"/>
  <c r="H326" i="83"/>
  <c r="C324" i="83"/>
  <c r="E321" i="83"/>
  <c r="D333" i="83"/>
  <c r="H328" i="83"/>
  <c r="H323" i="83"/>
  <c r="P319" i="83"/>
  <c r="O331" i="83"/>
  <c r="O327" i="83"/>
  <c r="E323" i="83"/>
  <c r="O319" i="83"/>
  <c r="N331" i="83"/>
  <c r="M327" i="83"/>
  <c r="Q322" i="83"/>
  <c r="N319" i="83"/>
  <c r="M331" i="83"/>
  <c r="K327" i="83"/>
  <c r="P322" i="83"/>
  <c r="L331" i="83"/>
  <c r="H327" i="83"/>
  <c r="O322" i="83"/>
  <c r="M334" i="83"/>
  <c r="E330" i="83"/>
  <c r="N325" i="83"/>
  <c r="D321" i="83"/>
  <c r="D326" i="83"/>
  <c r="D320" i="83"/>
  <c r="O333" i="83"/>
  <c r="P325" i="83"/>
  <c r="C320" i="83"/>
  <c r="M333" i="83"/>
  <c r="O325" i="83"/>
  <c r="Q319" i="83"/>
  <c r="L333" i="83"/>
  <c r="L325" i="83"/>
  <c r="E333" i="83"/>
  <c r="K325" i="83"/>
  <c r="K331" i="83"/>
  <c r="O330" i="83"/>
  <c r="Q321" i="83"/>
  <c r="M330" i="83"/>
  <c r="L320" i="83"/>
  <c r="K330" i="83"/>
  <c r="K320" i="83"/>
  <c r="C330" i="83"/>
  <c r="H320" i="83"/>
  <c r="P328" i="83"/>
  <c r="K328" i="83"/>
  <c r="N322" i="83"/>
  <c r="M322" i="83"/>
  <c r="L322" i="83"/>
  <c r="O334" i="83"/>
  <c r="N334" i="83"/>
  <c r="O328" i="83"/>
  <c r="O324" i="83"/>
  <c r="N324" i="83"/>
  <c r="K323" i="83"/>
  <c r="N328" i="83"/>
  <c r="M328" i="83"/>
  <c r="E326" i="83"/>
  <c r="M41" i="88"/>
  <c r="L41" i="88"/>
  <c r="E127" i="111"/>
  <c r="F163" i="57"/>
  <c r="E274" i="137"/>
  <c r="K11" i="137"/>
  <c r="I259" i="123"/>
  <c r="B45" i="143"/>
  <c r="E64" i="141"/>
  <c r="E151" i="141"/>
  <c r="H151" i="141"/>
  <c r="M233" i="139"/>
  <c r="B85" i="135"/>
  <c r="M37" i="124"/>
  <c r="L37" i="124"/>
  <c r="I16" i="135"/>
  <c r="J16" i="135" s="1"/>
  <c r="C44" i="133"/>
  <c r="I40" i="133"/>
  <c r="F43" i="133"/>
  <c r="M37" i="132"/>
  <c r="L37" i="132"/>
  <c r="F280" i="133"/>
  <c r="L227" i="139"/>
  <c r="C238" i="139"/>
  <c r="L229" i="139"/>
  <c r="H227" i="139"/>
  <c r="B233" i="139"/>
  <c r="J113" i="127"/>
  <c r="E119" i="127"/>
  <c r="L89" i="135"/>
  <c r="F89" i="135"/>
  <c r="D86" i="135"/>
  <c r="F186" i="135"/>
  <c r="E200" i="135"/>
  <c r="K200" i="135"/>
  <c r="H198" i="135"/>
  <c r="E197" i="135"/>
  <c r="B195" i="135"/>
  <c r="C193" i="135"/>
  <c r="I200" i="135"/>
  <c r="F199" i="135"/>
  <c r="I199" i="135"/>
  <c r="H189" i="135"/>
  <c r="M199" i="135"/>
  <c r="M191" i="135"/>
  <c r="M192" i="135"/>
  <c r="H192" i="135"/>
  <c r="H196" i="135"/>
  <c r="G198" i="135"/>
  <c r="D200" i="135"/>
  <c r="G196" i="135"/>
  <c r="E198" i="135"/>
  <c r="J196" i="135"/>
  <c r="K196" i="135"/>
  <c r="C199" i="135"/>
  <c r="B196" i="135"/>
  <c r="G199" i="135"/>
  <c r="B193" i="135"/>
  <c r="K194" i="135"/>
  <c r="F196" i="135"/>
  <c r="G197" i="135"/>
  <c r="F195" i="135"/>
  <c r="E195" i="135"/>
  <c r="E194" i="135"/>
  <c r="H197" i="135"/>
  <c r="D196" i="135"/>
  <c r="I195" i="135"/>
  <c r="E199" i="135"/>
  <c r="D193" i="135"/>
  <c r="F197" i="135"/>
  <c r="K199" i="135"/>
  <c r="M200" i="135"/>
  <c r="I190" i="135"/>
  <c r="M195" i="135"/>
  <c r="L200" i="135"/>
  <c r="G210" i="127"/>
  <c r="F210" i="127"/>
  <c r="N224" i="127"/>
  <c r="H68" i="135"/>
  <c r="H70" i="135"/>
  <c r="F64" i="135"/>
  <c r="H66" i="135"/>
  <c r="F71" i="135"/>
  <c r="L281" i="135"/>
  <c r="I276" i="135"/>
  <c r="G281" i="135"/>
  <c r="B281" i="135"/>
  <c r="F240" i="131"/>
  <c r="E229" i="131"/>
  <c r="B238" i="131"/>
  <c r="H240" i="131"/>
  <c r="F122" i="125"/>
  <c r="L35" i="130"/>
  <c r="M35" i="130"/>
  <c r="K177" i="123"/>
  <c r="I173" i="123"/>
  <c r="F106" i="123"/>
  <c r="H116" i="123"/>
  <c r="L111" i="123"/>
  <c r="D219" i="123"/>
  <c r="K213" i="123"/>
  <c r="I215" i="123"/>
  <c r="F200" i="135"/>
  <c r="I198" i="135"/>
  <c r="F153" i="125"/>
  <c r="I8" i="133"/>
  <c r="J8" i="133" s="1"/>
  <c r="G321" i="123"/>
  <c r="F321" i="123"/>
  <c r="I14" i="123"/>
  <c r="F145" i="115"/>
  <c r="H148" i="115"/>
  <c r="D154" i="115"/>
  <c r="D149" i="115"/>
  <c r="C153" i="115"/>
  <c r="F154" i="115"/>
  <c r="B154" i="115"/>
  <c r="I154" i="115"/>
  <c r="E150" i="115"/>
  <c r="C150" i="115"/>
  <c r="H149" i="115"/>
  <c r="H253" i="123"/>
  <c r="G258" i="123"/>
  <c r="F262" i="123"/>
  <c r="M261" i="123"/>
  <c r="K31" i="120"/>
  <c r="I147" i="123"/>
  <c r="M148" i="123"/>
  <c r="I153" i="123"/>
  <c r="M73" i="123"/>
  <c r="I72" i="123"/>
  <c r="E71" i="123"/>
  <c r="M69" i="123"/>
  <c r="I68" i="123"/>
  <c r="M65" i="123"/>
  <c r="I64" i="123"/>
  <c r="E63" i="123"/>
  <c r="L73" i="123"/>
  <c r="H72" i="123"/>
  <c r="D71" i="123"/>
  <c r="L69" i="123"/>
  <c r="M74" i="123"/>
  <c r="I73" i="123"/>
  <c r="E72" i="123"/>
  <c r="M70" i="123"/>
  <c r="I69" i="123"/>
  <c r="M66" i="123"/>
  <c r="I65" i="123"/>
  <c r="E64" i="123"/>
  <c r="J74" i="123"/>
  <c r="C73" i="123"/>
  <c r="H71" i="123"/>
  <c r="K69" i="123"/>
  <c r="J66" i="123"/>
  <c r="J63" i="123"/>
  <c r="I74" i="123"/>
  <c r="B73" i="123"/>
  <c r="G71" i="123"/>
  <c r="J69" i="123"/>
  <c r="C68" i="123"/>
  <c r="I66" i="123"/>
  <c r="C65" i="123"/>
  <c r="I63" i="123"/>
  <c r="H74" i="123"/>
  <c r="M72" i="123"/>
  <c r="F71" i="123"/>
  <c r="H69" i="123"/>
  <c r="B68" i="123"/>
  <c r="H66" i="123"/>
  <c r="B65" i="123"/>
  <c r="H63" i="123"/>
  <c r="G74" i="123"/>
  <c r="L72" i="123"/>
  <c r="C71" i="123"/>
  <c r="G69" i="123"/>
  <c r="M67" i="123"/>
  <c r="M64" i="123"/>
  <c r="G63" i="123"/>
  <c r="F74" i="123"/>
  <c r="K72" i="123"/>
  <c r="B71" i="123"/>
  <c r="F69" i="123"/>
  <c r="L67" i="123"/>
  <c r="L64" i="123"/>
  <c r="F63" i="123"/>
  <c r="B74" i="123"/>
  <c r="D72" i="123"/>
  <c r="I70" i="123"/>
  <c r="B69" i="123"/>
  <c r="H67" i="123"/>
  <c r="B66" i="123"/>
  <c r="G64" i="123"/>
  <c r="J73" i="123"/>
  <c r="L70" i="123"/>
  <c r="J68" i="123"/>
  <c r="C66" i="123"/>
  <c r="L63" i="123"/>
  <c r="H73" i="123"/>
  <c r="K70" i="123"/>
  <c r="H68" i="123"/>
  <c r="L65" i="123"/>
  <c r="K63" i="123"/>
  <c r="G73" i="123"/>
  <c r="J70" i="123"/>
  <c r="K65" i="123"/>
  <c r="D63" i="123"/>
  <c r="F73" i="123"/>
  <c r="H70" i="123"/>
  <c r="J65" i="123"/>
  <c r="C63" i="123"/>
  <c r="D73" i="123"/>
  <c r="F70" i="123"/>
  <c r="J67" i="123"/>
  <c r="J71" i="123"/>
  <c r="C64" i="123"/>
  <c r="L74" i="123"/>
  <c r="I71" i="123"/>
  <c r="B64" i="123"/>
  <c r="K74" i="123"/>
  <c r="G70" i="123"/>
  <c r="C67" i="123"/>
  <c r="M63" i="123"/>
  <c r="E74" i="123"/>
  <c r="E70" i="123"/>
  <c r="B67" i="123"/>
  <c r="B63" i="123"/>
  <c r="C74" i="123"/>
  <c r="C70" i="123"/>
  <c r="K66" i="123"/>
  <c r="C69" i="123"/>
  <c r="F64" i="123"/>
  <c r="D74" i="123"/>
  <c r="M68" i="123"/>
  <c r="D64" i="123"/>
  <c r="K73" i="123"/>
  <c r="L68" i="123"/>
  <c r="E73" i="123"/>
  <c r="K68" i="123"/>
  <c r="J72" i="123"/>
  <c r="K67" i="123"/>
  <c r="B72" i="123"/>
  <c r="M71" i="123"/>
  <c r="H64" i="123"/>
  <c r="L71" i="123"/>
  <c r="D70" i="123"/>
  <c r="F57" i="123"/>
  <c r="B70" i="123"/>
  <c r="H65" i="123"/>
  <c r="K64" i="123"/>
  <c r="G72" i="123"/>
  <c r="F72" i="123"/>
  <c r="C72" i="123"/>
  <c r="K71" i="123"/>
  <c r="E69" i="123"/>
  <c r="D69" i="123"/>
  <c r="J64" i="123"/>
  <c r="I67" i="123"/>
  <c r="L66" i="123"/>
  <c r="L149" i="131"/>
  <c r="F147" i="131"/>
  <c r="F151" i="131"/>
  <c r="D146" i="131"/>
  <c r="B151" i="131"/>
  <c r="K49" i="123"/>
  <c r="H51" i="123"/>
  <c r="E47" i="123"/>
  <c r="B46" i="123"/>
  <c r="H15" i="123"/>
  <c r="F136" i="123"/>
  <c r="M129" i="123"/>
  <c r="M127" i="123"/>
  <c r="B130" i="121"/>
  <c r="B136" i="121"/>
  <c r="D129" i="121"/>
  <c r="J129" i="121"/>
  <c r="C455" i="123"/>
  <c r="B141" i="123"/>
  <c r="E455" i="123"/>
  <c r="I13" i="121"/>
  <c r="E221" i="121"/>
  <c r="M217" i="121"/>
  <c r="J219" i="121"/>
  <c r="H49" i="131"/>
  <c r="M51" i="131"/>
  <c r="H196" i="131"/>
  <c r="D195" i="131"/>
  <c r="L193" i="131"/>
  <c r="H192" i="131"/>
  <c r="D191" i="131"/>
  <c r="L189" i="131"/>
  <c r="H188" i="131"/>
  <c r="D187" i="131"/>
  <c r="J197" i="131"/>
  <c r="E196" i="131"/>
  <c r="L194" i="131"/>
  <c r="G193" i="131"/>
  <c r="B192" i="131"/>
  <c r="I190" i="131"/>
  <c r="D189" i="131"/>
  <c r="K187" i="131"/>
  <c r="L196" i="131"/>
  <c r="F195" i="131"/>
  <c r="K193" i="131"/>
  <c r="E192" i="131"/>
  <c r="K190" i="131"/>
  <c r="E189" i="131"/>
  <c r="J187" i="131"/>
  <c r="E198" i="131"/>
  <c r="K196" i="131"/>
  <c r="E195" i="131"/>
  <c r="J193" i="131"/>
  <c r="D192" i="131"/>
  <c r="J190" i="131"/>
  <c r="C189" i="131"/>
  <c r="I187" i="131"/>
  <c r="D198" i="131"/>
  <c r="J196" i="131"/>
  <c r="C195" i="131"/>
  <c r="I193" i="131"/>
  <c r="C192" i="131"/>
  <c r="H190" i="131"/>
  <c r="B189" i="131"/>
  <c r="H187" i="131"/>
  <c r="C198" i="131"/>
  <c r="I196" i="131"/>
  <c r="B195" i="131"/>
  <c r="H193" i="131"/>
  <c r="G190" i="131"/>
  <c r="M188" i="131"/>
  <c r="G187" i="131"/>
  <c r="B198" i="131"/>
  <c r="G196" i="131"/>
  <c r="M194" i="131"/>
  <c r="F193" i="131"/>
  <c r="F190" i="131"/>
  <c r="L188" i="131"/>
  <c r="F187" i="131"/>
  <c r="H197" i="131"/>
  <c r="B196" i="131"/>
  <c r="H194" i="131"/>
  <c r="B193" i="131"/>
  <c r="H191" i="131"/>
  <c r="B190" i="131"/>
  <c r="G188" i="131"/>
  <c r="B197" i="131"/>
  <c r="F194" i="131"/>
  <c r="K191" i="131"/>
  <c r="I189" i="131"/>
  <c r="B187" i="131"/>
  <c r="M196" i="131"/>
  <c r="E194" i="131"/>
  <c r="J191" i="131"/>
  <c r="H189" i="131"/>
  <c r="F196" i="131"/>
  <c r="D194" i="131"/>
  <c r="I191" i="131"/>
  <c r="G189" i="131"/>
  <c r="K198" i="131"/>
  <c r="D196" i="131"/>
  <c r="C194" i="131"/>
  <c r="F189" i="131"/>
  <c r="J198" i="131"/>
  <c r="C196" i="131"/>
  <c r="B194" i="131"/>
  <c r="K188" i="131"/>
  <c r="J195" i="131"/>
  <c r="C193" i="131"/>
  <c r="M190" i="131"/>
  <c r="E188" i="131"/>
  <c r="F181" i="131"/>
  <c r="H195" i="131"/>
  <c r="E191" i="131"/>
  <c r="M187" i="131"/>
  <c r="G195" i="131"/>
  <c r="C191" i="131"/>
  <c r="L187" i="131"/>
  <c r="I198" i="131"/>
  <c r="K194" i="131"/>
  <c r="B191" i="131"/>
  <c r="E187" i="131"/>
  <c r="H198" i="131"/>
  <c r="J194" i="131"/>
  <c r="L190" i="131"/>
  <c r="C187" i="131"/>
  <c r="I194" i="131"/>
  <c r="E190" i="131"/>
  <c r="L195" i="131"/>
  <c r="M189" i="131"/>
  <c r="K195" i="131"/>
  <c r="K189" i="131"/>
  <c r="I195" i="131"/>
  <c r="J189" i="131"/>
  <c r="G194" i="131"/>
  <c r="J188" i="131"/>
  <c r="M193" i="131"/>
  <c r="I188" i="131"/>
  <c r="K197" i="131"/>
  <c r="B188" i="131"/>
  <c r="D190" i="131"/>
  <c r="I197" i="131"/>
  <c r="C190" i="131"/>
  <c r="F188" i="131"/>
  <c r="D188" i="131"/>
  <c r="D197" i="131"/>
  <c r="E197" i="131"/>
  <c r="C197" i="131"/>
  <c r="M195" i="131"/>
  <c r="E193" i="131"/>
  <c r="J192" i="131"/>
  <c r="I192" i="131"/>
  <c r="C188" i="131"/>
  <c r="D193" i="131"/>
  <c r="K192" i="131"/>
  <c r="M28" i="118"/>
  <c r="L28" i="118"/>
  <c r="I12" i="119"/>
  <c r="J12" i="119"/>
  <c r="F149" i="115"/>
  <c r="F38" i="115"/>
  <c r="J173" i="121"/>
  <c r="F169" i="121"/>
  <c r="M168" i="121"/>
  <c r="E361" i="115"/>
  <c r="N10" i="115"/>
  <c r="A324" i="115" s="1"/>
  <c r="J10" i="115"/>
  <c r="E486" i="119"/>
  <c r="J8" i="119"/>
  <c r="K8" i="119"/>
  <c r="F58" i="97"/>
  <c r="G72" i="97"/>
  <c r="K68" i="97"/>
  <c r="C72" i="97"/>
  <c r="B72" i="97"/>
  <c r="L64" i="97"/>
  <c r="M71" i="97"/>
  <c r="K64" i="97"/>
  <c r="L74" i="97"/>
  <c r="G71" i="97"/>
  <c r="C68" i="97"/>
  <c r="G64" i="97"/>
  <c r="H74" i="97"/>
  <c r="G70" i="97"/>
  <c r="K66" i="97"/>
  <c r="J63" i="97"/>
  <c r="B71" i="97"/>
  <c r="H70" i="97"/>
  <c r="L65" i="97"/>
  <c r="F70" i="97"/>
  <c r="H65" i="97"/>
  <c r="E70" i="97"/>
  <c r="M63" i="97"/>
  <c r="D70" i="97"/>
  <c r="L63" i="97"/>
  <c r="B73" i="97"/>
  <c r="J66" i="97"/>
  <c r="C70" i="97"/>
  <c r="L69" i="97"/>
  <c r="M68" i="97"/>
  <c r="L68" i="97"/>
  <c r="B68" i="97"/>
  <c r="M67" i="97"/>
  <c r="J74" i="97"/>
  <c r="G63" i="97"/>
  <c r="I74" i="97"/>
  <c r="F74" i="97"/>
  <c r="F73" i="97"/>
  <c r="E73" i="97"/>
  <c r="K67" i="97"/>
  <c r="M72" i="97"/>
  <c r="K72" i="97"/>
  <c r="D71" i="97"/>
  <c r="I66" i="97"/>
  <c r="K74" i="97"/>
  <c r="D73" i="97"/>
  <c r="K63" i="97"/>
  <c r="I63" i="97"/>
  <c r="H63" i="97"/>
  <c r="C73" i="97"/>
  <c r="F69" i="97"/>
  <c r="J71" i="97"/>
  <c r="J68" i="97"/>
  <c r="E72" i="97"/>
  <c r="L70" i="97"/>
  <c r="I67" i="97"/>
  <c r="I71" i="97"/>
  <c r="M70" i="97"/>
  <c r="E69" i="97"/>
  <c r="J65" i="97"/>
  <c r="K69" i="97"/>
  <c r="H73" i="97"/>
  <c r="B66" i="97"/>
  <c r="I69" i="97"/>
  <c r="J67" i="97"/>
  <c r="B64" i="97"/>
  <c r="L71" i="97"/>
  <c r="J64" i="97"/>
  <c r="C66" i="97"/>
  <c r="C63" i="97"/>
  <c r="D74" i="97"/>
  <c r="L66" i="97"/>
  <c r="B67" i="97"/>
  <c r="F71" i="97"/>
  <c r="E64" i="97"/>
  <c r="K65" i="97"/>
  <c r="D69" i="97"/>
  <c r="B70" i="97"/>
  <c r="G74" i="97"/>
  <c r="C64" i="97"/>
  <c r="D64" i="97"/>
  <c r="H71" i="97"/>
  <c r="F63" i="97"/>
  <c r="L72" i="97"/>
  <c r="L73" i="97"/>
  <c r="H68" i="97"/>
  <c r="B63" i="97"/>
  <c r="I72" i="97"/>
  <c r="G69" i="97"/>
  <c r="I70" i="97"/>
  <c r="M65" i="97"/>
  <c r="H72" i="97"/>
  <c r="K71" i="97"/>
  <c r="G73" i="97"/>
  <c r="J72" i="97"/>
  <c r="E74" i="97"/>
  <c r="M73" i="97"/>
  <c r="F64" i="97"/>
  <c r="E71" i="97"/>
  <c r="C74" i="97"/>
  <c r="M69" i="97"/>
  <c r="F72" i="97"/>
  <c r="I68" i="97"/>
  <c r="J70" i="97"/>
  <c r="C69" i="97"/>
  <c r="I73" i="97"/>
  <c r="C67" i="97"/>
  <c r="L67" i="97"/>
  <c r="M64" i="97"/>
  <c r="B74" i="97"/>
  <c r="H64" i="97"/>
  <c r="I7" i="99"/>
  <c r="J7" i="99" s="1"/>
  <c r="C67" i="117"/>
  <c r="G71" i="117"/>
  <c r="E389" i="91"/>
  <c r="N6" i="91"/>
  <c r="A316" i="91" s="1"/>
  <c r="J6" i="91"/>
  <c r="E276" i="95"/>
  <c r="N10" i="95"/>
  <c r="A255" i="95" s="1"/>
  <c r="B122" i="111"/>
  <c r="D103" i="85"/>
  <c r="I14" i="69"/>
  <c r="K14" i="69" s="1"/>
  <c r="I8" i="39"/>
  <c r="J93" i="143"/>
  <c r="F92" i="143"/>
  <c r="B91" i="143"/>
  <c r="F88" i="143"/>
  <c r="B87" i="143"/>
  <c r="J85" i="143"/>
  <c r="F84" i="143"/>
  <c r="B83" i="143"/>
  <c r="M93" i="143"/>
  <c r="H92" i="143"/>
  <c r="C91" i="143"/>
  <c r="D88" i="143"/>
  <c r="K86" i="143"/>
  <c r="F85" i="143"/>
  <c r="M83" i="143"/>
  <c r="H82" i="143"/>
  <c r="G93" i="143"/>
  <c r="B92" i="143"/>
  <c r="D89" i="143"/>
  <c r="K87" i="143"/>
  <c r="F86" i="143"/>
  <c r="M84" i="143"/>
  <c r="H83" i="143"/>
  <c r="C82" i="143"/>
  <c r="F76" i="143"/>
  <c r="D93" i="143"/>
  <c r="B90" i="143"/>
  <c r="G88" i="143"/>
  <c r="J86" i="143"/>
  <c r="C85" i="143"/>
  <c r="G83" i="143"/>
  <c r="K92" i="143"/>
  <c r="D91" i="143"/>
  <c r="G89" i="143"/>
  <c r="L87" i="143"/>
  <c r="D86" i="143"/>
  <c r="I84" i="143"/>
  <c r="M82" i="143"/>
  <c r="I92" i="143"/>
  <c r="L88" i="143"/>
  <c r="C87" i="143"/>
  <c r="D85" i="143"/>
  <c r="E83" i="143"/>
  <c r="G92" i="143"/>
  <c r="M86" i="143"/>
  <c r="B85" i="143"/>
  <c r="D83" i="143"/>
  <c r="B93" i="143"/>
  <c r="L90" i="143"/>
  <c r="H86" i="143"/>
  <c r="G84" i="143"/>
  <c r="F82" i="143"/>
  <c r="L92" i="143"/>
  <c r="G90" i="143"/>
  <c r="E86" i="143"/>
  <c r="D84" i="143"/>
  <c r="D82" i="143"/>
  <c r="D92" i="143"/>
  <c r="D90" i="143"/>
  <c r="B88" i="143"/>
  <c r="M85" i="143"/>
  <c r="L83" i="143"/>
  <c r="C92" i="143"/>
  <c r="E87" i="143"/>
  <c r="H84" i="143"/>
  <c r="L91" i="143"/>
  <c r="F89" i="143"/>
  <c r="L86" i="143"/>
  <c r="C84" i="143"/>
  <c r="E92" i="143"/>
  <c r="E89" i="143"/>
  <c r="C86" i="143"/>
  <c r="F83" i="143"/>
  <c r="M91" i="143"/>
  <c r="C89" i="143"/>
  <c r="B86" i="143"/>
  <c r="C83" i="143"/>
  <c r="I85" i="143"/>
  <c r="J82" i="143"/>
  <c r="F91" i="143"/>
  <c r="I87" i="143"/>
  <c r="B84" i="143"/>
  <c r="F87" i="143"/>
  <c r="I83" i="143"/>
  <c r="H93" i="143"/>
  <c r="E85" i="143"/>
  <c r="E91" i="143"/>
  <c r="I86" i="143"/>
  <c r="E82" i="143"/>
  <c r="M90" i="143"/>
  <c r="G86" i="143"/>
  <c r="B82" i="143"/>
  <c r="F90" i="143"/>
  <c r="L85" i="143"/>
  <c r="E90" i="143"/>
  <c r="K85" i="143"/>
  <c r="C90" i="143"/>
  <c r="H85" i="143"/>
  <c r="L93" i="143"/>
  <c r="M89" i="143"/>
  <c r="G85" i="143"/>
  <c r="M92" i="143"/>
  <c r="K84" i="143"/>
  <c r="E88" i="143"/>
  <c r="C88" i="143"/>
  <c r="M87" i="143"/>
  <c r="J87" i="143"/>
  <c r="K93" i="143"/>
  <c r="H87" i="143"/>
  <c r="C93" i="143"/>
  <c r="J84" i="143"/>
  <c r="L84" i="143"/>
  <c r="E84" i="143"/>
  <c r="K83" i="143"/>
  <c r="J83" i="143"/>
  <c r="I93" i="143"/>
  <c r="L82" i="143"/>
  <c r="K82" i="143"/>
  <c r="I82" i="143"/>
  <c r="G82" i="143"/>
  <c r="J92" i="143"/>
  <c r="F93" i="143"/>
  <c r="E93" i="143"/>
  <c r="G91" i="143"/>
  <c r="G87" i="143"/>
  <c r="B89" i="143"/>
  <c r="D87" i="143"/>
  <c r="L89" i="143"/>
  <c r="M88" i="143"/>
  <c r="I12" i="135"/>
  <c r="J12" i="135" s="1"/>
  <c r="M30" i="142"/>
  <c r="L30" i="142"/>
  <c r="I145" i="141"/>
  <c r="E148" i="141"/>
  <c r="B130" i="139"/>
  <c r="B238" i="139"/>
  <c r="F86" i="135"/>
  <c r="C60" i="129"/>
  <c r="G58" i="129"/>
  <c r="K56" i="129"/>
  <c r="I53" i="129"/>
  <c r="C52" i="129"/>
  <c r="H59" i="129"/>
  <c r="K57" i="129"/>
  <c r="J52" i="129"/>
  <c r="J160" i="129" s="1"/>
  <c r="K199" i="129" s="1"/>
  <c r="C51" i="129"/>
  <c r="F45" i="129"/>
  <c r="G59" i="129"/>
  <c r="I57" i="129"/>
  <c r="K55" i="129"/>
  <c r="C54" i="129"/>
  <c r="E52" i="129"/>
  <c r="D59" i="129"/>
  <c r="F57" i="129"/>
  <c r="H55" i="129"/>
  <c r="J53" i="129"/>
  <c r="K51" i="129"/>
  <c r="K60" i="129"/>
  <c r="C59" i="129"/>
  <c r="E57" i="129"/>
  <c r="H53" i="129"/>
  <c r="J51" i="129"/>
  <c r="G60" i="129"/>
  <c r="I58" i="129"/>
  <c r="J56" i="129"/>
  <c r="B55" i="129"/>
  <c r="F51" i="129"/>
  <c r="H58" i="129"/>
  <c r="K53" i="129"/>
  <c r="E51" i="129"/>
  <c r="J60" i="129"/>
  <c r="F58" i="129"/>
  <c r="C56" i="129"/>
  <c r="D51" i="129"/>
  <c r="I60" i="129"/>
  <c r="E58" i="129"/>
  <c r="B56" i="129"/>
  <c r="B51" i="129"/>
  <c r="H60" i="129"/>
  <c r="D58" i="129"/>
  <c r="J55" i="129"/>
  <c r="F60" i="129"/>
  <c r="C58" i="129"/>
  <c r="I55" i="129"/>
  <c r="C53" i="129"/>
  <c r="J57" i="129"/>
  <c r="H54" i="129"/>
  <c r="H57" i="129"/>
  <c r="G57" i="129"/>
  <c r="D57" i="129"/>
  <c r="E60" i="129"/>
  <c r="C57" i="129"/>
  <c r="B54" i="129"/>
  <c r="J59" i="129"/>
  <c r="H52" i="129"/>
  <c r="B59" i="129"/>
  <c r="I52" i="129"/>
  <c r="K58" i="129"/>
  <c r="G52" i="129"/>
  <c r="J58" i="129"/>
  <c r="F52" i="129"/>
  <c r="B58" i="129"/>
  <c r="D52" i="129"/>
  <c r="I56" i="129"/>
  <c r="I51" i="129"/>
  <c r="K54" i="129"/>
  <c r="J54" i="129"/>
  <c r="I54" i="129"/>
  <c r="B53" i="129"/>
  <c r="B60" i="129"/>
  <c r="B52" i="129"/>
  <c r="G51" i="129"/>
  <c r="D60" i="129"/>
  <c r="K59" i="129"/>
  <c r="B57" i="129"/>
  <c r="F59" i="129"/>
  <c r="E59" i="129"/>
  <c r="K52" i="129"/>
  <c r="H51" i="129"/>
  <c r="I59" i="129"/>
  <c r="H56" i="129"/>
  <c r="C55" i="129"/>
  <c r="K48" i="143"/>
  <c r="D66" i="141"/>
  <c r="K129" i="139"/>
  <c r="F301" i="141"/>
  <c r="P317" i="141"/>
  <c r="G301" i="141"/>
  <c r="J274" i="135"/>
  <c r="D278" i="135"/>
  <c r="J48" i="143"/>
  <c r="L40" i="140"/>
  <c r="M40" i="140"/>
  <c r="G152" i="141"/>
  <c r="K148" i="141"/>
  <c r="I153" i="141"/>
  <c r="E188" i="141"/>
  <c r="K125" i="139"/>
  <c r="K132" i="139"/>
  <c r="I125" i="139"/>
  <c r="G47" i="139"/>
  <c r="D84" i="135"/>
  <c r="L230" i="131"/>
  <c r="M34" i="128"/>
  <c r="L34" i="128"/>
  <c r="E50" i="131"/>
  <c r="L51" i="131"/>
  <c r="J50" i="131"/>
  <c r="M38" i="116"/>
  <c r="L38" i="116"/>
  <c r="L31" i="110"/>
  <c r="M31" i="110"/>
  <c r="I11" i="117"/>
  <c r="J11" i="117" s="1"/>
  <c r="J156" i="99"/>
  <c r="F155" i="99"/>
  <c r="B154" i="99"/>
  <c r="J152" i="99"/>
  <c r="F151" i="99"/>
  <c r="B150" i="99"/>
  <c r="F147" i="99"/>
  <c r="B146" i="99"/>
  <c r="I156" i="99"/>
  <c r="E155" i="99"/>
  <c r="M153" i="99"/>
  <c r="I152" i="99"/>
  <c r="E151" i="99"/>
  <c r="M149" i="99"/>
  <c r="I148" i="99"/>
  <c r="E147" i="99"/>
  <c r="M145" i="99"/>
  <c r="E156" i="99"/>
  <c r="M154" i="99"/>
  <c r="I153" i="99"/>
  <c r="E152" i="99"/>
  <c r="M150" i="99"/>
  <c r="I149" i="99"/>
  <c r="M146" i="99"/>
  <c r="I145" i="99"/>
  <c r="J155" i="99"/>
  <c r="C154" i="99"/>
  <c r="F152" i="99"/>
  <c r="J150" i="99"/>
  <c r="C149" i="99"/>
  <c r="H147" i="99"/>
  <c r="K145" i="99"/>
  <c r="I155" i="99"/>
  <c r="L153" i="99"/>
  <c r="D152" i="99"/>
  <c r="I150" i="99"/>
  <c r="B149" i="99"/>
  <c r="G147" i="99"/>
  <c r="J145" i="99"/>
  <c r="H155" i="99"/>
  <c r="C152" i="99"/>
  <c r="H150" i="99"/>
  <c r="M148" i="99"/>
  <c r="H145" i="99"/>
  <c r="G155" i="99"/>
  <c r="B152" i="99"/>
  <c r="G150" i="99"/>
  <c r="L148" i="99"/>
  <c r="C147" i="99"/>
  <c r="G145" i="99"/>
  <c r="M156" i="99"/>
  <c r="D155" i="99"/>
  <c r="H153" i="99"/>
  <c r="M151" i="99"/>
  <c r="F150" i="99"/>
  <c r="B147" i="99"/>
  <c r="F145" i="99"/>
  <c r="L156" i="99"/>
  <c r="C155" i="99"/>
  <c r="G153" i="99"/>
  <c r="L151" i="99"/>
  <c r="E150" i="99"/>
  <c r="H148" i="99"/>
  <c r="L146" i="99"/>
  <c r="E145" i="99"/>
  <c r="F139" i="99"/>
  <c r="G156" i="99"/>
  <c r="G151" i="99"/>
  <c r="G148" i="99"/>
  <c r="E146" i="99"/>
  <c r="F156" i="99"/>
  <c r="D151" i="99"/>
  <c r="F148" i="99"/>
  <c r="D146" i="99"/>
  <c r="D156" i="99"/>
  <c r="F153" i="99"/>
  <c r="C151" i="99"/>
  <c r="C146" i="99"/>
  <c r="C156" i="99"/>
  <c r="B151" i="99"/>
  <c r="C148" i="99"/>
  <c r="L145" i="99"/>
  <c r="B156" i="99"/>
  <c r="L150" i="99"/>
  <c r="B148" i="99"/>
  <c r="D145" i="99"/>
  <c r="B155" i="99"/>
  <c r="L152" i="99"/>
  <c r="L149" i="99"/>
  <c r="C153" i="99"/>
  <c r="G149" i="99"/>
  <c r="B153" i="99"/>
  <c r="F149" i="99"/>
  <c r="M152" i="99"/>
  <c r="E149" i="99"/>
  <c r="K152" i="99"/>
  <c r="D149" i="99"/>
  <c r="K156" i="99"/>
  <c r="H152" i="99"/>
  <c r="M147" i="99"/>
  <c r="K155" i="99"/>
  <c r="I151" i="99"/>
  <c r="K146" i="99"/>
  <c r="F154" i="99"/>
  <c r="H146" i="99"/>
  <c r="G152" i="99"/>
  <c r="G146" i="99"/>
  <c r="K151" i="99"/>
  <c r="F146" i="99"/>
  <c r="J151" i="99"/>
  <c r="C145" i="99"/>
  <c r="H151" i="99"/>
  <c r="B145" i="99"/>
  <c r="J149" i="99"/>
  <c r="H149" i="99"/>
  <c r="L147" i="99"/>
  <c r="I147" i="99"/>
  <c r="H156" i="99"/>
  <c r="J146" i="99"/>
  <c r="M155" i="99"/>
  <c r="I146" i="99"/>
  <c r="G154" i="99"/>
  <c r="K150" i="99"/>
  <c r="D150" i="99"/>
  <c r="C150" i="99"/>
  <c r="K149" i="99"/>
  <c r="L155" i="99"/>
  <c r="L154" i="99"/>
  <c r="I154" i="99"/>
  <c r="H154" i="99"/>
  <c r="L30" i="94"/>
  <c r="M30" i="94"/>
  <c r="E242" i="105"/>
  <c r="K6" i="105"/>
  <c r="N6" i="105"/>
  <c r="A201" i="105" s="1"/>
  <c r="J6" i="105"/>
  <c r="L39" i="82"/>
  <c r="M39" i="82"/>
  <c r="C255" i="95"/>
  <c r="B92" i="95"/>
  <c r="E255" i="95"/>
  <c r="I12" i="91"/>
  <c r="J12" i="91" s="1"/>
  <c r="B359" i="83"/>
  <c r="B358" i="83"/>
  <c r="B357" i="83"/>
  <c r="B356" i="83"/>
  <c r="B355" i="83"/>
  <c r="B354" i="83"/>
  <c r="B353" i="83"/>
  <c r="B352" i="83"/>
  <c r="B351" i="83"/>
  <c r="B350" i="83"/>
  <c r="B349" i="83"/>
  <c r="B348" i="83"/>
  <c r="B347" i="83"/>
  <c r="B346" i="83"/>
  <c r="B345" i="83"/>
  <c r="B344" i="83"/>
  <c r="F338" i="83"/>
  <c r="Q357" i="83"/>
  <c r="Q356" i="83"/>
  <c r="Q355" i="83"/>
  <c r="Q354" i="83"/>
  <c r="Q353" i="83"/>
  <c r="Q352" i="83"/>
  <c r="Q349" i="83"/>
  <c r="Q348" i="83"/>
  <c r="Q347" i="83"/>
  <c r="Q346" i="83"/>
  <c r="Q345" i="83"/>
  <c r="Q344" i="83"/>
  <c r="P357" i="83"/>
  <c r="P356" i="83"/>
  <c r="P355" i="83"/>
  <c r="P354" i="83"/>
  <c r="P353" i="83"/>
  <c r="P352" i="83"/>
  <c r="P349" i="83"/>
  <c r="P348" i="83"/>
  <c r="P347" i="83"/>
  <c r="P346" i="83"/>
  <c r="P345" i="83"/>
  <c r="P344" i="83"/>
  <c r="O359" i="83"/>
  <c r="O358" i="83"/>
  <c r="O357" i="83"/>
  <c r="O356" i="83"/>
  <c r="O355" i="83"/>
  <c r="O354" i="83"/>
  <c r="O353" i="83"/>
  <c r="O352" i="83"/>
  <c r="O351" i="83"/>
  <c r="O350" i="83"/>
  <c r="O349" i="83"/>
  <c r="O348" i="83"/>
  <c r="O347" i="83"/>
  <c r="O346" i="83"/>
  <c r="O345" i="83"/>
  <c r="O344" i="83"/>
  <c r="N359" i="83"/>
  <c r="N358" i="83"/>
  <c r="N357" i="83"/>
  <c r="N356" i="83"/>
  <c r="N355" i="83"/>
  <c r="N354" i="83"/>
  <c r="N353" i="83"/>
  <c r="N352" i="83"/>
  <c r="N351" i="83"/>
  <c r="N350" i="83"/>
  <c r="N349" i="83"/>
  <c r="N348" i="83"/>
  <c r="N347" i="83"/>
  <c r="N346" i="83"/>
  <c r="N345" i="83"/>
  <c r="N344" i="83"/>
  <c r="J359" i="83"/>
  <c r="J358" i="83"/>
  <c r="J357" i="83"/>
  <c r="J356" i="83"/>
  <c r="J355" i="83"/>
  <c r="J354" i="83"/>
  <c r="J353" i="83"/>
  <c r="J352" i="83"/>
  <c r="J351" i="83"/>
  <c r="J350" i="83"/>
  <c r="J349" i="83"/>
  <c r="J348" i="83"/>
  <c r="J347" i="83"/>
  <c r="J346" i="83"/>
  <c r="J345" i="83"/>
  <c r="J344" i="83"/>
  <c r="K359" i="83"/>
  <c r="D358" i="83"/>
  <c r="H356" i="83"/>
  <c r="M354" i="83"/>
  <c r="F353" i="83"/>
  <c r="K351" i="83"/>
  <c r="D350" i="83"/>
  <c r="H348" i="83"/>
  <c r="M346" i="83"/>
  <c r="F345" i="83"/>
  <c r="C358" i="83"/>
  <c r="G356" i="83"/>
  <c r="L354" i="83"/>
  <c r="E353" i="83"/>
  <c r="C350" i="83"/>
  <c r="G348" i="83"/>
  <c r="L346" i="83"/>
  <c r="E345" i="83"/>
  <c r="M357" i="83"/>
  <c r="F356" i="83"/>
  <c r="K354" i="83"/>
  <c r="D353" i="83"/>
  <c r="M349" i="83"/>
  <c r="F348" i="83"/>
  <c r="K346" i="83"/>
  <c r="D345" i="83"/>
  <c r="G359" i="83"/>
  <c r="L357" i="83"/>
  <c r="E356" i="83"/>
  <c r="I354" i="83"/>
  <c r="C353" i="83"/>
  <c r="G351" i="83"/>
  <c r="L349" i="83"/>
  <c r="E348" i="83"/>
  <c r="I346" i="83"/>
  <c r="C345" i="83"/>
  <c r="F359" i="83"/>
  <c r="K357" i="83"/>
  <c r="D356" i="83"/>
  <c r="H354" i="83"/>
  <c r="M352" i="83"/>
  <c r="F351" i="83"/>
  <c r="K349" i="83"/>
  <c r="D348" i="83"/>
  <c r="H346" i="83"/>
  <c r="M344" i="83"/>
  <c r="M358" i="83"/>
  <c r="F357" i="83"/>
  <c r="K355" i="83"/>
  <c r="D354" i="83"/>
  <c r="H352" i="83"/>
  <c r="M350" i="83"/>
  <c r="F349" i="83"/>
  <c r="K347" i="83"/>
  <c r="D346" i="83"/>
  <c r="H344" i="83"/>
  <c r="L358" i="83"/>
  <c r="I356" i="83"/>
  <c r="L353" i="83"/>
  <c r="D351" i="83"/>
  <c r="L348" i="83"/>
  <c r="C346" i="83"/>
  <c r="G358" i="83"/>
  <c r="I355" i="83"/>
  <c r="G353" i="83"/>
  <c r="M347" i="83"/>
  <c r="I345" i="83"/>
  <c r="I357" i="83"/>
  <c r="D355" i="83"/>
  <c r="D352" i="83"/>
  <c r="D349" i="83"/>
  <c r="E346" i="83"/>
  <c r="H357" i="83"/>
  <c r="C355" i="83"/>
  <c r="C352" i="83"/>
  <c r="C349" i="83"/>
  <c r="M345" i="83"/>
  <c r="G357" i="83"/>
  <c r="G354" i="83"/>
  <c r="M351" i="83"/>
  <c r="M348" i="83"/>
  <c r="L345" i="83"/>
  <c r="E357" i="83"/>
  <c r="F354" i="83"/>
  <c r="L351" i="83"/>
  <c r="K348" i="83"/>
  <c r="K345" i="83"/>
  <c r="D357" i="83"/>
  <c r="E354" i="83"/>
  <c r="E351" i="83"/>
  <c r="I348" i="83"/>
  <c r="H345" i="83"/>
  <c r="C357" i="83"/>
  <c r="C354" i="83"/>
  <c r="C351" i="83"/>
  <c r="C348" i="83"/>
  <c r="G345" i="83"/>
  <c r="I353" i="83"/>
  <c r="G349" i="83"/>
  <c r="F344" i="83"/>
  <c r="H353" i="83"/>
  <c r="E349" i="83"/>
  <c r="E344" i="83"/>
  <c r="F358" i="83"/>
  <c r="L352" i="83"/>
  <c r="L347" i="83"/>
  <c r="D344" i="83"/>
  <c r="E358" i="83"/>
  <c r="K352" i="83"/>
  <c r="I347" i="83"/>
  <c r="C344" i="83"/>
  <c r="M356" i="83"/>
  <c r="I352" i="83"/>
  <c r="H347" i="83"/>
  <c r="L355" i="83"/>
  <c r="K350" i="83"/>
  <c r="C347" i="83"/>
  <c r="M355" i="83"/>
  <c r="H349" i="83"/>
  <c r="H355" i="83"/>
  <c r="G347" i="83"/>
  <c r="G355" i="83"/>
  <c r="F347" i="83"/>
  <c r="F355" i="83"/>
  <c r="E347" i="83"/>
  <c r="E355" i="83"/>
  <c r="D347" i="83"/>
  <c r="M353" i="83"/>
  <c r="G346" i="83"/>
  <c r="L350" i="83"/>
  <c r="G350" i="83"/>
  <c r="M359" i="83"/>
  <c r="F350" i="83"/>
  <c r="L359" i="83"/>
  <c r="E350" i="83"/>
  <c r="K358" i="83"/>
  <c r="K344" i="83"/>
  <c r="F346" i="83"/>
  <c r="L344" i="83"/>
  <c r="I344" i="83"/>
  <c r="G344" i="83"/>
  <c r="L356" i="83"/>
  <c r="I349" i="83"/>
  <c r="D359" i="83"/>
  <c r="C359" i="83"/>
  <c r="K356" i="83"/>
  <c r="F352" i="83"/>
  <c r="E352" i="83"/>
  <c r="K353" i="83"/>
  <c r="E359" i="83"/>
  <c r="C356" i="83"/>
  <c r="G352" i="83"/>
  <c r="K125" i="111"/>
  <c r="G101" i="85"/>
  <c r="L37" i="78"/>
  <c r="M37" i="78"/>
  <c r="G154" i="141"/>
  <c r="L350" i="121"/>
  <c r="C69" i="141"/>
  <c r="C153" i="141"/>
  <c r="M145" i="141"/>
  <c r="H125" i="139"/>
  <c r="J10" i="137"/>
  <c r="I10" i="137"/>
  <c r="K10" i="137" s="1"/>
  <c r="F44" i="133"/>
  <c r="K107" i="143"/>
  <c r="C72" i="141"/>
  <c r="I154" i="141"/>
  <c r="C193" i="141"/>
  <c r="B131" i="139"/>
  <c r="I46" i="139"/>
  <c r="K42" i="133"/>
  <c r="L35" i="132"/>
  <c r="M35" i="132"/>
  <c r="D234" i="139"/>
  <c r="J111" i="127"/>
  <c r="L93" i="135"/>
  <c r="L279" i="135"/>
  <c r="M33" i="124"/>
  <c r="L33" i="124"/>
  <c r="F215" i="123"/>
  <c r="B260" i="123"/>
  <c r="B152" i="123"/>
  <c r="F205" i="121"/>
  <c r="M213" i="121"/>
  <c r="I211" i="121"/>
  <c r="L220" i="121"/>
  <c r="K220" i="121"/>
  <c r="M219" i="121"/>
  <c r="I214" i="121"/>
  <c r="J218" i="121"/>
  <c r="G214" i="121"/>
  <c r="C215" i="121"/>
  <c r="L219" i="121"/>
  <c r="G215" i="121"/>
  <c r="E219" i="121"/>
  <c r="I210" i="121"/>
  <c r="C212" i="121"/>
  <c r="K218" i="121"/>
  <c r="K213" i="121"/>
  <c r="H218" i="121"/>
  <c r="C213" i="121"/>
  <c r="M216" i="121"/>
  <c r="B220" i="121"/>
  <c r="B221" i="121"/>
  <c r="I218" i="121"/>
  <c r="L221" i="121"/>
  <c r="G212" i="121"/>
  <c r="M214" i="121"/>
  <c r="E211" i="121"/>
  <c r="J214" i="121"/>
  <c r="K216" i="121"/>
  <c r="C216" i="121"/>
  <c r="G218" i="121"/>
  <c r="F214" i="121"/>
  <c r="H220" i="121"/>
  <c r="C211" i="121"/>
  <c r="L215" i="121"/>
  <c r="G221" i="121"/>
  <c r="K212" i="121"/>
  <c r="B214" i="121"/>
  <c r="B212" i="121"/>
  <c r="D218" i="121"/>
  <c r="J211" i="121"/>
  <c r="D219" i="121"/>
  <c r="J221" i="121"/>
  <c r="H214" i="121"/>
  <c r="H219" i="121"/>
  <c r="G210" i="121"/>
  <c r="F210" i="121"/>
  <c r="M220" i="121"/>
  <c r="J215" i="121"/>
  <c r="L217" i="121"/>
  <c r="F220" i="121"/>
  <c r="M210" i="121"/>
  <c r="J220" i="121"/>
  <c r="K219" i="121"/>
  <c r="B216" i="121"/>
  <c r="K214" i="121"/>
  <c r="B215" i="121"/>
  <c r="G217" i="121"/>
  <c r="F221" i="121"/>
  <c r="I220" i="121"/>
  <c r="C218" i="121"/>
  <c r="E210" i="121"/>
  <c r="L212" i="121"/>
  <c r="C219" i="121"/>
  <c r="H210" i="121"/>
  <c r="J51" i="143"/>
  <c r="E134" i="143"/>
  <c r="G41" i="143"/>
  <c r="D111" i="143"/>
  <c r="I114" i="143"/>
  <c r="K103" i="143"/>
  <c r="F61" i="141"/>
  <c r="E72" i="141"/>
  <c r="J102" i="139"/>
  <c r="G193" i="143"/>
  <c r="J156" i="141"/>
  <c r="J154" i="141"/>
  <c r="M154" i="141"/>
  <c r="M135" i="141"/>
  <c r="I134" i="141"/>
  <c r="E133" i="141"/>
  <c r="M131" i="141"/>
  <c r="I130" i="141"/>
  <c r="E129" i="141"/>
  <c r="M127" i="141"/>
  <c r="I126" i="141"/>
  <c r="E125" i="141"/>
  <c r="B135" i="141"/>
  <c r="I133" i="141"/>
  <c r="D132" i="141"/>
  <c r="K130" i="141"/>
  <c r="L127" i="141"/>
  <c r="G126" i="141"/>
  <c r="B125" i="141"/>
  <c r="I135" i="141"/>
  <c r="C134" i="141"/>
  <c r="I132" i="141"/>
  <c r="C131" i="141"/>
  <c r="I129" i="141"/>
  <c r="C128" i="141"/>
  <c r="H126" i="141"/>
  <c r="M124" i="141"/>
  <c r="J134" i="141"/>
  <c r="B133" i="141"/>
  <c r="G131" i="141"/>
  <c r="L129" i="141"/>
  <c r="E128" i="141"/>
  <c r="J126" i="141"/>
  <c r="L124" i="141"/>
  <c r="L134" i="141"/>
  <c r="C133" i="141"/>
  <c r="F131" i="141"/>
  <c r="K127" i="141"/>
  <c r="C126" i="141"/>
  <c r="G124" i="141"/>
  <c r="K135" i="141"/>
  <c r="M133" i="141"/>
  <c r="C132" i="141"/>
  <c r="E130" i="141"/>
  <c r="H128" i="141"/>
  <c r="K126" i="141"/>
  <c r="J124" i="141"/>
  <c r="D134" i="141"/>
  <c r="E132" i="141"/>
  <c r="D130" i="141"/>
  <c r="D126" i="141"/>
  <c r="E124" i="141"/>
  <c r="L135" i="141"/>
  <c r="L133" i="141"/>
  <c r="L131" i="141"/>
  <c r="B130" i="141"/>
  <c r="B128" i="141"/>
  <c r="M125" i="141"/>
  <c r="C124" i="141"/>
  <c r="J135" i="141"/>
  <c r="K131" i="141"/>
  <c r="M129" i="141"/>
  <c r="J127" i="141"/>
  <c r="L125" i="141"/>
  <c r="B124" i="141"/>
  <c r="E131" i="141"/>
  <c r="M128" i="141"/>
  <c r="L126" i="141"/>
  <c r="D124" i="141"/>
  <c r="D135" i="141"/>
  <c r="C130" i="141"/>
  <c r="F127" i="141"/>
  <c r="C125" i="141"/>
  <c r="B134" i="141"/>
  <c r="D131" i="141"/>
  <c r="B126" i="141"/>
  <c r="H135" i="141"/>
  <c r="L132" i="141"/>
  <c r="C127" i="141"/>
  <c r="G134" i="141"/>
  <c r="H131" i="141"/>
  <c r="I128" i="141"/>
  <c r="H125" i="141"/>
  <c r="F118" i="141"/>
  <c r="D129" i="141"/>
  <c r="K125" i="141"/>
  <c r="H132" i="141"/>
  <c r="C129" i="141"/>
  <c r="J125" i="141"/>
  <c r="G135" i="141"/>
  <c r="B129" i="141"/>
  <c r="I125" i="141"/>
  <c r="F135" i="141"/>
  <c r="L128" i="141"/>
  <c r="G125" i="141"/>
  <c r="E135" i="141"/>
  <c r="B132" i="141"/>
  <c r="F125" i="141"/>
  <c r="H134" i="141"/>
  <c r="M130" i="141"/>
  <c r="H127" i="141"/>
  <c r="H124" i="141"/>
  <c r="H130" i="141"/>
  <c r="K124" i="141"/>
  <c r="C135" i="141"/>
  <c r="G130" i="141"/>
  <c r="I124" i="141"/>
  <c r="M134" i="141"/>
  <c r="F130" i="141"/>
  <c r="F124" i="141"/>
  <c r="K134" i="141"/>
  <c r="H129" i="141"/>
  <c r="F134" i="141"/>
  <c r="G127" i="141"/>
  <c r="J130" i="141"/>
  <c r="D128" i="141"/>
  <c r="I127" i="141"/>
  <c r="E127" i="141"/>
  <c r="H133" i="141"/>
  <c r="F126" i="141"/>
  <c r="J131" i="141"/>
  <c r="I131" i="141"/>
  <c r="B131" i="141"/>
  <c r="L130" i="141"/>
  <c r="D127" i="141"/>
  <c r="D125" i="141"/>
  <c r="D133" i="141"/>
  <c r="M132" i="141"/>
  <c r="B127" i="141"/>
  <c r="M126" i="141"/>
  <c r="E126" i="141"/>
  <c r="E134" i="141"/>
  <c r="C234" i="141"/>
  <c r="H232" i="141"/>
  <c r="C237" i="141"/>
  <c r="K232" i="141"/>
  <c r="E238" i="141"/>
  <c r="M32" i="136"/>
  <c r="L32" i="136"/>
  <c r="C192" i="141"/>
  <c r="C195" i="141"/>
  <c r="M190" i="141"/>
  <c r="K194" i="141"/>
  <c r="L189" i="141"/>
  <c r="E194" i="141"/>
  <c r="N11" i="137"/>
  <c r="L31" i="138"/>
  <c r="M31" i="138"/>
  <c r="K127" i="139"/>
  <c r="G128" i="139"/>
  <c r="E122" i="139"/>
  <c r="E36" i="137"/>
  <c r="H217" i="139"/>
  <c r="L275" i="135"/>
  <c r="M278" i="135"/>
  <c r="K15" i="139"/>
  <c r="I15" i="139"/>
  <c r="F274" i="135"/>
  <c r="L198" i="135"/>
  <c r="I49" i="133"/>
  <c r="L197" i="135"/>
  <c r="D195" i="135"/>
  <c r="I42" i="139"/>
  <c r="L49" i="139"/>
  <c r="C48" i="139"/>
  <c r="F41" i="133"/>
  <c r="I7" i="135"/>
  <c r="K7" i="135" s="1"/>
  <c r="D165" i="133"/>
  <c r="K171" i="133"/>
  <c r="B175" i="133"/>
  <c r="E88" i="133"/>
  <c r="C84" i="133"/>
  <c r="C80" i="133"/>
  <c r="F304" i="141"/>
  <c r="K48" i="133"/>
  <c r="G45" i="133"/>
  <c r="F46" i="133"/>
  <c r="I11" i="131"/>
  <c r="J11" i="131" s="1"/>
  <c r="C119" i="137"/>
  <c r="G236" i="139"/>
  <c r="L236" i="139"/>
  <c r="H232" i="139"/>
  <c r="H233" i="139"/>
  <c r="E227" i="139"/>
  <c r="F298" i="131"/>
  <c r="J110" i="127"/>
  <c r="M90" i="135"/>
  <c r="E85" i="135"/>
  <c r="C93" i="135"/>
  <c r="K85" i="135"/>
  <c r="H84" i="135"/>
  <c r="E173" i="127"/>
  <c r="I172" i="127"/>
  <c r="E153" i="139"/>
  <c r="B145" i="139"/>
  <c r="K154" i="139"/>
  <c r="K144" i="139"/>
  <c r="J65" i="135"/>
  <c r="D69" i="135"/>
  <c r="I69" i="135"/>
  <c r="F74" i="135"/>
  <c r="G276" i="135"/>
  <c r="I274" i="135"/>
  <c r="H233" i="131"/>
  <c r="H232" i="131"/>
  <c r="B230" i="131"/>
  <c r="G320" i="123"/>
  <c r="F320" i="123"/>
  <c r="F168" i="123"/>
  <c r="B177" i="123"/>
  <c r="E170" i="123"/>
  <c r="E111" i="123"/>
  <c r="L106" i="123"/>
  <c r="H114" i="123"/>
  <c r="M34" i="126"/>
  <c r="L34" i="126"/>
  <c r="G213" i="123"/>
  <c r="M216" i="123"/>
  <c r="I214" i="123"/>
  <c r="I221" i="123"/>
  <c r="M194" i="135"/>
  <c r="L192" i="135"/>
  <c r="C257" i="123"/>
  <c r="B51" i="123"/>
  <c r="J258" i="123"/>
  <c r="I261" i="123"/>
  <c r="G252" i="123"/>
  <c r="H259" i="123"/>
  <c r="H155" i="123"/>
  <c r="B157" i="123"/>
  <c r="F148" i="131"/>
  <c r="G147" i="131"/>
  <c r="C156" i="131"/>
  <c r="E149" i="131"/>
  <c r="L153" i="131"/>
  <c r="J44" i="123"/>
  <c r="E50" i="123"/>
  <c r="B49" i="123"/>
  <c r="L53" i="121"/>
  <c r="H52" i="121"/>
  <c r="D51" i="121"/>
  <c r="L49" i="121"/>
  <c r="H48" i="121"/>
  <c r="D47" i="121"/>
  <c r="L45" i="121"/>
  <c r="H44" i="121"/>
  <c r="J53" i="121"/>
  <c r="F52" i="121"/>
  <c r="B51" i="121"/>
  <c r="J49" i="121"/>
  <c r="F48" i="121"/>
  <c r="B47" i="121"/>
  <c r="J45" i="121"/>
  <c r="F44" i="121"/>
  <c r="I53" i="121"/>
  <c r="E52" i="121"/>
  <c r="M50" i="121"/>
  <c r="I49" i="121"/>
  <c r="E48" i="121"/>
  <c r="M46" i="121"/>
  <c r="I45" i="121"/>
  <c r="M42" i="121"/>
  <c r="H53" i="121"/>
  <c r="D52" i="121"/>
  <c r="L50" i="121"/>
  <c r="H49" i="121"/>
  <c r="D48" i="121"/>
  <c r="L46" i="121"/>
  <c r="H45" i="121"/>
  <c r="L42" i="121"/>
  <c r="D53" i="121"/>
  <c r="L51" i="121"/>
  <c r="H50" i="121"/>
  <c r="D49" i="121"/>
  <c r="L47" i="121"/>
  <c r="H46" i="121"/>
  <c r="L43" i="121"/>
  <c r="H42" i="121"/>
  <c r="B53" i="121"/>
  <c r="E51" i="121"/>
  <c r="C49" i="121"/>
  <c r="F47" i="121"/>
  <c r="G43" i="121"/>
  <c r="M52" i="121"/>
  <c r="C51" i="121"/>
  <c r="B49" i="121"/>
  <c r="E47" i="121"/>
  <c r="F43" i="121"/>
  <c r="L52" i="121"/>
  <c r="K50" i="121"/>
  <c r="M48" i="121"/>
  <c r="C47" i="121"/>
  <c r="K52" i="121"/>
  <c r="J50" i="121"/>
  <c r="L48" i="121"/>
  <c r="K46" i="121"/>
  <c r="M44" i="121"/>
  <c r="I52" i="121"/>
  <c r="G50" i="121"/>
  <c r="J48" i="121"/>
  <c r="I46" i="121"/>
  <c r="K44" i="121"/>
  <c r="J42" i="121"/>
  <c r="C53" i="121"/>
  <c r="C50" i="121"/>
  <c r="H47" i="121"/>
  <c r="G44" i="121"/>
  <c r="J52" i="121"/>
  <c r="B50" i="121"/>
  <c r="G47" i="121"/>
  <c r="G52" i="121"/>
  <c r="M49" i="121"/>
  <c r="J46" i="121"/>
  <c r="C52" i="121"/>
  <c r="K49" i="121"/>
  <c r="G46" i="121"/>
  <c r="M43" i="121"/>
  <c r="M51" i="121"/>
  <c r="F49" i="121"/>
  <c r="E46" i="121"/>
  <c r="J43" i="121"/>
  <c r="F36" i="121"/>
  <c r="F50" i="121"/>
  <c r="C46" i="121"/>
  <c r="E50" i="121"/>
  <c r="B46" i="121"/>
  <c r="D50" i="121"/>
  <c r="M45" i="121"/>
  <c r="M53" i="121"/>
  <c r="G49" i="121"/>
  <c r="K45" i="121"/>
  <c r="K53" i="121"/>
  <c r="E49" i="121"/>
  <c r="G45" i="121"/>
  <c r="B52" i="121"/>
  <c r="C48" i="121"/>
  <c r="I44" i="121"/>
  <c r="I51" i="121"/>
  <c r="L44" i="121"/>
  <c r="H51" i="121"/>
  <c r="J44" i="121"/>
  <c r="F51" i="121"/>
  <c r="I43" i="121"/>
  <c r="I50" i="121"/>
  <c r="H43" i="121"/>
  <c r="F53" i="121"/>
  <c r="K43" i="121"/>
  <c r="K51" i="121"/>
  <c r="I42" i="121"/>
  <c r="J51" i="121"/>
  <c r="G42" i="121"/>
  <c r="G51" i="121"/>
  <c r="F42" i="121"/>
  <c r="K48" i="121"/>
  <c r="I48" i="121"/>
  <c r="F46" i="121"/>
  <c r="D46" i="121"/>
  <c r="F45" i="121"/>
  <c r="K42" i="121"/>
  <c r="G48" i="121"/>
  <c r="B48" i="121"/>
  <c r="M47" i="121"/>
  <c r="G53" i="121"/>
  <c r="E53" i="121"/>
  <c r="K47" i="121"/>
  <c r="J47" i="121"/>
  <c r="I47" i="121"/>
  <c r="D134" i="123"/>
  <c r="D129" i="123"/>
  <c r="L128" i="123"/>
  <c r="B130" i="123"/>
  <c r="M131" i="123"/>
  <c r="B129" i="121"/>
  <c r="I130" i="121"/>
  <c r="M136" i="121"/>
  <c r="L126" i="121"/>
  <c r="J87" i="119"/>
  <c r="E82" i="119"/>
  <c r="M82" i="119"/>
  <c r="G92" i="119"/>
  <c r="K84" i="119"/>
  <c r="B218" i="121"/>
  <c r="J210" i="121"/>
  <c r="L211" i="121"/>
  <c r="F216" i="121"/>
  <c r="H42" i="131"/>
  <c r="G47" i="131"/>
  <c r="M41" i="131"/>
  <c r="C151" i="115"/>
  <c r="B150" i="115"/>
  <c r="H36" i="115"/>
  <c r="E171" i="121"/>
  <c r="G177" i="121"/>
  <c r="F170" i="121"/>
  <c r="I12" i="99"/>
  <c r="I11" i="111"/>
  <c r="J11" i="111"/>
  <c r="L31" i="96"/>
  <c r="M31" i="96"/>
  <c r="G62" i="117"/>
  <c r="H67" i="117"/>
  <c r="G134" i="83"/>
  <c r="G133" i="83"/>
  <c r="G132" i="83"/>
  <c r="G131" i="83"/>
  <c r="G130" i="83"/>
  <c r="G129" i="83"/>
  <c r="G128" i="83"/>
  <c r="G127" i="83"/>
  <c r="G126" i="83"/>
  <c r="G125" i="83"/>
  <c r="G124" i="83"/>
  <c r="G123" i="83"/>
  <c r="G122" i="83"/>
  <c r="G121" i="83"/>
  <c r="G120" i="83"/>
  <c r="G119" i="83"/>
  <c r="B134" i="83"/>
  <c r="B133" i="83"/>
  <c r="B132" i="83"/>
  <c r="B131" i="83"/>
  <c r="B130" i="83"/>
  <c r="B129" i="83"/>
  <c r="B128" i="83"/>
  <c r="B127" i="83"/>
  <c r="B126" i="83"/>
  <c r="B125" i="83"/>
  <c r="B124" i="83"/>
  <c r="B123" i="83"/>
  <c r="B122" i="83"/>
  <c r="B121" i="83"/>
  <c r="B120" i="83"/>
  <c r="B119" i="83"/>
  <c r="F113" i="83"/>
  <c r="N134" i="83"/>
  <c r="L133" i="83"/>
  <c r="J132" i="83"/>
  <c r="H131" i="83"/>
  <c r="E130" i="83"/>
  <c r="C129" i="83"/>
  <c r="P127" i="83"/>
  <c r="N126" i="83"/>
  <c r="L125" i="83"/>
  <c r="J124" i="83"/>
  <c r="H123" i="83"/>
  <c r="E122" i="83"/>
  <c r="C121" i="83"/>
  <c r="P119" i="83"/>
  <c r="M134" i="83"/>
  <c r="K133" i="83"/>
  <c r="I132" i="83"/>
  <c r="F131" i="83"/>
  <c r="D130" i="83"/>
  <c r="Q128" i="83"/>
  <c r="O127" i="83"/>
  <c r="M126" i="83"/>
  <c r="I124" i="83"/>
  <c r="F123" i="83"/>
  <c r="D122" i="83"/>
  <c r="Q120" i="83"/>
  <c r="O119" i="83"/>
  <c r="L134" i="83"/>
  <c r="J133" i="83"/>
  <c r="H132" i="83"/>
  <c r="E131" i="83"/>
  <c r="C130" i="83"/>
  <c r="P128" i="83"/>
  <c r="N127" i="83"/>
  <c r="L126" i="83"/>
  <c r="H124" i="83"/>
  <c r="E123" i="83"/>
  <c r="C122" i="83"/>
  <c r="P120" i="83"/>
  <c r="N119" i="83"/>
  <c r="K134" i="83"/>
  <c r="I133" i="83"/>
  <c r="F132" i="83"/>
  <c r="D131" i="83"/>
  <c r="Q129" i="83"/>
  <c r="O128" i="83"/>
  <c r="M127" i="83"/>
  <c r="F124" i="83"/>
  <c r="D123" i="83"/>
  <c r="Q121" i="83"/>
  <c r="O120" i="83"/>
  <c r="M119" i="83"/>
  <c r="J134" i="83"/>
  <c r="H133" i="83"/>
  <c r="E132" i="83"/>
  <c r="C131" i="83"/>
  <c r="P129" i="83"/>
  <c r="N128" i="83"/>
  <c r="L127" i="83"/>
  <c r="E124" i="83"/>
  <c r="C123" i="83"/>
  <c r="P121" i="83"/>
  <c r="N120" i="83"/>
  <c r="L119" i="83"/>
  <c r="E134" i="83"/>
  <c r="C133" i="83"/>
  <c r="P131" i="83"/>
  <c r="N130" i="83"/>
  <c r="L129" i="83"/>
  <c r="E126" i="83"/>
  <c r="C125" i="83"/>
  <c r="P123" i="83"/>
  <c r="N122" i="83"/>
  <c r="L121" i="83"/>
  <c r="J120" i="83"/>
  <c r="H119" i="83"/>
  <c r="O133" i="83"/>
  <c r="O131" i="83"/>
  <c r="F130" i="83"/>
  <c r="F128" i="83"/>
  <c r="M124" i="83"/>
  <c r="M122" i="83"/>
  <c r="D121" i="83"/>
  <c r="D119" i="83"/>
  <c r="I134" i="83"/>
  <c r="M132" i="83"/>
  <c r="L130" i="83"/>
  <c r="L128" i="83"/>
  <c r="P126" i="83"/>
  <c r="O124" i="83"/>
  <c r="O122" i="83"/>
  <c r="M120" i="83"/>
  <c r="H134" i="83"/>
  <c r="L132" i="83"/>
  <c r="K130" i="83"/>
  <c r="O126" i="83"/>
  <c r="N124" i="83"/>
  <c r="L122" i="83"/>
  <c r="L120" i="83"/>
  <c r="F134" i="83"/>
  <c r="K132" i="83"/>
  <c r="J130" i="83"/>
  <c r="L124" i="83"/>
  <c r="K122" i="83"/>
  <c r="K120" i="83"/>
  <c r="D134" i="83"/>
  <c r="D132" i="83"/>
  <c r="I130" i="83"/>
  <c r="F126" i="83"/>
  <c r="K124" i="83"/>
  <c r="J122" i="83"/>
  <c r="I120" i="83"/>
  <c r="C134" i="83"/>
  <c r="C132" i="83"/>
  <c r="H130" i="83"/>
  <c r="E128" i="83"/>
  <c r="D126" i="83"/>
  <c r="D124" i="83"/>
  <c r="I122" i="83"/>
  <c r="H120" i="83"/>
  <c r="Q133" i="83"/>
  <c r="Q131" i="83"/>
  <c r="O129" i="83"/>
  <c r="D128" i="83"/>
  <c r="C126" i="83"/>
  <c r="C124" i="83"/>
  <c r="H122" i="83"/>
  <c r="F120" i="83"/>
  <c r="M131" i="83"/>
  <c r="E129" i="83"/>
  <c r="N125" i="83"/>
  <c r="P122" i="83"/>
  <c r="J119" i="83"/>
  <c r="L131" i="83"/>
  <c r="D129" i="83"/>
  <c r="M125" i="83"/>
  <c r="F122" i="83"/>
  <c r="I119" i="83"/>
  <c r="Q134" i="83"/>
  <c r="K131" i="83"/>
  <c r="M128" i="83"/>
  <c r="F125" i="83"/>
  <c r="O121" i="83"/>
  <c r="F119" i="83"/>
  <c r="P134" i="83"/>
  <c r="J131" i="83"/>
  <c r="C128" i="83"/>
  <c r="E125" i="83"/>
  <c r="N121" i="83"/>
  <c r="E119" i="83"/>
  <c r="O134" i="83"/>
  <c r="I131" i="83"/>
  <c r="Q127" i="83"/>
  <c r="D125" i="83"/>
  <c r="M121" i="83"/>
  <c r="C119" i="83"/>
  <c r="E133" i="83"/>
  <c r="N129" i="83"/>
  <c r="E127" i="83"/>
  <c r="N123" i="83"/>
  <c r="F121" i="83"/>
  <c r="N131" i="83"/>
  <c r="C127" i="83"/>
  <c r="J121" i="83"/>
  <c r="Q130" i="83"/>
  <c r="Q126" i="83"/>
  <c r="I121" i="83"/>
  <c r="P130" i="83"/>
  <c r="Q125" i="83"/>
  <c r="H121" i="83"/>
  <c r="O130" i="83"/>
  <c r="P125" i="83"/>
  <c r="E121" i="83"/>
  <c r="M130" i="83"/>
  <c r="O125" i="83"/>
  <c r="E120" i="83"/>
  <c r="M129" i="83"/>
  <c r="Q124" i="83"/>
  <c r="D120" i="83"/>
  <c r="N132" i="83"/>
  <c r="K123" i="83"/>
  <c r="K129" i="83"/>
  <c r="J123" i="83"/>
  <c r="J129" i="83"/>
  <c r="I123" i="83"/>
  <c r="I129" i="83"/>
  <c r="Q122" i="83"/>
  <c r="H129" i="83"/>
  <c r="K121" i="83"/>
  <c r="P133" i="83"/>
  <c r="F133" i="83"/>
  <c r="Q119" i="83"/>
  <c r="D133" i="83"/>
  <c r="K119" i="83"/>
  <c r="Q132" i="83"/>
  <c r="P132" i="83"/>
  <c r="O132" i="83"/>
  <c r="F127" i="83"/>
  <c r="D127" i="83"/>
  <c r="P124" i="83"/>
  <c r="Q123" i="83"/>
  <c r="C120" i="83"/>
  <c r="M133" i="83"/>
  <c r="F129" i="83"/>
  <c r="O123" i="83"/>
  <c r="M123" i="83"/>
  <c r="L123" i="83"/>
  <c r="N133" i="83"/>
  <c r="M29" i="80"/>
  <c r="L29" i="80"/>
  <c r="G105" i="85"/>
  <c r="F157" i="57"/>
  <c r="E172" i="57"/>
  <c r="I168" i="57"/>
  <c r="K165" i="57"/>
  <c r="H162" i="57"/>
  <c r="L170" i="57"/>
  <c r="I164" i="57"/>
  <c r="G164" i="57"/>
  <c r="E164" i="57"/>
  <c r="I170" i="57"/>
  <c r="D164" i="57"/>
  <c r="G170" i="57"/>
  <c r="C164" i="57"/>
  <c r="G168" i="57"/>
  <c r="M163" i="57"/>
  <c r="D172" i="57"/>
  <c r="C172" i="57"/>
  <c r="D171" i="57"/>
  <c r="M170" i="57"/>
  <c r="C168" i="57"/>
  <c r="H168" i="57"/>
  <c r="E168" i="57"/>
  <c r="M166" i="57"/>
  <c r="K166" i="57"/>
  <c r="J166" i="57"/>
  <c r="I165" i="57"/>
  <c r="C165" i="57"/>
  <c r="B164" i="57"/>
  <c r="G162" i="57"/>
  <c r="M167" i="57"/>
  <c r="G173" i="57"/>
  <c r="F173" i="57"/>
  <c r="B168" i="57"/>
  <c r="I167" i="57"/>
  <c r="L173" i="57"/>
  <c r="E165" i="57"/>
  <c r="L163" i="57"/>
  <c r="H172" i="57"/>
  <c r="E166" i="57"/>
  <c r="K168" i="57"/>
  <c r="J173" i="57"/>
  <c r="M171" i="57"/>
  <c r="M162" i="57"/>
  <c r="I166" i="57"/>
  <c r="M164" i="57"/>
  <c r="G167" i="57"/>
  <c r="F172" i="57"/>
  <c r="I169" i="57"/>
  <c r="H173" i="57"/>
  <c r="M169" i="57"/>
  <c r="B173" i="57"/>
  <c r="I163" i="57"/>
  <c r="C166" i="57"/>
  <c r="K167" i="57"/>
  <c r="E171" i="57"/>
  <c r="D173" i="57"/>
  <c r="L165" i="57"/>
  <c r="F170" i="57"/>
  <c r="L172" i="57"/>
  <c r="G163" i="57"/>
  <c r="F168" i="57"/>
  <c r="D163" i="57"/>
  <c r="C167" i="57"/>
  <c r="M165" i="57"/>
  <c r="B165" i="57"/>
  <c r="H167" i="57"/>
  <c r="E167" i="57"/>
  <c r="H170" i="57"/>
  <c r="L169" i="57"/>
  <c r="M168" i="57"/>
  <c r="G171" i="57"/>
  <c r="E163" i="57"/>
  <c r="D167" i="57"/>
  <c r="D166" i="57"/>
  <c r="B167" i="57"/>
  <c r="G169" i="57"/>
  <c r="L164" i="57"/>
  <c r="J165" i="57"/>
  <c r="F169" i="57"/>
  <c r="H163" i="57"/>
  <c r="F164" i="57"/>
  <c r="D165" i="57"/>
  <c r="D162" i="57"/>
  <c r="M173" i="57"/>
  <c r="L162" i="57"/>
  <c r="J167" i="57"/>
  <c r="K164" i="57"/>
  <c r="K169" i="57"/>
  <c r="L166" i="57"/>
  <c r="F166" i="57"/>
  <c r="L167" i="57"/>
  <c r="D169" i="57"/>
  <c r="F162" i="57"/>
  <c r="F171" i="57"/>
  <c r="G165" i="57"/>
  <c r="E169" i="57"/>
  <c r="M172" i="57"/>
  <c r="J168" i="57"/>
  <c r="K173" i="57"/>
  <c r="I172" i="57"/>
  <c r="H166" i="57"/>
  <c r="H164" i="57"/>
  <c r="I162" i="57"/>
  <c r="I171" i="57"/>
  <c r="F167" i="57"/>
  <c r="L171" i="57"/>
  <c r="C173" i="57"/>
  <c r="G172" i="57"/>
  <c r="E162" i="57"/>
  <c r="J164" i="57"/>
  <c r="F165" i="57"/>
  <c r="L168" i="57"/>
  <c r="J169" i="57"/>
  <c r="E170" i="57"/>
  <c r="H171" i="57"/>
  <c r="D170" i="57"/>
  <c r="K172" i="57"/>
  <c r="J172" i="57"/>
  <c r="B166" i="57"/>
  <c r="C169" i="57"/>
  <c r="B172" i="57"/>
  <c r="H165" i="57"/>
  <c r="D168" i="57"/>
  <c r="I173" i="57"/>
  <c r="B169" i="57"/>
  <c r="H169" i="57"/>
  <c r="F76" i="29"/>
  <c r="I81" i="29"/>
  <c r="F81" i="29"/>
  <c r="H84" i="29"/>
  <c r="G85" i="29"/>
  <c r="B82" i="29"/>
  <c r="C84" i="29"/>
  <c r="I13" i="139"/>
  <c r="J13" i="139" s="1"/>
  <c r="I254" i="123"/>
  <c r="F148" i="141"/>
  <c r="L28" i="142"/>
  <c r="M28" i="142"/>
  <c r="C131" i="139"/>
  <c r="H127" i="139"/>
  <c r="E124" i="139"/>
  <c r="M130" i="139"/>
  <c r="E127" i="139"/>
  <c r="D124" i="139"/>
  <c r="K133" i="139"/>
  <c r="J130" i="139"/>
  <c r="L126" i="139"/>
  <c r="D123" i="139"/>
  <c r="I126" i="139"/>
  <c r="M122" i="139"/>
  <c r="M132" i="139"/>
  <c r="I127" i="139"/>
  <c r="C132" i="139"/>
  <c r="H126" i="139"/>
  <c r="B132" i="139"/>
  <c r="G126" i="139"/>
  <c r="F117" i="139"/>
  <c r="M131" i="139"/>
  <c r="E126" i="139"/>
  <c r="K131" i="139"/>
  <c r="F125" i="139"/>
  <c r="J124" i="139"/>
  <c r="M128" i="139"/>
  <c r="L128" i="139"/>
  <c r="J128" i="139"/>
  <c r="J127" i="139"/>
  <c r="H133" i="139"/>
  <c r="I124" i="139"/>
  <c r="D131" i="139"/>
  <c r="E129" i="139"/>
  <c r="C125" i="139"/>
  <c r="K122" i="139"/>
  <c r="G133" i="139"/>
  <c r="F133" i="139"/>
  <c r="G131" i="139"/>
  <c r="J122" i="139"/>
  <c r="M124" i="139"/>
  <c r="K124" i="139"/>
  <c r="G124" i="139"/>
  <c r="F122" i="139"/>
  <c r="F124" i="139"/>
  <c r="B124" i="139"/>
  <c r="K123" i="139"/>
  <c r="F126" i="139"/>
  <c r="B126" i="139"/>
  <c r="B125" i="139"/>
  <c r="D129" i="139"/>
  <c r="E133" i="139"/>
  <c r="I131" i="139"/>
  <c r="H131" i="139"/>
  <c r="E131" i="139"/>
  <c r="J132" i="139"/>
  <c r="F130" i="139"/>
  <c r="D127" i="139"/>
  <c r="H124" i="139"/>
  <c r="M123" i="139"/>
  <c r="J123" i="139"/>
  <c r="I132" i="139"/>
  <c r="E130" i="139"/>
  <c r="F269" i="135"/>
  <c r="G279" i="135"/>
  <c r="E279" i="135"/>
  <c r="G278" i="135"/>
  <c r="J277" i="135"/>
  <c r="D274" i="135"/>
  <c r="K273" i="135"/>
  <c r="F282" i="135"/>
  <c r="K282" i="135"/>
  <c r="L278" i="135"/>
  <c r="B276" i="135"/>
  <c r="M280" i="135"/>
  <c r="L276" i="135"/>
  <c r="K283" i="135"/>
  <c r="M279" i="135"/>
  <c r="E276" i="135"/>
  <c r="B280" i="135"/>
  <c r="F275" i="135"/>
  <c r="F277" i="135"/>
  <c r="D281" i="135"/>
  <c r="C279" i="135"/>
  <c r="B275" i="135"/>
  <c r="C281" i="135"/>
  <c r="K275" i="135"/>
  <c r="M281" i="135"/>
  <c r="C277" i="135"/>
  <c r="D273" i="135"/>
  <c r="L277" i="135"/>
  <c r="J279" i="135"/>
  <c r="I273" i="135"/>
  <c r="I284" i="135"/>
  <c r="H274" i="135"/>
  <c r="F278" i="135"/>
  <c r="D275" i="135"/>
  <c r="D284" i="135"/>
  <c r="K274" i="135"/>
  <c r="J275" i="135"/>
  <c r="E282" i="135"/>
  <c r="D283" i="135"/>
  <c r="M276" i="135"/>
  <c r="L282" i="135"/>
  <c r="B279" i="135"/>
  <c r="F281" i="135"/>
  <c r="E283" i="135"/>
  <c r="J273" i="135"/>
  <c r="C276" i="135"/>
  <c r="C280" i="135"/>
  <c r="I278" i="135"/>
  <c r="I281" i="135"/>
  <c r="J284" i="135"/>
  <c r="H145" i="141"/>
  <c r="C126" i="139"/>
  <c r="M32" i="138"/>
  <c r="L32" i="138"/>
  <c r="H111" i="133"/>
  <c r="D110" i="133"/>
  <c r="L108" i="133"/>
  <c r="H107" i="133"/>
  <c r="D106" i="133"/>
  <c r="L104" i="133"/>
  <c r="H103" i="133"/>
  <c r="D102" i="133"/>
  <c r="G110" i="133"/>
  <c r="B109" i="133"/>
  <c r="I107" i="133"/>
  <c r="C106" i="133"/>
  <c r="J104" i="133"/>
  <c r="E103" i="133"/>
  <c r="L101" i="133"/>
  <c r="I111" i="133"/>
  <c r="B110" i="133"/>
  <c r="H108" i="133"/>
  <c r="B107" i="133"/>
  <c r="H105" i="133"/>
  <c r="B104" i="133"/>
  <c r="H102" i="133"/>
  <c r="B101" i="133"/>
  <c r="G111" i="133"/>
  <c r="G108" i="133"/>
  <c r="M106" i="133"/>
  <c r="G105" i="133"/>
  <c r="M103" i="133"/>
  <c r="G102" i="133"/>
  <c r="F111" i="133"/>
  <c r="F108" i="133"/>
  <c r="L106" i="133"/>
  <c r="F105" i="133"/>
  <c r="L103" i="133"/>
  <c r="F102" i="133"/>
  <c r="E111" i="133"/>
  <c r="E108" i="133"/>
  <c r="K106" i="133"/>
  <c r="E105" i="133"/>
  <c r="K103" i="133"/>
  <c r="E102" i="133"/>
  <c r="D111" i="133"/>
  <c r="D108" i="133"/>
  <c r="J106" i="133"/>
  <c r="D105" i="133"/>
  <c r="J103" i="133"/>
  <c r="C102" i="133"/>
  <c r="F112" i="133"/>
  <c r="F109" i="133"/>
  <c r="L107" i="133"/>
  <c r="F106" i="133"/>
  <c r="K104" i="133"/>
  <c r="D103" i="133"/>
  <c r="J101" i="133"/>
  <c r="E112" i="133"/>
  <c r="C110" i="133"/>
  <c r="G107" i="133"/>
  <c r="B105" i="133"/>
  <c r="K102" i="133"/>
  <c r="D112" i="133"/>
  <c r="I109" i="133"/>
  <c r="F107" i="133"/>
  <c r="M104" i="133"/>
  <c r="J102" i="133"/>
  <c r="C112" i="133"/>
  <c r="H109" i="133"/>
  <c r="E107" i="133"/>
  <c r="I104" i="133"/>
  <c r="I102" i="133"/>
  <c r="B112" i="133"/>
  <c r="G109" i="133"/>
  <c r="D107" i="133"/>
  <c r="H104" i="133"/>
  <c r="B102" i="133"/>
  <c r="E109" i="133"/>
  <c r="C107" i="133"/>
  <c r="G104" i="133"/>
  <c r="M101" i="133"/>
  <c r="B111" i="133"/>
  <c r="K108" i="133"/>
  <c r="E106" i="133"/>
  <c r="C104" i="133"/>
  <c r="G101" i="133"/>
  <c r="J107" i="133"/>
  <c r="F103" i="133"/>
  <c r="I106" i="133"/>
  <c r="C103" i="133"/>
  <c r="H106" i="133"/>
  <c r="B103" i="133"/>
  <c r="I110" i="133"/>
  <c r="G106" i="133"/>
  <c r="M102" i="133"/>
  <c r="H110" i="133"/>
  <c r="B106" i="133"/>
  <c r="L102" i="133"/>
  <c r="C109" i="133"/>
  <c r="J105" i="133"/>
  <c r="F101" i="133"/>
  <c r="K107" i="133"/>
  <c r="C101" i="133"/>
  <c r="I112" i="133"/>
  <c r="M105" i="133"/>
  <c r="H112" i="133"/>
  <c r="L105" i="133"/>
  <c r="G112" i="133"/>
  <c r="K105" i="133"/>
  <c r="I105" i="133"/>
  <c r="F95" i="133"/>
  <c r="F110" i="133"/>
  <c r="I101" i="133"/>
  <c r="E110" i="133"/>
  <c r="H101" i="133"/>
  <c r="D109" i="133"/>
  <c r="E101" i="133"/>
  <c r="M108" i="133"/>
  <c r="D101" i="133"/>
  <c r="J108" i="133"/>
  <c r="M107" i="133"/>
  <c r="E104" i="133"/>
  <c r="D104" i="133"/>
  <c r="I103" i="133"/>
  <c r="G103" i="133"/>
  <c r="I108" i="133"/>
  <c r="C108" i="133"/>
  <c r="B108" i="133"/>
  <c r="C105" i="133"/>
  <c r="F104" i="133"/>
  <c r="K101" i="133"/>
  <c r="C111" i="133"/>
  <c r="D235" i="139"/>
  <c r="I237" i="131"/>
  <c r="M30" i="124"/>
  <c r="L30" i="124"/>
  <c r="F27" i="137"/>
  <c r="C36" i="137"/>
  <c r="H36" i="137"/>
  <c r="G36" i="137"/>
  <c r="F36" i="137"/>
  <c r="B36" i="137"/>
  <c r="E35" i="137"/>
  <c r="F35" i="137"/>
  <c r="H35" i="137"/>
  <c r="G31" i="137"/>
  <c r="F31" i="137"/>
  <c r="G35" i="137"/>
  <c r="F33" i="137"/>
  <c r="F34" i="137"/>
  <c r="I31" i="137"/>
  <c r="E34" i="137"/>
  <c r="G32" i="137"/>
  <c r="F32" i="137"/>
  <c r="H30" i="137"/>
  <c r="B49" i="143"/>
  <c r="B147" i="141"/>
  <c r="F45" i="133"/>
  <c r="I50" i="143"/>
  <c r="C108" i="143"/>
  <c r="B110" i="143"/>
  <c r="C127" i="139"/>
  <c r="J46" i="133"/>
  <c r="M235" i="139"/>
  <c r="E88" i="135"/>
  <c r="I239" i="131"/>
  <c r="J109" i="123"/>
  <c r="M218" i="123"/>
  <c r="E256" i="123"/>
  <c r="D258" i="123"/>
  <c r="F151" i="123"/>
  <c r="P342" i="123"/>
  <c r="G326" i="123"/>
  <c r="F326" i="123"/>
  <c r="J213" i="121"/>
  <c r="J128" i="143"/>
  <c r="M45" i="143"/>
  <c r="G72" i="141"/>
  <c r="F147" i="141"/>
  <c r="C51" i="143"/>
  <c r="I15" i="143"/>
  <c r="J15" i="143"/>
  <c r="M124" i="143"/>
  <c r="K62" i="141"/>
  <c r="H196" i="143"/>
  <c r="C196" i="141"/>
  <c r="D230" i="141"/>
  <c r="L191" i="135"/>
  <c r="I196" i="135"/>
  <c r="F191" i="135"/>
  <c r="H45" i="139"/>
  <c r="K40" i="139"/>
  <c r="B263" i="135"/>
  <c r="B259" i="135"/>
  <c r="B255" i="135"/>
  <c r="J253" i="135"/>
  <c r="F252" i="135"/>
  <c r="G263" i="135"/>
  <c r="B262" i="135"/>
  <c r="I260" i="135"/>
  <c r="D259" i="135"/>
  <c r="E256" i="135"/>
  <c r="L254" i="135"/>
  <c r="G253" i="135"/>
  <c r="B252" i="135"/>
  <c r="E263" i="135"/>
  <c r="L261" i="135"/>
  <c r="M258" i="135"/>
  <c r="H257" i="135"/>
  <c r="C256" i="135"/>
  <c r="J254" i="135"/>
  <c r="E253" i="135"/>
  <c r="D263" i="135"/>
  <c r="E260" i="135"/>
  <c r="L258" i="135"/>
  <c r="B256" i="135"/>
  <c r="I254" i="135"/>
  <c r="D253" i="135"/>
  <c r="K262" i="135"/>
  <c r="M259" i="135"/>
  <c r="H258" i="135"/>
  <c r="C257" i="135"/>
  <c r="J255" i="135"/>
  <c r="E254" i="135"/>
  <c r="L252" i="135"/>
  <c r="I262" i="135"/>
  <c r="L260" i="135"/>
  <c r="K258" i="135"/>
  <c r="M256" i="135"/>
  <c r="D255" i="135"/>
  <c r="C253" i="135"/>
  <c r="H262" i="135"/>
  <c r="J258" i="135"/>
  <c r="L256" i="135"/>
  <c r="C255" i="135"/>
  <c r="B253" i="135"/>
  <c r="G262" i="135"/>
  <c r="I258" i="135"/>
  <c r="M254" i="135"/>
  <c r="M252" i="135"/>
  <c r="F262" i="135"/>
  <c r="H260" i="135"/>
  <c r="G258" i="135"/>
  <c r="K254" i="135"/>
  <c r="K252" i="135"/>
  <c r="E262" i="135"/>
  <c r="D260" i="135"/>
  <c r="F258" i="135"/>
  <c r="I256" i="135"/>
  <c r="H254" i="135"/>
  <c r="J252" i="135"/>
  <c r="J263" i="135"/>
  <c r="I261" i="135"/>
  <c r="K259" i="135"/>
  <c r="B258" i="135"/>
  <c r="M255" i="135"/>
  <c r="C254" i="135"/>
  <c r="E252" i="135"/>
  <c r="J262" i="135"/>
  <c r="H259" i="135"/>
  <c r="I253" i="135"/>
  <c r="D262" i="135"/>
  <c r="G259" i="135"/>
  <c r="D256" i="135"/>
  <c r="H253" i="135"/>
  <c r="C262" i="135"/>
  <c r="F259" i="135"/>
  <c r="L255" i="135"/>
  <c r="F253" i="135"/>
  <c r="M261" i="135"/>
  <c r="E259" i="135"/>
  <c r="K255" i="135"/>
  <c r="I252" i="135"/>
  <c r="H261" i="135"/>
  <c r="C259" i="135"/>
  <c r="I255" i="135"/>
  <c r="H252" i="135"/>
  <c r="L263" i="135"/>
  <c r="C261" i="135"/>
  <c r="M257" i="135"/>
  <c r="E255" i="135"/>
  <c r="M263" i="135"/>
  <c r="J259" i="135"/>
  <c r="F254" i="135"/>
  <c r="K263" i="135"/>
  <c r="I259" i="135"/>
  <c r="D254" i="135"/>
  <c r="I263" i="135"/>
  <c r="E258" i="135"/>
  <c r="B254" i="135"/>
  <c r="H263" i="135"/>
  <c r="D258" i="135"/>
  <c r="M253" i="135"/>
  <c r="F263" i="135"/>
  <c r="C258" i="135"/>
  <c r="L253" i="135"/>
  <c r="E257" i="135"/>
  <c r="C252" i="135"/>
  <c r="M262" i="135"/>
  <c r="G255" i="135"/>
  <c r="L262" i="135"/>
  <c r="F255" i="135"/>
  <c r="E261" i="135"/>
  <c r="G254" i="135"/>
  <c r="D261" i="135"/>
  <c r="K253" i="135"/>
  <c r="B261" i="135"/>
  <c r="G252" i="135"/>
  <c r="L259" i="135"/>
  <c r="C263" i="135"/>
  <c r="F246" i="135"/>
  <c r="M260" i="135"/>
  <c r="C260" i="135"/>
  <c r="B260" i="135"/>
  <c r="D257" i="135"/>
  <c r="D252" i="135"/>
  <c r="B257" i="135"/>
  <c r="H256" i="135"/>
  <c r="H255" i="135"/>
  <c r="L257" i="135"/>
  <c r="I257" i="135"/>
  <c r="M33" i="134"/>
  <c r="L33" i="134"/>
  <c r="L38" i="134"/>
  <c r="M38" i="134"/>
  <c r="J39" i="133"/>
  <c r="M47" i="133"/>
  <c r="H236" i="139"/>
  <c r="M227" i="139"/>
  <c r="E237" i="139"/>
  <c r="K238" i="139"/>
  <c r="I112" i="127"/>
  <c r="I133" i="139"/>
  <c r="E116" i="129"/>
  <c r="C113" i="129"/>
  <c r="G111" i="129"/>
  <c r="K109" i="129"/>
  <c r="E108" i="129"/>
  <c r="E117" i="129"/>
  <c r="K113" i="129"/>
  <c r="D112" i="129"/>
  <c r="G110" i="129"/>
  <c r="J108" i="129"/>
  <c r="G117" i="129"/>
  <c r="J113" i="129"/>
  <c r="B112" i="129"/>
  <c r="D110" i="129"/>
  <c r="F108" i="129"/>
  <c r="B116" i="129"/>
  <c r="C114" i="129"/>
  <c r="C112" i="129"/>
  <c r="C110" i="129"/>
  <c r="C108" i="129"/>
  <c r="G115" i="129"/>
  <c r="H113" i="129"/>
  <c r="I111" i="129"/>
  <c r="I109" i="129"/>
  <c r="F117" i="129"/>
  <c r="F115" i="129"/>
  <c r="G113" i="129"/>
  <c r="H111" i="129"/>
  <c r="H109" i="129"/>
  <c r="B115" i="129"/>
  <c r="B113" i="129"/>
  <c r="C111" i="129"/>
  <c r="D109" i="129"/>
  <c r="G116" i="129"/>
  <c r="B114" i="129"/>
  <c r="D111" i="129"/>
  <c r="I108" i="129"/>
  <c r="F116" i="129"/>
  <c r="I113" i="129"/>
  <c r="B111" i="129"/>
  <c r="H108" i="129"/>
  <c r="D116" i="129"/>
  <c r="F113" i="129"/>
  <c r="K110" i="129"/>
  <c r="G108" i="129"/>
  <c r="C116" i="129"/>
  <c r="E113" i="129"/>
  <c r="J110" i="129"/>
  <c r="D108" i="129"/>
  <c r="D113" i="129"/>
  <c r="I110" i="129"/>
  <c r="B108" i="129"/>
  <c r="D117" i="129"/>
  <c r="D114" i="129"/>
  <c r="J109" i="129"/>
  <c r="F102" i="129"/>
  <c r="C117" i="129"/>
  <c r="K112" i="129"/>
  <c r="G109" i="129"/>
  <c r="B117" i="129"/>
  <c r="J112" i="129"/>
  <c r="F109" i="129"/>
  <c r="I112" i="129"/>
  <c r="E109" i="129"/>
  <c r="H112" i="129"/>
  <c r="C109" i="129"/>
  <c r="D115" i="129"/>
  <c r="K111" i="129"/>
  <c r="H110" i="129"/>
  <c r="F110" i="129"/>
  <c r="E115" i="129"/>
  <c r="E110" i="129"/>
  <c r="C115" i="129"/>
  <c r="B110" i="129"/>
  <c r="K108" i="129"/>
  <c r="F112" i="129"/>
  <c r="E112" i="129"/>
  <c r="J111" i="129"/>
  <c r="F111" i="129"/>
  <c r="B109" i="129"/>
  <c r="G112" i="129"/>
  <c r="E111" i="129"/>
  <c r="G114" i="129"/>
  <c r="F114" i="129"/>
  <c r="E114" i="129"/>
  <c r="I84" i="135"/>
  <c r="L87" i="135"/>
  <c r="K95" i="135"/>
  <c r="E87" i="135"/>
  <c r="J71" i="135"/>
  <c r="E63" i="135"/>
  <c r="K277" i="135"/>
  <c r="K235" i="131"/>
  <c r="I229" i="131"/>
  <c r="E233" i="131"/>
  <c r="F120" i="125"/>
  <c r="G108" i="123"/>
  <c r="H218" i="123"/>
  <c r="M215" i="123"/>
  <c r="I10" i="123"/>
  <c r="F46" i="123"/>
  <c r="K258" i="123"/>
  <c r="L260" i="123"/>
  <c r="L147" i="123"/>
  <c r="I157" i="123"/>
  <c r="E146" i="131"/>
  <c r="K51" i="123"/>
  <c r="F121" i="121"/>
  <c r="M135" i="121"/>
  <c r="K129" i="121"/>
  <c r="M131" i="121"/>
  <c r="K128" i="121"/>
  <c r="J128" i="121"/>
  <c r="M137" i="121"/>
  <c r="M127" i="121"/>
  <c r="C136" i="121"/>
  <c r="J127" i="121"/>
  <c r="J135" i="121"/>
  <c r="E127" i="121"/>
  <c r="I135" i="121"/>
  <c r="E134" i="121"/>
  <c r="K133" i="121"/>
  <c r="M132" i="121"/>
  <c r="J132" i="121"/>
  <c r="M129" i="121"/>
  <c r="K126" i="121"/>
  <c r="G132" i="121"/>
  <c r="D126" i="121"/>
  <c r="M134" i="121"/>
  <c r="D137" i="121"/>
  <c r="F135" i="121"/>
  <c r="F127" i="121"/>
  <c r="I136" i="121"/>
  <c r="G130" i="121"/>
  <c r="F137" i="121"/>
  <c r="D131" i="121"/>
  <c r="L135" i="121"/>
  <c r="E133" i="121"/>
  <c r="K136" i="121"/>
  <c r="B134" i="121"/>
  <c r="L129" i="121"/>
  <c r="E132" i="121"/>
  <c r="H134" i="121"/>
  <c r="G131" i="121"/>
  <c r="J134" i="121"/>
  <c r="J130" i="121"/>
  <c r="I134" i="121"/>
  <c r="H128" i="121"/>
  <c r="M130" i="121"/>
  <c r="D133" i="121"/>
  <c r="F129" i="121"/>
  <c r="L132" i="121"/>
  <c r="C128" i="121"/>
  <c r="E130" i="121"/>
  <c r="D127" i="121"/>
  <c r="I129" i="121"/>
  <c r="L131" i="121"/>
  <c r="K130" i="121"/>
  <c r="G136" i="121"/>
  <c r="G126" i="121"/>
  <c r="F132" i="121"/>
  <c r="L134" i="121"/>
  <c r="E137" i="121"/>
  <c r="E129" i="121"/>
  <c r="I131" i="121"/>
  <c r="G133" i="121"/>
  <c r="C130" i="121"/>
  <c r="L32" i="110"/>
  <c r="M32" i="110"/>
  <c r="G206" i="127"/>
  <c r="F206" i="127"/>
  <c r="D232" i="127" s="1"/>
  <c r="F213" i="127"/>
  <c r="F212" i="127"/>
  <c r="F214" i="127"/>
  <c r="M212" i="121"/>
  <c r="D221" i="121"/>
  <c r="J217" i="121"/>
  <c r="J48" i="131"/>
  <c r="E48" i="131"/>
  <c r="K10" i="123"/>
  <c r="C48" i="131"/>
  <c r="D116" i="121"/>
  <c r="H113" i="121"/>
  <c r="D112" i="121"/>
  <c r="L110" i="121"/>
  <c r="H109" i="121"/>
  <c r="D108" i="121"/>
  <c r="L106" i="121"/>
  <c r="H105" i="121"/>
  <c r="B116" i="121"/>
  <c r="F113" i="121"/>
  <c r="B112" i="121"/>
  <c r="J110" i="121"/>
  <c r="F109" i="121"/>
  <c r="B108" i="121"/>
  <c r="J106" i="121"/>
  <c r="F105" i="121"/>
  <c r="I114" i="121"/>
  <c r="E113" i="121"/>
  <c r="M111" i="121"/>
  <c r="I110" i="121"/>
  <c r="E109" i="121"/>
  <c r="M107" i="121"/>
  <c r="I106" i="121"/>
  <c r="E105" i="121"/>
  <c r="H114" i="121"/>
  <c r="D113" i="121"/>
  <c r="L111" i="121"/>
  <c r="H110" i="121"/>
  <c r="D109" i="121"/>
  <c r="L107" i="121"/>
  <c r="H106" i="121"/>
  <c r="D105" i="121"/>
  <c r="H115" i="121"/>
  <c r="D114" i="121"/>
  <c r="L112" i="121"/>
  <c r="H111" i="121"/>
  <c r="D110" i="121"/>
  <c r="L108" i="121"/>
  <c r="H107" i="121"/>
  <c r="D106" i="121"/>
  <c r="K112" i="121"/>
  <c r="B111" i="121"/>
  <c r="M108" i="121"/>
  <c r="C107" i="121"/>
  <c r="B105" i="121"/>
  <c r="I116" i="121"/>
  <c r="J112" i="121"/>
  <c r="M110" i="121"/>
  <c r="K108" i="121"/>
  <c r="B107" i="121"/>
  <c r="H116" i="121"/>
  <c r="G114" i="121"/>
  <c r="I112" i="121"/>
  <c r="K110" i="121"/>
  <c r="J108" i="121"/>
  <c r="M106" i="121"/>
  <c r="G116" i="121"/>
  <c r="F114" i="121"/>
  <c r="H112" i="121"/>
  <c r="G110" i="121"/>
  <c r="I108" i="121"/>
  <c r="K106" i="121"/>
  <c r="E116" i="121"/>
  <c r="C114" i="121"/>
  <c r="F112" i="121"/>
  <c r="E110" i="121"/>
  <c r="G108" i="121"/>
  <c r="F106" i="121"/>
  <c r="C113" i="121"/>
  <c r="B110" i="121"/>
  <c r="G107" i="121"/>
  <c r="I115" i="121"/>
  <c r="B113" i="121"/>
  <c r="M109" i="121"/>
  <c r="F107" i="121"/>
  <c r="G115" i="121"/>
  <c r="M112" i="121"/>
  <c r="L109" i="121"/>
  <c r="E107" i="121"/>
  <c r="F115" i="121"/>
  <c r="G112" i="121"/>
  <c r="K109" i="121"/>
  <c r="D107" i="121"/>
  <c r="D115" i="121"/>
  <c r="C112" i="121"/>
  <c r="I109" i="121"/>
  <c r="E106" i="121"/>
  <c r="C116" i="121"/>
  <c r="I111" i="121"/>
  <c r="K107" i="121"/>
  <c r="F99" i="121"/>
  <c r="G111" i="121"/>
  <c r="J107" i="121"/>
  <c r="E115" i="121"/>
  <c r="F111" i="121"/>
  <c r="I107" i="121"/>
  <c r="C115" i="121"/>
  <c r="E111" i="121"/>
  <c r="G106" i="121"/>
  <c r="B115" i="121"/>
  <c r="D111" i="121"/>
  <c r="C106" i="121"/>
  <c r="J109" i="121"/>
  <c r="K105" i="121"/>
  <c r="F110" i="121"/>
  <c r="C110" i="121"/>
  <c r="C109" i="121"/>
  <c r="F116" i="121"/>
  <c r="B109" i="121"/>
  <c r="B114" i="121"/>
  <c r="M105" i="121"/>
  <c r="J105" i="121"/>
  <c r="I105" i="121"/>
  <c r="I113" i="121"/>
  <c r="G105" i="121"/>
  <c r="G113" i="121"/>
  <c r="C105" i="121"/>
  <c r="E112" i="121"/>
  <c r="E114" i="121"/>
  <c r="K111" i="121"/>
  <c r="J111" i="121"/>
  <c r="H108" i="121"/>
  <c r="F108" i="121"/>
  <c r="E108" i="121"/>
  <c r="G109" i="121"/>
  <c r="C111" i="121"/>
  <c r="C108" i="121"/>
  <c r="B106" i="121"/>
  <c r="L105" i="121"/>
  <c r="K154" i="115"/>
  <c r="D153" i="115"/>
  <c r="L37" i="116"/>
  <c r="M37" i="116"/>
  <c r="G171" i="121"/>
  <c r="K172" i="121"/>
  <c r="G174" i="121"/>
  <c r="B173" i="121"/>
  <c r="L30" i="114"/>
  <c r="M30" i="114"/>
  <c r="D83" i="109"/>
  <c r="D79" i="109"/>
  <c r="G84" i="109"/>
  <c r="F82" i="109"/>
  <c r="E80" i="109"/>
  <c r="G86" i="109"/>
  <c r="F84" i="109"/>
  <c r="D80" i="109"/>
  <c r="F86" i="109"/>
  <c r="E84" i="109"/>
  <c r="C80" i="109"/>
  <c r="D84" i="109"/>
  <c r="C82" i="109"/>
  <c r="B80" i="109"/>
  <c r="C84" i="109"/>
  <c r="B82" i="109"/>
  <c r="I79" i="109"/>
  <c r="G85" i="109"/>
  <c r="F83" i="109"/>
  <c r="C79" i="109"/>
  <c r="F73" i="109"/>
  <c r="C85" i="109"/>
  <c r="G81" i="109"/>
  <c r="B85" i="109"/>
  <c r="F81" i="109"/>
  <c r="I84" i="109"/>
  <c r="C81" i="109"/>
  <c r="H84" i="109"/>
  <c r="B81" i="109"/>
  <c r="E83" i="109"/>
  <c r="H79" i="109"/>
  <c r="F85" i="109"/>
  <c r="F80" i="109"/>
  <c r="G79" i="109"/>
  <c r="B84" i="109"/>
  <c r="F79" i="109"/>
  <c r="G83" i="109"/>
  <c r="H83" i="109"/>
  <c r="C83" i="109"/>
  <c r="B83" i="109"/>
  <c r="G82" i="109"/>
  <c r="C86" i="109"/>
  <c r="B86" i="109"/>
  <c r="I83" i="109"/>
  <c r="G80" i="109"/>
  <c r="E79" i="109"/>
  <c r="B79" i="109"/>
  <c r="I80" i="109"/>
  <c r="H80" i="109"/>
  <c r="F116" i="111"/>
  <c r="L32" i="108"/>
  <c r="M32" i="108"/>
  <c r="I9" i="111"/>
  <c r="J9" i="111"/>
  <c r="L38" i="92"/>
  <c r="M38" i="92"/>
  <c r="B101" i="85"/>
  <c r="M130" i="111"/>
  <c r="I14" i="81"/>
  <c r="J14" i="81" s="1"/>
  <c r="K155" i="141"/>
  <c r="H148" i="141"/>
  <c r="I64" i="141"/>
  <c r="I156" i="141"/>
  <c r="D125" i="139"/>
  <c r="D276" i="135"/>
  <c r="M233" i="131"/>
  <c r="F50" i="143"/>
  <c r="L188" i="141"/>
  <c r="G274" i="135"/>
  <c r="B48" i="139"/>
  <c r="G275" i="133"/>
  <c r="F275" i="133"/>
  <c r="J231" i="139"/>
  <c r="J230" i="131"/>
  <c r="D113" i="123"/>
  <c r="J9" i="121"/>
  <c r="I9" i="121"/>
  <c r="E158" i="123"/>
  <c r="M154" i="123"/>
  <c r="M35" i="120"/>
  <c r="L35" i="120"/>
  <c r="M36" i="134"/>
  <c r="L36" i="134"/>
  <c r="C221" i="121"/>
  <c r="J125" i="143"/>
  <c r="I42" i="143"/>
  <c r="B156" i="143"/>
  <c r="F153" i="143"/>
  <c r="B152" i="143"/>
  <c r="J150" i="143"/>
  <c r="F149" i="143"/>
  <c r="B148" i="143"/>
  <c r="J146" i="143"/>
  <c r="F145" i="143"/>
  <c r="L156" i="143"/>
  <c r="G155" i="143"/>
  <c r="B154" i="143"/>
  <c r="I152" i="143"/>
  <c r="D151" i="143"/>
  <c r="K149" i="143"/>
  <c r="F148" i="143"/>
  <c r="M146" i="143"/>
  <c r="H145" i="143"/>
  <c r="J156" i="143"/>
  <c r="D155" i="143"/>
  <c r="D152" i="143"/>
  <c r="I150" i="143"/>
  <c r="C149" i="143"/>
  <c r="I147" i="143"/>
  <c r="C146" i="143"/>
  <c r="E156" i="143"/>
  <c r="J151" i="143"/>
  <c r="D150" i="143"/>
  <c r="J145" i="143"/>
  <c r="M156" i="143"/>
  <c r="C155" i="143"/>
  <c r="G153" i="143"/>
  <c r="I151" i="143"/>
  <c r="M149" i="143"/>
  <c r="G146" i="143"/>
  <c r="F156" i="143"/>
  <c r="H154" i="143"/>
  <c r="L152" i="143"/>
  <c r="C151" i="143"/>
  <c r="G149" i="143"/>
  <c r="M145" i="143"/>
  <c r="G156" i="143"/>
  <c r="F154" i="143"/>
  <c r="G152" i="143"/>
  <c r="G150" i="143"/>
  <c r="H148" i="143"/>
  <c r="H146" i="143"/>
  <c r="D156" i="143"/>
  <c r="F152" i="143"/>
  <c r="F150" i="143"/>
  <c r="G148" i="143"/>
  <c r="F146" i="143"/>
  <c r="C156" i="143"/>
  <c r="M153" i="143"/>
  <c r="K151" i="143"/>
  <c r="H149" i="143"/>
  <c r="B145" i="143"/>
  <c r="L155" i="143"/>
  <c r="G151" i="143"/>
  <c r="D149" i="143"/>
  <c r="B147" i="143"/>
  <c r="I155" i="143"/>
  <c r="B151" i="143"/>
  <c r="L148" i="143"/>
  <c r="I146" i="143"/>
  <c r="G154" i="143"/>
  <c r="H151" i="143"/>
  <c r="L145" i="143"/>
  <c r="C154" i="143"/>
  <c r="E151" i="143"/>
  <c r="I145" i="143"/>
  <c r="I153" i="143"/>
  <c r="H150" i="143"/>
  <c r="G147" i="143"/>
  <c r="K156" i="143"/>
  <c r="H153" i="143"/>
  <c r="E150" i="143"/>
  <c r="F147" i="143"/>
  <c r="M155" i="143"/>
  <c r="M152" i="143"/>
  <c r="L149" i="143"/>
  <c r="K146" i="143"/>
  <c r="B150" i="143"/>
  <c r="B146" i="143"/>
  <c r="B153" i="143"/>
  <c r="E149" i="143"/>
  <c r="E145" i="143"/>
  <c r="H152" i="143"/>
  <c r="M147" i="143"/>
  <c r="E152" i="143"/>
  <c r="I156" i="143"/>
  <c r="C152" i="143"/>
  <c r="H147" i="143"/>
  <c r="H156" i="143"/>
  <c r="M151" i="143"/>
  <c r="C147" i="143"/>
  <c r="K155" i="143"/>
  <c r="L151" i="143"/>
  <c r="L146" i="143"/>
  <c r="J155" i="143"/>
  <c r="F151" i="143"/>
  <c r="E146" i="143"/>
  <c r="H155" i="143"/>
  <c r="M150" i="143"/>
  <c r="D146" i="143"/>
  <c r="L154" i="143"/>
  <c r="K145" i="143"/>
  <c r="L153" i="143"/>
  <c r="C145" i="143"/>
  <c r="C153" i="143"/>
  <c r="K152" i="143"/>
  <c r="J152" i="143"/>
  <c r="L150" i="143"/>
  <c r="F139" i="143"/>
  <c r="I149" i="143"/>
  <c r="I148" i="143"/>
  <c r="C148" i="143"/>
  <c r="L147" i="143"/>
  <c r="G145" i="143"/>
  <c r="D145" i="143"/>
  <c r="B155" i="143"/>
  <c r="C150" i="143"/>
  <c r="J149" i="143"/>
  <c r="B149" i="143"/>
  <c r="M148" i="143"/>
  <c r="I154" i="143"/>
  <c r="F155" i="143"/>
  <c r="E155" i="143"/>
  <c r="M154" i="143"/>
  <c r="K150" i="143"/>
  <c r="K108" i="143"/>
  <c r="F111" i="143"/>
  <c r="F62" i="141"/>
  <c r="D155" i="141"/>
  <c r="H41" i="143"/>
  <c r="L130" i="143"/>
  <c r="C127" i="143"/>
  <c r="F49" i="143"/>
  <c r="J44" i="143"/>
  <c r="F43" i="143"/>
  <c r="C114" i="143"/>
  <c r="D105" i="143"/>
  <c r="F98" i="143"/>
  <c r="C113" i="143"/>
  <c r="C109" i="143"/>
  <c r="H105" i="143"/>
  <c r="D112" i="143"/>
  <c r="J107" i="143"/>
  <c r="I103" i="143"/>
  <c r="F110" i="143"/>
  <c r="C106" i="143"/>
  <c r="D110" i="143"/>
  <c r="L105" i="143"/>
  <c r="C110" i="143"/>
  <c r="K105" i="143"/>
  <c r="F114" i="143"/>
  <c r="K109" i="143"/>
  <c r="I105" i="143"/>
  <c r="I109" i="143"/>
  <c r="M104" i="143"/>
  <c r="E109" i="143"/>
  <c r="L104" i="143"/>
  <c r="H111" i="143"/>
  <c r="L103" i="143"/>
  <c r="I108" i="143"/>
  <c r="M107" i="143"/>
  <c r="G107" i="143"/>
  <c r="E107" i="143"/>
  <c r="C107" i="143"/>
  <c r="D113" i="143"/>
  <c r="C104" i="143"/>
  <c r="G111" i="143"/>
  <c r="B111" i="143"/>
  <c r="M110" i="143"/>
  <c r="D109" i="143"/>
  <c r="G106" i="143"/>
  <c r="I113" i="143"/>
  <c r="M108" i="143"/>
  <c r="H113" i="143"/>
  <c r="M103" i="143"/>
  <c r="G103" i="143"/>
  <c r="B103" i="143"/>
  <c r="H106" i="143"/>
  <c r="E113" i="143"/>
  <c r="J106" i="143"/>
  <c r="I106" i="143"/>
  <c r="K106" i="143"/>
  <c r="D103" i="143"/>
  <c r="D108" i="143"/>
  <c r="E104" i="143"/>
  <c r="B104" i="139"/>
  <c r="B193" i="143"/>
  <c r="B190" i="143"/>
  <c r="F192" i="143"/>
  <c r="M189" i="143"/>
  <c r="C193" i="143"/>
  <c r="I190" i="143"/>
  <c r="K145" i="141"/>
  <c r="D152" i="141"/>
  <c r="F156" i="141"/>
  <c r="E156" i="141"/>
  <c r="F238" i="141"/>
  <c r="D235" i="141"/>
  <c r="G239" i="141"/>
  <c r="G234" i="141"/>
  <c r="C238" i="141"/>
  <c r="J239" i="141"/>
  <c r="I192" i="141"/>
  <c r="K31" i="142"/>
  <c r="F196" i="141"/>
  <c r="K198" i="141"/>
  <c r="L196" i="141"/>
  <c r="J191" i="141"/>
  <c r="I9" i="139"/>
  <c r="D132" i="139"/>
  <c r="I130" i="139"/>
  <c r="E125" i="139"/>
  <c r="C130" i="139"/>
  <c r="J133" i="139"/>
  <c r="F37" i="137"/>
  <c r="E277" i="135"/>
  <c r="F280" i="135"/>
  <c r="L189" i="135"/>
  <c r="H49" i="139"/>
  <c r="J166" i="133"/>
  <c r="K174" i="133"/>
  <c r="I81" i="133"/>
  <c r="M87" i="133"/>
  <c r="I194" i="135"/>
  <c r="C172" i="133"/>
  <c r="D168" i="133"/>
  <c r="E164" i="133"/>
  <c r="C164" i="133"/>
  <c r="M80" i="133"/>
  <c r="C87" i="133"/>
  <c r="J84" i="133"/>
  <c r="H83" i="133"/>
  <c r="E42" i="133"/>
  <c r="G49" i="133"/>
  <c r="M31" i="130"/>
  <c r="L31" i="130"/>
  <c r="F299" i="131"/>
  <c r="G301" i="131"/>
  <c r="F294" i="131"/>
  <c r="G294" i="131"/>
  <c r="F303" i="131"/>
  <c r="G295" i="131"/>
  <c r="B117" i="137"/>
  <c r="D233" i="139"/>
  <c r="J229" i="139"/>
  <c r="D228" i="139"/>
  <c r="I230" i="139"/>
  <c r="K227" i="139"/>
  <c r="H114" i="127"/>
  <c r="I138" i="127"/>
  <c r="C137" i="127"/>
  <c r="G135" i="127"/>
  <c r="K133" i="127"/>
  <c r="I130" i="127"/>
  <c r="C129" i="127"/>
  <c r="B138" i="127"/>
  <c r="H134" i="127"/>
  <c r="K132" i="127"/>
  <c r="G129" i="127"/>
  <c r="C138" i="127"/>
  <c r="F134" i="127"/>
  <c r="J130" i="127"/>
  <c r="G137" i="127"/>
  <c r="J133" i="127"/>
  <c r="B132" i="127"/>
  <c r="D130" i="127"/>
  <c r="D137" i="127"/>
  <c r="C135" i="127"/>
  <c r="C133" i="127"/>
  <c r="B131" i="127"/>
  <c r="B137" i="127"/>
  <c r="B135" i="127"/>
  <c r="B133" i="127"/>
  <c r="K130" i="127"/>
  <c r="K136" i="127"/>
  <c r="K134" i="127"/>
  <c r="J132" i="127"/>
  <c r="H130" i="127"/>
  <c r="K138" i="127"/>
  <c r="J136" i="127"/>
  <c r="J134" i="127"/>
  <c r="G130" i="127"/>
  <c r="J138" i="127"/>
  <c r="I134" i="127"/>
  <c r="G132" i="127"/>
  <c r="F130" i="127"/>
  <c r="B136" i="127"/>
  <c r="E133" i="127"/>
  <c r="K129" i="127"/>
  <c r="H138" i="127"/>
  <c r="K135" i="127"/>
  <c r="D133" i="127"/>
  <c r="J129" i="127"/>
  <c r="G138" i="127"/>
  <c r="J135" i="127"/>
  <c r="F132" i="127"/>
  <c r="I129" i="127"/>
  <c r="F138" i="127"/>
  <c r="H129" i="127"/>
  <c r="E138" i="127"/>
  <c r="F135" i="127"/>
  <c r="C132" i="127"/>
  <c r="F129" i="127"/>
  <c r="I137" i="127"/>
  <c r="E134" i="127"/>
  <c r="F136" i="127"/>
  <c r="F131" i="127"/>
  <c r="C136" i="127"/>
  <c r="C131" i="127"/>
  <c r="E130" i="127"/>
  <c r="D134" i="127"/>
  <c r="B130" i="127"/>
  <c r="D138" i="127"/>
  <c r="J131" i="127"/>
  <c r="K137" i="127"/>
  <c r="J137" i="127"/>
  <c r="G131" i="127"/>
  <c r="H137" i="127"/>
  <c r="C130" i="127"/>
  <c r="E137" i="127"/>
  <c r="D129" i="127"/>
  <c r="C134" i="127"/>
  <c r="B134" i="127"/>
  <c r="I133" i="127"/>
  <c r="H133" i="127"/>
  <c r="G133" i="127"/>
  <c r="B129" i="127"/>
  <c r="G136" i="127"/>
  <c r="G134" i="127"/>
  <c r="K131" i="127"/>
  <c r="E129" i="127"/>
  <c r="F133" i="127"/>
  <c r="F123" i="127"/>
  <c r="F137" i="127"/>
  <c r="E86" i="135"/>
  <c r="B90" i="135"/>
  <c r="D85" i="135"/>
  <c r="L88" i="135"/>
  <c r="G94" i="135"/>
  <c r="H234" i="139"/>
  <c r="H143" i="139"/>
  <c r="K151" i="139"/>
  <c r="G150" i="139"/>
  <c r="E144" i="139"/>
  <c r="H65" i="135"/>
  <c r="G70" i="135"/>
  <c r="M73" i="135"/>
  <c r="C66" i="135"/>
  <c r="H276" i="135"/>
  <c r="H280" i="135"/>
  <c r="F273" i="135"/>
  <c r="J8" i="135"/>
  <c r="I8" i="135"/>
  <c r="H238" i="131"/>
  <c r="E231" i="131"/>
  <c r="L234" i="131"/>
  <c r="K229" i="131"/>
  <c r="G122" i="125"/>
  <c r="J216" i="123"/>
  <c r="G11" i="129"/>
  <c r="K221" i="123"/>
  <c r="H170" i="123"/>
  <c r="B110" i="123"/>
  <c r="M111" i="123"/>
  <c r="I6" i="125"/>
  <c r="J6" i="125" s="1"/>
  <c r="E176" i="123"/>
  <c r="H211" i="123"/>
  <c r="M221" i="123"/>
  <c r="B176" i="123"/>
  <c r="B199" i="135"/>
  <c r="L383" i="121"/>
  <c r="B251" i="119"/>
  <c r="M28" i="126"/>
  <c r="L28" i="126"/>
  <c r="D157" i="123"/>
  <c r="J253" i="123"/>
  <c r="D262" i="123"/>
  <c r="I155" i="123"/>
  <c r="G149" i="123"/>
  <c r="F153" i="123"/>
  <c r="M158" i="123"/>
  <c r="J6" i="123"/>
  <c r="I6" i="123"/>
  <c r="K6" i="123" s="1"/>
  <c r="F154" i="131"/>
  <c r="D145" i="131"/>
  <c r="M49" i="123"/>
  <c r="F53" i="123"/>
  <c r="I46" i="123"/>
  <c r="K131" i="121"/>
  <c r="D62" i="119"/>
  <c r="M68" i="119"/>
  <c r="D68" i="119"/>
  <c r="G135" i="123"/>
  <c r="J129" i="123"/>
  <c r="L136" i="123"/>
  <c r="D133" i="123"/>
  <c r="I134" i="123"/>
  <c r="K137" i="121"/>
  <c r="G128" i="121"/>
  <c r="F131" i="121"/>
  <c r="H129" i="121"/>
  <c r="F136" i="121"/>
  <c r="I16" i="131"/>
  <c r="J16" i="131" s="1"/>
  <c r="L128" i="121"/>
  <c r="I119" i="127"/>
  <c r="C90" i="119"/>
  <c r="I87" i="119"/>
  <c r="F86" i="119"/>
  <c r="I82" i="119"/>
  <c r="I9" i="137"/>
  <c r="J9" i="137" s="1"/>
  <c r="B84" i="123"/>
  <c r="B259" i="119"/>
  <c r="I257" i="119"/>
  <c r="K211" i="121"/>
  <c r="J212" i="121"/>
  <c r="E215" i="121"/>
  <c r="L210" i="121"/>
  <c r="B219" i="121"/>
  <c r="E51" i="131"/>
  <c r="K46" i="131"/>
  <c r="B50" i="131"/>
  <c r="K36" i="130"/>
  <c r="D151" i="115"/>
  <c r="J154" i="115"/>
  <c r="M29" i="116"/>
  <c r="L29" i="116"/>
  <c r="I40" i="115"/>
  <c r="K171" i="121"/>
  <c r="F175" i="121"/>
  <c r="J168" i="121"/>
  <c r="F174" i="121"/>
  <c r="G205" i="115"/>
  <c r="F205" i="115"/>
  <c r="G210" i="115"/>
  <c r="G206" i="115"/>
  <c r="F213" i="115"/>
  <c r="E273" i="113"/>
  <c r="K10" i="113"/>
  <c r="N10" i="113"/>
  <c r="A252" i="113" s="1"/>
  <c r="M33" i="114"/>
  <c r="L33" i="114"/>
  <c r="L42" i="108"/>
  <c r="M42" i="108"/>
  <c r="E63" i="97"/>
  <c r="F25" i="87"/>
  <c r="B37" i="87"/>
  <c r="G32" i="87"/>
  <c r="H36" i="87"/>
  <c r="F32" i="87"/>
  <c r="F36" i="87"/>
  <c r="I30" i="87"/>
  <c r="I32" i="87"/>
  <c r="H30" i="87"/>
  <c r="F30" i="87"/>
  <c r="E37" i="87"/>
  <c r="E35" i="87"/>
  <c r="E34" i="87"/>
  <c r="D34" i="87"/>
  <c r="G36" i="87"/>
  <c r="D36" i="87"/>
  <c r="F35" i="87"/>
  <c r="F34" i="87"/>
  <c r="E36" i="87"/>
  <c r="H35" i="87"/>
  <c r="F31" i="87"/>
  <c r="H33" i="87"/>
  <c r="H34" i="87"/>
  <c r="C36" i="87"/>
  <c r="H31" i="87"/>
  <c r="C34" i="87"/>
  <c r="G37" i="87"/>
  <c r="F37" i="87"/>
  <c r="G33" i="87"/>
  <c r="G31" i="87"/>
  <c r="C37" i="87"/>
  <c r="C35" i="87"/>
  <c r="I34" i="87"/>
  <c r="I37" i="87"/>
  <c r="I35" i="87"/>
  <c r="I33" i="87"/>
  <c r="I31" i="87"/>
  <c r="H37" i="87"/>
  <c r="G35" i="87"/>
  <c r="G30" i="87"/>
  <c r="D37" i="87"/>
  <c r="I15" i="97"/>
  <c r="M34" i="106"/>
  <c r="L34" i="106"/>
  <c r="C98" i="99"/>
  <c r="D422" i="99"/>
  <c r="F422" i="99"/>
  <c r="L71" i="117"/>
  <c r="N224" i="89"/>
  <c r="G210" i="89"/>
  <c r="L266" i="89" s="1"/>
  <c r="F210" i="89"/>
  <c r="J17" i="83"/>
  <c r="I17" i="83"/>
  <c r="F214" i="89"/>
  <c r="F628" i="83"/>
  <c r="D628" i="83"/>
  <c r="H51" i="75"/>
  <c r="M36" i="74"/>
  <c r="L36" i="74"/>
  <c r="G271" i="133"/>
  <c r="G278" i="133"/>
  <c r="F271" i="133"/>
  <c r="G153" i="141"/>
  <c r="J125" i="139"/>
  <c r="F36" i="131"/>
  <c r="H45" i="131"/>
  <c r="C45" i="131"/>
  <c r="D49" i="131"/>
  <c r="C49" i="131"/>
  <c r="M49" i="131"/>
  <c r="B44" i="131"/>
  <c r="K44" i="131"/>
  <c r="C44" i="131"/>
  <c r="E46" i="131"/>
  <c r="J51" i="131"/>
  <c r="I48" i="131"/>
  <c r="I50" i="131"/>
  <c r="I47" i="131"/>
  <c r="M46" i="131"/>
  <c r="L49" i="131"/>
  <c r="J44" i="131"/>
  <c r="B51" i="131"/>
  <c r="J40" i="131"/>
  <c r="K47" i="131"/>
  <c r="B46" i="131"/>
  <c r="G45" i="131"/>
  <c r="B48" i="131"/>
  <c r="K41" i="131"/>
  <c r="J46" i="131"/>
  <c r="L47" i="131"/>
  <c r="B49" i="131"/>
  <c r="F46" i="131"/>
  <c r="H44" i="131"/>
  <c r="M43" i="131"/>
  <c r="K45" i="131"/>
  <c r="J49" i="131"/>
  <c r="M42" i="131"/>
  <c r="H40" i="131"/>
  <c r="K40" i="131"/>
  <c r="M44" i="131"/>
  <c r="G42" i="131"/>
  <c r="L43" i="131"/>
  <c r="B47" i="131"/>
  <c r="M50" i="131"/>
  <c r="J45" i="131"/>
  <c r="B45" i="131"/>
  <c r="G43" i="131"/>
  <c r="H41" i="131"/>
  <c r="M40" i="131"/>
  <c r="L41" i="131"/>
  <c r="G44" i="131"/>
  <c r="I46" i="131"/>
  <c r="G40" i="131"/>
  <c r="K43" i="131"/>
  <c r="F50" i="131"/>
  <c r="F51" i="131"/>
  <c r="J41" i="131"/>
  <c r="K42" i="131"/>
  <c r="K51" i="131"/>
  <c r="J43" i="131"/>
  <c r="D48" i="131"/>
  <c r="L48" i="131"/>
  <c r="J47" i="131"/>
  <c r="F47" i="131"/>
  <c r="F42" i="131"/>
  <c r="F43" i="131"/>
  <c r="G41" i="131"/>
  <c r="J42" i="131"/>
  <c r="D45" i="131"/>
  <c r="H48" i="131"/>
  <c r="H43" i="131"/>
  <c r="I41" i="131"/>
  <c r="F41" i="131"/>
  <c r="M45" i="131"/>
  <c r="C51" i="131"/>
  <c r="E45" i="131"/>
  <c r="D51" i="131"/>
  <c r="E275" i="135"/>
  <c r="L235" i="131"/>
  <c r="B51" i="143"/>
  <c r="E152" i="141"/>
  <c r="L35" i="140"/>
  <c r="M35" i="140"/>
  <c r="J129" i="139"/>
  <c r="M106" i="143"/>
  <c r="M70" i="141"/>
  <c r="H149" i="141"/>
  <c r="D153" i="141"/>
  <c r="D48" i="133"/>
  <c r="H229" i="139"/>
  <c r="E95" i="135"/>
  <c r="D282" i="135"/>
  <c r="G276" i="133"/>
  <c r="M168" i="123"/>
  <c r="F216" i="123"/>
  <c r="K36" i="122"/>
  <c r="M263" i="123"/>
  <c r="I127" i="143"/>
  <c r="H49" i="143"/>
  <c r="L109" i="143"/>
  <c r="E193" i="143"/>
  <c r="H193" i="143"/>
  <c r="I188" i="143"/>
  <c r="E191" i="143"/>
  <c r="M188" i="143"/>
  <c r="M38" i="140"/>
  <c r="L38" i="140"/>
  <c r="I129" i="143"/>
  <c r="C112" i="143"/>
  <c r="I110" i="143"/>
  <c r="H103" i="143"/>
  <c r="B114" i="143"/>
  <c r="I7" i="143"/>
  <c r="J7" i="143" s="1"/>
  <c r="M30" i="140"/>
  <c r="L30" i="140"/>
  <c r="I195" i="141"/>
  <c r="M129" i="139"/>
  <c r="H38" i="133"/>
  <c r="G190" i="135"/>
  <c r="J40" i="139"/>
  <c r="J85" i="133"/>
  <c r="G296" i="131"/>
  <c r="F296" i="131"/>
  <c r="H47" i="133"/>
  <c r="L33" i="130"/>
  <c r="M33" i="130"/>
  <c r="M228" i="139"/>
  <c r="M85" i="135"/>
  <c r="I153" i="139"/>
  <c r="K148" i="139"/>
  <c r="L143" i="139"/>
  <c r="M148" i="139"/>
  <c r="K153" i="139"/>
  <c r="K14" i="133"/>
  <c r="M71" i="135"/>
  <c r="L67" i="135"/>
  <c r="C71" i="135"/>
  <c r="H283" i="135"/>
  <c r="H284" i="135"/>
  <c r="D240" i="131"/>
  <c r="F184" i="129"/>
  <c r="F186" i="129"/>
  <c r="G184" i="129"/>
  <c r="G189" i="129"/>
  <c r="F191" i="129"/>
  <c r="F192" i="129"/>
  <c r="G219" i="123"/>
  <c r="K168" i="123"/>
  <c r="I171" i="123"/>
  <c r="L112" i="123"/>
  <c r="I110" i="123"/>
  <c r="D211" i="123"/>
  <c r="I193" i="135"/>
  <c r="I9" i="131"/>
  <c r="B252" i="123"/>
  <c r="K7" i="127"/>
  <c r="L255" i="123"/>
  <c r="J147" i="123"/>
  <c r="K151" i="123"/>
  <c r="K152" i="131"/>
  <c r="G150" i="131"/>
  <c r="J145" i="131"/>
  <c r="J156" i="131"/>
  <c r="D46" i="123"/>
  <c r="L46" i="123"/>
  <c r="F130" i="123"/>
  <c r="K132" i="123"/>
  <c r="E131" i="123"/>
  <c r="I131" i="123"/>
  <c r="E133" i="123"/>
  <c r="G49" i="143"/>
  <c r="M42" i="143"/>
  <c r="D133" i="143"/>
  <c r="H126" i="143"/>
  <c r="H128" i="143"/>
  <c r="E46" i="143"/>
  <c r="L46" i="143"/>
  <c r="D45" i="143"/>
  <c r="G40" i="143"/>
  <c r="B72" i="143"/>
  <c r="J70" i="143"/>
  <c r="F69" i="143"/>
  <c r="B68" i="143"/>
  <c r="J66" i="143"/>
  <c r="B64" i="143"/>
  <c r="J62" i="143"/>
  <c r="F61" i="143"/>
  <c r="J72" i="143"/>
  <c r="E71" i="143"/>
  <c r="L69" i="143"/>
  <c r="G68" i="143"/>
  <c r="B67" i="143"/>
  <c r="I65" i="143"/>
  <c r="K62" i="143"/>
  <c r="E61" i="143"/>
  <c r="E72" i="143"/>
  <c r="L70" i="143"/>
  <c r="G69" i="143"/>
  <c r="M67" i="143"/>
  <c r="H66" i="143"/>
  <c r="C65" i="143"/>
  <c r="J63" i="143"/>
  <c r="E62" i="143"/>
  <c r="I71" i="143"/>
  <c r="B70" i="143"/>
  <c r="F68" i="143"/>
  <c r="K66" i="143"/>
  <c r="B65" i="143"/>
  <c r="L61" i="143"/>
  <c r="K72" i="143"/>
  <c r="C71" i="143"/>
  <c r="H69" i="143"/>
  <c r="K67" i="143"/>
  <c r="I64" i="143"/>
  <c r="B63" i="143"/>
  <c r="G61" i="143"/>
  <c r="F55" i="143"/>
  <c r="H72" i="143"/>
  <c r="I70" i="143"/>
  <c r="L68" i="143"/>
  <c r="C67" i="143"/>
  <c r="H61" i="143"/>
  <c r="G72" i="143"/>
  <c r="H70" i="143"/>
  <c r="K68" i="143"/>
  <c r="M66" i="143"/>
  <c r="M64" i="143"/>
  <c r="D61" i="143"/>
  <c r="D71" i="143"/>
  <c r="B69" i="143"/>
  <c r="L66" i="143"/>
  <c r="J64" i="143"/>
  <c r="H62" i="143"/>
  <c r="M70" i="143"/>
  <c r="J68" i="143"/>
  <c r="F62" i="143"/>
  <c r="I72" i="143"/>
  <c r="F70" i="143"/>
  <c r="E68" i="143"/>
  <c r="C66" i="143"/>
  <c r="C64" i="143"/>
  <c r="B62" i="143"/>
  <c r="C72" i="143"/>
  <c r="J69" i="143"/>
  <c r="E67" i="143"/>
  <c r="K61" i="143"/>
  <c r="L71" i="143"/>
  <c r="E70" i="143"/>
  <c r="I67" i="143"/>
  <c r="L64" i="143"/>
  <c r="C62" i="143"/>
  <c r="D70" i="143"/>
  <c r="H67" i="143"/>
  <c r="K64" i="143"/>
  <c r="M61" i="143"/>
  <c r="L72" i="143"/>
  <c r="K69" i="143"/>
  <c r="D67" i="143"/>
  <c r="M63" i="143"/>
  <c r="C61" i="143"/>
  <c r="I69" i="143"/>
  <c r="B66" i="143"/>
  <c r="M62" i="143"/>
  <c r="F72" i="143"/>
  <c r="C69" i="143"/>
  <c r="K65" i="143"/>
  <c r="G62" i="143"/>
  <c r="M69" i="143"/>
  <c r="L65" i="143"/>
  <c r="J61" i="143"/>
  <c r="B71" i="143"/>
  <c r="I62" i="143"/>
  <c r="K70" i="143"/>
  <c r="D62" i="143"/>
  <c r="G70" i="143"/>
  <c r="M65" i="143"/>
  <c r="I61" i="143"/>
  <c r="C70" i="143"/>
  <c r="J65" i="143"/>
  <c r="B61" i="143"/>
  <c r="E69" i="143"/>
  <c r="H65" i="143"/>
  <c r="D69" i="143"/>
  <c r="H71" i="143"/>
  <c r="L63" i="143"/>
  <c r="G67" i="143"/>
  <c r="M72" i="143"/>
  <c r="I66" i="143"/>
  <c r="D72" i="143"/>
  <c r="M71" i="143"/>
  <c r="H64" i="143"/>
  <c r="F71" i="143"/>
  <c r="H63" i="143"/>
  <c r="C68" i="143"/>
  <c r="L67" i="143"/>
  <c r="J67" i="143"/>
  <c r="F67" i="143"/>
  <c r="C63" i="143"/>
  <c r="K71" i="143"/>
  <c r="I68" i="143"/>
  <c r="J71" i="143"/>
  <c r="G71" i="143"/>
  <c r="M68" i="143"/>
  <c r="H68" i="143"/>
  <c r="D68" i="143"/>
  <c r="L62" i="143"/>
  <c r="K63" i="143"/>
  <c r="I63" i="143"/>
  <c r="G105" i="143"/>
  <c r="E114" i="143"/>
  <c r="H112" i="143"/>
  <c r="C105" i="143"/>
  <c r="B108" i="143"/>
  <c r="G299" i="143"/>
  <c r="F299" i="143"/>
  <c r="P315" i="143"/>
  <c r="J62" i="141"/>
  <c r="D64" i="141"/>
  <c r="M40" i="142"/>
  <c r="L40" i="142"/>
  <c r="K261" i="143"/>
  <c r="G260" i="143"/>
  <c r="C259" i="143"/>
  <c r="K257" i="143"/>
  <c r="G256" i="143"/>
  <c r="C255" i="143"/>
  <c r="K253" i="143"/>
  <c r="G252" i="143"/>
  <c r="C251" i="143"/>
  <c r="J261" i="143"/>
  <c r="F260" i="143"/>
  <c r="B259" i="143"/>
  <c r="J257" i="143"/>
  <c r="F256" i="143"/>
  <c r="B255" i="143"/>
  <c r="J253" i="143"/>
  <c r="F252" i="143"/>
  <c r="B251" i="143"/>
  <c r="I261" i="143"/>
  <c r="E260" i="143"/>
  <c r="M258" i="143"/>
  <c r="I257" i="143"/>
  <c r="E256" i="143"/>
  <c r="M254" i="143"/>
  <c r="I253" i="143"/>
  <c r="E252" i="143"/>
  <c r="M250" i="143"/>
  <c r="L260" i="143"/>
  <c r="E259" i="143"/>
  <c r="G257" i="143"/>
  <c r="L255" i="143"/>
  <c r="E254" i="143"/>
  <c r="J252" i="143"/>
  <c r="L250" i="143"/>
  <c r="I260" i="143"/>
  <c r="D257" i="143"/>
  <c r="I255" i="143"/>
  <c r="B254" i="143"/>
  <c r="D252" i="143"/>
  <c r="I250" i="143"/>
  <c r="H260" i="143"/>
  <c r="H258" i="143"/>
  <c r="K256" i="143"/>
  <c r="B253" i="143"/>
  <c r="E251" i="143"/>
  <c r="L261" i="143"/>
  <c r="L259" i="143"/>
  <c r="C258" i="143"/>
  <c r="C256" i="143"/>
  <c r="H252" i="143"/>
  <c r="G250" i="143"/>
  <c r="F244" i="143"/>
  <c r="B261" i="143"/>
  <c r="J256" i="143"/>
  <c r="H254" i="143"/>
  <c r="C252" i="143"/>
  <c r="D250" i="143"/>
  <c r="M260" i="143"/>
  <c r="I258" i="143"/>
  <c r="I256" i="143"/>
  <c r="B252" i="143"/>
  <c r="C250" i="143"/>
  <c r="C260" i="143"/>
  <c r="D258" i="143"/>
  <c r="M255" i="143"/>
  <c r="E261" i="143"/>
  <c r="F253" i="143"/>
  <c r="D251" i="143"/>
  <c r="D260" i="143"/>
  <c r="L257" i="143"/>
  <c r="E255" i="143"/>
  <c r="L252" i="143"/>
  <c r="E250" i="143"/>
  <c r="D256" i="143"/>
  <c r="E253" i="143"/>
  <c r="H250" i="143"/>
  <c r="F261" i="143"/>
  <c r="E258" i="143"/>
  <c r="I252" i="143"/>
  <c r="B260" i="143"/>
  <c r="B257" i="143"/>
  <c r="H253" i="143"/>
  <c r="F250" i="143"/>
  <c r="M259" i="143"/>
  <c r="M256" i="143"/>
  <c r="G253" i="143"/>
  <c r="B250" i="143"/>
  <c r="K260" i="143"/>
  <c r="L256" i="143"/>
  <c r="M252" i="143"/>
  <c r="B256" i="143"/>
  <c r="M251" i="143"/>
  <c r="L251" i="143"/>
  <c r="H259" i="143"/>
  <c r="J251" i="143"/>
  <c r="B258" i="143"/>
  <c r="D253" i="143"/>
  <c r="H257" i="143"/>
  <c r="K252" i="143"/>
  <c r="M257" i="143"/>
  <c r="I251" i="143"/>
  <c r="F257" i="143"/>
  <c r="H251" i="143"/>
  <c r="E257" i="143"/>
  <c r="G251" i="143"/>
  <c r="C257" i="143"/>
  <c r="F251" i="143"/>
  <c r="H256" i="143"/>
  <c r="K250" i="143"/>
  <c r="H261" i="143"/>
  <c r="J260" i="143"/>
  <c r="I254" i="143"/>
  <c r="D254" i="143"/>
  <c r="C254" i="143"/>
  <c r="M253" i="143"/>
  <c r="L253" i="143"/>
  <c r="K251" i="143"/>
  <c r="L258" i="143"/>
  <c r="H255" i="143"/>
  <c r="D255" i="143"/>
  <c r="L254" i="143"/>
  <c r="C253" i="143"/>
  <c r="M261" i="143"/>
  <c r="G261" i="143"/>
  <c r="D261" i="143"/>
  <c r="C261" i="143"/>
  <c r="I259" i="143"/>
  <c r="D259" i="143"/>
  <c r="J250" i="143"/>
  <c r="G190" i="143"/>
  <c r="H194" i="143"/>
  <c r="H192" i="143"/>
  <c r="E195" i="143"/>
  <c r="G192" i="143"/>
  <c r="M196" i="143"/>
  <c r="D198" i="143"/>
  <c r="J206" i="139"/>
  <c r="B207" i="139"/>
  <c r="E153" i="141"/>
  <c r="M147" i="141"/>
  <c r="C147" i="141"/>
  <c r="M153" i="141"/>
  <c r="E146" i="141"/>
  <c r="E231" i="141"/>
  <c r="B229" i="141"/>
  <c r="B236" i="141"/>
  <c r="K239" i="141"/>
  <c r="I229" i="141"/>
  <c r="E215" i="139"/>
  <c r="I15" i="141"/>
  <c r="J15" i="141" s="1"/>
  <c r="I9" i="143"/>
  <c r="K9" i="143" s="1"/>
  <c r="J187" i="141"/>
  <c r="G187" i="141"/>
  <c r="H195" i="141"/>
  <c r="E193" i="141"/>
  <c r="M196" i="141"/>
  <c r="D34" i="137"/>
  <c r="F123" i="139"/>
  <c r="K126" i="139"/>
  <c r="J131" i="139"/>
  <c r="G34" i="137"/>
  <c r="F30" i="137"/>
  <c r="K7" i="139"/>
  <c r="J278" i="135"/>
  <c r="K281" i="135"/>
  <c r="I8" i="139"/>
  <c r="K8" i="139" s="1"/>
  <c r="L39" i="133"/>
  <c r="I85" i="137"/>
  <c r="I83" i="137"/>
  <c r="I86" i="137"/>
  <c r="H84" i="137"/>
  <c r="G82" i="137"/>
  <c r="D87" i="137"/>
  <c r="B85" i="137"/>
  <c r="I84" i="137"/>
  <c r="F82" i="137"/>
  <c r="G84" i="137"/>
  <c r="E82" i="137"/>
  <c r="H86" i="137"/>
  <c r="F84" i="137"/>
  <c r="D82" i="137"/>
  <c r="G86" i="137"/>
  <c r="E84" i="137"/>
  <c r="E88" i="137"/>
  <c r="C86" i="137"/>
  <c r="H83" i="137"/>
  <c r="F81" i="137"/>
  <c r="F88" i="137"/>
  <c r="D85" i="137"/>
  <c r="D81" i="137"/>
  <c r="D88" i="137"/>
  <c r="C85" i="137"/>
  <c r="D84" i="137"/>
  <c r="C84" i="137"/>
  <c r="B84" i="137"/>
  <c r="F86" i="137"/>
  <c r="D83" i="137"/>
  <c r="E85" i="137"/>
  <c r="F75" i="137"/>
  <c r="G83" i="137"/>
  <c r="F83" i="137"/>
  <c r="E83" i="137"/>
  <c r="C83" i="137"/>
  <c r="F87" i="137"/>
  <c r="G81" i="137"/>
  <c r="E81" i="137"/>
  <c r="G88" i="137"/>
  <c r="D86" i="137"/>
  <c r="G85" i="137"/>
  <c r="F85" i="137"/>
  <c r="B83" i="137"/>
  <c r="E86" i="137"/>
  <c r="B86" i="137"/>
  <c r="H85" i="137"/>
  <c r="G87" i="137"/>
  <c r="E87" i="137"/>
  <c r="J193" i="135"/>
  <c r="E192" i="135"/>
  <c r="J192" i="135"/>
  <c r="I48" i="139"/>
  <c r="F42" i="139"/>
  <c r="K39" i="139"/>
  <c r="E42" i="139"/>
  <c r="B179" i="135"/>
  <c r="J177" i="135"/>
  <c r="F176" i="135"/>
  <c r="B175" i="135"/>
  <c r="J173" i="135"/>
  <c r="B171" i="135"/>
  <c r="J169" i="135"/>
  <c r="F168" i="135"/>
  <c r="H178" i="135"/>
  <c r="C177" i="135"/>
  <c r="J175" i="135"/>
  <c r="E174" i="135"/>
  <c r="G171" i="135"/>
  <c r="B170" i="135"/>
  <c r="I168" i="135"/>
  <c r="K179" i="135"/>
  <c r="M176" i="135"/>
  <c r="H175" i="135"/>
  <c r="C174" i="135"/>
  <c r="J172" i="135"/>
  <c r="E171" i="135"/>
  <c r="L169" i="135"/>
  <c r="G168" i="135"/>
  <c r="J179" i="135"/>
  <c r="E178" i="135"/>
  <c r="L176" i="135"/>
  <c r="G175" i="135"/>
  <c r="B174" i="135"/>
  <c r="I172" i="135"/>
  <c r="D171" i="135"/>
  <c r="K169" i="135"/>
  <c r="E168" i="135"/>
  <c r="M177" i="135"/>
  <c r="H176" i="135"/>
  <c r="C175" i="135"/>
  <c r="I173" i="135"/>
  <c r="D172" i="135"/>
  <c r="K170" i="135"/>
  <c r="F169" i="135"/>
  <c r="I179" i="135"/>
  <c r="K177" i="135"/>
  <c r="M175" i="135"/>
  <c r="B172" i="135"/>
  <c r="E170" i="135"/>
  <c r="D168" i="135"/>
  <c r="H179" i="135"/>
  <c r="I177" i="135"/>
  <c r="L175" i="135"/>
  <c r="M171" i="135"/>
  <c r="D170" i="135"/>
  <c r="C168" i="135"/>
  <c r="H177" i="135"/>
  <c r="K175" i="135"/>
  <c r="K173" i="135"/>
  <c r="L171" i="135"/>
  <c r="C170" i="135"/>
  <c r="B168" i="135"/>
  <c r="E179" i="135"/>
  <c r="G177" i="135"/>
  <c r="I175" i="135"/>
  <c r="H173" i="135"/>
  <c r="K171" i="135"/>
  <c r="M169" i="135"/>
  <c r="D179" i="135"/>
  <c r="F177" i="135"/>
  <c r="F175" i="135"/>
  <c r="J171" i="135"/>
  <c r="I169" i="135"/>
  <c r="K178" i="135"/>
  <c r="K176" i="135"/>
  <c r="L174" i="135"/>
  <c r="C173" i="135"/>
  <c r="C171" i="135"/>
  <c r="D169" i="135"/>
  <c r="J176" i="135"/>
  <c r="D174" i="135"/>
  <c r="J170" i="135"/>
  <c r="I176" i="135"/>
  <c r="I170" i="135"/>
  <c r="G176" i="135"/>
  <c r="E173" i="135"/>
  <c r="H170" i="135"/>
  <c r="C179" i="135"/>
  <c r="E176" i="135"/>
  <c r="D173" i="135"/>
  <c r="G170" i="135"/>
  <c r="D176" i="135"/>
  <c r="B173" i="135"/>
  <c r="F170" i="135"/>
  <c r="D175" i="135"/>
  <c r="C169" i="135"/>
  <c r="J178" i="135"/>
  <c r="H174" i="135"/>
  <c r="B169" i="135"/>
  <c r="I178" i="135"/>
  <c r="G174" i="135"/>
  <c r="M168" i="135"/>
  <c r="D178" i="135"/>
  <c r="F174" i="135"/>
  <c r="L168" i="135"/>
  <c r="C178" i="135"/>
  <c r="K168" i="135"/>
  <c r="B178" i="135"/>
  <c r="K172" i="135"/>
  <c r="J168" i="135"/>
  <c r="B177" i="135"/>
  <c r="I171" i="135"/>
  <c r="K174" i="135"/>
  <c r="F162" i="135"/>
  <c r="J174" i="135"/>
  <c r="I174" i="135"/>
  <c r="H172" i="135"/>
  <c r="E172" i="135"/>
  <c r="M170" i="135"/>
  <c r="C176" i="135"/>
  <c r="B176" i="135"/>
  <c r="E175" i="135"/>
  <c r="M174" i="135"/>
  <c r="C172" i="135"/>
  <c r="G169" i="135"/>
  <c r="E169" i="135"/>
  <c r="H168" i="135"/>
  <c r="H169" i="135"/>
  <c r="L177" i="135"/>
  <c r="D177" i="135"/>
  <c r="E177" i="135"/>
  <c r="H171" i="135"/>
  <c r="F171" i="135"/>
  <c r="L170" i="135"/>
  <c r="L47" i="143"/>
  <c r="F44" i="143"/>
  <c r="L35" i="142"/>
  <c r="M35" i="142"/>
  <c r="K37" i="142"/>
  <c r="D135" i="143"/>
  <c r="H133" i="143"/>
  <c r="B128" i="143"/>
  <c r="M129" i="143"/>
  <c r="K43" i="143"/>
  <c r="C49" i="143"/>
  <c r="B47" i="143"/>
  <c r="E108" i="143"/>
  <c r="B104" i="143"/>
  <c r="H114" i="143"/>
  <c r="F108" i="143"/>
  <c r="G109" i="143"/>
  <c r="H11" i="143"/>
  <c r="F204" i="143"/>
  <c r="E217" i="143"/>
  <c r="L213" i="143"/>
  <c r="L210" i="143"/>
  <c r="B208" i="143"/>
  <c r="J216" i="143"/>
  <c r="J213" i="143"/>
  <c r="I216" i="143"/>
  <c r="I213" i="143"/>
  <c r="G219" i="143"/>
  <c r="E216" i="143"/>
  <c r="F213" i="143"/>
  <c r="C210" i="143"/>
  <c r="F219" i="143"/>
  <c r="F215" i="143"/>
  <c r="L218" i="143"/>
  <c r="J210" i="143"/>
  <c r="F216" i="143"/>
  <c r="C212" i="143"/>
  <c r="D216" i="143"/>
  <c r="B216" i="143"/>
  <c r="M215" i="143"/>
  <c r="G213" i="143"/>
  <c r="C208" i="143"/>
  <c r="K218" i="143"/>
  <c r="I212" i="143"/>
  <c r="C218" i="143"/>
  <c r="L209" i="143"/>
  <c r="E213" i="143"/>
  <c r="L212" i="143"/>
  <c r="F212" i="143"/>
  <c r="L219" i="143"/>
  <c r="D212" i="143"/>
  <c r="D219" i="143"/>
  <c r="C211" i="143"/>
  <c r="I218" i="143"/>
  <c r="M209" i="143"/>
  <c r="I208" i="143"/>
  <c r="K209" i="143"/>
  <c r="H209" i="143"/>
  <c r="J208" i="143"/>
  <c r="G208" i="143"/>
  <c r="F208" i="143"/>
  <c r="M217" i="143"/>
  <c r="C214" i="143"/>
  <c r="K213" i="143"/>
  <c r="E208" i="143"/>
  <c r="C215" i="143"/>
  <c r="L217" i="143"/>
  <c r="K216" i="143"/>
  <c r="B218" i="143"/>
  <c r="H218" i="143"/>
  <c r="H219" i="143"/>
  <c r="H213" i="143"/>
  <c r="G216" i="143"/>
  <c r="C209" i="143"/>
  <c r="J212" i="143"/>
  <c r="H216" i="143"/>
  <c r="G302" i="143"/>
  <c r="F302" i="143"/>
  <c r="P318" i="143"/>
  <c r="G64" i="141"/>
  <c r="J65" i="141"/>
  <c r="K51" i="143"/>
  <c r="J106" i="139"/>
  <c r="E197" i="143"/>
  <c r="B189" i="143"/>
  <c r="M194" i="143"/>
  <c r="H197" i="143"/>
  <c r="D194" i="143"/>
  <c r="I198" i="143"/>
  <c r="D208" i="139"/>
  <c r="F208" i="139"/>
  <c r="M155" i="141"/>
  <c r="I155" i="141"/>
  <c r="J147" i="141"/>
  <c r="I8" i="141"/>
  <c r="K8" i="141" s="1"/>
  <c r="L36" i="140"/>
  <c r="M36" i="140"/>
  <c r="M51" i="141"/>
  <c r="I50" i="141"/>
  <c r="E49" i="141"/>
  <c r="M47" i="141"/>
  <c r="I46" i="141"/>
  <c r="E45" i="141"/>
  <c r="M43" i="141"/>
  <c r="I42" i="141"/>
  <c r="H51" i="141"/>
  <c r="C50" i="141"/>
  <c r="J48" i="141"/>
  <c r="E47" i="141"/>
  <c r="L45" i="141"/>
  <c r="G44" i="141"/>
  <c r="I41" i="141"/>
  <c r="G51" i="141"/>
  <c r="M49" i="141"/>
  <c r="G48" i="141"/>
  <c r="M46" i="141"/>
  <c r="G45" i="141"/>
  <c r="L43" i="141"/>
  <c r="F42" i="141"/>
  <c r="L40" i="141"/>
  <c r="M50" i="141"/>
  <c r="F49" i="141"/>
  <c r="J47" i="141"/>
  <c r="C46" i="141"/>
  <c r="H44" i="141"/>
  <c r="L42" i="141"/>
  <c r="J51" i="141"/>
  <c r="L49" i="141"/>
  <c r="D48" i="141"/>
  <c r="G46" i="141"/>
  <c r="K44" i="141"/>
  <c r="F41" i="141"/>
  <c r="D50" i="141"/>
  <c r="E48" i="141"/>
  <c r="F46" i="141"/>
  <c r="I44" i="141"/>
  <c r="J42" i="141"/>
  <c r="K40" i="141"/>
  <c r="K51" i="141"/>
  <c r="K49" i="141"/>
  <c r="B48" i="141"/>
  <c r="D46" i="141"/>
  <c r="E44" i="141"/>
  <c r="G42" i="141"/>
  <c r="I40" i="141"/>
  <c r="B51" i="141"/>
  <c r="M48" i="141"/>
  <c r="L46" i="141"/>
  <c r="L44" i="141"/>
  <c r="H42" i="141"/>
  <c r="G40" i="141"/>
  <c r="K50" i="141"/>
  <c r="I48" i="141"/>
  <c r="E46" i="141"/>
  <c r="B44" i="141"/>
  <c r="L41" i="141"/>
  <c r="I49" i="141"/>
  <c r="G47" i="141"/>
  <c r="D45" i="141"/>
  <c r="J40" i="141"/>
  <c r="H49" i="141"/>
  <c r="C47" i="141"/>
  <c r="F44" i="141"/>
  <c r="M41" i="141"/>
  <c r="G49" i="141"/>
  <c r="B47" i="141"/>
  <c r="D44" i="141"/>
  <c r="K41" i="141"/>
  <c r="L51" i="141"/>
  <c r="D49" i="141"/>
  <c r="K46" i="141"/>
  <c r="C44" i="141"/>
  <c r="J41" i="141"/>
  <c r="I51" i="141"/>
  <c r="C49" i="141"/>
  <c r="J46" i="141"/>
  <c r="K43" i="141"/>
  <c r="H41" i="141"/>
  <c r="F51" i="141"/>
  <c r="B49" i="141"/>
  <c r="H46" i="141"/>
  <c r="J43" i="141"/>
  <c r="G41" i="141"/>
  <c r="F34" i="141"/>
  <c r="L50" i="141"/>
  <c r="F48" i="141"/>
  <c r="J45" i="141"/>
  <c r="F43" i="141"/>
  <c r="H40" i="141"/>
  <c r="J49" i="141"/>
  <c r="F45" i="141"/>
  <c r="L48" i="141"/>
  <c r="C45" i="141"/>
  <c r="M40" i="141"/>
  <c r="K48" i="141"/>
  <c r="B45" i="141"/>
  <c r="F40" i="141"/>
  <c r="H48" i="141"/>
  <c r="M44" i="141"/>
  <c r="C48" i="141"/>
  <c r="J44" i="141"/>
  <c r="D51" i="141"/>
  <c r="H47" i="141"/>
  <c r="E50" i="141"/>
  <c r="K42" i="141"/>
  <c r="B50" i="141"/>
  <c r="L47" i="141"/>
  <c r="K47" i="141"/>
  <c r="I47" i="141"/>
  <c r="M45" i="141"/>
  <c r="K45" i="141"/>
  <c r="I45" i="141"/>
  <c r="H45" i="141"/>
  <c r="I43" i="141"/>
  <c r="H43" i="141"/>
  <c r="C51" i="141"/>
  <c r="J50" i="141"/>
  <c r="H50" i="141"/>
  <c r="G50" i="141"/>
  <c r="F50" i="141"/>
  <c r="F47" i="141"/>
  <c r="M42" i="141"/>
  <c r="B46" i="141"/>
  <c r="G43" i="141"/>
  <c r="E51" i="141"/>
  <c r="D47" i="141"/>
  <c r="E234" i="141"/>
  <c r="B240" i="141"/>
  <c r="L230" i="141"/>
  <c r="L229" i="141"/>
  <c r="E232" i="141"/>
  <c r="G213" i="139"/>
  <c r="D192" i="141"/>
  <c r="G190" i="141"/>
  <c r="D187" i="141"/>
  <c r="E187" i="141"/>
  <c r="I8" i="143"/>
  <c r="L125" i="139"/>
  <c r="L124" i="139"/>
  <c r="E128" i="139"/>
  <c r="D133" i="139"/>
  <c r="B37" i="137"/>
  <c r="H34" i="137"/>
  <c r="H37" i="137"/>
  <c r="G33" i="137"/>
  <c r="H281" i="135"/>
  <c r="G274" i="139"/>
  <c r="M340" i="139" s="1"/>
  <c r="F274" i="139"/>
  <c r="M93" i="141"/>
  <c r="I92" i="141"/>
  <c r="M89" i="141"/>
  <c r="I88" i="141"/>
  <c r="E87" i="141"/>
  <c r="M85" i="141"/>
  <c r="I84" i="141"/>
  <c r="E83" i="141"/>
  <c r="H92" i="141"/>
  <c r="C91" i="141"/>
  <c r="J89" i="141"/>
  <c r="E88" i="141"/>
  <c r="L86" i="141"/>
  <c r="G85" i="141"/>
  <c r="B84" i="141"/>
  <c r="I82" i="141"/>
  <c r="L92" i="141"/>
  <c r="F91" i="141"/>
  <c r="K89" i="141"/>
  <c r="D88" i="141"/>
  <c r="J86" i="141"/>
  <c r="J83" i="141"/>
  <c r="D82" i="141"/>
  <c r="F76" i="141"/>
  <c r="F92" i="141"/>
  <c r="D89" i="141"/>
  <c r="I87" i="141"/>
  <c r="B86" i="141"/>
  <c r="F84" i="141"/>
  <c r="K82" i="141"/>
  <c r="E93" i="141"/>
  <c r="I91" i="141"/>
  <c r="L89" i="141"/>
  <c r="B88" i="141"/>
  <c r="F86" i="141"/>
  <c r="M82" i="141"/>
  <c r="H93" i="141"/>
  <c r="B90" i="141"/>
  <c r="M87" i="141"/>
  <c r="D86" i="141"/>
  <c r="G82" i="141"/>
  <c r="F93" i="141"/>
  <c r="H91" i="141"/>
  <c r="H89" i="141"/>
  <c r="K87" i="141"/>
  <c r="L85" i="141"/>
  <c r="C84" i="141"/>
  <c r="E82" i="141"/>
  <c r="D93" i="141"/>
  <c r="G91" i="141"/>
  <c r="G89" i="141"/>
  <c r="J87" i="141"/>
  <c r="M83" i="141"/>
  <c r="C82" i="141"/>
  <c r="M91" i="141"/>
  <c r="F89" i="141"/>
  <c r="D87" i="141"/>
  <c r="B85" i="141"/>
  <c r="L82" i="141"/>
  <c r="J93" i="141"/>
  <c r="B91" i="141"/>
  <c r="L88" i="141"/>
  <c r="H86" i="141"/>
  <c r="L83" i="141"/>
  <c r="G92" i="141"/>
  <c r="H87" i="141"/>
  <c r="B83" i="141"/>
  <c r="C93" i="141"/>
  <c r="H90" i="141"/>
  <c r="L87" i="141"/>
  <c r="M84" i="141"/>
  <c r="B82" i="141"/>
  <c r="B92" i="141"/>
  <c r="B89" i="141"/>
  <c r="G86" i="141"/>
  <c r="H83" i="141"/>
  <c r="K92" i="141"/>
  <c r="I89" i="141"/>
  <c r="I86" i="141"/>
  <c r="F83" i="141"/>
  <c r="J92" i="141"/>
  <c r="E89" i="141"/>
  <c r="E86" i="141"/>
  <c r="D83" i="141"/>
  <c r="E92" i="141"/>
  <c r="C89" i="141"/>
  <c r="C86" i="141"/>
  <c r="C83" i="141"/>
  <c r="D92" i="141"/>
  <c r="M88" i="141"/>
  <c r="J82" i="141"/>
  <c r="C92" i="141"/>
  <c r="K88" i="141"/>
  <c r="I85" i="141"/>
  <c r="H82" i="141"/>
  <c r="M90" i="141"/>
  <c r="F88" i="141"/>
  <c r="L84" i="141"/>
  <c r="H85" i="141"/>
  <c r="I90" i="141"/>
  <c r="F85" i="141"/>
  <c r="G90" i="141"/>
  <c r="C85" i="141"/>
  <c r="F90" i="141"/>
  <c r="H84" i="141"/>
  <c r="I93" i="141"/>
  <c r="G88" i="141"/>
  <c r="I83" i="141"/>
  <c r="G83" i="141"/>
  <c r="F82" i="141"/>
  <c r="L90" i="141"/>
  <c r="C90" i="141"/>
  <c r="J88" i="141"/>
  <c r="F87" i="141"/>
  <c r="M92" i="141"/>
  <c r="L91" i="141"/>
  <c r="H88" i="141"/>
  <c r="C88" i="141"/>
  <c r="G87" i="141"/>
  <c r="K86" i="141"/>
  <c r="L93" i="141"/>
  <c r="K93" i="141"/>
  <c r="G93" i="141"/>
  <c r="M86" i="141"/>
  <c r="K83" i="141"/>
  <c r="B93" i="141"/>
  <c r="C87" i="141"/>
  <c r="B87" i="141"/>
  <c r="G84" i="141"/>
  <c r="K195" i="135"/>
  <c r="F194" i="135"/>
  <c r="H199" i="135"/>
  <c r="B194" i="135"/>
  <c r="L45" i="139"/>
  <c r="K44" i="139"/>
  <c r="K43" i="139"/>
  <c r="J41" i="139"/>
  <c r="G191" i="135"/>
  <c r="F88" i="133"/>
  <c r="J169" i="133"/>
  <c r="K165" i="133"/>
  <c r="H165" i="133"/>
  <c r="L70" i="133"/>
  <c r="H69" i="133"/>
  <c r="D68" i="133"/>
  <c r="L66" i="133"/>
  <c r="H65" i="133"/>
  <c r="L62" i="133"/>
  <c r="H61" i="133"/>
  <c r="D60" i="133"/>
  <c r="K70" i="133"/>
  <c r="F69" i="133"/>
  <c r="M67" i="133"/>
  <c r="H66" i="133"/>
  <c r="C65" i="133"/>
  <c r="J63" i="133"/>
  <c r="L60" i="133"/>
  <c r="G59" i="133"/>
  <c r="E70" i="133"/>
  <c r="K68" i="133"/>
  <c r="E67" i="133"/>
  <c r="K65" i="133"/>
  <c r="J62" i="133"/>
  <c r="J59" i="133"/>
  <c r="D70" i="133"/>
  <c r="J68" i="133"/>
  <c r="D67" i="133"/>
  <c r="J65" i="133"/>
  <c r="C64" i="133"/>
  <c r="I62" i="133"/>
  <c r="C61" i="133"/>
  <c r="I59" i="133"/>
  <c r="C70" i="133"/>
  <c r="I68" i="133"/>
  <c r="C67" i="133"/>
  <c r="I65" i="133"/>
  <c r="B64" i="133"/>
  <c r="H62" i="133"/>
  <c r="B61" i="133"/>
  <c r="H59" i="133"/>
  <c r="B70" i="133"/>
  <c r="H68" i="133"/>
  <c r="B67" i="133"/>
  <c r="G65" i="133"/>
  <c r="M63" i="133"/>
  <c r="M60" i="133"/>
  <c r="F59" i="133"/>
  <c r="M69" i="133"/>
  <c r="G68" i="133"/>
  <c r="M66" i="133"/>
  <c r="F65" i="133"/>
  <c r="L63" i="133"/>
  <c r="K60" i="133"/>
  <c r="E59" i="133"/>
  <c r="I69" i="133"/>
  <c r="B68" i="133"/>
  <c r="G66" i="133"/>
  <c r="M64" i="133"/>
  <c r="M61" i="133"/>
  <c r="G60" i="133"/>
  <c r="D69" i="133"/>
  <c r="J66" i="133"/>
  <c r="H64" i="133"/>
  <c r="L61" i="133"/>
  <c r="K59" i="133"/>
  <c r="C69" i="133"/>
  <c r="I66" i="133"/>
  <c r="K61" i="133"/>
  <c r="D59" i="133"/>
  <c r="B69" i="133"/>
  <c r="F66" i="133"/>
  <c r="J61" i="133"/>
  <c r="C59" i="133"/>
  <c r="M68" i="133"/>
  <c r="E66" i="133"/>
  <c r="K63" i="133"/>
  <c r="I61" i="133"/>
  <c r="B59" i="133"/>
  <c r="L68" i="133"/>
  <c r="D66" i="133"/>
  <c r="I63" i="133"/>
  <c r="H70" i="133"/>
  <c r="L67" i="133"/>
  <c r="L65" i="133"/>
  <c r="I60" i="133"/>
  <c r="F70" i="133"/>
  <c r="C66" i="133"/>
  <c r="K62" i="133"/>
  <c r="L69" i="133"/>
  <c r="B66" i="133"/>
  <c r="K69" i="133"/>
  <c r="M65" i="133"/>
  <c r="C62" i="133"/>
  <c r="J69" i="133"/>
  <c r="E65" i="133"/>
  <c r="B62" i="133"/>
  <c r="F53" i="133"/>
  <c r="G69" i="133"/>
  <c r="D65" i="133"/>
  <c r="C68" i="133"/>
  <c r="J64" i="133"/>
  <c r="F60" i="133"/>
  <c r="K67" i="133"/>
  <c r="M62" i="133"/>
  <c r="J67" i="133"/>
  <c r="I67" i="133"/>
  <c r="J60" i="133"/>
  <c r="H67" i="133"/>
  <c r="H60" i="133"/>
  <c r="G67" i="133"/>
  <c r="E60" i="133"/>
  <c r="I70" i="133"/>
  <c r="C60" i="133"/>
  <c r="G70" i="133"/>
  <c r="B60" i="133"/>
  <c r="E69" i="133"/>
  <c r="M59" i="133"/>
  <c r="F68" i="133"/>
  <c r="L59" i="133"/>
  <c r="E68" i="133"/>
  <c r="L64" i="133"/>
  <c r="C63" i="133"/>
  <c r="B63" i="133"/>
  <c r="B65" i="133"/>
  <c r="K64" i="133"/>
  <c r="I64" i="133"/>
  <c r="H63" i="133"/>
  <c r="M70" i="133"/>
  <c r="F67" i="133"/>
  <c r="K66" i="133"/>
  <c r="J70" i="133"/>
  <c r="J88" i="133"/>
  <c r="D86" i="133"/>
  <c r="M84" i="133"/>
  <c r="C47" i="133"/>
  <c r="D43" i="133"/>
  <c r="M38" i="133"/>
  <c r="B137" i="135"/>
  <c r="J135" i="135"/>
  <c r="F134" i="135"/>
  <c r="J131" i="135"/>
  <c r="F130" i="135"/>
  <c r="B129" i="135"/>
  <c r="J127" i="135"/>
  <c r="F126" i="135"/>
  <c r="F137" i="135"/>
  <c r="M135" i="135"/>
  <c r="H134" i="135"/>
  <c r="I131" i="135"/>
  <c r="D130" i="135"/>
  <c r="K128" i="135"/>
  <c r="F127" i="135"/>
  <c r="E137" i="135"/>
  <c r="L135" i="135"/>
  <c r="G134" i="135"/>
  <c r="M132" i="135"/>
  <c r="H131" i="135"/>
  <c r="C130" i="135"/>
  <c r="J128" i="135"/>
  <c r="E127" i="135"/>
  <c r="L136" i="135"/>
  <c r="G135" i="135"/>
  <c r="B134" i="135"/>
  <c r="D131" i="135"/>
  <c r="K129" i="135"/>
  <c r="F128" i="135"/>
  <c r="M126" i="135"/>
  <c r="I136" i="135"/>
  <c r="M134" i="135"/>
  <c r="E133" i="135"/>
  <c r="F131" i="135"/>
  <c r="I129" i="135"/>
  <c r="M127" i="135"/>
  <c r="D126" i="135"/>
  <c r="H136" i="135"/>
  <c r="L134" i="135"/>
  <c r="D133" i="135"/>
  <c r="E131" i="135"/>
  <c r="H129" i="135"/>
  <c r="L127" i="135"/>
  <c r="G136" i="135"/>
  <c r="K134" i="135"/>
  <c r="L132" i="135"/>
  <c r="C131" i="135"/>
  <c r="G129" i="135"/>
  <c r="K127" i="135"/>
  <c r="F136" i="135"/>
  <c r="J134" i="135"/>
  <c r="K132" i="135"/>
  <c r="B131" i="135"/>
  <c r="F129" i="135"/>
  <c r="M137" i="135"/>
  <c r="E136" i="135"/>
  <c r="I134" i="135"/>
  <c r="J132" i="135"/>
  <c r="M130" i="135"/>
  <c r="E129" i="135"/>
  <c r="I137" i="135"/>
  <c r="K135" i="135"/>
  <c r="M133" i="135"/>
  <c r="E132" i="135"/>
  <c r="I130" i="135"/>
  <c r="L128" i="135"/>
  <c r="C137" i="135"/>
  <c r="C134" i="135"/>
  <c r="K131" i="135"/>
  <c r="H128" i="135"/>
  <c r="M136" i="135"/>
  <c r="L133" i="135"/>
  <c r="G131" i="135"/>
  <c r="G128" i="135"/>
  <c r="K136" i="135"/>
  <c r="K133" i="135"/>
  <c r="L130" i="135"/>
  <c r="E128" i="135"/>
  <c r="J136" i="135"/>
  <c r="J133" i="135"/>
  <c r="K130" i="135"/>
  <c r="D128" i="135"/>
  <c r="D136" i="135"/>
  <c r="J130" i="135"/>
  <c r="C128" i="135"/>
  <c r="H135" i="135"/>
  <c r="B130" i="135"/>
  <c r="F120" i="135"/>
  <c r="J137" i="135"/>
  <c r="F133" i="135"/>
  <c r="M128" i="135"/>
  <c r="H137" i="135"/>
  <c r="G132" i="135"/>
  <c r="I128" i="135"/>
  <c r="G137" i="135"/>
  <c r="F132" i="135"/>
  <c r="B128" i="135"/>
  <c r="D137" i="135"/>
  <c r="D132" i="135"/>
  <c r="G127" i="135"/>
  <c r="C136" i="135"/>
  <c r="D127" i="135"/>
  <c r="E135" i="135"/>
  <c r="H130" i="135"/>
  <c r="M131" i="135"/>
  <c r="L131" i="135"/>
  <c r="G130" i="135"/>
  <c r="L137" i="135"/>
  <c r="E130" i="135"/>
  <c r="K137" i="135"/>
  <c r="M129" i="135"/>
  <c r="D135" i="135"/>
  <c r="C129" i="135"/>
  <c r="L126" i="135"/>
  <c r="K126" i="135"/>
  <c r="J126" i="135"/>
  <c r="B136" i="135"/>
  <c r="I135" i="135"/>
  <c r="G126" i="135"/>
  <c r="F135" i="135"/>
  <c r="C135" i="135"/>
  <c r="B135" i="135"/>
  <c r="G133" i="135"/>
  <c r="L129" i="135"/>
  <c r="J129" i="135"/>
  <c r="D129" i="135"/>
  <c r="E126" i="135"/>
  <c r="E134" i="135"/>
  <c r="D134" i="135"/>
  <c r="B119" i="137"/>
  <c r="B115" i="137"/>
  <c r="K28" i="128"/>
  <c r="L230" i="139"/>
  <c r="G228" i="139"/>
  <c r="K232" i="139"/>
  <c r="M229" i="139"/>
  <c r="D232" i="139"/>
  <c r="K235" i="139"/>
  <c r="D118" i="127"/>
  <c r="G6" i="139"/>
  <c r="D91" i="135"/>
  <c r="J86" i="135"/>
  <c r="F90" i="135"/>
  <c r="H149" i="139"/>
  <c r="C145" i="139"/>
  <c r="G153" i="139"/>
  <c r="C72" i="135"/>
  <c r="B73" i="135"/>
  <c r="B63" i="135"/>
  <c r="J69" i="135"/>
  <c r="H67" i="135"/>
  <c r="I283" i="135"/>
  <c r="J283" i="135"/>
  <c r="C275" i="135"/>
  <c r="L240" i="131"/>
  <c r="K230" i="131"/>
  <c r="M232" i="131"/>
  <c r="H236" i="131"/>
  <c r="C231" i="131"/>
  <c r="C121" i="125"/>
  <c r="C118" i="125"/>
  <c r="L233" i="127"/>
  <c r="K233" i="127"/>
  <c r="A243" i="127" s="1"/>
  <c r="A253" i="127" s="1"/>
  <c r="L234" i="127"/>
  <c r="K234" i="127"/>
  <c r="A244" i="127" s="1"/>
  <c r="A254" i="127" s="1"/>
  <c r="E214" i="123"/>
  <c r="G176" i="123"/>
  <c r="G168" i="123"/>
  <c r="C172" i="123"/>
  <c r="E174" i="123"/>
  <c r="B113" i="123"/>
  <c r="G113" i="123"/>
  <c r="E113" i="123"/>
  <c r="L35" i="124"/>
  <c r="M35" i="124"/>
  <c r="B171" i="123"/>
  <c r="C213" i="123"/>
  <c r="G210" i="123"/>
  <c r="I218" i="123"/>
  <c r="E173" i="123"/>
  <c r="G194" i="135"/>
  <c r="B258" i="119"/>
  <c r="I252" i="119"/>
  <c r="F305" i="131"/>
  <c r="C93" i="117"/>
  <c r="E90" i="117"/>
  <c r="L88" i="117"/>
  <c r="G87" i="117"/>
  <c r="B86" i="117"/>
  <c r="I84" i="117"/>
  <c r="D83" i="117"/>
  <c r="L92" i="117"/>
  <c r="G91" i="117"/>
  <c r="B90" i="117"/>
  <c r="D87" i="117"/>
  <c r="K85" i="117"/>
  <c r="F84" i="117"/>
  <c r="M82" i="117"/>
  <c r="K93" i="117"/>
  <c r="M91" i="117"/>
  <c r="L89" i="117"/>
  <c r="C88" i="117"/>
  <c r="E86" i="117"/>
  <c r="D84" i="117"/>
  <c r="F82" i="117"/>
  <c r="J93" i="117"/>
  <c r="M87" i="117"/>
  <c r="C86" i="117"/>
  <c r="C84" i="117"/>
  <c r="E82" i="117"/>
  <c r="I93" i="117"/>
  <c r="L87" i="117"/>
  <c r="L85" i="117"/>
  <c r="M83" i="117"/>
  <c r="D82" i="117"/>
  <c r="H93" i="117"/>
  <c r="F91" i="117"/>
  <c r="K87" i="117"/>
  <c r="J85" i="117"/>
  <c r="L83" i="117"/>
  <c r="C82" i="117"/>
  <c r="G93" i="117"/>
  <c r="E91" i="117"/>
  <c r="J87" i="117"/>
  <c r="I85" i="117"/>
  <c r="K83" i="117"/>
  <c r="B82" i="117"/>
  <c r="J92" i="117"/>
  <c r="M90" i="117"/>
  <c r="C89" i="117"/>
  <c r="B87" i="117"/>
  <c r="D85" i="117"/>
  <c r="G83" i="117"/>
  <c r="M93" i="117"/>
  <c r="H87" i="117"/>
  <c r="L84" i="117"/>
  <c r="L93" i="117"/>
  <c r="M86" i="117"/>
  <c r="J83" i="117"/>
  <c r="D92" i="117"/>
  <c r="G88" i="117"/>
  <c r="B85" i="117"/>
  <c r="D91" i="117"/>
  <c r="E88" i="117"/>
  <c r="J84" i="117"/>
  <c r="C91" i="117"/>
  <c r="D88" i="117"/>
  <c r="G84" i="117"/>
  <c r="B91" i="117"/>
  <c r="E87" i="117"/>
  <c r="E84" i="117"/>
  <c r="L90" i="117"/>
  <c r="C87" i="117"/>
  <c r="I83" i="117"/>
  <c r="F90" i="117"/>
  <c r="H85" i="117"/>
  <c r="C90" i="117"/>
  <c r="G85" i="117"/>
  <c r="M89" i="117"/>
  <c r="E85" i="117"/>
  <c r="G89" i="117"/>
  <c r="C85" i="117"/>
  <c r="E89" i="117"/>
  <c r="M84" i="117"/>
  <c r="I92" i="117"/>
  <c r="F88" i="117"/>
  <c r="K82" i="117"/>
  <c r="C92" i="117"/>
  <c r="I82" i="117"/>
  <c r="H82" i="117"/>
  <c r="D89" i="117"/>
  <c r="G82" i="117"/>
  <c r="M88" i="117"/>
  <c r="I86" i="117"/>
  <c r="D93" i="117"/>
  <c r="H86" i="117"/>
  <c r="E92" i="117"/>
  <c r="L82" i="117"/>
  <c r="L86" i="117"/>
  <c r="K86" i="117"/>
  <c r="G86" i="117"/>
  <c r="F86" i="117"/>
  <c r="F77" i="117"/>
  <c r="F92" i="117"/>
  <c r="K92" i="117"/>
  <c r="H92" i="117"/>
  <c r="G92" i="117"/>
  <c r="H83" i="117"/>
  <c r="M92" i="117"/>
  <c r="E83" i="117"/>
  <c r="B83" i="117"/>
  <c r="B89" i="117"/>
  <c r="G90" i="117"/>
  <c r="L91" i="117"/>
  <c r="F93" i="117"/>
  <c r="E93" i="117"/>
  <c r="B92" i="117"/>
  <c r="F85" i="117"/>
  <c r="M85" i="117"/>
  <c r="H150" i="123"/>
  <c r="D261" i="123"/>
  <c r="F259" i="123"/>
  <c r="B262" i="123"/>
  <c r="B259" i="123"/>
  <c r="H263" i="123"/>
  <c r="B256" i="123"/>
  <c r="K147" i="123"/>
  <c r="C151" i="123"/>
  <c r="B155" i="123"/>
  <c r="D147" i="123"/>
  <c r="G148" i="131"/>
  <c r="G146" i="131"/>
  <c r="D150" i="131"/>
  <c r="F149" i="131"/>
  <c r="H146" i="131"/>
  <c r="B43" i="127"/>
  <c r="H39" i="127"/>
  <c r="K43" i="127"/>
  <c r="B53" i="123"/>
  <c r="F44" i="123"/>
  <c r="M47" i="123"/>
  <c r="K64" i="119"/>
  <c r="H70" i="119"/>
  <c r="J69" i="119"/>
  <c r="F126" i="123"/>
  <c r="J133" i="123"/>
  <c r="B135" i="123"/>
  <c r="M135" i="123"/>
  <c r="E126" i="121"/>
  <c r="C131" i="121"/>
  <c r="L130" i="121"/>
  <c r="J137" i="121"/>
  <c r="F323" i="123"/>
  <c r="B85" i="119"/>
  <c r="E89" i="119"/>
  <c r="C88" i="119"/>
  <c r="B84" i="119"/>
  <c r="M31" i="136"/>
  <c r="L31" i="136"/>
  <c r="C90" i="123"/>
  <c r="K8" i="135"/>
  <c r="D252" i="119"/>
  <c r="D210" i="121"/>
  <c r="C217" i="121"/>
  <c r="G216" i="121"/>
  <c r="I11" i="119"/>
  <c r="J11" i="119" s="1"/>
  <c r="I43" i="131"/>
  <c r="G49" i="131"/>
  <c r="F40" i="131"/>
  <c r="C46" i="131"/>
  <c r="G14" i="131"/>
  <c r="G148" i="115"/>
  <c r="J197" i="117"/>
  <c r="F196" i="117"/>
  <c r="J193" i="117"/>
  <c r="F192" i="117"/>
  <c r="B191" i="117"/>
  <c r="J189" i="117"/>
  <c r="F188" i="117"/>
  <c r="F181" i="117"/>
  <c r="L198" i="117"/>
  <c r="H197" i="117"/>
  <c r="D196" i="117"/>
  <c r="L194" i="117"/>
  <c r="H193" i="117"/>
  <c r="D192" i="117"/>
  <c r="L190" i="117"/>
  <c r="H189" i="117"/>
  <c r="D188" i="117"/>
  <c r="J198" i="117"/>
  <c r="D197" i="117"/>
  <c r="D194" i="117"/>
  <c r="J192" i="117"/>
  <c r="D191" i="117"/>
  <c r="I189" i="117"/>
  <c r="I198" i="117"/>
  <c r="C197" i="117"/>
  <c r="I195" i="117"/>
  <c r="C194" i="117"/>
  <c r="I192" i="117"/>
  <c r="C191" i="117"/>
  <c r="G189" i="117"/>
  <c r="M187" i="117"/>
  <c r="H198" i="117"/>
  <c r="B197" i="117"/>
  <c r="H195" i="117"/>
  <c r="B194" i="117"/>
  <c r="H192" i="117"/>
  <c r="M190" i="117"/>
  <c r="F189" i="117"/>
  <c r="L187" i="117"/>
  <c r="G198" i="117"/>
  <c r="M196" i="117"/>
  <c r="G195" i="117"/>
  <c r="M193" i="117"/>
  <c r="G192" i="117"/>
  <c r="K190" i="117"/>
  <c r="E189" i="117"/>
  <c r="E198" i="117"/>
  <c r="E195" i="117"/>
  <c r="K193" i="117"/>
  <c r="C192" i="117"/>
  <c r="I190" i="117"/>
  <c r="C189" i="117"/>
  <c r="I187" i="117"/>
  <c r="C198" i="117"/>
  <c r="I193" i="117"/>
  <c r="I191" i="117"/>
  <c r="D189" i="117"/>
  <c r="D187" i="117"/>
  <c r="B198" i="117"/>
  <c r="M195" i="117"/>
  <c r="G193" i="117"/>
  <c r="H191" i="117"/>
  <c r="B189" i="117"/>
  <c r="M197" i="117"/>
  <c r="L195" i="117"/>
  <c r="F193" i="117"/>
  <c r="G191" i="117"/>
  <c r="M188" i="117"/>
  <c r="L197" i="117"/>
  <c r="E193" i="117"/>
  <c r="F191" i="117"/>
  <c r="L188" i="117"/>
  <c r="K197" i="117"/>
  <c r="F195" i="117"/>
  <c r="D193" i="117"/>
  <c r="E191" i="117"/>
  <c r="E197" i="117"/>
  <c r="K194" i="117"/>
  <c r="L192" i="117"/>
  <c r="F190" i="117"/>
  <c r="G188" i="117"/>
  <c r="L196" i="117"/>
  <c r="L193" i="117"/>
  <c r="C190" i="117"/>
  <c r="D198" i="117"/>
  <c r="G194" i="117"/>
  <c r="E190" i="117"/>
  <c r="I196" i="117"/>
  <c r="K192" i="117"/>
  <c r="I188" i="117"/>
  <c r="G196" i="117"/>
  <c r="B192" i="117"/>
  <c r="E188" i="117"/>
  <c r="E196" i="117"/>
  <c r="M191" i="117"/>
  <c r="L191" i="117"/>
  <c r="D195" i="117"/>
  <c r="K191" i="117"/>
  <c r="H187" i="117"/>
  <c r="J191" i="117"/>
  <c r="G187" i="117"/>
  <c r="F198" i="117"/>
  <c r="J190" i="117"/>
  <c r="I197" i="117"/>
  <c r="H190" i="117"/>
  <c r="G197" i="117"/>
  <c r="G190" i="117"/>
  <c r="F197" i="117"/>
  <c r="D190" i="117"/>
  <c r="B190" i="117"/>
  <c r="H194" i="117"/>
  <c r="H188" i="117"/>
  <c r="I194" i="117"/>
  <c r="F194" i="117"/>
  <c r="E194" i="117"/>
  <c r="C193" i="117"/>
  <c r="B193" i="117"/>
  <c r="L189" i="117"/>
  <c r="K189" i="117"/>
  <c r="J194" i="117"/>
  <c r="M198" i="117"/>
  <c r="K198" i="117"/>
  <c r="E192" i="117"/>
  <c r="M189" i="117"/>
  <c r="E187" i="117"/>
  <c r="F187" i="117"/>
  <c r="M192" i="117"/>
  <c r="H196" i="117"/>
  <c r="M194" i="117"/>
  <c r="J36" i="115"/>
  <c r="K174" i="121"/>
  <c r="J178" i="121"/>
  <c r="I172" i="121"/>
  <c r="J175" i="121"/>
  <c r="K260" i="131"/>
  <c r="G259" i="131"/>
  <c r="C258" i="131"/>
  <c r="K256" i="131"/>
  <c r="G255" i="131"/>
  <c r="C254" i="131"/>
  <c r="K252" i="131"/>
  <c r="G251" i="131"/>
  <c r="G261" i="131"/>
  <c r="I258" i="131"/>
  <c r="D257" i="131"/>
  <c r="K255" i="131"/>
  <c r="F254" i="131"/>
  <c r="M252" i="131"/>
  <c r="H251" i="131"/>
  <c r="I259" i="131"/>
  <c r="B258" i="131"/>
  <c r="H256" i="131"/>
  <c r="B255" i="131"/>
  <c r="H253" i="131"/>
  <c r="B252" i="131"/>
  <c r="H250" i="131"/>
  <c r="F261" i="131"/>
  <c r="K259" i="131"/>
  <c r="D258" i="131"/>
  <c r="G256" i="131"/>
  <c r="L254" i="131"/>
  <c r="E253" i="131"/>
  <c r="J251" i="131"/>
  <c r="E261" i="131"/>
  <c r="J259" i="131"/>
  <c r="M257" i="131"/>
  <c r="F256" i="131"/>
  <c r="K254" i="131"/>
  <c r="D253" i="131"/>
  <c r="I251" i="131"/>
  <c r="D261" i="131"/>
  <c r="H259" i="131"/>
  <c r="L257" i="131"/>
  <c r="E256" i="131"/>
  <c r="J254" i="131"/>
  <c r="C253" i="131"/>
  <c r="F251" i="131"/>
  <c r="F259" i="131"/>
  <c r="K257" i="131"/>
  <c r="D256" i="131"/>
  <c r="I254" i="131"/>
  <c r="B253" i="131"/>
  <c r="E251" i="131"/>
  <c r="E259" i="131"/>
  <c r="J257" i="131"/>
  <c r="C256" i="131"/>
  <c r="H254" i="131"/>
  <c r="L252" i="131"/>
  <c r="D251" i="131"/>
  <c r="H260" i="131"/>
  <c r="M258" i="131"/>
  <c r="F257" i="131"/>
  <c r="J255" i="131"/>
  <c r="B254" i="131"/>
  <c r="G252" i="131"/>
  <c r="I261" i="131"/>
  <c r="K258" i="131"/>
  <c r="B256" i="131"/>
  <c r="J253" i="131"/>
  <c r="H261" i="131"/>
  <c r="J258" i="131"/>
  <c r="M255" i="131"/>
  <c r="I253" i="131"/>
  <c r="K250" i="131"/>
  <c r="H258" i="131"/>
  <c r="L255" i="131"/>
  <c r="G253" i="131"/>
  <c r="J250" i="131"/>
  <c r="J260" i="131"/>
  <c r="G258" i="131"/>
  <c r="I255" i="131"/>
  <c r="F253" i="131"/>
  <c r="I250" i="131"/>
  <c r="I260" i="131"/>
  <c r="F258" i="131"/>
  <c r="H255" i="131"/>
  <c r="J252" i="131"/>
  <c r="G250" i="131"/>
  <c r="D260" i="131"/>
  <c r="G257" i="131"/>
  <c r="C255" i="131"/>
  <c r="E252" i="131"/>
  <c r="F260" i="131"/>
  <c r="L256" i="131"/>
  <c r="D252" i="131"/>
  <c r="E260" i="131"/>
  <c r="J256" i="131"/>
  <c r="C252" i="131"/>
  <c r="F244" i="131"/>
  <c r="I256" i="131"/>
  <c r="M259" i="131"/>
  <c r="F255" i="131"/>
  <c r="L259" i="131"/>
  <c r="E255" i="131"/>
  <c r="K251" i="131"/>
  <c r="C257" i="131"/>
  <c r="F250" i="131"/>
  <c r="B257" i="131"/>
  <c r="E250" i="131"/>
  <c r="M256" i="131"/>
  <c r="D250" i="131"/>
  <c r="D255" i="131"/>
  <c r="M254" i="131"/>
  <c r="D259" i="131"/>
  <c r="M253" i="131"/>
  <c r="D254" i="131"/>
  <c r="L253" i="131"/>
  <c r="K253" i="131"/>
  <c r="I252" i="131"/>
  <c r="J261" i="131"/>
  <c r="F252" i="131"/>
  <c r="H257" i="131"/>
  <c r="E257" i="131"/>
  <c r="G254" i="131"/>
  <c r="E254" i="131"/>
  <c r="C259" i="131"/>
  <c r="B259" i="131"/>
  <c r="L258" i="131"/>
  <c r="I257" i="131"/>
  <c r="H252" i="131"/>
  <c r="E258" i="131"/>
  <c r="K261" i="131"/>
  <c r="G260" i="131"/>
  <c r="J10" i="113"/>
  <c r="I64" i="97"/>
  <c r="L37" i="92"/>
  <c r="M37" i="92"/>
  <c r="I13" i="99"/>
  <c r="G295" i="99"/>
  <c r="F295" i="99"/>
  <c r="F296" i="99"/>
  <c r="F304" i="99"/>
  <c r="E525" i="97"/>
  <c r="K13" i="97"/>
  <c r="J13" i="97"/>
  <c r="N13" i="97"/>
  <c r="A477" i="97" s="1"/>
  <c r="F291" i="83"/>
  <c r="Q299" i="83"/>
  <c r="N300" i="83"/>
  <c r="K299" i="83"/>
  <c r="O302" i="83"/>
  <c r="J298" i="83"/>
  <c r="D294" i="83"/>
  <c r="E306" i="83"/>
  <c r="C299" i="83"/>
  <c r="C304" i="83"/>
  <c r="O295" i="83"/>
  <c r="J296" i="83"/>
  <c r="M296" i="83"/>
  <c r="C135" i="107"/>
  <c r="K28" i="90"/>
  <c r="C53" i="75"/>
  <c r="G249" i="69"/>
  <c r="N319" i="69" s="1"/>
  <c r="F249" i="69"/>
  <c r="G251" i="69"/>
  <c r="F252" i="69"/>
  <c r="F254" i="69"/>
  <c r="M287" i="69" s="1"/>
  <c r="A299" i="69" s="1"/>
  <c r="A311" i="69" s="1"/>
  <c r="F250" i="69"/>
  <c r="F253" i="69"/>
  <c r="F255" i="69"/>
  <c r="E257" i="123"/>
  <c r="F80" i="135"/>
  <c r="M95" i="135"/>
  <c r="M93" i="135"/>
  <c r="C92" i="135"/>
  <c r="G89" i="135"/>
  <c r="G91" i="135"/>
  <c r="G88" i="135"/>
  <c r="I89" i="135"/>
  <c r="L86" i="135"/>
  <c r="J87" i="135"/>
  <c r="K86" i="135"/>
  <c r="I86" i="135"/>
  <c r="B93" i="135"/>
  <c r="M94" i="135"/>
  <c r="F94" i="135"/>
  <c r="C86" i="135"/>
  <c r="H94" i="135"/>
  <c r="K84" i="135"/>
  <c r="J94" i="135"/>
  <c r="M91" i="135"/>
  <c r="E93" i="135"/>
  <c r="I95" i="135"/>
  <c r="D92" i="135"/>
  <c r="E92" i="135"/>
  <c r="H86" i="135"/>
  <c r="D90" i="135"/>
  <c r="G90" i="135"/>
  <c r="E91" i="135"/>
  <c r="L92" i="135"/>
  <c r="H89" i="135"/>
  <c r="H88" i="135"/>
  <c r="I94" i="135"/>
  <c r="B95" i="135"/>
  <c r="K88" i="135"/>
  <c r="M88" i="135"/>
  <c r="E90" i="135"/>
  <c r="K89" i="135"/>
  <c r="M86" i="135"/>
  <c r="J84" i="135"/>
  <c r="G86" i="135"/>
  <c r="F87" i="135"/>
  <c r="G87" i="135"/>
  <c r="J88" i="135"/>
  <c r="D88" i="135"/>
  <c r="B88" i="135"/>
  <c r="L84" i="135"/>
  <c r="F95" i="135"/>
  <c r="D94" i="135"/>
  <c r="B87" i="135"/>
  <c r="B92" i="135"/>
  <c r="L91" i="135"/>
  <c r="D93" i="135"/>
  <c r="L90" i="135"/>
  <c r="M87" i="135"/>
  <c r="E89" i="135"/>
  <c r="C91" i="135"/>
  <c r="I196" i="137"/>
  <c r="I193" i="137"/>
  <c r="I194" i="137"/>
  <c r="I195" i="137"/>
  <c r="K228" i="139"/>
  <c r="H87" i="135"/>
  <c r="G296" i="143"/>
  <c r="G123" i="139"/>
  <c r="K280" i="135"/>
  <c r="B153" i="141"/>
  <c r="B151" i="141"/>
  <c r="J12" i="141"/>
  <c r="I12" i="141"/>
  <c r="F225" i="141"/>
  <c r="C239" i="141"/>
  <c r="B238" i="141"/>
  <c r="K231" i="141"/>
  <c r="I231" i="141"/>
  <c r="J240" i="141"/>
  <c r="I240" i="141"/>
  <c r="H240" i="141"/>
  <c r="K230" i="141"/>
  <c r="M239" i="141"/>
  <c r="K233" i="141"/>
  <c r="D233" i="141"/>
  <c r="J233" i="141"/>
  <c r="M231" i="141"/>
  <c r="D238" i="141"/>
  <c r="K240" i="141"/>
  <c r="H229" i="141"/>
  <c r="M230" i="141"/>
  <c r="F231" i="141"/>
  <c r="L240" i="141"/>
  <c r="B237" i="141"/>
  <c r="M236" i="141"/>
  <c r="J196" i="141"/>
  <c r="B189" i="141"/>
  <c r="D189" i="141"/>
  <c r="G196" i="141"/>
  <c r="J188" i="141"/>
  <c r="B190" i="141"/>
  <c r="J49" i="133"/>
  <c r="H42" i="133"/>
  <c r="D190" i="135"/>
  <c r="C196" i="135"/>
  <c r="J42" i="139"/>
  <c r="H47" i="139"/>
  <c r="D48" i="139"/>
  <c r="F45" i="139"/>
  <c r="B43" i="139"/>
  <c r="I11" i="139"/>
  <c r="F171" i="133"/>
  <c r="F167" i="133"/>
  <c r="K10" i="139"/>
  <c r="D90" i="133"/>
  <c r="J87" i="133"/>
  <c r="G274" i="133"/>
  <c r="E451" i="133"/>
  <c r="J7" i="133"/>
  <c r="K49" i="133"/>
  <c r="J44" i="133"/>
  <c r="G40" i="133"/>
  <c r="E233" i="139"/>
  <c r="B236" i="139"/>
  <c r="L233" i="139"/>
  <c r="C237" i="139"/>
  <c r="G111" i="127"/>
  <c r="M28" i="138"/>
  <c r="L28" i="138"/>
  <c r="I87" i="135"/>
  <c r="G95" i="135"/>
  <c r="B84" i="135"/>
  <c r="F93" i="135"/>
  <c r="G93" i="135"/>
  <c r="M239" i="131"/>
  <c r="H170" i="127"/>
  <c r="G172" i="127"/>
  <c r="E119" i="125"/>
  <c r="F138" i="139"/>
  <c r="L153" i="139"/>
  <c r="F154" i="139"/>
  <c r="C154" i="139"/>
  <c r="F151" i="139"/>
  <c r="E152" i="139"/>
  <c r="H153" i="139"/>
  <c r="C153" i="139"/>
  <c r="B144" i="139"/>
  <c r="C148" i="139"/>
  <c r="B148" i="139"/>
  <c r="C149" i="139"/>
  <c r="B150" i="139"/>
  <c r="K150" i="139"/>
  <c r="B152" i="139"/>
  <c r="I151" i="139"/>
  <c r="L154" i="139"/>
  <c r="K145" i="139"/>
  <c r="M144" i="139"/>
  <c r="K149" i="139"/>
  <c r="G149" i="139"/>
  <c r="J148" i="139"/>
  <c r="E149" i="139"/>
  <c r="H150" i="139"/>
  <c r="C150" i="139"/>
  <c r="K152" i="139"/>
  <c r="J143" i="139"/>
  <c r="H151" i="139"/>
  <c r="D144" i="139"/>
  <c r="F149" i="139"/>
  <c r="K147" i="139"/>
  <c r="B149" i="139"/>
  <c r="I150" i="139"/>
  <c r="D154" i="139"/>
  <c r="M147" i="139"/>
  <c r="I149" i="139"/>
  <c r="B146" i="139"/>
  <c r="H147" i="139"/>
  <c r="M146" i="139"/>
  <c r="L151" i="139"/>
  <c r="L144" i="139"/>
  <c r="I143" i="139"/>
  <c r="B147" i="139"/>
  <c r="G151" i="139"/>
  <c r="D152" i="139"/>
  <c r="M151" i="139"/>
  <c r="I148" i="139"/>
  <c r="F150" i="139"/>
  <c r="C152" i="139"/>
  <c r="M153" i="139"/>
  <c r="J146" i="139"/>
  <c r="I10" i="133"/>
  <c r="J10" i="133" s="1"/>
  <c r="F281" i="139"/>
  <c r="G154" i="139"/>
  <c r="L148" i="139"/>
  <c r="M154" i="139"/>
  <c r="C147" i="139"/>
  <c r="L64" i="135"/>
  <c r="C64" i="135"/>
  <c r="B66" i="135"/>
  <c r="D71" i="135"/>
  <c r="M68" i="135"/>
  <c r="G277" i="135"/>
  <c r="B277" i="135"/>
  <c r="D229" i="131"/>
  <c r="I233" i="131"/>
  <c r="I234" i="131"/>
  <c r="C238" i="131"/>
  <c r="G232" i="131"/>
  <c r="M34" i="130"/>
  <c r="L34" i="130"/>
  <c r="I6" i="131"/>
  <c r="G117" i="125"/>
  <c r="C120" i="125"/>
  <c r="L264" i="127"/>
  <c r="L266" i="127"/>
  <c r="L265" i="127"/>
  <c r="D169" i="123"/>
  <c r="C174" i="123"/>
  <c r="C170" i="123"/>
  <c r="J173" i="123"/>
  <c r="I175" i="123"/>
  <c r="B115" i="123"/>
  <c r="I114" i="123"/>
  <c r="E168" i="123"/>
  <c r="K214" i="123"/>
  <c r="C212" i="123"/>
  <c r="M219" i="123"/>
  <c r="J107" i="123"/>
  <c r="D199" i="135"/>
  <c r="M33" i="132"/>
  <c r="L33" i="132"/>
  <c r="J10" i="119"/>
  <c r="F57" i="117"/>
  <c r="H70" i="117"/>
  <c r="D70" i="117"/>
  <c r="J65" i="117"/>
  <c r="L72" i="117"/>
  <c r="H63" i="117"/>
  <c r="B63" i="117"/>
  <c r="D72" i="117"/>
  <c r="J62" i="117"/>
  <c r="J71" i="117"/>
  <c r="C69" i="117"/>
  <c r="K68" i="117"/>
  <c r="M63" i="117"/>
  <c r="C71" i="117"/>
  <c r="G61" i="117"/>
  <c r="B61" i="117"/>
  <c r="G72" i="117"/>
  <c r="C65" i="117"/>
  <c r="H62" i="117"/>
  <c r="F70" i="117"/>
  <c r="I67" i="117"/>
  <c r="F67" i="117"/>
  <c r="D62" i="117"/>
  <c r="F69" i="117"/>
  <c r="M70" i="117"/>
  <c r="M69" i="117"/>
  <c r="D68" i="117"/>
  <c r="D69" i="117"/>
  <c r="B69" i="117"/>
  <c r="M65" i="117"/>
  <c r="E71" i="117"/>
  <c r="D67" i="117"/>
  <c r="B68" i="117"/>
  <c r="J66" i="117"/>
  <c r="L62" i="117"/>
  <c r="I61" i="117"/>
  <c r="G67" i="117"/>
  <c r="J63" i="117"/>
  <c r="F61" i="117"/>
  <c r="J68" i="117"/>
  <c r="E69" i="117"/>
  <c r="M68" i="117"/>
  <c r="M67" i="117"/>
  <c r="M72" i="117"/>
  <c r="I68" i="117"/>
  <c r="D61" i="117"/>
  <c r="C68" i="117"/>
  <c r="K69" i="117"/>
  <c r="J67" i="117"/>
  <c r="J64" i="117"/>
  <c r="L63" i="117"/>
  <c r="E70" i="117"/>
  <c r="B66" i="117"/>
  <c r="B65" i="117"/>
  <c r="M61" i="117"/>
  <c r="B67" i="117"/>
  <c r="J72" i="117"/>
  <c r="C72" i="117"/>
  <c r="B62" i="117"/>
  <c r="D71" i="117"/>
  <c r="F68" i="117"/>
  <c r="L64" i="117"/>
  <c r="J70" i="117"/>
  <c r="I71" i="117"/>
  <c r="G69" i="117"/>
  <c r="I70" i="117"/>
  <c r="C63" i="117"/>
  <c r="K62" i="117"/>
  <c r="L67" i="117"/>
  <c r="H64" i="117"/>
  <c r="E67" i="117"/>
  <c r="M66" i="117"/>
  <c r="I72" i="117"/>
  <c r="B72" i="117"/>
  <c r="M71" i="117"/>
  <c r="B64" i="117"/>
  <c r="J61" i="117"/>
  <c r="C61" i="117"/>
  <c r="H61" i="117"/>
  <c r="I62" i="117"/>
  <c r="I69" i="117"/>
  <c r="L66" i="117"/>
  <c r="H66" i="117"/>
  <c r="M64" i="117"/>
  <c r="K67" i="117"/>
  <c r="C64" i="117"/>
  <c r="E72" i="117"/>
  <c r="I63" i="117"/>
  <c r="H69" i="117"/>
  <c r="B70" i="117"/>
  <c r="E62" i="117"/>
  <c r="I65" i="117"/>
  <c r="K66" i="117"/>
  <c r="B71" i="117"/>
  <c r="K64" i="117"/>
  <c r="H65" i="117"/>
  <c r="L70" i="117"/>
  <c r="C62" i="117"/>
  <c r="K63" i="117"/>
  <c r="I64" i="117"/>
  <c r="L69" i="117"/>
  <c r="C66" i="117"/>
  <c r="K70" i="117"/>
  <c r="E68" i="117"/>
  <c r="K65" i="117"/>
  <c r="M62" i="117"/>
  <c r="E61" i="117"/>
  <c r="F71" i="117"/>
  <c r="C70" i="117"/>
  <c r="I66" i="117"/>
  <c r="D52" i="123"/>
  <c r="K9" i="125"/>
  <c r="F300" i="119"/>
  <c r="C256" i="123"/>
  <c r="K263" i="123"/>
  <c r="M252" i="123"/>
  <c r="J154" i="123"/>
  <c r="D152" i="123"/>
  <c r="L152" i="123"/>
  <c r="G153" i="123"/>
  <c r="L149" i="123"/>
  <c r="L152" i="131"/>
  <c r="H148" i="131"/>
  <c r="J151" i="131"/>
  <c r="L150" i="131"/>
  <c r="L147" i="131"/>
  <c r="E46" i="123"/>
  <c r="K46" i="123"/>
  <c r="L45" i="123"/>
  <c r="E49" i="123"/>
  <c r="G327" i="121"/>
  <c r="P343" i="121"/>
  <c r="F327" i="121"/>
  <c r="G61" i="119"/>
  <c r="G69" i="119"/>
  <c r="C72" i="119"/>
  <c r="M38" i="118"/>
  <c r="L38" i="118"/>
  <c r="G137" i="123"/>
  <c r="F137" i="123"/>
  <c r="J127" i="123"/>
  <c r="I136" i="123"/>
  <c r="D132" i="123"/>
  <c r="F134" i="121"/>
  <c r="C134" i="121"/>
  <c r="E135" i="121"/>
  <c r="D132" i="121"/>
  <c r="L133" i="121"/>
  <c r="E523" i="123"/>
  <c r="K17" i="123"/>
  <c r="C267" i="123" s="1"/>
  <c r="I93" i="119"/>
  <c r="D91" i="119"/>
  <c r="B90" i="119"/>
  <c r="L36" i="120"/>
  <c r="M36" i="120"/>
  <c r="H258" i="119"/>
  <c r="K215" i="121"/>
  <c r="G213" i="121"/>
  <c r="G219" i="121"/>
  <c r="K217" i="121"/>
  <c r="I7" i="119"/>
  <c r="J7" i="119" s="1"/>
  <c r="I51" i="131"/>
  <c r="D44" i="131"/>
  <c r="E44" i="131"/>
  <c r="E49" i="131"/>
  <c r="M36" i="116"/>
  <c r="L36" i="116"/>
  <c r="F151" i="115"/>
  <c r="K151" i="115"/>
  <c r="E491" i="117"/>
  <c r="J13" i="117"/>
  <c r="J39" i="115"/>
  <c r="K40" i="115"/>
  <c r="B175" i="121"/>
  <c r="L170" i="121"/>
  <c r="J174" i="121"/>
  <c r="G207" i="115"/>
  <c r="F207" i="115"/>
  <c r="K33" i="84"/>
  <c r="I6" i="85"/>
  <c r="J6" i="85" s="1"/>
  <c r="K72" i="117"/>
  <c r="K7" i="103"/>
  <c r="C572" i="81"/>
  <c r="E572" i="81"/>
  <c r="K44" i="75"/>
  <c r="I9" i="135"/>
  <c r="E37" i="137"/>
  <c r="M68" i="141"/>
  <c r="H277" i="135"/>
  <c r="M48" i="139"/>
  <c r="B108" i="139"/>
  <c r="F189" i="143"/>
  <c r="H146" i="141"/>
  <c r="K13" i="143"/>
  <c r="M127" i="139"/>
  <c r="L127" i="139"/>
  <c r="L129" i="139"/>
  <c r="I36" i="137"/>
  <c r="H33" i="137"/>
  <c r="E284" i="135"/>
  <c r="M282" i="135"/>
  <c r="J276" i="135"/>
  <c r="I189" i="135"/>
  <c r="F303" i="141"/>
  <c r="K85" i="133"/>
  <c r="I48" i="143"/>
  <c r="I126" i="143"/>
  <c r="J40" i="143"/>
  <c r="D114" i="143"/>
  <c r="E110" i="143"/>
  <c r="B107" i="143"/>
  <c r="F112" i="143"/>
  <c r="E114" i="141"/>
  <c r="M112" i="141"/>
  <c r="I111" i="141"/>
  <c r="E110" i="141"/>
  <c r="M108" i="141"/>
  <c r="E106" i="141"/>
  <c r="M104" i="141"/>
  <c r="I103" i="141"/>
  <c r="K113" i="141"/>
  <c r="F112" i="141"/>
  <c r="M110" i="141"/>
  <c r="C108" i="141"/>
  <c r="J106" i="141"/>
  <c r="E105" i="141"/>
  <c r="L103" i="141"/>
  <c r="M114" i="141"/>
  <c r="G113" i="141"/>
  <c r="M111" i="141"/>
  <c r="L108" i="141"/>
  <c r="L105" i="141"/>
  <c r="F104" i="141"/>
  <c r="J114" i="141"/>
  <c r="B114" i="141"/>
  <c r="G112" i="141"/>
  <c r="K110" i="141"/>
  <c r="D109" i="141"/>
  <c r="M105" i="141"/>
  <c r="E104" i="141"/>
  <c r="C114" i="141"/>
  <c r="E112" i="141"/>
  <c r="K108" i="141"/>
  <c r="C107" i="141"/>
  <c r="G105" i="141"/>
  <c r="J103" i="141"/>
  <c r="F113" i="141"/>
  <c r="H111" i="141"/>
  <c r="K109" i="141"/>
  <c r="M107" i="141"/>
  <c r="C106" i="141"/>
  <c r="D104" i="141"/>
  <c r="D113" i="141"/>
  <c r="F111" i="141"/>
  <c r="K107" i="141"/>
  <c r="K105" i="141"/>
  <c r="B104" i="141"/>
  <c r="C113" i="141"/>
  <c r="E111" i="141"/>
  <c r="J107" i="141"/>
  <c r="J105" i="141"/>
  <c r="M103" i="141"/>
  <c r="I114" i="141"/>
  <c r="H112" i="141"/>
  <c r="C110" i="141"/>
  <c r="B108" i="141"/>
  <c r="H105" i="141"/>
  <c r="E103" i="141"/>
  <c r="K112" i="141"/>
  <c r="D108" i="141"/>
  <c r="F105" i="141"/>
  <c r="C103" i="141"/>
  <c r="M113" i="141"/>
  <c r="J111" i="141"/>
  <c r="C109" i="141"/>
  <c r="K106" i="141"/>
  <c r="H104" i="141"/>
  <c r="D114" i="141"/>
  <c r="D111" i="141"/>
  <c r="B106" i="141"/>
  <c r="B103" i="141"/>
  <c r="J112" i="141"/>
  <c r="M109" i="141"/>
  <c r="B107" i="141"/>
  <c r="I104" i="141"/>
  <c r="D112" i="141"/>
  <c r="E109" i="141"/>
  <c r="F106" i="141"/>
  <c r="C112" i="141"/>
  <c r="B109" i="141"/>
  <c r="D106" i="141"/>
  <c r="B112" i="141"/>
  <c r="J108" i="141"/>
  <c r="I105" i="141"/>
  <c r="L114" i="141"/>
  <c r="L111" i="141"/>
  <c r="D105" i="141"/>
  <c r="K114" i="141"/>
  <c r="K111" i="141"/>
  <c r="C105" i="141"/>
  <c r="L113" i="141"/>
  <c r="L110" i="141"/>
  <c r="J104" i="141"/>
  <c r="E113" i="141"/>
  <c r="L107" i="141"/>
  <c r="F103" i="141"/>
  <c r="B113" i="141"/>
  <c r="E107" i="141"/>
  <c r="D103" i="141"/>
  <c r="L112" i="141"/>
  <c r="D107" i="141"/>
  <c r="I112" i="141"/>
  <c r="M106" i="141"/>
  <c r="F97" i="141"/>
  <c r="G111" i="141"/>
  <c r="L106" i="141"/>
  <c r="B105" i="141"/>
  <c r="G114" i="141"/>
  <c r="H106" i="141"/>
  <c r="F114" i="141"/>
  <c r="G106" i="141"/>
  <c r="J113" i="141"/>
  <c r="L104" i="141"/>
  <c r="I113" i="141"/>
  <c r="K104" i="141"/>
  <c r="H113" i="141"/>
  <c r="G104" i="141"/>
  <c r="D110" i="141"/>
  <c r="G103" i="141"/>
  <c r="J110" i="141"/>
  <c r="B110" i="141"/>
  <c r="L109" i="141"/>
  <c r="J109" i="141"/>
  <c r="C104" i="141"/>
  <c r="H103" i="141"/>
  <c r="H114" i="141"/>
  <c r="C111" i="141"/>
  <c r="I106" i="141"/>
  <c r="E108" i="141"/>
  <c r="K103" i="141"/>
  <c r="B111" i="141"/>
  <c r="K71" i="141"/>
  <c r="J67" i="141"/>
  <c r="K7" i="143"/>
  <c r="E177" i="143"/>
  <c r="M175" i="143"/>
  <c r="I174" i="143"/>
  <c r="E173" i="143"/>
  <c r="I170" i="143"/>
  <c r="E169" i="143"/>
  <c r="M167" i="143"/>
  <c r="I166" i="143"/>
  <c r="B177" i="143"/>
  <c r="J175" i="143"/>
  <c r="K175" i="143"/>
  <c r="E174" i="143"/>
  <c r="L172" i="143"/>
  <c r="B170" i="143"/>
  <c r="I168" i="143"/>
  <c r="D167" i="143"/>
  <c r="J177" i="143"/>
  <c r="C176" i="143"/>
  <c r="G174" i="143"/>
  <c r="M172" i="143"/>
  <c r="L169" i="143"/>
  <c r="F168" i="143"/>
  <c r="L166" i="143"/>
  <c r="J176" i="143"/>
  <c r="B175" i="143"/>
  <c r="G173" i="143"/>
  <c r="K171" i="143"/>
  <c r="D170" i="143"/>
  <c r="H168" i="143"/>
  <c r="M166" i="143"/>
  <c r="E176" i="143"/>
  <c r="H174" i="143"/>
  <c r="K172" i="143"/>
  <c r="D171" i="143"/>
  <c r="I169" i="143"/>
  <c r="B168" i="143"/>
  <c r="F166" i="143"/>
  <c r="M174" i="143"/>
  <c r="C173" i="143"/>
  <c r="C171" i="143"/>
  <c r="F169" i="143"/>
  <c r="H167" i="143"/>
  <c r="D174" i="143"/>
  <c r="G172" i="143"/>
  <c r="J170" i="143"/>
  <c r="L168" i="143"/>
  <c r="B167" i="143"/>
  <c r="B176" i="143"/>
  <c r="L173" i="143"/>
  <c r="J169" i="143"/>
  <c r="I167" i="143"/>
  <c r="L175" i="143"/>
  <c r="K173" i="143"/>
  <c r="J171" i="143"/>
  <c r="H169" i="143"/>
  <c r="G167" i="143"/>
  <c r="K177" i="143"/>
  <c r="E175" i="143"/>
  <c r="J172" i="143"/>
  <c r="C168" i="143"/>
  <c r="H177" i="143"/>
  <c r="C175" i="143"/>
  <c r="H172" i="143"/>
  <c r="E170" i="143"/>
  <c r="K167" i="143"/>
  <c r="C177" i="143"/>
  <c r="J174" i="143"/>
  <c r="D172" i="143"/>
  <c r="K169" i="143"/>
  <c r="E167" i="143"/>
  <c r="F160" i="143"/>
  <c r="D176" i="143"/>
  <c r="D173" i="143"/>
  <c r="C170" i="143"/>
  <c r="K166" i="143"/>
  <c r="H175" i="143"/>
  <c r="I172" i="143"/>
  <c r="G169" i="143"/>
  <c r="H166" i="143"/>
  <c r="I177" i="143"/>
  <c r="B174" i="143"/>
  <c r="F167" i="143"/>
  <c r="M173" i="143"/>
  <c r="K170" i="143"/>
  <c r="C167" i="143"/>
  <c r="D177" i="143"/>
  <c r="J173" i="143"/>
  <c r="H170" i="143"/>
  <c r="K176" i="143"/>
  <c r="H173" i="143"/>
  <c r="M169" i="143"/>
  <c r="E166" i="143"/>
  <c r="F173" i="143"/>
  <c r="K168" i="143"/>
  <c r="E172" i="143"/>
  <c r="E168" i="143"/>
  <c r="C174" i="143"/>
  <c r="J168" i="143"/>
  <c r="K174" i="143"/>
  <c r="M168" i="143"/>
  <c r="F174" i="143"/>
  <c r="G168" i="143"/>
  <c r="I173" i="143"/>
  <c r="D168" i="143"/>
  <c r="B173" i="143"/>
  <c r="L167" i="143"/>
  <c r="F172" i="143"/>
  <c r="J167" i="143"/>
  <c r="C172" i="143"/>
  <c r="J166" i="143"/>
  <c r="H176" i="143"/>
  <c r="B169" i="143"/>
  <c r="I176" i="143"/>
  <c r="G166" i="143"/>
  <c r="D166" i="143"/>
  <c r="I175" i="143"/>
  <c r="C166" i="143"/>
  <c r="G175" i="143"/>
  <c r="B166" i="143"/>
  <c r="F175" i="143"/>
  <c r="I171" i="143"/>
  <c r="C169" i="143"/>
  <c r="L174" i="143"/>
  <c r="D175" i="143"/>
  <c r="B172" i="143"/>
  <c r="H171" i="143"/>
  <c r="E171" i="143"/>
  <c r="B171" i="143"/>
  <c r="D169" i="143"/>
  <c r="F109" i="139"/>
  <c r="F198" i="143"/>
  <c r="L194" i="143"/>
  <c r="G187" i="143"/>
  <c r="L189" i="143"/>
  <c r="L187" i="143"/>
  <c r="J190" i="143"/>
  <c r="C194" i="143"/>
  <c r="E211" i="139"/>
  <c r="B211" i="139"/>
  <c r="M148" i="141"/>
  <c r="F155" i="141"/>
  <c r="L152" i="141"/>
  <c r="C148" i="141"/>
  <c r="H150" i="141"/>
  <c r="M34" i="140"/>
  <c r="L34" i="140"/>
  <c r="J229" i="141"/>
  <c r="J232" i="141"/>
  <c r="C235" i="141"/>
  <c r="M229" i="141"/>
  <c r="F234" i="141"/>
  <c r="M234" i="141"/>
  <c r="L29" i="140"/>
  <c r="M29" i="140"/>
  <c r="M360" i="141"/>
  <c r="M361" i="141"/>
  <c r="G192" i="141"/>
  <c r="K188" i="141"/>
  <c r="B197" i="141"/>
  <c r="C191" i="141"/>
  <c r="B191" i="141"/>
  <c r="B198" i="141"/>
  <c r="C190" i="141"/>
  <c r="I15" i="135"/>
  <c r="K15" i="135" s="1"/>
  <c r="E132" i="139"/>
  <c r="F129" i="139"/>
  <c r="F131" i="139"/>
  <c r="M125" i="139"/>
  <c r="I33" i="137"/>
  <c r="F112" i="137"/>
  <c r="C116" i="137"/>
  <c r="H115" i="137"/>
  <c r="E115" i="137"/>
  <c r="D116" i="137"/>
  <c r="G121" i="137"/>
  <c r="I119" i="137"/>
  <c r="E119" i="137"/>
  <c r="C122" i="137"/>
  <c r="E120" i="137"/>
  <c r="C117" i="137"/>
  <c r="C120" i="137"/>
  <c r="I115" i="137"/>
  <c r="F121" i="137"/>
  <c r="G117" i="137"/>
  <c r="D119" i="137"/>
  <c r="B118" i="137"/>
  <c r="F117" i="137"/>
  <c r="G119" i="137"/>
  <c r="I120" i="137"/>
  <c r="B120" i="137"/>
  <c r="B121" i="137"/>
  <c r="G282" i="135"/>
  <c r="F284" i="135"/>
  <c r="B278" i="135"/>
  <c r="L166" i="137"/>
  <c r="G154" i="137"/>
  <c r="F154" i="137"/>
  <c r="C48" i="133"/>
  <c r="L43" i="133"/>
  <c r="M193" i="135"/>
  <c r="M197" i="135"/>
  <c r="B191" i="135"/>
  <c r="J200" i="135"/>
  <c r="I45" i="139"/>
  <c r="E49" i="139"/>
  <c r="L46" i="139"/>
  <c r="F44" i="139"/>
  <c r="K30" i="138"/>
  <c r="J242" i="135"/>
  <c r="F241" i="135"/>
  <c r="B240" i="135"/>
  <c r="J238" i="135"/>
  <c r="F237" i="135"/>
  <c r="B236" i="135"/>
  <c r="J234" i="135"/>
  <c r="F233" i="135"/>
  <c r="B232" i="135"/>
  <c r="K240" i="135"/>
  <c r="F239" i="135"/>
  <c r="M237" i="135"/>
  <c r="H236" i="135"/>
  <c r="C235" i="135"/>
  <c r="J233" i="135"/>
  <c r="E232" i="135"/>
  <c r="B242" i="135"/>
  <c r="I240" i="135"/>
  <c r="D239" i="135"/>
  <c r="K237" i="135"/>
  <c r="F236" i="135"/>
  <c r="H233" i="135"/>
  <c r="C232" i="135"/>
  <c r="H240" i="135"/>
  <c r="C239" i="135"/>
  <c r="J237" i="135"/>
  <c r="E236" i="135"/>
  <c r="G233" i="135"/>
  <c r="M231" i="135"/>
  <c r="I241" i="135"/>
  <c r="D240" i="135"/>
  <c r="K238" i="135"/>
  <c r="E237" i="135"/>
  <c r="L235" i="135"/>
  <c r="G234" i="135"/>
  <c r="B233" i="135"/>
  <c r="I231" i="135"/>
  <c r="G242" i="135"/>
  <c r="G240" i="135"/>
  <c r="H238" i="135"/>
  <c r="K236" i="135"/>
  <c r="K234" i="135"/>
  <c r="L232" i="135"/>
  <c r="C231" i="135"/>
  <c r="F242" i="135"/>
  <c r="F240" i="135"/>
  <c r="G238" i="135"/>
  <c r="J236" i="135"/>
  <c r="I234" i="135"/>
  <c r="K232" i="135"/>
  <c r="B231" i="135"/>
  <c r="E240" i="135"/>
  <c r="F238" i="135"/>
  <c r="I236" i="135"/>
  <c r="H234" i="135"/>
  <c r="J232" i="135"/>
  <c r="C242" i="135"/>
  <c r="C240" i="135"/>
  <c r="E238" i="135"/>
  <c r="G236" i="135"/>
  <c r="F234" i="135"/>
  <c r="I232" i="135"/>
  <c r="M239" i="135"/>
  <c r="D238" i="135"/>
  <c r="D236" i="135"/>
  <c r="H232" i="135"/>
  <c r="G241" i="135"/>
  <c r="I239" i="135"/>
  <c r="I237" i="135"/>
  <c r="J235" i="135"/>
  <c r="L231" i="135"/>
  <c r="J240" i="135"/>
  <c r="D237" i="135"/>
  <c r="C234" i="135"/>
  <c r="F231" i="135"/>
  <c r="L239" i="135"/>
  <c r="C237" i="135"/>
  <c r="B234" i="135"/>
  <c r="E231" i="135"/>
  <c r="K239" i="135"/>
  <c r="B237" i="135"/>
  <c r="D231" i="135"/>
  <c r="J239" i="135"/>
  <c r="M236" i="135"/>
  <c r="K233" i="135"/>
  <c r="K242" i="135"/>
  <c r="H239" i="135"/>
  <c r="L236" i="135"/>
  <c r="I233" i="135"/>
  <c r="J241" i="135"/>
  <c r="M238" i="135"/>
  <c r="I235" i="135"/>
  <c r="M232" i="135"/>
  <c r="C238" i="135"/>
  <c r="I242" i="135"/>
  <c r="B238" i="135"/>
  <c r="C233" i="135"/>
  <c r="H242" i="135"/>
  <c r="L237" i="135"/>
  <c r="G232" i="135"/>
  <c r="K241" i="135"/>
  <c r="H237" i="135"/>
  <c r="F232" i="135"/>
  <c r="H241" i="135"/>
  <c r="G237" i="135"/>
  <c r="D232" i="135"/>
  <c r="B241" i="135"/>
  <c r="H235" i="135"/>
  <c r="G231" i="135"/>
  <c r="C241" i="135"/>
  <c r="M240" i="135"/>
  <c r="L240" i="135"/>
  <c r="K231" i="135"/>
  <c r="G239" i="135"/>
  <c r="J231" i="135"/>
  <c r="E239" i="135"/>
  <c r="H231" i="135"/>
  <c r="C236" i="135"/>
  <c r="F225" i="135"/>
  <c r="B235" i="135"/>
  <c r="B239" i="135"/>
  <c r="L238" i="135"/>
  <c r="I238" i="135"/>
  <c r="F235" i="135"/>
  <c r="M235" i="135"/>
  <c r="K235" i="135"/>
  <c r="E235" i="135"/>
  <c r="G235" i="135"/>
  <c r="D235" i="135"/>
  <c r="J83" i="133"/>
  <c r="L172" i="133"/>
  <c r="F168" i="133"/>
  <c r="P293" i="133"/>
  <c r="G277" i="133"/>
  <c r="F277" i="133"/>
  <c r="J91" i="133"/>
  <c r="E89" i="133"/>
  <c r="K87" i="133"/>
  <c r="M39" i="133"/>
  <c r="D46" i="133"/>
  <c r="G43" i="133"/>
  <c r="I9" i="141"/>
  <c r="G116" i="137"/>
  <c r="F119" i="137"/>
  <c r="B227" i="139"/>
  <c r="K237" i="139"/>
  <c r="I238" i="139"/>
  <c r="B237" i="139"/>
  <c r="E113" i="127"/>
  <c r="F282" i="139"/>
  <c r="P298" i="139"/>
  <c r="G282" i="139"/>
  <c r="F182" i="141"/>
  <c r="B194" i="141"/>
  <c r="C188" i="141"/>
  <c r="G198" i="141"/>
  <c r="L187" i="141"/>
  <c r="J197" i="141"/>
  <c r="K187" i="141"/>
  <c r="F197" i="141"/>
  <c r="D197" i="141"/>
  <c r="C194" i="141"/>
  <c r="G195" i="141"/>
  <c r="J194" i="141"/>
  <c r="E192" i="141"/>
  <c r="L190" i="141"/>
  <c r="F189" i="141"/>
  <c r="F190" i="141"/>
  <c r="H189" i="141"/>
  <c r="E189" i="141"/>
  <c r="G189" i="141"/>
  <c r="F198" i="141"/>
  <c r="B193" i="141"/>
  <c r="L191" i="141"/>
  <c r="B188" i="141"/>
  <c r="E191" i="141"/>
  <c r="I188" i="141"/>
  <c r="K189" i="141"/>
  <c r="F187" i="141"/>
  <c r="F91" i="135"/>
  <c r="F85" i="135"/>
  <c r="H85" i="135"/>
  <c r="C95" i="135"/>
  <c r="L94" i="135"/>
  <c r="J172" i="127"/>
  <c r="F174" i="127"/>
  <c r="G116" i="125"/>
  <c r="M32" i="132"/>
  <c r="L32" i="132"/>
  <c r="I145" i="139"/>
  <c r="L149" i="139"/>
  <c r="E143" i="139"/>
  <c r="L150" i="139"/>
  <c r="G144" i="139"/>
  <c r="H148" i="139"/>
  <c r="I68" i="135"/>
  <c r="I67" i="135"/>
  <c r="J72" i="135"/>
  <c r="F70" i="135"/>
  <c r="I277" i="135"/>
  <c r="L280" i="135"/>
  <c r="K232" i="131"/>
  <c r="B236" i="131"/>
  <c r="D236" i="131"/>
  <c r="I236" i="131"/>
  <c r="C235" i="131"/>
  <c r="H172" i="127"/>
  <c r="G115" i="125"/>
  <c r="C122" i="125"/>
  <c r="F171" i="123"/>
  <c r="L171" i="123"/>
  <c r="E171" i="123"/>
  <c r="E178" i="123"/>
  <c r="F116" i="123"/>
  <c r="I116" i="123"/>
  <c r="M28" i="124"/>
  <c r="L28" i="124"/>
  <c r="I113" i="123"/>
  <c r="L213" i="123"/>
  <c r="E221" i="123"/>
  <c r="G105" i="123"/>
  <c r="L196" i="135"/>
  <c r="M189" i="135"/>
  <c r="L40" i="120"/>
  <c r="M40" i="120"/>
  <c r="B102" i="129"/>
  <c r="E303" i="129"/>
  <c r="C303" i="129"/>
  <c r="F327" i="135"/>
  <c r="E518" i="121"/>
  <c r="J12" i="121"/>
  <c r="C47" i="123"/>
  <c r="M31" i="116"/>
  <c r="L31" i="116"/>
  <c r="F253" i="123"/>
  <c r="G254" i="123"/>
  <c r="C259" i="123"/>
  <c r="I255" i="123"/>
  <c r="H149" i="123"/>
  <c r="G154" i="123"/>
  <c r="C155" i="123"/>
  <c r="D151" i="123"/>
  <c r="I155" i="131"/>
  <c r="I150" i="131"/>
  <c r="F152" i="131"/>
  <c r="L155" i="131"/>
  <c r="I48" i="123"/>
  <c r="H48" i="123"/>
  <c r="F48" i="123"/>
  <c r="F47" i="123"/>
  <c r="I50" i="123"/>
  <c r="K127" i="123"/>
  <c r="F129" i="123"/>
  <c r="K126" i="123"/>
  <c r="F126" i="121"/>
  <c r="J136" i="121"/>
  <c r="B137" i="121"/>
  <c r="D135" i="121"/>
  <c r="F78" i="119"/>
  <c r="F90" i="119"/>
  <c r="I85" i="119"/>
  <c r="F83" i="119"/>
  <c r="D83" i="119"/>
  <c r="C83" i="119"/>
  <c r="E90" i="119"/>
  <c r="G82" i="119"/>
  <c r="D82" i="119"/>
  <c r="G88" i="119"/>
  <c r="C82" i="119"/>
  <c r="F88" i="119"/>
  <c r="B82" i="119"/>
  <c r="G87" i="119"/>
  <c r="B93" i="119"/>
  <c r="C87" i="119"/>
  <c r="J92" i="119"/>
  <c r="B87" i="119"/>
  <c r="F92" i="119"/>
  <c r="M86" i="119"/>
  <c r="G93" i="119"/>
  <c r="D92" i="119"/>
  <c r="B92" i="119"/>
  <c r="M91" i="119"/>
  <c r="F87" i="119"/>
  <c r="H85" i="119"/>
  <c r="E84" i="119"/>
  <c r="J85" i="119"/>
  <c r="D87" i="119"/>
  <c r="C91" i="119"/>
  <c r="J93" i="119"/>
  <c r="E93" i="119"/>
  <c r="K85" i="119"/>
  <c r="E92" i="119"/>
  <c r="K87" i="119"/>
  <c r="M88" i="119"/>
  <c r="G83" i="119"/>
  <c r="E88" i="119"/>
  <c r="L90" i="119"/>
  <c r="L89" i="119"/>
  <c r="C86" i="119"/>
  <c r="H86" i="119"/>
  <c r="L86" i="119"/>
  <c r="G89" i="119"/>
  <c r="M87" i="119"/>
  <c r="F84" i="119"/>
  <c r="J83" i="119"/>
  <c r="L92" i="119"/>
  <c r="G85" i="119"/>
  <c r="B88" i="119"/>
  <c r="E86" i="119"/>
  <c r="J82" i="119"/>
  <c r="F91" i="119"/>
  <c r="G90" i="119"/>
  <c r="C85" i="119"/>
  <c r="M89" i="119"/>
  <c r="B91" i="119"/>
  <c r="F93" i="119"/>
  <c r="L85" i="119"/>
  <c r="M90" i="119"/>
  <c r="C89" i="119"/>
  <c r="C503" i="123"/>
  <c r="B267" i="123"/>
  <c r="E503" i="123"/>
  <c r="H83" i="119"/>
  <c r="M92" i="119"/>
  <c r="E83" i="119"/>
  <c r="F209" i="127"/>
  <c r="L235" i="127" s="1"/>
  <c r="M215" i="121"/>
  <c r="K210" i="121"/>
  <c r="L214" i="121"/>
  <c r="G220" i="121"/>
  <c r="J11" i="127"/>
  <c r="I11" i="127"/>
  <c r="K11" i="119"/>
  <c r="L46" i="131"/>
  <c r="H46" i="131"/>
  <c r="K50" i="131"/>
  <c r="G295" i="117"/>
  <c r="F155" i="115"/>
  <c r="C155" i="115"/>
  <c r="J42" i="115"/>
  <c r="J176" i="121"/>
  <c r="C176" i="121"/>
  <c r="G176" i="121"/>
  <c r="J179" i="121"/>
  <c r="I10" i="109"/>
  <c r="G187" i="107"/>
  <c r="F187" i="107"/>
  <c r="F192" i="107"/>
  <c r="K70" i="97"/>
  <c r="I16" i="99"/>
  <c r="J16" i="99" s="1"/>
  <c r="I11" i="83"/>
  <c r="K32" i="88"/>
  <c r="L37" i="84"/>
  <c r="M37" i="84"/>
  <c r="F71" i="91"/>
  <c r="I77" i="91"/>
  <c r="C80" i="91"/>
  <c r="C76" i="91"/>
  <c r="D82" i="91"/>
  <c r="G78" i="91"/>
  <c r="G74" i="91"/>
  <c r="K76" i="91"/>
  <c r="B80" i="91"/>
  <c r="F82" i="91"/>
  <c r="B79" i="91"/>
  <c r="E75" i="91"/>
  <c r="J77" i="91"/>
  <c r="E76" i="91"/>
  <c r="J78" i="91"/>
  <c r="D79" i="91"/>
  <c r="J75" i="91"/>
  <c r="F80" i="91"/>
  <c r="G80" i="91"/>
  <c r="E80" i="91"/>
  <c r="J74" i="91"/>
  <c r="K77" i="91"/>
  <c r="G82" i="91"/>
  <c r="C82" i="91"/>
  <c r="C75" i="91"/>
  <c r="K78" i="91"/>
  <c r="E79" i="91"/>
  <c r="E77" i="91"/>
  <c r="B75" i="91"/>
  <c r="I75" i="91"/>
  <c r="K79" i="91"/>
  <c r="C78" i="91"/>
  <c r="B74" i="91"/>
  <c r="D74" i="91"/>
  <c r="H75" i="91"/>
  <c r="C74" i="91"/>
  <c r="H79" i="91"/>
  <c r="E83" i="91"/>
  <c r="F83" i="91"/>
  <c r="C83" i="91"/>
  <c r="J79" i="91"/>
  <c r="F75" i="91"/>
  <c r="F74" i="91"/>
  <c r="D76" i="91"/>
  <c r="K75" i="91"/>
  <c r="K74" i="91"/>
  <c r="F77" i="91"/>
  <c r="I76" i="91"/>
  <c r="M50" i="75"/>
  <c r="J16" i="143"/>
  <c r="I16" i="143"/>
  <c r="M48" i="143"/>
  <c r="J45" i="143"/>
  <c r="G42" i="143"/>
  <c r="L51" i="143"/>
  <c r="C48" i="143"/>
  <c r="G45" i="143"/>
  <c r="L50" i="143"/>
  <c r="G47" i="143"/>
  <c r="I43" i="143"/>
  <c r="M50" i="143"/>
  <c r="F47" i="143"/>
  <c r="H50" i="143"/>
  <c r="I46" i="143"/>
  <c r="L42" i="143"/>
  <c r="G50" i="143"/>
  <c r="H46" i="143"/>
  <c r="J42" i="143"/>
  <c r="E50" i="143"/>
  <c r="C46" i="143"/>
  <c r="D50" i="143"/>
  <c r="B46" i="143"/>
  <c r="C50" i="143"/>
  <c r="L45" i="143"/>
  <c r="M41" i="143"/>
  <c r="E51" i="143"/>
  <c r="G44" i="143"/>
  <c r="H45" i="143"/>
  <c r="K44" i="143"/>
  <c r="M51" i="143"/>
  <c r="H44" i="143"/>
  <c r="H51" i="143"/>
  <c r="G48" i="143"/>
  <c r="J41" i="143"/>
  <c r="K49" i="143"/>
  <c r="M40" i="143"/>
  <c r="D49" i="143"/>
  <c r="K40" i="143"/>
  <c r="E48" i="143"/>
  <c r="I40" i="143"/>
  <c r="B48" i="143"/>
  <c r="F40" i="143"/>
  <c r="M47" i="143"/>
  <c r="I45" i="143"/>
  <c r="L49" i="143"/>
  <c r="E45" i="143"/>
  <c r="H43" i="143"/>
  <c r="I41" i="143"/>
  <c r="F36" i="143"/>
  <c r="I47" i="143"/>
  <c r="H47" i="143"/>
  <c r="C44" i="143"/>
  <c r="B44" i="143"/>
  <c r="L43" i="143"/>
  <c r="K47" i="143"/>
  <c r="G43" i="143"/>
  <c r="E49" i="143"/>
  <c r="K45" i="143"/>
  <c r="I44" i="143"/>
  <c r="C156" i="141"/>
  <c r="E44" i="143"/>
  <c r="J145" i="141"/>
  <c r="G129" i="139"/>
  <c r="K279" i="135"/>
  <c r="E67" i="141"/>
  <c r="I69" i="141"/>
  <c r="J152" i="141"/>
  <c r="C124" i="139"/>
  <c r="H31" i="137"/>
  <c r="M40" i="138"/>
  <c r="L40" i="138"/>
  <c r="H40" i="143"/>
  <c r="C64" i="141"/>
  <c r="D126" i="139"/>
  <c r="J46" i="139"/>
  <c r="L42" i="133"/>
  <c r="M40" i="134"/>
  <c r="L40" i="134"/>
  <c r="L44" i="133"/>
  <c r="B53" i="135"/>
  <c r="J51" i="135"/>
  <c r="F50" i="135"/>
  <c r="B49" i="135"/>
  <c r="J47" i="135"/>
  <c r="F46" i="135"/>
  <c r="J43" i="135"/>
  <c r="F42" i="135"/>
  <c r="G53" i="135"/>
  <c r="B52" i="135"/>
  <c r="I50" i="135"/>
  <c r="D49" i="135"/>
  <c r="K47" i="135"/>
  <c r="E46" i="135"/>
  <c r="L44" i="135"/>
  <c r="G43" i="135"/>
  <c r="K53" i="135"/>
  <c r="E52" i="135"/>
  <c r="K50" i="135"/>
  <c r="E49" i="135"/>
  <c r="I47" i="135"/>
  <c r="C46" i="135"/>
  <c r="I44" i="135"/>
  <c r="J53" i="135"/>
  <c r="D52" i="135"/>
  <c r="J50" i="135"/>
  <c r="C49" i="135"/>
  <c r="I53" i="135"/>
  <c r="C52" i="135"/>
  <c r="H50" i="135"/>
  <c r="M48" i="135"/>
  <c r="G47" i="135"/>
  <c r="M45" i="135"/>
  <c r="H53" i="135"/>
  <c r="M51" i="135"/>
  <c r="G50" i="135"/>
  <c r="L48" i="135"/>
  <c r="F47" i="135"/>
  <c r="L45" i="135"/>
  <c r="F44" i="135"/>
  <c r="L42" i="135"/>
  <c r="F53" i="135"/>
  <c r="L51" i="135"/>
  <c r="E50" i="135"/>
  <c r="K48" i="135"/>
  <c r="E47" i="135"/>
  <c r="K45" i="135"/>
  <c r="K42" i="135"/>
  <c r="M52" i="135"/>
  <c r="G51" i="135"/>
  <c r="M49" i="135"/>
  <c r="G48" i="135"/>
  <c r="M46" i="135"/>
  <c r="G45" i="135"/>
  <c r="M43" i="135"/>
  <c r="G42" i="135"/>
  <c r="I52" i="135"/>
  <c r="B50" i="135"/>
  <c r="M47" i="135"/>
  <c r="H45" i="135"/>
  <c r="H43" i="135"/>
  <c r="H52" i="135"/>
  <c r="L49" i="135"/>
  <c r="L47" i="135"/>
  <c r="F45" i="135"/>
  <c r="F43" i="135"/>
  <c r="G52" i="135"/>
  <c r="K49" i="135"/>
  <c r="H47" i="135"/>
  <c r="F52" i="135"/>
  <c r="J49" i="135"/>
  <c r="D47" i="135"/>
  <c r="K51" i="135"/>
  <c r="I49" i="135"/>
  <c r="C47" i="135"/>
  <c r="M53" i="135"/>
  <c r="E51" i="135"/>
  <c r="J48" i="135"/>
  <c r="J46" i="135"/>
  <c r="H44" i="135"/>
  <c r="H42" i="135"/>
  <c r="J52" i="135"/>
  <c r="F48" i="135"/>
  <c r="K44" i="135"/>
  <c r="I51" i="135"/>
  <c r="E48" i="135"/>
  <c r="J44" i="135"/>
  <c r="H51" i="135"/>
  <c r="D48" i="135"/>
  <c r="G44" i="135"/>
  <c r="F51" i="135"/>
  <c r="C48" i="135"/>
  <c r="D51" i="135"/>
  <c r="B48" i="135"/>
  <c r="F36" i="135"/>
  <c r="L50" i="135"/>
  <c r="I46" i="135"/>
  <c r="I43" i="135"/>
  <c r="C53" i="135"/>
  <c r="H46" i="135"/>
  <c r="L52" i="135"/>
  <c r="G46" i="135"/>
  <c r="K52" i="135"/>
  <c r="D46" i="135"/>
  <c r="C51" i="135"/>
  <c r="B46" i="135"/>
  <c r="B51" i="135"/>
  <c r="J45" i="135"/>
  <c r="H49" i="135"/>
  <c r="L43" i="135"/>
  <c r="L53" i="135"/>
  <c r="K43" i="135"/>
  <c r="E53" i="135"/>
  <c r="M42" i="135"/>
  <c r="D53" i="135"/>
  <c r="J42" i="135"/>
  <c r="M50" i="135"/>
  <c r="I42" i="135"/>
  <c r="D50" i="135"/>
  <c r="C50" i="135"/>
  <c r="H48" i="135"/>
  <c r="I45" i="135"/>
  <c r="M44" i="135"/>
  <c r="G49" i="135"/>
  <c r="I48" i="135"/>
  <c r="F49" i="135"/>
  <c r="B47" i="135"/>
  <c r="L46" i="135"/>
  <c r="K46" i="135"/>
  <c r="L30" i="126"/>
  <c r="M30" i="126"/>
  <c r="M89" i="135"/>
  <c r="D116" i="125"/>
  <c r="C105" i="123"/>
  <c r="D46" i="143"/>
  <c r="D47" i="143"/>
  <c r="L40" i="143"/>
  <c r="L48" i="143"/>
  <c r="E111" i="143"/>
  <c r="E105" i="143"/>
  <c r="M109" i="143"/>
  <c r="L110" i="143"/>
  <c r="B66" i="141"/>
  <c r="M38" i="142"/>
  <c r="L38" i="142"/>
  <c r="H190" i="143"/>
  <c r="K190" i="143"/>
  <c r="J192" i="143"/>
  <c r="L197" i="143"/>
  <c r="B198" i="143"/>
  <c r="L145" i="141"/>
  <c r="K42" i="143"/>
  <c r="L106" i="143"/>
  <c r="G112" i="143"/>
  <c r="L108" i="143"/>
  <c r="F113" i="143"/>
  <c r="F120" i="143"/>
  <c r="C134" i="143"/>
  <c r="M130" i="143"/>
  <c r="K127" i="143"/>
  <c r="M133" i="143"/>
  <c r="J130" i="143"/>
  <c r="E127" i="143"/>
  <c r="F124" i="143"/>
  <c r="E133" i="143"/>
  <c r="L129" i="143"/>
  <c r="L126" i="143"/>
  <c r="B135" i="143"/>
  <c r="K131" i="143"/>
  <c r="D127" i="143"/>
  <c r="J134" i="143"/>
  <c r="G130" i="143"/>
  <c r="G126" i="143"/>
  <c r="D132" i="143"/>
  <c r="C128" i="143"/>
  <c r="M135" i="143"/>
  <c r="E131" i="143"/>
  <c r="C126" i="143"/>
  <c r="K135" i="143"/>
  <c r="D131" i="143"/>
  <c r="M125" i="143"/>
  <c r="C135" i="143"/>
  <c r="L125" i="143"/>
  <c r="L134" i="143"/>
  <c r="K129" i="143"/>
  <c r="F125" i="143"/>
  <c r="K134" i="143"/>
  <c r="J129" i="143"/>
  <c r="E125" i="143"/>
  <c r="H134" i="143"/>
  <c r="F129" i="143"/>
  <c r="D125" i="143"/>
  <c r="E132" i="143"/>
  <c r="E129" i="143"/>
  <c r="D129" i="143"/>
  <c r="M128" i="143"/>
  <c r="K128" i="143"/>
  <c r="F128" i="143"/>
  <c r="L133" i="143"/>
  <c r="J126" i="143"/>
  <c r="M127" i="143"/>
  <c r="B127" i="143"/>
  <c r="D126" i="143"/>
  <c r="K124" i="143"/>
  <c r="K133" i="143"/>
  <c r="I132" i="143"/>
  <c r="L131" i="143"/>
  <c r="E128" i="143"/>
  <c r="F132" i="143"/>
  <c r="C132" i="143"/>
  <c r="M131" i="143"/>
  <c r="L132" i="143"/>
  <c r="G134" i="143"/>
  <c r="B129" i="143"/>
  <c r="F127" i="143"/>
  <c r="G133" i="143"/>
  <c r="D124" i="143"/>
  <c r="B70" i="141"/>
  <c r="E69" i="141"/>
  <c r="M69" i="141"/>
  <c r="J110" i="139"/>
  <c r="H191" i="143"/>
  <c r="M198" i="143"/>
  <c r="J189" i="143"/>
  <c r="L193" i="143"/>
  <c r="H189" i="143"/>
  <c r="B192" i="143"/>
  <c r="G195" i="143"/>
  <c r="I151" i="141"/>
  <c r="J146" i="141"/>
  <c r="B155" i="141"/>
  <c r="K149" i="141"/>
  <c r="M151" i="141"/>
  <c r="M32" i="140"/>
  <c r="L32" i="140"/>
  <c r="C232" i="141"/>
  <c r="E235" i="141"/>
  <c r="B239" i="141"/>
  <c r="H231" i="141"/>
  <c r="L235" i="141"/>
  <c r="E236" i="141"/>
  <c r="I7" i="141"/>
  <c r="F193" i="141"/>
  <c r="J189" i="141"/>
  <c r="F192" i="141"/>
  <c r="D188" i="141"/>
  <c r="D193" i="141"/>
  <c r="H188" i="141"/>
  <c r="H191" i="141"/>
  <c r="K29" i="134"/>
  <c r="B216" i="139"/>
  <c r="F214" i="139"/>
  <c r="I212" i="139"/>
  <c r="L210" i="139"/>
  <c r="B209" i="139"/>
  <c r="F207" i="139"/>
  <c r="I217" i="139"/>
  <c r="D214" i="139"/>
  <c r="H212" i="139"/>
  <c r="I210" i="139"/>
  <c r="M208" i="139"/>
  <c r="E207" i="139"/>
  <c r="C214" i="139"/>
  <c r="E212" i="139"/>
  <c r="H210" i="139"/>
  <c r="L208" i="139"/>
  <c r="D207" i="139"/>
  <c r="G217" i="139"/>
  <c r="M213" i="139"/>
  <c r="D212" i="139"/>
  <c r="G210" i="139"/>
  <c r="K208" i="139"/>
  <c r="C207" i="139"/>
  <c r="B217" i="139"/>
  <c r="I214" i="139"/>
  <c r="I211" i="139"/>
  <c r="J208" i="139"/>
  <c r="D206" i="139"/>
  <c r="H214" i="139"/>
  <c r="H211" i="139"/>
  <c r="I208" i="139"/>
  <c r="C206" i="139"/>
  <c r="L213" i="139"/>
  <c r="G211" i="139"/>
  <c r="H208" i="139"/>
  <c r="B206" i="139"/>
  <c r="K213" i="139"/>
  <c r="F211" i="139"/>
  <c r="E208" i="139"/>
  <c r="I216" i="139"/>
  <c r="I213" i="139"/>
  <c r="D211" i="139"/>
  <c r="C208" i="139"/>
  <c r="H215" i="139"/>
  <c r="C213" i="139"/>
  <c r="D210" i="139"/>
  <c r="J207" i="139"/>
  <c r="F217" i="139"/>
  <c r="M212" i="139"/>
  <c r="B208" i="139"/>
  <c r="C217" i="139"/>
  <c r="L212" i="139"/>
  <c r="M207" i="139"/>
  <c r="H216" i="139"/>
  <c r="B212" i="139"/>
  <c r="K207" i="139"/>
  <c r="E216" i="139"/>
  <c r="M211" i="139"/>
  <c r="I207" i="139"/>
  <c r="D216" i="139"/>
  <c r="L211" i="139"/>
  <c r="M206" i="139"/>
  <c r="C215" i="139"/>
  <c r="E210" i="139"/>
  <c r="F206" i="139"/>
  <c r="L206" i="139"/>
  <c r="K206" i="139"/>
  <c r="F213" i="139"/>
  <c r="H206" i="139"/>
  <c r="E213" i="139"/>
  <c r="E206" i="139"/>
  <c r="D213" i="139"/>
  <c r="F201" i="139"/>
  <c r="F210" i="139"/>
  <c r="J211" i="139"/>
  <c r="C211" i="139"/>
  <c r="B210" i="139"/>
  <c r="M209" i="139"/>
  <c r="L209" i="139"/>
  <c r="F209" i="139"/>
  <c r="F215" i="139"/>
  <c r="D215" i="139"/>
  <c r="B213" i="139"/>
  <c r="I209" i="139"/>
  <c r="G215" i="139"/>
  <c r="H209" i="139"/>
  <c r="G209" i="139"/>
  <c r="G216" i="139"/>
  <c r="D217" i="139"/>
  <c r="L130" i="139"/>
  <c r="L132" i="139"/>
  <c r="F127" i="139"/>
  <c r="F34" i="139"/>
  <c r="D46" i="139"/>
  <c r="J38" i="139"/>
  <c r="G45" i="139"/>
  <c r="I38" i="139"/>
  <c r="D45" i="139"/>
  <c r="H38" i="139"/>
  <c r="M43" i="139"/>
  <c r="J43" i="139"/>
  <c r="I49" i="139"/>
  <c r="M41" i="139"/>
  <c r="I41" i="139"/>
  <c r="M38" i="139"/>
  <c r="K47" i="139"/>
  <c r="L38" i="139"/>
  <c r="C47" i="139"/>
  <c r="J47" i="139"/>
  <c r="F47" i="139"/>
  <c r="D47" i="139"/>
  <c r="D42" i="139"/>
  <c r="K46" i="139"/>
  <c r="I43" i="139"/>
  <c r="C42" i="139"/>
  <c r="L41" i="139"/>
  <c r="M46" i="139"/>
  <c r="K41" i="139"/>
  <c r="H48" i="139"/>
  <c r="G46" i="139"/>
  <c r="E46" i="139"/>
  <c r="G38" i="139"/>
  <c r="L40" i="139"/>
  <c r="K38" i="139"/>
  <c r="J49" i="139"/>
  <c r="H42" i="139"/>
  <c r="F48" i="139"/>
  <c r="M44" i="139"/>
  <c r="M42" i="139"/>
  <c r="K42" i="139"/>
  <c r="M45" i="139"/>
  <c r="B45" i="139"/>
  <c r="F49" i="139"/>
  <c r="E47" i="139"/>
  <c r="B47" i="139"/>
  <c r="C49" i="139"/>
  <c r="E43" i="139"/>
  <c r="F41" i="139"/>
  <c r="G43" i="139"/>
  <c r="B42" i="139"/>
  <c r="D44" i="139"/>
  <c r="F40" i="139"/>
  <c r="M49" i="139"/>
  <c r="E48" i="139"/>
  <c r="F46" i="139"/>
  <c r="C44" i="139"/>
  <c r="G40" i="139"/>
  <c r="I34" i="137"/>
  <c r="I35" i="137"/>
  <c r="I280" i="135"/>
  <c r="F279" i="135"/>
  <c r="D36" i="137"/>
  <c r="C197" i="143"/>
  <c r="C229" i="141"/>
  <c r="G49" i="139"/>
  <c r="I46" i="133"/>
  <c r="H46" i="133"/>
  <c r="L195" i="135"/>
  <c r="B200" i="135"/>
  <c r="G192" i="135"/>
  <c r="J48" i="139"/>
  <c r="H39" i="139"/>
  <c r="L39" i="139"/>
  <c r="G48" i="139"/>
  <c r="J45" i="139"/>
  <c r="E459" i="141"/>
  <c r="B202" i="141"/>
  <c r="J216" i="141" s="1"/>
  <c r="C202" i="141"/>
  <c r="C459" i="141"/>
  <c r="B81" i="133"/>
  <c r="F164" i="133"/>
  <c r="K169" i="133"/>
  <c r="E90" i="133"/>
  <c r="G81" i="133"/>
  <c r="D89" i="133"/>
  <c r="B173" i="133"/>
  <c r="F42" i="133"/>
  <c r="J47" i="133"/>
  <c r="M44" i="133"/>
  <c r="G299" i="141"/>
  <c r="P315" i="141"/>
  <c r="F299" i="141"/>
  <c r="F281" i="133"/>
  <c r="F120" i="137"/>
  <c r="C118" i="127"/>
  <c r="I234" i="139"/>
  <c r="I228" i="139"/>
  <c r="G227" i="139"/>
  <c r="J233" i="139"/>
  <c r="J238" i="139"/>
  <c r="G15" i="131"/>
  <c r="C115" i="127"/>
  <c r="C89" i="135"/>
  <c r="C87" i="135"/>
  <c r="E84" i="135"/>
  <c r="F84" i="135"/>
  <c r="J174" i="127"/>
  <c r="D176" i="127"/>
  <c r="I146" i="139"/>
  <c r="M152" i="139"/>
  <c r="M145" i="139"/>
  <c r="M149" i="139"/>
  <c r="K65" i="135"/>
  <c r="K68" i="135"/>
  <c r="C69" i="135"/>
  <c r="D74" i="135"/>
  <c r="J66" i="135"/>
  <c r="H278" i="135"/>
  <c r="M277" i="135"/>
  <c r="J282" i="135"/>
  <c r="D237" i="131"/>
  <c r="I238" i="131"/>
  <c r="L237" i="131"/>
  <c r="D238" i="131"/>
  <c r="G236" i="131"/>
  <c r="K169" i="127"/>
  <c r="C86" i="125"/>
  <c r="C84" i="125"/>
  <c r="B85" i="125"/>
  <c r="I84" i="125"/>
  <c r="I86" i="125"/>
  <c r="H84" i="125"/>
  <c r="G82" i="125"/>
  <c r="G86" i="125"/>
  <c r="F84" i="125"/>
  <c r="E82" i="125"/>
  <c r="H86" i="125"/>
  <c r="I83" i="125"/>
  <c r="D81" i="125"/>
  <c r="F86" i="125"/>
  <c r="H83" i="125"/>
  <c r="E86" i="125"/>
  <c r="G83" i="125"/>
  <c r="D86" i="125"/>
  <c r="F83" i="125"/>
  <c r="B86" i="125"/>
  <c r="E83" i="125"/>
  <c r="D88" i="125"/>
  <c r="F85" i="125"/>
  <c r="F82" i="125"/>
  <c r="E85" i="125"/>
  <c r="E81" i="125"/>
  <c r="D85" i="125"/>
  <c r="C85" i="125"/>
  <c r="G88" i="125"/>
  <c r="G84" i="125"/>
  <c r="E88" i="125"/>
  <c r="D84" i="125"/>
  <c r="G85" i="125"/>
  <c r="E84" i="125"/>
  <c r="B84" i="125"/>
  <c r="D83" i="125"/>
  <c r="B83" i="125"/>
  <c r="F87" i="125"/>
  <c r="E87" i="125"/>
  <c r="D87" i="125"/>
  <c r="I85" i="125"/>
  <c r="H85" i="125"/>
  <c r="G87" i="125"/>
  <c r="C83" i="125"/>
  <c r="G81" i="125"/>
  <c r="F75" i="125"/>
  <c r="D82" i="125"/>
  <c r="F81" i="125"/>
  <c r="F88" i="125"/>
  <c r="C169" i="123"/>
  <c r="I172" i="123"/>
  <c r="I179" i="123"/>
  <c r="J106" i="123"/>
  <c r="E106" i="123"/>
  <c r="K110" i="123"/>
  <c r="C218" i="123"/>
  <c r="F212" i="123"/>
  <c r="H194" i="135"/>
  <c r="M72" i="135"/>
  <c r="F279" i="133"/>
  <c r="G279" i="133"/>
  <c r="P295" i="133"/>
  <c r="M262" i="123"/>
  <c r="F56" i="119"/>
  <c r="M72" i="119"/>
  <c r="I68" i="119"/>
  <c r="C65" i="119"/>
  <c r="F61" i="119"/>
  <c r="M69" i="119"/>
  <c r="K68" i="119"/>
  <c r="M64" i="119"/>
  <c r="H68" i="119"/>
  <c r="C68" i="119"/>
  <c r="K63" i="119"/>
  <c r="L72" i="119"/>
  <c r="B68" i="119"/>
  <c r="I63" i="119"/>
  <c r="D71" i="119"/>
  <c r="B71" i="119"/>
  <c r="K70" i="119"/>
  <c r="B65" i="119"/>
  <c r="F70" i="119"/>
  <c r="D70" i="119"/>
  <c r="C70" i="119"/>
  <c r="K69" i="119"/>
  <c r="M67" i="119"/>
  <c r="C63" i="119"/>
  <c r="J67" i="119"/>
  <c r="J61" i="119"/>
  <c r="I67" i="119"/>
  <c r="H61" i="119"/>
  <c r="I72" i="119"/>
  <c r="D61" i="119"/>
  <c r="L67" i="119"/>
  <c r="K67" i="119"/>
  <c r="B66" i="119"/>
  <c r="B63" i="119"/>
  <c r="K61" i="119"/>
  <c r="G72" i="119"/>
  <c r="B61" i="119"/>
  <c r="M71" i="119"/>
  <c r="F71" i="119"/>
  <c r="B67" i="119"/>
  <c r="J70" i="119"/>
  <c r="F67" i="119"/>
  <c r="J63" i="119"/>
  <c r="B62" i="119"/>
  <c r="L62" i="119"/>
  <c r="H65" i="119"/>
  <c r="C69" i="119"/>
  <c r="K65" i="119"/>
  <c r="C62" i="119"/>
  <c r="H71" i="119"/>
  <c r="C66" i="119"/>
  <c r="E72" i="119"/>
  <c r="C64" i="119"/>
  <c r="H67" i="119"/>
  <c r="B64" i="119"/>
  <c r="K71" i="119"/>
  <c r="E69" i="119"/>
  <c r="B70" i="119"/>
  <c r="M70" i="119"/>
  <c r="J62" i="119"/>
  <c r="M65" i="119"/>
  <c r="F62" i="119"/>
  <c r="H69" i="119"/>
  <c r="I66" i="119"/>
  <c r="I69" i="119"/>
  <c r="E61" i="119"/>
  <c r="B72" i="119"/>
  <c r="D67" i="119"/>
  <c r="I64" i="119"/>
  <c r="M62" i="119"/>
  <c r="K66" i="119"/>
  <c r="G67" i="119"/>
  <c r="L63" i="119"/>
  <c r="L66" i="119"/>
  <c r="H64" i="119"/>
  <c r="F190" i="129"/>
  <c r="D150" i="115"/>
  <c r="H256" i="123"/>
  <c r="E252" i="123"/>
  <c r="M256" i="123"/>
  <c r="B116" i="123"/>
  <c r="C148" i="123"/>
  <c r="J157" i="123"/>
  <c r="L156" i="123"/>
  <c r="H152" i="123"/>
  <c r="K33" i="120"/>
  <c r="M145" i="131"/>
  <c r="M152" i="131"/>
  <c r="B153" i="131"/>
  <c r="M153" i="131"/>
  <c r="K43" i="123"/>
  <c r="C51" i="123"/>
  <c r="L49" i="123"/>
  <c r="L48" i="123"/>
  <c r="M51" i="123"/>
  <c r="K62" i="119"/>
  <c r="G68" i="119"/>
  <c r="L33" i="118"/>
  <c r="M33" i="118"/>
  <c r="H130" i="123"/>
  <c r="G126" i="123"/>
  <c r="C130" i="123"/>
  <c r="L134" i="123"/>
  <c r="D130" i="121"/>
  <c r="C137" i="121"/>
  <c r="D136" i="121"/>
  <c r="H136" i="121"/>
  <c r="E176" i="127"/>
  <c r="H173" i="127"/>
  <c r="D170" i="127"/>
  <c r="F167" i="127"/>
  <c r="G173" i="127"/>
  <c r="C170" i="127"/>
  <c r="E167" i="127"/>
  <c r="F162" i="127"/>
  <c r="K173" i="127"/>
  <c r="F168" i="127"/>
  <c r="J173" i="127"/>
  <c r="D168" i="127"/>
  <c r="E172" i="127"/>
  <c r="D172" i="127"/>
  <c r="K171" i="127"/>
  <c r="I167" i="127"/>
  <c r="B174" i="127"/>
  <c r="C172" i="127"/>
  <c r="J171" i="127"/>
  <c r="H171" i="127"/>
  <c r="F171" i="127"/>
  <c r="G168" i="127"/>
  <c r="H176" i="127"/>
  <c r="G176" i="127"/>
  <c r="I175" i="127"/>
  <c r="H175" i="127"/>
  <c r="D174" i="127"/>
  <c r="G175" i="127"/>
  <c r="H169" i="127"/>
  <c r="C174" i="127"/>
  <c r="G171" i="127"/>
  <c r="G170" i="127"/>
  <c r="I169" i="127"/>
  <c r="E169" i="127"/>
  <c r="H174" i="127"/>
  <c r="F170" i="127"/>
  <c r="G174" i="127"/>
  <c r="I176" i="127"/>
  <c r="H168" i="127"/>
  <c r="D169" i="127"/>
  <c r="K174" i="127"/>
  <c r="E175" i="127"/>
  <c r="G167" i="127"/>
  <c r="B172" i="127"/>
  <c r="C173" i="127"/>
  <c r="D173" i="127"/>
  <c r="E170" i="127"/>
  <c r="I174" i="127"/>
  <c r="E171" i="127"/>
  <c r="B171" i="127"/>
  <c r="I173" i="127"/>
  <c r="J169" i="127"/>
  <c r="F169" i="127"/>
  <c r="B169" i="127"/>
  <c r="F176" i="127"/>
  <c r="I170" i="127"/>
  <c r="I7" i="121"/>
  <c r="M40" i="122"/>
  <c r="L40" i="122"/>
  <c r="B86" i="119"/>
  <c r="G91" i="119"/>
  <c r="F82" i="119"/>
  <c r="I84" i="119"/>
  <c r="K256" i="119"/>
  <c r="B210" i="121"/>
  <c r="C214" i="121"/>
  <c r="B213" i="121"/>
  <c r="K221" i="121"/>
  <c r="I9" i="127"/>
  <c r="J9" i="127" s="1"/>
  <c r="I45" i="131"/>
  <c r="I49" i="131"/>
  <c r="F48" i="131"/>
  <c r="I40" i="131"/>
  <c r="K31" i="128"/>
  <c r="I151" i="115"/>
  <c r="I156" i="115"/>
  <c r="K9" i="129"/>
  <c r="H41" i="115"/>
  <c r="F35" i="115"/>
  <c r="M174" i="121"/>
  <c r="B179" i="121"/>
  <c r="H168" i="121"/>
  <c r="D169" i="121"/>
  <c r="H177" i="131"/>
  <c r="L174" i="131"/>
  <c r="H173" i="131"/>
  <c r="D172" i="131"/>
  <c r="L170" i="131"/>
  <c r="H169" i="131"/>
  <c r="L166" i="131"/>
  <c r="H176" i="131"/>
  <c r="C175" i="131"/>
  <c r="J173" i="131"/>
  <c r="E172" i="131"/>
  <c r="K170" i="131"/>
  <c r="F169" i="131"/>
  <c r="M167" i="131"/>
  <c r="H166" i="131"/>
  <c r="J177" i="131"/>
  <c r="C176" i="131"/>
  <c r="I174" i="131"/>
  <c r="C173" i="131"/>
  <c r="I171" i="131"/>
  <c r="C170" i="131"/>
  <c r="I168" i="131"/>
  <c r="C167" i="131"/>
  <c r="I177" i="131"/>
  <c r="B176" i="131"/>
  <c r="H174" i="131"/>
  <c r="B173" i="131"/>
  <c r="H171" i="131"/>
  <c r="B170" i="131"/>
  <c r="H168" i="131"/>
  <c r="B167" i="131"/>
  <c r="G177" i="131"/>
  <c r="M175" i="131"/>
  <c r="G174" i="131"/>
  <c r="M172" i="131"/>
  <c r="G171" i="131"/>
  <c r="G168" i="131"/>
  <c r="M166" i="131"/>
  <c r="F177" i="131"/>
  <c r="L175" i="131"/>
  <c r="F174" i="131"/>
  <c r="L172" i="131"/>
  <c r="F171" i="131"/>
  <c r="F168" i="131"/>
  <c r="K166" i="131"/>
  <c r="K175" i="131"/>
  <c r="E174" i="131"/>
  <c r="K172" i="131"/>
  <c r="E171" i="131"/>
  <c r="K169" i="131"/>
  <c r="J166" i="131"/>
  <c r="G175" i="131"/>
  <c r="M173" i="131"/>
  <c r="G172" i="131"/>
  <c r="M170" i="131"/>
  <c r="K167" i="131"/>
  <c r="E166" i="131"/>
  <c r="E175" i="131"/>
  <c r="J172" i="131"/>
  <c r="G170" i="131"/>
  <c r="L167" i="131"/>
  <c r="K177" i="131"/>
  <c r="D175" i="131"/>
  <c r="I172" i="131"/>
  <c r="F170" i="131"/>
  <c r="J167" i="131"/>
  <c r="B175" i="131"/>
  <c r="H172" i="131"/>
  <c r="E170" i="131"/>
  <c r="I167" i="131"/>
  <c r="C177" i="131"/>
  <c r="M174" i="131"/>
  <c r="F172" i="131"/>
  <c r="D170" i="131"/>
  <c r="H167" i="131"/>
  <c r="B177" i="131"/>
  <c r="K174" i="131"/>
  <c r="C172" i="131"/>
  <c r="J169" i="131"/>
  <c r="G167" i="131"/>
  <c r="I176" i="131"/>
  <c r="B174" i="131"/>
  <c r="K171" i="131"/>
  <c r="C169" i="131"/>
  <c r="I166" i="131"/>
  <c r="J176" i="131"/>
  <c r="E173" i="131"/>
  <c r="F160" i="131"/>
  <c r="G176" i="131"/>
  <c r="D173" i="131"/>
  <c r="F176" i="131"/>
  <c r="B172" i="131"/>
  <c r="K168" i="131"/>
  <c r="M171" i="131"/>
  <c r="J168" i="131"/>
  <c r="J175" i="131"/>
  <c r="L171" i="131"/>
  <c r="C168" i="131"/>
  <c r="D171" i="131"/>
  <c r="D166" i="131"/>
  <c r="C171" i="131"/>
  <c r="C166" i="131"/>
  <c r="B171" i="131"/>
  <c r="B166" i="131"/>
  <c r="K176" i="131"/>
  <c r="J170" i="131"/>
  <c r="I175" i="131"/>
  <c r="I170" i="131"/>
  <c r="D174" i="131"/>
  <c r="L173" i="131"/>
  <c r="K173" i="131"/>
  <c r="I173" i="131"/>
  <c r="G173" i="131"/>
  <c r="J171" i="131"/>
  <c r="F166" i="131"/>
  <c r="H175" i="131"/>
  <c r="F175" i="131"/>
  <c r="C174" i="131"/>
  <c r="B169" i="131"/>
  <c r="B168" i="131"/>
  <c r="F167" i="131"/>
  <c r="E167" i="131"/>
  <c r="D167" i="131"/>
  <c r="J174" i="131"/>
  <c r="F173" i="131"/>
  <c r="H170" i="131"/>
  <c r="I169" i="131"/>
  <c r="G169" i="131"/>
  <c r="G166" i="131"/>
  <c r="K13" i="117"/>
  <c r="K9" i="107"/>
  <c r="J155" i="115"/>
  <c r="B65" i="97"/>
  <c r="L41" i="104"/>
  <c r="M41" i="104"/>
  <c r="H66" i="97"/>
  <c r="K38" i="98"/>
  <c r="A285" i="91"/>
  <c r="A293" i="91" s="1"/>
  <c r="M40" i="82"/>
  <c r="L40" i="82"/>
  <c r="L65" i="117"/>
  <c r="I10" i="105"/>
  <c r="J10" i="105" s="1"/>
  <c r="L35" i="86"/>
  <c r="M35" i="86"/>
  <c r="H134" i="107"/>
  <c r="M30" i="86"/>
  <c r="L30" i="86"/>
  <c r="E176" i="115"/>
  <c r="I174" i="115"/>
  <c r="C173" i="115"/>
  <c r="G171" i="115"/>
  <c r="K169" i="115"/>
  <c r="E168" i="115"/>
  <c r="G174" i="115"/>
  <c r="K172" i="115"/>
  <c r="E171" i="115"/>
  <c r="I169" i="115"/>
  <c r="F174" i="115"/>
  <c r="J172" i="115"/>
  <c r="D171" i="115"/>
  <c r="H169" i="115"/>
  <c r="D174" i="115"/>
  <c r="H172" i="115"/>
  <c r="B171" i="115"/>
  <c r="F169" i="115"/>
  <c r="J173" i="115"/>
  <c r="J171" i="115"/>
  <c r="G169" i="115"/>
  <c r="F167" i="115"/>
  <c r="F161" i="115"/>
  <c r="I175" i="115"/>
  <c r="I173" i="115"/>
  <c r="I171" i="115"/>
  <c r="E169" i="115"/>
  <c r="E167" i="115"/>
  <c r="H175" i="115"/>
  <c r="H173" i="115"/>
  <c r="H171" i="115"/>
  <c r="D169" i="115"/>
  <c r="D167" i="115"/>
  <c r="G175" i="115"/>
  <c r="G173" i="115"/>
  <c r="F171" i="115"/>
  <c r="C169" i="115"/>
  <c r="F175" i="115"/>
  <c r="F173" i="115"/>
  <c r="C171" i="115"/>
  <c r="B169" i="115"/>
  <c r="C174" i="115"/>
  <c r="I170" i="115"/>
  <c r="E175" i="115"/>
  <c r="E172" i="115"/>
  <c r="B172" i="115"/>
  <c r="G168" i="115"/>
  <c r="D173" i="115"/>
  <c r="B170" i="115"/>
  <c r="B173" i="115"/>
  <c r="J169" i="115"/>
  <c r="I176" i="115"/>
  <c r="I172" i="115"/>
  <c r="H176" i="115"/>
  <c r="G172" i="115"/>
  <c r="I168" i="115"/>
  <c r="G176" i="115"/>
  <c r="F172" i="115"/>
  <c r="H168" i="115"/>
  <c r="K174" i="115"/>
  <c r="J170" i="115"/>
  <c r="G167" i="115"/>
  <c r="J174" i="115"/>
  <c r="F168" i="115"/>
  <c r="H174" i="115"/>
  <c r="D168" i="115"/>
  <c r="E174" i="115"/>
  <c r="I167" i="115"/>
  <c r="B174" i="115"/>
  <c r="H167" i="115"/>
  <c r="K173" i="115"/>
  <c r="K170" i="115"/>
  <c r="G170" i="115"/>
  <c r="F170" i="115"/>
  <c r="E170" i="115"/>
  <c r="D170" i="115"/>
  <c r="C170" i="115"/>
  <c r="D176" i="115"/>
  <c r="D175" i="115"/>
  <c r="H170" i="115"/>
  <c r="E173" i="115"/>
  <c r="D172" i="115"/>
  <c r="C172" i="115"/>
  <c r="K171" i="115"/>
  <c r="F176" i="115"/>
  <c r="K10" i="115"/>
  <c r="M29" i="112"/>
  <c r="L29" i="112"/>
  <c r="I11" i="113"/>
  <c r="J11" i="113" s="1"/>
  <c r="I13" i="111"/>
  <c r="J13" i="111" s="1"/>
  <c r="L28" i="108"/>
  <c r="M28" i="108"/>
  <c r="G208" i="115"/>
  <c r="F208" i="115"/>
  <c r="M29" i="110"/>
  <c r="L29" i="110"/>
  <c r="F248" i="111"/>
  <c r="F258" i="111"/>
  <c r="F259" i="111"/>
  <c r="G248" i="111"/>
  <c r="G61" i="115"/>
  <c r="K59" i="115"/>
  <c r="I56" i="115"/>
  <c r="C55" i="115"/>
  <c r="G53" i="115"/>
  <c r="K62" i="115"/>
  <c r="E61" i="115"/>
  <c r="I59" i="115"/>
  <c r="C58" i="115"/>
  <c r="K54" i="115"/>
  <c r="E53" i="115"/>
  <c r="J62" i="115"/>
  <c r="D61" i="115"/>
  <c r="H59" i="115"/>
  <c r="B58" i="115"/>
  <c r="J54" i="115"/>
  <c r="D53" i="115"/>
  <c r="H62" i="115"/>
  <c r="B61" i="115"/>
  <c r="F59" i="115"/>
  <c r="J57" i="115"/>
  <c r="J61" i="115"/>
  <c r="G59" i="115"/>
  <c r="F53" i="115"/>
  <c r="I61" i="115"/>
  <c r="E59" i="115"/>
  <c r="C53" i="115"/>
  <c r="H61" i="115"/>
  <c r="D59" i="115"/>
  <c r="B53" i="115"/>
  <c r="F61" i="115"/>
  <c r="C59" i="115"/>
  <c r="C57" i="115"/>
  <c r="B55" i="115"/>
  <c r="C61" i="115"/>
  <c r="B59" i="115"/>
  <c r="B57" i="115"/>
  <c r="I54" i="115"/>
  <c r="D60" i="115"/>
  <c r="J56" i="115"/>
  <c r="B54" i="115"/>
  <c r="F47" i="115"/>
  <c r="E60" i="115"/>
  <c r="H56" i="115"/>
  <c r="J53" i="115"/>
  <c r="G62" i="115"/>
  <c r="J59" i="115"/>
  <c r="B56" i="115"/>
  <c r="D62" i="115"/>
  <c r="G54" i="115"/>
  <c r="C62" i="115"/>
  <c r="F54" i="115"/>
  <c r="B62" i="115"/>
  <c r="E54" i="115"/>
  <c r="K61" i="115"/>
  <c r="K60" i="115"/>
  <c r="K56" i="115"/>
  <c r="J60" i="115"/>
  <c r="I60" i="115"/>
  <c r="C56" i="115"/>
  <c r="H60" i="115"/>
  <c r="K55" i="115"/>
  <c r="K58" i="115"/>
  <c r="H54" i="115"/>
  <c r="B60" i="115"/>
  <c r="J58" i="115"/>
  <c r="I58" i="115"/>
  <c r="H58" i="115"/>
  <c r="K57" i="115"/>
  <c r="I55" i="115"/>
  <c r="H55" i="115"/>
  <c r="C60" i="115"/>
  <c r="H53" i="115"/>
  <c r="E62" i="115"/>
  <c r="G60" i="115"/>
  <c r="F60" i="115"/>
  <c r="I57" i="115"/>
  <c r="C54" i="115"/>
  <c r="F62" i="115"/>
  <c r="I62" i="115"/>
  <c r="H57" i="115"/>
  <c r="J55" i="115"/>
  <c r="D54" i="115"/>
  <c r="K53" i="115"/>
  <c r="I53" i="115"/>
  <c r="G153" i="109"/>
  <c r="F153" i="109"/>
  <c r="A158" i="109" s="1"/>
  <c r="A163" i="109" s="1"/>
  <c r="C151" i="109"/>
  <c r="D151" i="109"/>
  <c r="F152" i="109"/>
  <c r="A157" i="109" s="1"/>
  <c r="A162" i="109" s="1"/>
  <c r="G152" i="109"/>
  <c r="M32" i="98"/>
  <c r="L32" i="98"/>
  <c r="I57" i="91"/>
  <c r="H57" i="91"/>
  <c r="K56" i="91"/>
  <c r="C56" i="91"/>
  <c r="F55" i="91"/>
  <c r="J63" i="91"/>
  <c r="D62" i="91"/>
  <c r="F50" i="91"/>
  <c r="D63" i="91"/>
  <c r="H62" i="91"/>
  <c r="G62" i="91"/>
  <c r="C62" i="91"/>
  <c r="E55" i="91"/>
  <c r="H64" i="91"/>
  <c r="D61" i="91"/>
  <c r="I63" i="91"/>
  <c r="E63" i="91"/>
  <c r="G61" i="91"/>
  <c r="C58" i="91"/>
  <c r="C59" i="91"/>
  <c r="J56" i="91"/>
  <c r="K59" i="91"/>
  <c r="G56" i="91"/>
  <c r="H55" i="91"/>
  <c r="D55" i="91"/>
  <c r="F64" i="91"/>
  <c r="K55" i="91"/>
  <c r="B60" i="91"/>
  <c r="J58" i="91"/>
  <c r="I56" i="91"/>
  <c r="J62" i="91"/>
  <c r="B61" i="91"/>
  <c r="J57" i="91"/>
  <c r="B63" i="91"/>
  <c r="B58" i="91"/>
  <c r="B56" i="91"/>
  <c r="F62" i="91"/>
  <c r="B62" i="91"/>
  <c r="H56" i="91"/>
  <c r="C61" i="91"/>
  <c r="J55" i="91"/>
  <c r="B59" i="91"/>
  <c r="K58" i="91"/>
  <c r="B55" i="91"/>
  <c r="G63" i="91"/>
  <c r="I61" i="91"/>
  <c r="K61" i="91"/>
  <c r="D56" i="91"/>
  <c r="C63" i="91"/>
  <c r="K63" i="91"/>
  <c r="C57" i="91"/>
  <c r="B64" i="91"/>
  <c r="C55" i="91"/>
  <c r="E62" i="91"/>
  <c r="H61" i="91"/>
  <c r="F61" i="91"/>
  <c r="I60" i="91"/>
  <c r="B57" i="91"/>
  <c r="J59" i="91"/>
  <c r="I58" i="91"/>
  <c r="J64" i="91"/>
  <c r="H63" i="91"/>
  <c r="I59" i="91"/>
  <c r="I55" i="91"/>
  <c r="F86" i="107"/>
  <c r="J97" i="107"/>
  <c r="B91" i="107"/>
  <c r="F91" i="107"/>
  <c r="F97" i="107"/>
  <c r="I94" i="107"/>
  <c r="C94" i="107"/>
  <c r="K93" i="107"/>
  <c r="J91" i="107"/>
  <c r="B96" i="107"/>
  <c r="K90" i="107"/>
  <c r="K97" i="107"/>
  <c r="K92" i="107"/>
  <c r="G94" i="107"/>
  <c r="K91" i="107"/>
  <c r="B94" i="107"/>
  <c r="E98" i="107"/>
  <c r="E90" i="107"/>
  <c r="H90" i="107"/>
  <c r="K96" i="107"/>
  <c r="F92" i="107"/>
  <c r="H98" i="107"/>
  <c r="F94" i="107"/>
  <c r="G96" i="107"/>
  <c r="J90" i="107"/>
  <c r="K94" i="107"/>
  <c r="E94" i="107"/>
  <c r="I93" i="107"/>
  <c r="F89" i="107"/>
  <c r="F90" i="107"/>
  <c r="E97" i="107"/>
  <c r="F96" i="107"/>
  <c r="I98" i="107"/>
  <c r="K95" i="107"/>
  <c r="J93" i="107"/>
  <c r="B97" i="107"/>
  <c r="J98" i="107"/>
  <c r="D93" i="107"/>
  <c r="D90" i="107"/>
  <c r="D98" i="107"/>
  <c r="C92" i="107"/>
  <c r="J92" i="107"/>
  <c r="G92" i="107"/>
  <c r="F93" i="107"/>
  <c r="G97" i="107"/>
  <c r="G95" i="107"/>
  <c r="F65" i="81"/>
  <c r="O83" i="81"/>
  <c r="H82" i="81"/>
  <c r="M80" i="81"/>
  <c r="F79" i="81"/>
  <c r="J77" i="81"/>
  <c r="O75" i="81"/>
  <c r="H74" i="81"/>
  <c r="M72" i="81"/>
  <c r="J69" i="81"/>
  <c r="N83" i="81"/>
  <c r="G82" i="81"/>
  <c r="K80" i="81"/>
  <c r="E79" i="81"/>
  <c r="I77" i="81"/>
  <c r="N75" i="81"/>
  <c r="K72" i="81"/>
  <c r="I69" i="81"/>
  <c r="M83" i="81"/>
  <c r="F82" i="81"/>
  <c r="J80" i="81"/>
  <c r="O78" i="81"/>
  <c r="H77" i="81"/>
  <c r="M75" i="81"/>
  <c r="J72" i="81"/>
  <c r="O70" i="81"/>
  <c r="H69" i="81"/>
  <c r="G83" i="81"/>
  <c r="E81" i="81"/>
  <c r="G78" i="81"/>
  <c r="I75" i="81"/>
  <c r="I70" i="81"/>
  <c r="F83" i="81"/>
  <c r="O80" i="81"/>
  <c r="F78" i="81"/>
  <c r="H75" i="81"/>
  <c r="H70" i="81"/>
  <c r="E83" i="81"/>
  <c r="G80" i="81"/>
  <c r="E78" i="81"/>
  <c r="G75" i="81"/>
  <c r="G70" i="81"/>
  <c r="O82" i="81"/>
  <c r="F80" i="81"/>
  <c r="O77" i="81"/>
  <c r="F75" i="81"/>
  <c r="O72" i="81"/>
  <c r="F70" i="81"/>
  <c r="N82" i="81"/>
  <c r="E80" i="81"/>
  <c r="N77" i="81"/>
  <c r="E75" i="81"/>
  <c r="E70" i="81"/>
  <c r="J84" i="81"/>
  <c r="M81" i="81"/>
  <c r="J79" i="81"/>
  <c r="M76" i="81"/>
  <c r="J74" i="81"/>
  <c r="M71" i="81"/>
  <c r="F84" i="81"/>
  <c r="K79" i="81"/>
  <c r="F76" i="81"/>
  <c r="J71" i="81"/>
  <c r="I83" i="81"/>
  <c r="I79" i="81"/>
  <c r="O74" i="81"/>
  <c r="I71" i="81"/>
  <c r="H83" i="81"/>
  <c r="H79" i="81"/>
  <c r="N74" i="81"/>
  <c r="H71" i="81"/>
  <c r="M82" i="81"/>
  <c r="K78" i="81"/>
  <c r="M74" i="81"/>
  <c r="K70" i="81"/>
  <c r="K82" i="81"/>
  <c r="J78" i="81"/>
  <c r="K74" i="81"/>
  <c r="J70" i="81"/>
  <c r="J82" i="81"/>
  <c r="I78" i="81"/>
  <c r="N73" i="81"/>
  <c r="O69" i="81"/>
  <c r="H81" i="81"/>
  <c r="M73" i="81"/>
  <c r="G81" i="81"/>
  <c r="K73" i="81"/>
  <c r="F81" i="81"/>
  <c r="J73" i="81"/>
  <c r="O79" i="81"/>
  <c r="I73" i="81"/>
  <c r="N79" i="81"/>
  <c r="H73" i="81"/>
  <c r="K84" i="81"/>
  <c r="E77" i="81"/>
  <c r="N71" i="81"/>
  <c r="H84" i="81"/>
  <c r="G84" i="81"/>
  <c r="N81" i="81"/>
  <c r="O71" i="81"/>
  <c r="K81" i="81"/>
  <c r="K71" i="81"/>
  <c r="J81" i="81"/>
  <c r="N69" i="81"/>
  <c r="M77" i="81"/>
  <c r="M79" i="81"/>
  <c r="H78" i="81"/>
  <c r="O76" i="81"/>
  <c r="N76" i="81"/>
  <c r="K76" i="81"/>
  <c r="G76" i="81"/>
  <c r="M69" i="81"/>
  <c r="E69" i="81"/>
  <c r="O84" i="81"/>
  <c r="N84" i="81"/>
  <c r="M84" i="81"/>
  <c r="I84" i="81"/>
  <c r="J76" i="81"/>
  <c r="I81" i="81"/>
  <c r="H76" i="81"/>
  <c r="I76" i="81"/>
  <c r="D81" i="81"/>
  <c r="C81" i="81"/>
  <c r="B81" i="81"/>
  <c r="Q82" i="81"/>
  <c r="P82" i="81"/>
  <c r="L82" i="81"/>
  <c r="H72" i="81"/>
  <c r="D83" i="81"/>
  <c r="C82" i="81"/>
  <c r="B80" i="81"/>
  <c r="Q80" i="81"/>
  <c r="P79" i="81"/>
  <c r="L78" i="81"/>
  <c r="H80" i="81"/>
  <c r="D82" i="81"/>
  <c r="C80" i="81"/>
  <c r="B79" i="81"/>
  <c r="Q79" i="81"/>
  <c r="P78" i="81"/>
  <c r="L77" i="81"/>
  <c r="O81" i="81"/>
  <c r="G69" i="81"/>
  <c r="D80" i="81"/>
  <c r="C79" i="81"/>
  <c r="B78" i="81"/>
  <c r="Q78" i="81"/>
  <c r="P77" i="81"/>
  <c r="L76" i="81"/>
  <c r="J83" i="81"/>
  <c r="N70" i="81"/>
  <c r="D79" i="81"/>
  <c r="C78" i="81"/>
  <c r="B77" i="81"/>
  <c r="Q77" i="81"/>
  <c r="P76" i="81"/>
  <c r="L75" i="81"/>
  <c r="I72" i="81"/>
  <c r="D77" i="81"/>
  <c r="C76" i="81"/>
  <c r="B75" i="81"/>
  <c r="Q75" i="81"/>
  <c r="P74" i="81"/>
  <c r="L73" i="81"/>
  <c r="K75" i="81"/>
  <c r="C72" i="81"/>
  <c r="B71" i="81"/>
  <c r="Q71" i="81"/>
  <c r="P70" i="81"/>
  <c r="L69" i="81"/>
  <c r="E82" i="81"/>
  <c r="I74" i="81"/>
  <c r="C71" i="81"/>
  <c r="B70" i="81"/>
  <c r="Q70" i="81"/>
  <c r="P69" i="81"/>
  <c r="F69" i="81"/>
  <c r="C74" i="81"/>
  <c r="Q76" i="81"/>
  <c r="L80" i="81"/>
  <c r="G79" i="81"/>
  <c r="C73" i="81"/>
  <c r="Q74" i="81"/>
  <c r="L79" i="81"/>
  <c r="N80" i="81"/>
  <c r="C70" i="81"/>
  <c r="Q73" i="81"/>
  <c r="L74" i="81"/>
  <c r="I82" i="81"/>
  <c r="K83" i="81"/>
  <c r="C69" i="81"/>
  <c r="Q72" i="81"/>
  <c r="L72" i="81"/>
  <c r="G77" i="81"/>
  <c r="E84" i="81"/>
  <c r="D84" i="81"/>
  <c r="B84" i="81"/>
  <c r="Q69" i="81"/>
  <c r="L71" i="81"/>
  <c r="N78" i="81"/>
  <c r="B73" i="81"/>
  <c r="P75" i="81"/>
  <c r="F77" i="81"/>
  <c r="K98" i="107"/>
  <c r="G175" i="89"/>
  <c r="C170" i="89"/>
  <c r="L29" i="88"/>
  <c r="M29" i="88"/>
  <c r="P83" i="81"/>
  <c r="D69" i="81"/>
  <c r="E56" i="91"/>
  <c r="J137" i="97"/>
  <c r="F136" i="97"/>
  <c r="B135" i="97"/>
  <c r="J133" i="97"/>
  <c r="F132" i="97"/>
  <c r="B131" i="97"/>
  <c r="J129" i="97"/>
  <c r="F128" i="97"/>
  <c r="I137" i="97"/>
  <c r="E136" i="97"/>
  <c r="M134" i="97"/>
  <c r="E132" i="97"/>
  <c r="M130" i="97"/>
  <c r="I129" i="97"/>
  <c r="E128" i="97"/>
  <c r="M126" i="97"/>
  <c r="E137" i="97"/>
  <c r="M135" i="97"/>
  <c r="I134" i="97"/>
  <c r="E133" i="97"/>
  <c r="M131" i="97"/>
  <c r="I130" i="97"/>
  <c r="E129" i="97"/>
  <c r="M127" i="97"/>
  <c r="H136" i="97"/>
  <c r="K134" i="97"/>
  <c r="H131" i="97"/>
  <c r="M129" i="97"/>
  <c r="D128" i="97"/>
  <c r="M137" i="97"/>
  <c r="D136" i="97"/>
  <c r="H134" i="97"/>
  <c r="M132" i="97"/>
  <c r="F131" i="97"/>
  <c r="K129" i="97"/>
  <c r="B128" i="97"/>
  <c r="F126" i="97"/>
  <c r="K137" i="97"/>
  <c r="B136" i="97"/>
  <c r="F134" i="97"/>
  <c r="K132" i="97"/>
  <c r="D131" i="97"/>
  <c r="G129" i="97"/>
  <c r="K127" i="97"/>
  <c r="D126" i="97"/>
  <c r="H137" i="97"/>
  <c r="L135" i="97"/>
  <c r="E134" i="97"/>
  <c r="J132" i="97"/>
  <c r="C131" i="97"/>
  <c r="F129" i="97"/>
  <c r="J127" i="97"/>
  <c r="K136" i="97"/>
  <c r="G134" i="97"/>
  <c r="D132" i="97"/>
  <c r="D130" i="97"/>
  <c r="L127" i="97"/>
  <c r="J136" i="97"/>
  <c r="D134" i="97"/>
  <c r="C130" i="97"/>
  <c r="I136" i="97"/>
  <c r="C134" i="97"/>
  <c r="B130" i="97"/>
  <c r="G136" i="97"/>
  <c r="B134" i="97"/>
  <c r="L131" i="97"/>
  <c r="L129" i="97"/>
  <c r="G127" i="97"/>
  <c r="C136" i="97"/>
  <c r="M133" i="97"/>
  <c r="K131" i="97"/>
  <c r="H129" i="97"/>
  <c r="F127" i="97"/>
  <c r="L137" i="97"/>
  <c r="H135" i="97"/>
  <c r="G133" i="97"/>
  <c r="E131" i="97"/>
  <c r="M128" i="97"/>
  <c r="L126" i="97"/>
  <c r="F120" i="97"/>
  <c r="C135" i="97"/>
  <c r="L130" i="97"/>
  <c r="C128" i="97"/>
  <c r="L134" i="97"/>
  <c r="K130" i="97"/>
  <c r="E127" i="97"/>
  <c r="G137" i="97"/>
  <c r="J134" i="97"/>
  <c r="J130" i="97"/>
  <c r="D127" i="97"/>
  <c r="F137" i="97"/>
  <c r="L133" i="97"/>
  <c r="H130" i="97"/>
  <c r="D137" i="97"/>
  <c r="K133" i="97"/>
  <c r="G130" i="97"/>
  <c r="K126" i="97"/>
  <c r="L136" i="97"/>
  <c r="C129" i="97"/>
  <c r="I135" i="97"/>
  <c r="E130" i="97"/>
  <c r="G135" i="97"/>
  <c r="D129" i="97"/>
  <c r="F135" i="97"/>
  <c r="B129" i="97"/>
  <c r="E135" i="97"/>
  <c r="L128" i="97"/>
  <c r="D135" i="97"/>
  <c r="K128" i="97"/>
  <c r="B137" i="97"/>
  <c r="J131" i="97"/>
  <c r="G132" i="97"/>
  <c r="I131" i="97"/>
  <c r="G131" i="97"/>
  <c r="F130" i="97"/>
  <c r="F133" i="97"/>
  <c r="D133" i="97"/>
  <c r="L132" i="97"/>
  <c r="J128" i="97"/>
  <c r="I128" i="97"/>
  <c r="E126" i="97"/>
  <c r="H128" i="97"/>
  <c r="G128" i="97"/>
  <c r="J126" i="97"/>
  <c r="G126" i="97"/>
  <c r="J135" i="97"/>
  <c r="K135" i="97"/>
  <c r="M136" i="97"/>
  <c r="C137" i="97"/>
  <c r="E642" i="81"/>
  <c r="N11" i="81"/>
  <c r="A572" i="81" s="1"/>
  <c r="M30" i="76"/>
  <c r="L30" i="76"/>
  <c r="G59" i="47"/>
  <c r="K57" i="47"/>
  <c r="I54" i="47"/>
  <c r="C53" i="47"/>
  <c r="G51" i="47"/>
  <c r="E59" i="47"/>
  <c r="H57" i="47"/>
  <c r="K55" i="47"/>
  <c r="G52" i="47"/>
  <c r="J60" i="47"/>
  <c r="C59" i="47"/>
  <c r="F57" i="47"/>
  <c r="I55" i="47"/>
  <c r="B54" i="47"/>
  <c r="E52" i="47"/>
  <c r="I60" i="47"/>
  <c r="B59" i="47"/>
  <c r="E57" i="47"/>
  <c r="H55" i="47"/>
  <c r="K53" i="47"/>
  <c r="D52" i="47"/>
  <c r="H60" i="47"/>
  <c r="K58" i="47"/>
  <c r="D57" i="47"/>
  <c r="J53" i="47"/>
  <c r="C52" i="47"/>
  <c r="C60" i="47"/>
  <c r="B58" i="47"/>
  <c r="C51" i="47"/>
  <c r="B60" i="47"/>
  <c r="J57" i="47"/>
  <c r="B51" i="47"/>
  <c r="K59" i="47"/>
  <c r="I57" i="47"/>
  <c r="B53" i="47"/>
  <c r="J59" i="47"/>
  <c r="G57" i="47"/>
  <c r="C55" i="47"/>
  <c r="K52" i="47"/>
  <c r="I59" i="47"/>
  <c r="C57" i="47"/>
  <c r="B55" i="47"/>
  <c r="J52" i="47"/>
  <c r="I58" i="47"/>
  <c r="H56" i="47"/>
  <c r="K51" i="47"/>
  <c r="F58" i="47"/>
  <c r="H54" i="47"/>
  <c r="E51" i="47"/>
  <c r="E58" i="47"/>
  <c r="D51" i="47"/>
  <c r="C58" i="47"/>
  <c r="C54" i="47"/>
  <c r="B57" i="47"/>
  <c r="I53" i="47"/>
  <c r="G60" i="47"/>
  <c r="J56" i="47"/>
  <c r="F59" i="47"/>
  <c r="D59" i="47"/>
  <c r="H53" i="47"/>
  <c r="J58" i="47"/>
  <c r="H58" i="47"/>
  <c r="I52" i="47"/>
  <c r="G58" i="47"/>
  <c r="H52" i="47"/>
  <c r="D58" i="47"/>
  <c r="F52" i="47"/>
  <c r="H51" i="47"/>
  <c r="F51" i="47"/>
  <c r="J51" i="47"/>
  <c r="K60" i="47"/>
  <c r="I51" i="47"/>
  <c r="K56" i="47"/>
  <c r="F60" i="47"/>
  <c r="E60" i="47"/>
  <c r="H59" i="47"/>
  <c r="D60" i="47"/>
  <c r="F45" i="47"/>
  <c r="I56" i="47"/>
  <c r="C56" i="47"/>
  <c r="B56" i="47"/>
  <c r="B52" i="47"/>
  <c r="J55" i="47"/>
  <c r="K54" i="47"/>
  <c r="J54" i="47"/>
  <c r="I9" i="119"/>
  <c r="F87" i="115"/>
  <c r="I99" i="115"/>
  <c r="K94" i="115"/>
  <c r="H99" i="115"/>
  <c r="B99" i="115"/>
  <c r="C95" i="115"/>
  <c r="F96" i="115"/>
  <c r="K100" i="115"/>
  <c r="E96" i="115"/>
  <c r="C91" i="115"/>
  <c r="G94" i="115"/>
  <c r="F95" i="115"/>
  <c r="J92" i="115"/>
  <c r="F99" i="115"/>
  <c r="E91" i="115"/>
  <c r="J100" i="115"/>
  <c r="I100" i="115"/>
  <c r="C93" i="115"/>
  <c r="K98" i="115"/>
  <c r="E99" i="115"/>
  <c r="E100" i="115"/>
  <c r="C94" i="115"/>
  <c r="F91" i="115"/>
  <c r="I10" i="125"/>
  <c r="I92" i="115"/>
  <c r="K95" i="115"/>
  <c r="H100" i="115"/>
  <c r="G98" i="115"/>
  <c r="I14" i="117"/>
  <c r="K14" i="117" s="1"/>
  <c r="F135" i="117"/>
  <c r="B134" i="117"/>
  <c r="J132" i="117"/>
  <c r="F131" i="117"/>
  <c r="J128" i="117"/>
  <c r="F127" i="117"/>
  <c r="B126" i="117"/>
  <c r="J124" i="117"/>
  <c r="K135" i="117"/>
  <c r="F134" i="117"/>
  <c r="M132" i="117"/>
  <c r="I128" i="117"/>
  <c r="D127" i="117"/>
  <c r="K125" i="117"/>
  <c r="F124" i="117"/>
  <c r="J135" i="117"/>
  <c r="E134" i="117"/>
  <c r="L132" i="117"/>
  <c r="G131" i="117"/>
  <c r="M129" i="117"/>
  <c r="H128" i="117"/>
  <c r="C127" i="117"/>
  <c r="J125" i="117"/>
  <c r="I135" i="117"/>
  <c r="D134" i="117"/>
  <c r="K132" i="117"/>
  <c r="E131" i="117"/>
  <c r="L129" i="117"/>
  <c r="G128" i="117"/>
  <c r="B127" i="117"/>
  <c r="D124" i="117"/>
  <c r="H135" i="117"/>
  <c r="C134" i="117"/>
  <c r="I132" i="117"/>
  <c r="D131" i="117"/>
  <c r="K129" i="117"/>
  <c r="F128" i="117"/>
  <c r="M126" i="117"/>
  <c r="F118" i="117"/>
  <c r="E135" i="117"/>
  <c r="L133" i="117"/>
  <c r="G132" i="117"/>
  <c r="I129" i="117"/>
  <c r="D128" i="117"/>
  <c r="K126" i="117"/>
  <c r="F125" i="117"/>
  <c r="B135" i="117"/>
  <c r="D133" i="117"/>
  <c r="L130" i="117"/>
  <c r="B129" i="117"/>
  <c r="J126" i="117"/>
  <c r="L124" i="117"/>
  <c r="M134" i="117"/>
  <c r="C133" i="117"/>
  <c r="K130" i="117"/>
  <c r="M128" i="117"/>
  <c r="I126" i="117"/>
  <c r="K124" i="117"/>
  <c r="L134" i="117"/>
  <c r="B133" i="117"/>
  <c r="J130" i="117"/>
  <c r="L128" i="117"/>
  <c r="H126" i="117"/>
  <c r="K134" i="117"/>
  <c r="H132" i="117"/>
  <c r="K128" i="117"/>
  <c r="G126" i="117"/>
  <c r="J134" i="117"/>
  <c r="F132" i="117"/>
  <c r="E128" i="117"/>
  <c r="F126" i="117"/>
  <c r="G124" i="117"/>
  <c r="M133" i="117"/>
  <c r="B132" i="117"/>
  <c r="D130" i="117"/>
  <c r="L127" i="117"/>
  <c r="M125" i="117"/>
  <c r="E132" i="117"/>
  <c r="F129" i="117"/>
  <c r="C126" i="117"/>
  <c r="G134" i="117"/>
  <c r="M130" i="117"/>
  <c r="H127" i="117"/>
  <c r="K133" i="117"/>
  <c r="F130" i="117"/>
  <c r="L126" i="117"/>
  <c r="I133" i="117"/>
  <c r="J129" i="117"/>
  <c r="D126" i="117"/>
  <c r="H133" i="117"/>
  <c r="H129" i="117"/>
  <c r="L125" i="117"/>
  <c r="G133" i="117"/>
  <c r="G129" i="117"/>
  <c r="G125" i="117"/>
  <c r="F133" i="117"/>
  <c r="E129" i="117"/>
  <c r="E125" i="117"/>
  <c r="G135" i="117"/>
  <c r="E130" i="117"/>
  <c r="E124" i="117"/>
  <c r="D135" i="117"/>
  <c r="D129" i="117"/>
  <c r="C135" i="117"/>
  <c r="C129" i="117"/>
  <c r="I134" i="117"/>
  <c r="C128" i="117"/>
  <c r="H134" i="117"/>
  <c r="B128" i="117"/>
  <c r="M131" i="117"/>
  <c r="G127" i="117"/>
  <c r="K127" i="117"/>
  <c r="J127" i="117"/>
  <c r="I127" i="117"/>
  <c r="M135" i="117"/>
  <c r="E127" i="117"/>
  <c r="L135" i="117"/>
  <c r="E126" i="117"/>
  <c r="C132" i="117"/>
  <c r="M124" i="117"/>
  <c r="L131" i="117"/>
  <c r="M127" i="117"/>
  <c r="J133" i="117"/>
  <c r="E133" i="117"/>
  <c r="D132" i="117"/>
  <c r="K131" i="117"/>
  <c r="J131" i="117"/>
  <c r="D125" i="117"/>
  <c r="G130" i="117"/>
  <c r="K282" i="121"/>
  <c r="G281" i="121"/>
  <c r="C280" i="121"/>
  <c r="K278" i="121"/>
  <c r="G277" i="121"/>
  <c r="C276" i="121"/>
  <c r="K274" i="121"/>
  <c r="G273" i="121"/>
  <c r="J283" i="121"/>
  <c r="E282" i="121"/>
  <c r="L280" i="121"/>
  <c r="G279" i="121"/>
  <c r="B278" i="121"/>
  <c r="I276" i="121"/>
  <c r="D275" i="121"/>
  <c r="K273" i="121"/>
  <c r="I283" i="121"/>
  <c r="D282" i="121"/>
  <c r="K280" i="121"/>
  <c r="F279" i="121"/>
  <c r="M277" i="121"/>
  <c r="H276" i="121"/>
  <c r="C275" i="121"/>
  <c r="J273" i="121"/>
  <c r="H283" i="121"/>
  <c r="C282" i="121"/>
  <c r="J280" i="121"/>
  <c r="E279" i="121"/>
  <c r="L277" i="121"/>
  <c r="G276" i="121"/>
  <c r="B275" i="121"/>
  <c r="I273" i="121"/>
  <c r="G283" i="121"/>
  <c r="B282" i="121"/>
  <c r="I280" i="121"/>
  <c r="D279" i="121"/>
  <c r="K277" i="121"/>
  <c r="F276" i="121"/>
  <c r="H273" i="121"/>
  <c r="K284" i="121"/>
  <c r="F283" i="121"/>
  <c r="M281" i="121"/>
  <c r="H280" i="121"/>
  <c r="C279" i="121"/>
  <c r="J277" i="121"/>
  <c r="E276" i="121"/>
  <c r="F273" i="121"/>
  <c r="G284" i="121"/>
  <c r="I281" i="121"/>
  <c r="D280" i="121"/>
  <c r="J278" i="121"/>
  <c r="E277" i="121"/>
  <c r="L275" i="121"/>
  <c r="G274" i="121"/>
  <c r="E284" i="121"/>
  <c r="L281" i="121"/>
  <c r="K279" i="121"/>
  <c r="F277" i="121"/>
  <c r="F275" i="121"/>
  <c r="D284" i="121"/>
  <c r="K281" i="121"/>
  <c r="J279" i="121"/>
  <c r="D277" i="121"/>
  <c r="E275" i="121"/>
  <c r="J281" i="121"/>
  <c r="I279" i="121"/>
  <c r="C277" i="121"/>
  <c r="J274" i="121"/>
  <c r="H281" i="121"/>
  <c r="H279" i="121"/>
  <c r="B277" i="121"/>
  <c r="I274" i="121"/>
  <c r="K283" i="121"/>
  <c r="E281" i="121"/>
  <c r="M278" i="121"/>
  <c r="L276" i="121"/>
  <c r="F274" i="121"/>
  <c r="G282" i="121"/>
  <c r="H278" i="121"/>
  <c r="I275" i="121"/>
  <c r="F282" i="121"/>
  <c r="G278" i="121"/>
  <c r="H275" i="121"/>
  <c r="F267" i="121"/>
  <c r="F281" i="121"/>
  <c r="F278" i="121"/>
  <c r="G275" i="121"/>
  <c r="J284" i="121"/>
  <c r="D281" i="121"/>
  <c r="E278" i="121"/>
  <c r="H274" i="121"/>
  <c r="H284" i="121"/>
  <c r="B281" i="121"/>
  <c r="C278" i="121"/>
  <c r="D274" i="121"/>
  <c r="D283" i="121"/>
  <c r="L278" i="121"/>
  <c r="I278" i="121"/>
  <c r="M282" i="121"/>
  <c r="D278" i="121"/>
  <c r="E273" i="121"/>
  <c r="L282" i="121"/>
  <c r="I277" i="121"/>
  <c r="D273" i="121"/>
  <c r="J282" i="121"/>
  <c r="H277" i="121"/>
  <c r="M280" i="121"/>
  <c r="D276" i="121"/>
  <c r="C281" i="121"/>
  <c r="G280" i="121"/>
  <c r="E280" i="121"/>
  <c r="B280" i="121"/>
  <c r="J276" i="121"/>
  <c r="M275" i="121"/>
  <c r="K275" i="121"/>
  <c r="I284" i="121"/>
  <c r="J275" i="121"/>
  <c r="F284" i="121"/>
  <c r="E274" i="121"/>
  <c r="L279" i="121"/>
  <c r="B279" i="121"/>
  <c r="M276" i="121"/>
  <c r="K276" i="121"/>
  <c r="B276" i="121"/>
  <c r="E283" i="121"/>
  <c r="I282" i="121"/>
  <c r="H282" i="121"/>
  <c r="F280" i="121"/>
  <c r="M279" i="121"/>
  <c r="G214" i="115"/>
  <c r="F214" i="115"/>
  <c r="N228" i="115"/>
  <c r="M48" i="117"/>
  <c r="K42" i="117"/>
  <c r="B44" i="117"/>
  <c r="I49" i="117"/>
  <c r="H41" i="117"/>
  <c r="K41" i="117"/>
  <c r="G249" i="111"/>
  <c r="F249" i="111"/>
  <c r="K11" i="111"/>
  <c r="D51" i="117"/>
  <c r="G91" i="107"/>
  <c r="M31" i="106"/>
  <c r="L31" i="106"/>
  <c r="L29" i="106"/>
  <c r="M29" i="106"/>
  <c r="A311" i="107"/>
  <c r="B121" i="107"/>
  <c r="I8" i="111"/>
  <c r="I17" i="97"/>
  <c r="J17" i="97" s="1"/>
  <c r="M35" i="100"/>
  <c r="L35" i="100"/>
  <c r="I9" i="97"/>
  <c r="K7" i="93"/>
  <c r="H308" i="83"/>
  <c r="I8" i="95"/>
  <c r="J8" i="95" s="1"/>
  <c r="F173" i="89"/>
  <c r="I294" i="83"/>
  <c r="M32" i="104"/>
  <c r="L32" i="104"/>
  <c r="I308" i="83"/>
  <c r="I10" i="83"/>
  <c r="J10" i="83" s="1"/>
  <c r="Q81" i="81"/>
  <c r="C64" i="91"/>
  <c r="I62" i="91"/>
  <c r="I96" i="115"/>
  <c r="H128" i="111"/>
  <c r="G330" i="79"/>
  <c r="F330" i="79"/>
  <c r="R348" i="79"/>
  <c r="G176" i="81"/>
  <c r="E368" i="71"/>
  <c r="C368" i="71"/>
  <c r="F48" i="45"/>
  <c r="F58" i="45"/>
  <c r="F52" i="45"/>
  <c r="C54" i="45"/>
  <c r="D51" i="45"/>
  <c r="D57" i="45"/>
  <c r="B55" i="45"/>
  <c r="E52" i="45"/>
  <c r="J57" i="45"/>
  <c r="K57" i="45"/>
  <c r="I54" i="45"/>
  <c r="B56" i="45"/>
  <c r="I59" i="45"/>
  <c r="I60" i="45"/>
  <c r="E60" i="45"/>
  <c r="D53" i="45"/>
  <c r="D54" i="45"/>
  <c r="F59" i="45"/>
  <c r="I53" i="45"/>
  <c r="K51" i="45"/>
  <c r="K59" i="45"/>
  <c r="J59" i="45"/>
  <c r="G58" i="45"/>
  <c r="C53" i="45"/>
  <c r="I56" i="45"/>
  <c r="G59" i="45"/>
  <c r="C60" i="45"/>
  <c r="J55" i="45"/>
  <c r="E58" i="45"/>
  <c r="G52" i="45"/>
  <c r="K54" i="45"/>
  <c r="G56" i="45"/>
  <c r="F54" i="45"/>
  <c r="K52" i="45"/>
  <c r="D55" i="45"/>
  <c r="F56" i="45"/>
  <c r="H53" i="45"/>
  <c r="E54" i="45"/>
  <c r="J52" i="45"/>
  <c r="F55" i="45"/>
  <c r="E56" i="45"/>
  <c r="F60" i="45"/>
  <c r="G55" i="45"/>
  <c r="J58" i="45"/>
  <c r="H56" i="45"/>
  <c r="D52" i="45"/>
  <c r="K58" i="45"/>
  <c r="H12" i="143"/>
  <c r="G301" i="143"/>
  <c r="P317" i="143"/>
  <c r="F301" i="143"/>
  <c r="K10" i="143"/>
  <c r="G297" i="141"/>
  <c r="F297" i="141"/>
  <c r="G296" i="141"/>
  <c r="M363" i="141" s="1"/>
  <c r="F296" i="141"/>
  <c r="F302" i="141"/>
  <c r="F305" i="141"/>
  <c r="H13" i="141"/>
  <c r="M187" i="139"/>
  <c r="E193" i="139"/>
  <c r="F195" i="139"/>
  <c r="K35" i="134"/>
  <c r="I17" i="135"/>
  <c r="E492" i="141"/>
  <c r="K14" i="141"/>
  <c r="F174" i="133"/>
  <c r="E173" i="133"/>
  <c r="G173" i="133"/>
  <c r="K34" i="138"/>
  <c r="K7" i="133"/>
  <c r="D115" i="135"/>
  <c r="B221" i="135"/>
  <c r="J219" i="135"/>
  <c r="F218" i="135"/>
  <c r="B217" i="135"/>
  <c r="J215" i="135"/>
  <c r="F214" i="135"/>
  <c r="B213" i="135"/>
  <c r="J211" i="135"/>
  <c r="F210" i="135"/>
  <c r="M220" i="135"/>
  <c r="H219" i="135"/>
  <c r="C218" i="135"/>
  <c r="J216" i="135"/>
  <c r="E215" i="135"/>
  <c r="L213" i="135"/>
  <c r="G212" i="135"/>
  <c r="B211" i="135"/>
  <c r="K220" i="135"/>
  <c r="F219" i="135"/>
  <c r="M217" i="135"/>
  <c r="C215" i="135"/>
  <c r="J213" i="135"/>
  <c r="L210" i="135"/>
  <c r="J220" i="135"/>
  <c r="E219" i="135"/>
  <c r="L217" i="135"/>
  <c r="G216" i="135"/>
  <c r="B215" i="135"/>
  <c r="K210" i="135"/>
  <c r="K221" i="135"/>
  <c r="F220" i="135"/>
  <c r="M218" i="135"/>
  <c r="C216" i="135"/>
  <c r="J214" i="135"/>
  <c r="L211" i="135"/>
  <c r="G210" i="135"/>
  <c r="D220" i="135"/>
  <c r="G218" i="135"/>
  <c r="F216" i="135"/>
  <c r="H214" i="135"/>
  <c r="J212" i="135"/>
  <c r="J210" i="135"/>
  <c r="M221" i="135"/>
  <c r="C220" i="135"/>
  <c r="E218" i="135"/>
  <c r="G214" i="135"/>
  <c r="I210" i="135"/>
  <c r="F204" i="135"/>
  <c r="L221" i="135"/>
  <c r="B220" i="135"/>
  <c r="D218" i="135"/>
  <c r="E214" i="135"/>
  <c r="H210" i="135"/>
  <c r="J221" i="135"/>
  <c r="M219" i="135"/>
  <c r="B218" i="135"/>
  <c r="B216" i="135"/>
  <c r="D214" i="135"/>
  <c r="F212" i="135"/>
  <c r="E210" i="135"/>
  <c r="I221" i="135"/>
  <c r="L219" i="135"/>
  <c r="K217" i="135"/>
  <c r="M215" i="135"/>
  <c r="C214" i="135"/>
  <c r="C212" i="135"/>
  <c r="D210" i="135"/>
  <c r="E221" i="135"/>
  <c r="D219" i="135"/>
  <c r="F217" i="135"/>
  <c r="H215" i="135"/>
  <c r="I211" i="135"/>
  <c r="D221" i="135"/>
  <c r="H218" i="135"/>
  <c r="D215" i="135"/>
  <c r="M211" i="135"/>
  <c r="C221" i="135"/>
  <c r="J217" i="135"/>
  <c r="M214" i="135"/>
  <c r="K211" i="135"/>
  <c r="L220" i="135"/>
  <c r="L214" i="135"/>
  <c r="H211" i="135"/>
  <c r="I220" i="135"/>
  <c r="G217" i="135"/>
  <c r="K214" i="135"/>
  <c r="G211" i="135"/>
  <c r="H220" i="135"/>
  <c r="I214" i="135"/>
  <c r="F211" i="135"/>
  <c r="I219" i="135"/>
  <c r="L216" i="135"/>
  <c r="G213" i="135"/>
  <c r="M210" i="135"/>
  <c r="H221" i="135"/>
  <c r="K216" i="135"/>
  <c r="B212" i="135"/>
  <c r="G221" i="135"/>
  <c r="E211" i="135"/>
  <c r="F221" i="135"/>
  <c r="L215" i="135"/>
  <c r="D211" i="135"/>
  <c r="G220" i="135"/>
  <c r="K215" i="135"/>
  <c r="C211" i="135"/>
  <c r="E220" i="135"/>
  <c r="I215" i="135"/>
  <c r="C210" i="135"/>
  <c r="B219" i="135"/>
  <c r="M213" i="135"/>
  <c r="K218" i="135"/>
  <c r="B210" i="135"/>
  <c r="J218" i="135"/>
  <c r="I218" i="135"/>
  <c r="C217" i="135"/>
  <c r="B214" i="135"/>
  <c r="C213" i="135"/>
  <c r="M212" i="135"/>
  <c r="L212" i="135"/>
  <c r="K212" i="135"/>
  <c r="L218" i="135"/>
  <c r="M216" i="135"/>
  <c r="G215" i="135"/>
  <c r="F215" i="135"/>
  <c r="K213" i="135"/>
  <c r="C219" i="135"/>
  <c r="K219" i="135"/>
  <c r="G219" i="135"/>
  <c r="F213" i="135"/>
  <c r="I6" i="129"/>
  <c r="C231" i="139"/>
  <c r="D227" i="139"/>
  <c r="J237" i="139"/>
  <c r="G229" i="139"/>
  <c r="F235" i="139"/>
  <c r="B232" i="139"/>
  <c r="G235" i="139"/>
  <c r="D421" i="135"/>
  <c r="F421" i="135"/>
  <c r="K14" i="139"/>
  <c r="I10" i="131"/>
  <c r="K41" i="129"/>
  <c r="F37" i="129"/>
  <c r="J34" i="129"/>
  <c r="G98" i="129"/>
  <c r="K96" i="129"/>
  <c r="I93" i="129"/>
  <c r="C92" i="129"/>
  <c r="G90" i="129"/>
  <c r="J98" i="129"/>
  <c r="C97" i="129"/>
  <c r="F95" i="129"/>
  <c r="H93" i="129"/>
  <c r="K91" i="129"/>
  <c r="D90" i="129"/>
  <c r="C98" i="129"/>
  <c r="G94" i="129"/>
  <c r="K90" i="129"/>
  <c r="C89" i="129"/>
  <c r="I97" i="129"/>
  <c r="J95" i="129"/>
  <c r="K93" i="129"/>
  <c r="J91" i="129"/>
  <c r="K89" i="129"/>
  <c r="F97" i="129"/>
  <c r="G95" i="129"/>
  <c r="F93" i="129"/>
  <c r="G91" i="129"/>
  <c r="H89" i="129"/>
  <c r="E97" i="129"/>
  <c r="E93" i="129"/>
  <c r="F91" i="129"/>
  <c r="G89" i="129"/>
  <c r="I98" i="129"/>
  <c r="J94" i="129"/>
  <c r="K92" i="129"/>
  <c r="B91" i="129"/>
  <c r="B89" i="129"/>
  <c r="B97" i="129"/>
  <c r="F94" i="129"/>
  <c r="B92" i="129"/>
  <c r="E89" i="129"/>
  <c r="J96" i="129"/>
  <c r="E94" i="129"/>
  <c r="D89" i="129"/>
  <c r="D94" i="129"/>
  <c r="G96" i="129"/>
  <c r="C94" i="129"/>
  <c r="F96" i="129"/>
  <c r="B94" i="129"/>
  <c r="C96" i="129"/>
  <c r="B96" i="129"/>
  <c r="G92" i="129"/>
  <c r="K95" i="129"/>
  <c r="F92" i="129"/>
  <c r="K98" i="129"/>
  <c r="D98" i="129"/>
  <c r="I94" i="129"/>
  <c r="H90" i="129"/>
  <c r="H98" i="129"/>
  <c r="D93" i="129"/>
  <c r="F98" i="129"/>
  <c r="C93" i="129"/>
  <c r="F83" i="129"/>
  <c r="E98" i="129"/>
  <c r="B93" i="129"/>
  <c r="B98" i="129"/>
  <c r="B168" i="129" s="1"/>
  <c r="C207" i="129" s="1"/>
  <c r="J92" i="129"/>
  <c r="J97" i="129"/>
  <c r="J90" i="129"/>
  <c r="K97" i="129"/>
  <c r="B90" i="129"/>
  <c r="H97" i="129"/>
  <c r="J89" i="129"/>
  <c r="G97" i="129"/>
  <c r="I89" i="129"/>
  <c r="D97" i="129"/>
  <c r="F89" i="129"/>
  <c r="C95" i="129"/>
  <c r="J93" i="129"/>
  <c r="G93" i="129"/>
  <c r="C91" i="129"/>
  <c r="I90" i="129"/>
  <c r="F90" i="129"/>
  <c r="H94" i="129"/>
  <c r="E90" i="129"/>
  <c r="B95" i="129"/>
  <c r="C90" i="129"/>
  <c r="K94" i="129"/>
  <c r="E151" i="129"/>
  <c r="K152" i="129"/>
  <c r="L33" i="128"/>
  <c r="M33" i="128"/>
  <c r="G252" i="121"/>
  <c r="H260" i="121"/>
  <c r="E258" i="121"/>
  <c r="K255" i="121"/>
  <c r="K263" i="121"/>
  <c r="I135" i="129"/>
  <c r="C134" i="129"/>
  <c r="G132" i="129"/>
  <c r="I127" i="129"/>
  <c r="D134" i="129"/>
  <c r="F132" i="129"/>
  <c r="I130" i="129"/>
  <c r="B129" i="129"/>
  <c r="E127" i="129"/>
  <c r="B135" i="129"/>
  <c r="D133" i="129"/>
  <c r="F131" i="129"/>
  <c r="H129" i="129"/>
  <c r="J127" i="129"/>
  <c r="E134" i="129"/>
  <c r="D132" i="129"/>
  <c r="F128" i="129"/>
  <c r="J133" i="129"/>
  <c r="K131" i="129"/>
  <c r="B130" i="129"/>
  <c r="C128" i="129"/>
  <c r="H135" i="129"/>
  <c r="I133" i="129"/>
  <c r="J131" i="129"/>
  <c r="B128" i="129"/>
  <c r="E133" i="129"/>
  <c r="E131" i="129"/>
  <c r="F129" i="129"/>
  <c r="F127" i="129"/>
  <c r="F121" i="129"/>
  <c r="C136" i="129"/>
  <c r="F133" i="129"/>
  <c r="E128" i="129"/>
  <c r="B136" i="129"/>
  <c r="C133" i="129"/>
  <c r="H130" i="129"/>
  <c r="D128" i="129"/>
  <c r="G135" i="129"/>
  <c r="B133" i="129"/>
  <c r="G130" i="129"/>
  <c r="K127" i="129"/>
  <c r="F135" i="129"/>
  <c r="K132" i="129"/>
  <c r="F130" i="129"/>
  <c r="H127" i="129"/>
  <c r="J132" i="129"/>
  <c r="G127" i="129"/>
  <c r="K134" i="129"/>
  <c r="H131" i="129"/>
  <c r="D127" i="129"/>
  <c r="J134" i="129"/>
  <c r="G131" i="129"/>
  <c r="C127" i="129"/>
  <c r="I134" i="129"/>
  <c r="D131" i="129"/>
  <c r="B127" i="129"/>
  <c r="H134" i="129"/>
  <c r="C131" i="129"/>
  <c r="G134" i="129"/>
  <c r="B131" i="129"/>
  <c r="H133" i="129"/>
  <c r="G129" i="129"/>
  <c r="C129" i="129"/>
  <c r="C135" i="129"/>
  <c r="K128" i="129"/>
  <c r="F134" i="129"/>
  <c r="J128" i="129"/>
  <c r="B134" i="129"/>
  <c r="I128" i="129"/>
  <c r="G133" i="129"/>
  <c r="G128" i="129"/>
  <c r="I136" i="129"/>
  <c r="H136" i="129"/>
  <c r="G136" i="129"/>
  <c r="F136" i="129"/>
  <c r="I132" i="129"/>
  <c r="C130" i="129"/>
  <c r="I129" i="129"/>
  <c r="H128" i="129"/>
  <c r="I131" i="129"/>
  <c r="H132" i="129"/>
  <c r="E132" i="129"/>
  <c r="C132" i="129"/>
  <c r="B132" i="129"/>
  <c r="K133" i="129"/>
  <c r="L37" i="128"/>
  <c r="M37" i="128"/>
  <c r="F325" i="121"/>
  <c r="L352" i="121" s="1"/>
  <c r="G325" i="121"/>
  <c r="P341" i="121"/>
  <c r="I11" i="133"/>
  <c r="H38" i="129"/>
  <c r="H15" i="133"/>
  <c r="G33" i="129"/>
  <c r="C70" i="125"/>
  <c r="C68" i="125"/>
  <c r="C66" i="125"/>
  <c r="C64" i="125"/>
  <c r="E68" i="125"/>
  <c r="D66" i="125"/>
  <c r="B64" i="125"/>
  <c r="E70" i="125"/>
  <c r="D68" i="125"/>
  <c r="B66" i="125"/>
  <c r="D70" i="125"/>
  <c r="B68" i="125"/>
  <c r="I65" i="125"/>
  <c r="H67" i="125"/>
  <c r="G65" i="125"/>
  <c r="E69" i="125"/>
  <c r="H66" i="125"/>
  <c r="D69" i="125"/>
  <c r="G66" i="125"/>
  <c r="C69" i="125"/>
  <c r="F66" i="125"/>
  <c r="B69" i="125"/>
  <c r="E66" i="125"/>
  <c r="H65" i="125"/>
  <c r="B71" i="125"/>
  <c r="I67" i="125"/>
  <c r="C65" i="125"/>
  <c r="E65" i="125"/>
  <c r="B70" i="125"/>
  <c r="D65" i="125"/>
  <c r="B65" i="125"/>
  <c r="I64" i="125"/>
  <c r="G64" i="125"/>
  <c r="I66" i="125"/>
  <c r="F65" i="125"/>
  <c r="E71" i="125"/>
  <c r="H64" i="125"/>
  <c r="D71" i="125"/>
  <c r="F64" i="125"/>
  <c r="D64" i="125"/>
  <c r="C71" i="125"/>
  <c r="F58" i="125"/>
  <c r="D67" i="125"/>
  <c r="E64" i="125"/>
  <c r="G67" i="125"/>
  <c r="F67" i="125"/>
  <c r="E67" i="125"/>
  <c r="C67" i="125"/>
  <c r="B67" i="125"/>
  <c r="I13" i="119"/>
  <c r="J13" i="119" s="1"/>
  <c r="L257" i="119"/>
  <c r="M33" i="116"/>
  <c r="L33" i="116"/>
  <c r="K16" i="121"/>
  <c r="C246" i="121" s="1"/>
  <c r="K29" i="126"/>
  <c r="G298" i="119"/>
  <c r="F298" i="119"/>
  <c r="K33" i="126"/>
  <c r="I7" i="129"/>
  <c r="J7" i="129" s="1"/>
  <c r="I256" i="121"/>
  <c r="F319" i="123"/>
  <c r="G319" i="123"/>
  <c r="H11" i="135"/>
  <c r="I7" i="123"/>
  <c r="D257" i="119"/>
  <c r="E257" i="119"/>
  <c r="M30" i="122"/>
  <c r="L30" i="122"/>
  <c r="E95" i="121"/>
  <c r="I85" i="121"/>
  <c r="L86" i="121"/>
  <c r="I86" i="121"/>
  <c r="H87" i="121"/>
  <c r="B85" i="121"/>
  <c r="H94" i="121"/>
  <c r="K31" i="126"/>
  <c r="M29" i="118"/>
  <c r="L29" i="118"/>
  <c r="F172" i="119"/>
  <c r="M174" i="119"/>
  <c r="D168" i="119"/>
  <c r="G169" i="119"/>
  <c r="B167" i="119"/>
  <c r="E177" i="119"/>
  <c r="I174" i="119"/>
  <c r="K232" i="119"/>
  <c r="E229" i="119"/>
  <c r="D230" i="119"/>
  <c r="H232" i="119"/>
  <c r="I239" i="119"/>
  <c r="E233" i="119"/>
  <c r="M233" i="119"/>
  <c r="K34" i="118"/>
  <c r="G96" i="115"/>
  <c r="B94" i="115"/>
  <c r="H96" i="115"/>
  <c r="G95" i="115"/>
  <c r="I53" i="113"/>
  <c r="G149" i="115"/>
  <c r="G155" i="115"/>
  <c r="C154" i="115"/>
  <c r="H151" i="115"/>
  <c r="G150" i="115"/>
  <c r="K46" i="117"/>
  <c r="I8" i="113"/>
  <c r="I41" i="117"/>
  <c r="H50" i="117"/>
  <c r="I43" i="117"/>
  <c r="K40" i="117"/>
  <c r="E46" i="117"/>
  <c r="D48" i="117"/>
  <c r="B173" i="117"/>
  <c r="D176" i="117"/>
  <c r="F167" i="117"/>
  <c r="I7" i="117"/>
  <c r="F105" i="115"/>
  <c r="K113" i="115"/>
  <c r="J113" i="115"/>
  <c r="G118" i="115"/>
  <c r="I113" i="115"/>
  <c r="F118" i="115"/>
  <c r="I112" i="115"/>
  <c r="E118" i="115"/>
  <c r="G112" i="115"/>
  <c r="G110" i="115"/>
  <c r="E114" i="115"/>
  <c r="D114" i="115"/>
  <c r="C114" i="115"/>
  <c r="F112" i="115"/>
  <c r="D112" i="115"/>
  <c r="E110" i="115"/>
  <c r="D118" i="115"/>
  <c r="D110" i="115"/>
  <c r="G114" i="115"/>
  <c r="C117" i="115"/>
  <c r="B117" i="115"/>
  <c r="F110" i="115"/>
  <c r="B110" i="115"/>
  <c r="C116" i="115"/>
  <c r="H111" i="115"/>
  <c r="I110" i="115"/>
  <c r="G119" i="115"/>
  <c r="J112" i="115"/>
  <c r="C115" i="115"/>
  <c r="M87" i="111"/>
  <c r="D85" i="111"/>
  <c r="G89" i="111"/>
  <c r="B95" i="107"/>
  <c r="G320" i="97"/>
  <c r="F320" i="97"/>
  <c r="F323" i="97"/>
  <c r="F327" i="97"/>
  <c r="M40" i="112"/>
  <c r="L40" i="112"/>
  <c r="K16" i="99"/>
  <c r="C85" i="99"/>
  <c r="F35" i="99"/>
  <c r="F49" i="99"/>
  <c r="D49" i="99"/>
  <c r="C51" i="99"/>
  <c r="E50" i="99"/>
  <c r="D50" i="99"/>
  <c r="J49" i="99"/>
  <c r="M41" i="99"/>
  <c r="K41" i="99"/>
  <c r="E51" i="99"/>
  <c r="I40" i="99"/>
  <c r="E47" i="99"/>
  <c r="F42" i="99"/>
  <c r="J45" i="99"/>
  <c r="E49" i="99"/>
  <c r="B50" i="99"/>
  <c r="L49" i="99"/>
  <c r="E46" i="99"/>
  <c r="H45" i="99"/>
  <c r="L48" i="99"/>
  <c r="B46" i="99"/>
  <c r="B49" i="99"/>
  <c r="I49" i="99"/>
  <c r="F51" i="99"/>
  <c r="L45" i="99"/>
  <c r="H42" i="99"/>
  <c r="G47" i="99"/>
  <c r="I44" i="99"/>
  <c r="M51" i="99"/>
  <c r="J46" i="99"/>
  <c r="H41" i="99"/>
  <c r="K50" i="99"/>
  <c r="G49" i="99"/>
  <c r="M45" i="99"/>
  <c r="I50" i="99"/>
  <c r="B45" i="99"/>
  <c r="K49" i="99"/>
  <c r="I48" i="99"/>
  <c r="G44" i="99"/>
  <c r="K51" i="99"/>
  <c r="B51" i="99"/>
  <c r="M47" i="99"/>
  <c r="G43" i="99"/>
  <c r="B48" i="99"/>
  <c r="K45" i="99"/>
  <c r="D45" i="99"/>
  <c r="F48" i="99"/>
  <c r="I46" i="99"/>
  <c r="L41" i="99"/>
  <c r="F46" i="99"/>
  <c r="K42" i="99"/>
  <c r="C44" i="99"/>
  <c r="F44" i="99"/>
  <c r="M43" i="99"/>
  <c r="M49" i="99"/>
  <c r="K47" i="99"/>
  <c r="B44" i="99"/>
  <c r="M48" i="99"/>
  <c r="I42" i="99"/>
  <c r="D48" i="99"/>
  <c r="G41" i="99"/>
  <c r="J42" i="99"/>
  <c r="H47" i="99"/>
  <c r="M50" i="99"/>
  <c r="H48" i="99"/>
  <c r="F43" i="99"/>
  <c r="J44" i="99"/>
  <c r="J47" i="99"/>
  <c r="L51" i="99"/>
  <c r="D44" i="99"/>
  <c r="M40" i="99"/>
  <c r="E48" i="99"/>
  <c r="K46" i="99"/>
  <c r="G45" i="99"/>
  <c r="F47" i="99"/>
  <c r="I43" i="99"/>
  <c r="M46" i="99"/>
  <c r="G51" i="99"/>
  <c r="G40" i="99"/>
  <c r="H44" i="99"/>
  <c r="I45" i="99"/>
  <c r="C48" i="99"/>
  <c r="G50" i="99"/>
  <c r="E44" i="99"/>
  <c r="G46" i="99"/>
  <c r="I47" i="99"/>
  <c r="C49" i="99"/>
  <c r="M42" i="99"/>
  <c r="L44" i="99"/>
  <c r="F45" i="99"/>
  <c r="D47" i="99"/>
  <c r="I41" i="99"/>
  <c r="G42" i="99"/>
  <c r="C47" i="99"/>
  <c r="E45" i="99"/>
  <c r="K44" i="99"/>
  <c r="K48" i="99"/>
  <c r="C45" i="99"/>
  <c r="F41" i="99"/>
  <c r="J43" i="99"/>
  <c r="H43" i="99"/>
  <c r="L50" i="99"/>
  <c r="F50" i="99"/>
  <c r="I51" i="99"/>
  <c r="L42" i="99"/>
  <c r="C46" i="99"/>
  <c r="G48" i="99"/>
  <c r="J40" i="99"/>
  <c r="K40" i="99"/>
  <c r="F189" i="107"/>
  <c r="N203" i="107"/>
  <c r="G189" i="107"/>
  <c r="I6" i="95"/>
  <c r="H6" i="115"/>
  <c r="F87" i="111"/>
  <c r="M35" i="98"/>
  <c r="L35" i="98"/>
  <c r="J307" i="83"/>
  <c r="Q294" i="83"/>
  <c r="G303" i="83"/>
  <c r="I11" i="93"/>
  <c r="I61" i="89"/>
  <c r="C60" i="89"/>
  <c r="K56" i="89"/>
  <c r="I53" i="89"/>
  <c r="H61" i="89"/>
  <c r="B60" i="89"/>
  <c r="J56" i="89"/>
  <c r="H53" i="89"/>
  <c r="G61" i="89"/>
  <c r="K59" i="89"/>
  <c r="I56" i="89"/>
  <c r="C55" i="89"/>
  <c r="G53" i="89"/>
  <c r="F61" i="89"/>
  <c r="J59" i="89"/>
  <c r="H56" i="89"/>
  <c r="B55" i="89"/>
  <c r="F53" i="89"/>
  <c r="K62" i="89"/>
  <c r="E61" i="89"/>
  <c r="I59" i="89"/>
  <c r="C58" i="89"/>
  <c r="K54" i="89"/>
  <c r="E53" i="89"/>
  <c r="G62" i="89"/>
  <c r="K60" i="89"/>
  <c r="E59" i="89"/>
  <c r="I57" i="89"/>
  <c r="C56" i="89"/>
  <c r="G54" i="89"/>
  <c r="B62" i="89"/>
  <c r="D59" i="89"/>
  <c r="B57" i="89"/>
  <c r="D54" i="89"/>
  <c r="K61" i="89"/>
  <c r="C59" i="89"/>
  <c r="C54" i="89"/>
  <c r="F47" i="89"/>
  <c r="J61" i="89"/>
  <c r="B59" i="89"/>
  <c r="B54" i="89"/>
  <c r="D61" i="89"/>
  <c r="K58" i="89"/>
  <c r="K53" i="89"/>
  <c r="C61" i="89"/>
  <c r="J58" i="89"/>
  <c r="B56" i="89"/>
  <c r="J53" i="89"/>
  <c r="H60" i="89"/>
  <c r="K57" i="89"/>
  <c r="H55" i="89"/>
  <c r="I60" i="89"/>
  <c r="G60" i="89"/>
  <c r="C57" i="89"/>
  <c r="F60" i="89"/>
  <c r="K55" i="89"/>
  <c r="D60" i="89"/>
  <c r="I55" i="89"/>
  <c r="J62" i="89"/>
  <c r="J57" i="89"/>
  <c r="I62" i="89"/>
  <c r="H57" i="89"/>
  <c r="H62" i="89"/>
  <c r="F62" i="89"/>
  <c r="E62" i="89"/>
  <c r="D62" i="89"/>
  <c r="J55" i="89"/>
  <c r="H58" i="89"/>
  <c r="B58" i="89"/>
  <c r="J54" i="89"/>
  <c r="B61" i="89"/>
  <c r="D53" i="89"/>
  <c r="H59" i="89"/>
  <c r="G59" i="89"/>
  <c r="F59" i="89"/>
  <c r="I58" i="89"/>
  <c r="I54" i="89"/>
  <c r="H54" i="89"/>
  <c r="F54" i="89"/>
  <c r="E54" i="89"/>
  <c r="C53" i="89"/>
  <c r="B53" i="89"/>
  <c r="J60" i="89"/>
  <c r="C62" i="89"/>
  <c r="E60" i="89"/>
  <c r="G89" i="107"/>
  <c r="C49" i="101"/>
  <c r="F157" i="101"/>
  <c r="D157" i="101"/>
  <c r="E76" i="81"/>
  <c r="K7" i="77"/>
  <c r="L40" i="92"/>
  <c r="M40" i="92"/>
  <c r="M30" i="90"/>
  <c r="L30" i="90"/>
  <c r="M70" i="81"/>
  <c r="B69" i="81"/>
  <c r="H251" i="79"/>
  <c r="J61" i="91"/>
  <c r="E61" i="91"/>
  <c r="K92" i="115"/>
  <c r="K123" i="111"/>
  <c r="F40" i="99"/>
  <c r="H239" i="93"/>
  <c r="D238" i="93"/>
  <c r="L236" i="93"/>
  <c r="H235" i="93"/>
  <c r="D234" i="93"/>
  <c r="H231" i="93"/>
  <c r="D230" i="93"/>
  <c r="H238" i="93"/>
  <c r="C237" i="93"/>
  <c r="J235" i="93"/>
  <c r="E234" i="93"/>
  <c r="K232" i="93"/>
  <c r="F231" i="93"/>
  <c r="M229" i="93"/>
  <c r="G238" i="93"/>
  <c r="B237" i="93"/>
  <c r="I235" i="93"/>
  <c r="C234" i="93"/>
  <c r="J232" i="93"/>
  <c r="L229" i="93"/>
  <c r="K239" i="93"/>
  <c r="F238" i="93"/>
  <c r="M236" i="93"/>
  <c r="G235" i="93"/>
  <c r="B234" i="93"/>
  <c r="I232" i="93"/>
  <c r="K229" i="93"/>
  <c r="J239" i="93"/>
  <c r="E238" i="93"/>
  <c r="K236" i="93"/>
  <c r="F235" i="93"/>
  <c r="M233" i="93"/>
  <c r="H232" i="93"/>
  <c r="C231" i="93"/>
  <c r="J229" i="93"/>
  <c r="I239" i="93"/>
  <c r="C238" i="93"/>
  <c r="J236" i="93"/>
  <c r="E235" i="93"/>
  <c r="L233" i="93"/>
  <c r="G232" i="93"/>
  <c r="B231" i="93"/>
  <c r="I229" i="93"/>
  <c r="I240" i="93"/>
  <c r="K237" i="93"/>
  <c r="F236" i="93"/>
  <c r="M234" i="93"/>
  <c r="H233" i="93"/>
  <c r="C232" i="93"/>
  <c r="J230" i="93"/>
  <c r="E229" i="93"/>
  <c r="F240" i="93"/>
  <c r="M237" i="93"/>
  <c r="M235" i="93"/>
  <c r="G233" i="93"/>
  <c r="G231" i="93"/>
  <c r="B229" i="93"/>
  <c r="L237" i="93"/>
  <c r="L235" i="93"/>
  <c r="F233" i="93"/>
  <c r="M230" i="93"/>
  <c r="J237" i="93"/>
  <c r="K235" i="93"/>
  <c r="E233" i="93"/>
  <c r="L230" i="93"/>
  <c r="C240" i="93"/>
  <c r="I237" i="93"/>
  <c r="D235" i="93"/>
  <c r="D233" i="93"/>
  <c r="K230" i="93"/>
  <c r="B240" i="93"/>
  <c r="H237" i="93"/>
  <c r="C235" i="93"/>
  <c r="C233" i="93"/>
  <c r="I230" i="93"/>
  <c r="C239" i="93"/>
  <c r="D237" i="93"/>
  <c r="J234" i="93"/>
  <c r="E230" i="93"/>
  <c r="B239" i="93"/>
  <c r="B236" i="93"/>
  <c r="M238" i="93"/>
  <c r="B235" i="93"/>
  <c r="L238" i="93"/>
  <c r="L234" i="93"/>
  <c r="K231" i="93"/>
  <c r="F223" i="93"/>
  <c r="K238" i="93"/>
  <c r="K234" i="93"/>
  <c r="J231" i="93"/>
  <c r="J238" i="93"/>
  <c r="I234" i="93"/>
  <c r="I231" i="93"/>
  <c r="G240" i="93"/>
  <c r="G236" i="93"/>
  <c r="F229" i="93"/>
  <c r="H236" i="93"/>
  <c r="F230" i="93"/>
  <c r="E236" i="93"/>
  <c r="C230" i="93"/>
  <c r="D236" i="93"/>
  <c r="B230" i="93"/>
  <c r="C236" i="93"/>
  <c r="H229" i="93"/>
  <c r="K240" i="93"/>
  <c r="H234" i="93"/>
  <c r="G229" i="93"/>
  <c r="J240" i="93"/>
  <c r="G234" i="93"/>
  <c r="D229" i="93"/>
  <c r="G239" i="93"/>
  <c r="B232" i="93"/>
  <c r="F239" i="93"/>
  <c r="H230" i="93"/>
  <c r="G230" i="93"/>
  <c r="I238" i="93"/>
  <c r="C229" i="93"/>
  <c r="B238" i="93"/>
  <c r="F234" i="93"/>
  <c r="H240" i="93"/>
  <c r="G237" i="93"/>
  <c r="F237" i="93"/>
  <c r="E237" i="93"/>
  <c r="I236" i="93"/>
  <c r="I233" i="93"/>
  <c r="B233" i="93"/>
  <c r="F232" i="93"/>
  <c r="K233" i="93"/>
  <c r="J233" i="93"/>
  <c r="I13" i="75"/>
  <c r="J13" i="75"/>
  <c r="L177" i="81"/>
  <c r="H144" i="71"/>
  <c r="F103" i="41"/>
  <c r="E112" i="41"/>
  <c r="B109" i="41"/>
  <c r="J115" i="41"/>
  <c r="C112" i="41"/>
  <c r="B108" i="41"/>
  <c r="I115" i="41"/>
  <c r="B112" i="41"/>
  <c r="D114" i="41"/>
  <c r="K110" i="41"/>
  <c r="I113" i="41"/>
  <c r="J111" i="41"/>
  <c r="H111" i="41"/>
  <c r="D110" i="41"/>
  <c r="C111" i="41"/>
  <c r="E110" i="41"/>
  <c r="F109" i="41"/>
  <c r="E109" i="41"/>
  <c r="H115" i="41"/>
  <c r="G115" i="41"/>
  <c r="H117" i="41"/>
  <c r="F115" i="41"/>
  <c r="C114" i="41"/>
  <c r="B114" i="41"/>
  <c r="H109" i="41"/>
  <c r="K109" i="41"/>
  <c r="D117" i="41"/>
  <c r="I116" i="41"/>
  <c r="E108" i="41"/>
  <c r="D115" i="41"/>
  <c r="J114" i="41"/>
  <c r="H113" i="41"/>
  <c r="H116" i="41"/>
  <c r="B110" i="41"/>
  <c r="C109" i="41"/>
  <c r="D116" i="41"/>
  <c r="J110" i="41"/>
  <c r="G110" i="41"/>
  <c r="D109" i="41"/>
  <c r="D113" i="41"/>
  <c r="H114" i="41"/>
  <c r="J108" i="41"/>
  <c r="G108" i="41"/>
  <c r="B113" i="41"/>
  <c r="C117" i="41"/>
  <c r="E117" i="41"/>
  <c r="D112" i="41"/>
  <c r="E113" i="41"/>
  <c r="D108" i="41"/>
  <c r="I110" i="41"/>
  <c r="F110" i="41"/>
  <c r="B116" i="41"/>
  <c r="I111" i="41"/>
  <c r="I117" i="41"/>
  <c r="I108" i="41"/>
  <c r="F108" i="41"/>
  <c r="G111" i="41"/>
  <c r="C108" i="41"/>
  <c r="D111" i="41"/>
  <c r="E115" i="41"/>
  <c r="I112" i="41"/>
  <c r="B117" i="41"/>
  <c r="K114" i="41"/>
  <c r="B115" i="41"/>
  <c r="C110" i="41"/>
  <c r="H112" i="41"/>
  <c r="E116" i="41"/>
  <c r="H108" i="41"/>
  <c r="I114" i="41"/>
  <c r="F111" i="41"/>
  <c r="J109" i="41"/>
  <c r="K115" i="41"/>
  <c r="C116" i="41"/>
  <c r="K108" i="41"/>
  <c r="G109" i="41"/>
  <c r="B111" i="41"/>
  <c r="C115" i="41"/>
  <c r="C113" i="41"/>
  <c r="G114" i="41"/>
  <c r="E111" i="41"/>
  <c r="I109" i="41"/>
  <c r="F114" i="41"/>
  <c r="K111" i="41"/>
  <c r="E114" i="41"/>
  <c r="K173" i="89"/>
  <c r="G169" i="89"/>
  <c r="F162" i="89"/>
  <c r="J173" i="89"/>
  <c r="F169" i="89"/>
  <c r="I173" i="89"/>
  <c r="H168" i="89"/>
  <c r="G173" i="89"/>
  <c r="E172" i="89"/>
  <c r="E167" i="89"/>
  <c r="D172" i="89"/>
  <c r="D167" i="89"/>
  <c r="C172" i="89"/>
  <c r="K171" i="89"/>
  <c r="F174" i="89"/>
  <c r="D174" i="89"/>
  <c r="J171" i="89"/>
  <c r="I170" i="89"/>
  <c r="I176" i="89"/>
  <c r="H176" i="89"/>
  <c r="D171" i="89"/>
  <c r="C171" i="89"/>
  <c r="J170" i="89"/>
  <c r="C169" i="89"/>
  <c r="I168" i="89"/>
  <c r="B171" i="89"/>
  <c r="C173" i="89"/>
  <c r="I175" i="89"/>
  <c r="F170" i="89"/>
  <c r="H173" i="89"/>
  <c r="H169" i="89"/>
  <c r="G171" i="89"/>
  <c r="C174" i="89"/>
  <c r="H167" i="89"/>
  <c r="B174" i="89"/>
  <c r="G176" i="89"/>
  <c r="K169" i="89"/>
  <c r="G172" i="89"/>
  <c r="K174" i="89"/>
  <c r="E168" i="89"/>
  <c r="K170" i="89"/>
  <c r="E175" i="89"/>
  <c r="I171" i="89"/>
  <c r="H174" i="89"/>
  <c r="I167" i="89"/>
  <c r="E170" i="89"/>
  <c r="J174" i="89"/>
  <c r="D168" i="89"/>
  <c r="D170" i="89"/>
  <c r="D176" i="89"/>
  <c r="G170" i="89"/>
  <c r="B173" i="89"/>
  <c r="F171" i="89"/>
  <c r="F175" i="89"/>
  <c r="J169" i="89"/>
  <c r="I172" i="89"/>
  <c r="F176" i="89"/>
  <c r="F167" i="89"/>
  <c r="I10" i="77"/>
  <c r="M28" i="76"/>
  <c r="L28" i="76"/>
  <c r="I10" i="63"/>
  <c r="J10" i="63" s="1"/>
  <c r="E126" i="93"/>
  <c r="F145" i="71"/>
  <c r="I6" i="133"/>
  <c r="J6" i="133" s="1"/>
  <c r="K12" i="119"/>
  <c r="F35" i="117"/>
  <c r="G46" i="117"/>
  <c r="L45" i="117"/>
  <c r="I45" i="117"/>
  <c r="K44" i="117"/>
  <c r="G43" i="117"/>
  <c r="E49" i="117"/>
  <c r="M42" i="117"/>
  <c r="E50" i="117"/>
  <c r="D50" i="117"/>
  <c r="C50" i="117"/>
  <c r="G50" i="117"/>
  <c r="D49" i="117"/>
  <c r="M49" i="117"/>
  <c r="G40" i="117"/>
  <c r="L42" i="117"/>
  <c r="M40" i="117"/>
  <c r="F49" i="117"/>
  <c r="F50" i="117"/>
  <c r="J46" i="117"/>
  <c r="M46" i="117"/>
  <c r="D47" i="117"/>
  <c r="G295" i="119"/>
  <c r="F295" i="119"/>
  <c r="I10" i="117"/>
  <c r="I91" i="115"/>
  <c r="D95" i="115"/>
  <c r="J43" i="117"/>
  <c r="K47" i="117"/>
  <c r="J41" i="117"/>
  <c r="I40" i="117"/>
  <c r="I9" i="115"/>
  <c r="H93" i="131"/>
  <c r="D92" i="131"/>
  <c r="L90" i="131"/>
  <c r="D88" i="131"/>
  <c r="L86" i="131"/>
  <c r="H85" i="131"/>
  <c r="D84" i="131"/>
  <c r="L82" i="131"/>
  <c r="B93" i="131"/>
  <c r="I91" i="131"/>
  <c r="D90" i="131"/>
  <c r="K88" i="131"/>
  <c r="M85" i="131"/>
  <c r="H84" i="131"/>
  <c r="C83" i="131"/>
  <c r="I93" i="131"/>
  <c r="B92" i="131"/>
  <c r="H90" i="131"/>
  <c r="B89" i="131"/>
  <c r="B86" i="131"/>
  <c r="G84" i="131"/>
  <c r="M82" i="131"/>
  <c r="G93" i="131"/>
  <c r="M91" i="131"/>
  <c r="G90" i="131"/>
  <c r="M88" i="131"/>
  <c r="L85" i="131"/>
  <c r="F84" i="131"/>
  <c r="K82" i="131"/>
  <c r="E93" i="131"/>
  <c r="K91" i="131"/>
  <c r="E90" i="131"/>
  <c r="J88" i="131"/>
  <c r="D87" i="131"/>
  <c r="J85" i="131"/>
  <c r="C84" i="131"/>
  <c r="I82" i="131"/>
  <c r="K92" i="131"/>
  <c r="E91" i="131"/>
  <c r="K89" i="131"/>
  <c r="E88" i="131"/>
  <c r="J86" i="131"/>
  <c r="D85" i="131"/>
  <c r="J83" i="131"/>
  <c r="D82" i="131"/>
  <c r="F76" i="131"/>
  <c r="J92" i="131"/>
  <c r="K90" i="131"/>
  <c r="K84" i="131"/>
  <c r="H82" i="131"/>
  <c r="G92" i="131"/>
  <c r="F90" i="131"/>
  <c r="E84" i="131"/>
  <c r="E82" i="131"/>
  <c r="F92" i="131"/>
  <c r="C90" i="131"/>
  <c r="C88" i="131"/>
  <c r="E86" i="131"/>
  <c r="B84" i="131"/>
  <c r="C82" i="131"/>
  <c r="L93" i="131"/>
  <c r="J91" i="131"/>
  <c r="J89" i="131"/>
  <c r="K87" i="131"/>
  <c r="I85" i="131"/>
  <c r="I83" i="131"/>
  <c r="J93" i="131"/>
  <c r="B91" i="131"/>
  <c r="B88" i="131"/>
  <c r="F85" i="131"/>
  <c r="B83" i="131"/>
  <c r="F93" i="131"/>
  <c r="M90" i="131"/>
  <c r="M87" i="131"/>
  <c r="E85" i="131"/>
  <c r="J82" i="131"/>
  <c r="D93" i="131"/>
  <c r="J90" i="131"/>
  <c r="L87" i="131"/>
  <c r="C85" i="131"/>
  <c r="G82" i="131"/>
  <c r="C93" i="131"/>
  <c r="I90" i="131"/>
  <c r="J87" i="131"/>
  <c r="B85" i="131"/>
  <c r="F82" i="131"/>
  <c r="M92" i="131"/>
  <c r="B90" i="131"/>
  <c r="M84" i="131"/>
  <c r="B82" i="131"/>
  <c r="C92" i="131"/>
  <c r="M83" i="131"/>
  <c r="L91" i="131"/>
  <c r="L83" i="131"/>
  <c r="H91" i="131"/>
  <c r="E87" i="131"/>
  <c r="K83" i="131"/>
  <c r="G91" i="131"/>
  <c r="C87" i="131"/>
  <c r="H83" i="131"/>
  <c r="F91" i="131"/>
  <c r="B87" i="131"/>
  <c r="G83" i="131"/>
  <c r="L89" i="131"/>
  <c r="D91" i="131"/>
  <c r="G85" i="131"/>
  <c r="C91" i="131"/>
  <c r="L84" i="131"/>
  <c r="M89" i="131"/>
  <c r="J84" i="131"/>
  <c r="I84" i="131"/>
  <c r="E83" i="131"/>
  <c r="L92" i="131"/>
  <c r="D83" i="131"/>
  <c r="I92" i="131"/>
  <c r="H92" i="131"/>
  <c r="E92" i="131"/>
  <c r="E89" i="131"/>
  <c r="F83" i="131"/>
  <c r="M93" i="131"/>
  <c r="C89" i="131"/>
  <c r="D86" i="131"/>
  <c r="K85" i="131"/>
  <c r="K93" i="131"/>
  <c r="D89" i="131"/>
  <c r="L88" i="131"/>
  <c r="M86" i="131"/>
  <c r="K86" i="131"/>
  <c r="C86" i="131"/>
  <c r="M34" i="110"/>
  <c r="L34" i="110"/>
  <c r="F252" i="111"/>
  <c r="E363" i="115"/>
  <c r="N12" i="115"/>
  <c r="A340" i="115" s="1"/>
  <c r="J12" i="115"/>
  <c r="H93" i="99"/>
  <c r="M91" i="99"/>
  <c r="D90" i="99"/>
  <c r="M86" i="99"/>
  <c r="F85" i="99"/>
  <c r="K83" i="99"/>
  <c r="B82" i="99"/>
  <c r="F93" i="99"/>
  <c r="B90" i="99"/>
  <c r="F88" i="99"/>
  <c r="K86" i="99"/>
  <c r="D85" i="99"/>
  <c r="G83" i="99"/>
  <c r="L93" i="99"/>
  <c r="B91" i="99"/>
  <c r="L85" i="99"/>
  <c r="B83" i="99"/>
  <c r="K93" i="99"/>
  <c r="M90" i="99"/>
  <c r="C88" i="99"/>
  <c r="K85" i="99"/>
  <c r="M82" i="99"/>
  <c r="J93" i="99"/>
  <c r="L90" i="99"/>
  <c r="B88" i="99"/>
  <c r="J85" i="99"/>
  <c r="L82" i="99"/>
  <c r="C93" i="99"/>
  <c r="M87" i="99"/>
  <c r="I85" i="99"/>
  <c r="K82" i="99"/>
  <c r="L92" i="99"/>
  <c r="L87" i="99"/>
  <c r="H85" i="99"/>
  <c r="J82" i="99"/>
  <c r="G92" i="99"/>
  <c r="F87" i="99"/>
  <c r="G84" i="99"/>
  <c r="D82" i="99"/>
  <c r="D91" i="99"/>
  <c r="C87" i="99"/>
  <c r="I82" i="99"/>
  <c r="C91" i="99"/>
  <c r="H86" i="99"/>
  <c r="H82" i="99"/>
  <c r="G86" i="99"/>
  <c r="G82" i="99"/>
  <c r="D86" i="99"/>
  <c r="C86" i="99"/>
  <c r="K92" i="99"/>
  <c r="E89" i="99"/>
  <c r="H84" i="99"/>
  <c r="F77" i="99"/>
  <c r="H92" i="99"/>
  <c r="B86" i="99"/>
  <c r="F92" i="99"/>
  <c r="K84" i="99"/>
  <c r="E92" i="99"/>
  <c r="J84" i="99"/>
  <c r="D92" i="99"/>
  <c r="F84" i="99"/>
  <c r="C92" i="99"/>
  <c r="E84" i="99"/>
  <c r="K87" i="99"/>
  <c r="G89" i="99"/>
  <c r="F89" i="99"/>
  <c r="D89" i="99"/>
  <c r="C89" i="99"/>
  <c r="L88" i="99"/>
  <c r="H87" i="99"/>
  <c r="J92" i="99"/>
  <c r="F91" i="99"/>
  <c r="G87" i="99"/>
  <c r="M83" i="99"/>
  <c r="C84" i="99"/>
  <c r="B84" i="99"/>
  <c r="C83" i="99"/>
  <c r="D87" i="99"/>
  <c r="D84" i="99"/>
  <c r="B85" i="99"/>
  <c r="J86" i="99"/>
  <c r="J83" i="99"/>
  <c r="E87" i="99"/>
  <c r="E88" i="99"/>
  <c r="G90" i="99"/>
  <c r="F82" i="99"/>
  <c r="M85" i="99"/>
  <c r="L89" i="99"/>
  <c r="B92" i="99"/>
  <c r="E91" i="99"/>
  <c r="F90" i="99"/>
  <c r="M89" i="99"/>
  <c r="B89" i="99"/>
  <c r="I84" i="99"/>
  <c r="F86" i="99"/>
  <c r="D83" i="99"/>
  <c r="H83" i="99"/>
  <c r="I87" i="99"/>
  <c r="G91" i="99"/>
  <c r="L91" i="99"/>
  <c r="L83" i="99"/>
  <c r="E220" i="113"/>
  <c r="C220" i="113"/>
  <c r="B24" i="113"/>
  <c r="C24" i="113"/>
  <c r="J9" i="105"/>
  <c r="I9" i="105"/>
  <c r="H12" i="107"/>
  <c r="I12" i="93"/>
  <c r="M30" i="88"/>
  <c r="L30" i="88"/>
  <c r="F290" i="83"/>
  <c r="P307" i="83"/>
  <c r="D304" i="83"/>
  <c r="B300" i="83"/>
  <c r="M295" i="83"/>
  <c r="M307" i="83"/>
  <c r="D303" i="83"/>
  <c r="P299" i="83"/>
  <c r="L295" i="83"/>
  <c r="C303" i="83"/>
  <c r="M299" i="83"/>
  <c r="E295" i="83"/>
  <c r="E307" i="83"/>
  <c r="P302" i="83"/>
  <c r="L299" i="83"/>
  <c r="D295" i="83"/>
  <c r="D307" i="83"/>
  <c r="M302" i="83"/>
  <c r="E299" i="83"/>
  <c r="C295" i="83"/>
  <c r="M309" i="83"/>
  <c r="G305" i="83"/>
  <c r="M301" i="83"/>
  <c r="I297" i="83"/>
  <c r="H305" i="83"/>
  <c r="D300" i="83"/>
  <c r="F305" i="83"/>
  <c r="H298" i="83"/>
  <c r="E305" i="83"/>
  <c r="D305" i="83"/>
  <c r="P297" i="83"/>
  <c r="I304" i="83"/>
  <c r="L297" i="83"/>
  <c r="H304" i="83"/>
  <c r="H297" i="83"/>
  <c r="G304" i="83"/>
  <c r="M294" i="83"/>
  <c r="K302" i="83"/>
  <c r="L294" i="83"/>
  <c r="I302" i="83"/>
  <c r="K294" i="83"/>
  <c r="H302" i="83"/>
  <c r="P301" i="83"/>
  <c r="K309" i="83"/>
  <c r="G300" i="83"/>
  <c r="I300" i="83"/>
  <c r="E300" i="83"/>
  <c r="G297" i="83"/>
  <c r="F297" i="83"/>
  <c r="E297" i="83"/>
  <c r="E308" i="83"/>
  <c r="D308" i="83"/>
  <c r="C308" i="83"/>
  <c r="M306" i="83"/>
  <c r="L306" i="83"/>
  <c r="I305" i="83"/>
  <c r="B296" i="83"/>
  <c r="P294" i="83"/>
  <c r="I309" i="83"/>
  <c r="L301" i="83"/>
  <c r="C301" i="83"/>
  <c r="D297" i="83"/>
  <c r="L309" i="83"/>
  <c r="P308" i="83"/>
  <c r="C305" i="83"/>
  <c r="E303" i="83"/>
  <c r="K308" i="83"/>
  <c r="P298" i="83"/>
  <c r="K297" i="83"/>
  <c r="L296" i="83"/>
  <c r="Q306" i="83"/>
  <c r="J306" i="83"/>
  <c r="H299" i="83"/>
  <c r="I295" i="83"/>
  <c r="F294" i="83"/>
  <c r="I306" i="83"/>
  <c r="G301" i="83"/>
  <c r="B299" i="83"/>
  <c r="B294" i="83"/>
  <c r="C298" i="83"/>
  <c r="Q305" i="83"/>
  <c r="O305" i="83"/>
  <c r="N305" i="83"/>
  <c r="J305" i="83"/>
  <c r="M300" i="83"/>
  <c r="P296" i="83"/>
  <c r="K295" i="83"/>
  <c r="E304" i="83"/>
  <c r="D296" i="83"/>
  <c r="P303" i="83"/>
  <c r="F300" i="83"/>
  <c r="F295" i="83"/>
  <c r="Q304" i="83"/>
  <c r="O304" i="83"/>
  <c r="N304" i="83"/>
  <c r="J304" i="83"/>
  <c r="D302" i="83"/>
  <c r="E298" i="83"/>
  <c r="B297" i="83"/>
  <c r="G302" i="83"/>
  <c r="L298" i="83"/>
  <c r="K301" i="83"/>
  <c r="K296" i="83"/>
  <c r="L300" i="83"/>
  <c r="Q303" i="83"/>
  <c r="O303" i="83"/>
  <c r="N303" i="83"/>
  <c r="J303" i="83"/>
  <c r="H303" i="83"/>
  <c r="I299" i="83"/>
  <c r="M297" i="83"/>
  <c r="L303" i="83"/>
  <c r="C297" i="83"/>
  <c r="F304" i="83"/>
  <c r="H309" i="83"/>
  <c r="D301" i="83"/>
  <c r="M303" i="83"/>
  <c r="I296" i="83"/>
  <c r="K306" i="83"/>
  <c r="P306" i="83"/>
  <c r="L305" i="83"/>
  <c r="G308" i="83"/>
  <c r="H306" i="83"/>
  <c r="C306" i="83"/>
  <c r="Q309" i="83"/>
  <c r="O301" i="83"/>
  <c r="N297" i="83"/>
  <c r="D306" i="83"/>
  <c r="L302" i="83"/>
  <c r="H296" i="83"/>
  <c r="F309" i="83"/>
  <c r="H307" i="83"/>
  <c r="Q308" i="83"/>
  <c r="O300" i="83"/>
  <c r="N296" i="83"/>
  <c r="I307" i="83"/>
  <c r="H300" i="83"/>
  <c r="L308" i="83"/>
  <c r="Q307" i="83"/>
  <c r="N295" i="83"/>
  <c r="C309" i="83"/>
  <c r="E294" i="83"/>
  <c r="I298" i="83"/>
  <c r="B295" i="83"/>
  <c r="Q302" i="83"/>
  <c r="N294" i="83"/>
  <c r="E296" i="83"/>
  <c r="F296" i="83"/>
  <c r="Q301" i="83"/>
  <c r="O297" i="83"/>
  <c r="J309" i="83"/>
  <c r="E302" i="83"/>
  <c r="K298" i="83"/>
  <c r="M298" i="83"/>
  <c r="I301" i="83"/>
  <c r="P309" i="83"/>
  <c r="B302" i="83"/>
  <c r="Q296" i="83"/>
  <c r="N308" i="83"/>
  <c r="J300" i="83"/>
  <c r="D309" i="83"/>
  <c r="B305" i="83"/>
  <c r="P317" i="117"/>
  <c r="G301" i="117"/>
  <c r="F301" i="117"/>
  <c r="K36" i="96"/>
  <c r="K38" i="96"/>
  <c r="F172" i="89"/>
  <c r="E176" i="89"/>
  <c r="K6" i="91"/>
  <c r="M32" i="94"/>
  <c r="L32" i="94"/>
  <c r="M40" i="90"/>
  <c r="L40" i="90"/>
  <c r="P295" i="83"/>
  <c r="L84" i="81"/>
  <c r="B82" i="81"/>
  <c r="H60" i="91"/>
  <c r="I64" i="91"/>
  <c r="M34" i="90"/>
  <c r="L34" i="90"/>
  <c r="B91" i="115"/>
  <c r="I14" i="71"/>
  <c r="J14" i="71" s="1"/>
  <c r="C122" i="111"/>
  <c r="R350" i="79"/>
  <c r="G332" i="79"/>
  <c r="F332" i="79"/>
  <c r="I170" i="81"/>
  <c r="Q181" i="81"/>
  <c r="K135" i="93"/>
  <c r="L37" i="134"/>
  <c r="M37" i="134"/>
  <c r="M177" i="141"/>
  <c r="I176" i="141"/>
  <c r="E175" i="141"/>
  <c r="M173" i="141"/>
  <c r="I172" i="141"/>
  <c r="M169" i="141"/>
  <c r="I168" i="141"/>
  <c r="E167" i="141"/>
  <c r="G177" i="141"/>
  <c r="B176" i="141"/>
  <c r="I174" i="141"/>
  <c r="D173" i="141"/>
  <c r="K171" i="141"/>
  <c r="M168" i="141"/>
  <c r="H167" i="141"/>
  <c r="C166" i="141"/>
  <c r="F160" i="141"/>
  <c r="M176" i="141"/>
  <c r="G175" i="141"/>
  <c r="L173" i="141"/>
  <c r="F172" i="141"/>
  <c r="L170" i="141"/>
  <c r="L167" i="141"/>
  <c r="F166" i="141"/>
  <c r="J176" i="141"/>
  <c r="B175" i="141"/>
  <c r="G173" i="141"/>
  <c r="L171" i="141"/>
  <c r="H168" i="141"/>
  <c r="M166" i="141"/>
  <c r="G176" i="141"/>
  <c r="L174" i="141"/>
  <c r="E173" i="141"/>
  <c r="I171" i="141"/>
  <c r="B170" i="141"/>
  <c r="K166" i="141"/>
  <c r="K177" i="141"/>
  <c r="D176" i="141"/>
  <c r="H174" i="141"/>
  <c r="M172" i="141"/>
  <c r="J169" i="141"/>
  <c r="C168" i="141"/>
  <c r="H166" i="141"/>
  <c r="C176" i="141"/>
  <c r="D174" i="141"/>
  <c r="D172" i="141"/>
  <c r="D166" i="141"/>
  <c r="D177" i="141"/>
  <c r="C175" i="141"/>
  <c r="L172" i="141"/>
  <c r="K170" i="141"/>
  <c r="K168" i="141"/>
  <c r="I166" i="141"/>
  <c r="H177" i="141"/>
  <c r="F175" i="141"/>
  <c r="B173" i="141"/>
  <c r="J170" i="141"/>
  <c r="B166" i="141"/>
  <c r="F177" i="141"/>
  <c r="E177" i="141"/>
  <c r="M174" i="141"/>
  <c r="J172" i="141"/>
  <c r="H170" i="141"/>
  <c r="B168" i="141"/>
  <c r="B177" i="141"/>
  <c r="J174" i="141"/>
  <c r="G172" i="141"/>
  <c r="C170" i="141"/>
  <c r="K167" i="141"/>
  <c r="L176" i="141"/>
  <c r="G174" i="141"/>
  <c r="E172" i="141"/>
  <c r="L169" i="141"/>
  <c r="J167" i="141"/>
  <c r="K176" i="141"/>
  <c r="K173" i="141"/>
  <c r="B171" i="141"/>
  <c r="I167" i="141"/>
  <c r="L177" i="141"/>
  <c r="E174" i="141"/>
  <c r="M167" i="141"/>
  <c r="L175" i="141"/>
  <c r="K172" i="141"/>
  <c r="G166" i="141"/>
  <c r="J175" i="141"/>
  <c r="M171" i="141"/>
  <c r="J168" i="141"/>
  <c r="J177" i="141"/>
  <c r="J173" i="141"/>
  <c r="K169" i="141"/>
  <c r="J166" i="141"/>
  <c r="M175" i="141"/>
  <c r="J171" i="141"/>
  <c r="F167" i="141"/>
  <c r="K175" i="141"/>
  <c r="H171" i="141"/>
  <c r="D167" i="141"/>
  <c r="I175" i="141"/>
  <c r="C167" i="141"/>
  <c r="H175" i="141"/>
  <c r="C171" i="141"/>
  <c r="B167" i="141"/>
  <c r="D175" i="141"/>
  <c r="M170" i="141"/>
  <c r="L166" i="141"/>
  <c r="B174" i="141"/>
  <c r="H169" i="141"/>
  <c r="C173" i="141"/>
  <c r="H172" i="141"/>
  <c r="C172" i="141"/>
  <c r="B172" i="141"/>
  <c r="I170" i="141"/>
  <c r="F176" i="141"/>
  <c r="C169" i="141"/>
  <c r="B169" i="141"/>
  <c r="L168" i="141"/>
  <c r="I177" i="141"/>
  <c r="K174" i="141"/>
  <c r="I173" i="141"/>
  <c r="H173" i="141"/>
  <c r="F173" i="141"/>
  <c r="I169" i="141"/>
  <c r="C177" i="141"/>
  <c r="C174" i="141"/>
  <c r="G167" i="141"/>
  <c r="E166" i="141"/>
  <c r="F174" i="141"/>
  <c r="H176" i="141"/>
  <c r="E176" i="141"/>
  <c r="L31" i="132"/>
  <c r="M31" i="132"/>
  <c r="M36" i="136"/>
  <c r="L36" i="136"/>
  <c r="I12" i="133"/>
  <c r="K12" i="133" s="1"/>
  <c r="K16" i="135"/>
  <c r="F297" i="131"/>
  <c r="G297" i="131"/>
  <c r="M199" i="123"/>
  <c r="I198" i="123"/>
  <c r="E197" i="123"/>
  <c r="M195" i="123"/>
  <c r="I194" i="123"/>
  <c r="E193" i="123"/>
  <c r="M191" i="123"/>
  <c r="I190" i="123"/>
  <c r="E189" i="123"/>
  <c r="L199" i="123"/>
  <c r="H198" i="123"/>
  <c r="D197" i="123"/>
  <c r="L195" i="123"/>
  <c r="H194" i="123"/>
  <c r="D193" i="123"/>
  <c r="L191" i="123"/>
  <c r="H190" i="123"/>
  <c r="D189" i="123"/>
  <c r="M200" i="123"/>
  <c r="I199" i="123"/>
  <c r="E198" i="123"/>
  <c r="M196" i="123"/>
  <c r="I195" i="123"/>
  <c r="E194" i="123"/>
  <c r="M192" i="123"/>
  <c r="I191" i="123"/>
  <c r="E190" i="123"/>
  <c r="G200" i="123"/>
  <c r="L198" i="123"/>
  <c r="G195" i="123"/>
  <c r="L193" i="123"/>
  <c r="E192" i="123"/>
  <c r="F200" i="123"/>
  <c r="F195" i="123"/>
  <c r="K193" i="123"/>
  <c r="D192" i="123"/>
  <c r="G190" i="123"/>
  <c r="E200" i="123"/>
  <c r="L196" i="123"/>
  <c r="E195" i="123"/>
  <c r="J193" i="123"/>
  <c r="C192" i="123"/>
  <c r="F190" i="123"/>
  <c r="D200" i="123"/>
  <c r="G198" i="123"/>
  <c r="K196" i="123"/>
  <c r="D195" i="123"/>
  <c r="I193" i="123"/>
  <c r="B192" i="123"/>
  <c r="D190" i="123"/>
  <c r="C200" i="123"/>
  <c r="F198" i="123"/>
  <c r="J196" i="123"/>
  <c r="C195" i="123"/>
  <c r="H193" i="123"/>
  <c r="K191" i="123"/>
  <c r="H199" i="123"/>
  <c r="M197" i="123"/>
  <c r="F196" i="123"/>
  <c r="K194" i="123"/>
  <c r="B193" i="123"/>
  <c r="F191" i="123"/>
  <c r="E199" i="123"/>
  <c r="H196" i="123"/>
  <c r="C194" i="123"/>
  <c r="E191" i="123"/>
  <c r="D199" i="123"/>
  <c r="G196" i="123"/>
  <c r="B194" i="123"/>
  <c r="D191" i="123"/>
  <c r="C199" i="123"/>
  <c r="E196" i="123"/>
  <c r="M193" i="123"/>
  <c r="C191" i="123"/>
  <c r="B199" i="123"/>
  <c r="D196" i="123"/>
  <c r="G193" i="123"/>
  <c r="B191" i="123"/>
  <c r="D198" i="123"/>
  <c r="B196" i="123"/>
  <c r="C193" i="123"/>
  <c r="L190" i="123"/>
  <c r="K199" i="123"/>
  <c r="K195" i="123"/>
  <c r="G192" i="123"/>
  <c r="J199" i="123"/>
  <c r="J195" i="123"/>
  <c r="F192" i="123"/>
  <c r="G199" i="123"/>
  <c r="H195" i="123"/>
  <c r="J191" i="123"/>
  <c r="F183" i="123"/>
  <c r="F199" i="123"/>
  <c r="B195" i="123"/>
  <c r="H191" i="123"/>
  <c r="L194" i="123"/>
  <c r="M190" i="123"/>
  <c r="I197" i="123"/>
  <c r="H192" i="123"/>
  <c r="H197" i="123"/>
  <c r="G191" i="123"/>
  <c r="G197" i="123"/>
  <c r="F197" i="123"/>
  <c r="I196" i="123"/>
  <c r="M189" i="123"/>
  <c r="I200" i="123"/>
  <c r="G194" i="123"/>
  <c r="H189" i="123"/>
  <c r="F189" i="123"/>
  <c r="M194" i="123"/>
  <c r="J194" i="123"/>
  <c r="L197" i="123"/>
  <c r="F194" i="123"/>
  <c r="D194" i="123"/>
  <c r="F193" i="123"/>
  <c r="L192" i="123"/>
  <c r="K192" i="123"/>
  <c r="H200" i="123"/>
  <c r="B200" i="123"/>
  <c r="M198" i="123"/>
  <c r="C196" i="123"/>
  <c r="J192" i="123"/>
  <c r="I192" i="123"/>
  <c r="L189" i="123"/>
  <c r="G189" i="123"/>
  <c r="L200" i="123"/>
  <c r="K200" i="123"/>
  <c r="J200" i="123"/>
  <c r="I189" i="123"/>
  <c r="K28" i="122"/>
  <c r="G318" i="123"/>
  <c r="F318" i="123"/>
  <c r="G322" i="123"/>
  <c r="F249" i="121"/>
  <c r="C256" i="121"/>
  <c r="C254" i="121"/>
  <c r="B254" i="121"/>
  <c r="M253" i="121"/>
  <c r="K253" i="121"/>
  <c r="J253" i="121"/>
  <c r="I253" i="121"/>
  <c r="K262" i="121"/>
  <c r="J262" i="121"/>
  <c r="L262" i="121"/>
  <c r="C255" i="121"/>
  <c r="B263" i="121"/>
  <c r="B260" i="121"/>
  <c r="E260" i="121"/>
  <c r="F141" i="129"/>
  <c r="D153" i="129"/>
  <c r="C149" i="129"/>
  <c r="C153" i="129"/>
  <c r="B149" i="129"/>
  <c r="D152" i="129"/>
  <c r="J148" i="129"/>
  <c r="H148" i="129"/>
  <c r="J153" i="129"/>
  <c r="K146" i="129"/>
  <c r="I153" i="129"/>
  <c r="J146" i="129"/>
  <c r="H153" i="129"/>
  <c r="I146" i="129"/>
  <c r="I151" i="129"/>
  <c r="G146" i="129"/>
  <c r="C146" i="129"/>
  <c r="C151" i="129"/>
  <c r="H150" i="129"/>
  <c r="F149" i="129"/>
  <c r="F148" i="129"/>
  <c r="E148" i="129"/>
  <c r="B148" i="129"/>
  <c r="F146" i="129"/>
  <c r="B146" i="129"/>
  <c r="H155" i="129"/>
  <c r="I154" i="129"/>
  <c r="H154" i="129"/>
  <c r="D154" i="129"/>
  <c r="C154" i="129"/>
  <c r="H151" i="129"/>
  <c r="I155" i="129"/>
  <c r="D151" i="129"/>
  <c r="G149" i="129"/>
  <c r="H255" i="121"/>
  <c r="B253" i="121"/>
  <c r="G262" i="121"/>
  <c r="G38" i="129"/>
  <c r="G165" i="129" s="1"/>
  <c r="H204" i="129" s="1"/>
  <c r="J40" i="129"/>
  <c r="K7" i="123"/>
  <c r="G299" i="119"/>
  <c r="E523" i="121"/>
  <c r="K17" i="121"/>
  <c r="G253" i="121"/>
  <c r="K174" i="119"/>
  <c r="B252" i="119"/>
  <c r="K260" i="119"/>
  <c r="B91" i="121"/>
  <c r="B88" i="121"/>
  <c r="C89" i="121"/>
  <c r="K85" i="121"/>
  <c r="B90" i="121"/>
  <c r="H84" i="121"/>
  <c r="D94" i="121"/>
  <c r="I14" i="121"/>
  <c r="K14" i="121" s="1"/>
  <c r="J14" i="121"/>
  <c r="I166" i="119"/>
  <c r="M167" i="119"/>
  <c r="H169" i="119"/>
  <c r="I175" i="119"/>
  <c r="C173" i="119"/>
  <c r="E171" i="119"/>
  <c r="C239" i="119"/>
  <c r="H233" i="119"/>
  <c r="E230" i="119"/>
  <c r="C231" i="119"/>
  <c r="F236" i="119"/>
  <c r="I229" i="119"/>
  <c r="I240" i="119"/>
  <c r="C96" i="115"/>
  <c r="J96" i="115"/>
  <c r="D157" i="115"/>
  <c r="I152" i="115"/>
  <c r="D156" i="115"/>
  <c r="G47" i="117"/>
  <c r="C45" i="117"/>
  <c r="F43" i="117"/>
  <c r="G49" i="117"/>
  <c r="J42" i="117"/>
  <c r="M41" i="117"/>
  <c r="F115" i="111"/>
  <c r="C123" i="111"/>
  <c r="L130" i="111"/>
  <c r="M120" i="111"/>
  <c r="F129" i="111"/>
  <c r="F125" i="111"/>
  <c r="J127" i="111"/>
  <c r="L131" i="111"/>
  <c r="G122" i="111"/>
  <c r="M124" i="111"/>
  <c r="L126" i="111"/>
  <c r="E129" i="111"/>
  <c r="G128" i="111"/>
  <c r="J123" i="111"/>
  <c r="B131" i="111"/>
  <c r="D130" i="111"/>
  <c r="B123" i="111"/>
  <c r="J129" i="111"/>
  <c r="G120" i="111"/>
  <c r="G129" i="111"/>
  <c r="E121" i="111"/>
  <c r="I129" i="111"/>
  <c r="I125" i="111"/>
  <c r="E130" i="111"/>
  <c r="J128" i="111"/>
  <c r="B128" i="111"/>
  <c r="L129" i="111"/>
  <c r="C128" i="111"/>
  <c r="M125" i="111"/>
  <c r="G127" i="111"/>
  <c r="D127" i="111"/>
  <c r="B130" i="111"/>
  <c r="F123" i="111"/>
  <c r="B125" i="111"/>
  <c r="K126" i="111"/>
  <c r="F124" i="111"/>
  <c r="J125" i="111"/>
  <c r="D125" i="111"/>
  <c r="E124" i="111"/>
  <c r="F128" i="111"/>
  <c r="K124" i="111"/>
  <c r="G125" i="111"/>
  <c r="H122" i="111"/>
  <c r="M121" i="111"/>
  <c r="G123" i="111"/>
  <c r="E123" i="111"/>
  <c r="G131" i="111"/>
  <c r="C124" i="111"/>
  <c r="K131" i="111"/>
  <c r="D120" i="111"/>
  <c r="J121" i="111"/>
  <c r="M129" i="111"/>
  <c r="L127" i="111"/>
  <c r="J131" i="111"/>
  <c r="G121" i="111"/>
  <c r="D129" i="111"/>
  <c r="G126" i="111"/>
  <c r="B124" i="111"/>
  <c r="J122" i="111"/>
  <c r="H131" i="111"/>
  <c r="M131" i="111"/>
  <c r="L124" i="111"/>
  <c r="F127" i="111"/>
  <c r="J124" i="111"/>
  <c r="K120" i="111"/>
  <c r="F122" i="111"/>
  <c r="F126" i="111"/>
  <c r="H129" i="111"/>
  <c r="F131" i="111"/>
  <c r="F130" i="111"/>
  <c r="F120" i="111"/>
  <c r="E128" i="111"/>
  <c r="D126" i="111"/>
  <c r="D128" i="111"/>
  <c r="E125" i="111"/>
  <c r="C131" i="111"/>
  <c r="H124" i="111"/>
  <c r="G130" i="111"/>
  <c r="D122" i="111"/>
  <c r="E120" i="111"/>
  <c r="L125" i="111"/>
  <c r="K130" i="111"/>
  <c r="E131" i="111"/>
  <c r="C125" i="111"/>
  <c r="K122" i="111"/>
  <c r="D131" i="111"/>
  <c r="M126" i="111"/>
  <c r="I131" i="111"/>
  <c r="I130" i="111"/>
  <c r="I123" i="111"/>
  <c r="K128" i="111"/>
  <c r="H130" i="111"/>
  <c r="M127" i="111"/>
  <c r="L121" i="111"/>
  <c r="E126" i="111"/>
  <c r="M123" i="111"/>
  <c r="B129" i="111"/>
  <c r="K127" i="111"/>
  <c r="J130" i="111"/>
  <c r="C129" i="111"/>
  <c r="K121" i="111"/>
  <c r="L123" i="111"/>
  <c r="M128" i="111"/>
  <c r="I128" i="111"/>
  <c r="D123" i="111"/>
  <c r="M122" i="111"/>
  <c r="L128" i="111"/>
  <c r="F121" i="111"/>
  <c r="L120" i="111"/>
  <c r="E122" i="111"/>
  <c r="J7" i="115"/>
  <c r="I7" i="115"/>
  <c r="I8" i="109"/>
  <c r="J8" i="109" s="1"/>
  <c r="D83" i="111"/>
  <c r="E85" i="111"/>
  <c r="J88" i="111"/>
  <c r="I12" i="111"/>
  <c r="K12" i="111"/>
  <c r="C95" i="107"/>
  <c r="I14" i="97"/>
  <c r="J14" i="97" s="1"/>
  <c r="M93" i="99"/>
  <c r="M39" i="98"/>
  <c r="L39" i="98"/>
  <c r="I7" i="105"/>
  <c r="J7" i="105" s="1"/>
  <c r="D82" i="111"/>
  <c r="N301" i="83"/>
  <c r="Q300" i="83"/>
  <c r="C44" i="101"/>
  <c r="B44" i="101"/>
  <c r="C41" i="101"/>
  <c r="E39" i="101"/>
  <c r="F33" i="101"/>
  <c r="D39" i="101"/>
  <c r="B43" i="101"/>
  <c r="B39" i="101"/>
  <c r="C42" i="101"/>
  <c r="B42" i="101"/>
  <c r="C39" i="101"/>
  <c r="G40" i="101"/>
  <c r="F40" i="101"/>
  <c r="E40" i="101"/>
  <c r="D40" i="101"/>
  <c r="C40" i="101"/>
  <c r="B40" i="101"/>
  <c r="C43" i="101"/>
  <c r="B41" i="101"/>
  <c r="G39" i="101"/>
  <c r="F39" i="101"/>
  <c r="I8" i="89"/>
  <c r="J8" i="89" s="1"/>
  <c r="B298" i="83"/>
  <c r="C98" i="107"/>
  <c r="F124" i="89"/>
  <c r="C138" i="89"/>
  <c r="C133" i="89"/>
  <c r="C135" i="89"/>
  <c r="B135" i="89"/>
  <c r="K134" i="89"/>
  <c r="J134" i="89"/>
  <c r="I134" i="89"/>
  <c r="D130" i="89"/>
  <c r="C137" i="89"/>
  <c r="B137" i="89"/>
  <c r="F135" i="89"/>
  <c r="G133" i="89"/>
  <c r="I130" i="89"/>
  <c r="H130" i="89"/>
  <c r="J129" i="89"/>
  <c r="D129" i="89"/>
  <c r="H138" i="89"/>
  <c r="E130" i="89"/>
  <c r="C130" i="89"/>
  <c r="B130" i="89"/>
  <c r="K129" i="89"/>
  <c r="I135" i="89"/>
  <c r="B134" i="89"/>
  <c r="D133" i="89"/>
  <c r="H129" i="89"/>
  <c r="C134" i="89"/>
  <c r="I131" i="89"/>
  <c r="F130" i="89"/>
  <c r="F133" i="89"/>
  <c r="G137" i="89"/>
  <c r="G132" i="89"/>
  <c r="B129" i="89"/>
  <c r="E136" i="89"/>
  <c r="E133" i="89"/>
  <c r="F138" i="89"/>
  <c r="K135" i="89"/>
  <c r="K130" i="89"/>
  <c r="H136" i="89"/>
  <c r="I132" i="89"/>
  <c r="G138" i="89"/>
  <c r="H131" i="89"/>
  <c r="B138" i="89"/>
  <c r="J135" i="89"/>
  <c r="C132" i="89"/>
  <c r="G131" i="89"/>
  <c r="J130" i="89"/>
  <c r="D134" i="89"/>
  <c r="G130" i="89"/>
  <c r="I138" i="89"/>
  <c r="F132" i="89"/>
  <c r="I129" i="89"/>
  <c r="E135" i="89"/>
  <c r="D136" i="89"/>
  <c r="H137" i="89"/>
  <c r="I133" i="89"/>
  <c r="H135" i="89"/>
  <c r="B136" i="89"/>
  <c r="J136" i="89"/>
  <c r="B132" i="89"/>
  <c r="F134" i="89"/>
  <c r="H134" i="89"/>
  <c r="D135" i="89"/>
  <c r="B133" i="89"/>
  <c r="H132" i="89"/>
  <c r="G136" i="89"/>
  <c r="D175" i="89"/>
  <c r="F168" i="89"/>
  <c r="G212" i="89"/>
  <c r="N226" i="89"/>
  <c r="F212" i="89"/>
  <c r="J7" i="85"/>
  <c r="I7" i="85"/>
  <c r="C121" i="107"/>
  <c r="H133" i="89"/>
  <c r="E134" i="89"/>
  <c r="M305" i="83"/>
  <c r="C300" i="83"/>
  <c r="P71" i="81"/>
  <c r="B83" i="81"/>
  <c r="H259" i="79"/>
  <c r="B257" i="79"/>
  <c r="L253" i="79"/>
  <c r="M250" i="79"/>
  <c r="B248" i="79"/>
  <c r="N257" i="79"/>
  <c r="G254" i="79"/>
  <c r="L250" i="79"/>
  <c r="M257" i="79"/>
  <c r="F254" i="79"/>
  <c r="F250" i="79"/>
  <c r="L257" i="79"/>
  <c r="D254" i="79"/>
  <c r="E250" i="79"/>
  <c r="K257" i="79"/>
  <c r="K253" i="79"/>
  <c r="D250" i="79"/>
  <c r="J257" i="79"/>
  <c r="J253" i="79"/>
  <c r="B250" i="79"/>
  <c r="C257" i="79"/>
  <c r="H253" i="79"/>
  <c r="O249" i="79"/>
  <c r="H256" i="79"/>
  <c r="B252" i="79"/>
  <c r="B256" i="79"/>
  <c r="F242" i="79"/>
  <c r="O255" i="79"/>
  <c r="N255" i="79"/>
  <c r="N250" i="79"/>
  <c r="L255" i="79"/>
  <c r="M249" i="79"/>
  <c r="G255" i="79"/>
  <c r="K248" i="79"/>
  <c r="N248" i="79"/>
  <c r="D259" i="79"/>
  <c r="M248" i="79"/>
  <c r="C259" i="79"/>
  <c r="L248" i="79"/>
  <c r="B259" i="79"/>
  <c r="J248" i="79"/>
  <c r="O258" i="79"/>
  <c r="H248" i="79"/>
  <c r="H255" i="79"/>
  <c r="O247" i="79"/>
  <c r="N247" i="79"/>
  <c r="F247" i="79"/>
  <c r="J260" i="79"/>
  <c r="B260" i="79"/>
  <c r="I255" i="79"/>
  <c r="H254" i="79"/>
  <c r="G253" i="79"/>
  <c r="C252" i="79"/>
  <c r="K255" i="79"/>
  <c r="I252" i="79"/>
  <c r="H252" i="79"/>
  <c r="E252" i="79"/>
  <c r="D252" i="79"/>
  <c r="O257" i="79"/>
  <c r="B258" i="79"/>
  <c r="H257" i="79"/>
  <c r="O253" i="79"/>
  <c r="H250" i="79"/>
  <c r="C248" i="79"/>
  <c r="F255" i="79"/>
  <c r="M254" i="79"/>
  <c r="J254" i="79"/>
  <c r="D257" i="79"/>
  <c r="M259" i="79"/>
  <c r="D255" i="79"/>
  <c r="I250" i="79"/>
  <c r="M255" i="79"/>
  <c r="M258" i="79"/>
  <c r="K256" i="79"/>
  <c r="I254" i="79"/>
  <c r="K258" i="79"/>
  <c r="B254" i="79"/>
  <c r="G249" i="79"/>
  <c r="K260" i="79"/>
  <c r="K254" i="79"/>
  <c r="M256" i="79"/>
  <c r="L254" i="79"/>
  <c r="J252" i="79"/>
  <c r="I257" i="79"/>
  <c r="E248" i="79"/>
  <c r="I259" i="79"/>
  <c r="I253" i="79"/>
  <c r="N254" i="79"/>
  <c r="C253" i="79"/>
  <c r="O250" i="79"/>
  <c r="G256" i="79"/>
  <c r="L251" i="79"/>
  <c r="C247" i="79"/>
  <c r="G258" i="79"/>
  <c r="E253" i="79"/>
  <c r="C251" i="79"/>
  <c r="B249" i="79"/>
  <c r="C254" i="79"/>
  <c r="H249" i="79"/>
  <c r="J259" i="79"/>
  <c r="C256" i="79"/>
  <c r="C250" i="79"/>
  <c r="K249" i="79"/>
  <c r="I247" i="79"/>
  <c r="I248" i="79"/>
  <c r="I249" i="79"/>
  <c r="K259" i="79"/>
  <c r="B255" i="79"/>
  <c r="I251" i="79"/>
  <c r="N258" i="79"/>
  <c r="L256" i="79"/>
  <c r="B253" i="79"/>
  <c r="G248" i="79"/>
  <c r="I258" i="79"/>
  <c r="N253" i="79"/>
  <c r="G250" i="79"/>
  <c r="N256" i="79"/>
  <c r="D253" i="79"/>
  <c r="B251" i="79"/>
  <c r="N249" i="79"/>
  <c r="E247" i="79"/>
  <c r="F257" i="79"/>
  <c r="O256" i="79"/>
  <c r="J247" i="79"/>
  <c r="D256" i="79"/>
  <c r="E251" i="79"/>
  <c r="E260" i="79"/>
  <c r="J255" i="79"/>
  <c r="L259" i="79"/>
  <c r="L252" i="79"/>
  <c r="O248" i="79"/>
  <c r="F258" i="79"/>
  <c r="J258" i="79"/>
  <c r="J251" i="79"/>
  <c r="M247" i="79"/>
  <c r="D249" i="79"/>
  <c r="F256" i="79"/>
  <c r="F249" i="79"/>
  <c r="I260" i="79"/>
  <c r="D260" i="79"/>
  <c r="G257" i="79"/>
  <c r="O254" i="79"/>
  <c r="H260" i="79"/>
  <c r="C260" i="79"/>
  <c r="F438" i="99"/>
  <c r="D438" i="99"/>
  <c r="C140" i="99"/>
  <c r="C249" i="79"/>
  <c r="E249" i="79"/>
  <c r="J250" i="79"/>
  <c r="F63" i="91"/>
  <c r="D91" i="115"/>
  <c r="K129" i="111"/>
  <c r="L122" i="111"/>
  <c r="H40" i="99"/>
  <c r="M29" i="70"/>
  <c r="L29" i="70"/>
  <c r="J131" i="93"/>
  <c r="F138" i="55"/>
  <c r="G151" i="55"/>
  <c r="G144" i="55"/>
  <c r="K147" i="55"/>
  <c r="I150" i="55"/>
  <c r="G149" i="55"/>
  <c r="J145" i="55"/>
  <c r="L151" i="55"/>
  <c r="I149" i="55"/>
  <c r="C149" i="55"/>
  <c r="F151" i="55"/>
  <c r="M30" i="46"/>
  <c r="L30" i="46"/>
  <c r="F182" i="139"/>
  <c r="J192" i="139"/>
  <c r="K188" i="139"/>
  <c r="J188" i="139"/>
  <c r="E192" i="139"/>
  <c r="I188" i="139"/>
  <c r="D192" i="139"/>
  <c r="E187" i="139"/>
  <c r="G196" i="139"/>
  <c r="D187" i="139"/>
  <c r="K194" i="139"/>
  <c r="D191" i="139"/>
  <c r="D186" i="139"/>
  <c r="F194" i="139"/>
  <c r="M186" i="139"/>
  <c r="E194" i="139"/>
  <c r="L186" i="139"/>
  <c r="D194" i="139"/>
  <c r="C186" i="139"/>
  <c r="B194" i="139"/>
  <c r="M185" i="139"/>
  <c r="K185" i="139"/>
  <c r="E190" i="139"/>
  <c r="I194" i="139"/>
  <c r="H194" i="139"/>
  <c r="F191" i="139"/>
  <c r="G189" i="139"/>
  <c r="J189" i="139"/>
  <c r="C189" i="139"/>
  <c r="M188" i="139"/>
  <c r="L188" i="139"/>
  <c r="C187" i="139"/>
  <c r="D190" i="139"/>
  <c r="J185" i="139"/>
  <c r="E191" i="139"/>
  <c r="K195" i="139"/>
  <c r="K34" i="132"/>
  <c r="K28" i="136"/>
  <c r="B174" i="133"/>
  <c r="H171" i="133"/>
  <c r="E169" i="133"/>
  <c r="I166" i="133"/>
  <c r="I164" i="133"/>
  <c r="M173" i="133"/>
  <c r="G171" i="133"/>
  <c r="D169" i="133"/>
  <c r="H166" i="133"/>
  <c r="K173" i="133"/>
  <c r="C171" i="133"/>
  <c r="C169" i="133"/>
  <c r="G166" i="133"/>
  <c r="G174" i="133"/>
  <c r="C170" i="133"/>
  <c r="J173" i="133"/>
  <c r="B170" i="133"/>
  <c r="I173" i="133"/>
  <c r="M169" i="133"/>
  <c r="G165" i="133"/>
  <c r="C173" i="133"/>
  <c r="I169" i="133"/>
  <c r="F165" i="133"/>
  <c r="M172" i="133"/>
  <c r="H169" i="133"/>
  <c r="E165" i="133"/>
  <c r="K175" i="133"/>
  <c r="F172" i="133"/>
  <c r="B168" i="133"/>
  <c r="L164" i="133"/>
  <c r="E168" i="133"/>
  <c r="F159" i="133"/>
  <c r="C175" i="133"/>
  <c r="I174" i="133"/>
  <c r="H174" i="133"/>
  <c r="K167" i="133"/>
  <c r="K172" i="133"/>
  <c r="J167" i="133"/>
  <c r="G172" i="133"/>
  <c r="E172" i="133"/>
  <c r="D172" i="133"/>
  <c r="B171" i="133"/>
  <c r="M170" i="133"/>
  <c r="I168" i="133"/>
  <c r="M164" i="133"/>
  <c r="J175" i="133"/>
  <c r="F175" i="133"/>
  <c r="C165" i="133"/>
  <c r="B165" i="133"/>
  <c r="J170" i="133"/>
  <c r="G175" i="133"/>
  <c r="L170" i="133"/>
  <c r="I170" i="133"/>
  <c r="F166" i="133"/>
  <c r="I172" i="133"/>
  <c r="G168" i="133"/>
  <c r="I167" i="133"/>
  <c r="B167" i="133"/>
  <c r="E98" i="127"/>
  <c r="I96" i="127"/>
  <c r="C95" i="127"/>
  <c r="G93" i="127"/>
  <c r="K91" i="127"/>
  <c r="D99" i="127"/>
  <c r="G97" i="127"/>
  <c r="J95" i="127"/>
  <c r="C94" i="127"/>
  <c r="F92" i="127"/>
  <c r="F99" i="127"/>
  <c r="I95" i="127"/>
  <c r="B97" i="127"/>
  <c r="D95" i="127"/>
  <c r="E93" i="127"/>
  <c r="G91" i="127"/>
  <c r="B99" i="127"/>
  <c r="K96" i="127"/>
  <c r="J94" i="127"/>
  <c r="K92" i="127"/>
  <c r="B91" i="127"/>
  <c r="J96" i="127"/>
  <c r="I94" i="127"/>
  <c r="J92" i="127"/>
  <c r="H96" i="127"/>
  <c r="H94" i="127"/>
  <c r="I92" i="127"/>
  <c r="G96" i="127"/>
  <c r="G94" i="127"/>
  <c r="H92" i="127"/>
  <c r="G100" i="127"/>
  <c r="G98" i="127"/>
  <c r="F96" i="127"/>
  <c r="F94" i="127"/>
  <c r="G92" i="127"/>
  <c r="E99" i="127"/>
  <c r="B96" i="127"/>
  <c r="D93" i="127"/>
  <c r="C99" i="127"/>
  <c r="K95" i="127"/>
  <c r="C93" i="127"/>
  <c r="F98" i="127"/>
  <c r="H95" i="127"/>
  <c r="B93" i="127"/>
  <c r="D98" i="127"/>
  <c r="G95" i="127"/>
  <c r="E92" i="127"/>
  <c r="C98" i="127"/>
  <c r="F95" i="127"/>
  <c r="D92" i="127"/>
  <c r="E100" i="127"/>
  <c r="E94" i="127"/>
  <c r="I91" i="127"/>
  <c r="B100" i="127"/>
  <c r="B95" i="127"/>
  <c r="C91" i="127"/>
  <c r="K94" i="127"/>
  <c r="D94" i="127"/>
  <c r="B94" i="127"/>
  <c r="B98" i="127"/>
  <c r="J93" i="127"/>
  <c r="C100" i="127"/>
  <c r="C92" i="127"/>
  <c r="G99" i="127"/>
  <c r="B92" i="127"/>
  <c r="J91" i="127"/>
  <c r="H91" i="127"/>
  <c r="E97" i="127"/>
  <c r="E91" i="127"/>
  <c r="I93" i="127"/>
  <c r="H93" i="127"/>
  <c r="F93" i="127"/>
  <c r="F91" i="127"/>
  <c r="D91" i="127"/>
  <c r="F97" i="127"/>
  <c r="D96" i="127"/>
  <c r="C96" i="127"/>
  <c r="K93" i="127"/>
  <c r="F85" i="127"/>
  <c r="F100" i="127"/>
  <c r="D100" i="127"/>
  <c r="D97" i="127"/>
  <c r="C97" i="127"/>
  <c r="E96" i="127"/>
  <c r="E95" i="127"/>
  <c r="F202" i="133"/>
  <c r="G208" i="133"/>
  <c r="M206" i="133"/>
  <c r="B217" i="133"/>
  <c r="M214" i="133"/>
  <c r="F212" i="133"/>
  <c r="K209" i="133"/>
  <c r="H207" i="133"/>
  <c r="F214" i="133"/>
  <c r="D212" i="133"/>
  <c r="J209" i="133"/>
  <c r="G207" i="133"/>
  <c r="E214" i="133"/>
  <c r="C212" i="133"/>
  <c r="H209" i="133"/>
  <c r="F207" i="133"/>
  <c r="K216" i="133"/>
  <c r="D214" i="133"/>
  <c r="B212" i="133"/>
  <c r="F209" i="133"/>
  <c r="L206" i="133"/>
  <c r="J216" i="133"/>
  <c r="B214" i="133"/>
  <c r="M211" i="133"/>
  <c r="E209" i="133"/>
  <c r="K206" i="133"/>
  <c r="K215" i="133"/>
  <c r="B211" i="133"/>
  <c r="L208" i="133"/>
  <c r="D206" i="133"/>
  <c r="B215" i="133"/>
  <c r="J210" i="133"/>
  <c r="F206" i="133"/>
  <c r="I210" i="133"/>
  <c r="E206" i="133"/>
  <c r="G210" i="133"/>
  <c r="C206" i="133"/>
  <c r="K213" i="133"/>
  <c r="F210" i="133"/>
  <c r="B206" i="133"/>
  <c r="G217" i="133"/>
  <c r="L209" i="133"/>
  <c r="G216" i="133"/>
  <c r="J212" i="133"/>
  <c r="F208" i="133"/>
  <c r="J206" i="133"/>
  <c r="G212" i="133"/>
  <c r="F211" i="133"/>
  <c r="F217" i="133"/>
  <c r="E211" i="133"/>
  <c r="E217" i="133"/>
  <c r="D211" i="133"/>
  <c r="K212" i="133"/>
  <c r="M210" i="133"/>
  <c r="K210" i="133"/>
  <c r="C209" i="133"/>
  <c r="M215" i="133"/>
  <c r="D208" i="133"/>
  <c r="J215" i="133"/>
  <c r="H215" i="133"/>
  <c r="G215" i="133"/>
  <c r="F215" i="133"/>
  <c r="D215" i="133"/>
  <c r="G213" i="133"/>
  <c r="B209" i="133"/>
  <c r="M208" i="133"/>
  <c r="E208" i="133"/>
  <c r="K207" i="133"/>
  <c r="M207" i="133"/>
  <c r="E215" i="133"/>
  <c r="I207" i="133"/>
  <c r="J207" i="133"/>
  <c r="E259" i="121"/>
  <c r="F327" i="123"/>
  <c r="K39" i="120"/>
  <c r="K258" i="121"/>
  <c r="L256" i="121"/>
  <c r="F254" i="121"/>
  <c r="L263" i="121"/>
  <c r="M32" i="114"/>
  <c r="L32" i="114"/>
  <c r="M29" i="120"/>
  <c r="L29" i="120"/>
  <c r="F144" i="115"/>
  <c r="H153" i="115"/>
  <c r="E153" i="115"/>
  <c r="B153" i="115"/>
  <c r="H152" i="115"/>
  <c r="H150" i="115"/>
  <c r="H157" i="115"/>
  <c r="E148" i="115"/>
  <c r="C148" i="115"/>
  <c r="D148" i="115"/>
  <c r="C157" i="115"/>
  <c r="B157" i="115"/>
  <c r="E151" i="115"/>
  <c r="I150" i="115"/>
  <c r="E157" i="115"/>
  <c r="J151" i="115"/>
  <c r="E152" i="115"/>
  <c r="G151" i="115"/>
  <c r="K150" i="115"/>
  <c r="M30" i="118"/>
  <c r="L30" i="118"/>
  <c r="K12" i="117"/>
  <c r="J17" i="121"/>
  <c r="D260" i="121"/>
  <c r="H257" i="121"/>
  <c r="D252" i="121"/>
  <c r="G303" i="119"/>
  <c r="P319" i="119"/>
  <c r="F303" i="119"/>
  <c r="K35" i="114"/>
  <c r="H14" i="135"/>
  <c r="I14" i="135" s="1"/>
  <c r="H168" i="119"/>
  <c r="K28" i="120"/>
  <c r="L256" i="119"/>
  <c r="I250" i="119"/>
  <c r="C91" i="121"/>
  <c r="G91" i="121"/>
  <c r="M87" i="121"/>
  <c r="C92" i="121"/>
  <c r="L85" i="121"/>
  <c r="H95" i="121"/>
  <c r="F147" i="125"/>
  <c r="G147" i="125"/>
  <c r="F152" i="125"/>
  <c r="J13" i="131"/>
  <c r="H112" i="131"/>
  <c r="D111" i="131"/>
  <c r="L109" i="131"/>
  <c r="H108" i="131"/>
  <c r="D107" i="131"/>
  <c r="L105" i="131"/>
  <c r="H104" i="131"/>
  <c r="D103" i="131"/>
  <c r="E114" i="131"/>
  <c r="G111" i="131"/>
  <c r="B110" i="131"/>
  <c r="I108" i="131"/>
  <c r="C107" i="131"/>
  <c r="J105" i="131"/>
  <c r="E104" i="131"/>
  <c r="D114" i="131"/>
  <c r="C111" i="131"/>
  <c r="I109" i="131"/>
  <c r="C108" i="131"/>
  <c r="I106" i="131"/>
  <c r="C105" i="131"/>
  <c r="I103" i="131"/>
  <c r="C114" i="131"/>
  <c r="I112" i="131"/>
  <c r="B111" i="131"/>
  <c r="H109" i="131"/>
  <c r="B108" i="131"/>
  <c r="H106" i="131"/>
  <c r="B105" i="131"/>
  <c r="H103" i="131"/>
  <c r="F112" i="131"/>
  <c r="L110" i="131"/>
  <c r="F109" i="131"/>
  <c r="L107" i="131"/>
  <c r="F106" i="131"/>
  <c r="L104" i="131"/>
  <c r="F103" i="131"/>
  <c r="G113" i="131"/>
  <c r="G110" i="131"/>
  <c r="M108" i="131"/>
  <c r="G107" i="131"/>
  <c r="M105" i="131"/>
  <c r="F104" i="131"/>
  <c r="M109" i="131"/>
  <c r="K107" i="131"/>
  <c r="K105" i="131"/>
  <c r="L103" i="131"/>
  <c r="F97" i="131"/>
  <c r="H113" i="131"/>
  <c r="I111" i="131"/>
  <c r="G109" i="131"/>
  <c r="H107" i="131"/>
  <c r="G105" i="131"/>
  <c r="G103" i="131"/>
  <c r="F113" i="131"/>
  <c r="H111" i="131"/>
  <c r="E109" i="131"/>
  <c r="F107" i="131"/>
  <c r="F105" i="131"/>
  <c r="E103" i="131"/>
  <c r="B113" i="131"/>
  <c r="K110" i="131"/>
  <c r="L108" i="131"/>
  <c r="L106" i="131"/>
  <c r="K104" i="131"/>
  <c r="B114" i="131"/>
  <c r="E111" i="131"/>
  <c r="G108" i="131"/>
  <c r="B106" i="131"/>
  <c r="B103" i="131"/>
  <c r="M110" i="131"/>
  <c r="F108" i="131"/>
  <c r="I105" i="131"/>
  <c r="I113" i="131"/>
  <c r="J110" i="131"/>
  <c r="E108" i="131"/>
  <c r="H105" i="131"/>
  <c r="E113" i="131"/>
  <c r="I110" i="131"/>
  <c r="D108" i="131"/>
  <c r="E105" i="131"/>
  <c r="D113" i="131"/>
  <c r="H110" i="131"/>
  <c r="M107" i="131"/>
  <c r="D105" i="131"/>
  <c r="I114" i="131"/>
  <c r="E110" i="131"/>
  <c r="J106" i="131"/>
  <c r="H114" i="131"/>
  <c r="D110" i="131"/>
  <c r="G106" i="131"/>
  <c r="G114" i="131"/>
  <c r="C110" i="131"/>
  <c r="E106" i="131"/>
  <c r="F114" i="131"/>
  <c r="K109" i="131"/>
  <c r="D106" i="131"/>
  <c r="C113" i="131"/>
  <c r="J109" i="131"/>
  <c r="C106" i="131"/>
  <c r="E112" i="131"/>
  <c r="K108" i="131"/>
  <c r="G104" i="131"/>
  <c r="F110" i="131"/>
  <c r="B104" i="131"/>
  <c r="D109" i="131"/>
  <c r="M103" i="131"/>
  <c r="C109" i="131"/>
  <c r="K103" i="131"/>
  <c r="B109" i="131"/>
  <c r="J103" i="131"/>
  <c r="J107" i="131"/>
  <c r="B107" i="131"/>
  <c r="M106" i="131"/>
  <c r="K106" i="131"/>
  <c r="M104" i="131"/>
  <c r="I104" i="131"/>
  <c r="G112" i="131"/>
  <c r="D112" i="131"/>
  <c r="C112" i="131"/>
  <c r="B112" i="131"/>
  <c r="J108" i="131"/>
  <c r="F111" i="131"/>
  <c r="E107" i="131"/>
  <c r="J104" i="131"/>
  <c r="C104" i="131"/>
  <c r="I107" i="131"/>
  <c r="D104" i="131"/>
  <c r="C103" i="131"/>
  <c r="F322" i="121"/>
  <c r="K351" i="121" s="1"/>
  <c r="A361" i="121" s="1"/>
  <c r="A371" i="121" s="1"/>
  <c r="P338" i="121"/>
  <c r="G322" i="121"/>
  <c r="L384" i="121" s="1"/>
  <c r="F326" i="121"/>
  <c r="B173" i="119"/>
  <c r="L172" i="119"/>
  <c r="B177" i="119"/>
  <c r="H174" i="119"/>
  <c r="I172" i="119"/>
  <c r="H235" i="119"/>
  <c r="L236" i="119"/>
  <c r="F232" i="119"/>
  <c r="C238" i="119"/>
  <c r="M230" i="119"/>
  <c r="B230" i="119"/>
  <c r="G93" i="115"/>
  <c r="C98" i="115"/>
  <c r="F98" i="115"/>
  <c r="I14" i="119"/>
  <c r="K36" i="118"/>
  <c r="L37" i="118"/>
  <c r="M37" i="118"/>
  <c r="F150" i="115"/>
  <c r="J150" i="115"/>
  <c r="I155" i="115"/>
  <c r="K149" i="115"/>
  <c r="E149" i="115"/>
  <c r="H155" i="115"/>
  <c r="N226" i="115"/>
  <c r="F212" i="115"/>
  <c r="G212" i="115"/>
  <c r="K43" i="117"/>
  <c r="C48" i="117"/>
  <c r="G45" i="117"/>
  <c r="G51" i="117"/>
  <c r="J44" i="117"/>
  <c r="F44" i="117"/>
  <c r="H8" i="115"/>
  <c r="F43" i="113"/>
  <c r="E54" i="113"/>
  <c r="I51" i="113"/>
  <c r="G153" i="113"/>
  <c r="F153" i="113"/>
  <c r="L165" i="113"/>
  <c r="L88" i="111"/>
  <c r="E79" i="111"/>
  <c r="K7" i="115"/>
  <c r="J96" i="107"/>
  <c r="E82" i="99"/>
  <c r="I15" i="99"/>
  <c r="L83" i="111"/>
  <c r="C88" i="111"/>
  <c r="N302" i="83"/>
  <c r="B307" i="83"/>
  <c r="F255" i="111"/>
  <c r="C90" i="107"/>
  <c r="G167" i="89"/>
  <c r="B170" i="89"/>
  <c r="F136" i="89"/>
  <c r="G134" i="89"/>
  <c r="E301" i="83"/>
  <c r="G294" i="83"/>
  <c r="P72" i="81"/>
  <c r="C75" i="81"/>
  <c r="J256" i="79"/>
  <c r="K252" i="79"/>
  <c r="K250" i="79"/>
  <c r="M41" i="86"/>
  <c r="L41" i="86"/>
  <c r="Q259" i="83"/>
  <c r="Q258" i="83"/>
  <c r="Q257" i="83"/>
  <c r="Q256" i="83"/>
  <c r="Q255" i="83"/>
  <c r="Q254" i="83"/>
  <c r="Q253" i="83"/>
  <c r="Q252" i="83"/>
  <c r="Q251" i="83"/>
  <c r="Q250" i="83"/>
  <c r="Q249" i="83"/>
  <c r="Q248" i="83"/>
  <c r="Q247" i="83"/>
  <c r="Q246" i="83"/>
  <c r="Q245" i="83"/>
  <c r="Q244" i="83"/>
  <c r="O259" i="83"/>
  <c r="O258" i="83"/>
  <c r="O257" i="83"/>
  <c r="O256" i="83"/>
  <c r="O255" i="83"/>
  <c r="O254" i="83"/>
  <c r="O253" i="83"/>
  <c r="O252" i="83"/>
  <c r="O251" i="83"/>
  <c r="O250" i="83"/>
  <c r="O249" i="83"/>
  <c r="O248" i="83"/>
  <c r="O247" i="83"/>
  <c r="O246" i="83"/>
  <c r="O245" i="83"/>
  <c r="O244" i="83"/>
  <c r="N259" i="83"/>
  <c r="N258" i="83"/>
  <c r="N257" i="83"/>
  <c r="N256" i="83"/>
  <c r="N255" i="83"/>
  <c r="N254" i="83"/>
  <c r="N253" i="83"/>
  <c r="N252" i="83"/>
  <c r="N251" i="83"/>
  <c r="N250" i="83"/>
  <c r="N249" i="83"/>
  <c r="N248" i="83"/>
  <c r="N247" i="83"/>
  <c r="N246" i="83"/>
  <c r="N245" i="83"/>
  <c r="N244" i="83"/>
  <c r="J259" i="83"/>
  <c r="J258" i="83"/>
  <c r="J257" i="83"/>
  <c r="J256" i="83"/>
  <c r="J255" i="83"/>
  <c r="J254" i="83"/>
  <c r="J253" i="83"/>
  <c r="J252" i="83"/>
  <c r="J251" i="83"/>
  <c r="J250" i="83"/>
  <c r="J249" i="83"/>
  <c r="J248" i="83"/>
  <c r="J247" i="83"/>
  <c r="J246" i="83"/>
  <c r="J245" i="83"/>
  <c r="J244" i="83"/>
  <c r="F259" i="83"/>
  <c r="B258" i="83"/>
  <c r="K256" i="83"/>
  <c r="F255" i="83"/>
  <c r="B254" i="83"/>
  <c r="K252" i="83"/>
  <c r="F251" i="83"/>
  <c r="B250" i="83"/>
  <c r="K248" i="83"/>
  <c r="F247" i="83"/>
  <c r="B246" i="83"/>
  <c r="K244" i="83"/>
  <c r="E259" i="83"/>
  <c r="P257" i="83"/>
  <c r="I256" i="83"/>
  <c r="P253" i="83"/>
  <c r="I252" i="83"/>
  <c r="E251" i="83"/>
  <c r="P249" i="83"/>
  <c r="I248" i="83"/>
  <c r="P245" i="83"/>
  <c r="I244" i="83"/>
  <c r="D259" i="83"/>
  <c r="M257" i="83"/>
  <c r="H256" i="83"/>
  <c r="M253" i="83"/>
  <c r="H252" i="83"/>
  <c r="D251" i="83"/>
  <c r="M249" i="83"/>
  <c r="H248" i="83"/>
  <c r="M245" i="83"/>
  <c r="H244" i="83"/>
  <c r="C259" i="83"/>
  <c r="L257" i="83"/>
  <c r="G256" i="83"/>
  <c r="C255" i="83"/>
  <c r="L253" i="83"/>
  <c r="G252" i="83"/>
  <c r="C251" i="83"/>
  <c r="L249" i="83"/>
  <c r="G248" i="83"/>
  <c r="C247" i="83"/>
  <c r="L245" i="83"/>
  <c r="G244" i="83"/>
  <c r="B259" i="83"/>
  <c r="K257" i="83"/>
  <c r="F256" i="83"/>
  <c r="B255" i="83"/>
  <c r="K253" i="83"/>
  <c r="F252" i="83"/>
  <c r="B251" i="83"/>
  <c r="K249" i="83"/>
  <c r="F248" i="83"/>
  <c r="B247" i="83"/>
  <c r="K245" i="83"/>
  <c r="F244" i="83"/>
  <c r="F238" i="83"/>
  <c r="K258" i="83"/>
  <c r="F257" i="83"/>
  <c r="B256" i="83"/>
  <c r="K254" i="83"/>
  <c r="F253" i="83"/>
  <c r="B252" i="83"/>
  <c r="K250" i="83"/>
  <c r="F249" i="83"/>
  <c r="B248" i="83"/>
  <c r="K246" i="83"/>
  <c r="F245" i="83"/>
  <c r="B244" i="83"/>
  <c r="D258" i="83"/>
  <c r="I253" i="83"/>
  <c r="K251" i="83"/>
  <c r="G249" i="83"/>
  <c r="H247" i="83"/>
  <c r="D245" i="83"/>
  <c r="K259" i="83"/>
  <c r="G257" i="83"/>
  <c r="H255" i="83"/>
  <c r="D253" i="83"/>
  <c r="P250" i="83"/>
  <c r="B249" i="83"/>
  <c r="M244" i="83"/>
  <c r="I257" i="83"/>
  <c r="G255" i="83"/>
  <c r="P252" i="83"/>
  <c r="G250" i="83"/>
  <c r="P247" i="83"/>
  <c r="H245" i="83"/>
  <c r="P259" i="83"/>
  <c r="H257" i="83"/>
  <c r="P254" i="83"/>
  <c r="M252" i="83"/>
  <c r="F250" i="83"/>
  <c r="G245" i="83"/>
  <c r="M259" i="83"/>
  <c r="E257" i="83"/>
  <c r="L252" i="83"/>
  <c r="E250" i="83"/>
  <c r="E245" i="83"/>
  <c r="L259" i="83"/>
  <c r="D257" i="83"/>
  <c r="E252" i="83"/>
  <c r="D250" i="83"/>
  <c r="K247" i="83"/>
  <c r="C245" i="83"/>
  <c r="I259" i="83"/>
  <c r="C257" i="83"/>
  <c r="I254" i="83"/>
  <c r="D252" i="83"/>
  <c r="C250" i="83"/>
  <c r="I247" i="83"/>
  <c r="B245" i="83"/>
  <c r="H259" i="83"/>
  <c r="B257" i="83"/>
  <c r="H254" i="83"/>
  <c r="C252" i="83"/>
  <c r="I249" i="83"/>
  <c r="G247" i="83"/>
  <c r="P244" i="83"/>
  <c r="G258" i="83"/>
  <c r="I250" i="83"/>
  <c r="G246" i="83"/>
  <c r="F258" i="83"/>
  <c r="H250" i="83"/>
  <c r="F246" i="83"/>
  <c r="E258" i="83"/>
  <c r="C254" i="83"/>
  <c r="H249" i="83"/>
  <c r="C258" i="83"/>
  <c r="H253" i="83"/>
  <c r="E249" i="83"/>
  <c r="P256" i="83"/>
  <c r="G253" i="83"/>
  <c r="D249" i="83"/>
  <c r="C246" i="83"/>
  <c r="C256" i="83"/>
  <c r="M251" i="83"/>
  <c r="E248" i="83"/>
  <c r="C244" i="83"/>
  <c r="I255" i="83"/>
  <c r="L248" i="83"/>
  <c r="G254" i="83"/>
  <c r="D248" i="83"/>
  <c r="F254" i="83"/>
  <c r="C248" i="83"/>
  <c r="G259" i="83"/>
  <c r="E253" i="83"/>
  <c r="P246" i="83"/>
  <c r="P258" i="83"/>
  <c r="C253" i="83"/>
  <c r="M258" i="83"/>
  <c r="B253" i="83"/>
  <c r="I246" i="83"/>
  <c r="I251" i="83"/>
  <c r="H251" i="83"/>
  <c r="G251" i="83"/>
  <c r="M250" i="83"/>
  <c r="L258" i="83"/>
  <c r="L250" i="83"/>
  <c r="L256" i="83"/>
  <c r="H246" i="83"/>
  <c r="I258" i="83"/>
  <c r="D244" i="83"/>
  <c r="H258" i="83"/>
  <c r="M256" i="83"/>
  <c r="E256" i="83"/>
  <c r="D256" i="83"/>
  <c r="P251" i="83"/>
  <c r="C249" i="83"/>
  <c r="P248" i="83"/>
  <c r="M248" i="83"/>
  <c r="I245" i="83"/>
  <c r="L244" i="83"/>
  <c r="P255" i="83"/>
  <c r="L251" i="83"/>
  <c r="E244" i="83"/>
  <c r="K255" i="83"/>
  <c r="H95" i="115"/>
  <c r="A265" i="89"/>
  <c r="A273" i="89" s="1"/>
  <c r="D124" i="111"/>
  <c r="J50" i="99"/>
  <c r="O171" i="81"/>
  <c r="B180" i="81"/>
  <c r="N7" i="77"/>
  <c r="A446" i="77" s="1"/>
  <c r="E528" i="77"/>
  <c r="J7" i="77"/>
  <c r="M35" i="62"/>
  <c r="L35" i="62"/>
  <c r="M151" i="73"/>
  <c r="I150" i="73"/>
  <c r="M147" i="73"/>
  <c r="I146" i="73"/>
  <c r="E145" i="73"/>
  <c r="M143" i="73"/>
  <c r="I142" i="73"/>
  <c r="E141" i="73"/>
  <c r="F152" i="73"/>
  <c r="M150" i="73"/>
  <c r="H149" i="73"/>
  <c r="C148" i="73"/>
  <c r="J146" i="73"/>
  <c r="D145" i="73"/>
  <c r="F142" i="73"/>
  <c r="E152" i="73"/>
  <c r="L150" i="73"/>
  <c r="G149" i="73"/>
  <c r="B148" i="73"/>
  <c r="H146" i="73"/>
  <c r="C145" i="73"/>
  <c r="E142" i="73"/>
  <c r="D152" i="73"/>
  <c r="F149" i="73"/>
  <c r="L147" i="73"/>
  <c r="G146" i="73"/>
  <c r="B145" i="73"/>
  <c r="I143" i="73"/>
  <c r="D142" i="73"/>
  <c r="C152" i="73"/>
  <c r="K147" i="73"/>
  <c r="F146" i="73"/>
  <c r="M144" i="73"/>
  <c r="H143" i="73"/>
  <c r="C142" i="73"/>
  <c r="B152" i="73"/>
  <c r="H150" i="73"/>
  <c r="C149" i="73"/>
  <c r="J147" i="73"/>
  <c r="E146" i="73"/>
  <c r="L144" i="73"/>
  <c r="G143" i="73"/>
  <c r="B142" i="73"/>
  <c r="L151" i="73"/>
  <c r="G150" i="73"/>
  <c r="B149" i="73"/>
  <c r="I147" i="73"/>
  <c r="D146" i="73"/>
  <c r="F143" i="73"/>
  <c r="M141" i="73"/>
  <c r="J152" i="73"/>
  <c r="E148" i="73"/>
  <c r="K145" i="73"/>
  <c r="F141" i="73"/>
  <c r="I152" i="73"/>
  <c r="C150" i="73"/>
  <c r="D148" i="73"/>
  <c r="J145" i="73"/>
  <c r="D141" i="73"/>
  <c r="H152" i="73"/>
  <c r="B150" i="73"/>
  <c r="H147" i="73"/>
  <c r="I145" i="73"/>
  <c r="C143" i="73"/>
  <c r="C141" i="73"/>
  <c r="G152" i="73"/>
  <c r="M149" i="73"/>
  <c r="G147" i="73"/>
  <c r="H145" i="73"/>
  <c r="B143" i="73"/>
  <c r="B141" i="73"/>
  <c r="K151" i="73"/>
  <c r="L149" i="73"/>
  <c r="F147" i="73"/>
  <c r="G145" i="73"/>
  <c r="M142" i="73"/>
  <c r="G151" i="73"/>
  <c r="M148" i="73"/>
  <c r="B147" i="73"/>
  <c r="H144" i="73"/>
  <c r="H142" i="73"/>
  <c r="K146" i="73"/>
  <c r="K142" i="73"/>
  <c r="C146" i="73"/>
  <c r="J142" i="73"/>
  <c r="B146" i="73"/>
  <c r="G142" i="73"/>
  <c r="I149" i="73"/>
  <c r="M145" i="73"/>
  <c r="L141" i="73"/>
  <c r="M152" i="73"/>
  <c r="L148" i="73"/>
  <c r="L145" i="73"/>
  <c r="K141" i="73"/>
  <c r="I151" i="73"/>
  <c r="H148" i="73"/>
  <c r="G144" i="73"/>
  <c r="G141" i="73"/>
  <c r="F150" i="73"/>
  <c r="K148" i="73"/>
  <c r="C144" i="73"/>
  <c r="J148" i="73"/>
  <c r="B144" i="73"/>
  <c r="I148" i="73"/>
  <c r="L143" i="73"/>
  <c r="G148" i="73"/>
  <c r="L142" i="73"/>
  <c r="K152" i="73"/>
  <c r="C147" i="73"/>
  <c r="H151" i="73"/>
  <c r="J141" i="73"/>
  <c r="F151" i="73"/>
  <c r="I141" i="73"/>
  <c r="E151" i="73"/>
  <c r="H141" i="73"/>
  <c r="D151" i="73"/>
  <c r="C151" i="73"/>
  <c r="B151" i="73"/>
  <c r="F148" i="73"/>
  <c r="D147" i="73"/>
  <c r="F135" i="73"/>
  <c r="E147" i="73"/>
  <c r="F144" i="73"/>
  <c r="J151" i="73"/>
  <c r="L152" i="73"/>
  <c r="F145" i="73"/>
  <c r="M146" i="73"/>
  <c r="L146" i="73"/>
  <c r="I144" i="73"/>
  <c r="L135" i="93"/>
  <c r="F136" i="67"/>
  <c r="B146" i="67"/>
  <c r="E150" i="67"/>
  <c r="L145" i="67"/>
  <c r="K145" i="67"/>
  <c r="J145" i="67"/>
  <c r="H144" i="67"/>
  <c r="G144" i="67"/>
  <c r="F144" i="67"/>
  <c r="J152" i="67"/>
  <c r="K152" i="67"/>
  <c r="G151" i="67"/>
  <c r="I141" i="67"/>
  <c r="D152" i="67"/>
  <c r="C152" i="67"/>
  <c r="G141" i="67"/>
  <c r="F141" i="67"/>
  <c r="M147" i="67"/>
  <c r="M152" i="67"/>
  <c r="C151" i="67"/>
  <c r="C141" i="67"/>
  <c r="E142" i="67"/>
  <c r="I144" i="67"/>
  <c r="I150" i="67"/>
  <c r="L141" i="67"/>
  <c r="B145" i="67"/>
  <c r="J149" i="67"/>
  <c r="F152" i="67"/>
  <c r="M151" i="67"/>
  <c r="M144" i="67"/>
  <c r="D142" i="67"/>
  <c r="B147" i="67"/>
  <c r="J143" i="67"/>
  <c r="E148" i="67"/>
  <c r="M150" i="67"/>
  <c r="H150" i="67"/>
  <c r="M142" i="67"/>
  <c r="K150" i="67"/>
  <c r="G143" i="67"/>
  <c r="J141" i="67"/>
  <c r="F142" i="67"/>
  <c r="L146" i="67"/>
  <c r="H149" i="67"/>
  <c r="C149" i="67"/>
  <c r="K151" i="67"/>
  <c r="J148" i="67"/>
  <c r="G150" i="67"/>
  <c r="L152" i="67"/>
  <c r="D150" i="67"/>
  <c r="B144" i="67"/>
  <c r="J146" i="67"/>
  <c r="D146" i="67"/>
  <c r="E147" i="67"/>
  <c r="E144" i="67"/>
  <c r="E143" i="67"/>
  <c r="H141" i="67"/>
  <c r="B151" i="67"/>
  <c r="E152" i="67"/>
  <c r="B152" i="67"/>
  <c r="E149" i="67"/>
  <c r="D144" i="67"/>
  <c r="L148" i="67"/>
  <c r="J147" i="67"/>
  <c r="H152" i="67"/>
  <c r="H142" i="67"/>
  <c r="K143" i="67"/>
  <c r="L149" i="67"/>
  <c r="C147" i="67"/>
  <c r="H143" i="67"/>
  <c r="J144" i="67"/>
  <c r="B142" i="67"/>
  <c r="I142" i="67"/>
  <c r="D145" i="67"/>
  <c r="K142" i="67"/>
  <c r="D143" i="67"/>
  <c r="C150" i="67"/>
  <c r="C146" i="67"/>
  <c r="D141" i="67"/>
  <c r="H151" i="67"/>
  <c r="K148" i="67"/>
  <c r="J151" i="67"/>
  <c r="G152" i="67"/>
  <c r="K144" i="67"/>
  <c r="D149" i="67"/>
  <c r="C143" i="67"/>
  <c r="B149" i="67"/>
  <c r="D148" i="67"/>
  <c r="M141" i="67"/>
  <c r="K141" i="67"/>
  <c r="C142" i="67"/>
  <c r="B141" i="67"/>
  <c r="K146" i="67"/>
  <c r="M149" i="67"/>
  <c r="F151" i="67"/>
  <c r="I152" i="67"/>
  <c r="M143" i="67"/>
  <c r="C145" i="67"/>
  <c r="E151" i="67"/>
  <c r="D151" i="67"/>
  <c r="C148" i="67"/>
  <c r="B143" i="67"/>
  <c r="K147" i="67"/>
  <c r="K149" i="67"/>
  <c r="E145" i="67"/>
  <c r="L151" i="67"/>
  <c r="I143" i="67"/>
  <c r="G142" i="67"/>
  <c r="L144" i="67"/>
  <c r="E141" i="67"/>
  <c r="B148" i="67"/>
  <c r="D147" i="67"/>
  <c r="M145" i="67"/>
  <c r="G149" i="67"/>
  <c r="F143" i="67"/>
  <c r="F149" i="67"/>
  <c r="L142" i="67"/>
  <c r="I151" i="67"/>
  <c r="J150" i="67"/>
  <c r="M146" i="67"/>
  <c r="J142" i="67"/>
  <c r="I149" i="67"/>
  <c r="M148" i="67"/>
  <c r="I8" i="51"/>
  <c r="G259" i="65"/>
  <c r="F259" i="65"/>
  <c r="P275" i="65"/>
  <c r="J158" i="135"/>
  <c r="F157" i="135"/>
  <c r="B156" i="135"/>
  <c r="J154" i="135"/>
  <c r="F153" i="135"/>
  <c r="B152" i="135"/>
  <c r="F149" i="135"/>
  <c r="B148" i="135"/>
  <c r="H158" i="135"/>
  <c r="C157" i="135"/>
  <c r="E154" i="135"/>
  <c r="L152" i="135"/>
  <c r="G151" i="135"/>
  <c r="B150" i="135"/>
  <c r="I148" i="135"/>
  <c r="D147" i="135"/>
  <c r="G158" i="135"/>
  <c r="B157" i="135"/>
  <c r="I155" i="135"/>
  <c r="D154" i="135"/>
  <c r="K152" i="135"/>
  <c r="F151" i="135"/>
  <c r="M149" i="135"/>
  <c r="H148" i="135"/>
  <c r="C147" i="135"/>
  <c r="F141" i="135"/>
  <c r="C158" i="135"/>
  <c r="L153" i="135"/>
  <c r="G152" i="135"/>
  <c r="B151" i="135"/>
  <c r="I149" i="135"/>
  <c r="D148" i="135"/>
  <c r="J157" i="135"/>
  <c r="M155" i="135"/>
  <c r="C154" i="135"/>
  <c r="F152" i="135"/>
  <c r="I150" i="135"/>
  <c r="M148" i="135"/>
  <c r="E147" i="135"/>
  <c r="I157" i="135"/>
  <c r="L155" i="135"/>
  <c r="B154" i="135"/>
  <c r="E152" i="135"/>
  <c r="H150" i="135"/>
  <c r="L148" i="135"/>
  <c r="B147" i="135"/>
  <c r="H157" i="135"/>
  <c r="M153" i="135"/>
  <c r="D152" i="135"/>
  <c r="G150" i="135"/>
  <c r="K148" i="135"/>
  <c r="G157" i="135"/>
  <c r="H155" i="135"/>
  <c r="K153" i="135"/>
  <c r="C152" i="135"/>
  <c r="F150" i="135"/>
  <c r="J148" i="135"/>
  <c r="E157" i="135"/>
  <c r="G155" i="135"/>
  <c r="J153" i="135"/>
  <c r="M151" i="135"/>
  <c r="G148" i="135"/>
  <c r="I158" i="135"/>
  <c r="B155" i="135"/>
  <c r="E153" i="135"/>
  <c r="I151" i="135"/>
  <c r="M147" i="135"/>
  <c r="B158" i="135"/>
  <c r="C155" i="135"/>
  <c r="I152" i="135"/>
  <c r="H149" i="135"/>
  <c r="M157" i="135"/>
  <c r="M154" i="135"/>
  <c r="H152" i="135"/>
  <c r="G149" i="135"/>
  <c r="L157" i="135"/>
  <c r="L154" i="135"/>
  <c r="L151" i="135"/>
  <c r="K157" i="135"/>
  <c r="K154" i="135"/>
  <c r="K151" i="135"/>
  <c r="D157" i="135"/>
  <c r="I154" i="135"/>
  <c r="J151" i="135"/>
  <c r="C149" i="135"/>
  <c r="H156" i="135"/>
  <c r="I153" i="135"/>
  <c r="C151" i="135"/>
  <c r="C148" i="135"/>
  <c r="E158" i="135"/>
  <c r="G153" i="135"/>
  <c r="B149" i="135"/>
  <c r="D158" i="135"/>
  <c r="D153" i="135"/>
  <c r="F148" i="135"/>
  <c r="M156" i="135"/>
  <c r="C153" i="135"/>
  <c r="E148" i="135"/>
  <c r="L156" i="135"/>
  <c r="B153" i="135"/>
  <c r="L147" i="135"/>
  <c r="I156" i="135"/>
  <c r="M152" i="135"/>
  <c r="K147" i="135"/>
  <c r="D151" i="135"/>
  <c r="G147" i="135"/>
  <c r="H153" i="135"/>
  <c r="J152" i="135"/>
  <c r="H151" i="135"/>
  <c r="M158" i="135"/>
  <c r="E151" i="135"/>
  <c r="L158" i="135"/>
  <c r="M150" i="135"/>
  <c r="F156" i="135"/>
  <c r="C150" i="135"/>
  <c r="F158" i="135"/>
  <c r="H147" i="135"/>
  <c r="G156" i="135"/>
  <c r="F147" i="135"/>
  <c r="C156" i="135"/>
  <c r="F155" i="135"/>
  <c r="J147" i="135"/>
  <c r="I147" i="135"/>
  <c r="H154" i="135"/>
  <c r="K158" i="135"/>
  <c r="G154" i="135"/>
  <c r="L149" i="135"/>
  <c r="F154" i="135"/>
  <c r="L150" i="135"/>
  <c r="F275" i="139"/>
  <c r="G275" i="139"/>
  <c r="J6" i="137"/>
  <c r="I6" i="137"/>
  <c r="G326" i="135"/>
  <c r="F326" i="135"/>
  <c r="P342" i="135"/>
  <c r="G187" i="129"/>
  <c r="F187" i="129"/>
  <c r="I7" i="131"/>
  <c r="J7" i="131" s="1"/>
  <c r="F102" i="135"/>
  <c r="K110" i="135"/>
  <c r="G109" i="135"/>
  <c r="F109" i="135"/>
  <c r="B115" i="135"/>
  <c r="C109" i="135"/>
  <c r="D114" i="135"/>
  <c r="H106" i="135"/>
  <c r="M110" i="135"/>
  <c r="M108" i="135"/>
  <c r="L108" i="135"/>
  <c r="I106" i="135"/>
  <c r="E106" i="135"/>
  <c r="G114" i="135"/>
  <c r="F114" i="135"/>
  <c r="C114" i="135"/>
  <c r="G113" i="135"/>
  <c r="M105" i="135"/>
  <c r="C111" i="135"/>
  <c r="B111" i="135"/>
  <c r="L105" i="135"/>
  <c r="K105" i="135"/>
  <c r="I105" i="135"/>
  <c r="F113" i="135"/>
  <c r="H105" i="135"/>
  <c r="G6" i="127"/>
  <c r="G156" i="127"/>
  <c r="K154" i="127"/>
  <c r="E153" i="127"/>
  <c r="I151" i="127"/>
  <c r="C150" i="127"/>
  <c r="G148" i="127"/>
  <c r="H156" i="127"/>
  <c r="J154" i="127"/>
  <c r="C153" i="127"/>
  <c r="F151" i="127"/>
  <c r="I149" i="127"/>
  <c r="B148" i="127"/>
  <c r="F157" i="127"/>
  <c r="H155" i="127"/>
  <c r="J153" i="127"/>
  <c r="B152" i="127"/>
  <c r="E148" i="127"/>
  <c r="C155" i="127"/>
  <c r="D153" i="127"/>
  <c r="G149" i="127"/>
  <c r="D154" i="127"/>
  <c r="D152" i="127"/>
  <c r="B150" i="127"/>
  <c r="C156" i="127"/>
  <c r="C154" i="127"/>
  <c r="C152" i="127"/>
  <c r="K149" i="127"/>
  <c r="B156" i="127"/>
  <c r="B154" i="127"/>
  <c r="J149" i="127"/>
  <c r="K155" i="127"/>
  <c r="K153" i="127"/>
  <c r="H149" i="127"/>
  <c r="J155" i="127"/>
  <c r="I153" i="127"/>
  <c r="H151" i="127"/>
  <c r="F149" i="127"/>
  <c r="H157" i="127"/>
  <c r="I154" i="127"/>
  <c r="G151" i="127"/>
  <c r="J148" i="127"/>
  <c r="G157" i="127"/>
  <c r="H154" i="127"/>
  <c r="I148" i="127"/>
  <c r="G154" i="127"/>
  <c r="C151" i="127"/>
  <c r="H148" i="127"/>
  <c r="F154" i="127"/>
  <c r="B151" i="127"/>
  <c r="F148" i="127"/>
  <c r="C157" i="127"/>
  <c r="E154" i="127"/>
  <c r="D148" i="127"/>
  <c r="F156" i="127"/>
  <c r="B153" i="127"/>
  <c r="G150" i="127"/>
  <c r="B157" i="127"/>
  <c r="H152" i="127"/>
  <c r="G152" i="127"/>
  <c r="I156" i="127"/>
  <c r="F152" i="127"/>
  <c r="E152" i="127"/>
  <c r="G155" i="127"/>
  <c r="I150" i="127"/>
  <c r="F142" i="127"/>
  <c r="J152" i="127"/>
  <c r="I152" i="127"/>
  <c r="H150" i="127"/>
  <c r="K152" i="127"/>
  <c r="F150" i="127"/>
  <c r="E149" i="127"/>
  <c r="D149" i="127"/>
  <c r="C149" i="127"/>
  <c r="I155" i="127"/>
  <c r="I157" i="127"/>
  <c r="F155" i="127"/>
  <c r="D155" i="127"/>
  <c r="B155" i="127"/>
  <c r="E155" i="127"/>
  <c r="H153" i="127"/>
  <c r="G153" i="127"/>
  <c r="F153" i="127"/>
  <c r="B149" i="127"/>
  <c r="K148" i="127"/>
  <c r="C148" i="127"/>
  <c r="K8" i="143"/>
  <c r="F81" i="121"/>
  <c r="H85" i="121"/>
  <c r="G94" i="121"/>
  <c r="F91" i="121"/>
  <c r="G87" i="121"/>
  <c r="F87" i="121"/>
  <c r="G93" i="121"/>
  <c r="E87" i="121"/>
  <c r="B87" i="121"/>
  <c r="M86" i="121"/>
  <c r="M32" i="120"/>
  <c r="L32" i="120"/>
  <c r="L42" i="130"/>
  <c r="M42" i="130"/>
  <c r="L42" i="128"/>
  <c r="M42" i="128"/>
  <c r="D258" i="121"/>
  <c r="J255" i="121"/>
  <c r="D253" i="121"/>
  <c r="M39" i="122"/>
  <c r="L39" i="122"/>
  <c r="K10" i="129"/>
  <c r="I8" i="121"/>
  <c r="H7" i="125"/>
  <c r="E156" i="119"/>
  <c r="M154" i="119"/>
  <c r="I153" i="119"/>
  <c r="E152" i="119"/>
  <c r="M150" i="119"/>
  <c r="I149" i="119"/>
  <c r="M146" i="119"/>
  <c r="I145" i="119"/>
  <c r="D156" i="119"/>
  <c r="F153" i="119"/>
  <c r="M151" i="119"/>
  <c r="H150" i="119"/>
  <c r="C149" i="119"/>
  <c r="E146" i="119"/>
  <c r="C156" i="119"/>
  <c r="L151" i="119"/>
  <c r="G150" i="119"/>
  <c r="B149" i="119"/>
  <c r="I147" i="119"/>
  <c r="D146" i="119"/>
  <c r="M155" i="119"/>
  <c r="H154" i="119"/>
  <c r="C153" i="119"/>
  <c r="J151" i="119"/>
  <c r="E150" i="119"/>
  <c r="L148" i="119"/>
  <c r="G147" i="119"/>
  <c r="B146" i="119"/>
  <c r="K155" i="119"/>
  <c r="F154" i="119"/>
  <c r="M152" i="119"/>
  <c r="H151" i="119"/>
  <c r="C150" i="119"/>
  <c r="L145" i="119"/>
  <c r="L265" i="119" s="1"/>
  <c r="M310" i="119" s="1"/>
  <c r="M156" i="119"/>
  <c r="D155" i="119"/>
  <c r="E151" i="119"/>
  <c r="G149" i="119"/>
  <c r="H147" i="119"/>
  <c r="H145" i="119"/>
  <c r="L156" i="119"/>
  <c r="C155" i="119"/>
  <c r="B153" i="119"/>
  <c r="D151" i="119"/>
  <c r="F149" i="119"/>
  <c r="F147" i="119"/>
  <c r="G145" i="119"/>
  <c r="F139" i="119"/>
  <c r="K156" i="119"/>
  <c r="B155" i="119"/>
  <c r="L152" i="119"/>
  <c r="C151" i="119"/>
  <c r="E149" i="119"/>
  <c r="F145" i="119"/>
  <c r="J156" i="119"/>
  <c r="L154" i="119"/>
  <c r="K152" i="119"/>
  <c r="B151" i="119"/>
  <c r="D149" i="119"/>
  <c r="C147" i="119"/>
  <c r="E145" i="119"/>
  <c r="H156" i="119"/>
  <c r="G154" i="119"/>
  <c r="I152" i="119"/>
  <c r="K150" i="119"/>
  <c r="L146" i="119"/>
  <c r="C145" i="119"/>
  <c r="I155" i="119"/>
  <c r="J152" i="119"/>
  <c r="B150" i="119"/>
  <c r="H155" i="119"/>
  <c r="H152" i="119"/>
  <c r="M149" i="119"/>
  <c r="B147" i="119"/>
  <c r="G155" i="119"/>
  <c r="G152" i="119"/>
  <c r="L149" i="119"/>
  <c r="K146" i="119"/>
  <c r="F155" i="119"/>
  <c r="F152" i="119"/>
  <c r="K149" i="119"/>
  <c r="J146" i="119"/>
  <c r="E155" i="119"/>
  <c r="D152" i="119"/>
  <c r="J149" i="119"/>
  <c r="I146" i="119"/>
  <c r="C154" i="119"/>
  <c r="I151" i="119"/>
  <c r="H148" i="119"/>
  <c r="C146" i="119"/>
  <c r="I156" i="119"/>
  <c r="C152" i="119"/>
  <c r="C148" i="119"/>
  <c r="G156" i="119"/>
  <c r="B152" i="119"/>
  <c r="L155" i="119"/>
  <c r="F151" i="119"/>
  <c r="H146" i="119"/>
  <c r="J155" i="119"/>
  <c r="F150" i="119"/>
  <c r="D145" i="119"/>
  <c r="H149" i="119"/>
  <c r="M148" i="119"/>
  <c r="B154" i="119"/>
  <c r="I148" i="119"/>
  <c r="M153" i="119"/>
  <c r="G148" i="119"/>
  <c r="F146" i="119"/>
  <c r="M145" i="119"/>
  <c r="H153" i="119"/>
  <c r="K145" i="119"/>
  <c r="G153" i="119"/>
  <c r="J145" i="119"/>
  <c r="K151" i="119"/>
  <c r="B145" i="119"/>
  <c r="G151" i="119"/>
  <c r="L150" i="119"/>
  <c r="J150" i="119"/>
  <c r="F148" i="119"/>
  <c r="F156" i="119"/>
  <c r="B148" i="119"/>
  <c r="B156" i="119"/>
  <c r="I154" i="119"/>
  <c r="L153" i="119"/>
  <c r="I150" i="119"/>
  <c r="D150" i="119"/>
  <c r="M147" i="119"/>
  <c r="L147" i="119"/>
  <c r="G146" i="119"/>
  <c r="M257" i="121"/>
  <c r="C262" i="121"/>
  <c r="G255" i="121"/>
  <c r="F304" i="119"/>
  <c r="M37" i="120"/>
  <c r="L37" i="120"/>
  <c r="J13" i="115"/>
  <c r="I13" i="115"/>
  <c r="E252" i="119"/>
  <c r="F93" i="121"/>
  <c r="J84" i="121"/>
  <c r="K94" i="121"/>
  <c r="J89" i="121"/>
  <c r="M93" i="121"/>
  <c r="D87" i="121"/>
  <c r="M84" i="121"/>
  <c r="F94" i="121"/>
  <c r="G294" i="119"/>
  <c r="F294" i="119"/>
  <c r="M166" i="119"/>
  <c r="D176" i="119"/>
  <c r="L174" i="119"/>
  <c r="G173" i="119"/>
  <c r="D167" i="119"/>
  <c r="M175" i="119"/>
  <c r="M173" i="119"/>
  <c r="B229" i="119"/>
  <c r="I235" i="119"/>
  <c r="G240" i="119"/>
  <c r="B235" i="119"/>
  <c r="G234" i="119"/>
  <c r="J239" i="119"/>
  <c r="F94" i="115"/>
  <c r="G97" i="115"/>
  <c r="J95" i="115"/>
  <c r="G100" i="115"/>
  <c r="B100" i="115"/>
  <c r="I15" i="119"/>
  <c r="J15" i="119" s="1"/>
  <c r="G154" i="115"/>
  <c r="B149" i="115"/>
  <c r="E154" i="115"/>
  <c r="B155" i="115"/>
  <c r="C149" i="115"/>
  <c r="J48" i="117"/>
  <c r="K50" i="117"/>
  <c r="H48" i="117"/>
  <c r="L40" i="117"/>
  <c r="L265" i="117" s="1"/>
  <c r="M310" i="117" s="1"/>
  <c r="F46" i="117"/>
  <c r="J45" i="117"/>
  <c r="I44" i="117"/>
  <c r="M35" i="112"/>
  <c r="L35" i="112"/>
  <c r="K6" i="109"/>
  <c r="L84" i="111"/>
  <c r="F88" i="111"/>
  <c r="K78" i="111"/>
  <c r="I80" i="111"/>
  <c r="K12" i="115"/>
  <c r="F95" i="107"/>
  <c r="G98" i="107"/>
  <c r="J94" i="107"/>
  <c r="L37" i="100"/>
  <c r="M37" i="100"/>
  <c r="I83" i="99"/>
  <c r="K7" i="101"/>
  <c r="G300" i="93"/>
  <c r="F300" i="93"/>
  <c r="P316" i="93"/>
  <c r="I9" i="93"/>
  <c r="K9" i="93" s="1"/>
  <c r="E89" i="111"/>
  <c r="B308" i="83"/>
  <c r="F254" i="111"/>
  <c r="J95" i="107"/>
  <c r="J9" i="89"/>
  <c r="I9" i="89"/>
  <c r="M37" i="94"/>
  <c r="L37" i="94"/>
  <c r="H172" i="89"/>
  <c r="H171" i="89"/>
  <c r="M42" i="84"/>
  <c r="L42" i="84"/>
  <c r="A196" i="95"/>
  <c r="A202" i="95" s="1"/>
  <c r="J133" i="89"/>
  <c r="C136" i="89"/>
  <c r="P73" i="81"/>
  <c r="C77" i="81"/>
  <c r="J60" i="91"/>
  <c r="C99" i="115"/>
  <c r="G68" i="111"/>
  <c r="C67" i="111"/>
  <c r="K65" i="111"/>
  <c r="G64" i="111"/>
  <c r="C63" i="111"/>
  <c r="K61" i="111"/>
  <c r="C59" i="111"/>
  <c r="K57" i="111"/>
  <c r="E68" i="111"/>
  <c r="M66" i="111"/>
  <c r="I65" i="111"/>
  <c r="E64" i="111"/>
  <c r="M62" i="111"/>
  <c r="I61" i="111"/>
  <c r="M58" i="111"/>
  <c r="I57" i="111"/>
  <c r="M67" i="111"/>
  <c r="G66" i="111"/>
  <c r="M64" i="111"/>
  <c r="G63" i="111"/>
  <c r="G225" i="111" s="1"/>
  <c r="H270" i="111" s="1"/>
  <c r="M61" i="111"/>
  <c r="K58" i="111"/>
  <c r="E57" i="111"/>
  <c r="I68" i="111"/>
  <c r="L66" i="111"/>
  <c r="E65" i="111"/>
  <c r="J63" i="111"/>
  <c r="C62" i="111"/>
  <c r="C224" i="111" s="1"/>
  <c r="D269" i="111" s="1"/>
  <c r="H60" i="111"/>
  <c r="J58" i="111"/>
  <c r="C57" i="111"/>
  <c r="H68" i="111"/>
  <c r="K66" i="111"/>
  <c r="D65" i="111"/>
  <c r="I63" i="111"/>
  <c r="B62" i="111"/>
  <c r="I58" i="111"/>
  <c r="B57" i="111"/>
  <c r="F68" i="111"/>
  <c r="J66" i="111"/>
  <c r="C65" i="111"/>
  <c r="H63" i="111"/>
  <c r="L61" i="111"/>
  <c r="C60" i="111"/>
  <c r="H58" i="111"/>
  <c r="D68" i="111"/>
  <c r="I66" i="111"/>
  <c r="B65" i="111"/>
  <c r="F63" i="111"/>
  <c r="J61" i="111"/>
  <c r="B60" i="111"/>
  <c r="G58" i="111"/>
  <c r="C68" i="111"/>
  <c r="H66" i="111"/>
  <c r="L64" i="111"/>
  <c r="E63" i="111"/>
  <c r="H61" i="111"/>
  <c r="M59" i="111"/>
  <c r="F58" i="111"/>
  <c r="I67" i="111"/>
  <c r="B66" i="111"/>
  <c r="F64" i="111"/>
  <c r="J62" i="111"/>
  <c r="C61" i="111"/>
  <c r="H59" i="111"/>
  <c r="M57" i="111"/>
  <c r="J67" i="111"/>
  <c r="F65" i="111"/>
  <c r="H62" i="111"/>
  <c r="K59" i="111"/>
  <c r="G57" i="111"/>
  <c r="H67" i="111"/>
  <c r="K64" i="111"/>
  <c r="J59" i="111"/>
  <c r="F57" i="111"/>
  <c r="G67" i="111"/>
  <c r="J64" i="111"/>
  <c r="I59" i="111"/>
  <c r="D57" i="111"/>
  <c r="F67" i="111"/>
  <c r="I64" i="111"/>
  <c r="E66" i="111"/>
  <c r="M63" i="111"/>
  <c r="L58" i="111"/>
  <c r="K67" i="111"/>
  <c r="G65" i="111"/>
  <c r="J68" i="111"/>
  <c r="B64" i="111"/>
  <c r="J60" i="111"/>
  <c r="B68" i="111"/>
  <c r="L63" i="111"/>
  <c r="I60" i="111"/>
  <c r="I222" i="111" s="1"/>
  <c r="J267" i="111" s="1"/>
  <c r="L67" i="111"/>
  <c r="K63" i="111"/>
  <c r="L59" i="111"/>
  <c r="B67" i="111"/>
  <c r="L62" i="111"/>
  <c r="D67" i="111"/>
  <c r="H57" i="111"/>
  <c r="F66" i="111"/>
  <c r="D66" i="111"/>
  <c r="C66" i="111"/>
  <c r="B61" i="111"/>
  <c r="M65" i="111"/>
  <c r="M60" i="111"/>
  <c r="F51" i="111"/>
  <c r="L65" i="111"/>
  <c r="L60" i="111"/>
  <c r="K68" i="111"/>
  <c r="E58" i="111"/>
  <c r="E67" i="111"/>
  <c r="D58" i="111"/>
  <c r="J65" i="111"/>
  <c r="C58" i="111"/>
  <c r="H65" i="111"/>
  <c r="B58" i="111"/>
  <c r="H64" i="111"/>
  <c r="L57" i="111"/>
  <c r="B63" i="111"/>
  <c r="M68" i="111"/>
  <c r="L68" i="111"/>
  <c r="D64" i="111"/>
  <c r="I62" i="111"/>
  <c r="D63" i="111"/>
  <c r="K62" i="111"/>
  <c r="K60" i="111"/>
  <c r="J57" i="111"/>
  <c r="C64" i="111"/>
  <c r="B59" i="111"/>
  <c r="C86" i="87"/>
  <c r="C84" i="87"/>
  <c r="B86" i="87"/>
  <c r="B84" i="87"/>
  <c r="I85" i="87"/>
  <c r="I83" i="87"/>
  <c r="H85" i="87"/>
  <c r="H83" i="87"/>
  <c r="G87" i="87"/>
  <c r="G85" i="87"/>
  <c r="G83" i="87"/>
  <c r="G81" i="87"/>
  <c r="C85" i="87"/>
  <c r="C83" i="87"/>
  <c r="F88" i="87"/>
  <c r="B85" i="87"/>
  <c r="D82" i="87"/>
  <c r="E88" i="87"/>
  <c r="I84" i="87"/>
  <c r="F81" i="87"/>
  <c r="D88" i="87"/>
  <c r="H84" i="87"/>
  <c r="E81" i="87"/>
  <c r="F87" i="87"/>
  <c r="G84" i="87"/>
  <c r="D81" i="87"/>
  <c r="E87" i="87"/>
  <c r="F84" i="87"/>
  <c r="H86" i="87"/>
  <c r="E83" i="87"/>
  <c r="E85" i="87"/>
  <c r="D85" i="87"/>
  <c r="E84" i="87"/>
  <c r="F83" i="87"/>
  <c r="F75" i="87"/>
  <c r="G82" i="87"/>
  <c r="F82" i="87"/>
  <c r="G88" i="87"/>
  <c r="E82" i="87"/>
  <c r="D87" i="87"/>
  <c r="I86" i="87"/>
  <c r="G86" i="87"/>
  <c r="F86" i="87"/>
  <c r="D83" i="87"/>
  <c r="E86" i="87"/>
  <c r="D86" i="87"/>
  <c r="F85" i="87"/>
  <c r="D84" i="87"/>
  <c r="B83" i="87"/>
  <c r="M35" i="76"/>
  <c r="L35" i="76"/>
  <c r="I124" i="111"/>
  <c r="H125" i="111"/>
  <c r="J48" i="99"/>
  <c r="E523" i="97"/>
  <c r="J11" i="97"/>
  <c r="K38" i="82"/>
  <c r="O176" i="81"/>
  <c r="B181" i="81"/>
  <c r="F138" i="71"/>
  <c r="L146" i="71"/>
  <c r="F143" i="71"/>
  <c r="I142" i="71"/>
  <c r="J152" i="71"/>
  <c r="F149" i="71"/>
  <c r="H149" i="71"/>
  <c r="F144" i="71"/>
  <c r="B143" i="71"/>
  <c r="M142" i="71"/>
  <c r="L142" i="71"/>
  <c r="K142" i="71"/>
  <c r="J142" i="71"/>
  <c r="J149" i="71"/>
  <c r="K149" i="71"/>
  <c r="K151" i="71"/>
  <c r="F142" i="71"/>
  <c r="G148" i="71"/>
  <c r="F152" i="71"/>
  <c r="C143" i="71"/>
  <c r="I144" i="71"/>
  <c r="L149" i="71"/>
  <c r="G150" i="71"/>
  <c r="B141" i="71"/>
  <c r="D146" i="71"/>
  <c r="I146" i="71"/>
  <c r="B150" i="71"/>
  <c r="E141" i="71"/>
  <c r="F141" i="71"/>
  <c r="H145" i="71"/>
  <c r="C147" i="71"/>
  <c r="C149" i="71"/>
  <c r="L144" i="71"/>
  <c r="E144" i="71"/>
  <c r="D148" i="71"/>
  <c r="C152" i="71"/>
  <c r="D151" i="71"/>
  <c r="G149" i="71"/>
  <c r="E149" i="71"/>
  <c r="K147" i="71"/>
  <c r="H143" i="71"/>
  <c r="M141" i="71"/>
  <c r="L145" i="71"/>
  <c r="J148" i="71"/>
  <c r="D143" i="71"/>
  <c r="C145" i="71"/>
  <c r="E150" i="71"/>
  <c r="K152" i="71"/>
  <c r="J150" i="71"/>
  <c r="J141" i="71"/>
  <c r="B142" i="71"/>
  <c r="L150" i="71"/>
  <c r="D149" i="71"/>
  <c r="J151" i="71"/>
  <c r="M144" i="71"/>
  <c r="G147" i="71"/>
  <c r="L141" i="71"/>
  <c r="K145" i="71"/>
  <c r="H141" i="71"/>
  <c r="K146" i="71"/>
  <c r="F147" i="71"/>
  <c r="D141" i="71"/>
  <c r="J143" i="71"/>
  <c r="K150" i="71"/>
  <c r="K141" i="71"/>
  <c r="G145" i="71"/>
  <c r="B148" i="71"/>
  <c r="I145" i="71"/>
  <c r="C141" i="71"/>
  <c r="D142" i="71"/>
  <c r="M145" i="71"/>
  <c r="F150" i="71"/>
  <c r="G151" i="71"/>
  <c r="C144" i="71"/>
  <c r="J144" i="71"/>
  <c r="G144" i="71"/>
  <c r="B149" i="71"/>
  <c r="C150" i="71"/>
  <c r="B144" i="71"/>
  <c r="G141" i="71"/>
  <c r="J147" i="71"/>
  <c r="K148" i="71"/>
  <c r="E152" i="71"/>
  <c r="E151" i="71"/>
  <c r="B145" i="71"/>
  <c r="K144" i="71"/>
  <c r="C148" i="71"/>
  <c r="B147" i="71"/>
  <c r="G143" i="71"/>
  <c r="M143" i="71"/>
  <c r="E143" i="71"/>
  <c r="C151" i="71"/>
  <c r="H146" i="71"/>
  <c r="I149" i="71"/>
  <c r="J146" i="71"/>
  <c r="D145" i="71"/>
  <c r="E146" i="71"/>
  <c r="F148" i="71"/>
  <c r="E147" i="71"/>
  <c r="B151" i="71"/>
  <c r="H142" i="71"/>
  <c r="E142" i="71"/>
  <c r="D144" i="71"/>
  <c r="B152" i="71"/>
  <c r="M150" i="71"/>
  <c r="G142" i="71"/>
  <c r="D150" i="71"/>
  <c r="E148" i="71"/>
  <c r="F151" i="71"/>
  <c r="I143" i="71"/>
  <c r="D147" i="71"/>
  <c r="C146" i="71"/>
  <c r="C142" i="71"/>
  <c r="B146" i="71"/>
  <c r="M149" i="71"/>
  <c r="H150" i="71"/>
  <c r="I141" i="71"/>
  <c r="G146" i="71"/>
  <c r="K143" i="71"/>
  <c r="E145" i="71"/>
  <c r="I13" i="63"/>
  <c r="K13" i="63" s="1"/>
  <c r="M34" i="72"/>
  <c r="L34" i="72"/>
  <c r="J10" i="75"/>
  <c r="I10" i="75"/>
  <c r="E430" i="69"/>
  <c r="N11" i="69"/>
  <c r="A392" i="69" s="1"/>
  <c r="J11" i="69"/>
  <c r="E168" i="101"/>
  <c r="J8" i="101"/>
  <c r="L143" i="71"/>
  <c r="N317" i="69"/>
  <c r="N318" i="69"/>
  <c r="M39" i="134"/>
  <c r="L39" i="134"/>
  <c r="J175" i="139"/>
  <c r="F174" i="139"/>
  <c r="B173" i="139"/>
  <c r="J171" i="139"/>
  <c r="F170" i="139"/>
  <c r="B169" i="139"/>
  <c r="J167" i="139"/>
  <c r="F166" i="139"/>
  <c r="B165" i="139"/>
  <c r="F175" i="139"/>
  <c r="M173" i="139"/>
  <c r="H172" i="139"/>
  <c r="C171" i="139"/>
  <c r="E168" i="139"/>
  <c r="H174" i="139"/>
  <c r="M172" i="139"/>
  <c r="G171" i="139"/>
  <c r="M169" i="139"/>
  <c r="M166" i="139"/>
  <c r="H165" i="139"/>
  <c r="C164" i="139"/>
  <c r="F158" i="139"/>
  <c r="M174" i="139"/>
  <c r="K171" i="139"/>
  <c r="K249" i="139" s="1"/>
  <c r="L294" i="139" s="1"/>
  <c r="C170" i="139"/>
  <c r="H168" i="139"/>
  <c r="L166" i="139"/>
  <c r="F165" i="139"/>
  <c r="L174" i="139"/>
  <c r="E173" i="139"/>
  <c r="I171" i="139"/>
  <c r="B170" i="139"/>
  <c r="K166" i="139"/>
  <c r="E165" i="139"/>
  <c r="K174" i="139"/>
  <c r="J174" i="139"/>
  <c r="C173" i="139"/>
  <c r="F171" i="139"/>
  <c r="C168" i="139"/>
  <c r="I166" i="139"/>
  <c r="C165" i="139"/>
  <c r="I174" i="139"/>
  <c r="L172" i="139"/>
  <c r="E171" i="139"/>
  <c r="I169" i="139"/>
  <c r="B168" i="139"/>
  <c r="H166" i="139"/>
  <c r="M164" i="139"/>
  <c r="K175" i="139"/>
  <c r="C174" i="139"/>
  <c r="L170" i="139"/>
  <c r="E169" i="139"/>
  <c r="I167" i="139"/>
  <c r="C166" i="139"/>
  <c r="I164" i="139"/>
  <c r="M175" i="139"/>
  <c r="I173" i="139"/>
  <c r="B171" i="139"/>
  <c r="L168" i="139"/>
  <c r="G166" i="139"/>
  <c r="F164" i="139"/>
  <c r="L175" i="139"/>
  <c r="H173" i="139"/>
  <c r="M170" i="139"/>
  <c r="E166" i="139"/>
  <c r="E164" i="139"/>
  <c r="I175" i="139"/>
  <c r="K170" i="139"/>
  <c r="D166" i="139"/>
  <c r="D164" i="139"/>
  <c r="H175" i="139"/>
  <c r="D173" i="139"/>
  <c r="J170" i="139"/>
  <c r="I168" i="139"/>
  <c r="B166" i="139"/>
  <c r="B164" i="139"/>
  <c r="G175" i="139"/>
  <c r="I170" i="139"/>
  <c r="D168" i="139"/>
  <c r="M165" i="139"/>
  <c r="B175" i="139"/>
  <c r="E172" i="139"/>
  <c r="D170" i="139"/>
  <c r="H167" i="139"/>
  <c r="I165" i="139"/>
  <c r="K165" i="139"/>
  <c r="J165" i="139"/>
  <c r="I172" i="139"/>
  <c r="D169" i="139"/>
  <c r="G165" i="139"/>
  <c r="C169" i="139"/>
  <c r="D165" i="139"/>
  <c r="D172" i="139"/>
  <c r="M168" i="139"/>
  <c r="L164" i="139"/>
  <c r="D175" i="139"/>
  <c r="L171" i="139"/>
  <c r="G167" i="139"/>
  <c r="G164" i="139"/>
  <c r="E174" i="139"/>
  <c r="L167" i="139"/>
  <c r="D174" i="139"/>
  <c r="K167" i="139"/>
  <c r="B174" i="139"/>
  <c r="F167" i="139"/>
  <c r="L173" i="139"/>
  <c r="E167" i="139"/>
  <c r="D167" i="139"/>
  <c r="H171" i="139"/>
  <c r="L165" i="139"/>
  <c r="M167" i="139"/>
  <c r="C167" i="139"/>
  <c r="B167" i="139"/>
  <c r="J166" i="139"/>
  <c r="E175" i="139"/>
  <c r="K164" i="139"/>
  <c r="B172" i="139"/>
  <c r="H170" i="139"/>
  <c r="G170" i="139"/>
  <c r="E170" i="139"/>
  <c r="L169" i="139"/>
  <c r="H169" i="139"/>
  <c r="C175" i="139"/>
  <c r="G174" i="139"/>
  <c r="C172" i="139"/>
  <c r="M171" i="139"/>
  <c r="D171" i="139"/>
  <c r="J164" i="139"/>
  <c r="H164" i="139"/>
  <c r="M33" i="138"/>
  <c r="L33" i="138"/>
  <c r="H12" i="139"/>
  <c r="I12" i="139" s="1"/>
  <c r="C196" i="139"/>
  <c r="L31" i="134"/>
  <c r="M31" i="134"/>
  <c r="K9" i="133"/>
  <c r="I62" i="127"/>
  <c r="C61" i="127"/>
  <c r="G59" i="127"/>
  <c r="G186" i="127" s="1"/>
  <c r="H225" i="127" s="1"/>
  <c r="K57" i="127"/>
  <c r="I54" i="127"/>
  <c r="C53" i="127"/>
  <c r="C62" i="127"/>
  <c r="F60" i="127"/>
  <c r="I58" i="127"/>
  <c r="B57" i="127"/>
  <c r="H53" i="127"/>
  <c r="K61" i="127"/>
  <c r="C60" i="127"/>
  <c r="H54" i="127"/>
  <c r="E62" i="127"/>
  <c r="E60" i="127"/>
  <c r="F54" i="127"/>
  <c r="D62" i="127"/>
  <c r="D60" i="127"/>
  <c r="E54" i="127"/>
  <c r="B62" i="127"/>
  <c r="B60" i="127"/>
  <c r="C58" i="127"/>
  <c r="C56" i="127"/>
  <c r="D54" i="127"/>
  <c r="J61" i="127"/>
  <c r="K59" i="127"/>
  <c r="B58" i="127"/>
  <c r="B56" i="127"/>
  <c r="C54" i="127"/>
  <c r="I61" i="127"/>
  <c r="J59" i="127"/>
  <c r="J57" i="127"/>
  <c r="K55" i="127"/>
  <c r="B54" i="127"/>
  <c r="G60" i="127"/>
  <c r="J54" i="127"/>
  <c r="K62" i="127"/>
  <c r="I59" i="127"/>
  <c r="G54" i="127"/>
  <c r="F47" i="127"/>
  <c r="J62" i="127"/>
  <c r="H59" i="127"/>
  <c r="C57" i="127"/>
  <c r="K53" i="127"/>
  <c r="H62" i="127"/>
  <c r="F59" i="127"/>
  <c r="K56" i="127"/>
  <c r="J53" i="127"/>
  <c r="G62" i="127"/>
  <c r="E59" i="127"/>
  <c r="J56" i="127"/>
  <c r="I53" i="127"/>
  <c r="F61" i="127"/>
  <c r="K58" i="127"/>
  <c r="I55" i="127"/>
  <c r="D53" i="127"/>
  <c r="C59" i="127"/>
  <c r="C55" i="127"/>
  <c r="B59" i="127"/>
  <c r="B55" i="127"/>
  <c r="J58" i="127"/>
  <c r="K54" i="127"/>
  <c r="H58" i="127"/>
  <c r="G53" i="127"/>
  <c r="F62" i="127"/>
  <c r="I57" i="127"/>
  <c r="E53" i="127"/>
  <c r="K60" i="127"/>
  <c r="F53" i="127"/>
  <c r="J60" i="127"/>
  <c r="B53" i="127"/>
  <c r="I60" i="127"/>
  <c r="H60" i="127"/>
  <c r="G61" i="127"/>
  <c r="E61" i="127"/>
  <c r="D61" i="127"/>
  <c r="B61" i="127"/>
  <c r="D59" i="127"/>
  <c r="I56" i="127"/>
  <c r="H61" i="127"/>
  <c r="H57" i="127"/>
  <c r="H56" i="127"/>
  <c r="J55" i="127"/>
  <c r="H55" i="127"/>
  <c r="L40" i="132"/>
  <c r="M40" i="132"/>
  <c r="L34" i="134"/>
  <c r="M34" i="134"/>
  <c r="F222" i="139"/>
  <c r="C234" i="139"/>
  <c r="B234" i="139"/>
  <c r="I13" i="133"/>
  <c r="F211" i="127"/>
  <c r="G232" i="127" s="1"/>
  <c r="G211" i="127"/>
  <c r="N225" i="127"/>
  <c r="G188" i="129"/>
  <c r="F188" i="129"/>
  <c r="H12" i="131"/>
  <c r="F166" i="129"/>
  <c r="G205" i="129" s="1"/>
  <c r="F282" i="133"/>
  <c r="G282" i="133"/>
  <c r="P298" i="133"/>
  <c r="K13" i="127"/>
  <c r="B255" i="121"/>
  <c r="K31" i="122"/>
  <c r="I10" i="121"/>
  <c r="I254" i="121"/>
  <c r="H259" i="121"/>
  <c r="B257" i="121"/>
  <c r="H254" i="121"/>
  <c r="F226" i="119"/>
  <c r="K237" i="119"/>
  <c r="G235" i="119"/>
  <c r="I238" i="119"/>
  <c r="F234" i="119"/>
  <c r="L233" i="119"/>
  <c r="G238" i="119"/>
  <c r="B234" i="119"/>
  <c r="E236" i="119"/>
  <c r="K234" i="119"/>
  <c r="G231" i="119"/>
  <c r="C235" i="119"/>
  <c r="E234" i="119"/>
  <c r="C236" i="119"/>
  <c r="F238" i="119"/>
  <c r="J235" i="119"/>
  <c r="L31" i="124"/>
  <c r="M31" i="124"/>
  <c r="E518" i="135"/>
  <c r="N6" i="135"/>
  <c r="F325" i="123"/>
  <c r="C121" i="113"/>
  <c r="C119" i="113"/>
  <c r="H120" i="113"/>
  <c r="H116" i="113"/>
  <c r="B121" i="113"/>
  <c r="G118" i="113"/>
  <c r="F116" i="113"/>
  <c r="I120" i="113"/>
  <c r="F118" i="113"/>
  <c r="E116" i="113"/>
  <c r="G120" i="113"/>
  <c r="D116" i="113"/>
  <c r="G122" i="113"/>
  <c r="E120" i="113"/>
  <c r="C118" i="113"/>
  <c r="B116" i="113"/>
  <c r="F121" i="113"/>
  <c r="B118" i="113"/>
  <c r="E115" i="113"/>
  <c r="C122" i="113"/>
  <c r="D119" i="113"/>
  <c r="H115" i="113"/>
  <c r="B122" i="113"/>
  <c r="B119" i="113"/>
  <c r="G115" i="113"/>
  <c r="F109" i="113"/>
  <c r="F115" i="113"/>
  <c r="D115" i="113"/>
  <c r="G121" i="113"/>
  <c r="C115" i="113"/>
  <c r="C120" i="113"/>
  <c r="F117" i="113"/>
  <c r="F122" i="113"/>
  <c r="C117" i="113"/>
  <c r="B117" i="113"/>
  <c r="I116" i="113"/>
  <c r="B120" i="113"/>
  <c r="B115" i="113"/>
  <c r="I119" i="113"/>
  <c r="G117" i="113"/>
  <c r="F120" i="113"/>
  <c r="D120" i="113"/>
  <c r="H119" i="113"/>
  <c r="G119" i="113"/>
  <c r="C116" i="113"/>
  <c r="E119" i="113"/>
  <c r="G116" i="113"/>
  <c r="I115" i="113"/>
  <c r="F119" i="113"/>
  <c r="L258" i="121"/>
  <c r="H253" i="121"/>
  <c r="I258" i="121"/>
  <c r="F246" i="119"/>
  <c r="F260" i="119"/>
  <c r="E260" i="119"/>
  <c r="C259" i="119"/>
  <c r="H255" i="119"/>
  <c r="C253" i="119"/>
  <c r="K252" i="119"/>
  <c r="G260" i="119"/>
  <c r="D255" i="119"/>
  <c r="C255" i="119"/>
  <c r="J252" i="119"/>
  <c r="G252" i="119"/>
  <c r="C252" i="119"/>
  <c r="P318" i="119"/>
  <c r="G302" i="119"/>
  <c r="F302" i="119"/>
  <c r="J85" i="121"/>
  <c r="I6" i="121"/>
  <c r="J257" i="119"/>
  <c r="G257" i="119"/>
  <c r="K89" i="121"/>
  <c r="G88" i="121"/>
  <c r="J86" i="121"/>
  <c r="F84" i="121"/>
  <c r="H88" i="121"/>
  <c r="E86" i="121"/>
  <c r="J95" i="121"/>
  <c r="B219" i="119"/>
  <c r="J217" i="119"/>
  <c r="F216" i="119"/>
  <c r="B215" i="119"/>
  <c r="J213" i="119"/>
  <c r="F212" i="119"/>
  <c r="B211" i="119"/>
  <c r="J209" i="119"/>
  <c r="F208" i="119"/>
  <c r="M218" i="119"/>
  <c r="I217" i="119"/>
  <c r="E216" i="119"/>
  <c r="M214" i="119"/>
  <c r="I213" i="119"/>
  <c r="E212" i="119"/>
  <c r="M210" i="119"/>
  <c r="I209" i="119"/>
  <c r="E208" i="119"/>
  <c r="M219" i="119"/>
  <c r="I218" i="119"/>
  <c r="E217" i="119"/>
  <c r="M215" i="119"/>
  <c r="E213" i="119"/>
  <c r="M211" i="119"/>
  <c r="E209" i="119"/>
  <c r="J219" i="119"/>
  <c r="C218" i="119"/>
  <c r="H216" i="119"/>
  <c r="K214" i="119"/>
  <c r="C213" i="119"/>
  <c r="M209" i="119"/>
  <c r="D208" i="119"/>
  <c r="I219" i="119"/>
  <c r="B218" i="119"/>
  <c r="G216" i="119"/>
  <c r="J214" i="119"/>
  <c r="B213" i="119"/>
  <c r="G211" i="119"/>
  <c r="L209" i="119"/>
  <c r="C208" i="119"/>
  <c r="H219" i="119"/>
  <c r="M217" i="119"/>
  <c r="D216" i="119"/>
  <c r="M212" i="119"/>
  <c r="F211" i="119"/>
  <c r="K209" i="119"/>
  <c r="B208" i="119"/>
  <c r="G219" i="119"/>
  <c r="L217" i="119"/>
  <c r="C216" i="119"/>
  <c r="G214" i="119"/>
  <c r="L212" i="119"/>
  <c r="H209" i="119"/>
  <c r="E219" i="119"/>
  <c r="H217" i="119"/>
  <c r="L215" i="119"/>
  <c r="J212" i="119"/>
  <c r="C211" i="119"/>
  <c r="F209" i="119"/>
  <c r="H218" i="119"/>
  <c r="B216" i="119"/>
  <c r="L213" i="119"/>
  <c r="M208" i="119"/>
  <c r="G218" i="119"/>
  <c r="K215" i="119"/>
  <c r="K213" i="119"/>
  <c r="L208" i="119"/>
  <c r="F202" i="119"/>
  <c r="F218" i="119"/>
  <c r="J215" i="119"/>
  <c r="H213" i="119"/>
  <c r="L210" i="119"/>
  <c r="K208" i="119"/>
  <c r="E218" i="119"/>
  <c r="G213" i="119"/>
  <c r="K210" i="119"/>
  <c r="J208" i="119"/>
  <c r="K217" i="119"/>
  <c r="G215" i="119"/>
  <c r="D213" i="119"/>
  <c r="H208" i="119"/>
  <c r="L219" i="119"/>
  <c r="K216" i="119"/>
  <c r="I212" i="119"/>
  <c r="G209" i="119"/>
  <c r="K219" i="119"/>
  <c r="J216" i="119"/>
  <c r="H212" i="119"/>
  <c r="D209" i="119"/>
  <c r="F219" i="119"/>
  <c r="I216" i="119"/>
  <c r="G212" i="119"/>
  <c r="C209" i="119"/>
  <c r="D219" i="119"/>
  <c r="D212" i="119"/>
  <c r="B209" i="119"/>
  <c r="C219" i="119"/>
  <c r="F215" i="119"/>
  <c r="C212" i="119"/>
  <c r="I208" i="119"/>
  <c r="D218" i="119"/>
  <c r="L214" i="119"/>
  <c r="J211" i="119"/>
  <c r="M216" i="119"/>
  <c r="G210" i="119"/>
  <c r="L216" i="119"/>
  <c r="F210" i="119"/>
  <c r="C215" i="119"/>
  <c r="C210" i="119"/>
  <c r="G217" i="119"/>
  <c r="K211" i="119"/>
  <c r="D217" i="119"/>
  <c r="C217" i="119"/>
  <c r="B217" i="119"/>
  <c r="B210" i="119"/>
  <c r="G208" i="119"/>
  <c r="F217" i="119"/>
  <c r="F214" i="119"/>
  <c r="C214" i="119"/>
  <c r="B214" i="119"/>
  <c r="M213" i="119"/>
  <c r="F213" i="119"/>
  <c r="L211" i="119"/>
  <c r="J210" i="119"/>
  <c r="L218" i="119"/>
  <c r="K218" i="119"/>
  <c r="J218" i="119"/>
  <c r="K212" i="119"/>
  <c r="B212" i="119"/>
  <c r="D170" i="119"/>
  <c r="C172" i="119"/>
  <c r="B168" i="119"/>
  <c r="K176" i="119"/>
  <c r="D175" i="119"/>
  <c r="J168" i="119"/>
  <c r="K235" i="119"/>
  <c r="J238" i="119"/>
  <c r="H230" i="119"/>
  <c r="D237" i="119"/>
  <c r="B236" i="119"/>
  <c r="L229" i="119"/>
  <c r="I233" i="119"/>
  <c r="J232" i="119"/>
  <c r="F97" i="115"/>
  <c r="J97" i="115"/>
  <c r="K91" i="115"/>
  <c r="C92" i="115"/>
  <c r="F219" i="117"/>
  <c r="B218" i="117"/>
  <c r="J216" i="117"/>
  <c r="F215" i="117"/>
  <c r="B214" i="117"/>
  <c r="J212" i="117"/>
  <c r="F211" i="117"/>
  <c r="B210" i="117"/>
  <c r="J208" i="117"/>
  <c r="D219" i="117"/>
  <c r="L217" i="117"/>
  <c r="H216" i="117"/>
  <c r="L213" i="117"/>
  <c r="H212" i="117"/>
  <c r="L209" i="117"/>
  <c r="H208" i="117"/>
  <c r="H219" i="117"/>
  <c r="M217" i="117"/>
  <c r="F216" i="117"/>
  <c r="L214" i="117"/>
  <c r="F213" i="117"/>
  <c r="L211" i="117"/>
  <c r="F210" i="117"/>
  <c r="L208" i="117"/>
  <c r="G219" i="117"/>
  <c r="K217" i="117"/>
  <c r="E216" i="117"/>
  <c r="K214" i="117"/>
  <c r="E213" i="117"/>
  <c r="K211" i="117"/>
  <c r="K208" i="117"/>
  <c r="E219" i="117"/>
  <c r="J217" i="117"/>
  <c r="D216" i="117"/>
  <c r="J214" i="117"/>
  <c r="D213" i="117"/>
  <c r="J211" i="117"/>
  <c r="I208" i="117"/>
  <c r="C219" i="117"/>
  <c r="I217" i="117"/>
  <c r="C216" i="117"/>
  <c r="C213" i="117"/>
  <c r="C210" i="117"/>
  <c r="G208" i="117"/>
  <c r="M218" i="117"/>
  <c r="G217" i="117"/>
  <c r="M215" i="117"/>
  <c r="G214" i="117"/>
  <c r="M212" i="117"/>
  <c r="G211" i="117"/>
  <c r="K209" i="117"/>
  <c r="E208" i="117"/>
  <c r="H218" i="117"/>
  <c r="G216" i="117"/>
  <c r="C214" i="117"/>
  <c r="B212" i="117"/>
  <c r="H209" i="117"/>
  <c r="G218" i="117"/>
  <c r="B216" i="117"/>
  <c r="M213" i="117"/>
  <c r="M211" i="117"/>
  <c r="G209" i="117"/>
  <c r="F218" i="117"/>
  <c r="L215" i="117"/>
  <c r="K213" i="117"/>
  <c r="F209" i="117"/>
  <c r="E218" i="117"/>
  <c r="K215" i="117"/>
  <c r="J213" i="117"/>
  <c r="E209" i="117"/>
  <c r="D218" i="117"/>
  <c r="J215" i="117"/>
  <c r="I213" i="117"/>
  <c r="C211" i="117"/>
  <c r="D209" i="117"/>
  <c r="F202" i="117"/>
  <c r="K219" i="117"/>
  <c r="E217" i="117"/>
  <c r="L212" i="117"/>
  <c r="K210" i="117"/>
  <c r="F208" i="117"/>
  <c r="I218" i="117"/>
  <c r="M214" i="117"/>
  <c r="M210" i="117"/>
  <c r="M219" i="117"/>
  <c r="K216" i="117"/>
  <c r="G212" i="117"/>
  <c r="M208" i="117"/>
  <c r="L219" i="117"/>
  <c r="D212" i="117"/>
  <c r="I219" i="117"/>
  <c r="G215" i="117"/>
  <c r="B211" i="117"/>
  <c r="B219" i="117"/>
  <c r="C215" i="117"/>
  <c r="L210" i="117"/>
  <c r="L218" i="117"/>
  <c r="B215" i="117"/>
  <c r="J210" i="117"/>
  <c r="K218" i="117"/>
  <c r="J218" i="117"/>
  <c r="F214" i="117"/>
  <c r="C218" i="117"/>
  <c r="G210" i="117"/>
  <c r="H217" i="117"/>
  <c r="E212" i="117"/>
  <c r="F217" i="117"/>
  <c r="C212" i="117"/>
  <c r="D217" i="117"/>
  <c r="M209" i="117"/>
  <c r="C217" i="117"/>
  <c r="J209" i="117"/>
  <c r="B217" i="117"/>
  <c r="I209" i="117"/>
  <c r="B208" i="117"/>
  <c r="K212" i="117"/>
  <c r="I212" i="117"/>
  <c r="F212" i="117"/>
  <c r="C209" i="117"/>
  <c r="B209" i="117"/>
  <c r="J219" i="117"/>
  <c r="M216" i="117"/>
  <c r="B213" i="117"/>
  <c r="L216" i="117"/>
  <c r="I216" i="117"/>
  <c r="H213" i="117"/>
  <c r="C208" i="117"/>
  <c r="G213" i="117"/>
  <c r="D208" i="117"/>
  <c r="I157" i="115"/>
  <c r="D155" i="115"/>
  <c r="E156" i="115"/>
  <c r="H156" i="115"/>
  <c r="J148" i="115"/>
  <c r="L43" i="117"/>
  <c r="J50" i="117"/>
  <c r="H42" i="117"/>
  <c r="B48" i="117"/>
  <c r="B47" i="117"/>
  <c r="M45" i="117"/>
  <c r="G147" i="113"/>
  <c r="F147" i="113"/>
  <c r="G150" i="113"/>
  <c r="F151" i="113"/>
  <c r="G149" i="113"/>
  <c r="F82" i="111"/>
  <c r="E82" i="111"/>
  <c r="G251" i="111"/>
  <c r="H78" i="111"/>
  <c r="F80" i="111"/>
  <c r="E83" i="111"/>
  <c r="H11" i="115"/>
  <c r="I11" i="115" s="1"/>
  <c r="M29" i="114"/>
  <c r="L29" i="114"/>
  <c r="C93" i="107"/>
  <c r="D89" i="107"/>
  <c r="I90" i="107"/>
  <c r="C97" i="107"/>
  <c r="M84" i="99"/>
  <c r="M34" i="108"/>
  <c r="L34" i="108"/>
  <c r="M37" i="98"/>
  <c r="L37" i="98"/>
  <c r="I8" i="105"/>
  <c r="K8" i="105" s="1"/>
  <c r="K31" i="108"/>
  <c r="M304" i="83"/>
  <c r="J294" i="83"/>
  <c r="N309" i="83"/>
  <c r="B309" i="83"/>
  <c r="L33" i="96"/>
  <c r="M33" i="96"/>
  <c r="F121" i="93"/>
  <c r="H135" i="93"/>
  <c r="H132" i="93"/>
  <c r="B135" i="93"/>
  <c r="D129" i="93"/>
  <c r="M133" i="93"/>
  <c r="M124" i="93"/>
  <c r="D126" i="93"/>
  <c r="I134" i="93"/>
  <c r="I126" i="93"/>
  <c r="D131" i="93"/>
  <c r="J133" i="93"/>
  <c r="E124" i="93"/>
  <c r="L127" i="93"/>
  <c r="K132" i="93"/>
  <c r="E130" i="93"/>
  <c r="I132" i="93"/>
  <c r="L129" i="93"/>
  <c r="F132" i="93"/>
  <c r="L134" i="93"/>
  <c r="H126" i="93"/>
  <c r="F129" i="93"/>
  <c r="E135" i="93"/>
  <c r="B129" i="93"/>
  <c r="J124" i="93"/>
  <c r="M125" i="93"/>
  <c r="H128" i="93"/>
  <c r="H133" i="93"/>
  <c r="D125" i="93"/>
  <c r="G127" i="93"/>
  <c r="M132" i="93"/>
  <c r="C126" i="93"/>
  <c r="G134" i="93"/>
  <c r="E131" i="93"/>
  <c r="L125" i="93"/>
  <c r="F128" i="93"/>
  <c r="L130" i="93"/>
  <c r="K131" i="93"/>
  <c r="J135" i="93"/>
  <c r="K128" i="93"/>
  <c r="M128" i="93"/>
  <c r="C128" i="93"/>
  <c r="G132" i="93"/>
  <c r="M134" i="93"/>
  <c r="M135" i="93"/>
  <c r="F127" i="93"/>
  <c r="D130" i="93"/>
  <c r="G125" i="93"/>
  <c r="G135" i="93"/>
  <c r="C132" i="93"/>
  <c r="J125" i="93"/>
  <c r="L131" i="93"/>
  <c r="E134" i="93"/>
  <c r="F124" i="93"/>
  <c r="I135" i="93"/>
  <c r="J132" i="93"/>
  <c r="K126" i="93"/>
  <c r="D135" i="93"/>
  <c r="I133" i="93"/>
  <c r="C134" i="93"/>
  <c r="F133" i="93"/>
  <c r="B126" i="93"/>
  <c r="D134" i="93"/>
  <c r="L133" i="93"/>
  <c r="E132" i="93"/>
  <c r="M129" i="93"/>
  <c r="G131" i="93"/>
  <c r="F135" i="93"/>
  <c r="J126" i="93"/>
  <c r="I129" i="93"/>
  <c r="F125" i="93"/>
  <c r="E127" i="93"/>
  <c r="K134" i="93"/>
  <c r="I128" i="93"/>
  <c r="C135" i="93"/>
  <c r="E128" i="93"/>
  <c r="B134" i="93"/>
  <c r="G130" i="93"/>
  <c r="B128" i="93"/>
  <c r="D132" i="93"/>
  <c r="G129" i="93"/>
  <c r="G126" i="93"/>
  <c r="J134" i="93"/>
  <c r="K127" i="93"/>
  <c r="K129" i="93"/>
  <c r="H129" i="93"/>
  <c r="H127" i="93"/>
  <c r="F130" i="93"/>
  <c r="B132" i="93"/>
  <c r="G128" i="93"/>
  <c r="D128" i="93"/>
  <c r="E125" i="93"/>
  <c r="C133" i="93"/>
  <c r="K124" i="93"/>
  <c r="M131" i="93"/>
  <c r="K125" i="93"/>
  <c r="D124" i="93"/>
  <c r="B133" i="93"/>
  <c r="F134" i="93"/>
  <c r="K130" i="93"/>
  <c r="B127" i="93"/>
  <c r="D133" i="93"/>
  <c r="E129" i="93"/>
  <c r="L132" i="93"/>
  <c r="J127" i="93"/>
  <c r="C129" i="93"/>
  <c r="D127" i="93"/>
  <c r="K133" i="93"/>
  <c r="J130" i="93"/>
  <c r="C127" i="93"/>
  <c r="F126" i="93"/>
  <c r="G124" i="93"/>
  <c r="M126" i="93"/>
  <c r="L124" i="93"/>
  <c r="L126" i="93"/>
  <c r="L128" i="93"/>
  <c r="H134" i="93"/>
  <c r="I127" i="93"/>
  <c r="E133" i="93"/>
  <c r="B93" i="107"/>
  <c r="L35" i="110"/>
  <c r="M35" i="110"/>
  <c r="D173" i="89"/>
  <c r="M28" i="84"/>
  <c r="L28" i="84"/>
  <c r="B304" i="83"/>
  <c r="I137" i="89"/>
  <c r="H12" i="83"/>
  <c r="P80" i="81"/>
  <c r="C83" i="81"/>
  <c r="J249" i="79"/>
  <c r="E257" i="79"/>
  <c r="H58" i="91"/>
  <c r="L47" i="99"/>
  <c r="I180" i="81"/>
  <c r="F182" i="81"/>
  <c r="M31" i="70"/>
  <c r="L31" i="70"/>
  <c r="I7" i="65"/>
  <c r="J129" i="93"/>
  <c r="K10" i="127"/>
  <c r="K10" i="131"/>
  <c r="P316" i="131"/>
  <c r="F300" i="131"/>
  <c r="G300" i="131"/>
  <c r="F272" i="133"/>
  <c r="G272" i="133"/>
  <c r="K252" i="121"/>
  <c r="F263" i="121"/>
  <c r="I9" i="123"/>
  <c r="E252" i="121"/>
  <c r="L260" i="121"/>
  <c r="F258" i="121"/>
  <c r="L255" i="121"/>
  <c r="F29" i="129"/>
  <c r="I38" i="129"/>
  <c r="D38" i="129"/>
  <c r="K32" i="129"/>
  <c r="F41" i="129"/>
  <c r="J35" i="129"/>
  <c r="G35" i="129"/>
  <c r="G41" i="129"/>
  <c r="E38" i="129"/>
  <c r="K37" i="129"/>
  <c r="F36" i="129"/>
  <c r="C36" i="129"/>
  <c r="C163" i="129" s="1"/>
  <c r="D202" i="129" s="1"/>
  <c r="H16" i="119"/>
  <c r="C40" i="129"/>
  <c r="E421" i="135"/>
  <c r="C421" i="135"/>
  <c r="F328" i="123"/>
  <c r="I11" i="121"/>
  <c r="K11" i="121" s="1"/>
  <c r="G259" i="121"/>
  <c r="I257" i="121"/>
  <c r="K11" i="123"/>
  <c r="F162" i="119"/>
  <c r="K169" i="119"/>
  <c r="H172" i="119"/>
  <c r="B171" i="119"/>
  <c r="E169" i="119"/>
  <c r="C169" i="119"/>
  <c r="H176" i="119"/>
  <c r="J177" i="119"/>
  <c r="B176" i="119"/>
  <c r="G167" i="119"/>
  <c r="C177" i="119"/>
  <c r="D169" i="119"/>
  <c r="H170" i="119"/>
  <c r="H175" i="119"/>
  <c r="B174" i="119"/>
  <c r="I15" i="121"/>
  <c r="F252" i="119"/>
  <c r="H261" i="119"/>
  <c r="K95" i="121"/>
  <c r="E89" i="121"/>
  <c r="G86" i="121"/>
  <c r="L89" i="121"/>
  <c r="I87" i="121"/>
  <c r="D85" i="121"/>
  <c r="L230" i="119"/>
  <c r="F166" i="119"/>
  <c r="J176" i="119"/>
  <c r="I170" i="119"/>
  <c r="I167" i="119"/>
  <c r="H177" i="119"/>
  <c r="C170" i="119"/>
  <c r="I176" i="119"/>
  <c r="I230" i="119"/>
  <c r="C229" i="119"/>
  <c r="J233" i="119"/>
  <c r="H239" i="119"/>
  <c r="J237" i="119"/>
  <c r="I231" i="119"/>
  <c r="M234" i="119"/>
  <c r="F235" i="119"/>
  <c r="K99" i="115"/>
  <c r="P318" i="117"/>
  <c r="G302" i="117"/>
  <c r="F302" i="117"/>
  <c r="H154" i="115"/>
  <c r="B148" i="115"/>
  <c r="I148" i="115"/>
  <c r="L48" i="117"/>
  <c r="D45" i="117"/>
  <c r="E44" i="117"/>
  <c r="B50" i="117"/>
  <c r="F48" i="117"/>
  <c r="E47" i="117"/>
  <c r="M33" i="112"/>
  <c r="L33" i="112"/>
  <c r="I7" i="111"/>
  <c r="F74" i="111"/>
  <c r="B89" i="111"/>
  <c r="E88" i="111"/>
  <c r="G86" i="111"/>
  <c r="K83" i="111"/>
  <c r="B86" i="111"/>
  <c r="L85" i="111"/>
  <c r="L82" i="111"/>
  <c r="L80" i="111"/>
  <c r="J80" i="111"/>
  <c r="H80" i="111"/>
  <c r="M78" i="111"/>
  <c r="E78" i="111"/>
  <c r="D87" i="111"/>
  <c r="H89" i="111"/>
  <c r="K80" i="111"/>
  <c r="I82" i="111"/>
  <c r="M86" i="111"/>
  <c r="F83" i="111"/>
  <c r="D81" i="111"/>
  <c r="H82" i="111"/>
  <c r="M82" i="111"/>
  <c r="B84" i="111"/>
  <c r="F78" i="111"/>
  <c r="D78" i="111"/>
  <c r="C78" i="111"/>
  <c r="I79" i="111"/>
  <c r="I83" i="111"/>
  <c r="C80" i="111"/>
  <c r="L78" i="111"/>
  <c r="D89" i="111"/>
  <c r="G80" i="111"/>
  <c r="M80" i="111"/>
  <c r="L89" i="111"/>
  <c r="D88" i="111"/>
  <c r="M81" i="111"/>
  <c r="J83" i="111"/>
  <c r="G88" i="111"/>
  <c r="K82" i="111"/>
  <c r="D79" i="111"/>
  <c r="D84" i="111"/>
  <c r="G83" i="111"/>
  <c r="C81" i="111"/>
  <c r="E80" i="111"/>
  <c r="B85" i="111"/>
  <c r="F79" i="111"/>
  <c r="J79" i="111"/>
  <c r="F89" i="111"/>
  <c r="J81" i="111"/>
  <c r="B82" i="111"/>
  <c r="I97" i="107"/>
  <c r="H97" i="107"/>
  <c r="C91" i="107"/>
  <c r="G93" i="99"/>
  <c r="F162" i="117"/>
  <c r="E174" i="117"/>
  <c r="G168" i="117"/>
  <c r="H174" i="117"/>
  <c r="G174" i="117"/>
  <c r="D172" i="117"/>
  <c r="H170" i="117"/>
  <c r="I174" i="117"/>
  <c r="E170" i="117"/>
  <c r="I168" i="117"/>
  <c r="K173" i="117"/>
  <c r="M175" i="117"/>
  <c r="G167" i="117"/>
  <c r="K170" i="117"/>
  <c r="D177" i="117"/>
  <c r="E166" i="117"/>
  <c r="F168" i="117"/>
  <c r="E86" i="99"/>
  <c r="I10" i="99"/>
  <c r="K10" i="99" s="1"/>
  <c r="M29" i="104"/>
  <c r="L29" i="104"/>
  <c r="F227" i="91"/>
  <c r="F230" i="91"/>
  <c r="G227" i="91"/>
  <c r="F234" i="91"/>
  <c r="F235" i="91"/>
  <c r="F233" i="91"/>
  <c r="F228" i="91"/>
  <c r="C79" i="111"/>
  <c r="D298" i="83"/>
  <c r="J295" i="83"/>
  <c r="O294" i="83"/>
  <c r="O205" i="83"/>
  <c r="O204" i="83"/>
  <c r="O203" i="83"/>
  <c r="O202" i="83"/>
  <c r="O201" i="83"/>
  <c r="O200" i="83"/>
  <c r="O199" i="83"/>
  <c r="O198" i="83"/>
  <c r="O197" i="83"/>
  <c r="O196" i="83"/>
  <c r="O195" i="83"/>
  <c r="O194" i="83"/>
  <c r="J209" i="83"/>
  <c r="J208" i="83"/>
  <c r="J207" i="83"/>
  <c r="J206" i="83"/>
  <c r="J205" i="83"/>
  <c r="J204" i="83"/>
  <c r="J203" i="83"/>
  <c r="J202" i="83"/>
  <c r="J201" i="83"/>
  <c r="J200" i="83"/>
  <c r="J199" i="83"/>
  <c r="J198" i="83"/>
  <c r="J197" i="83"/>
  <c r="J196" i="83"/>
  <c r="J195" i="83"/>
  <c r="J194" i="83"/>
  <c r="M208" i="83"/>
  <c r="K207" i="83"/>
  <c r="H206" i="83"/>
  <c r="F205" i="83"/>
  <c r="D204" i="83"/>
  <c r="B203" i="83"/>
  <c r="P201" i="83"/>
  <c r="M200" i="83"/>
  <c r="K199" i="83"/>
  <c r="H198" i="83"/>
  <c r="F197" i="83"/>
  <c r="D196" i="83"/>
  <c r="B195" i="83"/>
  <c r="L208" i="83"/>
  <c r="I207" i="83"/>
  <c r="G206" i="83"/>
  <c r="E205" i="83"/>
  <c r="C204" i="83"/>
  <c r="Q202" i="83"/>
  <c r="N201" i="83"/>
  <c r="L200" i="83"/>
  <c r="I199" i="83"/>
  <c r="G198" i="83"/>
  <c r="E197" i="83"/>
  <c r="C196" i="83"/>
  <c r="Q194" i="83"/>
  <c r="K208" i="83"/>
  <c r="H207" i="83"/>
  <c r="F206" i="83"/>
  <c r="D205" i="83"/>
  <c r="B204" i="83"/>
  <c r="P202" i="83"/>
  <c r="M201" i="83"/>
  <c r="K200" i="83"/>
  <c r="H199" i="83"/>
  <c r="F198" i="83"/>
  <c r="D197" i="83"/>
  <c r="B196" i="83"/>
  <c r="P194" i="83"/>
  <c r="M209" i="83"/>
  <c r="I208" i="83"/>
  <c r="G207" i="83"/>
  <c r="E206" i="83"/>
  <c r="C205" i="83"/>
  <c r="Q203" i="83"/>
  <c r="N202" i="83"/>
  <c r="L201" i="83"/>
  <c r="I200" i="83"/>
  <c r="G199" i="83"/>
  <c r="E198" i="83"/>
  <c r="C197" i="83"/>
  <c r="Q195" i="83"/>
  <c r="N194" i="83"/>
  <c r="L209" i="83"/>
  <c r="H208" i="83"/>
  <c r="F207" i="83"/>
  <c r="D206" i="83"/>
  <c r="B205" i="83"/>
  <c r="P203" i="83"/>
  <c r="M202" i="83"/>
  <c r="K201" i="83"/>
  <c r="H200" i="83"/>
  <c r="F199" i="83"/>
  <c r="D198" i="83"/>
  <c r="B197" i="83"/>
  <c r="P195" i="83"/>
  <c r="M194" i="83"/>
  <c r="G209" i="83"/>
  <c r="D208" i="83"/>
  <c r="B207" i="83"/>
  <c r="P205" i="83"/>
  <c r="M204" i="83"/>
  <c r="K203" i="83"/>
  <c r="H202" i="83"/>
  <c r="F201" i="83"/>
  <c r="D200" i="83"/>
  <c r="B199" i="83"/>
  <c r="P197" i="83"/>
  <c r="M196" i="83"/>
  <c r="K195" i="83"/>
  <c r="H194" i="83"/>
  <c r="E209" i="83"/>
  <c r="E207" i="83"/>
  <c r="K205" i="83"/>
  <c r="L203" i="83"/>
  <c r="B202" i="83"/>
  <c r="B200" i="83"/>
  <c r="C198" i="83"/>
  <c r="H196" i="83"/>
  <c r="I194" i="83"/>
  <c r="Q204" i="83"/>
  <c r="F203" i="83"/>
  <c r="G201" i="83"/>
  <c r="M199" i="83"/>
  <c r="M197" i="83"/>
  <c r="N195" i="83"/>
  <c r="D194" i="83"/>
  <c r="C209" i="83"/>
  <c r="L204" i="83"/>
  <c r="K202" i="83"/>
  <c r="N200" i="83"/>
  <c r="L198" i="83"/>
  <c r="I196" i="83"/>
  <c r="F194" i="83"/>
  <c r="B209" i="83"/>
  <c r="M206" i="83"/>
  <c r="K204" i="83"/>
  <c r="I202" i="83"/>
  <c r="G200" i="83"/>
  <c r="K198" i="83"/>
  <c r="G196" i="83"/>
  <c r="E194" i="83"/>
  <c r="L206" i="83"/>
  <c r="I204" i="83"/>
  <c r="G202" i="83"/>
  <c r="F200" i="83"/>
  <c r="I198" i="83"/>
  <c r="F196" i="83"/>
  <c r="C194" i="83"/>
  <c r="G208" i="83"/>
  <c r="K206" i="83"/>
  <c r="H204" i="83"/>
  <c r="F202" i="83"/>
  <c r="E200" i="83"/>
  <c r="B198" i="83"/>
  <c r="E196" i="83"/>
  <c r="B194" i="83"/>
  <c r="F208" i="83"/>
  <c r="I206" i="83"/>
  <c r="G204" i="83"/>
  <c r="E202" i="83"/>
  <c r="C200" i="83"/>
  <c r="Q197" i="83"/>
  <c r="M195" i="83"/>
  <c r="E208" i="83"/>
  <c r="C206" i="83"/>
  <c r="F204" i="83"/>
  <c r="D202" i="83"/>
  <c r="Q199" i="83"/>
  <c r="N197" i="83"/>
  <c r="L195" i="83"/>
  <c r="D209" i="83"/>
  <c r="I205" i="83"/>
  <c r="Q201" i="83"/>
  <c r="P198" i="83"/>
  <c r="F195" i="83"/>
  <c r="C208" i="83"/>
  <c r="H205" i="83"/>
  <c r="I201" i="83"/>
  <c r="N198" i="83"/>
  <c r="E195" i="83"/>
  <c r="B208" i="83"/>
  <c r="G205" i="83"/>
  <c r="H201" i="83"/>
  <c r="M198" i="83"/>
  <c r="D195" i="83"/>
  <c r="P204" i="83"/>
  <c r="E201" i="83"/>
  <c r="L197" i="83"/>
  <c r="C195" i="83"/>
  <c r="N204" i="83"/>
  <c r="D201" i="83"/>
  <c r="K197" i="83"/>
  <c r="L194" i="83"/>
  <c r="C207" i="83"/>
  <c r="H203" i="83"/>
  <c r="P199" i="83"/>
  <c r="P196" i="83"/>
  <c r="N203" i="83"/>
  <c r="D199" i="83"/>
  <c r="K209" i="83"/>
  <c r="M203" i="83"/>
  <c r="C199" i="83"/>
  <c r="I209" i="83"/>
  <c r="I203" i="83"/>
  <c r="Q198" i="83"/>
  <c r="H209" i="83"/>
  <c r="G203" i="83"/>
  <c r="I197" i="83"/>
  <c r="F188" i="83"/>
  <c r="F209" i="83"/>
  <c r="E203" i="83"/>
  <c r="H197" i="83"/>
  <c r="D203" i="83"/>
  <c r="G197" i="83"/>
  <c r="B201" i="83"/>
  <c r="Q200" i="83"/>
  <c r="M207" i="83"/>
  <c r="P200" i="83"/>
  <c r="L207" i="83"/>
  <c r="N199" i="83"/>
  <c r="D207" i="83"/>
  <c r="L199" i="83"/>
  <c r="N205" i="83"/>
  <c r="L196" i="83"/>
  <c r="E204" i="83"/>
  <c r="C203" i="83"/>
  <c r="L202" i="83"/>
  <c r="C202" i="83"/>
  <c r="C201" i="83"/>
  <c r="K196" i="83"/>
  <c r="I195" i="83"/>
  <c r="H195" i="83"/>
  <c r="G195" i="83"/>
  <c r="K194" i="83"/>
  <c r="G194" i="83"/>
  <c r="B206" i="83"/>
  <c r="Q205" i="83"/>
  <c r="M205" i="83"/>
  <c r="L205" i="83"/>
  <c r="E199" i="83"/>
  <c r="N196" i="83"/>
  <c r="Q196" i="83"/>
  <c r="F165" i="81"/>
  <c r="I183" i="81"/>
  <c r="M171" i="81"/>
  <c r="K181" i="81"/>
  <c r="E171" i="81"/>
  <c r="J181" i="81"/>
  <c r="O170" i="81"/>
  <c r="G180" i="81"/>
  <c r="F170" i="81"/>
  <c r="F180" i="81"/>
  <c r="M176" i="81"/>
  <c r="J172" i="81"/>
  <c r="I172" i="81"/>
  <c r="J184" i="81"/>
  <c r="O178" i="81"/>
  <c r="I177" i="81"/>
  <c r="H177" i="81"/>
  <c r="N175" i="81"/>
  <c r="K175" i="81"/>
  <c r="K172" i="81"/>
  <c r="M183" i="81"/>
  <c r="K183" i="81"/>
  <c r="K176" i="81"/>
  <c r="J176" i="81"/>
  <c r="N183" i="81"/>
  <c r="D172" i="81"/>
  <c r="C172" i="81"/>
  <c r="B172" i="81"/>
  <c r="Q173" i="81"/>
  <c r="P173" i="81"/>
  <c r="L173" i="81"/>
  <c r="E173" i="81"/>
  <c r="G179" i="81"/>
  <c r="J169" i="81"/>
  <c r="E174" i="81"/>
  <c r="K170" i="81"/>
  <c r="G170" i="81"/>
  <c r="F178" i="81"/>
  <c r="D171" i="81"/>
  <c r="C171" i="81"/>
  <c r="B171" i="81"/>
  <c r="Q172" i="81"/>
  <c r="P172" i="81"/>
  <c r="L172" i="81"/>
  <c r="F181" i="81"/>
  <c r="I171" i="81"/>
  <c r="K177" i="81"/>
  <c r="G182" i="81"/>
  <c r="E177" i="81"/>
  <c r="N171" i="81"/>
  <c r="F183" i="81"/>
  <c r="H173" i="81"/>
  <c r="D170" i="81"/>
  <c r="C170" i="81"/>
  <c r="B170" i="81"/>
  <c r="Q171" i="81"/>
  <c r="P171" i="81"/>
  <c r="L171" i="81"/>
  <c r="J179" i="81"/>
  <c r="N169" i="81"/>
  <c r="E176" i="81"/>
  <c r="E180" i="81"/>
  <c r="G174" i="81"/>
  <c r="E169" i="81"/>
  <c r="K178" i="81"/>
  <c r="H180" i="81"/>
  <c r="D169" i="81"/>
  <c r="C169" i="81"/>
  <c r="B169" i="81"/>
  <c r="Q170" i="81"/>
  <c r="P170" i="81"/>
  <c r="L170" i="81"/>
  <c r="O177" i="81"/>
  <c r="F184" i="81"/>
  <c r="I174" i="81"/>
  <c r="G177" i="81"/>
  <c r="E172" i="81"/>
  <c r="J183" i="81"/>
  <c r="F175" i="81"/>
  <c r="I181" i="81"/>
  <c r="D183" i="81"/>
  <c r="C183" i="81"/>
  <c r="B183" i="81"/>
  <c r="Q184" i="81"/>
  <c r="P184" i="81"/>
  <c r="L184" i="81"/>
  <c r="I184" i="81"/>
  <c r="M174" i="81"/>
  <c r="G171" i="81"/>
  <c r="G172" i="81"/>
  <c r="M184" i="81"/>
  <c r="J178" i="81"/>
  <c r="E183" i="81"/>
  <c r="D179" i="81"/>
  <c r="C179" i="81"/>
  <c r="B179" i="81"/>
  <c r="Q180" i="81"/>
  <c r="P180" i="81"/>
  <c r="E178" i="81"/>
  <c r="G184" i="81"/>
  <c r="J174" i="81"/>
  <c r="F174" i="81"/>
  <c r="H183" i="81"/>
  <c r="K173" i="81"/>
  <c r="C184" i="81"/>
  <c r="B176" i="81"/>
  <c r="P182" i="81"/>
  <c r="L175" i="81"/>
  <c r="K182" i="81"/>
  <c r="N172" i="81"/>
  <c r="F172" i="81"/>
  <c r="J173" i="81"/>
  <c r="G178" i="81"/>
  <c r="J180" i="81"/>
  <c r="K180" i="81"/>
  <c r="J175" i="81"/>
  <c r="C182" i="81"/>
  <c r="B175" i="81"/>
  <c r="P181" i="81"/>
  <c r="L174" i="81"/>
  <c r="E181" i="81"/>
  <c r="K169" i="81"/>
  <c r="H169" i="81"/>
  <c r="M170" i="81"/>
  <c r="M173" i="81"/>
  <c r="C181" i="81"/>
  <c r="B174" i="81"/>
  <c r="P179" i="81"/>
  <c r="L169" i="81"/>
  <c r="I179" i="81"/>
  <c r="O183" i="81"/>
  <c r="N184" i="81"/>
  <c r="N178" i="81"/>
  <c r="C180" i="81"/>
  <c r="B173" i="81"/>
  <c r="P178" i="81"/>
  <c r="N177" i="81"/>
  <c r="H182" i="81"/>
  <c r="E182" i="81"/>
  <c r="H175" i="81"/>
  <c r="H172" i="81"/>
  <c r="C177" i="81"/>
  <c r="Q183" i="81"/>
  <c r="P176" i="81"/>
  <c r="K179" i="81"/>
  <c r="K174" i="81"/>
  <c r="J177" i="81"/>
  <c r="G183" i="81"/>
  <c r="D184" i="81"/>
  <c r="C176" i="81"/>
  <c r="Q182" i="81"/>
  <c r="P175" i="81"/>
  <c r="I176" i="81"/>
  <c r="J182" i="81"/>
  <c r="O175" i="81"/>
  <c r="M178" i="81"/>
  <c r="D180" i="81"/>
  <c r="C173" i="81"/>
  <c r="Q178" i="81"/>
  <c r="L183" i="81"/>
  <c r="K171" i="81"/>
  <c r="F176" i="81"/>
  <c r="F171" i="81"/>
  <c r="F169" i="81"/>
  <c r="I178" i="81"/>
  <c r="D178" i="81"/>
  <c r="B184" i="81"/>
  <c r="Q177" i="81"/>
  <c r="E170" i="81"/>
  <c r="O172" i="81"/>
  <c r="E175" i="81"/>
  <c r="K184" i="81"/>
  <c r="O173" i="81"/>
  <c r="D173" i="81"/>
  <c r="B177" i="81"/>
  <c r="P183" i="81"/>
  <c r="L176" i="81"/>
  <c r="O169" i="81"/>
  <c r="O174" i="81"/>
  <c r="M175" i="81"/>
  <c r="D175" i="81"/>
  <c r="P177" i="81"/>
  <c r="M177" i="81"/>
  <c r="E179" i="81"/>
  <c r="D174" i="81"/>
  <c r="P174" i="81"/>
  <c r="H171" i="81"/>
  <c r="N176" i="81"/>
  <c r="C178" i="81"/>
  <c r="P169" i="81"/>
  <c r="M169" i="81"/>
  <c r="H181" i="81"/>
  <c r="C175" i="81"/>
  <c r="E184" i="81"/>
  <c r="N170" i="81"/>
  <c r="C174" i="81"/>
  <c r="I182" i="81"/>
  <c r="G175" i="81"/>
  <c r="B182" i="81"/>
  <c r="L178" i="81"/>
  <c r="F179" i="81"/>
  <c r="J170" i="81"/>
  <c r="B178" i="81"/>
  <c r="N174" i="81"/>
  <c r="I169" i="81"/>
  <c r="N173" i="81"/>
  <c r="G173" i="81"/>
  <c r="O184" i="81"/>
  <c r="H170" i="81"/>
  <c r="Q179" i="81"/>
  <c r="H176" i="81"/>
  <c r="F177" i="81"/>
  <c r="D182" i="81"/>
  <c r="Q176" i="81"/>
  <c r="F173" i="81"/>
  <c r="G169" i="81"/>
  <c r="C96" i="107"/>
  <c r="J172" i="89"/>
  <c r="G168" i="89"/>
  <c r="C54" i="87"/>
  <c r="C52" i="87"/>
  <c r="C50" i="87"/>
  <c r="C48" i="87"/>
  <c r="B54" i="87"/>
  <c r="B52" i="87"/>
  <c r="B50" i="87"/>
  <c r="B48" i="87"/>
  <c r="I53" i="87"/>
  <c r="I51" i="87"/>
  <c r="I49" i="87"/>
  <c r="I47" i="87"/>
  <c r="H53" i="87"/>
  <c r="H51" i="87"/>
  <c r="H49" i="87"/>
  <c r="H47" i="87"/>
  <c r="G53" i="87"/>
  <c r="G47" i="87"/>
  <c r="C53" i="87"/>
  <c r="C51" i="87"/>
  <c r="C49" i="87"/>
  <c r="C47" i="87"/>
  <c r="E54" i="87"/>
  <c r="I50" i="87"/>
  <c r="F47" i="87"/>
  <c r="D54" i="87"/>
  <c r="H50" i="87"/>
  <c r="E47" i="87"/>
  <c r="F53" i="87"/>
  <c r="D47" i="87"/>
  <c r="E53" i="87"/>
  <c r="B47" i="87"/>
  <c r="D53" i="87"/>
  <c r="F54" i="87"/>
  <c r="H48" i="87"/>
  <c r="B53" i="87"/>
  <c r="G48" i="87"/>
  <c r="I52" i="87"/>
  <c r="F48" i="87"/>
  <c r="D48" i="87"/>
  <c r="F41" i="87"/>
  <c r="B51" i="87"/>
  <c r="H52" i="87"/>
  <c r="I54" i="87"/>
  <c r="H54" i="87"/>
  <c r="G54" i="87"/>
  <c r="B49" i="87"/>
  <c r="I48" i="87"/>
  <c r="E48" i="87"/>
  <c r="G309" i="83"/>
  <c r="I9" i="81"/>
  <c r="J9" i="81" s="1"/>
  <c r="H301" i="83"/>
  <c r="J95" i="97"/>
  <c r="F94" i="97"/>
  <c r="B93" i="97"/>
  <c r="F90" i="97"/>
  <c r="B89" i="97"/>
  <c r="J87" i="97"/>
  <c r="F86" i="97"/>
  <c r="B85" i="97"/>
  <c r="I95" i="97"/>
  <c r="E94" i="97"/>
  <c r="M92" i="97"/>
  <c r="E90" i="97"/>
  <c r="M88" i="97"/>
  <c r="I87" i="97"/>
  <c r="E86" i="97"/>
  <c r="M84" i="97"/>
  <c r="E95" i="97"/>
  <c r="M93" i="97"/>
  <c r="E91" i="97"/>
  <c r="M89" i="97"/>
  <c r="I88" i="97"/>
  <c r="E87" i="97"/>
  <c r="M85" i="97"/>
  <c r="I84" i="97"/>
  <c r="I94" i="97"/>
  <c r="L92" i="97"/>
  <c r="D91" i="97"/>
  <c r="I89" i="97"/>
  <c r="B88" i="97"/>
  <c r="G86" i="97"/>
  <c r="J84" i="97"/>
  <c r="G94" i="97"/>
  <c r="B91" i="97"/>
  <c r="G89" i="97"/>
  <c r="L87" i="97"/>
  <c r="C86" i="97"/>
  <c r="G84" i="97"/>
  <c r="L95" i="97"/>
  <c r="C94" i="97"/>
  <c r="G92" i="97"/>
  <c r="L90" i="97"/>
  <c r="E89" i="97"/>
  <c r="H87" i="97"/>
  <c r="L85" i="97"/>
  <c r="E84" i="97"/>
  <c r="F78" i="97"/>
  <c r="K95" i="97"/>
  <c r="B94" i="97"/>
  <c r="F92" i="97"/>
  <c r="D89" i="97"/>
  <c r="G87" i="97"/>
  <c r="K85" i="97"/>
  <c r="D84" i="97"/>
  <c r="D94" i="97"/>
  <c r="B92" i="97"/>
  <c r="L89" i="97"/>
  <c r="K87" i="97"/>
  <c r="G85" i="97"/>
  <c r="L93" i="97"/>
  <c r="M91" i="97"/>
  <c r="K89" i="97"/>
  <c r="F87" i="97"/>
  <c r="F85" i="97"/>
  <c r="L91" i="97"/>
  <c r="J89" i="97"/>
  <c r="D87" i="97"/>
  <c r="E85" i="97"/>
  <c r="H89" i="97"/>
  <c r="C87" i="97"/>
  <c r="D85" i="97"/>
  <c r="M95" i="97"/>
  <c r="F89" i="97"/>
  <c r="B87" i="97"/>
  <c r="C85" i="97"/>
  <c r="D95" i="97"/>
  <c r="E93" i="97"/>
  <c r="M90" i="97"/>
  <c r="J88" i="97"/>
  <c r="J86" i="97"/>
  <c r="F84" i="97"/>
  <c r="C93" i="97"/>
  <c r="C89" i="97"/>
  <c r="B86" i="97"/>
  <c r="L88" i="97"/>
  <c r="J85" i="97"/>
  <c r="H95" i="97"/>
  <c r="K88" i="97"/>
  <c r="I85" i="97"/>
  <c r="G95" i="97"/>
  <c r="E92" i="97"/>
  <c r="H88" i="97"/>
  <c r="H85" i="97"/>
  <c r="F95" i="97"/>
  <c r="D92" i="97"/>
  <c r="G88" i="97"/>
  <c r="L84" i="97"/>
  <c r="L94" i="97"/>
  <c r="C91" i="97"/>
  <c r="C88" i="97"/>
  <c r="B84" i="97"/>
  <c r="J94" i="97"/>
  <c r="F88" i="97"/>
  <c r="H94" i="97"/>
  <c r="E88" i="97"/>
  <c r="D88" i="97"/>
  <c r="G93" i="97"/>
  <c r="M87" i="97"/>
  <c r="F93" i="97"/>
  <c r="M86" i="97"/>
  <c r="C95" i="97"/>
  <c r="G90" i="97"/>
  <c r="C84" i="97"/>
  <c r="D93" i="97"/>
  <c r="H84" i="97"/>
  <c r="C92" i="97"/>
  <c r="G91" i="97"/>
  <c r="F91" i="97"/>
  <c r="M94" i="97"/>
  <c r="K94" i="97"/>
  <c r="D90" i="97"/>
  <c r="C90" i="97"/>
  <c r="H86" i="97"/>
  <c r="B95" i="97"/>
  <c r="B90" i="97"/>
  <c r="L86" i="97"/>
  <c r="D86" i="97"/>
  <c r="K84" i="97"/>
  <c r="K86" i="97"/>
  <c r="I86" i="97"/>
  <c r="K133" i="89"/>
  <c r="F154" i="113"/>
  <c r="G154" i="113"/>
  <c r="L166" i="113"/>
  <c r="P81" i="81"/>
  <c r="C84" i="81"/>
  <c r="L164" i="85"/>
  <c r="G152" i="85"/>
  <c r="F152" i="85"/>
  <c r="F153" i="85"/>
  <c r="D251" i="79"/>
  <c r="E255" i="79"/>
  <c r="K60" i="91"/>
  <c r="H101" i="85"/>
  <c r="L40" i="99"/>
  <c r="G124" i="111"/>
  <c r="H49" i="99"/>
  <c r="I175" i="81"/>
  <c r="L281" i="77"/>
  <c r="J280" i="77"/>
  <c r="H279" i="77"/>
  <c r="F278" i="77"/>
  <c r="D277" i="77"/>
  <c r="D294" i="77" s="1"/>
  <c r="E345" i="77" s="1"/>
  <c r="B276" i="77"/>
  <c r="N274" i="77"/>
  <c r="L273" i="77"/>
  <c r="J272" i="77"/>
  <c r="H271" i="77"/>
  <c r="F270" i="77"/>
  <c r="L283" i="77"/>
  <c r="F281" i="77"/>
  <c r="C280" i="77"/>
  <c r="N278" i="77"/>
  <c r="K277" i="77"/>
  <c r="E275" i="77"/>
  <c r="B274" i="77"/>
  <c r="M272" i="77"/>
  <c r="J271" i="77"/>
  <c r="G270" i="77"/>
  <c r="K283" i="77"/>
  <c r="E281" i="77"/>
  <c r="B280" i="77"/>
  <c r="M278" i="77"/>
  <c r="J277" i="77"/>
  <c r="G276" i="77"/>
  <c r="D275" i="77"/>
  <c r="O273" i="77"/>
  <c r="L272" i="77"/>
  <c r="I271" i="77"/>
  <c r="E270" i="77"/>
  <c r="J283" i="77"/>
  <c r="G282" i="77"/>
  <c r="D281" i="77"/>
  <c r="O279" i="77"/>
  <c r="L278" i="77"/>
  <c r="F276" i="77"/>
  <c r="C275" i="77"/>
  <c r="N273" i="77"/>
  <c r="K272" i="77"/>
  <c r="G271" i="77"/>
  <c r="D270" i="77"/>
  <c r="F282" i="77"/>
  <c r="C281" i="77"/>
  <c r="N279" i="77"/>
  <c r="K278" i="77"/>
  <c r="E276" i="77"/>
  <c r="B275" i="77"/>
  <c r="M273" i="77"/>
  <c r="I272" i="77"/>
  <c r="F271" i="77"/>
  <c r="C270" i="77"/>
  <c r="F264" i="77"/>
  <c r="E282" i="77"/>
  <c r="B281" i="77"/>
  <c r="M279" i="77"/>
  <c r="J278" i="77"/>
  <c r="G277" i="77"/>
  <c r="D276" i="77"/>
  <c r="O274" i="77"/>
  <c r="K273" i="77"/>
  <c r="H272" i="77"/>
  <c r="E271" i="77"/>
  <c r="B270" i="77"/>
  <c r="G283" i="77"/>
  <c r="D282" i="77"/>
  <c r="O280" i="77"/>
  <c r="L279" i="77"/>
  <c r="I278" i="77"/>
  <c r="F277" i="77"/>
  <c r="C276" i="77"/>
  <c r="M274" i="77"/>
  <c r="J273" i="77"/>
  <c r="G272" i="77"/>
  <c r="D271" i="77"/>
  <c r="C283" i="77"/>
  <c r="G281" i="77"/>
  <c r="E279" i="77"/>
  <c r="C277" i="77"/>
  <c r="H275" i="77"/>
  <c r="F273" i="77"/>
  <c r="K271" i="77"/>
  <c r="L280" i="77"/>
  <c r="O278" i="77"/>
  <c r="L276" i="77"/>
  <c r="I274" i="77"/>
  <c r="F272" i="77"/>
  <c r="J270" i="77"/>
  <c r="M282" i="77"/>
  <c r="K280" i="77"/>
  <c r="H278" i="77"/>
  <c r="K276" i="77"/>
  <c r="H274" i="77"/>
  <c r="E272" i="77"/>
  <c r="I270" i="77"/>
  <c r="L282" i="77"/>
  <c r="I280" i="77"/>
  <c r="G278" i="77"/>
  <c r="J276" i="77"/>
  <c r="G274" i="77"/>
  <c r="D272" i="77"/>
  <c r="H270" i="77"/>
  <c r="K282" i="77"/>
  <c r="H280" i="77"/>
  <c r="E278" i="77"/>
  <c r="F274" i="77"/>
  <c r="C272" i="77"/>
  <c r="J282" i="77"/>
  <c r="G280" i="77"/>
  <c r="D278" i="77"/>
  <c r="O275" i="77"/>
  <c r="E274" i="77"/>
  <c r="B272" i="77"/>
  <c r="C282" i="77"/>
  <c r="F280" i="77"/>
  <c r="C278" i="77"/>
  <c r="N275" i="77"/>
  <c r="D274" i="77"/>
  <c r="O271" i="77"/>
  <c r="N281" i="77"/>
  <c r="C279" i="77"/>
  <c r="I275" i="77"/>
  <c r="N271" i="77"/>
  <c r="M281" i="77"/>
  <c r="B279" i="77"/>
  <c r="G275" i="77"/>
  <c r="M271" i="77"/>
  <c r="K281" i="77"/>
  <c r="B278" i="77"/>
  <c r="F275" i="77"/>
  <c r="L271" i="77"/>
  <c r="J281" i="77"/>
  <c r="L274" i="77"/>
  <c r="C271" i="77"/>
  <c r="I281" i="77"/>
  <c r="K274" i="77"/>
  <c r="B271" i="77"/>
  <c r="E280" i="77"/>
  <c r="B277" i="77"/>
  <c r="H273" i="77"/>
  <c r="L270" i="77"/>
  <c r="G279" i="77"/>
  <c r="G273" i="77"/>
  <c r="F279" i="77"/>
  <c r="E273" i="77"/>
  <c r="M283" i="77"/>
  <c r="D279" i="77"/>
  <c r="D273" i="77"/>
  <c r="F283" i="77"/>
  <c r="M277" i="77"/>
  <c r="C273" i="77"/>
  <c r="E283" i="77"/>
  <c r="L277" i="77"/>
  <c r="B273" i="77"/>
  <c r="O281" i="77"/>
  <c r="M276" i="77"/>
  <c r="N270" i="77"/>
  <c r="E277" i="77"/>
  <c r="M275" i="77"/>
  <c r="L275" i="77"/>
  <c r="B282" i="77"/>
  <c r="C274" i="77"/>
  <c r="H281" i="77"/>
  <c r="I273" i="77"/>
  <c r="N280" i="77"/>
  <c r="O272" i="77"/>
  <c r="J275" i="77"/>
  <c r="J274" i="77"/>
  <c r="N272" i="77"/>
  <c r="O270" i="77"/>
  <c r="M270" i="77"/>
  <c r="K270" i="77"/>
  <c r="D283" i="77"/>
  <c r="M280" i="77"/>
  <c r="D280" i="77"/>
  <c r="K279" i="77"/>
  <c r="J279" i="77"/>
  <c r="I279" i="77"/>
  <c r="K275" i="77"/>
  <c r="B283" i="77"/>
  <c r="I10" i="71"/>
  <c r="I173" i="81"/>
  <c r="M172" i="81"/>
  <c r="D177" i="81"/>
  <c r="K28" i="74"/>
  <c r="I13" i="61"/>
  <c r="G87" i="95"/>
  <c r="G85" i="95"/>
  <c r="G83" i="95"/>
  <c r="G81" i="95"/>
  <c r="E87" i="95"/>
  <c r="E85" i="95"/>
  <c r="E83" i="95"/>
  <c r="E81" i="95"/>
  <c r="G88" i="95"/>
  <c r="E86" i="95"/>
  <c r="C84" i="95"/>
  <c r="F88" i="95"/>
  <c r="D86" i="95"/>
  <c r="B84" i="95"/>
  <c r="E88" i="95"/>
  <c r="C86" i="95"/>
  <c r="I83" i="95"/>
  <c r="F81" i="95"/>
  <c r="D88" i="95"/>
  <c r="B86" i="95"/>
  <c r="H83" i="95"/>
  <c r="D81" i="95"/>
  <c r="F75" i="95"/>
  <c r="I85" i="95"/>
  <c r="F83" i="95"/>
  <c r="F87" i="95"/>
  <c r="C85" i="95"/>
  <c r="D83" i="95"/>
  <c r="C83" i="95"/>
  <c r="I86" i="95"/>
  <c r="B83" i="95"/>
  <c r="H86" i="95"/>
  <c r="G86" i="95"/>
  <c r="G82" i="95"/>
  <c r="D85" i="95"/>
  <c r="F82" i="95"/>
  <c r="E82" i="95"/>
  <c r="D82" i="95"/>
  <c r="G84" i="95"/>
  <c r="D87" i="95"/>
  <c r="F86" i="95"/>
  <c r="H84" i="95"/>
  <c r="F84" i="95"/>
  <c r="E84" i="95"/>
  <c r="D84" i="95"/>
  <c r="H85" i="95"/>
  <c r="F85" i="95"/>
  <c r="B85" i="95"/>
  <c r="I84" i="95"/>
  <c r="K36" i="90"/>
  <c r="M35" i="72"/>
  <c r="L35" i="72"/>
  <c r="K13" i="75"/>
  <c r="E646" i="83"/>
  <c r="J15" i="83"/>
  <c r="N15" i="83"/>
  <c r="A604" i="83" s="1"/>
  <c r="I6" i="75"/>
  <c r="G152" i="95"/>
  <c r="F152" i="95"/>
  <c r="L164" i="95"/>
  <c r="I6" i="77"/>
  <c r="L30" i="62"/>
  <c r="M30" i="62"/>
  <c r="N317" i="57"/>
  <c r="N318" i="57"/>
  <c r="B188" i="91"/>
  <c r="C392" i="67"/>
  <c r="E392" i="67"/>
  <c r="L28" i="48"/>
  <c r="M28" i="48"/>
  <c r="M37" i="58"/>
  <c r="L37" i="58"/>
  <c r="F320" i="79"/>
  <c r="G320" i="79"/>
  <c r="F329" i="79"/>
  <c r="F323" i="79"/>
  <c r="F322" i="79"/>
  <c r="G321" i="79"/>
  <c r="F326" i="79"/>
  <c r="F324" i="79"/>
  <c r="J260" i="75"/>
  <c r="H259" i="75"/>
  <c r="F258" i="75"/>
  <c r="D257" i="75"/>
  <c r="B256" i="75"/>
  <c r="N254" i="75"/>
  <c r="L253" i="75"/>
  <c r="J252" i="75"/>
  <c r="H251" i="75"/>
  <c r="F250" i="75"/>
  <c r="D249" i="75"/>
  <c r="B248" i="75"/>
  <c r="I260" i="75"/>
  <c r="E258" i="75"/>
  <c r="C257" i="75"/>
  <c r="O255" i="75"/>
  <c r="M254" i="75"/>
  <c r="K253" i="75"/>
  <c r="I252" i="75"/>
  <c r="E250" i="75"/>
  <c r="C249" i="75"/>
  <c r="O247" i="75"/>
  <c r="H260" i="75"/>
  <c r="D258" i="75"/>
  <c r="B257" i="75"/>
  <c r="N255" i="75"/>
  <c r="L254" i="75"/>
  <c r="J253" i="75"/>
  <c r="H252" i="75"/>
  <c r="D250" i="75"/>
  <c r="B249" i="75"/>
  <c r="N247" i="75"/>
  <c r="J259" i="75"/>
  <c r="B258" i="75"/>
  <c r="K256" i="75"/>
  <c r="F255" i="75"/>
  <c r="O253" i="75"/>
  <c r="B251" i="75"/>
  <c r="K249" i="75"/>
  <c r="F248" i="75"/>
  <c r="E260" i="75"/>
  <c r="M258" i="75"/>
  <c r="G257" i="75"/>
  <c r="L255" i="75"/>
  <c r="F254" i="75"/>
  <c r="E251" i="75"/>
  <c r="M249" i="75"/>
  <c r="G248" i="75"/>
  <c r="D260" i="75"/>
  <c r="L258" i="75"/>
  <c r="F257" i="75"/>
  <c r="K255" i="75"/>
  <c r="E254" i="75"/>
  <c r="M252" i="75"/>
  <c r="D251" i="75"/>
  <c r="L249" i="75"/>
  <c r="E248" i="75"/>
  <c r="C260" i="75"/>
  <c r="K258" i="75"/>
  <c r="E257" i="75"/>
  <c r="J255" i="75"/>
  <c r="D254" i="75"/>
  <c r="L252" i="75"/>
  <c r="C251" i="75"/>
  <c r="J249" i="75"/>
  <c r="D248" i="75"/>
  <c r="B260" i="75"/>
  <c r="J258" i="75"/>
  <c r="O256" i="75"/>
  <c r="I255" i="75"/>
  <c r="C254" i="75"/>
  <c r="K252" i="75"/>
  <c r="O250" i="75"/>
  <c r="I249" i="75"/>
  <c r="C248" i="75"/>
  <c r="I258" i="75"/>
  <c r="N256" i="75"/>
  <c r="H255" i="75"/>
  <c r="B254" i="75"/>
  <c r="N250" i="75"/>
  <c r="H249" i="75"/>
  <c r="M247" i="75"/>
  <c r="H258" i="75"/>
  <c r="M256" i="75"/>
  <c r="G255" i="75"/>
  <c r="N253" i="75"/>
  <c r="E252" i="75"/>
  <c r="M250" i="75"/>
  <c r="G249" i="75"/>
  <c r="L247" i="75"/>
  <c r="E259" i="75"/>
  <c r="L256" i="75"/>
  <c r="J254" i="75"/>
  <c r="B252" i="75"/>
  <c r="O249" i="75"/>
  <c r="G247" i="75"/>
  <c r="D259" i="75"/>
  <c r="J256" i="75"/>
  <c r="I254" i="75"/>
  <c r="N249" i="75"/>
  <c r="F247" i="75"/>
  <c r="C259" i="75"/>
  <c r="I256" i="75"/>
  <c r="H254" i="75"/>
  <c r="F249" i="75"/>
  <c r="E247" i="75"/>
  <c r="B259" i="75"/>
  <c r="H256" i="75"/>
  <c r="G254" i="75"/>
  <c r="M251" i="75"/>
  <c r="E249" i="75"/>
  <c r="D247" i="75"/>
  <c r="O258" i="75"/>
  <c r="G256" i="75"/>
  <c r="M253" i="75"/>
  <c r="L251" i="75"/>
  <c r="O248" i="75"/>
  <c r="C247" i="75"/>
  <c r="L260" i="75"/>
  <c r="O257" i="75"/>
  <c r="C256" i="75"/>
  <c r="F253" i="75"/>
  <c r="L250" i="75"/>
  <c r="K248" i="75"/>
  <c r="I259" i="75"/>
  <c r="D255" i="75"/>
  <c r="J251" i="75"/>
  <c r="J247" i="75"/>
  <c r="N258" i="75"/>
  <c r="C255" i="75"/>
  <c r="I251" i="75"/>
  <c r="I247" i="75"/>
  <c r="G258" i="75"/>
  <c r="B255" i="75"/>
  <c r="K250" i="75"/>
  <c r="H247" i="75"/>
  <c r="C258" i="75"/>
  <c r="O254" i="75"/>
  <c r="J250" i="75"/>
  <c r="B247" i="75"/>
  <c r="N257" i="75"/>
  <c r="K254" i="75"/>
  <c r="I250" i="75"/>
  <c r="J257" i="75"/>
  <c r="E253" i="75"/>
  <c r="B250" i="75"/>
  <c r="F241" i="75"/>
  <c r="L257" i="75"/>
  <c r="D252" i="75"/>
  <c r="K257" i="75"/>
  <c r="C252" i="75"/>
  <c r="I257" i="75"/>
  <c r="K251" i="75"/>
  <c r="H257" i="75"/>
  <c r="H250" i="75"/>
  <c r="F256" i="75"/>
  <c r="G250" i="75"/>
  <c r="M260" i="75"/>
  <c r="E255" i="75"/>
  <c r="L248" i="75"/>
  <c r="K260" i="75"/>
  <c r="I253" i="75"/>
  <c r="J248" i="75"/>
  <c r="C250" i="75"/>
  <c r="N248" i="75"/>
  <c r="M248" i="75"/>
  <c r="M259" i="75"/>
  <c r="I248" i="75"/>
  <c r="L259" i="75"/>
  <c r="H248" i="75"/>
  <c r="K259" i="75"/>
  <c r="K247" i="75"/>
  <c r="E256" i="75"/>
  <c r="M257" i="75"/>
  <c r="D256" i="75"/>
  <c r="D253" i="75"/>
  <c r="M255" i="75"/>
  <c r="H253" i="75"/>
  <c r="G253" i="75"/>
  <c r="C253" i="75"/>
  <c r="B253" i="75"/>
  <c r="N190" i="77"/>
  <c r="J188" i="77"/>
  <c r="H187" i="77"/>
  <c r="F186" i="77"/>
  <c r="D185" i="77"/>
  <c r="B184" i="77"/>
  <c r="N182" i="77"/>
  <c r="J180" i="77"/>
  <c r="H179" i="77"/>
  <c r="F178" i="77"/>
  <c r="E191" i="77"/>
  <c r="B190" i="77"/>
  <c r="J187" i="77"/>
  <c r="G186" i="77"/>
  <c r="C185" i="77"/>
  <c r="N183" i="77"/>
  <c r="K182" i="77"/>
  <c r="H181" i="77"/>
  <c r="B179" i="77"/>
  <c r="D191" i="77"/>
  <c r="O189" i="77"/>
  <c r="I187" i="77"/>
  <c r="E186" i="77"/>
  <c r="B185" i="77"/>
  <c r="M183" i="77"/>
  <c r="J182" i="77"/>
  <c r="G181" i="77"/>
  <c r="O178" i="77"/>
  <c r="C191" i="77"/>
  <c r="N189" i="77"/>
  <c r="K188" i="77"/>
  <c r="G187" i="77"/>
  <c r="D186" i="77"/>
  <c r="O184" i="77"/>
  <c r="L183" i="77"/>
  <c r="I182" i="77"/>
  <c r="F181" i="77"/>
  <c r="C180" i="77"/>
  <c r="N178" i="77"/>
  <c r="B191" i="77"/>
  <c r="I188" i="77"/>
  <c r="F187" i="77"/>
  <c r="C186" i="77"/>
  <c r="N184" i="77"/>
  <c r="K183" i="77"/>
  <c r="H182" i="77"/>
  <c r="B180" i="77"/>
  <c r="M178" i="77"/>
  <c r="O190" i="77"/>
  <c r="K189" i="77"/>
  <c r="H188" i="77"/>
  <c r="E187" i="77"/>
  <c r="B186" i="77"/>
  <c r="M184" i="77"/>
  <c r="J183" i="77"/>
  <c r="G182" i="77"/>
  <c r="O179" i="77"/>
  <c r="L178" i="77"/>
  <c r="M190" i="77"/>
  <c r="J189" i="77"/>
  <c r="G188" i="77"/>
  <c r="D187" i="77"/>
  <c r="O185" i="77"/>
  <c r="L184" i="77"/>
  <c r="I183" i="77"/>
  <c r="F182" i="77"/>
  <c r="C181" i="77"/>
  <c r="N179" i="77"/>
  <c r="K178" i="77"/>
  <c r="J191" i="77"/>
  <c r="H189" i="77"/>
  <c r="M187" i="77"/>
  <c r="K185" i="77"/>
  <c r="O183" i="77"/>
  <c r="N181" i="77"/>
  <c r="L179" i="77"/>
  <c r="B178" i="77"/>
  <c r="H191" i="77"/>
  <c r="B187" i="77"/>
  <c r="F185" i="77"/>
  <c r="C183" i="77"/>
  <c r="N180" i="77"/>
  <c r="C179" i="77"/>
  <c r="F172" i="77"/>
  <c r="G191" i="77"/>
  <c r="O186" i="77"/>
  <c r="E185" i="77"/>
  <c r="B183" i="77"/>
  <c r="J178" i="77"/>
  <c r="F191" i="77"/>
  <c r="C189" i="77"/>
  <c r="N186" i="77"/>
  <c r="K184" i="77"/>
  <c r="O182" i="77"/>
  <c r="I178" i="77"/>
  <c r="L190" i="77"/>
  <c r="B189" i="77"/>
  <c r="M186" i="77"/>
  <c r="J184" i="77"/>
  <c r="M182" i="77"/>
  <c r="K180" i="77"/>
  <c r="H178" i="77"/>
  <c r="K190" i="77"/>
  <c r="O188" i="77"/>
  <c r="L186" i="77"/>
  <c r="I184" i="77"/>
  <c r="L182" i="77"/>
  <c r="I180" i="77"/>
  <c r="G178" i="77"/>
  <c r="J190" i="77"/>
  <c r="N188" i="77"/>
  <c r="K186" i="77"/>
  <c r="H184" i="77"/>
  <c r="E182" i="77"/>
  <c r="H180" i="77"/>
  <c r="E178" i="77"/>
  <c r="E190" i="77"/>
  <c r="J186" i="77"/>
  <c r="G183" i="77"/>
  <c r="M179" i="77"/>
  <c r="D190" i="77"/>
  <c r="I186" i="77"/>
  <c r="F183" i="77"/>
  <c r="K179" i="77"/>
  <c r="C190" i="77"/>
  <c r="H186" i="77"/>
  <c r="E183" i="77"/>
  <c r="J179" i="77"/>
  <c r="I189" i="77"/>
  <c r="N185" i="77"/>
  <c r="D183" i="77"/>
  <c r="I179" i="77"/>
  <c r="G189" i="77"/>
  <c r="M185" i="77"/>
  <c r="D182" i="77"/>
  <c r="G179" i="77"/>
  <c r="M191" i="77"/>
  <c r="H185" i="77"/>
  <c r="D178" i="77"/>
  <c r="L191" i="77"/>
  <c r="C187" i="77"/>
  <c r="I181" i="77"/>
  <c r="K191" i="77"/>
  <c r="L185" i="77"/>
  <c r="B181" i="77"/>
  <c r="I191" i="77"/>
  <c r="J185" i="77"/>
  <c r="O180" i="77"/>
  <c r="I190" i="77"/>
  <c r="I185" i="77"/>
  <c r="G180" i="77"/>
  <c r="H190" i="77"/>
  <c r="G185" i="77"/>
  <c r="F180" i="77"/>
  <c r="F188" i="77"/>
  <c r="D184" i="77"/>
  <c r="C178" i="77"/>
  <c r="G190" i="77"/>
  <c r="B182" i="77"/>
  <c r="F190" i="77"/>
  <c r="O181" i="77"/>
  <c r="F189" i="77"/>
  <c r="K181" i="77"/>
  <c r="J181" i="77"/>
  <c r="C188" i="77"/>
  <c r="F179" i="77"/>
  <c r="L187" i="77"/>
  <c r="K187" i="77"/>
  <c r="G184" i="77"/>
  <c r="F184" i="77"/>
  <c r="E184" i="77"/>
  <c r="C184" i="77"/>
  <c r="H183" i="77"/>
  <c r="C182" i="77"/>
  <c r="E179" i="77"/>
  <c r="O191" i="77"/>
  <c r="N191" i="77"/>
  <c r="B188" i="77"/>
  <c r="O187" i="77"/>
  <c r="N187" i="77"/>
  <c r="D179" i="77"/>
  <c r="M36" i="72"/>
  <c r="L36" i="72"/>
  <c r="J6" i="73"/>
  <c r="I6" i="73"/>
  <c r="I8" i="59"/>
  <c r="L39" i="68"/>
  <c r="M39" i="68"/>
  <c r="B192" i="91"/>
  <c r="E428" i="61"/>
  <c r="N9" i="61"/>
  <c r="A376" i="61" s="1"/>
  <c r="J9" i="61"/>
  <c r="L30" i="40"/>
  <c r="M30" i="40"/>
  <c r="P269" i="59"/>
  <c r="G253" i="59"/>
  <c r="F253" i="59"/>
  <c r="F200" i="67"/>
  <c r="C210" i="67"/>
  <c r="K209" i="67"/>
  <c r="J209" i="67"/>
  <c r="I209" i="67"/>
  <c r="L205" i="67"/>
  <c r="H205" i="67"/>
  <c r="E212" i="67"/>
  <c r="G212" i="67"/>
  <c r="C206" i="67"/>
  <c r="B205" i="67"/>
  <c r="K208" i="67"/>
  <c r="C208" i="67"/>
  <c r="M209" i="67"/>
  <c r="F212" i="67"/>
  <c r="B210" i="67"/>
  <c r="M204" i="67"/>
  <c r="I204" i="67"/>
  <c r="L215" i="67"/>
  <c r="J206" i="67"/>
  <c r="C205" i="67"/>
  <c r="G206" i="67"/>
  <c r="J205" i="67"/>
  <c r="M215" i="67"/>
  <c r="E204" i="67"/>
  <c r="D215" i="67"/>
  <c r="F214" i="67"/>
  <c r="G205" i="67"/>
  <c r="C209" i="67"/>
  <c r="H214" i="67"/>
  <c r="G211" i="67"/>
  <c r="H215" i="67"/>
  <c r="C212" i="67"/>
  <c r="H209" i="67"/>
  <c r="F205" i="67"/>
  <c r="D204" i="67"/>
  <c r="F213" i="67"/>
  <c r="B206" i="67"/>
  <c r="D209" i="67"/>
  <c r="J207" i="67"/>
  <c r="C213" i="67"/>
  <c r="F209" i="67"/>
  <c r="B208" i="67"/>
  <c r="E214" i="67"/>
  <c r="E205" i="67"/>
  <c r="E206" i="67"/>
  <c r="L206" i="67"/>
  <c r="B211" i="67"/>
  <c r="B204" i="67"/>
  <c r="H208" i="67"/>
  <c r="D205" i="67"/>
  <c r="B207" i="67"/>
  <c r="B212" i="67"/>
  <c r="E213" i="67"/>
  <c r="G207" i="67"/>
  <c r="L211" i="67"/>
  <c r="M205" i="67"/>
  <c r="D211" i="67"/>
  <c r="C215" i="67"/>
  <c r="M214" i="67"/>
  <c r="E208" i="67"/>
  <c r="K214" i="67"/>
  <c r="H207" i="67"/>
  <c r="M206" i="67"/>
  <c r="C211" i="67"/>
  <c r="D212" i="67"/>
  <c r="M213" i="67"/>
  <c r="H206" i="67"/>
  <c r="K215" i="67"/>
  <c r="D210" i="67"/>
  <c r="L204" i="67"/>
  <c r="M207" i="67"/>
  <c r="J214" i="67"/>
  <c r="E209" i="67"/>
  <c r="M210" i="67"/>
  <c r="G210" i="67"/>
  <c r="K206" i="67"/>
  <c r="L207" i="67"/>
  <c r="I205" i="67"/>
  <c r="M208" i="67"/>
  <c r="I207" i="67"/>
  <c r="J215" i="67"/>
  <c r="L210" i="67"/>
  <c r="L209" i="67"/>
  <c r="M211" i="67"/>
  <c r="F206" i="67"/>
  <c r="D206" i="67"/>
  <c r="E207" i="67"/>
  <c r="E211" i="67"/>
  <c r="D213" i="67"/>
  <c r="K207" i="67"/>
  <c r="E210" i="67"/>
  <c r="I206" i="67"/>
  <c r="F208" i="67"/>
  <c r="L208" i="67"/>
  <c r="C204" i="67"/>
  <c r="B213" i="67"/>
  <c r="B214" i="67"/>
  <c r="L214" i="67"/>
  <c r="H204" i="67"/>
  <c r="M212" i="67"/>
  <c r="L213" i="67"/>
  <c r="D208" i="67"/>
  <c r="L212" i="67"/>
  <c r="G204" i="67"/>
  <c r="B215" i="67"/>
  <c r="G215" i="67"/>
  <c r="D207" i="67"/>
  <c r="I10" i="45"/>
  <c r="I10" i="57"/>
  <c r="J8" i="73"/>
  <c r="I8" i="73"/>
  <c r="M34" i="34"/>
  <c r="L34" i="34"/>
  <c r="M29" i="46"/>
  <c r="L29" i="46"/>
  <c r="L42" i="32"/>
  <c r="M42" i="32"/>
  <c r="N207" i="49"/>
  <c r="G193" i="49"/>
  <c r="F193" i="49"/>
  <c r="L30" i="72"/>
  <c r="M30" i="72"/>
  <c r="J95" i="13"/>
  <c r="G85" i="13"/>
  <c r="F85" i="13"/>
  <c r="G6" i="119"/>
  <c r="K80" i="115"/>
  <c r="E79" i="115"/>
  <c r="I77" i="115"/>
  <c r="C76" i="115"/>
  <c r="G74" i="115"/>
  <c r="K72" i="115"/>
  <c r="I80" i="115"/>
  <c r="G77" i="115"/>
  <c r="K75" i="115"/>
  <c r="E74" i="115"/>
  <c r="H80" i="115"/>
  <c r="F77" i="115"/>
  <c r="J75" i="115"/>
  <c r="D74" i="115"/>
  <c r="F80" i="115"/>
  <c r="J78" i="115"/>
  <c r="D77" i="115"/>
  <c r="H75" i="115"/>
  <c r="B74" i="115"/>
  <c r="F72" i="115"/>
  <c r="D81" i="115"/>
  <c r="K78" i="115"/>
  <c r="J76" i="115"/>
  <c r="J74" i="115"/>
  <c r="G72" i="115"/>
  <c r="F66" i="115"/>
  <c r="C81" i="115"/>
  <c r="I76" i="115"/>
  <c r="I74" i="115"/>
  <c r="E72" i="115"/>
  <c r="B81" i="115"/>
  <c r="H76" i="115"/>
  <c r="H74" i="115"/>
  <c r="D72" i="115"/>
  <c r="J80" i="115"/>
  <c r="G78" i="115"/>
  <c r="G76" i="115"/>
  <c r="F74" i="115"/>
  <c r="G80" i="115"/>
  <c r="F78" i="115"/>
  <c r="F76" i="115"/>
  <c r="C74" i="115"/>
  <c r="K81" i="115"/>
  <c r="F79" i="115"/>
  <c r="I75" i="115"/>
  <c r="K79" i="115"/>
  <c r="K76" i="115"/>
  <c r="F73" i="115"/>
  <c r="B76" i="115"/>
  <c r="B80" i="115"/>
  <c r="D76" i="115"/>
  <c r="J79" i="115"/>
  <c r="G75" i="115"/>
  <c r="F75" i="115"/>
  <c r="I81" i="115"/>
  <c r="H77" i="115"/>
  <c r="D73" i="115"/>
  <c r="H81" i="115"/>
  <c r="E77" i="115"/>
  <c r="J72" i="115"/>
  <c r="G81" i="115"/>
  <c r="C77" i="115"/>
  <c r="F81" i="115"/>
  <c r="B77" i="115"/>
  <c r="E81" i="115"/>
  <c r="E76" i="115"/>
  <c r="D79" i="115"/>
  <c r="K74" i="115"/>
  <c r="C80" i="115"/>
  <c r="G73" i="115"/>
  <c r="G79" i="115"/>
  <c r="E73" i="115"/>
  <c r="E78" i="115"/>
  <c r="D78" i="115"/>
  <c r="E75" i="115"/>
  <c r="D75" i="115"/>
  <c r="D80" i="115"/>
  <c r="K77" i="115"/>
  <c r="J77" i="115"/>
  <c r="C75" i="115"/>
  <c r="B75" i="115"/>
  <c r="E80" i="115"/>
  <c r="J73" i="115"/>
  <c r="K73" i="115"/>
  <c r="J81" i="115"/>
  <c r="H15" i="117"/>
  <c r="I15" i="117" s="1"/>
  <c r="F271" i="119"/>
  <c r="G316" i="119" s="1"/>
  <c r="H171" i="111"/>
  <c r="D170" i="111"/>
  <c r="L168" i="111"/>
  <c r="H167" i="111"/>
  <c r="D166" i="111"/>
  <c r="L164" i="111"/>
  <c r="H163" i="111"/>
  <c r="D162" i="111"/>
  <c r="K172" i="111"/>
  <c r="G171" i="111"/>
  <c r="C170" i="111"/>
  <c r="K168" i="111"/>
  <c r="C166" i="111"/>
  <c r="K164" i="111"/>
  <c r="G163" i="111"/>
  <c r="C162" i="111"/>
  <c r="I172" i="111"/>
  <c r="E171" i="111"/>
  <c r="M169" i="111"/>
  <c r="I168" i="111"/>
  <c r="E167" i="111"/>
  <c r="M165" i="111"/>
  <c r="I164" i="111"/>
  <c r="E163" i="111"/>
  <c r="J172" i="111"/>
  <c r="B171" i="111"/>
  <c r="G169" i="111"/>
  <c r="E166" i="111"/>
  <c r="G164" i="111"/>
  <c r="L162" i="111"/>
  <c r="K173" i="111"/>
  <c r="C172" i="111"/>
  <c r="G170" i="111"/>
  <c r="H168" i="111"/>
  <c r="D165" i="111"/>
  <c r="F163" i="111"/>
  <c r="I171" i="111"/>
  <c r="I169" i="111"/>
  <c r="K167" i="111"/>
  <c r="K165" i="111"/>
  <c r="B164" i="111"/>
  <c r="E162" i="111"/>
  <c r="E173" i="111"/>
  <c r="F171" i="111"/>
  <c r="H169" i="111"/>
  <c r="J167" i="111"/>
  <c r="J165" i="111"/>
  <c r="M163" i="111"/>
  <c r="B162" i="111"/>
  <c r="D173" i="111"/>
  <c r="D171" i="111"/>
  <c r="F169" i="111"/>
  <c r="I167" i="111"/>
  <c r="I165" i="111"/>
  <c r="L163" i="111"/>
  <c r="C173" i="111"/>
  <c r="C171" i="111"/>
  <c r="E169" i="111"/>
  <c r="H165" i="111"/>
  <c r="K163" i="111"/>
  <c r="B173" i="111"/>
  <c r="M170" i="111"/>
  <c r="D169" i="111"/>
  <c r="D167" i="111"/>
  <c r="G165" i="111"/>
  <c r="J163" i="111"/>
  <c r="E172" i="111"/>
  <c r="H170" i="111"/>
  <c r="G168" i="111"/>
  <c r="J166" i="111"/>
  <c r="M164" i="111"/>
  <c r="M162" i="111"/>
  <c r="K170" i="111"/>
  <c r="C168" i="111"/>
  <c r="B165" i="111"/>
  <c r="F162" i="111"/>
  <c r="J173" i="111"/>
  <c r="J170" i="111"/>
  <c r="B168" i="111"/>
  <c r="J164" i="111"/>
  <c r="I173" i="111"/>
  <c r="I170" i="111"/>
  <c r="H164" i="111"/>
  <c r="H173" i="111"/>
  <c r="F170" i="111"/>
  <c r="C167" i="111"/>
  <c r="F164" i="111"/>
  <c r="J169" i="111"/>
  <c r="H166" i="111"/>
  <c r="D163" i="111"/>
  <c r="L170" i="111"/>
  <c r="D168" i="111"/>
  <c r="C165" i="111"/>
  <c r="G162" i="111"/>
  <c r="J171" i="111"/>
  <c r="E170" i="111"/>
  <c r="B166" i="111"/>
  <c r="B170" i="111"/>
  <c r="L165" i="111"/>
  <c r="C169" i="111"/>
  <c r="E164" i="111"/>
  <c r="F168" i="111"/>
  <c r="I162" i="111"/>
  <c r="E168" i="111"/>
  <c r="H162" i="111"/>
  <c r="B167" i="111"/>
  <c r="F156" i="111"/>
  <c r="H172" i="111"/>
  <c r="K166" i="111"/>
  <c r="I166" i="111"/>
  <c r="M168" i="111"/>
  <c r="J168" i="111"/>
  <c r="F165" i="111"/>
  <c r="E165" i="111"/>
  <c r="D172" i="111"/>
  <c r="C163" i="111"/>
  <c r="I163" i="111"/>
  <c r="B163" i="111"/>
  <c r="K162" i="111"/>
  <c r="J162" i="111"/>
  <c r="M171" i="111"/>
  <c r="K169" i="111"/>
  <c r="B169" i="111"/>
  <c r="D164" i="111"/>
  <c r="C164" i="111"/>
  <c r="B172" i="111"/>
  <c r="L171" i="111"/>
  <c r="K171" i="111"/>
  <c r="L169" i="111"/>
  <c r="K170" i="99"/>
  <c r="D177" i="99"/>
  <c r="E170" i="99"/>
  <c r="I9" i="113"/>
  <c r="K9" i="113" s="1"/>
  <c r="L31" i="104"/>
  <c r="M31" i="104"/>
  <c r="D261" i="93"/>
  <c r="L259" i="93"/>
  <c r="H258" i="93"/>
  <c r="D257" i="93"/>
  <c r="L255" i="93"/>
  <c r="H254" i="93"/>
  <c r="D253" i="93"/>
  <c r="L251" i="93"/>
  <c r="H250" i="93"/>
  <c r="C261" i="93"/>
  <c r="E258" i="93"/>
  <c r="L256" i="93"/>
  <c r="B254" i="93"/>
  <c r="I252" i="93"/>
  <c r="D251" i="93"/>
  <c r="B261" i="93"/>
  <c r="I259" i="93"/>
  <c r="D258" i="93"/>
  <c r="K256" i="93"/>
  <c r="M253" i="93"/>
  <c r="H252" i="93"/>
  <c r="C251" i="93"/>
  <c r="M260" i="93"/>
  <c r="H259" i="93"/>
  <c r="C258" i="93"/>
  <c r="J256" i="93"/>
  <c r="E255" i="93"/>
  <c r="L253" i="93"/>
  <c r="G252" i="93"/>
  <c r="B251" i="93"/>
  <c r="L260" i="93"/>
  <c r="B258" i="93"/>
  <c r="I256" i="93"/>
  <c r="D255" i="93"/>
  <c r="K253" i="93"/>
  <c r="F252" i="93"/>
  <c r="M250" i="93"/>
  <c r="K260" i="93"/>
  <c r="M257" i="93"/>
  <c r="H256" i="93"/>
  <c r="C255" i="93"/>
  <c r="J253" i="93"/>
  <c r="E252" i="93"/>
  <c r="L250" i="93"/>
  <c r="L261" i="93"/>
  <c r="G260" i="93"/>
  <c r="B259" i="93"/>
  <c r="I257" i="93"/>
  <c r="D256" i="93"/>
  <c r="F253" i="93"/>
  <c r="M251" i="93"/>
  <c r="G250" i="93"/>
  <c r="E261" i="93"/>
  <c r="F256" i="93"/>
  <c r="E254" i="93"/>
  <c r="K251" i="93"/>
  <c r="J260" i="93"/>
  <c r="E256" i="93"/>
  <c r="D254" i="93"/>
  <c r="J251" i="93"/>
  <c r="I260" i="93"/>
  <c r="I258" i="93"/>
  <c r="C256" i="93"/>
  <c r="C254" i="93"/>
  <c r="I251" i="93"/>
  <c r="H260" i="93"/>
  <c r="B256" i="93"/>
  <c r="I253" i="93"/>
  <c r="H251" i="93"/>
  <c r="F260" i="93"/>
  <c r="M255" i="93"/>
  <c r="H253" i="93"/>
  <c r="G251" i="93"/>
  <c r="B260" i="93"/>
  <c r="H257" i="93"/>
  <c r="H255" i="93"/>
  <c r="B253" i="93"/>
  <c r="J250" i="93"/>
  <c r="F261" i="93"/>
  <c r="E257" i="93"/>
  <c r="E253" i="93"/>
  <c r="C250" i="93"/>
  <c r="E260" i="93"/>
  <c r="C257" i="93"/>
  <c r="C253" i="93"/>
  <c r="B250" i="93"/>
  <c r="D260" i="93"/>
  <c r="B257" i="93"/>
  <c r="M252" i="93"/>
  <c r="C260" i="93"/>
  <c r="M256" i="93"/>
  <c r="L252" i="93"/>
  <c r="M259" i="93"/>
  <c r="G256" i="93"/>
  <c r="K252" i="93"/>
  <c r="J261" i="93"/>
  <c r="K257" i="93"/>
  <c r="I254" i="93"/>
  <c r="I250" i="93"/>
  <c r="G261" i="93"/>
  <c r="L254" i="93"/>
  <c r="F244" i="93"/>
  <c r="E259" i="93"/>
  <c r="D259" i="93"/>
  <c r="C259" i="93"/>
  <c r="G253" i="93"/>
  <c r="M258" i="93"/>
  <c r="J252" i="93"/>
  <c r="I255" i="93"/>
  <c r="B255" i="93"/>
  <c r="M254" i="93"/>
  <c r="I261" i="93"/>
  <c r="E251" i="93"/>
  <c r="M261" i="93"/>
  <c r="K261" i="93"/>
  <c r="H261" i="93"/>
  <c r="L258" i="93"/>
  <c r="L257" i="93"/>
  <c r="J257" i="93"/>
  <c r="G257" i="93"/>
  <c r="F257" i="93"/>
  <c r="F251" i="93"/>
  <c r="E250" i="93"/>
  <c r="D250" i="93"/>
  <c r="D252" i="93"/>
  <c r="C252" i="93"/>
  <c r="B252" i="93"/>
  <c r="K250" i="93"/>
  <c r="F250" i="93"/>
  <c r="J109" i="83"/>
  <c r="J108" i="83"/>
  <c r="J107" i="83"/>
  <c r="J106" i="83"/>
  <c r="J105" i="83"/>
  <c r="J104" i="83"/>
  <c r="J103" i="83"/>
  <c r="J102" i="83"/>
  <c r="J101" i="83"/>
  <c r="J100" i="83"/>
  <c r="J99" i="83"/>
  <c r="J98" i="83"/>
  <c r="J97" i="83"/>
  <c r="J96" i="83"/>
  <c r="J95" i="83"/>
  <c r="J94" i="83"/>
  <c r="D109" i="83"/>
  <c r="C108" i="83"/>
  <c r="B107" i="83"/>
  <c r="Q105" i="83"/>
  <c r="P104" i="83"/>
  <c r="O103" i="83"/>
  <c r="N102" i="83"/>
  <c r="M101" i="83"/>
  <c r="L100" i="83"/>
  <c r="K99" i="83"/>
  <c r="H97" i="83"/>
  <c r="G96" i="83"/>
  <c r="F95" i="83"/>
  <c r="E94" i="83"/>
  <c r="C109" i="83"/>
  <c r="B108" i="83"/>
  <c r="Q106" i="83"/>
  <c r="P105" i="83"/>
  <c r="O104" i="83"/>
  <c r="N103" i="83"/>
  <c r="M102" i="83"/>
  <c r="L101" i="83"/>
  <c r="K100" i="83"/>
  <c r="G97" i="83"/>
  <c r="F96" i="83"/>
  <c r="E95" i="83"/>
  <c r="D94" i="83"/>
  <c r="B109" i="83"/>
  <c r="Q107" i="83"/>
  <c r="P106" i="83"/>
  <c r="O105" i="83"/>
  <c r="N104" i="83"/>
  <c r="M103" i="83"/>
  <c r="L102" i="83"/>
  <c r="K101" i="83"/>
  <c r="F97" i="83"/>
  <c r="E96" i="83"/>
  <c r="D95" i="83"/>
  <c r="C94" i="83"/>
  <c r="F88" i="83"/>
  <c r="Q108" i="83"/>
  <c r="P107" i="83"/>
  <c r="O106" i="83"/>
  <c r="N105" i="83"/>
  <c r="M104" i="83"/>
  <c r="L103" i="83"/>
  <c r="K102" i="83"/>
  <c r="E97" i="83"/>
  <c r="D96" i="83"/>
  <c r="C95" i="83"/>
  <c r="B94" i="83"/>
  <c r="Q109" i="83"/>
  <c r="P108" i="83"/>
  <c r="O107" i="83"/>
  <c r="N106" i="83"/>
  <c r="M105" i="83"/>
  <c r="L104" i="83"/>
  <c r="K103" i="83"/>
  <c r="I102" i="83"/>
  <c r="E98" i="83"/>
  <c r="D97" i="83"/>
  <c r="C96" i="83"/>
  <c r="B95" i="83"/>
  <c r="M109" i="83"/>
  <c r="L108" i="83"/>
  <c r="K107" i="83"/>
  <c r="I106" i="83"/>
  <c r="H105" i="83"/>
  <c r="G104" i="83"/>
  <c r="F103" i="83"/>
  <c r="E102" i="83"/>
  <c r="D101" i="83"/>
  <c r="C100" i="83"/>
  <c r="B99" i="83"/>
  <c r="Q97" i="83"/>
  <c r="P96" i="83"/>
  <c r="O95" i="83"/>
  <c r="N94" i="83"/>
  <c r="O109" i="83"/>
  <c r="F108" i="83"/>
  <c r="H106" i="83"/>
  <c r="Q104" i="83"/>
  <c r="C103" i="83"/>
  <c r="N99" i="83"/>
  <c r="P97" i="83"/>
  <c r="H96" i="83"/>
  <c r="K94" i="83"/>
  <c r="K109" i="83"/>
  <c r="M107" i="83"/>
  <c r="C106" i="83"/>
  <c r="D104" i="83"/>
  <c r="F102" i="83"/>
  <c r="M100" i="83"/>
  <c r="N98" i="83"/>
  <c r="O96" i="83"/>
  <c r="Q94" i="83"/>
  <c r="I109" i="83"/>
  <c r="L107" i="83"/>
  <c r="B106" i="83"/>
  <c r="C104" i="83"/>
  <c r="D102" i="83"/>
  <c r="M98" i="83"/>
  <c r="N96" i="83"/>
  <c r="P94" i="83"/>
  <c r="H109" i="83"/>
  <c r="I107" i="83"/>
  <c r="L105" i="83"/>
  <c r="B104" i="83"/>
  <c r="C102" i="83"/>
  <c r="E100" i="83"/>
  <c r="L98" i="83"/>
  <c r="M96" i="83"/>
  <c r="O94" i="83"/>
  <c r="G109" i="83"/>
  <c r="H107" i="83"/>
  <c r="K105" i="83"/>
  <c r="Q103" i="83"/>
  <c r="B102" i="83"/>
  <c r="D100" i="83"/>
  <c r="K98" i="83"/>
  <c r="L96" i="83"/>
  <c r="M94" i="83"/>
  <c r="F109" i="83"/>
  <c r="G107" i="83"/>
  <c r="I105" i="83"/>
  <c r="P103" i="83"/>
  <c r="Q101" i="83"/>
  <c r="B100" i="83"/>
  <c r="D98" i="83"/>
  <c r="K96" i="83"/>
  <c r="L94" i="83"/>
  <c r="E109" i="83"/>
  <c r="F107" i="83"/>
  <c r="G105" i="83"/>
  <c r="I103" i="83"/>
  <c r="P101" i="83"/>
  <c r="Q99" i="83"/>
  <c r="C98" i="83"/>
  <c r="I96" i="83"/>
  <c r="I94" i="83"/>
  <c r="N108" i="83"/>
  <c r="F106" i="83"/>
  <c r="D103" i="83"/>
  <c r="N100" i="83"/>
  <c r="K97" i="83"/>
  <c r="G94" i="83"/>
  <c r="M108" i="83"/>
  <c r="E106" i="83"/>
  <c r="B103" i="83"/>
  <c r="P99" i="83"/>
  <c r="I97" i="83"/>
  <c r="F94" i="83"/>
  <c r="K108" i="83"/>
  <c r="D106" i="83"/>
  <c r="Q102" i="83"/>
  <c r="O99" i="83"/>
  <c r="C97" i="83"/>
  <c r="I108" i="83"/>
  <c r="F105" i="83"/>
  <c r="P102" i="83"/>
  <c r="M99" i="83"/>
  <c r="B97" i="83"/>
  <c r="H108" i="83"/>
  <c r="E105" i="83"/>
  <c r="O102" i="83"/>
  <c r="L99" i="83"/>
  <c r="Q96" i="83"/>
  <c r="E107" i="83"/>
  <c r="I104" i="83"/>
  <c r="P98" i="83"/>
  <c r="M95" i="83"/>
  <c r="N109" i="83"/>
  <c r="K104" i="83"/>
  <c r="O100" i="83"/>
  <c r="K95" i="83"/>
  <c r="L109" i="83"/>
  <c r="H104" i="83"/>
  <c r="E99" i="83"/>
  <c r="I95" i="83"/>
  <c r="O108" i="83"/>
  <c r="F104" i="83"/>
  <c r="D99" i="83"/>
  <c r="H95" i="83"/>
  <c r="G108" i="83"/>
  <c r="E104" i="83"/>
  <c r="C99" i="83"/>
  <c r="G95" i="83"/>
  <c r="E108" i="83"/>
  <c r="H103" i="83"/>
  <c r="Q98" i="83"/>
  <c r="H94" i="83"/>
  <c r="D108" i="83"/>
  <c r="G103" i="83"/>
  <c r="O98" i="83"/>
  <c r="D107" i="83"/>
  <c r="B101" i="83"/>
  <c r="C107" i="83"/>
  <c r="Q100" i="83"/>
  <c r="M106" i="83"/>
  <c r="P100" i="83"/>
  <c r="L106" i="83"/>
  <c r="B98" i="83"/>
  <c r="K106" i="83"/>
  <c r="O97" i="83"/>
  <c r="B105" i="83"/>
  <c r="B96" i="83"/>
  <c r="N101" i="83"/>
  <c r="E101" i="83"/>
  <c r="C101" i="83"/>
  <c r="N97" i="83"/>
  <c r="M97" i="83"/>
  <c r="N107" i="83"/>
  <c r="N95" i="83"/>
  <c r="H102" i="83"/>
  <c r="G102" i="83"/>
  <c r="O101" i="83"/>
  <c r="L97" i="83"/>
  <c r="Q95" i="83"/>
  <c r="P109" i="83"/>
  <c r="G106" i="83"/>
  <c r="C105" i="83"/>
  <c r="D105" i="83"/>
  <c r="E103" i="83"/>
  <c r="P95" i="83"/>
  <c r="L95" i="83"/>
  <c r="I10" i="107"/>
  <c r="J10" i="107" s="1"/>
  <c r="K240" i="99"/>
  <c r="G239" i="99"/>
  <c r="C238" i="99"/>
  <c r="K236" i="99"/>
  <c r="G235" i="99"/>
  <c r="C234" i="99"/>
  <c r="K232" i="99"/>
  <c r="G231" i="99"/>
  <c r="C230" i="99"/>
  <c r="H240" i="99"/>
  <c r="C239" i="99"/>
  <c r="J237" i="99"/>
  <c r="E236" i="99"/>
  <c r="L234" i="99"/>
  <c r="G233" i="99"/>
  <c r="B232" i="99"/>
  <c r="I230" i="99"/>
  <c r="D229" i="99"/>
  <c r="G240" i="99"/>
  <c r="B239" i="99"/>
  <c r="I237" i="99"/>
  <c r="D236" i="99"/>
  <c r="K234" i="99"/>
  <c r="F233" i="99"/>
  <c r="H230" i="99"/>
  <c r="C229" i="99"/>
  <c r="F223" i="99"/>
  <c r="C240" i="99"/>
  <c r="J238" i="99"/>
  <c r="E237" i="99"/>
  <c r="L235" i="99"/>
  <c r="G234" i="99"/>
  <c r="B233" i="99"/>
  <c r="I231" i="99"/>
  <c r="D230" i="99"/>
  <c r="J240" i="99"/>
  <c r="L238" i="99"/>
  <c r="C237" i="99"/>
  <c r="F235" i="99"/>
  <c r="J233" i="99"/>
  <c r="B230" i="99"/>
  <c r="I240" i="99"/>
  <c r="K238" i="99"/>
  <c r="B237" i="99"/>
  <c r="E235" i="99"/>
  <c r="I233" i="99"/>
  <c r="K231" i="99"/>
  <c r="M229" i="99"/>
  <c r="F240" i="99"/>
  <c r="I238" i="99"/>
  <c r="M236" i="99"/>
  <c r="D235" i="99"/>
  <c r="H233" i="99"/>
  <c r="J231" i="99"/>
  <c r="L229" i="99"/>
  <c r="H238" i="99"/>
  <c r="L236" i="99"/>
  <c r="C235" i="99"/>
  <c r="E233" i="99"/>
  <c r="H231" i="99"/>
  <c r="K229" i="99"/>
  <c r="G238" i="99"/>
  <c r="J236" i="99"/>
  <c r="B235" i="99"/>
  <c r="D233" i="99"/>
  <c r="F231" i="99"/>
  <c r="J229" i="99"/>
  <c r="B240" i="99"/>
  <c r="F238" i="99"/>
  <c r="I236" i="99"/>
  <c r="M234" i="99"/>
  <c r="C233" i="99"/>
  <c r="I229" i="99"/>
  <c r="M237" i="99"/>
  <c r="H235" i="99"/>
  <c r="G232" i="99"/>
  <c r="G229" i="99"/>
  <c r="L237" i="99"/>
  <c r="J234" i="99"/>
  <c r="F232" i="99"/>
  <c r="F229" i="99"/>
  <c r="K237" i="99"/>
  <c r="I234" i="99"/>
  <c r="E229" i="99"/>
  <c r="H237" i="99"/>
  <c r="H234" i="99"/>
  <c r="B229" i="99"/>
  <c r="G237" i="99"/>
  <c r="F234" i="99"/>
  <c r="C232" i="99"/>
  <c r="H239" i="99"/>
  <c r="G236" i="99"/>
  <c r="M233" i="99"/>
  <c r="M230" i="99"/>
  <c r="F236" i="99"/>
  <c r="H232" i="99"/>
  <c r="C236" i="99"/>
  <c r="B236" i="99"/>
  <c r="C231" i="99"/>
  <c r="K239" i="99"/>
  <c r="M235" i="99"/>
  <c r="B231" i="99"/>
  <c r="J239" i="99"/>
  <c r="K235" i="99"/>
  <c r="L230" i="99"/>
  <c r="D234" i="99"/>
  <c r="F230" i="99"/>
  <c r="E234" i="99"/>
  <c r="B234" i="99"/>
  <c r="L233" i="99"/>
  <c r="K233" i="99"/>
  <c r="I239" i="99"/>
  <c r="D237" i="99"/>
  <c r="H229" i="99"/>
  <c r="M238" i="99"/>
  <c r="E238" i="99"/>
  <c r="D238" i="99"/>
  <c r="B238" i="99"/>
  <c r="F237" i="99"/>
  <c r="E230" i="99"/>
  <c r="I235" i="99"/>
  <c r="J232" i="99"/>
  <c r="I232" i="99"/>
  <c r="K230" i="99"/>
  <c r="J230" i="99"/>
  <c r="G230" i="99"/>
  <c r="F239" i="99"/>
  <c r="H236" i="99"/>
  <c r="J235" i="99"/>
  <c r="M38" i="102"/>
  <c r="L38" i="102"/>
  <c r="F315" i="81"/>
  <c r="M319" i="81"/>
  <c r="J332" i="81"/>
  <c r="G331" i="81"/>
  <c r="K330" i="81"/>
  <c r="N328" i="81"/>
  <c r="J327" i="81"/>
  <c r="O330" i="81"/>
  <c r="M330" i="81"/>
  <c r="I327" i="81"/>
  <c r="G326" i="81"/>
  <c r="O322" i="81"/>
  <c r="O319" i="81"/>
  <c r="F331" i="81"/>
  <c r="D328" i="81"/>
  <c r="C328" i="81"/>
  <c r="B328" i="81"/>
  <c r="Q329" i="81"/>
  <c r="P329" i="81"/>
  <c r="L329" i="81"/>
  <c r="I325" i="81"/>
  <c r="J323" i="81"/>
  <c r="M329" i="81"/>
  <c r="G327" i="81"/>
  <c r="I321" i="81"/>
  <c r="J330" i="81"/>
  <c r="E329" i="81"/>
  <c r="E320" i="81"/>
  <c r="K332" i="81"/>
  <c r="D327" i="81"/>
  <c r="C327" i="81"/>
  <c r="B327" i="81"/>
  <c r="Q328" i="81"/>
  <c r="P328" i="81"/>
  <c r="L328" i="81"/>
  <c r="N323" i="81"/>
  <c r="K331" i="81"/>
  <c r="O321" i="81"/>
  <c r="F328" i="81"/>
  <c r="I324" i="81"/>
  <c r="G319" i="81"/>
  <c r="E326" i="81"/>
  <c r="J325" i="81"/>
  <c r="I332" i="81"/>
  <c r="D326" i="81"/>
  <c r="C326" i="81"/>
  <c r="B326" i="81"/>
  <c r="Q327" i="81"/>
  <c r="P327" i="81"/>
  <c r="L327" i="81"/>
  <c r="G322" i="81"/>
  <c r="E330" i="81"/>
  <c r="H320" i="81"/>
  <c r="J326" i="81"/>
  <c r="K321" i="81"/>
  <c r="J322" i="81"/>
  <c r="E321" i="81"/>
  <c r="F326" i="81"/>
  <c r="D325" i="81"/>
  <c r="C325" i="81"/>
  <c r="B325" i="81"/>
  <c r="Q326" i="81"/>
  <c r="P326" i="81"/>
  <c r="L326" i="81"/>
  <c r="K320" i="81"/>
  <c r="I328" i="81"/>
  <c r="K334" i="81"/>
  <c r="O324" i="81"/>
  <c r="I319" i="81"/>
  <c r="O331" i="81"/>
  <c r="O333" i="81"/>
  <c r="N332" i="81"/>
  <c r="K319" i="81"/>
  <c r="D323" i="81"/>
  <c r="C323" i="81"/>
  <c r="B323" i="81"/>
  <c r="L324" i="81"/>
  <c r="O334" i="81"/>
  <c r="G325" i="81"/>
  <c r="I331" i="81"/>
  <c r="M321" i="81"/>
  <c r="F332" i="81"/>
  <c r="H326" i="81"/>
  <c r="O325" i="81"/>
  <c r="N324" i="81"/>
  <c r="E324" i="81"/>
  <c r="M332" i="81"/>
  <c r="E331" i="81"/>
  <c r="D319" i="81"/>
  <c r="C319" i="81"/>
  <c r="B319" i="81"/>
  <c r="Q320" i="81"/>
  <c r="P320" i="81"/>
  <c r="L320" i="81"/>
  <c r="J328" i="81"/>
  <c r="M334" i="81"/>
  <c r="E325" i="81"/>
  <c r="H327" i="81"/>
  <c r="J321" i="81"/>
  <c r="K333" i="81"/>
  <c r="M325" i="81"/>
  <c r="O327" i="81"/>
  <c r="C330" i="81"/>
  <c r="P325" i="81"/>
  <c r="N331" i="81"/>
  <c r="E322" i="81"/>
  <c r="O332" i="81"/>
  <c r="H319" i="81"/>
  <c r="I330" i="81"/>
  <c r="K322" i="81"/>
  <c r="O323" i="81"/>
  <c r="C329" i="81"/>
  <c r="G330" i="81"/>
  <c r="I320" i="81"/>
  <c r="H331" i="81"/>
  <c r="I322" i="81"/>
  <c r="M327" i="81"/>
  <c r="D334" i="81"/>
  <c r="C324" i="81"/>
  <c r="P322" i="81"/>
  <c r="K328" i="81"/>
  <c r="H323" i="81"/>
  <c r="E332" i="81"/>
  <c r="N333" i="81"/>
  <c r="M320" i="81"/>
  <c r="M324" i="81"/>
  <c r="D333" i="81"/>
  <c r="C322" i="81"/>
  <c r="Q332" i="81"/>
  <c r="P321" i="81"/>
  <c r="E327" i="81"/>
  <c r="J331" i="81"/>
  <c r="F320" i="81"/>
  <c r="G329" i="81"/>
  <c r="H330" i="81"/>
  <c r="K327" i="81"/>
  <c r="D331" i="81"/>
  <c r="C320" i="81"/>
  <c r="Q330" i="81"/>
  <c r="L334" i="81"/>
  <c r="H333" i="81"/>
  <c r="H328" i="81"/>
  <c r="J329" i="81"/>
  <c r="M333" i="81"/>
  <c r="D330" i="81"/>
  <c r="B334" i="81"/>
  <c r="Q325" i="81"/>
  <c r="L333" i="81"/>
  <c r="M331" i="81"/>
  <c r="M326" i="81"/>
  <c r="J324" i="81"/>
  <c r="F329" i="81"/>
  <c r="K329" i="81"/>
  <c r="D324" i="81"/>
  <c r="B332" i="81"/>
  <c r="Q322" i="81"/>
  <c r="L331" i="81"/>
  <c r="O326" i="81"/>
  <c r="E333" i="81"/>
  <c r="J319" i="81"/>
  <c r="H321" i="81"/>
  <c r="F321" i="81"/>
  <c r="D322" i="81"/>
  <c r="B331" i="81"/>
  <c r="Q321" i="81"/>
  <c r="L330" i="81"/>
  <c r="H325" i="81"/>
  <c r="N329" i="81"/>
  <c r="I334" i="81"/>
  <c r="F319" i="81"/>
  <c r="J333" i="81"/>
  <c r="K324" i="81"/>
  <c r="N319" i="81"/>
  <c r="D321" i="81"/>
  <c r="B330" i="81"/>
  <c r="Q319" i="81"/>
  <c r="L325" i="81"/>
  <c r="M323" i="81"/>
  <c r="G328" i="81"/>
  <c r="G332" i="81"/>
  <c r="N330" i="81"/>
  <c r="O328" i="81"/>
  <c r="C331" i="81"/>
  <c r="B320" i="81"/>
  <c r="P330" i="81"/>
  <c r="I333" i="81"/>
  <c r="K323" i="81"/>
  <c r="J334" i="81"/>
  <c r="H324" i="81"/>
  <c r="E334" i="81"/>
  <c r="N327" i="81"/>
  <c r="M40" i="108"/>
  <c r="L40" i="108"/>
  <c r="L219" i="99"/>
  <c r="D209" i="99"/>
  <c r="E213" i="99"/>
  <c r="C122" i="87"/>
  <c r="C120" i="87"/>
  <c r="C118" i="87"/>
  <c r="C116" i="87"/>
  <c r="B122" i="87"/>
  <c r="B120" i="87"/>
  <c r="B118" i="87"/>
  <c r="B116" i="87"/>
  <c r="I119" i="87"/>
  <c r="I115" i="87"/>
  <c r="H119" i="87"/>
  <c r="H115" i="87"/>
  <c r="G121" i="87"/>
  <c r="G119" i="87"/>
  <c r="G117" i="87"/>
  <c r="G115" i="87"/>
  <c r="C121" i="87"/>
  <c r="C119" i="87"/>
  <c r="C117" i="87"/>
  <c r="C115" i="87"/>
  <c r="E119" i="87"/>
  <c r="F116" i="87"/>
  <c r="F109" i="87"/>
  <c r="G122" i="87"/>
  <c r="D119" i="87"/>
  <c r="E116" i="87"/>
  <c r="F122" i="87"/>
  <c r="B119" i="87"/>
  <c r="D116" i="87"/>
  <c r="F115" i="87"/>
  <c r="E115" i="87"/>
  <c r="B121" i="87"/>
  <c r="F121" i="87"/>
  <c r="B117" i="87"/>
  <c r="H116" i="87"/>
  <c r="I120" i="87"/>
  <c r="H120" i="87"/>
  <c r="G120" i="87"/>
  <c r="F120" i="87"/>
  <c r="E120" i="87"/>
  <c r="D120" i="87"/>
  <c r="F119" i="87"/>
  <c r="G118" i="87"/>
  <c r="G116" i="87"/>
  <c r="F118" i="87"/>
  <c r="F117" i="87"/>
  <c r="I116" i="87"/>
  <c r="B115" i="87"/>
  <c r="D115" i="87"/>
  <c r="K7" i="97"/>
  <c r="L309" i="81"/>
  <c r="L308" i="81"/>
  <c r="L307" i="81"/>
  <c r="L306" i="81"/>
  <c r="L305" i="81"/>
  <c r="L304" i="81"/>
  <c r="L303" i="81"/>
  <c r="L302" i="81"/>
  <c r="L301" i="81"/>
  <c r="L300" i="81"/>
  <c r="L299" i="81"/>
  <c r="L298" i="81"/>
  <c r="L297" i="81"/>
  <c r="L296" i="81"/>
  <c r="L295" i="81"/>
  <c r="L294" i="81"/>
  <c r="K309" i="81"/>
  <c r="K308" i="81"/>
  <c r="K307" i="81"/>
  <c r="K306" i="81"/>
  <c r="K305" i="81"/>
  <c r="K304" i="81"/>
  <c r="K303" i="81"/>
  <c r="K302" i="81"/>
  <c r="K301" i="81"/>
  <c r="K300" i="81"/>
  <c r="K299" i="81"/>
  <c r="K298" i="81"/>
  <c r="K297" i="81"/>
  <c r="K296" i="81"/>
  <c r="K295" i="81"/>
  <c r="K294" i="81"/>
  <c r="J309" i="81"/>
  <c r="J308" i="81"/>
  <c r="J307" i="81"/>
  <c r="J306" i="81"/>
  <c r="J305" i="81"/>
  <c r="J304" i="81"/>
  <c r="J303" i="81"/>
  <c r="J302" i="81"/>
  <c r="J301" i="81"/>
  <c r="J300" i="81"/>
  <c r="J299" i="81"/>
  <c r="J298" i="81"/>
  <c r="J297" i="81"/>
  <c r="J296" i="81"/>
  <c r="J295" i="81"/>
  <c r="J294" i="81"/>
  <c r="I309" i="81"/>
  <c r="I308" i="81"/>
  <c r="I307" i="81"/>
  <c r="I306" i="81"/>
  <c r="I305" i="81"/>
  <c r="I304" i="81"/>
  <c r="I303" i="81"/>
  <c r="I302" i="81"/>
  <c r="I301" i="81"/>
  <c r="I300" i="81"/>
  <c r="I299" i="81"/>
  <c r="I298" i="81"/>
  <c r="I297" i="81"/>
  <c r="I296" i="81"/>
  <c r="I295" i="81"/>
  <c r="I294" i="81"/>
  <c r="H309" i="81"/>
  <c r="H308" i="81"/>
  <c r="H307" i="81"/>
  <c r="H306" i="81"/>
  <c r="H305" i="81"/>
  <c r="H304" i="81"/>
  <c r="H303" i="81"/>
  <c r="H302" i="81"/>
  <c r="H301" i="81"/>
  <c r="H300" i="81"/>
  <c r="H299" i="81"/>
  <c r="H298" i="81"/>
  <c r="H297" i="81"/>
  <c r="H296" i="81"/>
  <c r="H295" i="81"/>
  <c r="H294" i="81"/>
  <c r="D309" i="81"/>
  <c r="D308" i="81"/>
  <c r="D307" i="81"/>
  <c r="D306" i="81"/>
  <c r="D305" i="81"/>
  <c r="D304" i="81"/>
  <c r="D303" i="81"/>
  <c r="D302" i="81"/>
  <c r="D301" i="81"/>
  <c r="D300" i="81"/>
  <c r="D299" i="81"/>
  <c r="D298" i="81"/>
  <c r="D297" i="81"/>
  <c r="D296" i="81"/>
  <c r="D295" i="81"/>
  <c r="D294" i="81"/>
  <c r="Q309" i="81"/>
  <c r="F308" i="81"/>
  <c r="C305" i="81"/>
  <c r="M303" i="81"/>
  <c r="Q301" i="81"/>
  <c r="F300" i="81"/>
  <c r="C297" i="81"/>
  <c r="M295" i="81"/>
  <c r="P309" i="81"/>
  <c r="E308" i="81"/>
  <c r="B305" i="81"/>
  <c r="G303" i="81"/>
  <c r="P301" i="81"/>
  <c r="E300" i="81"/>
  <c r="B297" i="81"/>
  <c r="G295" i="81"/>
  <c r="O309" i="81"/>
  <c r="C308" i="81"/>
  <c r="M306" i="81"/>
  <c r="Q304" i="81"/>
  <c r="F303" i="81"/>
  <c r="O301" i="81"/>
  <c r="C300" i="81"/>
  <c r="M298" i="81"/>
  <c r="Q296" i="81"/>
  <c r="F295" i="81"/>
  <c r="N309" i="81"/>
  <c r="B308" i="81"/>
  <c r="P304" i="81"/>
  <c r="E303" i="81"/>
  <c r="N301" i="81"/>
  <c r="B300" i="81"/>
  <c r="P296" i="81"/>
  <c r="E295" i="81"/>
  <c r="M309" i="81"/>
  <c r="Q307" i="81"/>
  <c r="O304" i="81"/>
  <c r="C303" i="81"/>
  <c r="M301" i="81"/>
  <c r="Q299" i="81"/>
  <c r="O296" i="81"/>
  <c r="C295" i="81"/>
  <c r="G309" i="81"/>
  <c r="P307" i="81"/>
  <c r="E306" i="81"/>
  <c r="N304" i="81"/>
  <c r="B303" i="81"/>
  <c r="G301" i="81"/>
  <c r="P299" i="81"/>
  <c r="E298" i="81"/>
  <c r="N296" i="81"/>
  <c r="B295" i="81"/>
  <c r="E309" i="81"/>
  <c r="B307" i="81"/>
  <c r="E304" i="81"/>
  <c r="B302" i="81"/>
  <c r="E299" i="81"/>
  <c r="G296" i="81"/>
  <c r="E294" i="81"/>
  <c r="C309" i="81"/>
  <c r="Q306" i="81"/>
  <c r="C304" i="81"/>
  <c r="F301" i="81"/>
  <c r="C299" i="81"/>
  <c r="F296" i="81"/>
  <c r="C294" i="81"/>
  <c r="B309" i="81"/>
  <c r="P306" i="81"/>
  <c r="B304" i="81"/>
  <c r="E301" i="81"/>
  <c r="B299" i="81"/>
  <c r="E296" i="81"/>
  <c r="B294" i="81"/>
  <c r="Q308" i="81"/>
  <c r="C306" i="81"/>
  <c r="Q303" i="81"/>
  <c r="C301" i="81"/>
  <c r="Q298" i="81"/>
  <c r="C296" i="81"/>
  <c r="P308" i="81"/>
  <c r="B306" i="81"/>
  <c r="P303" i="81"/>
  <c r="B301" i="81"/>
  <c r="P298" i="81"/>
  <c r="B296" i="81"/>
  <c r="M305" i="81"/>
  <c r="O302" i="81"/>
  <c r="M300" i="81"/>
  <c r="O297" i="81"/>
  <c r="Q294" i="81"/>
  <c r="Q305" i="81"/>
  <c r="G302" i="81"/>
  <c r="Q297" i="81"/>
  <c r="G294" i="81"/>
  <c r="P305" i="81"/>
  <c r="F302" i="81"/>
  <c r="P297" i="81"/>
  <c r="F294" i="81"/>
  <c r="O305" i="81"/>
  <c r="E302" i="81"/>
  <c r="N297" i="81"/>
  <c r="N305" i="81"/>
  <c r="C302" i="81"/>
  <c r="M297" i="81"/>
  <c r="F288" i="81"/>
  <c r="G305" i="81"/>
  <c r="Q300" i="81"/>
  <c r="G297" i="81"/>
  <c r="F309" i="81"/>
  <c r="F305" i="81"/>
  <c r="P300" i="81"/>
  <c r="F297" i="81"/>
  <c r="M308" i="81"/>
  <c r="N302" i="81"/>
  <c r="O295" i="81"/>
  <c r="G308" i="81"/>
  <c r="M302" i="81"/>
  <c r="N295" i="81"/>
  <c r="O300" i="81"/>
  <c r="P294" i="81"/>
  <c r="M307" i="81"/>
  <c r="N300" i="81"/>
  <c r="O294" i="81"/>
  <c r="G300" i="81"/>
  <c r="N294" i="81"/>
  <c r="E305" i="81"/>
  <c r="N308" i="81"/>
  <c r="B298" i="81"/>
  <c r="E297" i="81"/>
  <c r="E307" i="81"/>
  <c r="M296" i="81"/>
  <c r="C307" i="81"/>
  <c r="Q295" i="81"/>
  <c r="M304" i="81"/>
  <c r="P295" i="81"/>
  <c r="N303" i="81"/>
  <c r="C298" i="81"/>
  <c r="M294" i="81"/>
  <c r="F304" i="81"/>
  <c r="O303" i="81"/>
  <c r="Q302" i="81"/>
  <c r="P302" i="81"/>
  <c r="O308" i="81"/>
  <c r="G304" i="81"/>
  <c r="M299" i="81"/>
  <c r="B99" i="95"/>
  <c r="G105" i="95"/>
  <c r="K8" i="79"/>
  <c r="K32" i="82"/>
  <c r="H7" i="113"/>
  <c r="L29" i="76"/>
  <c r="M29" i="76"/>
  <c r="I16" i="81"/>
  <c r="K16" i="81" s="1"/>
  <c r="M75" i="77"/>
  <c r="J73" i="77"/>
  <c r="F71" i="77"/>
  <c r="I69" i="77"/>
  <c r="C65" i="77"/>
  <c r="L74" i="77"/>
  <c r="C71" i="77"/>
  <c r="L64" i="77"/>
  <c r="K74" i="77"/>
  <c r="O70" i="77"/>
  <c r="K64" i="77"/>
  <c r="J74" i="77"/>
  <c r="N70" i="77"/>
  <c r="C64" i="77"/>
  <c r="I74" i="77"/>
  <c r="M70" i="77"/>
  <c r="B64" i="77"/>
  <c r="H73" i="77"/>
  <c r="L70" i="77"/>
  <c r="C67" i="77"/>
  <c r="O63" i="77"/>
  <c r="F76" i="77"/>
  <c r="K72" i="77"/>
  <c r="B69" i="77"/>
  <c r="H72" i="77"/>
  <c r="I66" i="77"/>
  <c r="G72" i="77"/>
  <c r="O76" i="77"/>
  <c r="F72" i="77"/>
  <c r="N76" i="77"/>
  <c r="E71" i="77"/>
  <c r="E76" i="77"/>
  <c r="D71" i="77"/>
  <c r="C66" i="77"/>
  <c r="O74" i="77"/>
  <c r="O68" i="77"/>
  <c r="M64" i="77"/>
  <c r="B75" i="77"/>
  <c r="H68" i="77"/>
  <c r="N74" i="77"/>
  <c r="J66" i="77"/>
  <c r="M74" i="77"/>
  <c r="B65" i="77"/>
  <c r="G73" i="77"/>
  <c r="O64" i="77"/>
  <c r="E73" i="77"/>
  <c r="N64" i="77"/>
  <c r="E70" i="77"/>
  <c r="F59" i="77"/>
  <c r="D70" i="77"/>
  <c r="C75" i="77"/>
  <c r="D73" i="77"/>
  <c r="J72" i="77"/>
  <c r="I72" i="77"/>
  <c r="C70" i="77"/>
  <c r="N68" i="77"/>
  <c r="M68" i="77"/>
  <c r="J68" i="77"/>
  <c r="I68" i="77"/>
  <c r="N63" i="77"/>
  <c r="L75" i="77"/>
  <c r="K68" i="77"/>
  <c r="J67" i="77"/>
  <c r="J64" i="77"/>
  <c r="D74" i="77"/>
  <c r="E69" i="77"/>
  <c r="F64" i="77"/>
  <c r="K69" i="77"/>
  <c r="K67" i="77"/>
  <c r="N73" i="77"/>
  <c r="H71" i="77"/>
  <c r="D64" i="77"/>
  <c r="H75" i="77"/>
  <c r="I70" i="77"/>
  <c r="J65" i="77"/>
  <c r="D75" i="77"/>
  <c r="L63" i="77"/>
  <c r="M73" i="77"/>
  <c r="N75" i="77"/>
  <c r="J75" i="77"/>
  <c r="C73" i="77"/>
  <c r="E63" i="77"/>
  <c r="M72" i="77"/>
  <c r="N67" i="77"/>
  <c r="L73" i="77"/>
  <c r="G74" i="77"/>
  <c r="H74" i="77"/>
  <c r="O72" i="77"/>
  <c r="D63" i="77"/>
  <c r="C69" i="77"/>
  <c r="O69" i="77"/>
  <c r="F73" i="77"/>
  <c r="B67" i="77"/>
  <c r="L71" i="77"/>
  <c r="H76" i="77"/>
  <c r="K66" i="77"/>
  <c r="C72" i="77"/>
  <c r="D72" i="77"/>
  <c r="M65" i="77"/>
  <c r="F69" i="77"/>
  <c r="E75" i="77"/>
  <c r="H65" i="77"/>
  <c r="B71" i="77"/>
  <c r="G63" i="77"/>
  <c r="C68" i="77"/>
  <c r="B74" i="77"/>
  <c r="E64" i="77"/>
  <c r="M63" i="77"/>
  <c r="L68" i="77"/>
  <c r="E74" i="77"/>
  <c r="K65" i="77"/>
  <c r="G70" i="77"/>
  <c r="I73" i="77"/>
  <c r="M67" i="77"/>
  <c r="H66" i="77"/>
  <c r="B73" i="77"/>
  <c r="H64" i="77"/>
  <c r="D69" i="77"/>
  <c r="G71" i="77"/>
  <c r="J69" i="77"/>
  <c r="G69" i="77"/>
  <c r="C74" i="77"/>
  <c r="I65" i="77"/>
  <c r="I63" i="77"/>
  <c r="K73" i="77"/>
  <c r="M76" i="77"/>
  <c r="O66" i="77"/>
  <c r="N72" i="77"/>
  <c r="C63" i="77"/>
  <c r="M69" i="77"/>
  <c r="G8" i="103"/>
  <c r="F113" i="99"/>
  <c r="B112" i="99"/>
  <c r="J110" i="99"/>
  <c r="F109" i="99"/>
  <c r="B108" i="99"/>
  <c r="J106" i="99"/>
  <c r="F105" i="99"/>
  <c r="B104" i="99"/>
  <c r="I114" i="99"/>
  <c r="E113" i="99"/>
  <c r="I110" i="99"/>
  <c r="E109" i="99"/>
  <c r="M107" i="99"/>
  <c r="I106" i="99"/>
  <c r="E105" i="99"/>
  <c r="M103" i="99"/>
  <c r="E114" i="99"/>
  <c r="I111" i="99"/>
  <c r="E110" i="99"/>
  <c r="M108" i="99"/>
  <c r="I107" i="99"/>
  <c r="E106" i="99"/>
  <c r="M104" i="99"/>
  <c r="I103" i="99"/>
  <c r="D112" i="99"/>
  <c r="G110" i="99"/>
  <c r="K108" i="99"/>
  <c r="D107" i="99"/>
  <c r="I105" i="99"/>
  <c r="L103" i="99"/>
  <c r="C112" i="99"/>
  <c r="F110" i="99"/>
  <c r="J108" i="99"/>
  <c r="C107" i="99"/>
  <c r="H105" i="99"/>
  <c r="K103" i="99"/>
  <c r="I113" i="99"/>
  <c r="D110" i="99"/>
  <c r="I108" i="99"/>
  <c r="B107" i="99"/>
  <c r="G105" i="99"/>
  <c r="J103" i="99"/>
  <c r="H113" i="99"/>
  <c r="C110" i="99"/>
  <c r="H108" i="99"/>
  <c r="M106" i="99"/>
  <c r="D105" i="99"/>
  <c r="H103" i="99"/>
  <c r="G113" i="99"/>
  <c r="B110" i="99"/>
  <c r="G108" i="99"/>
  <c r="L106" i="99"/>
  <c r="C105" i="99"/>
  <c r="G103" i="99"/>
  <c r="D113" i="99"/>
  <c r="H111" i="99"/>
  <c r="M109" i="99"/>
  <c r="F108" i="99"/>
  <c r="K106" i="99"/>
  <c r="B105" i="99"/>
  <c r="F103" i="99"/>
  <c r="B114" i="99"/>
  <c r="D111" i="99"/>
  <c r="L108" i="99"/>
  <c r="B106" i="99"/>
  <c r="D103" i="99"/>
  <c r="C111" i="99"/>
  <c r="E108" i="99"/>
  <c r="M105" i="99"/>
  <c r="C103" i="99"/>
  <c r="B111" i="99"/>
  <c r="D108" i="99"/>
  <c r="L105" i="99"/>
  <c r="B103" i="99"/>
  <c r="C113" i="99"/>
  <c r="M110" i="99"/>
  <c r="C108" i="99"/>
  <c r="K105" i="99"/>
  <c r="B113" i="99"/>
  <c r="L110" i="99"/>
  <c r="L107" i="99"/>
  <c r="J105" i="99"/>
  <c r="I112" i="99"/>
  <c r="K109" i="99"/>
  <c r="G107" i="99"/>
  <c r="I104" i="99"/>
  <c r="H114" i="99"/>
  <c r="H110" i="99"/>
  <c r="F106" i="99"/>
  <c r="G114" i="99"/>
  <c r="L109" i="99"/>
  <c r="D106" i="99"/>
  <c r="F97" i="99"/>
  <c r="F114" i="99"/>
  <c r="J109" i="99"/>
  <c r="C106" i="99"/>
  <c r="D114" i="99"/>
  <c r="I109" i="99"/>
  <c r="L104" i="99"/>
  <c r="C114" i="99"/>
  <c r="H109" i="99"/>
  <c r="K104" i="99"/>
  <c r="H112" i="99"/>
  <c r="B109" i="99"/>
  <c r="F104" i="99"/>
  <c r="H106" i="99"/>
  <c r="G112" i="99"/>
  <c r="G106" i="99"/>
  <c r="F112" i="99"/>
  <c r="J104" i="99"/>
  <c r="E112" i="99"/>
  <c r="H104" i="99"/>
  <c r="G111" i="99"/>
  <c r="G104" i="99"/>
  <c r="J107" i="99"/>
  <c r="H107" i="99"/>
  <c r="F107" i="99"/>
  <c r="E107" i="99"/>
  <c r="E104" i="99"/>
  <c r="D104" i="99"/>
  <c r="C104" i="99"/>
  <c r="F111" i="99"/>
  <c r="E111" i="99"/>
  <c r="K107" i="99"/>
  <c r="K110" i="99"/>
  <c r="G109" i="99"/>
  <c r="D109" i="99"/>
  <c r="C109" i="99"/>
  <c r="E103" i="99"/>
  <c r="N65" i="77"/>
  <c r="F75" i="77"/>
  <c r="H63" i="77"/>
  <c r="J7" i="97"/>
  <c r="I7" i="97"/>
  <c r="I131" i="73"/>
  <c r="E130" i="73"/>
  <c r="M128" i="73"/>
  <c r="I127" i="73"/>
  <c r="E126" i="73"/>
  <c r="M124" i="73"/>
  <c r="I123" i="73"/>
  <c r="E122" i="73"/>
  <c r="M120" i="73"/>
  <c r="C131" i="73"/>
  <c r="E128" i="73"/>
  <c r="L126" i="73"/>
  <c r="G125" i="73"/>
  <c r="B124" i="73"/>
  <c r="I122" i="73"/>
  <c r="D121" i="73"/>
  <c r="B131" i="73"/>
  <c r="I129" i="73"/>
  <c r="D128" i="73"/>
  <c r="K126" i="73"/>
  <c r="F125" i="73"/>
  <c r="M123" i="73"/>
  <c r="H122" i="73"/>
  <c r="M130" i="73"/>
  <c r="H129" i="73"/>
  <c r="J126" i="73"/>
  <c r="E125" i="73"/>
  <c r="L123" i="73"/>
  <c r="G122" i="73"/>
  <c r="L130" i="73"/>
  <c r="G129" i="73"/>
  <c r="I126" i="73"/>
  <c r="D125" i="73"/>
  <c r="K123" i="73"/>
  <c r="F122" i="73"/>
  <c r="L120" i="73"/>
  <c r="K130" i="73"/>
  <c r="F129" i="73"/>
  <c r="M127" i="73"/>
  <c r="H126" i="73"/>
  <c r="C125" i="73"/>
  <c r="J123" i="73"/>
  <c r="D122" i="73"/>
  <c r="J130" i="73"/>
  <c r="E129" i="73"/>
  <c r="L127" i="73"/>
  <c r="G126" i="73"/>
  <c r="B125" i="73"/>
  <c r="H123" i="73"/>
  <c r="C122" i="73"/>
  <c r="M131" i="73"/>
  <c r="M129" i="73"/>
  <c r="G127" i="73"/>
  <c r="H125" i="73"/>
  <c r="B123" i="73"/>
  <c r="H120" i="73"/>
  <c r="L131" i="73"/>
  <c r="L129" i="73"/>
  <c r="F127" i="73"/>
  <c r="L124" i="73"/>
  <c r="M122" i="73"/>
  <c r="G120" i="73"/>
  <c r="K131" i="73"/>
  <c r="E127" i="73"/>
  <c r="K124" i="73"/>
  <c r="L122" i="73"/>
  <c r="F120" i="73"/>
  <c r="J131" i="73"/>
  <c r="D129" i="73"/>
  <c r="D127" i="73"/>
  <c r="J124" i="73"/>
  <c r="K122" i="73"/>
  <c r="E120" i="73"/>
  <c r="H131" i="73"/>
  <c r="C127" i="73"/>
  <c r="I124" i="73"/>
  <c r="J122" i="73"/>
  <c r="D120" i="73"/>
  <c r="D131" i="73"/>
  <c r="D126" i="73"/>
  <c r="E124" i="73"/>
  <c r="I128" i="73"/>
  <c r="I125" i="73"/>
  <c r="H121" i="73"/>
  <c r="H128" i="73"/>
  <c r="H124" i="73"/>
  <c r="G121" i="73"/>
  <c r="G128" i="73"/>
  <c r="G124" i="73"/>
  <c r="F121" i="73"/>
  <c r="G131" i="73"/>
  <c r="F128" i="73"/>
  <c r="F124" i="73"/>
  <c r="E121" i="73"/>
  <c r="F131" i="73"/>
  <c r="K127" i="73"/>
  <c r="D124" i="73"/>
  <c r="I120" i="73"/>
  <c r="G130" i="73"/>
  <c r="M126" i="73"/>
  <c r="E123" i="73"/>
  <c r="E131" i="73"/>
  <c r="M125" i="73"/>
  <c r="I130" i="73"/>
  <c r="L125" i="73"/>
  <c r="H130" i="73"/>
  <c r="K125" i="73"/>
  <c r="F130" i="73"/>
  <c r="J125" i="73"/>
  <c r="D130" i="73"/>
  <c r="C124" i="73"/>
  <c r="L128" i="73"/>
  <c r="C123" i="73"/>
  <c r="B127" i="73"/>
  <c r="F114" i="73"/>
  <c r="F126" i="73"/>
  <c r="C126" i="73"/>
  <c r="B126" i="73"/>
  <c r="G123" i="73"/>
  <c r="F123" i="73"/>
  <c r="D123" i="73"/>
  <c r="M121" i="73"/>
  <c r="C130" i="73"/>
  <c r="B130" i="73"/>
  <c r="B122" i="73"/>
  <c r="J127" i="73"/>
  <c r="H127" i="73"/>
  <c r="L121" i="73"/>
  <c r="I121" i="73"/>
  <c r="M32" i="90"/>
  <c r="L32" i="90"/>
  <c r="I11" i="63"/>
  <c r="J11" i="63" s="1"/>
  <c r="K325" i="81"/>
  <c r="I323" i="81"/>
  <c r="P331" i="81"/>
  <c r="D320" i="81"/>
  <c r="K11" i="63"/>
  <c r="C204" i="73"/>
  <c r="L39" i="88"/>
  <c r="M39" i="88"/>
  <c r="B151" i="65"/>
  <c r="C191" i="91"/>
  <c r="E64" i="87"/>
  <c r="M29" i="58"/>
  <c r="L29" i="58"/>
  <c r="M34" i="58"/>
  <c r="L34" i="58"/>
  <c r="I6" i="49"/>
  <c r="J6" i="49" s="1"/>
  <c r="G214" i="67"/>
  <c r="E352" i="65"/>
  <c r="C352" i="65"/>
  <c r="F141" i="37"/>
  <c r="D150" i="37"/>
  <c r="G148" i="37"/>
  <c r="H154" i="37"/>
  <c r="F148" i="37"/>
  <c r="K153" i="37"/>
  <c r="C147" i="37"/>
  <c r="H153" i="37"/>
  <c r="K146" i="37"/>
  <c r="G153" i="37"/>
  <c r="H146" i="37"/>
  <c r="I150" i="37"/>
  <c r="C154" i="37"/>
  <c r="K151" i="37"/>
  <c r="J151" i="37"/>
  <c r="I151" i="37"/>
  <c r="D147" i="37"/>
  <c r="E153" i="37"/>
  <c r="B151" i="37"/>
  <c r="K147" i="37"/>
  <c r="E152" i="37"/>
  <c r="C150" i="37"/>
  <c r="G151" i="37"/>
  <c r="G155" i="37"/>
  <c r="G149" i="37"/>
  <c r="F147" i="37"/>
  <c r="F152" i="37"/>
  <c r="B146" i="37"/>
  <c r="J153" i="37"/>
  <c r="G154" i="37"/>
  <c r="I147" i="37"/>
  <c r="I154" i="37"/>
  <c r="H155" i="37"/>
  <c r="B147" i="37"/>
  <c r="K152" i="37"/>
  <c r="B155" i="37"/>
  <c r="I152" i="37"/>
  <c r="I146" i="37"/>
  <c r="C152" i="37"/>
  <c r="E151" i="37"/>
  <c r="D153" i="37"/>
  <c r="K150" i="37"/>
  <c r="F153" i="37"/>
  <c r="B148" i="37"/>
  <c r="B154" i="37"/>
  <c r="I155" i="37"/>
  <c r="G150" i="37"/>
  <c r="F146" i="37"/>
  <c r="D152" i="37"/>
  <c r="F155" i="37"/>
  <c r="C155" i="37"/>
  <c r="F150" i="37"/>
  <c r="B152" i="37"/>
  <c r="F151" i="37"/>
  <c r="H148" i="37"/>
  <c r="I148" i="37"/>
  <c r="F149" i="37"/>
  <c r="J146" i="37"/>
  <c r="H147" i="37"/>
  <c r="I153" i="37"/>
  <c r="H151" i="37"/>
  <c r="E150" i="37"/>
  <c r="C151" i="37"/>
  <c r="E146" i="37"/>
  <c r="J150" i="37"/>
  <c r="I149" i="37"/>
  <c r="H152" i="37"/>
  <c r="J147" i="37"/>
  <c r="C148" i="37"/>
  <c r="G147" i="37"/>
  <c r="G146" i="37"/>
  <c r="D146" i="37"/>
  <c r="J152" i="37"/>
  <c r="C149" i="37"/>
  <c r="D151" i="37"/>
  <c r="E147" i="37"/>
  <c r="B149" i="37"/>
  <c r="H149" i="37"/>
  <c r="C146" i="37"/>
  <c r="C153" i="37"/>
  <c r="B153" i="37"/>
  <c r="H150" i="37"/>
  <c r="B150" i="37"/>
  <c r="G152" i="37"/>
  <c r="M34" i="40"/>
  <c r="L34" i="40"/>
  <c r="I9" i="37"/>
  <c r="I6" i="33"/>
  <c r="J6" i="33" s="1"/>
  <c r="M29" i="10"/>
  <c r="L29" i="10"/>
  <c r="M28" i="32"/>
  <c r="L28" i="32"/>
  <c r="E639" i="81"/>
  <c r="N8" i="81"/>
  <c r="A548" i="81" s="1"/>
  <c r="K8" i="81"/>
  <c r="J8" i="81"/>
  <c r="E518" i="79"/>
  <c r="C518" i="79"/>
  <c r="B264" i="79"/>
  <c r="N282" i="79" s="1"/>
  <c r="I8" i="61"/>
  <c r="M32" i="76"/>
  <c r="L32" i="76"/>
  <c r="M30" i="48"/>
  <c r="L30" i="48"/>
  <c r="E191" i="91"/>
  <c r="G64" i="87"/>
  <c r="G259" i="61"/>
  <c r="F259" i="61"/>
  <c r="P275" i="61"/>
  <c r="E215" i="67"/>
  <c r="C50" i="25"/>
  <c r="D52" i="25"/>
  <c r="I45" i="25"/>
  <c r="B48" i="25"/>
  <c r="G51" i="25"/>
  <c r="D45" i="25"/>
  <c r="I49" i="25"/>
  <c r="G45" i="25"/>
  <c r="H49" i="25"/>
  <c r="F45" i="25"/>
  <c r="C45" i="25"/>
  <c r="I48" i="25"/>
  <c r="H48" i="25"/>
  <c r="C49" i="25"/>
  <c r="I51" i="25"/>
  <c r="F51" i="25"/>
  <c r="E51" i="25"/>
  <c r="C47" i="25"/>
  <c r="F40" i="25"/>
  <c r="C52" i="25"/>
  <c r="B52" i="25"/>
  <c r="D51" i="25"/>
  <c r="C51" i="25"/>
  <c r="H45" i="25"/>
  <c r="H46" i="25"/>
  <c r="I47" i="25"/>
  <c r="H47" i="25"/>
  <c r="I46" i="25"/>
  <c r="I50" i="25"/>
  <c r="B50" i="25"/>
  <c r="G46" i="25"/>
  <c r="H52" i="25"/>
  <c r="B51" i="25"/>
  <c r="B49" i="25"/>
  <c r="B47" i="25"/>
  <c r="B45" i="25"/>
  <c r="B46" i="25"/>
  <c r="E52" i="25"/>
  <c r="C46" i="25"/>
  <c r="G52" i="25"/>
  <c r="F52" i="25"/>
  <c r="H50" i="25"/>
  <c r="I52" i="25"/>
  <c r="C48" i="25"/>
  <c r="E45" i="25"/>
  <c r="D46" i="25"/>
  <c r="E46" i="25"/>
  <c r="H51" i="25"/>
  <c r="L59" i="81"/>
  <c r="L58" i="81"/>
  <c r="L57" i="81"/>
  <c r="L56" i="81"/>
  <c r="L55" i="81"/>
  <c r="L54" i="81"/>
  <c r="L53" i="81"/>
  <c r="L52" i="81"/>
  <c r="L51" i="81"/>
  <c r="L50" i="81"/>
  <c r="L49" i="81"/>
  <c r="L48" i="81"/>
  <c r="L47" i="81"/>
  <c r="L46" i="81"/>
  <c r="L45" i="81"/>
  <c r="L44" i="81"/>
  <c r="K59" i="81"/>
  <c r="K58" i="81"/>
  <c r="K57" i="81"/>
  <c r="K56" i="81"/>
  <c r="K55" i="81"/>
  <c r="K54" i="81"/>
  <c r="K53" i="81"/>
  <c r="K52" i="81"/>
  <c r="K51" i="81"/>
  <c r="K50" i="81"/>
  <c r="K49" i="81"/>
  <c r="K48" i="81"/>
  <c r="K47" i="81"/>
  <c r="K46" i="81"/>
  <c r="K45" i="81"/>
  <c r="K44" i="81"/>
  <c r="J59" i="81"/>
  <c r="J58" i="81"/>
  <c r="J57" i="81"/>
  <c r="J56" i="81"/>
  <c r="J55" i="81"/>
  <c r="J54" i="81"/>
  <c r="J53" i="81"/>
  <c r="J52" i="81"/>
  <c r="J51" i="81"/>
  <c r="J50" i="81"/>
  <c r="J49" i="81"/>
  <c r="J48" i="81"/>
  <c r="J47" i="81"/>
  <c r="J46" i="81"/>
  <c r="J45" i="81"/>
  <c r="J44" i="81"/>
  <c r="I59" i="81"/>
  <c r="I58" i="81"/>
  <c r="I57" i="81"/>
  <c r="I56" i="81"/>
  <c r="I55" i="81"/>
  <c r="I54" i="81"/>
  <c r="I53" i="81"/>
  <c r="I52" i="81"/>
  <c r="I51" i="81"/>
  <c r="I50" i="81"/>
  <c r="I49" i="81"/>
  <c r="I48" i="81"/>
  <c r="I47" i="81"/>
  <c r="I46" i="81"/>
  <c r="I45" i="81"/>
  <c r="I44" i="81"/>
  <c r="H59" i="81"/>
  <c r="H58" i="81"/>
  <c r="H57" i="81"/>
  <c r="H56" i="81"/>
  <c r="H55" i="81"/>
  <c r="H54" i="81"/>
  <c r="H53" i="81"/>
  <c r="H52" i="81"/>
  <c r="H51" i="81"/>
  <c r="H50" i="81"/>
  <c r="H49" i="81"/>
  <c r="H48" i="81"/>
  <c r="H47" i="81"/>
  <c r="H46" i="81"/>
  <c r="H45" i="81"/>
  <c r="H44" i="81"/>
  <c r="D59" i="81"/>
  <c r="D58" i="81"/>
  <c r="D57" i="81"/>
  <c r="D56" i="81"/>
  <c r="D55" i="81"/>
  <c r="D54" i="81"/>
  <c r="D53" i="81"/>
  <c r="D52" i="81"/>
  <c r="D51" i="81"/>
  <c r="D50" i="81"/>
  <c r="D49" i="81"/>
  <c r="D48" i="81"/>
  <c r="Q58" i="81"/>
  <c r="F57" i="81"/>
  <c r="O55" i="81"/>
  <c r="C54" i="81"/>
  <c r="M52" i="81"/>
  <c r="Q50" i="81"/>
  <c r="F49" i="81"/>
  <c r="O47" i="81"/>
  <c r="M44" i="81"/>
  <c r="P58" i="81"/>
  <c r="E57" i="81"/>
  <c r="N55" i="81"/>
  <c r="B54" i="81"/>
  <c r="G52" i="81"/>
  <c r="P50" i="81"/>
  <c r="E49" i="81"/>
  <c r="N47" i="81"/>
  <c r="G44" i="81"/>
  <c r="O58" i="81"/>
  <c r="C57" i="81"/>
  <c r="M55" i="81"/>
  <c r="Q53" i="81"/>
  <c r="F52" i="81"/>
  <c r="O50" i="81"/>
  <c r="C49" i="81"/>
  <c r="M47" i="81"/>
  <c r="Q45" i="81"/>
  <c r="F44" i="81"/>
  <c r="N58" i="81"/>
  <c r="B57" i="81"/>
  <c r="G55" i="81"/>
  <c r="P53" i="81"/>
  <c r="E52" i="81"/>
  <c r="N50" i="81"/>
  <c r="B49" i="81"/>
  <c r="G47" i="81"/>
  <c r="P45" i="81"/>
  <c r="M58" i="81"/>
  <c r="Q56" i="81"/>
  <c r="F55" i="81"/>
  <c r="O53" i="81"/>
  <c r="C52" i="81"/>
  <c r="M50" i="81"/>
  <c r="Q48" i="81"/>
  <c r="F47" i="81"/>
  <c r="O45" i="81"/>
  <c r="G58" i="81"/>
  <c r="P56" i="81"/>
  <c r="E55" i="81"/>
  <c r="N53" i="81"/>
  <c r="B52" i="81"/>
  <c r="G50" i="81"/>
  <c r="P48" i="81"/>
  <c r="N45" i="81"/>
  <c r="C58" i="81"/>
  <c r="Q55" i="81"/>
  <c r="C53" i="81"/>
  <c r="F50" i="81"/>
  <c r="C48" i="81"/>
  <c r="F45" i="81"/>
  <c r="B58" i="81"/>
  <c r="P55" i="81"/>
  <c r="B53" i="81"/>
  <c r="E50" i="81"/>
  <c r="B48" i="81"/>
  <c r="F38" i="81"/>
  <c r="Q57" i="81"/>
  <c r="C55" i="81"/>
  <c r="Q52" i="81"/>
  <c r="C50" i="81"/>
  <c r="Q47" i="81"/>
  <c r="P57" i="81"/>
  <c r="B55" i="81"/>
  <c r="P52" i="81"/>
  <c r="B50" i="81"/>
  <c r="P47" i="81"/>
  <c r="Q59" i="81"/>
  <c r="O57" i="81"/>
  <c r="Q54" i="81"/>
  <c r="O52" i="81"/>
  <c r="Q49" i="81"/>
  <c r="Q44" i="81"/>
  <c r="G59" i="81"/>
  <c r="N56" i="81"/>
  <c r="G54" i="81"/>
  <c r="N51" i="81"/>
  <c r="G49" i="81"/>
  <c r="N46" i="81"/>
  <c r="M56" i="81"/>
  <c r="N52" i="81"/>
  <c r="M48" i="81"/>
  <c r="N44" i="81"/>
  <c r="G56" i="81"/>
  <c r="Q51" i="81"/>
  <c r="G48" i="81"/>
  <c r="P59" i="81"/>
  <c r="F56" i="81"/>
  <c r="P51" i="81"/>
  <c r="F48" i="81"/>
  <c r="O59" i="81"/>
  <c r="E56" i="81"/>
  <c r="O51" i="81"/>
  <c r="E48" i="81"/>
  <c r="N59" i="81"/>
  <c r="C56" i="81"/>
  <c r="M51" i="81"/>
  <c r="M59" i="81"/>
  <c r="B56" i="81"/>
  <c r="G51" i="81"/>
  <c r="Q46" i="81"/>
  <c r="P54" i="81"/>
  <c r="N49" i="81"/>
  <c r="O54" i="81"/>
  <c r="M49" i="81"/>
  <c r="N54" i="81"/>
  <c r="O48" i="81"/>
  <c r="M54" i="81"/>
  <c r="N48" i="81"/>
  <c r="F54" i="81"/>
  <c r="P46" i="81"/>
  <c r="C59" i="81"/>
  <c r="F53" i="81"/>
  <c r="F46" i="81"/>
  <c r="F58" i="81"/>
  <c r="O46" i="81"/>
  <c r="E58" i="81"/>
  <c r="M46" i="81"/>
  <c r="N57" i="81"/>
  <c r="G46" i="81"/>
  <c r="M57" i="81"/>
  <c r="G57" i="81"/>
  <c r="M45" i="81"/>
  <c r="G53" i="81"/>
  <c r="F59" i="81"/>
  <c r="E59" i="81"/>
  <c r="B59" i="81"/>
  <c r="O56" i="81"/>
  <c r="E54" i="81"/>
  <c r="E51" i="81"/>
  <c r="C51" i="81"/>
  <c r="B51" i="81"/>
  <c r="M53" i="81"/>
  <c r="E53" i="81"/>
  <c r="F51" i="81"/>
  <c r="P49" i="81"/>
  <c r="O49" i="81"/>
  <c r="G45" i="81"/>
  <c r="P44" i="81"/>
  <c r="O44" i="81"/>
  <c r="K145" i="79"/>
  <c r="I144" i="79"/>
  <c r="G143" i="79"/>
  <c r="E142" i="79"/>
  <c r="C141" i="79"/>
  <c r="O139" i="79"/>
  <c r="M138" i="79"/>
  <c r="K137" i="79"/>
  <c r="I136" i="79"/>
  <c r="G135" i="79"/>
  <c r="C133" i="79"/>
  <c r="J145" i="79"/>
  <c r="H144" i="79"/>
  <c r="F143" i="79"/>
  <c r="D142" i="79"/>
  <c r="B141" i="79"/>
  <c r="N139" i="79"/>
  <c r="L138" i="79"/>
  <c r="J137" i="79"/>
  <c r="H136" i="79"/>
  <c r="F135" i="79"/>
  <c r="B133" i="79"/>
  <c r="I145" i="79"/>
  <c r="G144" i="79"/>
  <c r="E143" i="79"/>
  <c r="C142" i="79"/>
  <c r="O140" i="79"/>
  <c r="M139" i="79"/>
  <c r="K138" i="79"/>
  <c r="I137" i="79"/>
  <c r="G136" i="79"/>
  <c r="C134" i="79"/>
  <c r="O132" i="79"/>
  <c r="H145" i="79"/>
  <c r="F144" i="79"/>
  <c r="D143" i="79"/>
  <c r="B142" i="79"/>
  <c r="N140" i="79"/>
  <c r="L139" i="79"/>
  <c r="J138" i="79"/>
  <c r="H137" i="79"/>
  <c r="F136" i="79"/>
  <c r="B134" i="79"/>
  <c r="N132" i="79"/>
  <c r="G145" i="79"/>
  <c r="E144" i="79"/>
  <c r="C143" i="79"/>
  <c r="O141" i="79"/>
  <c r="M140" i="79"/>
  <c r="K139" i="79"/>
  <c r="I138" i="79"/>
  <c r="G137" i="79"/>
  <c r="E136" i="79"/>
  <c r="C135" i="79"/>
  <c r="O133" i="79"/>
  <c r="M132" i="79"/>
  <c r="C145" i="79"/>
  <c r="O143" i="79"/>
  <c r="M142" i="79"/>
  <c r="I140" i="79"/>
  <c r="G139" i="79"/>
  <c r="E138" i="79"/>
  <c r="C137" i="79"/>
  <c r="O135" i="79"/>
  <c r="M134" i="79"/>
  <c r="K133" i="79"/>
  <c r="I132" i="79"/>
  <c r="L145" i="79"/>
  <c r="L143" i="79"/>
  <c r="M141" i="79"/>
  <c r="D138" i="79"/>
  <c r="J136" i="79"/>
  <c r="K132" i="79"/>
  <c r="F145" i="79"/>
  <c r="K143" i="79"/>
  <c r="L141" i="79"/>
  <c r="C140" i="79"/>
  <c r="C138" i="79"/>
  <c r="D136" i="79"/>
  <c r="I134" i="79"/>
  <c r="J132" i="79"/>
  <c r="E145" i="79"/>
  <c r="J143" i="79"/>
  <c r="B140" i="79"/>
  <c r="B138" i="79"/>
  <c r="C136" i="79"/>
  <c r="H134" i="79"/>
  <c r="H132" i="79"/>
  <c r="F126" i="79"/>
  <c r="D145" i="79"/>
  <c r="I143" i="79"/>
  <c r="I141" i="79"/>
  <c r="J139" i="79"/>
  <c r="O137" i="79"/>
  <c r="B136" i="79"/>
  <c r="G134" i="79"/>
  <c r="G132" i="79"/>
  <c r="B145" i="79"/>
  <c r="H143" i="79"/>
  <c r="H141" i="79"/>
  <c r="I139" i="79"/>
  <c r="N137" i="79"/>
  <c r="N135" i="79"/>
  <c r="F134" i="79"/>
  <c r="F132" i="79"/>
  <c r="O144" i="79"/>
  <c r="B143" i="79"/>
  <c r="G141" i="79"/>
  <c r="H139" i="79"/>
  <c r="M137" i="79"/>
  <c r="M135" i="79"/>
  <c r="N133" i="79"/>
  <c r="E132" i="79"/>
  <c r="M144" i="79"/>
  <c r="G142" i="79"/>
  <c r="C139" i="79"/>
  <c r="K136" i="79"/>
  <c r="G133" i="79"/>
  <c r="O142" i="79"/>
  <c r="H140" i="79"/>
  <c r="E137" i="79"/>
  <c r="L134" i="79"/>
  <c r="M145" i="79"/>
  <c r="F142" i="79"/>
  <c r="N138" i="79"/>
  <c r="H135" i="79"/>
  <c r="B132" i="79"/>
  <c r="N144" i="79"/>
  <c r="N141" i="79"/>
  <c r="H138" i="79"/>
  <c r="B135" i="79"/>
  <c r="L144" i="79"/>
  <c r="F141" i="79"/>
  <c r="G138" i="79"/>
  <c r="O134" i="79"/>
  <c r="K144" i="79"/>
  <c r="F138" i="79"/>
  <c r="N134" i="79"/>
  <c r="J144" i="79"/>
  <c r="L137" i="79"/>
  <c r="D144" i="79"/>
  <c r="L140" i="79"/>
  <c r="F137" i="79"/>
  <c r="M133" i="79"/>
  <c r="C144" i="79"/>
  <c r="E139" i="79"/>
  <c r="I133" i="79"/>
  <c r="B144" i="79"/>
  <c r="D139" i="79"/>
  <c r="H133" i="79"/>
  <c r="N143" i="79"/>
  <c r="B139" i="79"/>
  <c r="F133" i="79"/>
  <c r="M143" i="79"/>
  <c r="O138" i="79"/>
  <c r="E133" i="79"/>
  <c r="N142" i="79"/>
  <c r="D137" i="79"/>
  <c r="D133" i="79"/>
  <c r="I142" i="79"/>
  <c r="M136" i="79"/>
  <c r="B137" i="79"/>
  <c r="O136" i="79"/>
  <c r="N136" i="79"/>
  <c r="L136" i="79"/>
  <c r="O145" i="79"/>
  <c r="L135" i="79"/>
  <c r="J142" i="79"/>
  <c r="L133" i="79"/>
  <c r="I135" i="79"/>
  <c r="J133" i="79"/>
  <c r="L132" i="79"/>
  <c r="D132" i="79"/>
  <c r="N145" i="79"/>
  <c r="C132" i="79"/>
  <c r="G140" i="79"/>
  <c r="K142" i="79"/>
  <c r="H142" i="79"/>
  <c r="F140" i="79"/>
  <c r="F139" i="79"/>
  <c r="L142" i="79"/>
  <c r="M33" i="86"/>
  <c r="L33" i="86"/>
  <c r="M34" i="92"/>
  <c r="L34" i="92"/>
  <c r="M29" i="62"/>
  <c r="L29" i="62"/>
  <c r="D120" i="85"/>
  <c r="L33" i="54"/>
  <c r="M33" i="54"/>
  <c r="L34" i="68"/>
  <c r="M34" i="68"/>
  <c r="F199" i="73"/>
  <c r="B215" i="73"/>
  <c r="M207" i="73"/>
  <c r="L206" i="73"/>
  <c r="K210" i="73"/>
  <c r="K206" i="73"/>
  <c r="K213" i="73"/>
  <c r="J210" i="73"/>
  <c r="J206" i="73"/>
  <c r="J213" i="73"/>
  <c r="H206" i="73"/>
  <c r="F215" i="73"/>
  <c r="F209" i="73"/>
  <c r="B204" i="73"/>
  <c r="E215" i="73"/>
  <c r="D209" i="73"/>
  <c r="D215" i="73"/>
  <c r="B209" i="73"/>
  <c r="C215" i="73"/>
  <c r="F208" i="73"/>
  <c r="I213" i="73"/>
  <c r="E208" i="73"/>
  <c r="H212" i="73"/>
  <c r="G206" i="73"/>
  <c r="G210" i="73"/>
  <c r="D208" i="73"/>
  <c r="C208" i="73"/>
  <c r="B208" i="73"/>
  <c r="F206" i="73"/>
  <c r="D206" i="73"/>
  <c r="G213" i="73"/>
  <c r="G205" i="73"/>
  <c r="H205" i="73"/>
  <c r="L204" i="73"/>
  <c r="K204" i="73"/>
  <c r="J204" i="73"/>
  <c r="F213" i="73"/>
  <c r="I212" i="73"/>
  <c r="G212" i="73"/>
  <c r="F212" i="73"/>
  <c r="D211" i="73"/>
  <c r="C211" i="73"/>
  <c r="M212" i="73"/>
  <c r="G204" i="73"/>
  <c r="C207" i="73"/>
  <c r="F205" i="73"/>
  <c r="C205" i="73"/>
  <c r="C213" i="73"/>
  <c r="K215" i="73"/>
  <c r="J205" i="73"/>
  <c r="J214" i="73"/>
  <c r="L213" i="73"/>
  <c r="E210" i="73"/>
  <c r="J211" i="73"/>
  <c r="F214" i="73"/>
  <c r="E204" i="73"/>
  <c r="D212" i="73"/>
  <c r="M208" i="73"/>
  <c r="D210" i="73"/>
  <c r="L212" i="73"/>
  <c r="J209" i="73"/>
  <c r="G209" i="73"/>
  <c r="E206" i="73"/>
  <c r="F207" i="73"/>
  <c r="B210" i="73"/>
  <c r="J212" i="73"/>
  <c r="E205" i="73"/>
  <c r="B205" i="73"/>
  <c r="K211" i="73"/>
  <c r="G214" i="73"/>
  <c r="F204" i="73"/>
  <c r="B207" i="73"/>
  <c r="J207" i="73"/>
  <c r="C209" i="73"/>
  <c r="I207" i="73"/>
  <c r="C210" i="73"/>
  <c r="L209" i="73"/>
  <c r="H209" i="73"/>
  <c r="M204" i="73"/>
  <c r="J208" i="73"/>
  <c r="G208" i="73"/>
  <c r="H207" i="73"/>
  <c r="E207" i="73"/>
  <c r="I205" i="73"/>
  <c r="M206" i="73"/>
  <c r="D213" i="73"/>
  <c r="L205" i="73"/>
  <c r="D204" i="73"/>
  <c r="G215" i="73"/>
  <c r="L208" i="73"/>
  <c r="I208" i="73"/>
  <c r="E212" i="73"/>
  <c r="B211" i="73"/>
  <c r="G207" i="73"/>
  <c r="D207" i="73"/>
  <c r="K209" i="73"/>
  <c r="I206" i="73"/>
  <c r="I204" i="73"/>
  <c r="J215" i="73"/>
  <c r="K207" i="73"/>
  <c r="C206" i="73"/>
  <c r="D214" i="73"/>
  <c r="B214" i="73"/>
  <c r="E209" i="73"/>
  <c r="K208" i="73"/>
  <c r="K212" i="73"/>
  <c r="C212" i="73"/>
  <c r="E213" i="73"/>
  <c r="E214" i="73"/>
  <c r="E211" i="73"/>
  <c r="B212" i="73"/>
  <c r="J188" i="91"/>
  <c r="C65" i="87"/>
  <c r="K8" i="73"/>
  <c r="F143" i="45"/>
  <c r="D155" i="45"/>
  <c r="C154" i="45"/>
  <c r="H151" i="45"/>
  <c r="B150" i="45"/>
  <c r="B148" i="45"/>
  <c r="B154" i="45"/>
  <c r="E149" i="45"/>
  <c r="F148" i="45"/>
  <c r="D148" i="45"/>
  <c r="C148" i="45"/>
  <c r="J152" i="45"/>
  <c r="F153" i="45"/>
  <c r="C150" i="45"/>
  <c r="E147" i="45"/>
  <c r="E154" i="45"/>
  <c r="F146" i="45"/>
  <c r="C151" i="45"/>
  <c r="H147" i="45"/>
  <c r="C152" i="45"/>
  <c r="I154" i="45"/>
  <c r="F149" i="45"/>
  <c r="I148" i="45"/>
  <c r="I153" i="45"/>
  <c r="D147" i="45"/>
  <c r="B153" i="45"/>
  <c r="I147" i="45"/>
  <c r="H146" i="45"/>
  <c r="K149" i="45"/>
  <c r="E151" i="45"/>
  <c r="B146" i="45"/>
  <c r="I152" i="45"/>
  <c r="C147" i="45"/>
  <c r="H149" i="45"/>
  <c r="E153" i="45"/>
  <c r="I149" i="45"/>
  <c r="H150" i="45"/>
  <c r="K152" i="45"/>
  <c r="J146" i="45"/>
  <c r="E155" i="45"/>
  <c r="C149" i="45"/>
  <c r="C155" i="45"/>
  <c r="D153" i="45"/>
  <c r="G153" i="45"/>
  <c r="F152" i="45"/>
  <c r="B151" i="45"/>
  <c r="J149" i="45"/>
  <c r="J148" i="45"/>
  <c r="B152" i="45"/>
  <c r="K147" i="45"/>
  <c r="I146" i="45"/>
  <c r="E148" i="45"/>
  <c r="D146" i="45"/>
  <c r="H155" i="45"/>
  <c r="K153" i="45"/>
  <c r="H154" i="45"/>
  <c r="G147" i="45"/>
  <c r="J147" i="45"/>
  <c r="C153" i="45"/>
  <c r="I151" i="45"/>
  <c r="C146" i="45"/>
  <c r="I150" i="45"/>
  <c r="K146" i="45"/>
  <c r="G148" i="45"/>
  <c r="E150" i="45"/>
  <c r="J153" i="45"/>
  <c r="E146" i="45"/>
  <c r="B155" i="45"/>
  <c r="D152" i="45"/>
  <c r="H153" i="45"/>
  <c r="D150" i="45"/>
  <c r="B149" i="45"/>
  <c r="E152" i="45"/>
  <c r="D154" i="45"/>
  <c r="F147" i="45"/>
  <c r="K148" i="45"/>
  <c r="G152" i="45"/>
  <c r="I155" i="45"/>
  <c r="D149" i="45"/>
  <c r="H148" i="45"/>
  <c r="G146" i="45"/>
  <c r="H152" i="45"/>
  <c r="B147" i="45"/>
  <c r="F32" i="67"/>
  <c r="F39" i="67"/>
  <c r="J38" i="67"/>
  <c r="H36" i="67"/>
  <c r="F44" i="67"/>
  <c r="E42" i="67"/>
  <c r="G39" i="67"/>
  <c r="J36" i="67"/>
  <c r="L40" i="67"/>
  <c r="J43" i="67"/>
  <c r="C45" i="67"/>
  <c r="M47" i="67"/>
  <c r="C40" i="67"/>
  <c r="F47" i="67"/>
  <c r="I208" i="67"/>
  <c r="D47" i="67"/>
  <c r="J12" i="73"/>
  <c r="I12" i="73"/>
  <c r="F204" i="99"/>
  <c r="F216" i="99"/>
  <c r="B218" i="99"/>
  <c r="J210" i="99"/>
  <c r="L213" i="99"/>
  <c r="F218" i="99"/>
  <c r="B169" i="99"/>
  <c r="J9" i="91"/>
  <c r="I9" i="91"/>
  <c r="L42" i="98"/>
  <c r="M42" i="98"/>
  <c r="K43" i="89"/>
  <c r="E42" i="89"/>
  <c r="I40" i="89"/>
  <c r="C39" i="89"/>
  <c r="G37" i="89"/>
  <c r="K35" i="89"/>
  <c r="J43" i="89"/>
  <c r="D42" i="89"/>
  <c r="H40" i="89"/>
  <c r="B39" i="89"/>
  <c r="F37" i="89"/>
  <c r="J35" i="89"/>
  <c r="I43" i="89"/>
  <c r="C42" i="89"/>
  <c r="G40" i="89"/>
  <c r="K38" i="89"/>
  <c r="I35" i="89"/>
  <c r="H43" i="89"/>
  <c r="B42" i="89"/>
  <c r="F40" i="89"/>
  <c r="J38" i="89"/>
  <c r="H35" i="89"/>
  <c r="F28" i="89"/>
  <c r="G43" i="89"/>
  <c r="K41" i="89"/>
  <c r="E40" i="89"/>
  <c r="I38" i="89"/>
  <c r="G35" i="89"/>
  <c r="C43" i="89"/>
  <c r="G41" i="89"/>
  <c r="K39" i="89"/>
  <c r="E38" i="89"/>
  <c r="I36" i="89"/>
  <c r="H42" i="89"/>
  <c r="J39" i="89"/>
  <c r="H37" i="89"/>
  <c r="J34" i="89"/>
  <c r="G42" i="89"/>
  <c r="I39" i="89"/>
  <c r="I34" i="89"/>
  <c r="F42" i="89"/>
  <c r="H39" i="89"/>
  <c r="K36" i="89"/>
  <c r="H34" i="89"/>
  <c r="J41" i="89"/>
  <c r="G39" i="89"/>
  <c r="J36" i="89"/>
  <c r="G34" i="89"/>
  <c r="I41" i="89"/>
  <c r="F39" i="89"/>
  <c r="H36" i="89"/>
  <c r="F34" i="89"/>
  <c r="D41" i="89"/>
  <c r="G38" i="89"/>
  <c r="H41" i="89"/>
  <c r="B38" i="89"/>
  <c r="F41" i="89"/>
  <c r="K37" i="89"/>
  <c r="E41" i="89"/>
  <c r="J37" i="89"/>
  <c r="B41" i="89"/>
  <c r="G36" i="89"/>
  <c r="D40" i="89"/>
  <c r="C40" i="89"/>
  <c r="B40" i="89"/>
  <c r="K34" i="89"/>
  <c r="E39" i="89"/>
  <c r="D39" i="89"/>
  <c r="H38" i="89"/>
  <c r="E43" i="89"/>
  <c r="D43" i="89"/>
  <c r="F35" i="89"/>
  <c r="B43" i="89"/>
  <c r="K42" i="89"/>
  <c r="J42" i="89"/>
  <c r="F38" i="89"/>
  <c r="K40" i="89"/>
  <c r="J40" i="89"/>
  <c r="D38" i="89"/>
  <c r="C38" i="89"/>
  <c r="I37" i="89"/>
  <c r="F36" i="89"/>
  <c r="I42" i="89"/>
  <c r="F43" i="89"/>
  <c r="C41" i="89"/>
  <c r="G213" i="99"/>
  <c r="H219" i="99"/>
  <c r="I213" i="99"/>
  <c r="M36" i="92"/>
  <c r="L36" i="92"/>
  <c r="G229" i="91"/>
  <c r="F229" i="91"/>
  <c r="E45" i="91"/>
  <c r="I43" i="91"/>
  <c r="C42" i="91"/>
  <c r="G40" i="91"/>
  <c r="K38" i="91"/>
  <c r="D45" i="91"/>
  <c r="H43" i="91"/>
  <c r="B42" i="91"/>
  <c r="F40" i="91"/>
  <c r="J38" i="91"/>
  <c r="C45" i="91"/>
  <c r="G43" i="91"/>
  <c r="K41" i="91"/>
  <c r="E40" i="91"/>
  <c r="I38" i="91"/>
  <c r="B45" i="91"/>
  <c r="F43" i="91"/>
  <c r="J41" i="91"/>
  <c r="D40" i="91"/>
  <c r="H38" i="91"/>
  <c r="K44" i="91"/>
  <c r="E43" i="91"/>
  <c r="I41" i="91"/>
  <c r="C40" i="91"/>
  <c r="G38" i="91"/>
  <c r="K36" i="91"/>
  <c r="G44" i="91"/>
  <c r="K42" i="91"/>
  <c r="E41" i="91"/>
  <c r="I39" i="91"/>
  <c r="G36" i="91"/>
  <c r="E44" i="91"/>
  <c r="H41" i="91"/>
  <c r="H36" i="91"/>
  <c r="D44" i="91"/>
  <c r="G41" i="91"/>
  <c r="F36" i="91"/>
  <c r="C44" i="91"/>
  <c r="F41" i="91"/>
  <c r="B44" i="91"/>
  <c r="D41" i="91"/>
  <c r="K43" i="91"/>
  <c r="C41" i="91"/>
  <c r="F38" i="91"/>
  <c r="I45" i="91"/>
  <c r="B43" i="91"/>
  <c r="I40" i="91"/>
  <c r="K37" i="91"/>
  <c r="J42" i="91"/>
  <c r="F39" i="91"/>
  <c r="I42" i="91"/>
  <c r="H42" i="91"/>
  <c r="K45" i="91"/>
  <c r="F42" i="91"/>
  <c r="J37" i="91"/>
  <c r="F30" i="91"/>
  <c r="H44" i="91"/>
  <c r="G39" i="91"/>
  <c r="F44" i="91"/>
  <c r="J43" i="91"/>
  <c r="I37" i="91"/>
  <c r="D43" i="91"/>
  <c r="H37" i="91"/>
  <c r="C43" i="91"/>
  <c r="G37" i="91"/>
  <c r="G42" i="91"/>
  <c r="F37" i="91"/>
  <c r="J39" i="91"/>
  <c r="H39" i="91"/>
  <c r="J45" i="91"/>
  <c r="J36" i="91"/>
  <c r="H45" i="91"/>
  <c r="I36" i="91"/>
  <c r="G45" i="91"/>
  <c r="D42" i="91"/>
  <c r="B41" i="91"/>
  <c r="K40" i="91"/>
  <c r="J40" i="91"/>
  <c r="H40" i="91"/>
  <c r="B40" i="91"/>
  <c r="K39" i="91"/>
  <c r="F45" i="91"/>
  <c r="J44" i="91"/>
  <c r="I44" i="91"/>
  <c r="E42" i="91"/>
  <c r="I102" i="95"/>
  <c r="J263" i="97"/>
  <c r="F262" i="97"/>
  <c r="B261" i="97"/>
  <c r="J259" i="97"/>
  <c r="F258" i="97"/>
  <c r="B257" i="97"/>
  <c r="J255" i="97"/>
  <c r="F254" i="97"/>
  <c r="B253" i="97"/>
  <c r="I263" i="97"/>
  <c r="E262" i="97"/>
  <c r="M260" i="97"/>
  <c r="I259" i="97"/>
  <c r="E258" i="97"/>
  <c r="M256" i="97"/>
  <c r="I255" i="97"/>
  <c r="E254" i="97"/>
  <c r="M252" i="97"/>
  <c r="E263" i="97"/>
  <c r="M261" i="97"/>
  <c r="I260" i="97"/>
  <c r="E259" i="97"/>
  <c r="M257" i="97"/>
  <c r="I256" i="97"/>
  <c r="E255" i="97"/>
  <c r="M253" i="97"/>
  <c r="I252" i="97"/>
  <c r="L263" i="97"/>
  <c r="C262" i="97"/>
  <c r="L258" i="97"/>
  <c r="E257" i="97"/>
  <c r="H255" i="97"/>
  <c r="L253" i="97"/>
  <c r="E252" i="97"/>
  <c r="F246" i="97"/>
  <c r="K263" i="97"/>
  <c r="B262" i="97"/>
  <c r="K258" i="97"/>
  <c r="D257" i="97"/>
  <c r="G255" i="97"/>
  <c r="K253" i="97"/>
  <c r="D252" i="97"/>
  <c r="H263" i="97"/>
  <c r="L261" i="97"/>
  <c r="E260" i="97"/>
  <c r="J258" i="97"/>
  <c r="C257" i="97"/>
  <c r="F255" i="97"/>
  <c r="J253" i="97"/>
  <c r="C252" i="97"/>
  <c r="G263" i="97"/>
  <c r="D260" i="97"/>
  <c r="I258" i="97"/>
  <c r="L256" i="97"/>
  <c r="D255" i="97"/>
  <c r="I253" i="97"/>
  <c r="B252" i="97"/>
  <c r="F263" i="97"/>
  <c r="C260" i="97"/>
  <c r="H258" i="97"/>
  <c r="C255" i="97"/>
  <c r="H253" i="97"/>
  <c r="D263" i="97"/>
  <c r="I261" i="97"/>
  <c r="B260" i="97"/>
  <c r="G258" i="97"/>
  <c r="B255" i="97"/>
  <c r="G253" i="97"/>
  <c r="D261" i="97"/>
  <c r="D258" i="97"/>
  <c r="B256" i="97"/>
  <c r="D253" i="97"/>
  <c r="M263" i="97"/>
  <c r="C261" i="97"/>
  <c r="C258" i="97"/>
  <c r="M255" i="97"/>
  <c r="C253" i="97"/>
  <c r="C263" i="97"/>
  <c r="L260" i="97"/>
  <c r="B258" i="97"/>
  <c r="L255" i="97"/>
  <c r="L252" i="97"/>
  <c r="B263" i="97"/>
  <c r="L257" i="97"/>
  <c r="K255" i="97"/>
  <c r="K252" i="97"/>
  <c r="M262" i="97"/>
  <c r="M254" i="97"/>
  <c r="J252" i="97"/>
  <c r="I262" i="97"/>
  <c r="K259" i="97"/>
  <c r="I254" i="97"/>
  <c r="E253" i="97"/>
  <c r="H256" i="97"/>
  <c r="H252" i="97"/>
  <c r="E261" i="97"/>
  <c r="G252" i="97"/>
  <c r="H260" i="97"/>
  <c r="F252" i="97"/>
  <c r="M259" i="97"/>
  <c r="E256" i="97"/>
  <c r="F259" i="97"/>
  <c r="K254" i="97"/>
  <c r="L259" i="97"/>
  <c r="D254" i="97"/>
  <c r="H259" i="97"/>
  <c r="C254" i="97"/>
  <c r="G259" i="97"/>
  <c r="B254" i="97"/>
  <c r="D259" i="97"/>
  <c r="F253" i="97"/>
  <c r="C259" i="97"/>
  <c r="H262" i="97"/>
  <c r="L254" i="97"/>
  <c r="D262" i="97"/>
  <c r="H261" i="97"/>
  <c r="B259" i="97"/>
  <c r="M258" i="97"/>
  <c r="I257" i="97"/>
  <c r="G262" i="97"/>
  <c r="K262" i="97"/>
  <c r="J262" i="97"/>
  <c r="H257" i="97"/>
  <c r="D256" i="97"/>
  <c r="C256" i="97"/>
  <c r="J254" i="97"/>
  <c r="G254" i="97"/>
  <c r="H254" i="97"/>
  <c r="L262" i="97"/>
  <c r="A196" i="85"/>
  <c r="A202" i="85" s="1"/>
  <c r="I16" i="93"/>
  <c r="J16" i="93" s="1"/>
  <c r="F80" i="101"/>
  <c r="G80" i="101"/>
  <c r="J90" i="101"/>
  <c r="G84" i="101"/>
  <c r="G85" i="101"/>
  <c r="M40" i="100"/>
  <c r="L40" i="100"/>
  <c r="I8" i="91"/>
  <c r="F254" i="73"/>
  <c r="P270" i="73"/>
  <c r="G254" i="73"/>
  <c r="F259" i="73"/>
  <c r="E276" i="87"/>
  <c r="N10" i="87"/>
  <c r="A255" i="87" s="1"/>
  <c r="E328" i="81"/>
  <c r="N334" i="81"/>
  <c r="Q331" i="81"/>
  <c r="H120" i="85"/>
  <c r="I209" i="73"/>
  <c r="N206" i="53"/>
  <c r="G192" i="53"/>
  <c r="F192" i="53"/>
  <c r="G227" i="73"/>
  <c r="H272" i="73" s="1"/>
  <c r="F138" i="61"/>
  <c r="B149" i="61"/>
  <c r="F148" i="61"/>
  <c r="E142" i="61"/>
  <c r="K144" i="61"/>
  <c r="E147" i="61"/>
  <c r="J147" i="61"/>
  <c r="D151" i="61"/>
  <c r="M147" i="61"/>
  <c r="J149" i="61"/>
  <c r="L149" i="61"/>
  <c r="L141" i="61"/>
  <c r="G143" i="61"/>
  <c r="E149" i="61"/>
  <c r="C144" i="61"/>
  <c r="H144" i="61"/>
  <c r="K141" i="61"/>
  <c r="H151" i="61"/>
  <c r="C142" i="61"/>
  <c r="I144" i="61"/>
  <c r="C143" i="61"/>
  <c r="B147" i="61"/>
  <c r="E141" i="61"/>
  <c r="H142" i="61"/>
  <c r="G144" i="61"/>
  <c r="J141" i="61"/>
  <c r="D150" i="61"/>
  <c r="J152" i="61"/>
  <c r="E143" i="61"/>
  <c r="D141" i="61"/>
  <c r="C145" i="61"/>
  <c r="K150" i="61"/>
  <c r="D152" i="61"/>
  <c r="F144" i="61"/>
  <c r="C149" i="61"/>
  <c r="L148" i="61"/>
  <c r="M141" i="61"/>
  <c r="K151" i="61"/>
  <c r="K142" i="61"/>
  <c r="L147" i="61"/>
  <c r="J143" i="61"/>
  <c r="K149" i="61"/>
  <c r="H147" i="61"/>
  <c r="B150" i="61"/>
  <c r="E152" i="61"/>
  <c r="G149" i="61"/>
  <c r="C151" i="61"/>
  <c r="B144" i="61"/>
  <c r="H141" i="61"/>
  <c r="D148" i="61"/>
  <c r="H143" i="61"/>
  <c r="B146" i="61"/>
  <c r="E148" i="61"/>
  <c r="B143" i="61"/>
  <c r="B145" i="61"/>
  <c r="M143" i="61"/>
  <c r="G141" i="61"/>
  <c r="I142" i="61"/>
  <c r="I151" i="61"/>
  <c r="D142" i="61"/>
  <c r="J144" i="61"/>
  <c r="C141" i="61"/>
  <c r="J142" i="61"/>
  <c r="H150" i="61"/>
  <c r="B152" i="61"/>
  <c r="F150" i="61"/>
  <c r="E150" i="61"/>
  <c r="K152" i="61"/>
  <c r="F143" i="61"/>
  <c r="I145" i="61"/>
  <c r="J151" i="61"/>
  <c r="J150" i="61"/>
  <c r="K146" i="61"/>
  <c r="K145" i="61"/>
  <c r="G142" i="61"/>
  <c r="I143" i="61"/>
  <c r="C146" i="61"/>
  <c r="I148" i="61"/>
  <c r="H149" i="61"/>
  <c r="B141" i="61"/>
  <c r="L150" i="61"/>
  <c r="H152" i="61"/>
  <c r="H145" i="61"/>
  <c r="E151" i="61"/>
  <c r="G148" i="61"/>
  <c r="D143" i="61"/>
  <c r="M149" i="61"/>
  <c r="H146" i="61"/>
  <c r="M148" i="61"/>
  <c r="M150" i="61"/>
  <c r="D144" i="61"/>
  <c r="H148" i="61"/>
  <c r="I147" i="61"/>
  <c r="I149" i="61"/>
  <c r="F142" i="61"/>
  <c r="E146" i="61"/>
  <c r="E144" i="61"/>
  <c r="I150" i="61"/>
  <c r="B148" i="61"/>
  <c r="M144" i="61"/>
  <c r="M142" i="61"/>
  <c r="K147" i="61"/>
  <c r="I146" i="61"/>
  <c r="D147" i="61"/>
  <c r="J146" i="61"/>
  <c r="C150" i="61"/>
  <c r="E145" i="61"/>
  <c r="K143" i="61"/>
  <c r="K148" i="61"/>
  <c r="F149" i="61"/>
  <c r="C152" i="61"/>
  <c r="G147" i="61"/>
  <c r="C147" i="61"/>
  <c r="J148" i="61"/>
  <c r="D145" i="61"/>
  <c r="F141" i="61"/>
  <c r="F147" i="61"/>
  <c r="L142" i="61"/>
  <c r="B142" i="61"/>
  <c r="D149" i="61"/>
  <c r="J145" i="61"/>
  <c r="I152" i="61"/>
  <c r="B151" i="61"/>
  <c r="D146" i="61"/>
  <c r="L144" i="61"/>
  <c r="I141" i="61"/>
  <c r="L143" i="61"/>
  <c r="G150" i="61"/>
  <c r="C148" i="61"/>
  <c r="C146" i="65"/>
  <c r="F148" i="65"/>
  <c r="B146" i="65"/>
  <c r="H196" i="91"/>
  <c r="H67" i="87"/>
  <c r="K8" i="99"/>
  <c r="F204" i="67"/>
  <c r="F254" i="59"/>
  <c r="F188" i="41"/>
  <c r="M33" i="92"/>
  <c r="L33" i="92"/>
  <c r="G186" i="107"/>
  <c r="F186" i="107"/>
  <c r="F191" i="107"/>
  <c r="F193" i="107"/>
  <c r="I9" i="95"/>
  <c r="H103" i="95"/>
  <c r="E103" i="95"/>
  <c r="B103" i="95"/>
  <c r="H98" i="95"/>
  <c r="E98" i="95"/>
  <c r="G103" i="95"/>
  <c r="D98" i="95"/>
  <c r="C98" i="95"/>
  <c r="F95" i="95"/>
  <c r="C100" i="95"/>
  <c r="C104" i="95"/>
  <c r="B100" i="95"/>
  <c r="D99" i="95"/>
  <c r="F101" i="95"/>
  <c r="I98" i="95"/>
  <c r="C105" i="95"/>
  <c r="H102" i="95"/>
  <c r="F98" i="95"/>
  <c r="F103" i="95"/>
  <c r="C103" i="95"/>
  <c r="I99" i="95"/>
  <c r="G101" i="95"/>
  <c r="C99" i="95"/>
  <c r="E102" i="95"/>
  <c r="B101" i="95"/>
  <c r="G98" i="95"/>
  <c r="G99" i="95"/>
  <c r="M31" i="88"/>
  <c r="L31" i="88"/>
  <c r="C213" i="99"/>
  <c r="I216" i="99"/>
  <c r="E217" i="99"/>
  <c r="C211" i="99"/>
  <c r="M214" i="99"/>
  <c r="I7" i="109"/>
  <c r="J7" i="109" s="1"/>
  <c r="K10" i="105"/>
  <c r="J8" i="79"/>
  <c r="I8" i="79"/>
  <c r="F105" i="95"/>
  <c r="A197" i="85"/>
  <c r="A203" i="85" s="1"/>
  <c r="K30" i="92"/>
  <c r="M37" i="82"/>
  <c r="L37" i="82"/>
  <c r="M34" i="86"/>
  <c r="L34" i="86"/>
  <c r="J10" i="87"/>
  <c r="J320" i="81"/>
  <c r="B120" i="85"/>
  <c r="L207" i="73"/>
  <c r="I144" i="65"/>
  <c r="K143" i="65"/>
  <c r="G190" i="91"/>
  <c r="M31" i="68"/>
  <c r="L31" i="68"/>
  <c r="M110" i="61"/>
  <c r="I109" i="61"/>
  <c r="E108" i="61"/>
  <c r="M106" i="61"/>
  <c r="E104" i="61"/>
  <c r="M102" i="61"/>
  <c r="I101" i="61"/>
  <c r="E100" i="61"/>
  <c r="L110" i="61"/>
  <c r="H109" i="61"/>
  <c r="D108" i="61"/>
  <c r="L106" i="61"/>
  <c r="D104" i="61"/>
  <c r="L102" i="61"/>
  <c r="H101" i="61"/>
  <c r="D100" i="61"/>
  <c r="K110" i="61"/>
  <c r="G109" i="61"/>
  <c r="C108" i="61"/>
  <c r="G105" i="61"/>
  <c r="C104" i="61"/>
  <c r="K102" i="61"/>
  <c r="G101" i="61"/>
  <c r="C100" i="61"/>
  <c r="J110" i="61"/>
  <c r="F109" i="61"/>
  <c r="B108" i="61"/>
  <c r="F105" i="61"/>
  <c r="B104" i="61"/>
  <c r="J102" i="61"/>
  <c r="F101" i="61"/>
  <c r="B100" i="61"/>
  <c r="I110" i="61"/>
  <c r="E109" i="61"/>
  <c r="M107" i="61"/>
  <c r="E105" i="61"/>
  <c r="M103" i="61"/>
  <c r="I102" i="61"/>
  <c r="E101" i="61"/>
  <c r="M99" i="61"/>
  <c r="E110" i="61"/>
  <c r="M108" i="61"/>
  <c r="E106" i="61"/>
  <c r="M104" i="61"/>
  <c r="I103" i="61"/>
  <c r="E102" i="61"/>
  <c r="M100" i="61"/>
  <c r="I99" i="61"/>
  <c r="B110" i="61"/>
  <c r="L105" i="61"/>
  <c r="H103" i="61"/>
  <c r="J101" i="61"/>
  <c r="F99" i="61"/>
  <c r="M109" i="61"/>
  <c r="G103" i="61"/>
  <c r="D101" i="61"/>
  <c r="E99" i="61"/>
  <c r="L109" i="61"/>
  <c r="F103" i="61"/>
  <c r="C101" i="61"/>
  <c r="D99" i="61"/>
  <c r="K109" i="61"/>
  <c r="G107" i="61"/>
  <c r="D105" i="61"/>
  <c r="E103" i="61"/>
  <c r="B101" i="61"/>
  <c r="C99" i="61"/>
  <c r="J109" i="61"/>
  <c r="F107" i="61"/>
  <c r="C105" i="61"/>
  <c r="D103" i="61"/>
  <c r="L100" i="61"/>
  <c r="B99" i="61"/>
  <c r="L108" i="61"/>
  <c r="B107" i="61"/>
  <c r="J104" i="61"/>
  <c r="G102" i="61"/>
  <c r="H100" i="61"/>
  <c r="D110" i="61"/>
  <c r="G106" i="61"/>
  <c r="C103" i="61"/>
  <c r="K99" i="61"/>
  <c r="C110" i="61"/>
  <c r="F106" i="61"/>
  <c r="B103" i="61"/>
  <c r="J99" i="61"/>
  <c r="D109" i="61"/>
  <c r="D106" i="61"/>
  <c r="H102" i="61"/>
  <c r="H99" i="61"/>
  <c r="C109" i="61"/>
  <c r="C106" i="61"/>
  <c r="F102" i="61"/>
  <c r="G99" i="61"/>
  <c r="B109" i="61"/>
  <c r="B106" i="61"/>
  <c r="D102" i="61"/>
  <c r="K104" i="61"/>
  <c r="L101" i="61"/>
  <c r="M105" i="61"/>
  <c r="I100" i="61"/>
  <c r="B105" i="61"/>
  <c r="G100" i="61"/>
  <c r="L104" i="61"/>
  <c r="F100" i="61"/>
  <c r="H110" i="61"/>
  <c r="I104" i="61"/>
  <c r="L99" i="61"/>
  <c r="G110" i="61"/>
  <c r="H104" i="61"/>
  <c r="F104" i="61"/>
  <c r="L107" i="61"/>
  <c r="E107" i="61"/>
  <c r="D107" i="61"/>
  <c r="C107" i="61"/>
  <c r="F93" i="61"/>
  <c r="G104" i="61"/>
  <c r="C102" i="61"/>
  <c r="L103" i="61"/>
  <c r="K103" i="61"/>
  <c r="J103" i="61"/>
  <c r="B102" i="61"/>
  <c r="M101" i="61"/>
  <c r="K101" i="61"/>
  <c r="K100" i="61"/>
  <c r="F110" i="61"/>
  <c r="J100" i="61"/>
  <c r="F108" i="61"/>
  <c r="G108" i="61"/>
  <c r="G251" i="65"/>
  <c r="F251" i="65"/>
  <c r="F258" i="65"/>
  <c r="G253" i="65"/>
  <c r="G187" i="41"/>
  <c r="F187" i="41"/>
  <c r="F192" i="41"/>
  <c r="G209" i="67"/>
  <c r="F251" i="63"/>
  <c r="G251" i="63"/>
  <c r="L28" i="16"/>
  <c r="M28" i="16"/>
  <c r="J198" i="119"/>
  <c r="F197" i="119"/>
  <c r="J194" i="119"/>
  <c r="F193" i="119"/>
  <c r="B192" i="119"/>
  <c r="I198" i="119"/>
  <c r="I276" i="119" s="1"/>
  <c r="J321" i="119" s="1"/>
  <c r="E197" i="119"/>
  <c r="M195" i="119"/>
  <c r="I194" i="119"/>
  <c r="E198" i="119"/>
  <c r="M196" i="119"/>
  <c r="I195" i="119"/>
  <c r="E194" i="119"/>
  <c r="M192" i="119"/>
  <c r="I191" i="119"/>
  <c r="E190" i="119"/>
  <c r="M188" i="119"/>
  <c r="I187" i="119"/>
  <c r="M197" i="119"/>
  <c r="F196" i="119"/>
  <c r="K194" i="119"/>
  <c r="C193" i="119"/>
  <c r="H191" i="119"/>
  <c r="C190" i="119"/>
  <c r="E187" i="119"/>
  <c r="L197" i="119"/>
  <c r="E196" i="119"/>
  <c r="H194" i="119"/>
  <c r="B193" i="119"/>
  <c r="G191" i="119"/>
  <c r="B190" i="119"/>
  <c r="I188" i="119"/>
  <c r="D187" i="119"/>
  <c r="K197" i="119"/>
  <c r="D196" i="119"/>
  <c r="G194" i="119"/>
  <c r="L192" i="119"/>
  <c r="F191" i="119"/>
  <c r="M189" i="119"/>
  <c r="H188" i="119"/>
  <c r="F181" i="119"/>
  <c r="J197" i="119"/>
  <c r="F194" i="119"/>
  <c r="K192" i="119"/>
  <c r="E191" i="119"/>
  <c r="L189" i="119"/>
  <c r="G188" i="119"/>
  <c r="H197" i="119"/>
  <c r="C194" i="119"/>
  <c r="I192" i="119"/>
  <c r="C191" i="119"/>
  <c r="J189" i="119"/>
  <c r="E188" i="119"/>
  <c r="G197" i="119"/>
  <c r="D195" i="119"/>
  <c r="J192" i="119"/>
  <c r="J190" i="119"/>
  <c r="D197" i="119"/>
  <c r="H192" i="119"/>
  <c r="I190" i="119"/>
  <c r="F188" i="119"/>
  <c r="C197" i="119"/>
  <c r="G192" i="119"/>
  <c r="H190" i="119"/>
  <c r="D188" i="119"/>
  <c r="B197" i="119"/>
  <c r="M194" i="119"/>
  <c r="F192" i="119"/>
  <c r="G190" i="119"/>
  <c r="D194" i="119"/>
  <c r="D192" i="119"/>
  <c r="D190" i="119"/>
  <c r="M187" i="119"/>
  <c r="L195" i="119"/>
  <c r="D193" i="119"/>
  <c r="G189" i="119"/>
  <c r="M198" i="119"/>
  <c r="E192" i="119"/>
  <c r="F189" i="119"/>
  <c r="L198" i="119"/>
  <c r="H195" i="119"/>
  <c r="C192" i="119"/>
  <c r="E189" i="119"/>
  <c r="K198" i="119"/>
  <c r="G195" i="119"/>
  <c r="M191" i="119"/>
  <c r="D189" i="119"/>
  <c r="H198" i="119"/>
  <c r="F195" i="119"/>
  <c r="L191" i="119"/>
  <c r="C189" i="119"/>
  <c r="C198" i="119"/>
  <c r="M193" i="119"/>
  <c r="B191" i="119"/>
  <c r="L187" i="119"/>
  <c r="J193" i="119"/>
  <c r="L188" i="119"/>
  <c r="L266" i="119" s="1"/>
  <c r="M311" i="119" s="1"/>
  <c r="G198" i="119"/>
  <c r="I193" i="119"/>
  <c r="B198" i="119"/>
  <c r="E193" i="119"/>
  <c r="H187" i="119"/>
  <c r="F198" i="119"/>
  <c r="J191" i="119"/>
  <c r="I197" i="119"/>
  <c r="M190" i="119"/>
  <c r="L196" i="119"/>
  <c r="L190" i="119"/>
  <c r="K190" i="119"/>
  <c r="I196" i="119"/>
  <c r="F190" i="119"/>
  <c r="K191" i="119"/>
  <c r="D191" i="119"/>
  <c r="K189" i="119"/>
  <c r="I189" i="119"/>
  <c r="H189" i="119"/>
  <c r="B189" i="119"/>
  <c r="D198" i="119"/>
  <c r="H196" i="119"/>
  <c r="L194" i="119"/>
  <c r="B194" i="119"/>
  <c r="L193" i="119"/>
  <c r="H193" i="119"/>
  <c r="G193" i="119"/>
  <c r="G271" i="119" s="1"/>
  <c r="H316" i="119" s="1"/>
  <c r="G187" i="119"/>
  <c r="F187" i="119"/>
  <c r="G196" i="119"/>
  <c r="E195" i="119"/>
  <c r="K193" i="119"/>
  <c r="G148" i="113"/>
  <c r="F148" i="113"/>
  <c r="G298" i="117"/>
  <c r="F298" i="117"/>
  <c r="L175" i="99"/>
  <c r="G131" i="105"/>
  <c r="F131" i="105"/>
  <c r="F134" i="105"/>
  <c r="H155" i="105" s="1"/>
  <c r="A162" i="105" s="1"/>
  <c r="A169" i="105" s="1"/>
  <c r="F133" i="105"/>
  <c r="I155" i="105" s="1"/>
  <c r="E171" i="99"/>
  <c r="J171" i="99"/>
  <c r="M38" i="110"/>
  <c r="L38" i="110"/>
  <c r="K12" i="99"/>
  <c r="M34" i="98"/>
  <c r="L34" i="98"/>
  <c r="J6" i="103"/>
  <c r="I6" i="103"/>
  <c r="K6" i="103" s="1"/>
  <c r="K31" i="94"/>
  <c r="L234" i="89"/>
  <c r="K234" i="89"/>
  <c r="A244" i="89" s="1"/>
  <c r="A254" i="89" s="1"/>
  <c r="L235" i="89"/>
  <c r="K233" i="89"/>
  <c r="A243" i="89" s="1"/>
  <c r="A253" i="89" s="1"/>
  <c r="K235" i="89"/>
  <c r="A245" i="89" s="1"/>
  <c r="A255" i="89" s="1"/>
  <c r="D232" i="89"/>
  <c r="C232" i="89"/>
  <c r="E232" i="89"/>
  <c r="L233" i="89"/>
  <c r="H8" i="107"/>
  <c r="I8" i="107" s="1"/>
  <c r="K218" i="99"/>
  <c r="B219" i="99"/>
  <c r="I219" i="99"/>
  <c r="L217" i="99"/>
  <c r="G190" i="107"/>
  <c r="F190" i="107"/>
  <c r="N204" i="107"/>
  <c r="B200" i="97"/>
  <c r="F197" i="97"/>
  <c r="B196" i="97"/>
  <c r="J194" i="97"/>
  <c r="F193" i="97"/>
  <c r="B192" i="97"/>
  <c r="F189" i="97"/>
  <c r="M199" i="97"/>
  <c r="I198" i="97"/>
  <c r="E197" i="97"/>
  <c r="M195" i="97"/>
  <c r="I194" i="97"/>
  <c r="E193" i="97"/>
  <c r="M191" i="97"/>
  <c r="I190" i="97"/>
  <c r="E189" i="97"/>
  <c r="M200" i="97"/>
  <c r="I199" i="97"/>
  <c r="E198" i="97"/>
  <c r="M196" i="97"/>
  <c r="I195" i="97"/>
  <c r="E194" i="97"/>
  <c r="M192" i="97"/>
  <c r="I191" i="97"/>
  <c r="E190" i="97"/>
  <c r="D200" i="97"/>
  <c r="G198" i="97"/>
  <c r="K196" i="97"/>
  <c r="D195" i="97"/>
  <c r="I193" i="97"/>
  <c r="L191" i="97"/>
  <c r="D190" i="97"/>
  <c r="C200" i="97"/>
  <c r="F198" i="97"/>
  <c r="J196" i="97"/>
  <c r="C195" i="97"/>
  <c r="H193" i="97"/>
  <c r="K191" i="97"/>
  <c r="L199" i="97"/>
  <c r="D198" i="97"/>
  <c r="I196" i="97"/>
  <c r="B195" i="97"/>
  <c r="G193" i="97"/>
  <c r="J191" i="97"/>
  <c r="K199" i="97"/>
  <c r="H196" i="97"/>
  <c r="M194" i="97"/>
  <c r="D193" i="97"/>
  <c r="H191" i="97"/>
  <c r="J199" i="97"/>
  <c r="G196" i="97"/>
  <c r="L194" i="97"/>
  <c r="C193" i="97"/>
  <c r="G191" i="97"/>
  <c r="L189" i="97"/>
  <c r="H199" i="97"/>
  <c r="M197" i="97"/>
  <c r="F196" i="97"/>
  <c r="K194" i="97"/>
  <c r="B193" i="97"/>
  <c r="F191" i="97"/>
  <c r="K200" i="97"/>
  <c r="H198" i="97"/>
  <c r="J195" i="97"/>
  <c r="K192" i="97"/>
  <c r="H190" i="97"/>
  <c r="J200" i="97"/>
  <c r="L197" i="97"/>
  <c r="H195" i="97"/>
  <c r="J192" i="97"/>
  <c r="G190" i="97"/>
  <c r="I200" i="97"/>
  <c r="G195" i="97"/>
  <c r="I192" i="97"/>
  <c r="F190" i="97"/>
  <c r="H200" i="97"/>
  <c r="F195" i="97"/>
  <c r="H192" i="97"/>
  <c r="G200" i="97"/>
  <c r="I197" i="97"/>
  <c r="E195" i="97"/>
  <c r="G192" i="97"/>
  <c r="M189" i="97"/>
  <c r="F183" i="97"/>
  <c r="F199" i="97"/>
  <c r="D194" i="97"/>
  <c r="C192" i="97"/>
  <c r="G189" i="97"/>
  <c r="B199" i="97"/>
  <c r="F194" i="97"/>
  <c r="L190" i="97"/>
  <c r="M198" i="97"/>
  <c r="C194" i="97"/>
  <c r="L198" i="97"/>
  <c r="B194" i="97"/>
  <c r="M193" i="97"/>
  <c r="I189" i="97"/>
  <c r="H197" i="97"/>
  <c r="L193" i="97"/>
  <c r="H189" i="97"/>
  <c r="L196" i="97"/>
  <c r="F192" i="97"/>
  <c r="K195" i="97"/>
  <c r="H194" i="97"/>
  <c r="L200" i="97"/>
  <c r="G194" i="97"/>
  <c r="F200" i="97"/>
  <c r="K193" i="97"/>
  <c r="E200" i="97"/>
  <c r="J193" i="97"/>
  <c r="E196" i="97"/>
  <c r="M190" i="97"/>
  <c r="D196" i="97"/>
  <c r="C196" i="97"/>
  <c r="L195" i="97"/>
  <c r="L192" i="97"/>
  <c r="E192" i="97"/>
  <c r="B191" i="97"/>
  <c r="D189" i="97"/>
  <c r="C199" i="97"/>
  <c r="G199" i="97"/>
  <c r="E199" i="97"/>
  <c r="D199" i="97"/>
  <c r="G197" i="97"/>
  <c r="D197" i="97"/>
  <c r="D192" i="97"/>
  <c r="E191" i="97"/>
  <c r="D191" i="97"/>
  <c r="C191" i="97"/>
  <c r="M31" i="80"/>
  <c r="L31" i="80"/>
  <c r="K6" i="85"/>
  <c r="L168" i="77"/>
  <c r="J167" i="77"/>
  <c r="H166" i="77"/>
  <c r="F165" i="77"/>
  <c r="D164" i="77"/>
  <c r="B163" i="77"/>
  <c r="N161" i="77"/>
  <c r="L160" i="77"/>
  <c r="J159" i="77"/>
  <c r="H158" i="77"/>
  <c r="F157" i="77"/>
  <c r="D156" i="77"/>
  <c r="B155" i="77"/>
  <c r="F149" i="77"/>
  <c r="C168" i="77"/>
  <c r="N166" i="77"/>
  <c r="H164" i="77"/>
  <c r="E163" i="77"/>
  <c r="B162" i="77"/>
  <c r="M160" i="77"/>
  <c r="I159" i="77"/>
  <c r="F158" i="77"/>
  <c r="C157" i="77"/>
  <c r="N155" i="77"/>
  <c r="B168" i="77"/>
  <c r="G164" i="77"/>
  <c r="D163" i="77"/>
  <c r="O161" i="77"/>
  <c r="K160" i="77"/>
  <c r="H159" i="77"/>
  <c r="E158" i="77"/>
  <c r="B157" i="77"/>
  <c r="M155" i="77"/>
  <c r="O167" i="77"/>
  <c r="I165" i="77"/>
  <c r="F164" i="77"/>
  <c r="C163" i="77"/>
  <c r="M161" i="77"/>
  <c r="J160" i="77"/>
  <c r="G159" i="77"/>
  <c r="D158" i="77"/>
  <c r="O156" i="77"/>
  <c r="L155" i="77"/>
  <c r="N167" i="77"/>
  <c r="H165" i="77"/>
  <c r="E164" i="77"/>
  <c r="O162" i="77"/>
  <c r="L161" i="77"/>
  <c r="I160" i="77"/>
  <c r="F159" i="77"/>
  <c r="C158" i="77"/>
  <c r="N156" i="77"/>
  <c r="K155" i="77"/>
  <c r="M167" i="77"/>
  <c r="G165" i="77"/>
  <c r="C164" i="77"/>
  <c r="N162" i="77"/>
  <c r="K161" i="77"/>
  <c r="H160" i="77"/>
  <c r="E159" i="77"/>
  <c r="B158" i="77"/>
  <c r="M156" i="77"/>
  <c r="J155" i="77"/>
  <c r="O168" i="77"/>
  <c r="L167" i="77"/>
  <c r="I166" i="77"/>
  <c r="E165" i="77"/>
  <c r="B164" i="77"/>
  <c r="M162" i="77"/>
  <c r="J161" i="77"/>
  <c r="G160" i="77"/>
  <c r="D159" i="77"/>
  <c r="O157" i="77"/>
  <c r="L156" i="77"/>
  <c r="I155" i="77"/>
  <c r="J168" i="77"/>
  <c r="O166" i="77"/>
  <c r="K162" i="77"/>
  <c r="B161" i="77"/>
  <c r="N158" i="77"/>
  <c r="D157" i="77"/>
  <c r="C155" i="77"/>
  <c r="G167" i="77"/>
  <c r="D165" i="77"/>
  <c r="H163" i="77"/>
  <c r="E161" i="77"/>
  <c r="B159" i="77"/>
  <c r="E157" i="77"/>
  <c r="F167" i="77"/>
  <c r="C165" i="77"/>
  <c r="G163" i="77"/>
  <c r="D161" i="77"/>
  <c r="O158" i="77"/>
  <c r="K156" i="77"/>
  <c r="E167" i="77"/>
  <c r="B165" i="77"/>
  <c r="F163" i="77"/>
  <c r="C161" i="77"/>
  <c r="M158" i="77"/>
  <c r="J156" i="77"/>
  <c r="D167" i="77"/>
  <c r="O164" i="77"/>
  <c r="L162" i="77"/>
  <c r="O160" i="77"/>
  <c r="L158" i="77"/>
  <c r="I156" i="77"/>
  <c r="N168" i="77"/>
  <c r="C167" i="77"/>
  <c r="N164" i="77"/>
  <c r="J162" i="77"/>
  <c r="N160" i="77"/>
  <c r="K158" i="77"/>
  <c r="H156" i="77"/>
  <c r="M168" i="77"/>
  <c r="B167" i="77"/>
  <c r="I162" i="77"/>
  <c r="F160" i="77"/>
  <c r="J158" i="77"/>
  <c r="G156" i="77"/>
  <c r="C166" i="77"/>
  <c r="H162" i="77"/>
  <c r="M159" i="77"/>
  <c r="C156" i="77"/>
  <c r="B166" i="77"/>
  <c r="G162" i="77"/>
  <c r="L159" i="77"/>
  <c r="B156" i="77"/>
  <c r="K168" i="77"/>
  <c r="O165" i="77"/>
  <c r="F162" i="77"/>
  <c r="K159" i="77"/>
  <c r="O155" i="77"/>
  <c r="I168" i="77"/>
  <c r="N165" i="77"/>
  <c r="E162" i="77"/>
  <c r="E294" i="77" s="1"/>
  <c r="F345" i="77" s="1"/>
  <c r="C159" i="77"/>
  <c r="H155" i="77"/>
  <c r="H168" i="77"/>
  <c r="D162" i="77"/>
  <c r="I158" i="77"/>
  <c r="G155" i="77"/>
  <c r="D168" i="77"/>
  <c r="I164" i="77"/>
  <c r="G161" i="77"/>
  <c r="L157" i="77"/>
  <c r="F168" i="77"/>
  <c r="K157" i="77"/>
  <c r="E168" i="77"/>
  <c r="J157" i="77"/>
  <c r="K167" i="77"/>
  <c r="I163" i="77"/>
  <c r="I157" i="77"/>
  <c r="I289" i="77" s="1"/>
  <c r="J340" i="77" s="1"/>
  <c r="I167" i="77"/>
  <c r="C162" i="77"/>
  <c r="H157" i="77"/>
  <c r="H167" i="77"/>
  <c r="I161" i="77"/>
  <c r="G157" i="77"/>
  <c r="D166" i="77"/>
  <c r="D160" i="77"/>
  <c r="E155" i="77"/>
  <c r="E166" i="77"/>
  <c r="N157" i="77"/>
  <c r="M157" i="77"/>
  <c r="F156" i="77"/>
  <c r="E156" i="77"/>
  <c r="O163" i="77"/>
  <c r="F155" i="77"/>
  <c r="H161" i="77"/>
  <c r="F161" i="77"/>
  <c r="E160" i="77"/>
  <c r="C160" i="77"/>
  <c r="B160" i="77"/>
  <c r="O159" i="77"/>
  <c r="N159" i="77"/>
  <c r="D155" i="77"/>
  <c r="G168" i="77"/>
  <c r="G166" i="77"/>
  <c r="F166" i="77"/>
  <c r="N163" i="77"/>
  <c r="G158" i="77"/>
  <c r="E99" i="95"/>
  <c r="G100" i="95"/>
  <c r="I6" i="83"/>
  <c r="M37" i="80"/>
  <c r="L37" i="80"/>
  <c r="I6" i="97"/>
  <c r="J6" i="97" s="1"/>
  <c r="G154" i="85"/>
  <c r="F154" i="85"/>
  <c r="L166" i="85"/>
  <c r="T435" i="81"/>
  <c r="F415" i="81"/>
  <c r="G415" i="81"/>
  <c r="M42" i="94"/>
  <c r="L42" i="94"/>
  <c r="M37" i="76"/>
  <c r="L37" i="76"/>
  <c r="I11" i="71"/>
  <c r="J11" i="71"/>
  <c r="I326" i="81"/>
  <c r="F322" i="81"/>
  <c r="B321" i="81"/>
  <c r="G321" i="75"/>
  <c r="F321" i="75"/>
  <c r="F332" i="75"/>
  <c r="F323" i="75"/>
  <c r="F333" i="75"/>
  <c r="K214" i="73"/>
  <c r="G250" i="63"/>
  <c r="N319" i="63" s="1"/>
  <c r="F250" i="63"/>
  <c r="F255" i="63"/>
  <c r="F259" i="63"/>
  <c r="F253" i="63"/>
  <c r="F257" i="63"/>
  <c r="F256" i="63"/>
  <c r="H151" i="65"/>
  <c r="E432" i="65"/>
  <c r="N13" i="65"/>
  <c r="A408" i="65" s="1"/>
  <c r="K13" i="65"/>
  <c r="J13" i="65"/>
  <c r="M28" i="72"/>
  <c r="L28" i="72"/>
  <c r="C34" i="99"/>
  <c r="B34" i="99"/>
  <c r="C398" i="99"/>
  <c r="E398" i="99"/>
  <c r="I8" i="57"/>
  <c r="E431" i="69"/>
  <c r="N12" i="69"/>
  <c r="A400" i="69" s="1"/>
  <c r="J12" i="69"/>
  <c r="F25" i="23"/>
  <c r="E34" i="23"/>
  <c r="E32" i="23"/>
  <c r="C34" i="23"/>
  <c r="L31" i="28"/>
  <c r="M31" i="28"/>
  <c r="K28" i="102"/>
  <c r="F328" i="97"/>
  <c r="J90" i="103"/>
  <c r="F80" i="103"/>
  <c r="G85" i="103"/>
  <c r="G80" i="103"/>
  <c r="G84" i="103"/>
  <c r="D311" i="107"/>
  <c r="C122" i="107"/>
  <c r="F311" i="107"/>
  <c r="F211" i="99"/>
  <c r="B209" i="99"/>
  <c r="G209" i="99"/>
  <c r="E219" i="99"/>
  <c r="B116" i="97"/>
  <c r="F113" i="97"/>
  <c r="B112" i="97"/>
  <c r="J110" i="97"/>
  <c r="F109" i="97"/>
  <c r="B108" i="97"/>
  <c r="J106" i="97"/>
  <c r="F105" i="97"/>
  <c r="I114" i="97"/>
  <c r="E113" i="97"/>
  <c r="M111" i="97"/>
  <c r="I110" i="97"/>
  <c r="E109" i="97"/>
  <c r="M107" i="97"/>
  <c r="I106" i="97"/>
  <c r="E105" i="97"/>
  <c r="I115" i="97"/>
  <c r="E114" i="97"/>
  <c r="M112" i="97"/>
  <c r="I111" i="97"/>
  <c r="E110" i="97"/>
  <c r="M108" i="97"/>
  <c r="I107" i="97"/>
  <c r="E106" i="97"/>
  <c r="F116" i="97"/>
  <c r="B113" i="97"/>
  <c r="F111" i="97"/>
  <c r="K109" i="97"/>
  <c r="D108" i="97"/>
  <c r="G106" i="97"/>
  <c r="D116" i="97"/>
  <c r="G114" i="97"/>
  <c r="K112" i="97"/>
  <c r="D111" i="97"/>
  <c r="I109" i="97"/>
  <c r="L107" i="97"/>
  <c r="D106" i="97"/>
  <c r="D114" i="97"/>
  <c r="I112" i="97"/>
  <c r="B111" i="97"/>
  <c r="G109" i="97"/>
  <c r="J107" i="97"/>
  <c r="B106" i="97"/>
  <c r="C114" i="97"/>
  <c r="H112" i="97"/>
  <c r="M110" i="97"/>
  <c r="D109" i="97"/>
  <c r="H107" i="97"/>
  <c r="M105" i="97"/>
  <c r="I116" i="97"/>
  <c r="F114" i="97"/>
  <c r="D112" i="97"/>
  <c r="B110" i="97"/>
  <c r="K107" i="97"/>
  <c r="I105" i="97"/>
  <c r="H116" i="97"/>
  <c r="B114" i="97"/>
  <c r="C112" i="97"/>
  <c r="M109" i="97"/>
  <c r="G107" i="97"/>
  <c r="H105" i="97"/>
  <c r="G116" i="97"/>
  <c r="L111" i="97"/>
  <c r="L109" i="97"/>
  <c r="F107" i="97"/>
  <c r="G105" i="97"/>
  <c r="E116" i="97"/>
  <c r="K111" i="97"/>
  <c r="J109" i="97"/>
  <c r="E107" i="97"/>
  <c r="D105" i="97"/>
  <c r="C116" i="97"/>
  <c r="J111" i="97"/>
  <c r="H109" i="97"/>
  <c r="D107" i="97"/>
  <c r="C105" i="97"/>
  <c r="F115" i="97"/>
  <c r="G113" i="97"/>
  <c r="C111" i="97"/>
  <c r="K108" i="97"/>
  <c r="L106" i="97"/>
  <c r="I113" i="97"/>
  <c r="F110" i="97"/>
  <c r="K106" i="97"/>
  <c r="H113" i="97"/>
  <c r="D110" i="97"/>
  <c r="H106" i="97"/>
  <c r="D113" i="97"/>
  <c r="C110" i="97"/>
  <c r="F106" i="97"/>
  <c r="C113" i="97"/>
  <c r="C109" i="97"/>
  <c r="C106" i="97"/>
  <c r="L112" i="97"/>
  <c r="B109" i="97"/>
  <c r="L105" i="97"/>
  <c r="E115" i="97"/>
  <c r="E112" i="97"/>
  <c r="H108" i="97"/>
  <c r="H111" i="97"/>
  <c r="M106" i="97"/>
  <c r="G111" i="97"/>
  <c r="K105" i="97"/>
  <c r="E111" i="97"/>
  <c r="J105" i="97"/>
  <c r="L110" i="97"/>
  <c r="B105" i="97"/>
  <c r="H115" i="97"/>
  <c r="K110" i="97"/>
  <c r="E108" i="97"/>
  <c r="I108" i="97"/>
  <c r="G108" i="97"/>
  <c r="G115" i="97"/>
  <c r="F108" i="97"/>
  <c r="D115" i="97"/>
  <c r="C108" i="97"/>
  <c r="C115" i="97"/>
  <c r="C107" i="97"/>
  <c r="B115" i="97"/>
  <c r="B107" i="97"/>
  <c r="H114" i="97"/>
  <c r="J112" i="97"/>
  <c r="G112" i="97"/>
  <c r="F112" i="97"/>
  <c r="H110" i="97"/>
  <c r="F99" i="97"/>
  <c r="G110" i="97"/>
  <c r="L108" i="97"/>
  <c r="J108" i="97"/>
  <c r="M35" i="88"/>
  <c r="L35" i="88"/>
  <c r="H6" i="87"/>
  <c r="N225" i="89"/>
  <c r="G211" i="89"/>
  <c r="F211" i="89"/>
  <c r="K237" i="89" s="1"/>
  <c r="A247" i="89" s="1"/>
  <c r="A257" i="89" s="1"/>
  <c r="M30" i="112"/>
  <c r="L30" i="112"/>
  <c r="B102" i="95"/>
  <c r="G102" i="95"/>
  <c r="J179" i="97"/>
  <c r="B177" i="97"/>
  <c r="J175" i="97"/>
  <c r="F174" i="97"/>
  <c r="B173" i="97"/>
  <c r="J171" i="97"/>
  <c r="F170" i="97"/>
  <c r="B169" i="97"/>
  <c r="I179" i="97"/>
  <c r="E178" i="97"/>
  <c r="M176" i="97"/>
  <c r="I175" i="97"/>
  <c r="E174" i="97"/>
  <c r="I171" i="97"/>
  <c r="E170" i="97"/>
  <c r="M168" i="97"/>
  <c r="E179" i="97"/>
  <c r="M177" i="97"/>
  <c r="I176" i="97"/>
  <c r="E175" i="97"/>
  <c r="I172" i="97"/>
  <c r="E171" i="97"/>
  <c r="M169" i="97"/>
  <c r="I168" i="97"/>
  <c r="J176" i="97"/>
  <c r="B175" i="97"/>
  <c r="L171" i="97"/>
  <c r="C170" i="97"/>
  <c r="G168" i="97"/>
  <c r="C178" i="97"/>
  <c r="G176" i="97"/>
  <c r="L174" i="97"/>
  <c r="E173" i="97"/>
  <c r="H171" i="97"/>
  <c r="L169" i="97"/>
  <c r="E168" i="97"/>
  <c r="F162" i="97"/>
  <c r="H179" i="97"/>
  <c r="L177" i="97"/>
  <c r="E176" i="97"/>
  <c r="J174" i="97"/>
  <c r="C173" i="97"/>
  <c r="F171" i="97"/>
  <c r="J169" i="97"/>
  <c r="C168" i="97"/>
  <c r="K177" i="97"/>
  <c r="D176" i="97"/>
  <c r="I174" i="97"/>
  <c r="D171" i="97"/>
  <c r="I169" i="97"/>
  <c r="B168" i="97"/>
  <c r="B179" i="97"/>
  <c r="C177" i="97"/>
  <c r="K174" i="97"/>
  <c r="H170" i="97"/>
  <c r="D168" i="97"/>
  <c r="L176" i="97"/>
  <c r="H174" i="97"/>
  <c r="G170" i="97"/>
  <c r="K176" i="97"/>
  <c r="G174" i="97"/>
  <c r="E172" i="97"/>
  <c r="D170" i="97"/>
  <c r="K178" i="97"/>
  <c r="H176" i="97"/>
  <c r="D174" i="97"/>
  <c r="D172" i="97"/>
  <c r="B170" i="97"/>
  <c r="J178" i="97"/>
  <c r="F176" i="97"/>
  <c r="C174" i="97"/>
  <c r="C172" i="97"/>
  <c r="K169" i="97"/>
  <c r="B178" i="97"/>
  <c r="L175" i="97"/>
  <c r="J173" i="97"/>
  <c r="G171" i="97"/>
  <c r="E169" i="97"/>
  <c r="D177" i="97"/>
  <c r="G169" i="97"/>
  <c r="C176" i="97"/>
  <c r="D173" i="97"/>
  <c r="F169" i="97"/>
  <c r="B176" i="97"/>
  <c r="K172" i="97"/>
  <c r="D169" i="97"/>
  <c r="K179" i="97"/>
  <c r="M175" i="97"/>
  <c r="J172" i="97"/>
  <c r="C169" i="97"/>
  <c r="K175" i="97"/>
  <c r="H172" i="97"/>
  <c r="L168" i="97"/>
  <c r="H178" i="97"/>
  <c r="D175" i="97"/>
  <c r="C171" i="97"/>
  <c r="F168" i="97"/>
  <c r="F177" i="97"/>
  <c r="M170" i="97"/>
  <c r="E177" i="97"/>
  <c r="L170" i="97"/>
  <c r="H175" i="97"/>
  <c r="K170" i="97"/>
  <c r="G175" i="97"/>
  <c r="J170" i="97"/>
  <c r="F175" i="97"/>
  <c r="I170" i="97"/>
  <c r="J177" i="97"/>
  <c r="B172" i="97"/>
  <c r="M171" i="97"/>
  <c r="K171" i="97"/>
  <c r="D179" i="97"/>
  <c r="B171" i="97"/>
  <c r="C179" i="97"/>
  <c r="H169" i="97"/>
  <c r="I178" i="97"/>
  <c r="K168" i="97"/>
  <c r="D178" i="97"/>
  <c r="J168" i="97"/>
  <c r="I173" i="97"/>
  <c r="H173" i="97"/>
  <c r="H168" i="97"/>
  <c r="H177" i="97"/>
  <c r="I177" i="97"/>
  <c r="G177" i="97"/>
  <c r="C175" i="97"/>
  <c r="M174" i="97"/>
  <c r="B174" i="97"/>
  <c r="K173" i="97"/>
  <c r="A240" i="107"/>
  <c r="A247" i="107" s="1"/>
  <c r="K36" i="98"/>
  <c r="F61" i="87"/>
  <c r="B64" i="87"/>
  <c r="E66" i="87"/>
  <c r="D67" i="87"/>
  <c r="B69" i="87"/>
  <c r="I66" i="87"/>
  <c r="D66" i="87"/>
  <c r="H66" i="87"/>
  <c r="I67" i="87"/>
  <c r="I64" i="87"/>
  <c r="E65" i="87"/>
  <c r="D70" i="87"/>
  <c r="F67" i="87"/>
  <c r="F64" i="87"/>
  <c r="D65" i="87"/>
  <c r="H65" i="87"/>
  <c r="C71" i="87"/>
  <c r="E71" i="87"/>
  <c r="C67" i="87"/>
  <c r="B65" i="87"/>
  <c r="H64" i="87"/>
  <c r="B68" i="87"/>
  <c r="D69" i="87"/>
  <c r="I13" i="89"/>
  <c r="K13" i="77"/>
  <c r="G257" i="71"/>
  <c r="F257" i="71"/>
  <c r="P273" i="71"/>
  <c r="M39" i="78"/>
  <c r="L39" i="78"/>
  <c r="L41" i="76"/>
  <c r="M41" i="76"/>
  <c r="F327" i="81"/>
  <c r="F330" i="81"/>
  <c r="B322" i="81"/>
  <c r="C214" i="73"/>
  <c r="F325" i="75"/>
  <c r="G259" i="69"/>
  <c r="F259" i="69"/>
  <c r="P275" i="69"/>
  <c r="G189" i="91"/>
  <c r="C70" i="87"/>
  <c r="I10" i="59"/>
  <c r="I9" i="59"/>
  <c r="L30" i="42"/>
  <c r="M30" i="42"/>
  <c r="M38" i="32"/>
  <c r="L38" i="32"/>
  <c r="A119" i="9"/>
  <c r="A123" i="9" s="1"/>
  <c r="G188" i="107"/>
  <c r="F188" i="107"/>
  <c r="D174" i="99"/>
  <c r="G168" i="99"/>
  <c r="D166" i="99"/>
  <c r="H173" i="99"/>
  <c r="D171" i="99"/>
  <c r="F168" i="99"/>
  <c r="C166" i="99"/>
  <c r="E176" i="99"/>
  <c r="G173" i="99"/>
  <c r="C171" i="99"/>
  <c r="E168" i="99"/>
  <c r="B166" i="99"/>
  <c r="D176" i="99"/>
  <c r="F173" i="99"/>
  <c r="B171" i="99"/>
  <c r="D168" i="99"/>
  <c r="C176" i="99"/>
  <c r="E173" i="99"/>
  <c r="C168" i="99"/>
  <c r="B175" i="99"/>
  <c r="K172" i="99"/>
  <c r="L169" i="99"/>
  <c r="K167" i="99"/>
  <c r="H177" i="99"/>
  <c r="L172" i="99"/>
  <c r="F169" i="99"/>
  <c r="K176" i="99"/>
  <c r="J172" i="99"/>
  <c r="H168" i="99"/>
  <c r="J176" i="99"/>
  <c r="H172" i="99"/>
  <c r="B168" i="99"/>
  <c r="H176" i="99"/>
  <c r="M167" i="99"/>
  <c r="B176" i="99"/>
  <c r="L167" i="99"/>
  <c r="L174" i="99"/>
  <c r="D170" i="99"/>
  <c r="J166" i="99"/>
  <c r="D173" i="99"/>
  <c r="H166" i="99"/>
  <c r="C173" i="99"/>
  <c r="G166" i="99"/>
  <c r="K171" i="99"/>
  <c r="H171" i="99"/>
  <c r="F161" i="99"/>
  <c r="J174" i="99"/>
  <c r="M166" i="99"/>
  <c r="I177" i="99"/>
  <c r="K166" i="99"/>
  <c r="M175" i="99"/>
  <c r="I166" i="99"/>
  <c r="C175" i="99"/>
  <c r="M174" i="99"/>
  <c r="K174" i="99"/>
  <c r="I174" i="99"/>
  <c r="G174" i="99"/>
  <c r="C170" i="99"/>
  <c r="B170" i="99"/>
  <c r="K169" i="99"/>
  <c r="J169" i="99"/>
  <c r="I169" i="99"/>
  <c r="K177" i="99"/>
  <c r="J177" i="99"/>
  <c r="H174" i="99"/>
  <c r="H169" i="99"/>
  <c r="G169" i="99"/>
  <c r="L166" i="99"/>
  <c r="I173" i="99"/>
  <c r="I175" i="99"/>
  <c r="E167" i="99"/>
  <c r="H175" i="99"/>
  <c r="D175" i="99"/>
  <c r="E174" i="99"/>
  <c r="D167" i="99"/>
  <c r="E177" i="99"/>
  <c r="C177" i="99"/>
  <c r="M172" i="99"/>
  <c r="L168" i="99"/>
  <c r="C157" i="89"/>
  <c r="G155" i="89"/>
  <c r="E152" i="89"/>
  <c r="I150" i="89"/>
  <c r="C149" i="89"/>
  <c r="B157" i="89"/>
  <c r="F155" i="89"/>
  <c r="D152" i="89"/>
  <c r="H150" i="89"/>
  <c r="B149" i="89"/>
  <c r="E155" i="89"/>
  <c r="I153" i="89"/>
  <c r="C152" i="89"/>
  <c r="G150" i="89"/>
  <c r="K148" i="89"/>
  <c r="D155" i="89"/>
  <c r="H153" i="89"/>
  <c r="B152" i="89"/>
  <c r="F150" i="89"/>
  <c r="J148" i="89"/>
  <c r="I156" i="89"/>
  <c r="C155" i="89"/>
  <c r="K151" i="89"/>
  <c r="E150" i="89"/>
  <c r="I148" i="89"/>
  <c r="E156" i="89"/>
  <c r="I154" i="89"/>
  <c r="C153" i="89"/>
  <c r="G151" i="89"/>
  <c r="K149" i="89"/>
  <c r="E148" i="89"/>
  <c r="D156" i="89"/>
  <c r="B154" i="89"/>
  <c r="D151" i="89"/>
  <c r="G148" i="89"/>
  <c r="C156" i="89"/>
  <c r="C151" i="89"/>
  <c r="F148" i="89"/>
  <c r="B156" i="89"/>
  <c r="E153" i="89"/>
  <c r="B151" i="89"/>
  <c r="D148" i="89"/>
  <c r="K155" i="89"/>
  <c r="D153" i="89"/>
  <c r="K150" i="89"/>
  <c r="C148" i="89"/>
  <c r="J155" i="89"/>
  <c r="B153" i="89"/>
  <c r="J150" i="89"/>
  <c r="B148" i="89"/>
  <c r="H157" i="89"/>
  <c r="K154" i="89"/>
  <c r="H152" i="89"/>
  <c r="J149" i="89"/>
  <c r="B155" i="89"/>
  <c r="F151" i="89"/>
  <c r="J154" i="89"/>
  <c r="E151" i="89"/>
  <c r="H154" i="89"/>
  <c r="D150" i="89"/>
  <c r="F154" i="89"/>
  <c r="B150" i="89"/>
  <c r="F142" i="89"/>
  <c r="H156" i="89"/>
  <c r="H151" i="89"/>
  <c r="C150" i="89"/>
  <c r="I149" i="89"/>
  <c r="I155" i="89"/>
  <c r="H149" i="89"/>
  <c r="H155" i="89"/>
  <c r="G149" i="89"/>
  <c r="G154" i="89"/>
  <c r="F149" i="89"/>
  <c r="J151" i="89"/>
  <c r="I151" i="89"/>
  <c r="E149" i="89"/>
  <c r="I157" i="89"/>
  <c r="D149" i="89"/>
  <c r="H148" i="89"/>
  <c r="D154" i="89"/>
  <c r="E157" i="89"/>
  <c r="D157" i="89"/>
  <c r="E154" i="89"/>
  <c r="C154" i="89"/>
  <c r="I152" i="89"/>
  <c r="F88" i="113"/>
  <c r="F86" i="113"/>
  <c r="F84" i="113"/>
  <c r="F82" i="113"/>
  <c r="E88" i="113"/>
  <c r="E86" i="113"/>
  <c r="E84" i="113"/>
  <c r="E82" i="113"/>
  <c r="D88" i="113"/>
  <c r="D86" i="113"/>
  <c r="D84" i="113"/>
  <c r="D82" i="113"/>
  <c r="B86" i="113"/>
  <c r="B84" i="113"/>
  <c r="E87" i="113"/>
  <c r="I84" i="113"/>
  <c r="I86" i="113"/>
  <c r="H83" i="113"/>
  <c r="H86" i="113"/>
  <c r="G83" i="113"/>
  <c r="G86" i="113"/>
  <c r="F83" i="113"/>
  <c r="C86" i="113"/>
  <c r="E83" i="113"/>
  <c r="I85" i="113"/>
  <c r="D83" i="113"/>
  <c r="D85" i="113"/>
  <c r="G82" i="113"/>
  <c r="I83" i="113"/>
  <c r="C83" i="113"/>
  <c r="F75" i="113"/>
  <c r="G87" i="113"/>
  <c r="B83" i="113"/>
  <c r="F87" i="113"/>
  <c r="D87" i="113"/>
  <c r="G85" i="113"/>
  <c r="F81" i="113"/>
  <c r="F85" i="113"/>
  <c r="E81" i="113"/>
  <c r="G88" i="113"/>
  <c r="C84" i="113"/>
  <c r="H85" i="113"/>
  <c r="G84" i="113"/>
  <c r="G81" i="113"/>
  <c r="E85" i="113"/>
  <c r="C85" i="113"/>
  <c r="B85" i="113"/>
  <c r="H84" i="113"/>
  <c r="D81" i="113"/>
  <c r="B115" i="107"/>
  <c r="F113" i="107"/>
  <c r="J111" i="107"/>
  <c r="D110" i="107"/>
  <c r="H108" i="107"/>
  <c r="C117" i="107"/>
  <c r="F115" i="107"/>
  <c r="I113" i="107"/>
  <c r="B112" i="107"/>
  <c r="E110" i="107"/>
  <c r="G108" i="107"/>
  <c r="B117" i="107"/>
  <c r="E115" i="107"/>
  <c r="H113" i="107"/>
  <c r="K111" i="107"/>
  <c r="C110" i="107"/>
  <c r="F108" i="107"/>
  <c r="D115" i="107"/>
  <c r="G113" i="107"/>
  <c r="I111" i="107"/>
  <c r="B110" i="107"/>
  <c r="E108" i="107"/>
  <c r="I112" i="107"/>
  <c r="I110" i="107"/>
  <c r="I108" i="107"/>
  <c r="H112" i="107"/>
  <c r="H110" i="107"/>
  <c r="D108" i="107"/>
  <c r="G116" i="107"/>
  <c r="G114" i="107"/>
  <c r="G112" i="107"/>
  <c r="G110" i="107"/>
  <c r="C108" i="107"/>
  <c r="D116" i="107"/>
  <c r="D114" i="107"/>
  <c r="D112" i="107"/>
  <c r="J109" i="107"/>
  <c r="D117" i="107"/>
  <c r="B114" i="107"/>
  <c r="D111" i="107"/>
  <c r="J108" i="107"/>
  <c r="F116" i="107"/>
  <c r="K113" i="107"/>
  <c r="C111" i="107"/>
  <c r="B108" i="107"/>
  <c r="E116" i="107"/>
  <c r="J113" i="107"/>
  <c r="B111" i="107"/>
  <c r="C116" i="107"/>
  <c r="E113" i="107"/>
  <c r="K110" i="107"/>
  <c r="B116" i="107"/>
  <c r="D113" i="107"/>
  <c r="J110" i="107"/>
  <c r="C113" i="107"/>
  <c r="F110" i="107"/>
  <c r="C115" i="107"/>
  <c r="K109" i="107"/>
  <c r="F102" i="107"/>
  <c r="I109" i="107"/>
  <c r="H109" i="107"/>
  <c r="F114" i="107"/>
  <c r="G109" i="107"/>
  <c r="E114" i="107"/>
  <c r="F109" i="107"/>
  <c r="J112" i="107"/>
  <c r="B109" i="107"/>
  <c r="C114" i="107"/>
  <c r="B113" i="107"/>
  <c r="K112" i="107"/>
  <c r="F112" i="107"/>
  <c r="E112" i="107"/>
  <c r="F111" i="107"/>
  <c r="G115" i="107"/>
  <c r="C112" i="107"/>
  <c r="E109" i="107"/>
  <c r="D109" i="107"/>
  <c r="C109" i="107"/>
  <c r="K108" i="107"/>
  <c r="G117" i="107"/>
  <c r="G111" i="107"/>
  <c r="E111" i="107"/>
  <c r="F117" i="107"/>
  <c r="H111" i="107"/>
  <c r="E117" i="107"/>
  <c r="G294" i="93"/>
  <c r="F294" i="93"/>
  <c r="F301" i="93"/>
  <c r="F304" i="93"/>
  <c r="F303" i="93"/>
  <c r="G295" i="93"/>
  <c r="F298" i="93"/>
  <c r="G299" i="93"/>
  <c r="F305" i="93"/>
  <c r="K11" i="85"/>
  <c r="J11" i="85"/>
  <c r="I11" i="85"/>
  <c r="M209" i="99"/>
  <c r="G211" i="99"/>
  <c r="G212" i="99"/>
  <c r="F208" i="99"/>
  <c r="F297" i="93"/>
  <c r="G297" i="93"/>
  <c r="M32" i="86"/>
  <c r="L32" i="86"/>
  <c r="F135" i="105"/>
  <c r="F184" i="91"/>
  <c r="B193" i="91"/>
  <c r="H192" i="91"/>
  <c r="E197" i="91"/>
  <c r="I190" i="91"/>
  <c r="E193" i="91"/>
  <c r="H188" i="91"/>
  <c r="K195" i="91"/>
  <c r="H194" i="91"/>
  <c r="D193" i="91"/>
  <c r="I195" i="91"/>
  <c r="C189" i="91"/>
  <c r="I191" i="91"/>
  <c r="D196" i="91"/>
  <c r="K191" i="91"/>
  <c r="H189" i="91"/>
  <c r="C193" i="91"/>
  <c r="C194" i="91"/>
  <c r="B197" i="91"/>
  <c r="C190" i="91"/>
  <c r="J195" i="91"/>
  <c r="H197" i="91"/>
  <c r="F195" i="91"/>
  <c r="G188" i="91"/>
  <c r="D191" i="91"/>
  <c r="J191" i="91"/>
  <c r="C188" i="91"/>
  <c r="E189" i="91"/>
  <c r="D192" i="91"/>
  <c r="E194" i="91"/>
  <c r="C196" i="91"/>
  <c r="B191" i="91"/>
  <c r="E195" i="91"/>
  <c r="D194" i="91"/>
  <c r="B190" i="91"/>
  <c r="H191" i="91"/>
  <c r="E192" i="91"/>
  <c r="I188" i="91"/>
  <c r="D188" i="91"/>
  <c r="E190" i="91"/>
  <c r="H190" i="91"/>
  <c r="E196" i="91"/>
  <c r="I196" i="91"/>
  <c r="I197" i="91"/>
  <c r="B189" i="91"/>
  <c r="H193" i="91"/>
  <c r="C195" i="91"/>
  <c r="I193" i="91"/>
  <c r="F188" i="91"/>
  <c r="J194" i="91"/>
  <c r="C192" i="91"/>
  <c r="J189" i="91"/>
  <c r="D197" i="91"/>
  <c r="K188" i="91"/>
  <c r="E188" i="91"/>
  <c r="I189" i="91"/>
  <c r="H195" i="91"/>
  <c r="D195" i="91"/>
  <c r="B194" i="91"/>
  <c r="K194" i="91"/>
  <c r="G194" i="91"/>
  <c r="D189" i="91"/>
  <c r="G191" i="91"/>
  <c r="B196" i="91"/>
  <c r="I192" i="91"/>
  <c r="F191" i="91"/>
  <c r="B195" i="91"/>
  <c r="F189" i="91"/>
  <c r="G104" i="95"/>
  <c r="F110" i="85"/>
  <c r="D119" i="85"/>
  <c r="C119" i="85"/>
  <c r="F116" i="85"/>
  <c r="B115" i="85"/>
  <c r="G122" i="85"/>
  <c r="H115" i="85"/>
  <c r="I116" i="85"/>
  <c r="G120" i="85"/>
  <c r="B118" i="85"/>
  <c r="G121" i="85"/>
  <c r="G119" i="85"/>
  <c r="B119" i="85"/>
  <c r="F120" i="85"/>
  <c r="C118" i="85"/>
  <c r="G115" i="85"/>
  <c r="E120" i="85"/>
  <c r="B117" i="85"/>
  <c r="F115" i="85"/>
  <c r="G118" i="85"/>
  <c r="C121" i="85"/>
  <c r="D115" i="85"/>
  <c r="C117" i="85"/>
  <c r="H119" i="85"/>
  <c r="B122" i="85"/>
  <c r="H116" i="85"/>
  <c r="G117" i="85"/>
  <c r="F118" i="85"/>
  <c r="G116" i="85"/>
  <c r="F121" i="85"/>
  <c r="C115" i="85"/>
  <c r="F117" i="85"/>
  <c r="D116" i="85"/>
  <c r="F122" i="85"/>
  <c r="E115" i="85"/>
  <c r="E116" i="85"/>
  <c r="B121" i="85"/>
  <c r="I115" i="85"/>
  <c r="C122" i="85"/>
  <c r="G327" i="79"/>
  <c r="F327" i="79"/>
  <c r="R345" i="79"/>
  <c r="A241" i="107"/>
  <c r="A248" i="107" s="1"/>
  <c r="K101" i="91"/>
  <c r="E100" i="91"/>
  <c r="I98" i="91"/>
  <c r="C97" i="91"/>
  <c r="G95" i="91"/>
  <c r="K93" i="91"/>
  <c r="J101" i="91"/>
  <c r="D100" i="91"/>
  <c r="H98" i="91"/>
  <c r="B97" i="91"/>
  <c r="F95" i="91"/>
  <c r="J93" i="91"/>
  <c r="I101" i="91"/>
  <c r="G98" i="91"/>
  <c r="K96" i="91"/>
  <c r="E95" i="91"/>
  <c r="H101" i="91"/>
  <c r="F98" i="91"/>
  <c r="J96" i="91"/>
  <c r="D95" i="91"/>
  <c r="G101" i="91"/>
  <c r="K99" i="91"/>
  <c r="E98" i="91"/>
  <c r="I96" i="91"/>
  <c r="C95" i="91"/>
  <c r="G93" i="91"/>
  <c r="I102" i="91"/>
  <c r="C101" i="91"/>
  <c r="G99" i="91"/>
  <c r="K97" i="91"/>
  <c r="E96" i="91"/>
  <c r="G102" i="91"/>
  <c r="J99" i="91"/>
  <c r="G97" i="91"/>
  <c r="J94" i="91"/>
  <c r="F102" i="91"/>
  <c r="F97" i="91"/>
  <c r="E102" i="91"/>
  <c r="E97" i="91"/>
  <c r="G94" i="91"/>
  <c r="D102" i="91"/>
  <c r="F99" i="91"/>
  <c r="D97" i="91"/>
  <c r="F94" i="91"/>
  <c r="C102" i="91"/>
  <c r="E99" i="91"/>
  <c r="H96" i="91"/>
  <c r="E94" i="91"/>
  <c r="D101" i="91"/>
  <c r="K98" i="91"/>
  <c r="C96" i="91"/>
  <c r="F93" i="91"/>
  <c r="B95" i="91"/>
  <c r="K102" i="91"/>
  <c r="J98" i="91"/>
  <c r="K94" i="91"/>
  <c r="J102" i="91"/>
  <c r="D98" i="91"/>
  <c r="D94" i="91"/>
  <c r="B102" i="91"/>
  <c r="B98" i="91"/>
  <c r="G100" i="91"/>
  <c r="F100" i="91"/>
  <c r="E93" i="91"/>
  <c r="D99" i="91"/>
  <c r="D93" i="91"/>
  <c r="C98" i="91"/>
  <c r="J97" i="91"/>
  <c r="G96" i="91"/>
  <c r="F96" i="91"/>
  <c r="D96" i="91"/>
  <c r="B96" i="91"/>
  <c r="K95" i="91"/>
  <c r="B101" i="91"/>
  <c r="I97" i="91"/>
  <c r="H97" i="91"/>
  <c r="J95" i="91"/>
  <c r="I95" i="91"/>
  <c r="H95" i="91"/>
  <c r="E101" i="91"/>
  <c r="K100" i="91"/>
  <c r="J100" i="91"/>
  <c r="F87" i="91"/>
  <c r="F101" i="91"/>
  <c r="H102" i="91"/>
  <c r="I12" i="89"/>
  <c r="M36" i="88"/>
  <c r="L36" i="88"/>
  <c r="M33" i="68"/>
  <c r="L33" i="68"/>
  <c r="E166" i="101"/>
  <c r="K6" i="101"/>
  <c r="J6" i="101"/>
  <c r="E431" i="63"/>
  <c r="J12" i="63"/>
  <c r="N12" i="63"/>
  <c r="A400" i="63" s="1"/>
  <c r="F136" i="65"/>
  <c r="J152" i="65"/>
  <c r="J148" i="65"/>
  <c r="I145" i="65"/>
  <c r="H141" i="65"/>
  <c r="M147" i="65"/>
  <c r="K141" i="65"/>
  <c r="L147" i="65"/>
  <c r="I141" i="65"/>
  <c r="J147" i="65"/>
  <c r="G141" i="65"/>
  <c r="K152" i="65"/>
  <c r="H147" i="65"/>
  <c r="F141" i="65"/>
  <c r="D152" i="65"/>
  <c r="G147" i="65"/>
  <c r="B152" i="65"/>
  <c r="K145" i="65"/>
  <c r="B145" i="65"/>
  <c r="G144" i="65"/>
  <c r="F144" i="65"/>
  <c r="E144" i="65"/>
  <c r="C152" i="65"/>
  <c r="I143" i="65"/>
  <c r="H143" i="65"/>
  <c r="M149" i="65"/>
  <c r="E151" i="65"/>
  <c r="K150" i="65"/>
  <c r="L148" i="65"/>
  <c r="I150" i="65"/>
  <c r="G148" i="65"/>
  <c r="K148" i="65"/>
  <c r="H148" i="65"/>
  <c r="J145" i="65"/>
  <c r="G143" i="65"/>
  <c r="L141" i="65"/>
  <c r="C149" i="65"/>
  <c r="H152" i="65"/>
  <c r="M143" i="65"/>
  <c r="D145" i="65"/>
  <c r="J151" i="65"/>
  <c r="M148" i="65"/>
  <c r="K147" i="65"/>
  <c r="C151" i="65"/>
  <c r="H142" i="65"/>
  <c r="J143" i="65"/>
  <c r="F149" i="65"/>
  <c r="B147" i="65"/>
  <c r="J149" i="65"/>
  <c r="B141" i="65"/>
  <c r="E142" i="65"/>
  <c r="E147" i="65"/>
  <c r="H144" i="65"/>
  <c r="D143" i="65"/>
  <c r="C150" i="65"/>
  <c r="B142" i="65"/>
  <c r="C145" i="65"/>
  <c r="E148" i="65"/>
  <c r="L144" i="65"/>
  <c r="C142" i="65"/>
  <c r="B150" i="65"/>
  <c r="G142" i="65"/>
  <c r="H149" i="65"/>
  <c r="B149" i="65"/>
  <c r="I151" i="65"/>
  <c r="I148" i="65"/>
  <c r="K149" i="65"/>
  <c r="L143" i="65"/>
  <c r="F143" i="65"/>
  <c r="K142" i="65"/>
  <c r="C143" i="65"/>
  <c r="E141" i="65"/>
  <c r="F142" i="65"/>
  <c r="L142" i="65"/>
  <c r="F150" i="65"/>
  <c r="E152" i="65"/>
  <c r="E149" i="65"/>
  <c r="B144" i="65"/>
  <c r="L150" i="65"/>
  <c r="D147" i="65"/>
  <c r="I142" i="65"/>
  <c r="G149" i="65"/>
  <c r="J144" i="65"/>
  <c r="K151" i="65"/>
  <c r="I146" i="65"/>
  <c r="D149" i="65"/>
  <c r="G150" i="65"/>
  <c r="H150" i="65"/>
  <c r="C147" i="65"/>
  <c r="C141" i="65"/>
  <c r="I149" i="65"/>
  <c r="D146" i="65"/>
  <c r="D142" i="65"/>
  <c r="I152" i="65"/>
  <c r="D148" i="65"/>
  <c r="K144" i="65"/>
  <c r="D151" i="65"/>
  <c r="K146" i="65"/>
  <c r="M141" i="65"/>
  <c r="J150" i="65"/>
  <c r="B143" i="65"/>
  <c r="M150" i="65"/>
  <c r="L149" i="65"/>
  <c r="D144" i="65"/>
  <c r="J142" i="65"/>
  <c r="E145" i="65"/>
  <c r="M142" i="65"/>
  <c r="D150" i="65"/>
  <c r="H146" i="65"/>
  <c r="H329" i="81"/>
  <c r="E319" i="81"/>
  <c r="B324" i="81"/>
  <c r="J16" i="77"/>
  <c r="I16" i="77"/>
  <c r="H208" i="73"/>
  <c r="I6" i="79"/>
  <c r="F147" i="65"/>
  <c r="F190" i="91"/>
  <c r="C197" i="91"/>
  <c r="F252" i="63"/>
  <c r="L32" i="58"/>
  <c r="M32" i="58"/>
  <c r="E530" i="75"/>
  <c r="J9" i="75"/>
  <c r="K9" i="75"/>
  <c r="N9" i="75"/>
  <c r="A462" i="75" s="1"/>
  <c r="C115" i="61"/>
  <c r="D384" i="61"/>
  <c r="F384" i="61"/>
  <c r="E274" i="85"/>
  <c r="J8" i="85"/>
  <c r="I12" i="75"/>
  <c r="D98" i="43"/>
  <c r="F93" i="43"/>
  <c r="J91" i="43"/>
  <c r="D90" i="43"/>
  <c r="B98" i="43"/>
  <c r="F96" i="43"/>
  <c r="J94" i="43"/>
  <c r="D93" i="43"/>
  <c r="H91" i="43"/>
  <c r="K97" i="43"/>
  <c r="E96" i="43"/>
  <c r="I94" i="43"/>
  <c r="C93" i="43"/>
  <c r="G91" i="43"/>
  <c r="K89" i="43"/>
  <c r="J97" i="43"/>
  <c r="D96" i="43"/>
  <c r="H94" i="43"/>
  <c r="B93" i="43"/>
  <c r="F91" i="43"/>
  <c r="J89" i="43"/>
  <c r="G97" i="43"/>
  <c r="G95" i="43"/>
  <c r="G93" i="43"/>
  <c r="C91" i="43"/>
  <c r="F97" i="43"/>
  <c r="F95" i="43"/>
  <c r="E93" i="43"/>
  <c r="B91" i="43"/>
  <c r="E97" i="43"/>
  <c r="E95" i="43"/>
  <c r="K92" i="43"/>
  <c r="K90" i="43"/>
  <c r="D97" i="43"/>
  <c r="D95" i="43"/>
  <c r="J92" i="43"/>
  <c r="J90" i="43"/>
  <c r="C97" i="43"/>
  <c r="I92" i="43"/>
  <c r="H98" i="43"/>
  <c r="G96" i="43"/>
  <c r="D94" i="43"/>
  <c r="D92" i="43"/>
  <c r="H97" i="43"/>
  <c r="B94" i="43"/>
  <c r="G90" i="43"/>
  <c r="F83" i="43"/>
  <c r="B97" i="43"/>
  <c r="K93" i="43"/>
  <c r="F90" i="43"/>
  <c r="J96" i="43"/>
  <c r="I93" i="43"/>
  <c r="H93" i="43"/>
  <c r="G92" i="43"/>
  <c r="F89" i="43"/>
  <c r="J98" i="43"/>
  <c r="E94" i="43"/>
  <c r="D89" i="43"/>
  <c r="I98" i="43"/>
  <c r="C94" i="43"/>
  <c r="G98" i="43"/>
  <c r="J93" i="43"/>
  <c r="F98" i="43"/>
  <c r="H92" i="43"/>
  <c r="E98" i="43"/>
  <c r="F92" i="43"/>
  <c r="C98" i="43"/>
  <c r="E92" i="43"/>
  <c r="K95" i="43"/>
  <c r="I91" i="43"/>
  <c r="J95" i="43"/>
  <c r="E91" i="43"/>
  <c r="K94" i="43"/>
  <c r="G94" i="43"/>
  <c r="F94" i="43"/>
  <c r="C92" i="43"/>
  <c r="D91" i="43"/>
  <c r="B92" i="43"/>
  <c r="K91" i="43"/>
  <c r="E90" i="43"/>
  <c r="G89" i="43"/>
  <c r="K98" i="43"/>
  <c r="E89" i="43"/>
  <c r="I97" i="43"/>
  <c r="K96" i="43"/>
  <c r="K204" i="67"/>
  <c r="J41" i="35"/>
  <c r="D40" i="35"/>
  <c r="H38" i="35"/>
  <c r="B37" i="35"/>
  <c r="F35" i="35"/>
  <c r="J33" i="35"/>
  <c r="I41" i="35"/>
  <c r="C40" i="35"/>
  <c r="G38" i="35"/>
  <c r="K36" i="35"/>
  <c r="I33" i="35"/>
  <c r="K40" i="35"/>
  <c r="C39" i="35"/>
  <c r="E37" i="35"/>
  <c r="G35" i="35"/>
  <c r="G33" i="35"/>
  <c r="J40" i="35"/>
  <c r="B39" i="35"/>
  <c r="D37" i="35"/>
  <c r="F33" i="35"/>
  <c r="H40" i="35"/>
  <c r="J38" i="35"/>
  <c r="J36" i="35"/>
  <c r="G40" i="35"/>
  <c r="I38" i="35"/>
  <c r="I36" i="35"/>
  <c r="K34" i="35"/>
  <c r="H41" i="35"/>
  <c r="J39" i="35"/>
  <c r="B38" i="35"/>
  <c r="D36" i="35"/>
  <c r="F34" i="35"/>
  <c r="H32" i="35"/>
  <c r="K41" i="35"/>
  <c r="E39" i="35"/>
  <c r="F36" i="35"/>
  <c r="C41" i="35"/>
  <c r="C38" i="35"/>
  <c r="H35" i="35"/>
  <c r="G32" i="35"/>
  <c r="B41" i="35"/>
  <c r="K37" i="35"/>
  <c r="F32" i="35"/>
  <c r="I40" i="35"/>
  <c r="J37" i="35"/>
  <c r="J34" i="35"/>
  <c r="F40" i="35"/>
  <c r="I37" i="35"/>
  <c r="I34" i="35"/>
  <c r="G34" i="35"/>
  <c r="E40" i="35"/>
  <c r="H37" i="35"/>
  <c r="H34" i="35"/>
  <c r="B40" i="35"/>
  <c r="G37" i="35"/>
  <c r="G39" i="35"/>
  <c r="G36" i="35"/>
  <c r="K33" i="35"/>
  <c r="F39" i="35"/>
  <c r="E36" i="35"/>
  <c r="H33" i="35"/>
  <c r="C36" i="35"/>
  <c r="F26" i="35"/>
  <c r="F41" i="35"/>
  <c r="G41" i="35"/>
  <c r="B36" i="35"/>
  <c r="K35" i="35"/>
  <c r="E41" i="35"/>
  <c r="J35" i="35"/>
  <c r="D41" i="35"/>
  <c r="I35" i="35"/>
  <c r="I39" i="35"/>
  <c r="K39" i="35"/>
  <c r="K38" i="35"/>
  <c r="F38" i="35"/>
  <c r="K32" i="35"/>
  <c r="E38" i="35"/>
  <c r="J32" i="35"/>
  <c r="C37" i="35"/>
  <c r="H36" i="35"/>
  <c r="I32" i="35"/>
  <c r="H39" i="35"/>
  <c r="D39" i="35"/>
  <c r="D38" i="35"/>
  <c r="F37" i="35"/>
  <c r="G149" i="45"/>
  <c r="J152" i="59"/>
  <c r="I7" i="73"/>
  <c r="K7" i="73" s="1"/>
  <c r="G331" i="75"/>
  <c r="F331" i="75"/>
  <c r="R349" i="75"/>
  <c r="C61" i="59"/>
  <c r="J59" i="59"/>
  <c r="E58" i="59"/>
  <c r="E68" i="59"/>
  <c r="K66" i="59"/>
  <c r="E65" i="59"/>
  <c r="L63" i="59"/>
  <c r="B61" i="59"/>
  <c r="I59" i="59"/>
  <c r="D58" i="59"/>
  <c r="F52" i="59"/>
  <c r="M66" i="59"/>
  <c r="G64" i="59"/>
  <c r="B62" i="59"/>
  <c r="M59" i="59"/>
  <c r="G57" i="59"/>
  <c r="M68" i="59"/>
  <c r="G66" i="59"/>
  <c r="E64" i="59"/>
  <c r="M61" i="59"/>
  <c r="L59" i="59"/>
  <c r="F57" i="59"/>
  <c r="L68" i="59"/>
  <c r="E66" i="59"/>
  <c r="D64" i="59"/>
  <c r="K61" i="59"/>
  <c r="K59" i="59"/>
  <c r="E57" i="59"/>
  <c r="K68" i="59"/>
  <c r="D66" i="59"/>
  <c r="C64" i="59"/>
  <c r="I61" i="59"/>
  <c r="D57" i="59"/>
  <c r="J68" i="59"/>
  <c r="B66" i="59"/>
  <c r="B64" i="59"/>
  <c r="H61" i="59"/>
  <c r="C57" i="59"/>
  <c r="K67" i="59"/>
  <c r="I64" i="59"/>
  <c r="L57" i="59"/>
  <c r="H67" i="59"/>
  <c r="H64" i="59"/>
  <c r="J60" i="59"/>
  <c r="K57" i="59"/>
  <c r="G67" i="59"/>
  <c r="H63" i="59"/>
  <c r="I60" i="59"/>
  <c r="I57" i="59"/>
  <c r="F67" i="59"/>
  <c r="G63" i="59"/>
  <c r="H60" i="59"/>
  <c r="B57" i="59"/>
  <c r="E67" i="59"/>
  <c r="F63" i="59"/>
  <c r="C67" i="59"/>
  <c r="C63" i="59"/>
  <c r="C60" i="59"/>
  <c r="L67" i="59"/>
  <c r="I62" i="59"/>
  <c r="D67" i="59"/>
  <c r="C62" i="59"/>
  <c r="M65" i="59"/>
  <c r="L65" i="59"/>
  <c r="K65" i="59"/>
  <c r="I65" i="59"/>
  <c r="L64" i="59"/>
  <c r="K58" i="59"/>
  <c r="M64" i="59"/>
  <c r="K64" i="59"/>
  <c r="D63" i="59"/>
  <c r="M62" i="59"/>
  <c r="L62" i="59"/>
  <c r="J62" i="59"/>
  <c r="G58" i="59"/>
  <c r="F58" i="59"/>
  <c r="M67" i="59"/>
  <c r="I68" i="59"/>
  <c r="H68" i="59"/>
  <c r="K62" i="59"/>
  <c r="B60" i="59"/>
  <c r="L58" i="59"/>
  <c r="H65" i="59"/>
  <c r="C59" i="59"/>
  <c r="G65" i="59"/>
  <c r="J58" i="59"/>
  <c r="I58" i="59"/>
  <c r="H58" i="59"/>
  <c r="C68" i="59"/>
  <c r="K60" i="59"/>
  <c r="B59" i="59"/>
  <c r="H57" i="59"/>
  <c r="J57" i="59"/>
  <c r="M58" i="59"/>
  <c r="I63" i="59"/>
  <c r="L61" i="59"/>
  <c r="H66" i="59"/>
  <c r="B58" i="59"/>
  <c r="I67" i="59"/>
  <c r="J63" i="59"/>
  <c r="F66" i="59"/>
  <c r="H59" i="59"/>
  <c r="H62" i="59"/>
  <c r="K8" i="85"/>
  <c r="F96" i="69"/>
  <c r="L109" i="69"/>
  <c r="C105" i="69"/>
  <c r="H101" i="69"/>
  <c r="F110" i="69"/>
  <c r="D103" i="69"/>
  <c r="E110" i="69"/>
  <c r="C103" i="69"/>
  <c r="G108" i="69"/>
  <c r="K102" i="69"/>
  <c r="D108" i="69"/>
  <c r="E102" i="69"/>
  <c r="C108" i="69"/>
  <c r="D102" i="69"/>
  <c r="L107" i="69"/>
  <c r="C102" i="69"/>
  <c r="D107" i="69"/>
  <c r="M99" i="69"/>
  <c r="L106" i="69"/>
  <c r="J106" i="69"/>
  <c r="D106" i="69"/>
  <c r="L104" i="69"/>
  <c r="K104" i="69"/>
  <c r="J104" i="69"/>
  <c r="I99" i="69"/>
  <c r="K107" i="69"/>
  <c r="C107" i="69"/>
  <c r="C100" i="69"/>
  <c r="J99" i="69"/>
  <c r="L99" i="69"/>
  <c r="L103" i="69"/>
  <c r="B110" i="69"/>
  <c r="B108" i="69"/>
  <c r="J105" i="69"/>
  <c r="L110" i="69"/>
  <c r="J110" i="69"/>
  <c r="H110" i="69"/>
  <c r="G101" i="69"/>
  <c r="E109" i="69"/>
  <c r="C109" i="69"/>
  <c r="M108" i="69"/>
  <c r="F109" i="69"/>
  <c r="B103" i="69"/>
  <c r="J107" i="69"/>
  <c r="H107" i="69"/>
  <c r="F107" i="69"/>
  <c r="J101" i="69"/>
  <c r="C106" i="69"/>
  <c r="L105" i="69"/>
  <c r="G110" i="69"/>
  <c r="M104" i="69"/>
  <c r="F101" i="69"/>
  <c r="L101" i="69"/>
  <c r="I108" i="69"/>
  <c r="B99" i="69"/>
  <c r="J102" i="69"/>
  <c r="H102" i="69"/>
  <c r="F102" i="69"/>
  <c r="J100" i="69"/>
  <c r="E101" i="69"/>
  <c r="E103" i="69"/>
  <c r="E108" i="69"/>
  <c r="D109" i="69"/>
  <c r="B109" i="69"/>
  <c r="H108" i="69"/>
  <c r="E173" i="61"/>
  <c r="M171" i="61"/>
  <c r="I170" i="61"/>
  <c r="M167" i="61"/>
  <c r="I166" i="61"/>
  <c r="M163" i="61"/>
  <c r="I162" i="61"/>
  <c r="D173" i="61"/>
  <c r="L171" i="61"/>
  <c r="H170" i="61"/>
  <c r="L167" i="61"/>
  <c r="H166" i="61"/>
  <c r="L163" i="61"/>
  <c r="H162" i="61"/>
  <c r="C173" i="61"/>
  <c r="K171" i="61"/>
  <c r="G170" i="61"/>
  <c r="C169" i="61"/>
  <c r="K167" i="61"/>
  <c r="G166" i="61"/>
  <c r="C165" i="61"/>
  <c r="K163" i="61"/>
  <c r="G162" i="61"/>
  <c r="B173" i="61"/>
  <c r="J171" i="61"/>
  <c r="F170" i="61"/>
  <c r="B169" i="61"/>
  <c r="J167" i="61"/>
  <c r="F166" i="61"/>
  <c r="B165" i="61"/>
  <c r="J163" i="61"/>
  <c r="F162" i="61"/>
  <c r="M172" i="61"/>
  <c r="I171" i="61"/>
  <c r="E170" i="61"/>
  <c r="M168" i="61"/>
  <c r="I167" i="61"/>
  <c r="E166" i="61"/>
  <c r="M164" i="61"/>
  <c r="I163" i="61"/>
  <c r="E162" i="61"/>
  <c r="M173" i="61"/>
  <c r="I172" i="61"/>
  <c r="E171" i="61"/>
  <c r="M169" i="61"/>
  <c r="E167" i="61"/>
  <c r="M165" i="61"/>
  <c r="E163" i="61"/>
  <c r="J173" i="61"/>
  <c r="G171" i="61"/>
  <c r="D167" i="61"/>
  <c r="F165" i="61"/>
  <c r="B163" i="61"/>
  <c r="I173" i="61"/>
  <c r="F171" i="61"/>
  <c r="G169" i="61"/>
  <c r="C167" i="61"/>
  <c r="L164" i="61"/>
  <c r="M162" i="61"/>
  <c r="F156" i="61"/>
  <c r="H173" i="61"/>
  <c r="D171" i="61"/>
  <c r="F169" i="61"/>
  <c r="B167" i="61"/>
  <c r="K164" i="61"/>
  <c r="L162" i="61"/>
  <c r="G173" i="61"/>
  <c r="C171" i="61"/>
  <c r="L168" i="61"/>
  <c r="M166" i="61"/>
  <c r="J164" i="61"/>
  <c r="K162" i="61"/>
  <c r="F173" i="61"/>
  <c r="B171" i="61"/>
  <c r="K168" i="61"/>
  <c r="L166" i="61"/>
  <c r="J162" i="61"/>
  <c r="H172" i="61"/>
  <c r="J170" i="61"/>
  <c r="F168" i="61"/>
  <c r="C166" i="61"/>
  <c r="C172" i="61"/>
  <c r="G165" i="61"/>
  <c r="B172" i="61"/>
  <c r="G164" i="61"/>
  <c r="H171" i="61"/>
  <c r="C168" i="61"/>
  <c r="F164" i="61"/>
  <c r="M170" i="61"/>
  <c r="B168" i="61"/>
  <c r="L170" i="61"/>
  <c r="H167" i="61"/>
  <c r="C164" i="61"/>
  <c r="K173" i="61"/>
  <c r="B170" i="61"/>
  <c r="J166" i="61"/>
  <c r="F163" i="61"/>
  <c r="L169" i="61"/>
  <c r="K169" i="61"/>
  <c r="B164" i="61"/>
  <c r="J169" i="61"/>
  <c r="H163" i="61"/>
  <c r="G163" i="61"/>
  <c r="J168" i="61"/>
  <c r="D163" i="61"/>
  <c r="L172" i="61"/>
  <c r="G168" i="61"/>
  <c r="D162" i="61"/>
  <c r="C170" i="61"/>
  <c r="G167" i="61"/>
  <c r="F167" i="61"/>
  <c r="K166" i="61"/>
  <c r="D166" i="61"/>
  <c r="J172" i="61"/>
  <c r="J165" i="61"/>
  <c r="L165" i="61"/>
  <c r="K165" i="61"/>
  <c r="C163" i="61"/>
  <c r="C162" i="61"/>
  <c r="B162" i="61"/>
  <c r="D170" i="61"/>
  <c r="B166" i="61"/>
  <c r="L173" i="61"/>
  <c r="K172" i="61"/>
  <c r="G172" i="61"/>
  <c r="F172" i="61"/>
  <c r="E172" i="61"/>
  <c r="D172" i="61"/>
  <c r="K170" i="61"/>
  <c r="F137" i="55"/>
  <c r="E142" i="55"/>
  <c r="C145" i="55"/>
  <c r="H151" i="55"/>
  <c r="J151" i="55"/>
  <c r="F142" i="55"/>
  <c r="F148" i="55"/>
  <c r="B141" i="55"/>
  <c r="H147" i="55"/>
  <c r="B147" i="55"/>
  <c r="F146" i="55"/>
  <c r="D142" i="55"/>
  <c r="J141" i="55"/>
  <c r="I147" i="55"/>
  <c r="B151" i="55"/>
  <c r="M150" i="55"/>
  <c r="D148" i="55"/>
  <c r="G147" i="55"/>
  <c r="M149" i="55"/>
  <c r="G152" i="55"/>
  <c r="K142" i="55"/>
  <c r="D141" i="55"/>
  <c r="M142" i="55"/>
  <c r="B145" i="55"/>
  <c r="C146" i="55"/>
  <c r="I148" i="55"/>
  <c r="C151" i="55"/>
  <c r="G141" i="55"/>
  <c r="L147" i="55"/>
  <c r="H150" i="55"/>
  <c r="L152" i="55"/>
  <c r="M148" i="55"/>
  <c r="F152" i="55"/>
  <c r="E146" i="55"/>
  <c r="E147" i="55"/>
  <c r="E152" i="55"/>
  <c r="I145" i="55"/>
  <c r="M146" i="55"/>
  <c r="J142" i="55"/>
  <c r="G143" i="55"/>
  <c r="M145" i="55"/>
  <c r="G148" i="55"/>
  <c r="F150" i="55"/>
  <c r="G146" i="55"/>
  <c r="E148" i="55"/>
  <c r="C142" i="55"/>
  <c r="I144" i="55"/>
  <c r="C147" i="55"/>
  <c r="B148" i="55"/>
  <c r="F141" i="55"/>
  <c r="G150" i="55"/>
  <c r="L142" i="55"/>
  <c r="H142" i="55"/>
  <c r="J152" i="55"/>
  <c r="K145" i="55"/>
  <c r="D146" i="55"/>
  <c r="M151" i="55"/>
  <c r="L146" i="55"/>
  <c r="I151" i="55"/>
  <c r="C141" i="55"/>
  <c r="J148" i="55"/>
  <c r="D151" i="55"/>
  <c r="K141" i="55"/>
  <c r="H145" i="55"/>
  <c r="J146" i="55"/>
  <c r="G142" i="55"/>
  <c r="L150" i="55"/>
  <c r="F147" i="55"/>
  <c r="L149" i="55"/>
  <c r="C152" i="55"/>
  <c r="D152" i="55"/>
  <c r="I143" i="55"/>
  <c r="M143" i="55"/>
  <c r="K148" i="55"/>
  <c r="E151" i="55"/>
  <c r="L141" i="55"/>
  <c r="C144" i="55"/>
  <c r="B152" i="55"/>
  <c r="H143" i="55"/>
  <c r="H146" i="55"/>
  <c r="B149" i="55"/>
  <c r="E145" i="55"/>
  <c r="G38" i="73"/>
  <c r="F42" i="73"/>
  <c r="K45" i="73"/>
  <c r="D43" i="73"/>
  <c r="M44" i="73"/>
  <c r="M41" i="56"/>
  <c r="L41" i="56"/>
  <c r="G39" i="73"/>
  <c r="G328" i="75"/>
  <c r="F328" i="75"/>
  <c r="R346" i="75"/>
  <c r="K99" i="69"/>
  <c r="D173" i="63"/>
  <c r="L171" i="63"/>
  <c r="H170" i="63"/>
  <c r="D169" i="63"/>
  <c r="L167" i="63"/>
  <c r="H166" i="63"/>
  <c r="L163" i="63"/>
  <c r="H162" i="63"/>
  <c r="C173" i="63"/>
  <c r="K171" i="63"/>
  <c r="G170" i="63"/>
  <c r="C169" i="63"/>
  <c r="K167" i="63"/>
  <c r="C165" i="63"/>
  <c r="K163" i="63"/>
  <c r="G162" i="63"/>
  <c r="B173" i="63"/>
  <c r="J171" i="63"/>
  <c r="F170" i="63"/>
  <c r="B169" i="63"/>
  <c r="J167" i="63"/>
  <c r="B165" i="63"/>
  <c r="J163" i="63"/>
  <c r="F162" i="63"/>
  <c r="M172" i="63"/>
  <c r="I171" i="63"/>
  <c r="E170" i="63"/>
  <c r="M168" i="63"/>
  <c r="I167" i="63"/>
  <c r="M164" i="63"/>
  <c r="I163" i="63"/>
  <c r="E162" i="63"/>
  <c r="L172" i="63"/>
  <c r="H171" i="63"/>
  <c r="D170" i="63"/>
  <c r="L168" i="63"/>
  <c r="H167" i="63"/>
  <c r="L164" i="63"/>
  <c r="H163" i="63"/>
  <c r="D162" i="63"/>
  <c r="L173" i="63"/>
  <c r="H172" i="63"/>
  <c r="D171" i="63"/>
  <c r="L169" i="63"/>
  <c r="H168" i="63"/>
  <c r="L165" i="63"/>
  <c r="H164" i="63"/>
  <c r="D163" i="63"/>
  <c r="M173" i="63"/>
  <c r="B172" i="63"/>
  <c r="J169" i="63"/>
  <c r="H165" i="63"/>
  <c r="E163" i="63"/>
  <c r="K173" i="63"/>
  <c r="M171" i="63"/>
  <c r="I169" i="63"/>
  <c r="C163" i="63"/>
  <c r="J173" i="63"/>
  <c r="G171" i="63"/>
  <c r="H169" i="63"/>
  <c r="B163" i="63"/>
  <c r="I173" i="63"/>
  <c r="F171" i="63"/>
  <c r="G169" i="63"/>
  <c r="C167" i="63"/>
  <c r="M162" i="63"/>
  <c r="F156" i="63"/>
  <c r="H173" i="63"/>
  <c r="E171" i="63"/>
  <c r="F169" i="63"/>
  <c r="B167" i="63"/>
  <c r="K164" i="63"/>
  <c r="L162" i="63"/>
  <c r="K172" i="63"/>
  <c r="L170" i="63"/>
  <c r="I168" i="63"/>
  <c r="J166" i="63"/>
  <c r="C162" i="63"/>
  <c r="J170" i="63"/>
  <c r="M166" i="63"/>
  <c r="B164" i="63"/>
  <c r="I170" i="63"/>
  <c r="L166" i="63"/>
  <c r="M163" i="63"/>
  <c r="G173" i="63"/>
  <c r="C170" i="63"/>
  <c r="K166" i="63"/>
  <c r="G163" i="63"/>
  <c r="F173" i="63"/>
  <c r="B170" i="63"/>
  <c r="I166" i="63"/>
  <c r="F163" i="63"/>
  <c r="E173" i="63"/>
  <c r="M169" i="63"/>
  <c r="C166" i="63"/>
  <c r="K162" i="63"/>
  <c r="F172" i="63"/>
  <c r="J168" i="63"/>
  <c r="J165" i="63"/>
  <c r="K168" i="63"/>
  <c r="G168" i="63"/>
  <c r="C164" i="63"/>
  <c r="F168" i="63"/>
  <c r="J162" i="63"/>
  <c r="E168" i="63"/>
  <c r="I162" i="63"/>
  <c r="J172" i="63"/>
  <c r="D168" i="63"/>
  <c r="B162" i="63"/>
  <c r="G172" i="63"/>
  <c r="B168" i="63"/>
  <c r="K170" i="63"/>
  <c r="K169" i="63"/>
  <c r="E169" i="63"/>
  <c r="C168" i="63"/>
  <c r="M167" i="63"/>
  <c r="B166" i="63"/>
  <c r="I172" i="63"/>
  <c r="J164" i="63"/>
  <c r="B171" i="63"/>
  <c r="M170" i="63"/>
  <c r="M165" i="63"/>
  <c r="K165" i="63"/>
  <c r="I165" i="63"/>
  <c r="I164" i="63"/>
  <c r="E172" i="63"/>
  <c r="C172" i="63"/>
  <c r="D172" i="63"/>
  <c r="C171" i="63"/>
  <c r="E432" i="69"/>
  <c r="J13" i="69"/>
  <c r="J183" i="73"/>
  <c r="J189" i="73"/>
  <c r="G189" i="73"/>
  <c r="D183" i="73"/>
  <c r="G154" i="51"/>
  <c r="K152" i="51"/>
  <c r="E151" i="51"/>
  <c r="C148" i="51"/>
  <c r="G146" i="51"/>
  <c r="F154" i="51"/>
  <c r="J152" i="51"/>
  <c r="D151" i="51"/>
  <c r="B148" i="51"/>
  <c r="F146" i="51"/>
  <c r="K155" i="51"/>
  <c r="E154" i="51"/>
  <c r="C151" i="51"/>
  <c r="G149" i="51"/>
  <c r="K147" i="51"/>
  <c r="E146" i="51"/>
  <c r="G155" i="51"/>
  <c r="K153" i="51"/>
  <c r="I150" i="51"/>
  <c r="C149" i="51"/>
  <c r="G147" i="51"/>
  <c r="H154" i="51"/>
  <c r="D150" i="51"/>
  <c r="D154" i="51"/>
  <c r="C152" i="51"/>
  <c r="C150" i="51"/>
  <c r="J147" i="51"/>
  <c r="C154" i="51"/>
  <c r="B152" i="51"/>
  <c r="B150" i="51"/>
  <c r="I147" i="51"/>
  <c r="B154" i="51"/>
  <c r="K151" i="51"/>
  <c r="K149" i="51"/>
  <c r="H147" i="51"/>
  <c r="J153" i="51"/>
  <c r="J151" i="51"/>
  <c r="J149" i="51"/>
  <c r="F147" i="51"/>
  <c r="J155" i="51"/>
  <c r="E150" i="51"/>
  <c r="K146" i="51"/>
  <c r="I155" i="51"/>
  <c r="C153" i="51"/>
  <c r="F149" i="51"/>
  <c r="J146" i="51"/>
  <c r="H155" i="51"/>
  <c r="B153" i="51"/>
  <c r="I146" i="51"/>
  <c r="F155" i="51"/>
  <c r="H146" i="51"/>
  <c r="E155" i="51"/>
  <c r="G152" i="51"/>
  <c r="B149" i="51"/>
  <c r="D146" i="51"/>
  <c r="J154" i="51"/>
  <c r="F151" i="51"/>
  <c r="G148" i="51"/>
  <c r="D155" i="51"/>
  <c r="J150" i="51"/>
  <c r="C155" i="51"/>
  <c r="H150" i="51"/>
  <c r="K154" i="51"/>
  <c r="F150" i="51"/>
  <c r="I154" i="51"/>
  <c r="K148" i="51"/>
  <c r="F140" i="51"/>
  <c r="H151" i="51"/>
  <c r="G151" i="51"/>
  <c r="B151" i="51"/>
  <c r="K150" i="51"/>
  <c r="G150" i="51"/>
  <c r="J148" i="51"/>
  <c r="B155" i="51"/>
  <c r="E147" i="51"/>
  <c r="D147" i="51"/>
  <c r="G153" i="51"/>
  <c r="F153" i="51"/>
  <c r="F148" i="51"/>
  <c r="F152" i="51"/>
  <c r="I151" i="51"/>
  <c r="C147" i="51"/>
  <c r="B147" i="51"/>
  <c r="C146" i="51"/>
  <c r="B146" i="51"/>
  <c r="E150" i="63"/>
  <c r="F588" i="83"/>
  <c r="C214" i="83"/>
  <c r="D588" i="83"/>
  <c r="M36" i="64"/>
  <c r="L36" i="64"/>
  <c r="E64" i="55"/>
  <c r="L57" i="55"/>
  <c r="K64" i="55"/>
  <c r="K53" i="51"/>
  <c r="L34" i="46"/>
  <c r="M34" i="46"/>
  <c r="C111" i="45"/>
  <c r="K30" i="106"/>
  <c r="G59" i="51"/>
  <c r="K108" i="45"/>
  <c r="F188" i="35"/>
  <c r="G188" i="35"/>
  <c r="F193" i="35"/>
  <c r="G189" i="35"/>
  <c r="G189" i="43"/>
  <c r="N203" i="43"/>
  <c r="F189" i="43"/>
  <c r="F191" i="43"/>
  <c r="I142" i="55"/>
  <c r="J147" i="55"/>
  <c r="C148" i="55"/>
  <c r="B146" i="55"/>
  <c r="D116" i="35"/>
  <c r="B113" i="35"/>
  <c r="F111" i="35"/>
  <c r="J109" i="35"/>
  <c r="D108" i="35"/>
  <c r="C116" i="35"/>
  <c r="G114" i="35"/>
  <c r="K112" i="35"/>
  <c r="E111" i="35"/>
  <c r="I109" i="35"/>
  <c r="C108" i="35"/>
  <c r="C113" i="35"/>
  <c r="C111" i="35"/>
  <c r="E109" i="35"/>
  <c r="J112" i="35"/>
  <c r="B111" i="35"/>
  <c r="D109" i="35"/>
  <c r="F116" i="35"/>
  <c r="F114" i="35"/>
  <c r="H112" i="35"/>
  <c r="J110" i="35"/>
  <c r="B109" i="35"/>
  <c r="E116" i="35"/>
  <c r="E114" i="35"/>
  <c r="G112" i="35"/>
  <c r="I110" i="35"/>
  <c r="K108" i="35"/>
  <c r="F117" i="35"/>
  <c r="J113" i="35"/>
  <c r="B112" i="35"/>
  <c r="D110" i="35"/>
  <c r="F108" i="35"/>
  <c r="F102" i="35"/>
  <c r="C117" i="35"/>
  <c r="D114" i="35"/>
  <c r="J111" i="35"/>
  <c r="C109" i="35"/>
  <c r="G113" i="35"/>
  <c r="H110" i="35"/>
  <c r="B108" i="35"/>
  <c r="G117" i="35"/>
  <c r="H111" i="35"/>
  <c r="G108" i="35"/>
  <c r="E117" i="35"/>
  <c r="C114" i="35"/>
  <c r="G111" i="35"/>
  <c r="E108" i="35"/>
  <c r="D117" i="35"/>
  <c r="B114" i="35"/>
  <c r="D111" i="35"/>
  <c r="B117" i="35"/>
  <c r="K113" i="35"/>
  <c r="K110" i="35"/>
  <c r="I113" i="35"/>
  <c r="G110" i="35"/>
  <c r="H113" i="35"/>
  <c r="F110" i="35"/>
  <c r="I112" i="35"/>
  <c r="K109" i="35"/>
  <c r="G115" i="35"/>
  <c r="F112" i="35"/>
  <c r="H109" i="35"/>
  <c r="F113" i="35"/>
  <c r="E113" i="35"/>
  <c r="D113" i="35"/>
  <c r="E112" i="35"/>
  <c r="D112" i="35"/>
  <c r="K111" i="35"/>
  <c r="C112" i="35"/>
  <c r="B116" i="35"/>
  <c r="C110" i="35"/>
  <c r="B110" i="35"/>
  <c r="F115" i="35"/>
  <c r="G109" i="35"/>
  <c r="G116" i="35"/>
  <c r="E115" i="35"/>
  <c r="D115" i="35"/>
  <c r="C115" i="35"/>
  <c r="B115" i="35"/>
  <c r="I111" i="35"/>
  <c r="E110" i="35"/>
  <c r="J108" i="35"/>
  <c r="I108" i="35"/>
  <c r="H108" i="35"/>
  <c r="F109" i="35"/>
  <c r="K359" i="81"/>
  <c r="K358" i="81"/>
  <c r="K357" i="81"/>
  <c r="K356" i="81"/>
  <c r="K355" i="81"/>
  <c r="K354" i="81"/>
  <c r="K353" i="81"/>
  <c r="K352" i="81"/>
  <c r="K351" i="81"/>
  <c r="K350" i="81"/>
  <c r="K349" i="81"/>
  <c r="K348" i="81"/>
  <c r="K347" i="81"/>
  <c r="G358" i="81"/>
  <c r="F357" i="81"/>
  <c r="E356" i="81"/>
  <c r="D355" i="81"/>
  <c r="C354" i="81"/>
  <c r="B353" i="81"/>
  <c r="O349" i="81"/>
  <c r="N348" i="81"/>
  <c r="M347" i="81"/>
  <c r="L346" i="81"/>
  <c r="L345" i="81"/>
  <c r="L344" i="81"/>
  <c r="G359" i="81"/>
  <c r="F358" i="81"/>
  <c r="E357" i="81"/>
  <c r="D356" i="81"/>
  <c r="C355" i="81"/>
  <c r="B354" i="81"/>
  <c r="Q352" i="81"/>
  <c r="O350" i="81"/>
  <c r="N349" i="81"/>
  <c r="M348" i="81"/>
  <c r="L347" i="81"/>
  <c r="K346" i="81"/>
  <c r="K345" i="81"/>
  <c r="K344" i="81"/>
  <c r="F359" i="81"/>
  <c r="E358" i="81"/>
  <c r="D357" i="81"/>
  <c r="C356" i="81"/>
  <c r="B355" i="81"/>
  <c r="Q353" i="81"/>
  <c r="P352" i="81"/>
  <c r="O351" i="81"/>
  <c r="N350" i="81"/>
  <c r="M349" i="81"/>
  <c r="L348" i="81"/>
  <c r="J347" i="81"/>
  <c r="J346" i="81"/>
  <c r="J345" i="81"/>
  <c r="J344" i="81"/>
  <c r="E359" i="81"/>
  <c r="D358" i="81"/>
  <c r="C357" i="81"/>
  <c r="B356" i="81"/>
  <c r="Q354" i="81"/>
  <c r="P353" i="81"/>
  <c r="O352" i="81"/>
  <c r="N351" i="81"/>
  <c r="M350" i="81"/>
  <c r="L349" i="81"/>
  <c r="J348" i="81"/>
  <c r="I347" i="81"/>
  <c r="I346" i="81"/>
  <c r="I345" i="81"/>
  <c r="I344" i="81"/>
  <c r="D359" i="81"/>
  <c r="C358" i="81"/>
  <c r="B357" i="81"/>
  <c r="Q355" i="81"/>
  <c r="P354" i="81"/>
  <c r="O353" i="81"/>
  <c r="N352" i="81"/>
  <c r="M351" i="81"/>
  <c r="L350" i="81"/>
  <c r="J349" i="81"/>
  <c r="I348" i="81"/>
  <c r="H347" i="81"/>
  <c r="H346" i="81"/>
  <c r="H345" i="81"/>
  <c r="H344" i="81"/>
  <c r="O357" i="81"/>
  <c r="N356" i="81"/>
  <c r="M355" i="81"/>
  <c r="L354" i="81"/>
  <c r="J353" i="81"/>
  <c r="I352" i="81"/>
  <c r="G350" i="81"/>
  <c r="F349" i="81"/>
  <c r="E348" i="81"/>
  <c r="D347" i="81"/>
  <c r="D346" i="81"/>
  <c r="D345" i="81"/>
  <c r="D344" i="81"/>
  <c r="L357" i="81"/>
  <c r="O355" i="81"/>
  <c r="F354" i="81"/>
  <c r="H352" i="81"/>
  <c r="C349" i="81"/>
  <c r="F347" i="81"/>
  <c r="O345" i="81"/>
  <c r="C344" i="81"/>
  <c r="C359" i="81"/>
  <c r="J357" i="81"/>
  <c r="N355" i="81"/>
  <c r="E354" i="81"/>
  <c r="G352" i="81"/>
  <c r="J350" i="81"/>
  <c r="B349" i="81"/>
  <c r="E347" i="81"/>
  <c r="N345" i="81"/>
  <c r="B344" i="81"/>
  <c r="B359" i="81"/>
  <c r="I357" i="81"/>
  <c r="L355" i="81"/>
  <c r="D354" i="81"/>
  <c r="F352" i="81"/>
  <c r="Q348" i="81"/>
  <c r="C347" i="81"/>
  <c r="M345" i="81"/>
  <c r="H357" i="81"/>
  <c r="J355" i="81"/>
  <c r="N353" i="81"/>
  <c r="E352" i="81"/>
  <c r="P348" i="81"/>
  <c r="B347" i="81"/>
  <c r="G345" i="81"/>
  <c r="O358" i="81"/>
  <c r="G357" i="81"/>
  <c r="I355" i="81"/>
  <c r="M353" i="81"/>
  <c r="D352" i="81"/>
  <c r="F350" i="81"/>
  <c r="O348" i="81"/>
  <c r="Q346" i="81"/>
  <c r="F345" i="81"/>
  <c r="N358" i="81"/>
  <c r="Q356" i="81"/>
  <c r="H355" i="81"/>
  <c r="L353" i="81"/>
  <c r="C352" i="81"/>
  <c r="E350" i="81"/>
  <c r="H348" i="81"/>
  <c r="P346" i="81"/>
  <c r="E345" i="81"/>
  <c r="B358" i="81"/>
  <c r="F355" i="81"/>
  <c r="M352" i="81"/>
  <c r="Q349" i="81"/>
  <c r="G347" i="81"/>
  <c r="N344" i="81"/>
  <c r="Q357" i="81"/>
  <c r="E355" i="81"/>
  <c r="L352" i="81"/>
  <c r="P349" i="81"/>
  <c r="O346" i="81"/>
  <c r="M344" i="81"/>
  <c r="P357" i="81"/>
  <c r="O354" i="81"/>
  <c r="J352" i="81"/>
  <c r="I349" i="81"/>
  <c r="N346" i="81"/>
  <c r="G344" i="81"/>
  <c r="N357" i="81"/>
  <c r="N354" i="81"/>
  <c r="B352" i="81"/>
  <c r="H349" i="81"/>
  <c r="M346" i="81"/>
  <c r="F344" i="81"/>
  <c r="M357" i="81"/>
  <c r="M354" i="81"/>
  <c r="L351" i="81"/>
  <c r="G349" i="81"/>
  <c r="G346" i="81"/>
  <c r="E344" i="81"/>
  <c r="L359" i="81"/>
  <c r="J356" i="81"/>
  <c r="I353" i="81"/>
  <c r="E351" i="81"/>
  <c r="D348" i="81"/>
  <c r="Q345" i="81"/>
  <c r="J358" i="81"/>
  <c r="G354" i="81"/>
  <c r="B350" i="81"/>
  <c r="C345" i="81"/>
  <c r="H353" i="81"/>
  <c r="E349" i="81"/>
  <c r="B345" i="81"/>
  <c r="G353" i="81"/>
  <c r="D349" i="81"/>
  <c r="Q344" i="81"/>
  <c r="P356" i="81"/>
  <c r="F353" i="81"/>
  <c r="G348" i="81"/>
  <c r="P344" i="81"/>
  <c r="O356" i="81"/>
  <c r="E353" i="81"/>
  <c r="F348" i="81"/>
  <c r="O344" i="81"/>
  <c r="M356" i="81"/>
  <c r="D353" i="81"/>
  <c r="C348" i="81"/>
  <c r="F356" i="81"/>
  <c r="B348" i="81"/>
  <c r="P355" i="81"/>
  <c r="Q347" i="81"/>
  <c r="G355" i="81"/>
  <c r="P347" i="81"/>
  <c r="J354" i="81"/>
  <c r="O347" i="81"/>
  <c r="I354" i="81"/>
  <c r="N347" i="81"/>
  <c r="M359" i="81"/>
  <c r="B346" i="81"/>
  <c r="J351" i="81"/>
  <c r="G351" i="81"/>
  <c r="F338" i="81"/>
  <c r="F351" i="81"/>
  <c r="D351" i="81"/>
  <c r="C351" i="81"/>
  <c r="M358" i="81"/>
  <c r="F346" i="81"/>
  <c r="J359" i="81"/>
  <c r="L358" i="81"/>
  <c r="L356" i="81"/>
  <c r="I356" i="81"/>
  <c r="H356" i="81"/>
  <c r="B351" i="81"/>
  <c r="D350" i="81"/>
  <c r="C350" i="81"/>
  <c r="O359" i="81"/>
  <c r="N359" i="81"/>
  <c r="G356" i="81"/>
  <c r="C353" i="81"/>
  <c r="P345" i="81"/>
  <c r="H354" i="81"/>
  <c r="E346" i="81"/>
  <c r="C346" i="81"/>
  <c r="L185" i="59"/>
  <c r="G302" i="93"/>
  <c r="P318" i="93"/>
  <c r="F302" i="93"/>
  <c r="F398" i="99"/>
  <c r="C35" i="99"/>
  <c r="D398" i="99"/>
  <c r="F258" i="69"/>
  <c r="G258" i="69"/>
  <c r="P274" i="69"/>
  <c r="C314" i="81"/>
  <c r="F620" i="81"/>
  <c r="D620" i="81"/>
  <c r="I7" i="45"/>
  <c r="J7" i="45" s="1"/>
  <c r="K33" i="56"/>
  <c r="I7" i="51"/>
  <c r="K7" i="51" s="1"/>
  <c r="I6" i="55"/>
  <c r="K6" i="55" s="1"/>
  <c r="P275" i="59"/>
  <c r="F259" i="59"/>
  <c r="G259" i="59"/>
  <c r="J46" i="59"/>
  <c r="F45" i="59"/>
  <c r="B44" i="59"/>
  <c r="J42" i="59"/>
  <c r="F41" i="59"/>
  <c r="B40" i="59"/>
  <c r="J38" i="59"/>
  <c r="F37" i="59"/>
  <c r="F30" i="59"/>
  <c r="B47" i="59"/>
  <c r="I45" i="59"/>
  <c r="D44" i="59"/>
  <c r="K42" i="59"/>
  <c r="E41" i="59"/>
  <c r="L39" i="59"/>
  <c r="G38" i="59"/>
  <c r="M46" i="59"/>
  <c r="H45" i="59"/>
  <c r="C44" i="59"/>
  <c r="I42" i="59"/>
  <c r="D41" i="59"/>
  <c r="K39" i="59"/>
  <c r="F38" i="59"/>
  <c r="M36" i="59"/>
  <c r="L46" i="59"/>
  <c r="G45" i="59"/>
  <c r="M43" i="59"/>
  <c r="H42" i="59"/>
  <c r="C41" i="59"/>
  <c r="J39" i="59"/>
  <c r="L36" i="59"/>
  <c r="K46" i="59"/>
  <c r="E45" i="59"/>
  <c r="L43" i="59"/>
  <c r="G42" i="59"/>
  <c r="B41" i="59"/>
  <c r="I39" i="59"/>
  <c r="K36" i="59"/>
  <c r="I46" i="59"/>
  <c r="D45" i="59"/>
  <c r="K43" i="59"/>
  <c r="F42" i="59"/>
  <c r="M40" i="59"/>
  <c r="H39" i="59"/>
  <c r="J36" i="59"/>
  <c r="J47" i="59"/>
  <c r="E46" i="59"/>
  <c r="L44" i="59"/>
  <c r="G43" i="59"/>
  <c r="B42" i="59"/>
  <c r="I40" i="59"/>
  <c r="K37" i="59"/>
  <c r="F36" i="59"/>
  <c r="B46" i="59"/>
  <c r="I43" i="59"/>
  <c r="I41" i="59"/>
  <c r="M47" i="59"/>
  <c r="M45" i="59"/>
  <c r="H43" i="59"/>
  <c r="H41" i="59"/>
  <c r="I36" i="59"/>
  <c r="L47" i="59"/>
  <c r="L45" i="59"/>
  <c r="F43" i="59"/>
  <c r="G41" i="59"/>
  <c r="M38" i="59"/>
  <c r="H36" i="59"/>
  <c r="K47" i="59"/>
  <c r="K45" i="59"/>
  <c r="E43" i="59"/>
  <c r="L40" i="59"/>
  <c r="L38" i="59"/>
  <c r="G36" i="59"/>
  <c r="I47" i="59"/>
  <c r="J45" i="59"/>
  <c r="D43" i="59"/>
  <c r="K40" i="59"/>
  <c r="K38" i="59"/>
  <c r="F47" i="59"/>
  <c r="G44" i="59"/>
  <c r="H40" i="59"/>
  <c r="I37" i="59"/>
  <c r="E47" i="59"/>
  <c r="F44" i="59"/>
  <c r="G40" i="59"/>
  <c r="H37" i="59"/>
  <c r="D47" i="59"/>
  <c r="E44" i="59"/>
  <c r="F40" i="59"/>
  <c r="G37" i="59"/>
  <c r="C47" i="59"/>
  <c r="J43" i="59"/>
  <c r="E40" i="59"/>
  <c r="H46" i="59"/>
  <c r="C43" i="59"/>
  <c r="D40" i="59"/>
  <c r="F46" i="59"/>
  <c r="M42" i="59"/>
  <c r="M39" i="59"/>
  <c r="J44" i="59"/>
  <c r="I44" i="59"/>
  <c r="I38" i="59"/>
  <c r="H44" i="59"/>
  <c r="H38" i="59"/>
  <c r="B43" i="59"/>
  <c r="L42" i="59"/>
  <c r="M37" i="59"/>
  <c r="E42" i="59"/>
  <c r="L37" i="59"/>
  <c r="G46" i="59"/>
  <c r="L41" i="59"/>
  <c r="C40" i="59"/>
  <c r="G39" i="59"/>
  <c r="H47" i="59"/>
  <c r="F39" i="59"/>
  <c r="G47" i="59"/>
  <c r="J37" i="59"/>
  <c r="D46" i="59"/>
  <c r="C45" i="59"/>
  <c r="M44" i="59"/>
  <c r="C46" i="59"/>
  <c r="B45" i="59"/>
  <c r="C42" i="59"/>
  <c r="M41" i="59"/>
  <c r="J40" i="59"/>
  <c r="J41" i="59"/>
  <c r="K44" i="59"/>
  <c r="D42" i="59"/>
  <c r="K41" i="59"/>
  <c r="N206" i="51"/>
  <c r="G192" i="51"/>
  <c r="F192" i="51"/>
  <c r="C241" i="77"/>
  <c r="B241" i="77"/>
  <c r="E510" i="77"/>
  <c r="C510" i="77"/>
  <c r="M33" i="38"/>
  <c r="L33" i="38"/>
  <c r="F185" i="41"/>
  <c r="G185" i="41"/>
  <c r="L144" i="55"/>
  <c r="E141" i="55"/>
  <c r="C143" i="55"/>
  <c r="C150" i="55"/>
  <c r="F74" i="65"/>
  <c r="J86" i="65"/>
  <c r="B81" i="65"/>
  <c r="G86" i="65"/>
  <c r="L79" i="65"/>
  <c r="I83" i="65"/>
  <c r="H83" i="65"/>
  <c r="G83" i="65"/>
  <c r="F82" i="65"/>
  <c r="E82" i="65"/>
  <c r="B88" i="65"/>
  <c r="F88" i="65"/>
  <c r="D88" i="65"/>
  <c r="L87" i="65"/>
  <c r="E86" i="65"/>
  <c r="E84" i="65"/>
  <c r="K83" i="65"/>
  <c r="J83" i="65"/>
  <c r="M89" i="65"/>
  <c r="D79" i="65"/>
  <c r="E79" i="65"/>
  <c r="F79" i="65"/>
  <c r="E83" i="65"/>
  <c r="C83" i="65"/>
  <c r="M82" i="65"/>
  <c r="F83" i="65"/>
  <c r="C87" i="65"/>
  <c r="E89" i="65"/>
  <c r="E81" i="65"/>
  <c r="L81" i="65"/>
  <c r="J81" i="65"/>
  <c r="H81" i="65"/>
  <c r="L80" i="65"/>
  <c r="D86" i="65"/>
  <c r="M87" i="65"/>
  <c r="G80" i="65"/>
  <c r="E80" i="65"/>
  <c r="B80" i="65"/>
  <c r="G78" i="65"/>
  <c r="I82" i="65"/>
  <c r="D82" i="65"/>
  <c r="L83" i="65"/>
  <c r="G79" i="65"/>
  <c r="G89" i="65"/>
  <c r="L78" i="65"/>
  <c r="K89" i="65"/>
  <c r="I80" i="65"/>
  <c r="M79" i="65"/>
  <c r="K79" i="65"/>
  <c r="K86" i="65"/>
  <c r="G87" i="65"/>
  <c r="G228" i="65" s="1"/>
  <c r="H273" i="65" s="1"/>
  <c r="E87" i="65"/>
  <c r="E88" i="65"/>
  <c r="D85" i="65"/>
  <c r="F89" i="65"/>
  <c r="J85" i="65"/>
  <c r="G81" i="65"/>
  <c r="K81" i="65"/>
  <c r="I81" i="65"/>
  <c r="H82" i="65"/>
  <c r="I89" i="65"/>
  <c r="H80" i="65"/>
  <c r="I86" i="65"/>
  <c r="J93" i="7"/>
  <c r="F83" i="7"/>
  <c r="G83" i="7"/>
  <c r="C151" i="21"/>
  <c r="J152" i="21"/>
  <c r="I152" i="21"/>
  <c r="A160" i="21" s="1"/>
  <c r="A168" i="21" s="1"/>
  <c r="E322" i="45"/>
  <c r="C322" i="45"/>
  <c r="M32" i="50"/>
  <c r="L32" i="50"/>
  <c r="E154" i="43"/>
  <c r="C151" i="43"/>
  <c r="G149" i="43"/>
  <c r="K147" i="43"/>
  <c r="E146" i="43"/>
  <c r="C153" i="43"/>
  <c r="F151" i="43"/>
  <c r="I149" i="43"/>
  <c r="B148" i="43"/>
  <c r="D146" i="43"/>
  <c r="D151" i="43"/>
  <c r="F149" i="43"/>
  <c r="I147" i="43"/>
  <c r="B146" i="43"/>
  <c r="G154" i="43"/>
  <c r="B151" i="43"/>
  <c r="E149" i="43"/>
  <c r="H147" i="43"/>
  <c r="F154" i="43"/>
  <c r="K150" i="43"/>
  <c r="D149" i="43"/>
  <c r="G147" i="43"/>
  <c r="E155" i="43"/>
  <c r="D153" i="43"/>
  <c r="H150" i="43"/>
  <c r="G148" i="43"/>
  <c r="F146" i="43"/>
  <c r="D155" i="43"/>
  <c r="B153" i="43"/>
  <c r="G150" i="43"/>
  <c r="F148" i="43"/>
  <c r="C146" i="43"/>
  <c r="C155" i="43"/>
  <c r="G152" i="43"/>
  <c r="F150" i="43"/>
  <c r="E148" i="43"/>
  <c r="B155" i="43"/>
  <c r="F152" i="43"/>
  <c r="E150" i="43"/>
  <c r="D148" i="43"/>
  <c r="E152" i="43"/>
  <c r="D150" i="43"/>
  <c r="C148" i="43"/>
  <c r="J151" i="43"/>
  <c r="H149" i="43"/>
  <c r="C147" i="43"/>
  <c r="C152" i="43"/>
  <c r="J148" i="43"/>
  <c r="B152" i="43"/>
  <c r="I148" i="43"/>
  <c r="G155" i="43"/>
  <c r="I151" i="43"/>
  <c r="J147" i="43"/>
  <c r="F155" i="43"/>
  <c r="H151" i="43"/>
  <c r="F147" i="43"/>
  <c r="F140" i="43"/>
  <c r="D154" i="43"/>
  <c r="E151" i="43"/>
  <c r="D147" i="43"/>
  <c r="B149" i="43"/>
  <c r="K148" i="43"/>
  <c r="H148" i="43"/>
  <c r="G153" i="43"/>
  <c r="E147" i="43"/>
  <c r="F153" i="43"/>
  <c r="B147" i="43"/>
  <c r="E153" i="43"/>
  <c r="K146" i="43"/>
  <c r="J150" i="43"/>
  <c r="G146" i="43"/>
  <c r="I150" i="43"/>
  <c r="B154" i="43"/>
  <c r="D152" i="43"/>
  <c r="K151" i="43"/>
  <c r="G151" i="43"/>
  <c r="K149" i="43"/>
  <c r="C150" i="43"/>
  <c r="B150" i="43"/>
  <c r="C149" i="43"/>
  <c r="J146" i="43"/>
  <c r="I146" i="43"/>
  <c r="H146" i="43"/>
  <c r="C154" i="43"/>
  <c r="J149" i="43"/>
  <c r="G151" i="85"/>
  <c r="F151" i="85"/>
  <c r="H152" i="111"/>
  <c r="D151" i="111"/>
  <c r="L149" i="111"/>
  <c r="H148" i="111"/>
  <c r="D147" i="111"/>
  <c r="L145" i="111"/>
  <c r="H144" i="111"/>
  <c r="L141" i="111"/>
  <c r="G152" i="111"/>
  <c r="C151" i="111"/>
  <c r="G148" i="111"/>
  <c r="C147" i="111"/>
  <c r="K145" i="111"/>
  <c r="G144" i="111"/>
  <c r="C143" i="111"/>
  <c r="K141" i="111"/>
  <c r="E152" i="111"/>
  <c r="M150" i="111"/>
  <c r="I149" i="111"/>
  <c r="E148" i="111"/>
  <c r="M146" i="111"/>
  <c r="I145" i="111"/>
  <c r="M142" i="111"/>
  <c r="I141" i="111"/>
  <c r="J152" i="111"/>
  <c r="L150" i="111"/>
  <c r="J147" i="111"/>
  <c r="C146" i="111"/>
  <c r="F144" i="111"/>
  <c r="J142" i="111"/>
  <c r="C141" i="111"/>
  <c r="M152" i="111"/>
  <c r="E151" i="111"/>
  <c r="F149" i="111"/>
  <c r="I147" i="111"/>
  <c r="M145" i="111"/>
  <c r="B144" i="111"/>
  <c r="F142" i="111"/>
  <c r="H151" i="111"/>
  <c r="H149" i="111"/>
  <c r="K147" i="111"/>
  <c r="J145" i="111"/>
  <c r="L143" i="111"/>
  <c r="C142" i="111"/>
  <c r="G151" i="111"/>
  <c r="G149" i="111"/>
  <c r="H147" i="111"/>
  <c r="H145" i="111"/>
  <c r="B142" i="111"/>
  <c r="F151" i="111"/>
  <c r="G147" i="111"/>
  <c r="G145" i="111"/>
  <c r="M141" i="111"/>
  <c r="B151" i="111"/>
  <c r="C149" i="111"/>
  <c r="F147" i="111"/>
  <c r="F145" i="111"/>
  <c r="I143" i="111"/>
  <c r="J141" i="111"/>
  <c r="L152" i="111"/>
  <c r="B149" i="111"/>
  <c r="E147" i="111"/>
  <c r="E145" i="111"/>
  <c r="H143" i="111"/>
  <c r="H141" i="111"/>
  <c r="C152" i="111"/>
  <c r="F150" i="111"/>
  <c r="I148" i="111"/>
  <c r="I146" i="111"/>
  <c r="L144" i="111"/>
  <c r="L142" i="111"/>
  <c r="B141" i="111"/>
  <c r="D152" i="111"/>
  <c r="G146" i="111"/>
  <c r="F143" i="111"/>
  <c r="B152" i="111"/>
  <c r="M148" i="111"/>
  <c r="F146" i="111"/>
  <c r="M151" i="111"/>
  <c r="L148" i="111"/>
  <c r="E146" i="111"/>
  <c r="B143" i="111"/>
  <c r="L151" i="111"/>
  <c r="K148" i="111"/>
  <c r="D146" i="111"/>
  <c r="K142" i="111"/>
  <c r="F135" i="111"/>
  <c r="I150" i="111"/>
  <c r="B148" i="111"/>
  <c r="M144" i="111"/>
  <c r="D142" i="111"/>
  <c r="F152" i="111"/>
  <c r="M149" i="111"/>
  <c r="H146" i="111"/>
  <c r="G143" i="111"/>
  <c r="C145" i="111"/>
  <c r="B145" i="111"/>
  <c r="C150" i="111"/>
  <c r="F148" i="111"/>
  <c r="J148" i="111"/>
  <c r="H142" i="111"/>
  <c r="D148" i="111"/>
  <c r="G142" i="111"/>
  <c r="C148" i="111"/>
  <c r="E142" i="111"/>
  <c r="M147" i="111"/>
  <c r="G141" i="111"/>
  <c r="L147" i="111"/>
  <c r="F141" i="111"/>
  <c r="B147" i="111"/>
  <c r="E141" i="111"/>
  <c r="I152" i="111"/>
  <c r="M143" i="111"/>
  <c r="K151" i="111"/>
  <c r="I142" i="111"/>
  <c r="J151" i="111"/>
  <c r="D141" i="111"/>
  <c r="I151" i="111"/>
  <c r="L146" i="111"/>
  <c r="I144" i="111"/>
  <c r="C144" i="111"/>
  <c r="H150" i="111"/>
  <c r="B146" i="111"/>
  <c r="B150" i="111"/>
  <c r="K146" i="111"/>
  <c r="J146" i="111"/>
  <c r="D145" i="111"/>
  <c r="K152" i="111"/>
  <c r="G150" i="111"/>
  <c r="K95" i="89"/>
  <c r="M30" i="102"/>
  <c r="L30" i="102"/>
  <c r="F411" i="81"/>
  <c r="F32" i="69"/>
  <c r="B43" i="69"/>
  <c r="I40" i="69"/>
  <c r="M38" i="69"/>
  <c r="L46" i="69"/>
  <c r="K37" i="69"/>
  <c r="L45" i="69"/>
  <c r="M36" i="69"/>
  <c r="F37" i="69"/>
  <c r="E45" i="69"/>
  <c r="D40" i="69"/>
  <c r="F47" i="69"/>
  <c r="M37" i="69"/>
  <c r="B47" i="69"/>
  <c r="J43" i="69"/>
  <c r="M42" i="69"/>
  <c r="B46" i="69"/>
  <c r="I36" i="69"/>
  <c r="G45" i="69"/>
  <c r="L41" i="69"/>
  <c r="B41" i="69"/>
  <c r="F43" i="69"/>
  <c r="I45" i="69"/>
  <c r="D42" i="69"/>
  <c r="J38" i="69"/>
  <c r="D41" i="69"/>
  <c r="I42" i="69"/>
  <c r="I47" i="69"/>
  <c r="M46" i="69"/>
  <c r="C43" i="69"/>
  <c r="D46" i="69"/>
  <c r="I10" i="79"/>
  <c r="K10" i="79" s="1"/>
  <c r="C47" i="69"/>
  <c r="I39" i="69"/>
  <c r="D103" i="109"/>
  <c r="D101" i="109"/>
  <c r="D99" i="109"/>
  <c r="D97" i="109"/>
  <c r="E101" i="109"/>
  <c r="C99" i="109"/>
  <c r="B97" i="109"/>
  <c r="E103" i="109"/>
  <c r="C101" i="109"/>
  <c r="B99" i="109"/>
  <c r="I96" i="109"/>
  <c r="C103" i="109"/>
  <c r="B101" i="109"/>
  <c r="I98" i="109"/>
  <c r="H96" i="109"/>
  <c r="B103" i="109"/>
  <c r="H98" i="109"/>
  <c r="G96" i="109"/>
  <c r="G98" i="109"/>
  <c r="F96" i="109"/>
  <c r="D102" i="109"/>
  <c r="C100" i="109"/>
  <c r="B98" i="109"/>
  <c r="I97" i="109"/>
  <c r="H97" i="109"/>
  <c r="G97" i="109"/>
  <c r="F90" i="109"/>
  <c r="F97" i="109"/>
  <c r="H99" i="109"/>
  <c r="C96" i="109"/>
  <c r="B96" i="109"/>
  <c r="E100" i="109"/>
  <c r="D100" i="109"/>
  <c r="G99" i="109"/>
  <c r="C97" i="109"/>
  <c r="E96" i="109"/>
  <c r="D96" i="109"/>
  <c r="E102" i="109"/>
  <c r="C102" i="109"/>
  <c r="B102" i="109"/>
  <c r="B100" i="109"/>
  <c r="F98" i="109"/>
  <c r="E99" i="109"/>
  <c r="E98" i="109"/>
  <c r="D98" i="109"/>
  <c r="C98" i="109"/>
  <c r="E97" i="109"/>
  <c r="I99" i="109"/>
  <c r="F99" i="109"/>
  <c r="M40" i="76"/>
  <c r="L40" i="76"/>
  <c r="D65" i="59"/>
  <c r="J147" i="59"/>
  <c r="C104" i="69"/>
  <c r="M106" i="69"/>
  <c r="J100" i="63"/>
  <c r="G144" i="59"/>
  <c r="K42" i="73"/>
  <c r="L44" i="73"/>
  <c r="E47" i="73"/>
  <c r="G40" i="73"/>
  <c r="I11" i="53"/>
  <c r="J11" i="53" s="1"/>
  <c r="M40" i="74"/>
  <c r="L40" i="74"/>
  <c r="E183" i="71"/>
  <c r="K187" i="71"/>
  <c r="L186" i="71"/>
  <c r="K185" i="71"/>
  <c r="J9" i="73"/>
  <c r="E428" i="73"/>
  <c r="K9" i="73"/>
  <c r="N9" i="73"/>
  <c r="A376" i="73" s="1"/>
  <c r="M105" i="71"/>
  <c r="J102" i="71"/>
  <c r="C110" i="71"/>
  <c r="I102" i="71"/>
  <c r="M109" i="71"/>
  <c r="C102" i="71"/>
  <c r="F109" i="71"/>
  <c r="B102" i="71"/>
  <c r="D109" i="71"/>
  <c r="M101" i="71"/>
  <c r="C109" i="71"/>
  <c r="F99" i="71"/>
  <c r="I108" i="71"/>
  <c r="E99" i="71"/>
  <c r="G107" i="71"/>
  <c r="F95" i="71"/>
  <c r="E107" i="71"/>
  <c r="F107" i="71"/>
  <c r="G103" i="71"/>
  <c r="D105" i="71"/>
  <c r="C105" i="71"/>
  <c r="I103" i="71"/>
  <c r="E103" i="71"/>
  <c r="E109" i="71"/>
  <c r="E105" i="71"/>
  <c r="K109" i="71"/>
  <c r="F100" i="71"/>
  <c r="H105" i="71"/>
  <c r="L104" i="71"/>
  <c r="G106" i="71"/>
  <c r="M107" i="71"/>
  <c r="B110" i="71"/>
  <c r="E110" i="71"/>
  <c r="G108" i="71"/>
  <c r="D104" i="71"/>
  <c r="H102" i="71"/>
  <c r="I104" i="71"/>
  <c r="B105" i="71"/>
  <c r="E106" i="71"/>
  <c r="F105" i="71"/>
  <c r="L102" i="71"/>
  <c r="E102" i="71"/>
  <c r="D101" i="71"/>
  <c r="F103" i="71"/>
  <c r="K105" i="71"/>
  <c r="M110" i="71"/>
  <c r="H101" i="71"/>
  <c r="M108" i="71"/>
  <c r="M99" i="71"/>
  <c r="I99" i="71"/>
  <c r="C103" i="71"/>
  <c r="E108" i="71"/>
  <c r="K110" i="71"/>
  <c r="K104" i="71"/>
  <c r="C101" i="71"/>
  <c r="C106" i="71"/>
  <c r="D107" i="71"/>
  <c r="J109" i="71"/>
  <c r="M102" i="71"/>
  <c r="G105" i="71"/>
  <c r="L108" i="71"/>
  <c r="L99" i="71"/>
  <c r="I107" i="71"/>
  <c r="C89" i="65"/>
  <c r="J80" i="65"/>
  <c r="L86" i="65"/>
  <c r="M78" i="65"/>
  <c r="M36" i="68"/>
  <c r="L36" i="68"/>
  <c r="M29" i="50"/>
  <c r="L29" i="50"/>
  <c r="G116" i="51"/>
  <c r="G135" i="47"/>
  <c r="K133" i="47"/>
  <c r="E132" i="47"/>
  <c r="C129" i="47"/>
  <c r="G127" i="47"/>
  <c r="K136" i="47"/>
  <c r="D135" i="47"/>
  <c r="G133" i="47"/>
  <c r="J131" i="47"/>
  <c r="C130" i="47"/>
  <c r="F128" i="47"/>
  <c r="I136" i="47"/>
  <c r="B135" i="47"/>
  <c r="H131" i="47"/>
  <c r="K129" i="47"/>
  <c r="D128" i="47"/>
  <c r="H136" i="47"/>
  <c r="K134" i="47"/>
  <c r="G131" i="47"/>
  <c r="J129" i="47"/>
  <c r="C128" i="47"/>
  <c r="G136" i="47"/>
  <c r="J134" i="47"/>
  <c r="C133" i="47"/>
  <c r="F131" i="47"/>
  <c r="B128" i="47"/>
  <c r="E136" i="47"/>
  <c r="B132" i="47"/>
  <c r="G129" i="47"/>
  <c r="E127" i="47"/>
  <c r="D136" i="47"/>
  <c r="C134" i="47"/>
  <c r="K131" i="47"/>
  <c r="F129" i="47"/>
  <c r="D127" i="47"/>
  <c r="C136" i="47"/>
  <c r="B134" i="47"/>
  <c r="I131" i="47"/>
  <c r="C127" i="47"/>
  <c r="B136" i="47"/>
  <c r="J133" i="47"/>
  <c r="E131" i="47"/>
  <c r="B127" i="47"/>
  <c r="K135" i="47"/>
  <c r="D131" i="47"/>
  <c r="B129" i="47"/>
  <c r="E135" i="47"/>
  <c r="J132" i="47"/>
  <c r="G128" i="47"/>
  <c r="B131" i="47"/>
  <c r="I127" i="47"/>
  <c r="K130" i="47"/>
  <c r="H127" i="47"/>
  <c r="F134" i="47"/>
  <c r="G130" i="47"/>
  <c r="F130" i="47"/>
  <c r="F133" i="47"/>
  <c r="D132" i="47"/>
  <c r="J136" i="47"/>
  <c r="C132" i="47"/>
  <c r="F136" i="47"/>
  <c r="C131" i="47"/>
  <c r="J135" i="47"/>
  <c r="J130" i="47"/>
  <c r="I135" i="47"/>
  <c r="F121" i="47"/>
  <c r="H135" i="47"/>
  <c r="B130" i="47"/>
  <c r="I128" i="47"/>
  <c r="B133" i="47"/>
  <c r="H128" i="47"/>
  <c r="J128" i="47"/>
  <c r="K127" i="47"/>
  <c r="E128" i="47"/>
  <c r="J127" i="47"/>
  <c r="C135" i="47"/>
  <c r="F127" i="47"/>
  <c r="F135" i="47"/>
  <c r="G134" i="47"/>
  <c r="K132" i="47"/>
  <c r="I132" i="47"/>
  <c r="H132" i="47"/>
  <c r="K128" i="47"/>
  <c r="G132" i="47"/>
  <c r="F132" i="47"/>
  <c r="L190" i="73"/>
  <c r="H193" i="73"/>
  <c r="C190" i="73"/>
  <c r="K191" i="73"/>
  <c r="D117" i="51"/>
  <c r="F64" i="55"/>
  <c r="L65" i="55"/>
  <c r="M33" i="104"/>
  <c r="L33" i="104"/>
  <c r="H54" i="51"/>
  <c r="I53" i="51"/>
  <c r="J114" i="45"/>
  <c r="D151" i="47"/>
  <c r="E152" i="47"/>
  <c r="H100" i="29"/>
  <c r="M144" i="55"/>
  <c r="K152" i="55"/>
  <c r="F99" i="29"/>
  <c r="E337" i="45"/>
  <c r="N12" i="45"/>
  <c r="A322" i="45" s="1"/>
  <c r="G6" i="39"/>
  <c r="F101" i="29"/>
  <c r="F123" i="45"/>
  <c r="F129" i="45"/>
  <c r="D128" i="45"/>
  <c r="B129" i="45"/>
  <c r="B127" i="45"/>
  <c r="F132" i="45"/>
  <c r="F131" i="45"/>
  <c r="E132" i="45"/>
  <c r="K131" i="45"/>
  <c r="H131" i="45"/>
  <c r="B134" i="45"/>
  <c r="G129" i="45"/>
  <c r="G132" i="45"/>
  <c r="D135" i="45"/>
  <c r="J127" i="45"/>
  <c r="J130" i="45"/>
  <c r="C133" i="45"/>
  <c r="D130" i="45"/>
  <c r="D136" i="45"/>
  <c r="C129" i="45"/>
  <c r="G130" i="45"/>
  <c r="B130" i="45"/>
  <c r="G136" i="45"/>
  <c r="G134" i="45"/>
  <c r="F127" i="45"/>
  <c r="F128" i="45"/>
  <c r="I132" i="45"/>
  <c r="G135" i="45"/>
  <c r="C135" i="45"/>
  <c r="B131" i="45"/>
  <c r="F133" i="45"/>
  <c r="K132" i="45"/>
  <c r="K128" i="45"/>
  <c r="J132" i="45"/>
  <c r="C136" i="45"/>
  <c r="F135" i="45"/>
  <c r="J128" i="45"/>
  <c r="J129" i="45"/>
  <c r="E130" i="45"/>
  <c r="D131" i="45"/>
  <c r="E134" i="45"/>
  <c r="E133" i="45"/>
  <c r="C134" i="45"/>
  <c r="C132" i="45"/>
  <c r="I129" i="45"/>
  <c r="C130" i="45"/>
  <c r="E131" i="45"/>
  <c r="D134" i="45"/>
  <c r="G128" i="45"/>
  <c r="B135" i="45"/>
  <c r="K170" i="3"/>
  <c r="G169" i="3"/>
  <c r="C168" i="3"/>
  <c r="K166" i="3"/>
  <c r="G165" i="3"/>
  <c r="C164" i="3"/>
  <c r="K162" i="3"/>
  <c r="G161" i="3"/>
  <c r="C160" i="3"/>
  <c r="F170" i="3"/>
  <c r="J170" i="3"/>
  <c r="F169" i="3"/>
  <c r="B168" i="3"/>
  <c r="J166" i="3"/>
  <c r="F165" i="3"/>
  <c r="B164" i="3"/>
  <c r="J162" i="3"/>
  <c r="F161" i="3"/>
  <c r="B160" i="3"/>
  <c r="B165" i="3"/>
  <c r="M171" i="3"/>
  <c r="I170" i="3"/>
  <c r="E169" i="3"/>
  <c r="M167" i="3"/>
  <c r="I166" i="3"/>
  <c r="E165" i="3"/>
  <c r="M163" i="3"/>
  <c r="I162" i="3"/>
  <c r="E161" i="3"/>
  <c r="J171" i="3"/>
  <c r="J167" i="3"/>
  <c r="J163" i="3"/>
  <c r="L171" i="3"/>
  <c r="H170" i="3"/>
  <c r="D169" i="3"/>
  <c r="L167" i="3"/>
  <c r="H166" i="3"/>
  <c r="D165" i="3"/>
  <c r="L163" i="3"/>
  <c r="H162" i="3"/>
  <c r="D161" i="3"/>
  <c r="B169" i="3"/>
  <c r="F162" i="3"/>
  <c r="K171" i="3"/>
  <c r="G170" i="3"/>
  <c r="C169" i="3"/>
  <c r="K167" i="3"/>
  <c r="G166" i="3"/>
  <c r="C165" i="3"/>
  <c r="K163" i="3"/>
  <c r="G162" i="3"/>
  <c r="C161" i="3"/>
  <c r="B161" i="3"/>
  <c r="F166" i="3"/>
  <c r="F171" i="3"/>
  <c r="B170" i="3"/>
  <c r="J168" i="3"/>
  <c r="F167" i="3"/>
  <c r="B166" i="3"/>
  <c r="J164" i="3"/>
  <c r="F163" i="3"/>
  <c r="B162" i="3"/>
  <c r="J160" i="3"/>
  <c r="L170" i="3"/>
  <c r="F168" i="3"/>
  <c r="L165" i="3"/>
  <c r="G163" i="3"/>
  <c r="M160" i="3"/>
  <c r="D170" i="3"/>
  <c r="D163" i="3"/>
  <c r="E170" i="3"/>
  <c r="E168" i="3"/>
  <c r="K165" i="3"/>
  <c r="E163" i="3"/>
  <c r="L160" i="3"/>
  <c r="D168" i="3"/>
  <c r="J165" i="3"/>
  <c r="K160" i="3"/>
  <c r="K169" i="3"/>
  <c r="L164" i="3"/>
  <c r="F160" i="3"/>
  <c r="C170" i="3"/>
  <c r="I167" i="3"/>
  <c r="I165" i="3"/>
  <c r="C163" i="3"/>
  <c r="I160" i="3"/>
  <c r="M164" i="3"/>
  <c r="G160" i="3"/>
  <c r="E167" i="3"/>
  <c r="L162" i="3"/>
  <c r="M169" i="3"/>
  <c r="H167" i="3"/>
  <c r="H165" i="3"/>
  <c r="B163" i="3"/>
  <c r="H160" i="3"/>
  <c r="L169" i="3"/>
  <c r="G167" i="3"/>
  <c r="M162" i="3"/>
  <c r="H171" i="3"/>
  <c r="H169" i="3"/>
  <c r="B167" i="3"/>
  <c r="H164" i="3"/>
  <c r="C162" i="3"/>
  <c r="G171" i="3"/>
  <c r="M168" i="3"/>
  <c r="M166" i="3"/>
  <c r="G164" i="3"/>
  <c r="M161" i="3"/>
  <c r="E171" i="3"/>
  <c r="L168" i="3"/>
  <c r="L166" i="3"/>
  <c r="F164" i="3"/>
  <c r="L161" i="3"/>
  <c r="I168" i="3"/>
  <c r="D162" i="3"/>
  <c r="H168" i="3"/>
  <c r="K161" i="3"/>
  <c r="D167" i="3"/>
  <c r="I161" i="3"/>
  <c r="C167" i="3"/>
  <c r="H161" i="3"/>
  <c r="E166" i="3"/>
  <c r="E160" i="3"/>
  <c r="E164" i="3"/>
  <c r="D164" i="3"/>
  <c r="C166" i="3"/>
  <c r="I171" i="3"/>
  <c r="I163" i="3"/>
  <c r="H163" i="3"/>
  <c r="D171" i="3"/>
  <c r="C171" i="3"/>
  <c r="E162" i="3"/>
  <c r="B171" i="3"/>
  <c r="J161" i="3"/>
  <c r="G168" i="3"/>
  <c r="D166" i="3"/>
  <c r="M170" i="3"/>
  <c r="D160" i="3"/>
  <c r="J169" i="3"/>
  <c r="M165" i="3"/>
  <c r="K164" i="3"/>
  <c r="I169" i="3"/>
  <c r="K168" i="3"/>
  <c r="I164" i="3"/>
  <c r="I149" i="35"/>
  <c r="I151" i="35"/>
  <c r="F102" i="23"/>
  <c r="I6" i="19"/>
  <c r="M35" i="10"/>
  <c r="L35" i="10"/>
  <c r="A244" i="37"/>
  <c r="A252" i="37" s="1"/>
  <c r="F81" i="13"/>
  <c r="J91" i="13"/>
  <c r="G81" i="13"/>
  <c r="G84" i="13"/>
  <c r="F82" i="13"/>
  <c r="J189" i="59"/>
  <c r="G253" i="111"/>
  <c r="F253" i="111"/>
  <c r="P269" i="111"/>
  <c r="G301" i="99"/>
  <c r="F301" i="99"/>
  <c r="P317" i="99"/>
  <c r="K29" i="98"/>
  <c r="M29" i="108"/>
  <c r="L29" i="108"/>
  <c r="K10" i="95"/>
  <c r="D103" i="87"/>
  <c r="H101" i="87"/>
  <c r="G294" i="99"/>
  <c r="F294" i="99"/>
  <c r="F297" i="99"/>
  <c r="F305" i="99"/>
  <c r="F300" i="99"/>
  <c r="F40" i="105"/>
  <c r="H51" i="105"/>
  <c r="B46" i="105"/>
  <c r="G45" i="105"/>
  <c r="F45" i="105"/>
  <c r="E45" i="105"/>
  <c r="D45" i="105"/>
  <c r="C52" i="105"/>
  <c r="C45" i="105"/>
  <c r="D52" i="105"/>
  <c r="I14" i="93"/>
  <c r="J14" i="93"/>
  <c r="I119" i="91"/>
  <c r="C118" i="91"/>
  <c r="G116" i="91"/>
  <c r="E113" i="91"/>
  <c r="H119" i="91"/>
  <c r="B118" i="91"/>
  <c r="F116" i="91"/>
  <c r="D113" i="91"/>
  <c r="C121" i="91"/>
  <c r="G119" i="91"/>
  <c r="K117" i="91"/>
  <c r="E116" i="91"/>
  <c r="I114" i="91"/>
  <c r="C113" i="91"/>
  <c r="B121" i="91"/>
  <c r="F119" i="91"/>
  <c r="J117" i="91"/>
  <c r="D116" i="91"/>
  <c r="H114" i="91"/>
  <c r="B113" i="91"/>
  <c r="E119" i="91"/>
  <c r="I117" i="91"/>
  <c r="C116" i="91"/>
  <c r="G114" i="91"/>
  <c r="K112" i="91"/>
  <c r="G120" i="91"/>
  <c r="K118" i="91"/>
  <c r="E117" i="91"/>
  <c r="I115" i="91"/>
  <c r="C114" i="91"/>
  <c r="G112" i="91"/>
  <c r="C119" i="91"/>
  <c r="J116" i="91"/>
  <c r="B114" i="91"/>
  <c r="I121" i="91"/>
  <c r="B119" i="91"/>
  <c r="I116" i="91"/>
  <c r="K113" i="91"/>
  <c r="H121" i="91"/>
  <c r="J118" i="91"/>
  <c r="H116" i="91"/>
  <c r="J113" i="91"/>
  <c r="G121" i="91"/>
  <c r="I118" i="91"/>
  <c r="B116" i="91"/>
  <c r="I113" i="91"/>
  <c r="F121" i="91"/>
  <c r="H118" i="91"/>
  <c r="H113" i="91"/>
  <c r="F120" i="91"/>
  <c r="D118" i="91"/>
  <c r="F115" i="91"/>
  <c r="I112" i="91"/>
  <c r="F106" i="91"/>
  <c r="G117" i="91"/>
  <c r="G113" i="91"/>
  <c r="F117" i="91"/>
  <c r="F113" i="91"/>
  <c r="D117" i="91"/>
  <c r="J112" i="91"/>
  <c r="H120" i="91"/>
  <c r="B117" i="91"/>
  <c r="F112" i="91"/>
  <c r="C117" i="91"/>
  <c r="B112" i="91"/>
  <c r="K116" i="91"/>
  <c r="H115" i="91"/>
  <c r="I120" i="91"/>
  <c r="G115" i="91"/>
  <c r="H112" i="91"/>
  <c r="C120" i="91"/>
  <c r="E112" i="91"/>
  <c r="B120" i="91"/>
  <c r="D112" i="91"/>
  <c r="K119" i="91"/>
  <c r="C112" i="91"/>
  <c r="J119" i="91"/>
  <c r="H117" i="91"/>
  <c r="F118" i="91"/>
  <c r="E118" i="91"/>
  <c r="C115" i="91"/>
  <c r="B115" i="91"/>
  <c r="F114" i="91"/>
  <c r="D119" i="91"/>
  <c r="G118" i="91"/>
  <c r="I234" i="83"/>
  <c r="I233" i="83"/>
  <c r="I232" i="83"/>
  <c r="I231" i="83"/>
  <c r="I230" i="83"/>
  <c r="I229" i="83"/>
  <c r="I228" i="83"/>
  <c r="I227" i="83"/>
  <c r="I226" i="83"/>
  <c r="I225" i="83"/>
  <c r="I224" i="83"/>
  <c r="I223" i="83"/>
  <c r="I222" i="83"/>
  <c r="I221" i="83"/>
  <c r="I220" i="83"/>
  <c r="I219" i="83"/>
  <c r="G234" i="83"/>
  <c r="G233" i="83"/>
  <c r="G232" i="83"/>
  <c r="G231" i="83"/>
  <c r="G230" i="83"/>
  <c r="G229" i="83"/>
  <c r="G228" i="83"/>
  <c r="G227" i="83"/>
  <c r="G226" i="83"/>
  <c r="G225" i="83"/>
  <c r="G224" i="83"/>
  <c r="G223" i="83"/>
  <c r="G222" i="83"/>
  <c r="G221" i="83"/>
  <c r="G220" i="83"/>
  <c r="G219" i="83"/>
  <c r="F234" i="83"/>
  <c r="F233" i="83"/>
  <c r="F232" i="83"/>
  <c r="F231" i="83"/>
  <c r="F230" i="83"/>
  <c r="F229" i="83"/>
  <c r="F228" i="83"/>
  <c r="F227" i="83"/>
  <c r="F226" i="83"/>
  <c r="F225" i="83"/>
  <c r="F224" i="83"/>
  <c r="F223" i="83"/>
  <c r="F222" i="83"/>
  <c r="B234" i="83"/>
  <c r="B233" i="83"/>
  <c r="B232" i="83"/>
  <c r="B231" i="83"/>
  <c r="B230" i="83"/>
  <c r="B229" i="83"/>
  <c r="B228" i="83"/>
  <c r="B227" i="83"/>
  <c r="B226" i="83"/>
  <c r="B225" i="83"/>
  <c r="B224" i="83"/>
  <c r="B223" i="83"/>
  <c r="B222" i="83"/>
  <c r="B221" i="83"/>
  <c r="B220" i="83"/>
  <c r="B219" i="83"/>
  <c r="F213" i="83"/>
  <c r="C233" i="83"/>
  <c r="N231" i="83"/>
  <c r="J230" i="83"/>
  <c r="C229" i="83"/>
  <c r="N227" i="83"/>
  <c r="J226" i="83"/>
  <c r="C225" i="83"/>
  <c r="N223" i="83"/>
  <c r="J222" i="83"/>
  <c r="D221" i="83"/>
  <c r="P219" i="83"/>
  <c r="H234" i="83"/>
  <c r="Q232" i="83"/>
  <c r="M231" i="83"/>
  <c r="H230" i="83"/>
  <c r="M227" i="83"/>
  <c r="H226" i="83"/>
  <c r="Q224" i="83"/>
  <c r="M223" i="83"/>
  <c r="H222" i="83"/>
  <c r="C221" i="83"/>
  <c r="O219" i="83"/>
  <c r="E234" i="83"/>
  <c r="P232" i="83"/>
  <c r="L231" i="83"/>
  <c r="E230" i="83"/>
  <c r="L227" i="83"/>
  <c r="E226" i="83"/>
  <c r="P224" i="83"/>
  <c r="L223" i="83"/>
  <c r="E222" i="83"/>
  <c r="Q220" i="83"/>
  <c r="N219" i="83"/>
  <c r="D234" i="83"/>
  <c r="O232" i="83"/>
  <c r="K231" i="83"/>
  <c r="D230" i="83"/>
  <c r="O228" i="83"/>
  <c r="D226" i="83"/>
  <c r="O224" i="83"/>
  <c r="K223" i="83"/>
  <c r="D222" i="83"/>
  <c r="P220" i="83"/>
  <c r="M219" i="83"/>
  <c r="C234" i="83"/>
  <c r="N232" i="83"/>
  <c r="J231" i="83"/>
  <c r="C230" i="83"/>
  <c r="N228" i="83"/>
  <c r="C226" i="83"/>
  <c r="N224" i="83"/>
  <c r="J223" i="83"/>
  <c r="C222" i="83"/>
  <c r="O220" i="83"/>
  <c r="L219" i="83"/>
  <c r="N233" i="83"/>
  <c r="J232" i="83"/>
  <c r="C231" i="83"/>
  <c r="N229" i="83"/>
  <c r="C227" i="83"/>
  <c r="N225" i="83"/>
  <c r="J224" i="83"/>
  <c r="C223" i="83"/>
  <c r="N221" i="83"/>
  <c r="K220" i="83"/>
  <c r="F219" i="83"/>
  <c r="D231" i="83"/>
  <c r="E229" i="83"/>
  <c r="P226" i="83"/>
  <c r="M224" i="83"/>
  <c r="N222" i="83"/>
  <c r="L220" i="83"/>
  <c r="M232" i="83"/>
  <c r="N230" i="83"/>
  <c r="L226" i="83"/>
  <c r="E224" i="83"/>
  <c r="Q221" i="83"/>
  <c r="E220" i="83"/>
  <c r="E233" i="83"/>
  <c r="M230" i="83"/>
  <c r="D228" i="83"/>
  <c r="M225" i="83"/>
  <c r="E223" i="83"/>
  <c r="E221" i="83"/>
  <c r="D233" i="83"/>
  <c r="L230" i="83"/>
  <c r="C228" i="83"/>
  <c r="L225" i="83"/>
  <c r="D223" i="83"/>
  <c r="N220" i="83"/>
  <c r="L232" i="83"/>
  <c r="K230" i="83"/>
  <c r="K225" i="83"/>
  <c r="Q222" i="83"/>
  <c r="M220" i="83"/>
  <c r="Q234" i="83"/>
  <c r="K232" i="83"/>
  <c r="Q229" i="83"/>
  <c r="J225" i="83"/>
  <c r="P222" i="83"/>
  <c r="J220" i="83"/>
  <c r="O234" i="83"/>
  <c r="H232" i="83"/>
  <c r="P229" i="83"/>
  <c r="O227" i="83"/>
  <c r="H225" i="83"/>
  <c r="O222" i="83"/>
  <c r="H220" i="83"/>
  <c r="N234" i="83"/>
  <c r="E232" i="83"/>
  <c r="O229" i="83"/>
  <c r="H227" i="83"/>
  <c r="E225" i="83"/>
  <c r="M222" i="83"/>
  <c r="F220" i="83"/>
  <c r="H231" i="83"/>
  <c r="D227" i="83"/>
  <c r="P223" i="83"/>
  <c r="K219" i="83"/>
  <c r="M234" i="83"/>
  <c r="E231" i="83"/>
  <c r="Q226" i="83"/>
  <c r="O223" i="83"/>
  <c r="J219" i="83"/>
  <c r="L234" i="83"/>
  <c r="Q230" i="83"/>
  <c r="O226" i="83"/>
  <c r="H223" i="83"/>
  <c r="H219" i="83"/>
  <c r="P230" i="83"/>
  <c r="N226" i="83"/>
  <c r="L222" i="83"/>
  <c r="E219" i="83"/>
  <c r="O230" i="83"/>
  <c r="M226" i="83"/>
  <c r="K222" i="83"/>
  <c r="D219" i="83"/>
  <c r="H229" i="83"/>
  <c r="D225" i="83"/>
  <c r="K221" i="83"/>
  <c r="D229" i="83"/>
  <c r="P221" i="83"/>
  <c r="M228" i="83"/>
  <c r="O221" i="83"/>
  <c r="L228" i="83"/>
  <c r="M221" i="83"/>
  <c r="O233" i="83"/>
  <c r="H228" i="83"/>
  <c r="L221" i="83"/>
  <c r="M233" i="83"/>
  <c r="E228" i="83"/>
  <c r="J221" i="83"/>
  <c r="L233" i="83"/>
  <c r="E227" i="83"/>
  <c r="H221" i="83"/>
  <c r="O225" i="83"/>
  <c r="L224" i="83"/>
  <c r="K224" i="83"/>
  <c r="H233" i="83"/>
  <c r="H224" i="83"/>
  <c r="D232" i="83"/>
  <c r="D224" i="83"/>
  <c r="O231" i="83"/>
  <c r="D220" i="83"/>
  <c r="Q223" i="83"/>
  <c r="F221" i="83"/>
  <c r="C220" i="83"/>
  <c r="Q219" i="83"/>
  <c r="C219" i="83"/>
  <c r="M229" i="83"/>
  <c r="P225" i="83"/>
  <c r="C224" i="83"/>
  <c r="C232" i="83"/>
  <c r="Q231" i="83"/>
  <c r="P231" i="83"/>
  <c r="L229" i="83"/>
  <c r="K229" i="83"/>
  <c r="J229" i="83"/>
  <c r="K226" i="83"/>
  <c r="Q225" i="83"/>
  <c r="F324" i="91"/>
  <c r="C50" i="91"/>
  <c r="D324" i="91"/>
  <c r="I8" i="93"/>
  <c r="J8" i="93" s="1"/>
  <c r="F97" i="89"/>
  <c r="I96" i="89"/>
  <c r="I100" i="89"/>
  <c r="D92" i="89"/>
  <c r="F100" i="89"/>
  <c r="D219" i="93"/>
  <c r="L217" i="93"/>
  <c r="H216" i="93"/>
  <c r="L213" i="93"/>
  <c r="H212" i="93"/>
  <c r="L209" i="93"/>
  <c r="H208" i="93"/>
  <c r="J218" i="93"/>
  <c r="E217" i="93"/>
  <c r="L215" i="93"/>
  <c r="G214" i="93"/>
  <c r="B213" i="93"/>
  <c r="K208" i="93"/>
  <c r="I218" i="93"/>
  <c r="D217" i="93"/>
  <c r="K215" i="93"/>
  <c r="F214" i="93"/>
  <c r="M212" i="93"/>
  <c r="C210" i="93"/>
  <c r="J208" i="93"/>
  <c r="M219" i="93"/>
  <c r="H218" i="93"/>
  <c r="C217" i="93"/>
  <c r="J215" i="93"/>
  <c r="L212" i="93"/>
  <c r="G211" i="93"/>
  <c r="B210" i="93"/>
  <c r="I208" i="93"/>
  <c r="L219" i="93"/>
  <c r="G218" i="93"/>
  <c r="B217" i="93"/>
  <c r="K212" i="93"/>
  <c r="F211" i="93"/>
  <c r="M209" i="93"/>
  <c r="G208" i="93"/>
  <c r="K219" i="93"/>
  <c r="F218" i="93"/>
  <c r="M216" i="93"/>
  <c r="C214" i="93"/>
  <c r="J212" i="93"/>
  <c r="K209" i="93"/>
  <c r="F208" i="93"/>
  <c r="G219" i="93"/>
  <c r="B218" i="93"/>
  <c r="I216" i="93"/>
  <c r="C215" i="93"/>
  <c r="J213" i="93"/>
  <c r="E212" i="93"/>
  <c r="L210" i="93"/>
  <c r="G209" i="93"/>
  <c r="B208" i="93"/>
  <c r="I219" i="93"/>
  <c r="H217" i="93"/>
  <c r="B215" i="93"/>
  <c r="C213" i="93"/>
  <c r="D208" i="93"/>
  <c r="H219" i="93"/>
  <c r="G217" i="93"/>
  <c r="M214" i="93"/>
  <c r="I212" i="93"/>
  <c r="C208" i="93"/>
  <c r="F219" i="93"/>
  <c r="F217" i="93"/>
  <c r="L214" i="93"/>
  <c r="G212" i="93"/>
  <c r="G210" i="93"/>
  <c r="E219" i="93"/>
  <c r="L216" i="93"/>
  <c r="K214" i="93"/>
  <c r="F212" i="93"/>
  <c r="F210" i="93"/>
  <c r="C219" i="93"/>
  <c r="K216" i="93"/>
  <c r="J214" i="93"/>
  <c r="D212" i="93"/>
  <c r="K218" i="93"/>
  <c r="E216" i="93"/>
  <c r="M213" i="93"/>
  <c r="L211" i="93"/>
  <c r="F209" i="93"/>
  <c r="K217" i="93"/>
  <c r="K213" i="93"/>
  <c r="J210" i="93"/>
  <c r="F202" i="93"/>
  <c r="J217" i="93"/>
  <c r="I213" i="93"/>
  <c r="J209" i="93"/>
  <c r="I217" i="93"/>
  <c r="H213" i="93"/>
  <c r="I209" i="93"/>
  <c r="J216" i="93"/>
  <c r="G213" i="93"/>
  <c r="H209" i="93"/>
  <c r="G216" i="93"/>
  <c r="F213" i="93"/>
  <c r="E209" i="93"/>
  <c r="E218" i="93"/>
  <c r="C211" i="93"/>
  <c r="C218" i="93"/>
  <c r="M211" i="93"/>
  <c r="M217" i="93"/>
  <c r="K211" i="93"/>
  <c r="F216" i="93"/>
  <c r="J211" i="93"/>
  <c r="D216" i="93"/>
  <c r="B211" i="93"/>
  <c r="C216" i="93"/>
  <c r="M210" i="93"/>
  <c r="B216" i="93"/>
  <c r="K210" i="93"/>
  <c r="B214" i="93"/>
  <c r="E213" i="93"/>
  <c r="D213" i="93"/>
  <c r="B219" i="93"/>
  <c r="B209" i="93"/>
  <c r="M218" i="93"/>
  <c r="L218" i="93"/>
  <c r="D218" i="93"/>
  <c r="M215" i="93"/>
  <c r="G215" i="93"/>
  <c r="F215" i="93"/>
  <c r="C212" i="93"/>
  <c r="B212" i="93"/>
  <c r="J219" i="93"/>
  <c r="D209" i="93"/>
  <c r="C209" i="93"/>
  <c r="M208" i="93"/>
  <c r="L208" i="93"/>
  <c r="E208" i="93"/>
  <c r="C96" i="89"/>
  <c r="F400" i="81"/>
  <c r="G400" i="81"/>
  <c r="F406" i="81"/>
  <c r="G401" i="81"/>
  <c r="C109" i="95"/>
  <c r="E263" i="95"/>
  <c r="C263" i="95"/>
  <c r="B109" i="95"/>
  <c r="K237" i="79"/>
  <c r="I236" i="79"/>
  <c r="G235" i="79"/>
  <c r="E234" i="79"/>
  <c r="C233" i="79"/>
  <c r="O231" i="79"/>
  <c r="M230" i="79"/>
  <c r="K229" i="79"/>
  <c r="I228" i="79"/>
  <c r="G227" i="79"/>
  <c r="E226" i="79"/>
  <c r="C225" i="79"/>
  <c r="J237" i="79"/>
  <c r="H236" i="79"/>
  <c r="F235" i="79"/>
  <c r="D234" i="79"/>
  <c r="B233" i="79"/>
  <c r="N231" i="79"/>
  <c r="L230" i="79"/>
  <c r="J229" i="79"/>
  <c r="H228" i="79"/>
  <c r="F227" i="79"/>
  <c r="D226" i="79"/>
  <c r="B225" i="79"/>
  <c r="I237" i="79"/>
  <c r="G236" i="79"/>
  <c r="E235" i="79"/>
  <c r="C234" i="79"/>
  <c r="O232" i="79"/>
  <c r="M231" i="79"/>
  <c r="K230" i="79"/>
  <c r="I229" i="79"/>
  <c r="G228" i="79"/>
  <c r="E227" i="79"/>
  <c r="C226" i="79"/>
  <c r="O224" i="79"/>
  <c r="H237" i="79"/>
  <c r="F236" i="79"/>
  <c r="D235" i="79"/>
  <c r="B234" i="79"/>
  <c r="N232" i="79"/>
  <c r="L231" i="79"/>
  <c r="J230" i="79"/>
  <c r="H229" i="79"/>
  <c r="F228" i="79"/>
  <c r="D227" i="79"/>
  <c r="B226" i="79"/>
  <c r="N224" i="79"/>
  <c r="G237" i="79"/>
  <c r="E236" i="79"/>
  <c r="C235" i="79"/>
  <c r="O233" i="79"/>
  <c r="M232" i="79"/>
  <c r="K231" i="79"/>
  <c r="I230" i="79"/>
  <c r="G229" i="79"/>
  <c r="E228" i="79"/>
  <c r="C227" i="79"/>
  <c r="O225" i="79"/>
  <c r="M224" i="79"/>
  <c r="C237" i="79"/>
  <c r="K233" i="79"/>
  <c r="I232" i="79"/>
  <c r="G231" i="79"/>
  <c r="E230" i="79"/>
  <c r="C229" i="79"/>
  <c r="O227" i="79"/>
  <c r="M226" i="79"/>
  <c r="K225" i="79"/>
  <c r="I224" i="79"/>
  <c r="F233" i="79"/>
  <c r="F231" i="79"/>
  <c r="L229" i="79"/>
  <c r="L227" i="79"/>
  <c r="M225" i="79"/>
  <c r="D224" i="79"/>
  <c r="E233" i="79"/>
  <c r="E231" i="79"/>
  <c r="F229" i="79"/>
  <c r="K227" i="79"/>
  <c r="L225" i="79"/>
  <c r="C224" i="79"/>
  <c r="D233" i="79"/>
  <c r="D231" i="79"/>
  <c r="E229" i="79"/>
  <c r="J227" i="79"/>
  <c r="J225" i="79"/>
  <c r="B224" i="79"/>
  <c r="K236" i="79"/>
  <c r="K234" i="79"/>
  <c r="L232" i="79"/>
  <c r="C231" i="79"/>
  <c r="D229" i="79"/>
  <c r="I227" i="79"/>
  <c r="I225" i="79"/>
  <c r="J236" i="79"/>
  <c r="J234" i="79"/>
  <c r="K232" i="79"/>
  <c r="B231" i="79"/>
  <c r="B229" i="79"/>
  <c r="H227" i="79"/>
  <c r="H225" i="79"/>
  <c r="D236" i="79"/>
  <c r="I234" i="79"/>
  <c r="J232" i="79"/>
  <c r="O230" i="79"/>
  <c r="O228" i="79"/>
  <c r="B227" i="79"/>
  <c r="G225" i="79"/>
  <c r="J235" i="79"/>
  <c r="F232" i="79"/>
  <c r="N229" i="79"/>
  <c r="J226" i="79"/>
  <c r="H235" i="79"/>
  <c r="D232" i="79"/>
  <c r="N228" i="79"/>
  <c r="H226" i="79"/>
  <c r="L233" i="79"/>
  <c r="H230" i="79"/>
  <c r="B228" i="79"/>
  <c r="L224" i="79"/>
  <c r="D237" i="79"/>
  <c r="I233" i="79"/>
  <c r="B230" i="79"/>
  <c r="G226" i="79"/>
  <c r="F218" i="79"/>
  <c r="B237" i="79"/>
  <c r="H233" i="79"/>
  <c r="O229" i="79"/>
  <c r="F226" i="79"/>
  <c r="C236" i="79"/>
  <c r="G233" i="79"/>
  <c r="M229" i="79"/>
  <c r="N225" i="79"/>
  <c r="B236" i="79"/>
  <c r="H232" i="79"/>
  <c r="M228" i="79"/>
  <c r="F225" i="79"/>
  <c r="G232" i="79"/>
  <c r="L228" i="79"/>
  <c r="E225" i="79"/>
  <c r="E232" i="79"/>
  <c r="K228" i="79"/>
  <c r="D225" i="79"/>
  <c r="N233" i="79"/>
  <c r="N227" i="79"/>
  <c r="M233" i="79"/>
  <c r="M227" i="79"/>
  <c r="J233" i="79"/>
  <c r="O226" i="79"/>
  <c r="C232" i="79"/>
  <c r="N226" i="79"/>
  <c r="B232" i="79"/>
  <c r="L226" i="79"/>
  <c r="E237" i="79"/>
  <c r="N230" i="79"/>
  <c r="J224" i="79"/>
  <c r="K235" i="79"/>
  <c r="K226" i="79"/>
  <c r="I235" i="79"/>
  <c r="I226" i="79"/>
  <c r="B235" i="79"/>
  <c r="K224" i="79"/>
  <c r="H234" i="79"/>
  <c r="H224" i="79"/>
  <c r="G234" i="79"/>
  <c r="G224" i="79"/>
  <c r="H231" i="79"/>
  <c r="D230" i="79"/>
  <c r="C230" i="79"/>
  <c r="J228" i="79"/>
  <c r="D228" i="79"/>
  <c r="C228" i="79"/>
  <c r="F237" i="79"/>
  <c r="F234" i="79"/>
  <c r="J231" i="79"/>
  <c r="G230" i="79"/>
  <c r="F230" i="79"/>
  <c r="E224" i="79"/>
  <c r="I231" i="79"/>
  <c r="F224" i="79"/>
  <c r="D231" i="95"/>
  <c r="F231" i="95"/>
  <c r="I7" i="87"/>
  <c r="I18" i="81"/>
  <c r="J18" i="81" s="1"/>
  <c r="C104" i="85"/>
  <c r="K11" i="69"/>
  <c r="I11" i="79"/>
  <c r="J11" i="79" s="1"/>
  <c r="E40" i="69"/>
  <c r="G37" i="69"/>
  <c r="M40" i="69"/>
  <c r="K63" i="59"/>
  <c r="F150" i="59"/>
  <c r="K10" i="77"/>
  <c r="E101" i="63"/>
  <c r="C108" i="63"/>
  <c r="D105" i="69"/>
  <c r="G99" i="69"/>
  <c r="I109" i="69"/>
  <c r="L142" i="59"/>
  <c r="N7" i="83"/>
  <c r="A540" i="83" s="1"/>
  <c r="E638" i="83"/>
  <c r="J7" i="83"/>
  <c r="H187" i="71"/>
  <c r="G46" i="73"/>
  <c r="K149" i="63"/>
  <c r="M145" i="63"/>
  <c r="D146" i="63"/>
  <c r="E211" i="51"/>
  <c r="D211" i="51"/>
  <c r="L212" i="51"/>
  <c r="C211" i="51"/>
  <c r="L213" i="51"/>
  <c r="L215" i="51"/>
  <c r="K213" i="51"/>
  <c r="A223" i="51" s="1"/>
  <c r="A233" i="51" s="1"/>
  <c r="K215" i="51"/>
  <c r="A225" i="51" s="1"/>
  <c r="A235" i="51" s="1"/>
  <c r="F211" i="51"/>
  <c r="K212" i="51"/>
  <c r="A222" i="51" s="1"/>
  <c r="A232" i="51" s="1"/>
  <c r="K214" i="51"/>
  <c r="A224" i="51" s="1"/>
  <c r="A234" i="51" s="1"/>
  <c r="L214" i="51"/>
  <c r="H186" i="71"/>
  <c r="M191" i="71"/>
  <c r="D188" i="71"/>
  <c r="C187" i="71"/>
  <c r="G38" i="55"/>
  <c r="H45" i="55"/>
  <c r="G44" i="55"/>
  <c r="N207" i="53"/>
  <c r="G193" i="53"/>
  <c r="F193" i="53"/>
  <c r="K67" i="61"/>
  <c r="E57" i="61"/>
  <c r="D68" i="61"/>
  <c r="F67" i="61"/>
  <c r="M68" i="61"/>
  <c r="H115" i="51"/>
  <c r="J110" i="51"/>
  <c r="J114" i="51"/>
  <c r="H110" i="51"/>
  <c r="H114" i="51"/>
  <c r="F110" i="51"/>
  <c r="G114" i="51"/>
  <c r="C110" i="51"/>
  <c r="I113" i="51"/>
  <c r="F109" i="51"/>
  <c r="H112" i="51"/>
  <c r="G112" i="51"/>
  <c r="F112" i="51"/>
  <c r="I117" i="51"/>
  <c r="D112" i="51"/>
  <c r="H117" i="51"/>
  <c r="C112" i="51"/>
  <c r="G117" i="51"/>
  <c r="B112" i="51"/>
  <c r="K115" i="51"/>
  <c r="D109" i="51"/>
  <c r="J115" i="51"/>
  <c r="F117" i="51"/>
  <c r="I114" i="51"/>
  <c r="J112" i="51"/>
  <c r="F114" i="51"/>
  <c r="K112" i="51"/>
  <c r="B113" i="51"/>
  <c r="G110" i="51"/>
  <c r="B110" i="51"/>
  <c r="E109" i="51"/>
  <c r="E108" i="51"/>
  <c r="D108" i="51"/>
  <c r="F104" i="51"/>
  <c r="G113" i="51"/>
  <c r="B111" i="51"/>
  <c r="K111" i="51"/>
  <c r="D115" i="51"/>
  <c r="B114" i="51"/>
  <c r="E110" i="51"/>
  <c r="E113" i="51"/>
  <c r="E116" i="51"/>
  <c r="H108" i="51"/>
  <c r="I108" i="51"/>
  <c r="G111" i="51"/>
  <c r="C111" i="51"/>
  <c r="F116" i="51"/>
  <c r="D110" i="51"/>
  <c r="D116" i="51"/>
  <c r="I112" i="51"/>
  <c r="F115" i="51"/>
  <c r="D111" i="51"/>
  <c r="G115" i="51"/>
  <c r="H109" i="51"/>
  <c r="J111" i="51"/>
  <c r="C115" i="51"/>
  <c r="G108" i="51"/>
  <c r="M40" i="72"/>
  <c r="L40" i="72"/>
  <c r="L35" i="102"/>
  <c r="M35" i="102"/>
  <c r="M86" i="65"/>
  <c r="J82" i="65"/>
  <c r="J89" i="65"/>
  <c r="F80" i="65"/>
  <c r="M40" i="70"/>
  <c r="L40" i="70"/>
  <c r="K29" i="60"/>
  <c r="I7" i="69"/>
  <c r="K7" i="69" s="1"/>
  <c r="D114" i="51"/>
  <c r="F186" i="73"/>
  <c r="D184" i="73"/>
  <c r="L185" i="73"/>
  <c r="D193" i="73"/>
  <c r="F52" i="67"/>
  <c r="E67" i="67"/>
  <c r="I61" i="67"/>
  <c r="H66" i="67"/>
  <c r="K60" i="67"/>
  <c r="G59" i="67"/>
  <c r="J62" i="67"/>
  <c r="I59" i="67"/>
  <c r="E59" i="67"/>
  <c r="K58" i="67"/>
  <c r="J58" i="67"/>
  <c r="I68" i="67"/>
  <c r="I58" i="67"/>
  <c r="G65" i="67"/>
  <c r="M67" i="67"/>
  <c r="K65" i="67"/>
  <c r="H65" i="67"/>
  <c r="M63" i="67"/>
  <c r="B63" i="67"/>
  <c r="M62" i="67"/>
  <c r="E58" i="67"/>
  <c r="K63" i="67"/>
  <c r="I63" i="67"/>
  <c r="L62" i="67"/>
  <c r="J63" i="67"/>
  <c r="D66" i="67"/>
  <c r="L68" i="67"/>
  <c r="L58" i="67"/>
  <c r="M66" i="67"/>
  <c r="J66" i="67"/>
  <c r="D61" i="67"/>
  <c r="G66" i="67"/>
  <c r="K64" i="67"/>
  <c r="G67" i="67"/>
  <c r="M64" i="67"/>
  <c r="E64" i="67"/>
  <c r="E57" i="67"/>
  <c r="F63" i="67"/>
  <c r="B66" i="67"/>
  <c r="G68" i="67"/>
  <c r="H62" i="67"/>
  <c r="D62" i="67"/>
  <c r="D68" i="67"/>
  <c r="J59" i="67"/>
  <c r="M61" i="67"/>
  <c r="I64" i="67"/>
  <c r="B67" i="67"/>
  <c r="C60" i="67"/>
  <c r="K59" i="67"/>
  <c r="D65" i="67"/>
  <c r="C59" i="67"/>
  <c r="K61" i="67"/>
  <c r="D64" i="67"/>
  <c r="L66" i="67"/>
  <c r="E68" i="67"/>
  <c r="D57" i="67"/>
  <c r="L67" i="67"/>
  <c r="L64" i="67"/>
  <c r="C66" i="67"/>
  <c r="K68" i="67"/>
  <c r="H58" i="67"/>
  <c r="M57" i="67"/>
  <c r="F59" i="67"/>
  <c r="B68" i="67"/>
  <c r="I66" i="67"/>
  <c r="B65" i="67"/>
  <c r="I67" i="67"/>
  <c r="I57" i="67"/>
  <c r="E60" i="67"/>
  <c r="J68" i="67"/>
  <c r="E65" i="67"/>
  <c r="J60" i="67"/>
  <c r="I66" i="55"/>
  <c r="D67" i="55"/>
  <c r="G9" i="83"/>
  <c r="K8" i="57"/>
  <c r="B117" i="45"/>
  <c r="D114" i="45"/>
  <c r="B155" i="47"/>
  <c r="A317" i="73"/>
  <c r="A327" i="73" s="1"/>
  <c r="G188" i="39"/>
  <c r="F188" i="39"/>
  <c r="G97" i="29"/>
  <c r="I7" i="55"/>
  <c r="K13" i="69"/>
  <c r="D145" i="55"/>
  <c r="H141" i="55"/>
  <c r="H144" i="55"/>
  <c r="K28" i="38"/>
  <c r="I8" i="75"/>
  <c r="B154" i="35"/>
  <c r="E153" i="35"/>
  <c r="F51" i="9"/>
  <c r="B56" i="9"/>
  <c r="D55" i="9"/>
  <c r="E56" i="9"/>
  <c r="F57" i="9"/>
  <c r="E54" i="9"/>
  <c r="E59" i="9"/>
  <c r="E55" i="9"/>
  <c r="D56" i="9"/>
  <c r="B57" i="9"/>
  <c r="C56" i="9"/>
  <c r="L30" i="8"/>
  <c r="M30" i="8"/>
  <c r="E169" i="7"/>
  <c r="J8" i="7"/>
  <c r="M38" i="76"/>
  <c r="L38" i="76"/>
  <c r="D35" i="109"/>
  <c r="D33" i="109"/>
  <c r="G34" i="109"/>
  <c r="F32" i="109"/>
  <c r="F34" i="109"/>
  <c r="E32" i="109"/>
  <c r="F22" i="109"/>
  <c r="E34" i="109"/>
  <c r="D32" i="109"/>
  <c r="D34" i="109"/>
  <c r="C32" i="109"/>
  <c r="C34" i="109"/>
  <c r="B32" i="109"/>
  <c r="B111" i="109" s="1"/>
  <c r="C144" i="109" s="1"/>
  <c r="I29" i="109"/>
  <c r="G35" i="109"/>
  <c r="F33" i="109"/>
  <c r="C33" i="109"/>
  <c r="C112" i="109" s="1"/>
  <c r="D145" i="109" s="1"/>
  <c r="G29" i="109"/>
  <c r="B33" i="109"/>
  <c r="F29" i="109"/>
  <c r="F108" i="109" s="1"/>
  <c r="G141" i="109" s="1"/>
  <c r="I32" i="109"/>
  <c r="I35" i="109"/>
  <c r="H32" i="109"/>
  <c r="B35" i="109"/>
  <c r="F31" i="109"/>
  <c r="E33" i="109"/>
  <c r="G32" i="109"/>
  <c r="I31" i="109"/>
  <c r="B34" i="109"/>
  <c r="I33" i="109"/>
  <c r="H33" i="109"/>
  <c r="G33" i="109"/>
  <c r="H31" i="109"/>
  <c r="G31" i="109"/>
  <c r="H30" i="109"/>
  <c r="G30" i="109"/>
  <c r="F30" i="109"/>
  <c r="H29" i="109"/>
  <c r="I28" i="109"/>
  <c r="H35" i="109"/>
  <c r="I30" i="109"/>
  <c r="H28" i="109"/>
  <c r="G28" i="109"/>
  <c r="G107" i="109" s="1"/>
  <c r="H140" i="109" s="1"/>
  <c r="F28" i="109"/>
  <c r="F107" i="109" s="1"/>
  <c r="G140" i="109" s="1"/>
  <c r="H34" i="109"/>
  <c r="F35" i="109"/>
  <c r="E35" i="109"/>
  <c r="C35" i="109"/>
  <c r="I34" i="109"/>
  <c r="M31" i="84"/>
  <c r="L31" i="84"/>
  <c r="B122" i="75"/>
  <c r="N120" i="75"/>
  <c r="L119" i="75"/>
  <c r="H117" i="75"/>
  <c r="F116" i="75"/>
  <c r="D115" i="75"/>
  <c r="B114" i="75"/>
  <c r="N112" i="75"/>
  <c r="L111" i="75"/>
  <c r="H109" i="75"/>
  <c r="O122" i="75"/>
  <c r="L121" i="75"/>
  <c r="I120" i="75"/>
  <c r="F119" i="75"/>
  <c r="N116" i="75"/>
  <c r="K115" i="75"/>
  <c r="H114" i="75"/>
  <c r="E113" i="75"/>
  <c r="B112" i="75"/>
  <c r="M110" i="75"/>
  <c r="N122" i="75"/>
  <c r="K121" i="75"/>
  <c r="H120" i="75"/>
  <c r="E119" i="75"/>
  <c r="M116" i="75"/>
  <c r="J115" i="75"/>
  <c r="G114" i="75"/>
  <c r="D113" i="75"/>
  <c r="O111" i="75"/>
  <c r="L110" i="75"/>
  <c r="I109" i="75"/>
  <c r="M122" i="75"/>
  <c r="J121" i="75"/>
  <c r="G120" i="75"/>
  <c r="D119" i="75"/>
  <c r="O117" i="75"/>
  <c r="L116" i="75"/>
  <c r="I115" i="75"/>
  <c r="F114" i="75"/>
  <c r="C113" i="75"/>
  <c r="N111" i="75"/>
  <c r="G109" i="75"/>
  <c r="L122" i="75"/>
  <c r="I121" i="75"/>
  <c r="F120" i="75"/>
  <c r="C119" i="75"/>
  <c r="N117" i="75"/>
  <c r="K116" i="75"/>
  <c r="H115" i="75"/>
  <c r="E114" i="75"/>
  <c r="B113" i="75"/>
  <c r="M111" i="75"/>
  <c r="I110" i="75"/>
  <c r="F109" i="75"/>
  <c r="K122" i="75"/>
  <c r="H121" i="75"/>
  <c r="E120" i="75"/>
  <c r="B119" i="75"/>
  <c r="M117" i="75"/>
  <c r="J116" i="75"/>
  <c r="G115" i="75"/>
  <c r="D114" i="75"/>
  <c r="O112" i="75"/>
  <c r="K111" i="75"/>
  <c r="H110" i="75"/>
  <c r="E109" i="75"/>
  <c r="J122" i="75"/>
  <c r="G121" i="75"/>
  <c r="D120" i="75"/>
  <c r="O118" i="75"/>
  <c r="L117" i="75"/>
  <c r="I116" i="75"/>
  <c r="F115" i="75"/>
  <c r="C114" i="75"/>
  <c r="M112" i="75"/>
  <c r="J111" i="75"/>
  <c r="G110" i="75"/>
  <c r="D109" i="75"/>
  <c r="G122" i="75"/>
  <c r="K120" i="75"/>
  <c r="I118" i="75"/>
  <c r="H116" i="75"/>
  <c r="L114" i="75"/>
  <c r="J112" i="75"/>
  <c r="O110" i="75"/>
  <c r="F122" i="75"/>
  <c r="J120" i="75"/>
  <c r="H118" i="75"/>
  <c r="G116" i="75"/>
  <c r="K114" i="75"/>
  <c r="I112" i="75"/>
  <c r="N110" i="75"/>
  <c r="E122" i="75"/>
  <c r="C120" i="75"/>
  <c r="G118" i="75"/>
  <c r="E116" i="75"/>
  <c r="J114" i="75"/>
  <c r="H112" i="75"/>
  <c r="F110" i="75"/>
  <c r="D122" i="75"/>
  <c r="B120" i="75"/>
  <c r="F118" i="75"/>
  <c r="D116" i="75"/>
  <c r="I114" i="75"/>
  <c r="G112" i="75"/>
  <c r="E110" i="75"/>
  <c r="C122" i="75"/>
  <c r="O119" i="75"/>
  <c r="E118" i="75"/>
  <c r="C116" i="75"/>
  <c r="O113" i="75"/>
  <c r="F112" i="75"/>
  <c r="D110" i="75"/>
  <c r="F121" i="75"/>
  <c r="J119" i="75"/>
  <c r="I117" i="75"/>
  <c r="M115" i="75"/>
  <c r="K113" i="75"/>
  <c r="I111" i="75"/>
  <c r="N109" i="75"/>
  <c r="N119" i="75"/>
  <c r="D117" i="75"/>
  <c r="L113" i="75"/>
  <c r="C111" i="75"/>
  <c r="M119" i="75"/>
  <c r="J113" i="75"/>
  <c r="B111" i="75"/>
  <c r="K119" i="75"/>
  <c r="I113" i="75"/>
  <c r="I119" i="75"/>
  <c r="O116" i="75"/>
  <c r="H113" i="75"/>
  <c r="I122" i="75"/>
  <c r="H119" i="75"/>
  <c r="B116" i="75"/>
  <c r="G113" i="75"/>
  <c r="O109" i="75"/>
  <c r="M121" i="75"/>
  <c r="L118" i="75"/>
  <c r="E115" i="75"/>
  <c r="E112" i="75"/>
  <c r="E121" i="75"/>
  <c r="E117" i="75"/>
  <c r="H111" i="75"/>
  <c r="D121" i="75"/>
  <c r="O115" i="75"/>
  <c r="G111" i="75"/>
  <c r="C121" i="75"/>
  <c r="N115" i="75"/>
  <c r="F111" i="75"/>
  <c r="B121" i="75"/>
  <c r="L115" i="75"/>
  <c r="E111" i="75"/>
  <c r="O120" i="75"/>
  <c r="C115" i="75"/>
  <c r="D111" i="75"/>
  <c r="N118" i="75"/>
  <c r="M114" i="75"/>
  <c r="M118" i="75"/>
  <c r="N113" i="75"/>
  <c r="M120" i="75"/>
  <c r="D112" i="75"/>
  <c r="L120" i="75"/>
  <c r="C112" i="75"/>
  <c r="G119" i="75"/>
  <c r="M109" i="75"/>
  <c r="L109" i="75"/>
  <c r="D118" i="75"/>
  <c r="F117" i="75"/>
  <c r="F103" i="75"/>
  <c r="N121" i="75"/>
  <c r="G117" i="75"/>
  <c r="B115" i="75"/>
  <c r="O114" i="75"/>
  <c r="N114" i="75"/>
  <c r="M113" i="75"/>
  <c r="H122" i="75"/>
  <c r="O121" i="75"/>
  <c r="F113" i="75"/>
  <c r="L112" i="75"/>
  <c r="K112" i="75"/>
  <c r="E172" i="69"/>
  <c r="M170" i="69"/>
  <c r="E168" i="69"/>
  <c r="M166" i="69"/>
  <c r="I165" i="69"/>
  <c r="E164" i="69"/>
  <c r="M162" i="69"/>
  <c r="D172" i="69"/>
  <c r="L170" i="69"/>
  <c r="D168" i="69"/>
  <c r="L166" i="69"/>
  <c r="H165" i="69"/>
  <c r="D164" i="69"/>
  <c r="L162" i="69"/>
  <c r="G173" i="69"/>
  <c r="C172" i="69"/>
  <c r="K170" i="69"/>
  <c r="G169" i="69"/>
  <c r="C168" i="69"/>
  <c r="K166" i="69"/>
  <c r="G165" i="69"/>
  <c r="C164" i="69"/>
  <c r="K162" i="69"/>
  <c r="F173" i="69"/>
  <c r="B172" i="69"/>
  <c r="J170" i="69"/>
  <c r="F169" i="69"/>
  <c r="B168" i="69"/>
  <c r="J166" i="69"/>
  <c r="F165" i="69"/>
  <c r="B164" i="69"/>
  <c r="J162" i="69"/>
  <c r="E173" i="69"/>
  <c r="M171" i="69"/>
  <c r="I170" i="69"/>
  <c r="E169" i="69"/>
  <c r="M167" i="69"/>
  <c r="I166" i="69"/>
  <c r="E165" i="69"/>
  <c r="M163" i="69"/>
  <c r="I162" i="69"/>
  <c r="D173" i="69"/>
  <c r="L171" i="69"/>
  <c r="H170" i="69"/>
  <c r="D169" i="69"/>
  <c r="L167" i="69"/>
  <c r="H166" i="69"/>
  <c r="D165" i="69"/>
  <c r="L163" i="69"/>
  <c r="H162" i="69"/>
  <c r="B171" i="69"/>
  <c r="J168" i="69"/>
  <c r="F166" i="69"/>
  <c r="H164" i="69"/>
  <c r="D162" i="69"/>
  <c r="K172" i="69"/>
  <c r="G170" i="69"/>
  <c r="E166" i="69"/>
  <c r="G164" i="69"/>
  <c r="C162" i="69"/>
  <c r="J172" i="69"/>
  <c r="F170" i="69"/>
  <c r="D166" i="69"/>
  <c r="F164" i="69"/>
  <c r="B162" i="69"/>
  <c r="E170" i="69"/>
  <c r="G168" i="69"/>
  <c r="C166" i="69"/>
  <c r="K163" i="69"/>
  <c r="D170" i="69"/>
  <c r="F168" i="69"/>
  <c r="B166" i="69"/>
  <c r="J163" i="69"/>
  <c r="J171" i="69"/>
  <c r="H167" i="69"/>
  <c r="J165" i="69"/>
  <c r="F163" i="69"/>
  <c r="C170" i="69"/>
  <c r="D167" i="69"/>
  <c r="G163" i="69"/>
  <c r="K173" i="69"/>
  <c r="B170" i="69"/>
  <c r="C167" i="69"/>
  <c r="E163" i="69"/>
  <c r="J173" i="69"/>
  <c r="B167" i="69"/>
  <c r="D163" i="69"/>
  <c r="C173" i="69"/>
  <c r="K169" i="69"/>
  <c r="G166" i="69"/>
  <c r="C163" i="69"/>
  <c r="B173" i="69"/>
  <c r="J169" i="69"/>
  <c r="M165" i="69"/>
  <c r="B163" i="69"/>
  <c r="K171" i="69"/>
  <c r="B165" i="69"/>
  <c r="C169" i="69"/>
  <c r="J164" i="69"/>
  <c r="B169" i="69"/>
  <c r="I164" i="69"/>
  <c r="I163" i="69"/>
  <c r="K168" i="69"/>
  <c r="H163" i="69"/>
  <c r="K167" i="69"/>
  <c r="G162" i="69"/>
  <c r="F172" i="69"/>
  <c r="F167" i="69"/>
  <c r="J167" i="69"/>
  <c r="F156" i="69"/>
  <c r="I167" i="69"/>
  <c r="G167" i="69"/>
  <c r="E167" i="69"/>
  <c r="L165" i="69"/>
  <c r="K165" i="69"/>
  <c r="C165" i="69"/>
  <c r="G172" i="69"/>
  <c r="L164" i="69"/>
  <c r="I171" i="69"/>
  <c r="H171" i="69"/>
  <c r="G171" i="69"/>
  <c r="F171" i="69"/>
  <c r="M164" i="69"/>
  <c r="E171" i="69"/>
  <c r="D171" i="69"/>
  <c r="C171" i="69"/>
  <c r="E162" i="69"/>
  <c r="K164" i="69"/>
  <c r="F162" i="69"/>
  <c r="J152" i="57"/>
  <c r="B150" i="57"/>
  <c r="J148" i="57"/>
  <c r="F147" i="57"/>
  <c r="B146" i="57"/>
  <c r="J144" i="57"/>
  <c r="F143" i="57"/>
  <c r="B142" i="57"/>
  <c r="I152" i="57"/>
  <c r="E151" i="57"/>
  <c r="M149" i="57"/>
  <c r="I148" i="57"/>
  <c r="E147" i="57"/>
  <c r="I144" i="57"/>
  <c r="E143" i="57"/>
  <c r="M141" i="57"/>
  <c r="H152" i="57"/>
  <c r="D151" i="57"/>
  <c r="L149" i="57"/>
  <c r="H148" i="57"/>
  <c r="D147" i="57"/>
  <c r="H144" i="57"/>
  <c r="D143" i="57"/>
  <c r="L141" i="57"/>
  <c r="C151" i="57"/>
  <c r="K149" i="57"/>
  <c r="G148" i="57"/>
  <c r="C147" i="57"/>
  <c r="K145" i="57"/>
  <c r="G144" i="57"/>
  <c r="C143" i="57"/>
  <c r="K141" i="57"/>
  <c r="B151" i="57"/>
  <c r="J149" i="57"/>
  <c r="F148" i="57"/>
  <c r="B147" i="57"/>
  <c r="J145" i="57"/>
  <c r="F144" i="57"/>
  <c r="B143" i="57"/>
  <c r="J141" i="57"/>
  <c r="B152" i="57"/>
  <c r="J150" i="57"/>
  <c r="F149" i="57"/>
  <c r="B148" i="57"/>
  <c r="J146" i="57"/>
  <c r="B144" i="57"/>
  <c r="J142" i="57"/>
  <c r="F141" i="57"/>
  <c r="C152" i="57"/>
  <c r="D150" i="57"/>
  <c r="L147" i="57"/>
  <c r="I145" i="57"/>
  <c r="J143" i="57"/>
  <c r="G141" i="57"/>
  <c r="C150" i="57"/>
  <c r="K147" i="57"/>
  <c r="H145" i="57"/>
  <c r="I143" i="57"/>
  <c r="E141" i="57"/>
  <c r="I149" i="57"/>
  <c r="J147" i="57"/>
  <c r="H143" i="57"/>
  <c r="D141" i="57"/>
  <c r="K151" i="57"/>
  <c r="H149" i="57"/>
  <c r="I147" i="57"/>
  <c r="E145" i="57"/>
  <c r="G143" i="57"/>
  <c r="C141" i="57"/>
  <c r="J151" i="57"/>
  <c r="G149" i="57"/>
  <c r="H147" i="57"/>
  <c r="D145" i="57"/>
  <c r="M142" i="57"/>
  <c r="B141" i="57"/>
  <c r="G150" i="57"/>
  <c r="C144" i="57"/>
  <c r="F150" i="57"/>
  <c r="K146" i="57"/>
  <c r="M143" i="57"/>
  <c r="E150" i="57"/>
  <c r="I146" i="57"/>
  <c r="L143" i="57"/>
  <c r="E149" i="57"/>
  <c r="H146" i="57"/>
  <c r="K143" i="57"/>
  <c r="D149" i="57"/>
  <c r="L142" i="57"/>
  <c r="K152" i="57"/>
  <c r="C149" i="57"/>
  <c r="K142" i="57"/>
  <c r="H151" i="57"/>
  <c r="K148" i="57"/>
  <c r="C145" i="57"/>
  <c r="F142" i="57"/>
  <c r="M147" i="57"/>
  <c r="D142" i="57"/>
  <c r="E152" i="57"/>
  <c r="G147" i="57"/>
  <c r="C142" i="57"/>
  <c r="D152" i="57"/>
  <c r="I141" i="57"/>
  <c r="I151" i="57"/>
  <c r="E146" i="57"/>
  <c r="H141" i="57"/>
  <c r="D146" i="57"/>
  <c r="L150" i="57"/>
  <c r="B145" i="57"/>
  <c r="E148" i="57"/>
  <c r="K144" i="57"/>
  <c r="D148" i="57"/>
  <c r="C148" i="57"/>
  <c r="C146" i="57"/>
  <c r="M144" i="57"/>
  <c r="L144" i="57"/>
  <c r="M150" i="57"/>
  <c r="I142" i="57"/>
  <c r="K150" i="57"/>
  <c r="H142" i="57"/>
  <c r="F135" i="57"/>
  <c r="I150" i="57"/>
  <c r="H150" i="57"/>
  <c r="B149" i="57"/>
  <c r="M148" i="57"/>
  <c r="L148" i="57"/>
  <c r="E142" i="57"/>
  <c r="E144" i="57"/>
  <c r="D144" i="57"/>
  <c r="G142" i="57"/>
  <c r="F251" i="59"/>
  <c r="G248" i="59"/>
  <c r="F248" i="59"/>
  <c r="F173" i="59"/>
  <c r="B172" i="59"/>
  <c r="F169" i="59"/>
  <c r="B168" i="59"/>
  <c r="J166" i="59"/>
  <c r="F165" i="59"/>
  <c r="B164" i="59"/>
  <c r="J162" i="59"/>
  <c r="E173" i="59"/>
  <c r="M171" i="59"/>
  <c r="I170" i="59"/>
  <c r="E169" i="59"/>
  <c r="M167" i="59"/>
  <c r="I166" i="59"/>
  <c r="M163" i="59"/>
  <c r="I162" i="59"/>
  <c r="C173" i="59"/>
  <c r="J172" i="59"/>
  <c r="F171" i="59"/>
  <c r="B170" i="59"/>
  <c r="J168" i="59"/>
  <c r="F167" i="59"/>
  <c r="B166" i="59"/>
  <c r="F163" i="59"/>
  <c r="B162" i="59"/>
  <c r="F156" i="59"/>
  <c r="D173" i="59"/>
  <c r="G171" i="59"/>
  <c r="K169" i="59"/>
  <c r="D168" i="59"/>
  <c r="G166" i="59"/>
  <c r="L164" i="59"/>
  <c r="D163" i="59"/>
  <c r="B173" i="59"/>
  <c r="J169" i="59"/>
  <c r="C168" i="59"/>
  <c r="F166" i="59"/>
  <c r="C163" i="59"/>
  <c r="M172" i="59"/>
  <c r="I169" i="59"/>
  <c r="L167" i="59"/>
  <c r="E166" i="59"/>
  <c r="I164" i="59"/>
  <c r="B163" i="59"/>
  <c r="L172" i="59"/>
  <c r="C171" i="59"/>
  <c r="H169" i="59"/>
  <c r="K167" i="59"/>
  <c r="D166" i="59"/>
  <c r="H164" i="59"/>
  <c r="M162" i="59"/>
  <c r="K172" i="59"/>
  <c r="B171" i="59"/>
  <c r="G169" i="59"/>
  <c r="J167" i="59"/>
  <c r="C166" i="59"/>
  <c r="G164" i="59"/>
  <c r="L162" i="59"/>
  <c r="F172" i="59"/>
  <c r="H170" i="59"/>
  <c r="M168" i="59"/>
  <c r="E167" i="59"/>
  <c r="C164" i="59"/>
  <c r="F162" i="59"/>
  <c r="J173" i="59"/>
  <c r="F168" i="59"/>
  <c r="H165" i="59"/>
  <c r="K162" i="59"/>
  <c r="I173" i="59"/>
  <c r="G170" i="59"/>
  <c r="E168" i="59"/>
  <c r="G165" i="59"/>
  <c r="H162" i="59"/>
  <c r="H173" i="59"/>
  <c r="F170" i="59"/>
  <c r="I167" i="59"/>
  <c r="G162" i="59"/>
  <c r="G173" i="59"/>
  <c r="H167" i="59"/>
  <c r="C165" i="59"/>
  <c r="E162" i="59"/>
  <c r="I172" i="59"/>
  <c r="G167" i="59"/>
  <c r="B165" i="59"/>
  <c r="D162" i="59"/>
  <c r="L170" i="59"/>
  <c r="L166" i="59"/>
  <c r="G163" i="59"/>
  <c r="C170" i="59"/>
  <c r="K166" i="59"/>
  <c r="E163" i="59"/>
  <c r="M169" i="59"/>
  <c r="H166" i="59"/>
  <c r="C162" i="59"/>
  <c r="M173" i="59"/>
  <c r="L169" i="59"/>
  <c r="M165" i="59"/>
  <c r="L173" i="59"/>
  <c r="D169" i="59"/>
  <c r="L165" i="59"/>
  <c r="H172" i="59"/>
  <c r="B169" i="59"/>
  <c r="I165" i="59"/>
  <c r="H171" i="59"/>
  <c r="M170" i="59"/>
  <c r="L163" i="59"/>
  <c r="C169" i="59"/>
  <c r="K163" i="59"/>
  <c r="L168" i="59"/>
  <c r="J163" i="59"/>
  <c r="K168" i="59"/>
  <c r="I163" i="59"/>
  <c r="I168" i="59"/>
  <c r="H163" i="59"/>
  <c r="G172" i="59"/>
  <c r="C167" i="59"/>
  <c r="G168" i="59"/>
  <c r="D167" i="59"/>
  <c r="B167" i="59"/>
  <c r="M166" i="59"/>
  <c r="F164" i="59"/>
  <c r="D172" i="59"/>
  <c r="C172" i="59"/>
  <c r="H168" i="59"/>
  <c r="M164" i="59"/>
  <c r="K173" i="59"/>
  <c r="I171" i="59"/>
  <c r="E172" i="59"/>
  <c r="L171" i="59"/>
  <c r="M30" i="98"/>
  <c r="L30" i="98"/>
  <c r="M33" i="60"/>
  <c r="L33" i="60"/>
  <c r="D121" i="95"/>
  <c r="D119" i="95"/>
  <c r="D117" i="95"/>
  <c r="D115" i="95"/>
  <c r="C121" i="95"/>
  <c r="C119" i="95"/>
  <c r="C117" i="95"/>
  <c r="C115" i="95"/>
  <c r="G120" i="95"/>
  <c r="G118" i="95"/>
  <c r="G116" i="95"/>
  <c r="E121" i="95"/>
  <c r="H118" i="95"/>
  <c r="D116" i="95"/>
  <c r="E118" i="95"/>
  <c r="B116" i="95"/>
  <c r="B120" i="95"/>
  <c r="E117" i="95"/>
  <c r="B117" i="95"/>
  <c r="E122" i="95"/>
  <c r="I116" i="95"/>
  <c r="D122" i="95"/>
  <c r="G119" i="95"/>
  <c r="H116" i="95"/>
  <c r="C122" i="95"/>
  <c r="F119" i="95"/>
  <c r="F116" i="95"/>
  <c r="F118" i="95"/>
  <c r="H115" i="95"/>
  <c r="B121" i="95"/>
  <c r="E116" i="95"/>
  <c r="C116" i="95"/>
  <c r="I115" i="95"/>
  <c r="E120" i="95"/>
  <c r="G115" i="95"/>
  <c r="D120" i="95"/>
  <c r="F115" i="95"/>
  <c r="I118" i="95"/>
  <c r="C120" i="95"/>
  <c r="F109" i="95"/>
  <c r="E119" i="95"/>
  <c r="B119" i="95"/>
  <c r="D118" i="95"/>
  <c r="B115" i="95"/>
  <c r="B122" i="95"/>
  <c r="C118" i="95"/>
  <c r="B118" i="95"/>
  <c r="I117" i="95"/>
  <c r="G117" i="95"/>
  <c r="F117" i="95"/>
  <c r="E115" i="95"/>
  <c r="H117" i="95"/>
  <c r="E427" i="71"/>
  <c r="N8" i="71"/>
  <c r="J12" i="59"/>
  <c r="I12" i="59"/>
  <c r="M29" i="68"/>
  <c r="L29" i="68"/>
  <c r="I9" i="47"/>
  <c r="M183" i="73"/>
  <c r="J186" i="73"/>
  <c r="F183" i="73"/>
  <c r="M42" i="68"/>
  <c r="L42" i="68"/>
  <c r="F48" i="51"/>
  <c r="G58" i="51"/>
  <c r="H51" i="51"/>
  <c r="K54" i="51"/>
  <c r="H56" i="51"/>
  <c r="K13" i="61"/>
  <c r="M68" i="55"/>
  <c r="H68" i="55"/>
  <c r="M31" i="82"/>
  <c r="L31" i="82"/>
  <c r="E588" i="83"/>
  <c r="C588" i="83"/>
  <c r="C213" i="83"/>
  <c r="B213" i="83"/>
  <c r="E352" i="63"/>
  <c r="C352" i="63"/>
  <c r="B30" i="63"/>
  <c r="I7" i="59"/>
  <c r="K59" i="51"/>
  <c r="C60" i="51"/>
  <c r="K115" i="45"/>
  <c r="M35" i="54"/>
  <c r="L35" i="54"/>
  <c r="L148" i="55"/>
  <c r="L145" i="55"/>
  <c r="C211" i="43"/>
  <c r="B103" i="29"/>
  <c r="I100" i="29"/>
  <c r="G98" i="29"/>
  <c r="F96" i="29"/>
  <c r="D101" i="29"/>
  <c r="B97" i="29"/>
  <c r="E96" i="29"/>
  <c r="C101" i="29"/>
  <c r="I96" i="29"/>
  <c r="G100" i="29"/>
  <c r="F100" i="29"/>
  <c r="D96" i="29"/>
  <c r="D100" i="29"/>
  <c r="B96" i="29"/>
  <c r="C100" i="29"/>
  <c r="E100" i="29"/>
  <c r="C96" i="29"/>
  <c r="B99" i="29"/>
  <c r="F98" i="29"/>
  <c r="F91" i="29"/>
  <c r="G102" i="29"/>
  <c r="F103" i="29"/>
  <c r="F102" i="29"/>
  <c r="E101" i="29"/>
  <c r="C98" i="29"/>
  <c r="B98" i="29"/>
  <c r="C97" i="29"/>
  <c r="C99" i="29"/>
  <c r="D97" i="29"/>
  <c r="F97" i="29"/>
  <c r="G99" i="29"/>
  <c r="I97" i="29"/>
  <c r="H101" i="29"/>
  <c r="H97" i="29"/>
  <c r="B100" i="29"/>
  <c r="G96" i="29"/>
  <c r="G101" i="29"/>
  <c r="G60" i="45"/>
  <c r="K86" i="3"/>
  <c r="G85" i="3"/>
  <c r="C84" i="3"/>
  <c r="K82" i="3"/>
  <c r="C80" i="3"/>
  <c r="K78" i="3"/>
  <c r="G77" i="3"/>
  <c r="C76" i="3"/>
  <c r="J83" i="3"/>
  <c r="B77" i="3"/>
  <c r="J86" i="3"/>
  <c r="J206" i="3" s="1"/>
  <c r="K251" i="3" s="1"/>
  <c r="F85" i="3"/>
  <c r="B84" i="3"/>
  <c r="J82" i="3"/>
  <c r="B80" i="3"/>
  <c r="J78" i="3"/>
  <c r="J198" i="3" s="1"/>
  <c r="K243" i="3" s="1"/>
  <c r="F77" i="3"/>
  <c r="B76" i="3"/>
  <c r="M87" i="3"/>
  <c r="I86" i="3"/>
  <c r="E85" i="3"/>
  <c r="M83" i="3"/>
  <c r="E81" i="3"/>
  <c r="M79" i="3"/>
  <c r="I78" i="3"/>
  <c r="E77" i="3"/>
  <c r="B85" i="3"/>
  <c r="L87" i="3"/>
  <c r="L207" i="3" s="1"/>
  <c r="M252" i="3" s="1"/>
  <c r="H86" i="3"/>
  <c r="D85" i="3"/>
  <c r="L83" i="3"/>
  <c r="D81" i="3"/>
  <c r="L79" i="3"/>
  <c r="H78" i="3"/>
  <c r="D77" i="3"/>
  <c r="J87" i="3"/>
  <c r="J79" i="3"/>
  <c r="K87" i="3"/>
  <c r="G86" i="3"/>
  <c r="C85" i="3"/>
  <c r="K83" i="3"/>
  <c r="C81" i="3"/>
  <c r="K79" i="3"/>
  <c r="K199" i="3" s="1"/>
  <c r="L244" i="3" s="1"/>
  <c r="G78" i="3"/>
  <c r="C77" i="3"/>
  <c r="F86" i="3"/>
  <c r="F78" i="3"/>
  <c r="B81" i="3"/>
  <c r="F87" i="3"/>
  <c r="B86" i="3"/>
  <c r="J84" i="3"/>
  <c r="B82" i="3"/>
  <c r="J80" i="3"/>
  <c r="F79" i="3"/>
  <c r="B78" i="3"/>
  <c r="J76" i="3"/>
  <c r="L85" i="3"/>
  <c r="M80" i="3"/>
  <c r="M78" i="3"/>
  <c r="G76" i="3"/>
  <c r="D83" i="3"/>
  <c r="E78" i="3"/>
  <c r="K85" i="3"/>
  <c r="E83" i="3"/>
  <c r="L80" i="3"/>
  <c r="L78" i="3"/>
  <c r="F76" i="3"/>
  <c r="J85" i="3"/>
  <c r="K80" i="3"/>
  <c r="E76" i="3"/>
  <c r="L84" i="3"/>
  <c r="I87" i="3"/>
  <c r="I85" i="3"/>
  <c r="I205" i="3" s="1"/>
  <c r="J250" i="3" s="1"/>
  <c r="C83" i="3"/>
  <c r="D78" i="3"/>
  <c r="D76" i="3"/>
  <c r="G87" i="3"/>
  <c r="M82" i="3"/>
  <c r="M77" i="3"/>
  <c r="E87" i="3"/>
  <c r="E207" i="3" s="1"/>
  <c r="F252" i="3" s="1"/>
  <c r="L82" i="3"/>
  <c r="L77" i="3"/>
  <c r="H87" i="3"/>
  <c r="H85" i="3"/>
  <c r="B83" i="3"/>
  <c r="C78" i="3"/>
  <c r="M84" i="3"/>
  <c r="B87" i="3"/>
  <c r="H84" i="3"/>
  <c r="C82" i="3"/>
  <c r="I79" i="3"/>
  <c r="I77" i="3"/>
  <c r="M86" i="3"/>
  <c r="G84" i="3"/>
  <c r="M81" i="3"/>
  <c r="H79" i="3"/>
  <c r="H77" i="3"/>
  <c r="L86" i="3"/>
  <c r="F84" i="3"/>
  <c r="L81" i="3"/>
  <c r="G79" i="3"/>
  <c r="M76" i="3"/>
  <c r="D86" i="3"/>
  <c r="D80" i="3"/>
  <c r="C86" i="3"/>
  <c r="E79" i="3"/>
  <c r="K84" i="3"/>
  <c r="C79" i="3"/>
  <c r="I84" i="3"/>
  <c r="B79" i="3"/>
  <c r="E84" i="3"/>
  <c r="K77" i="3"/>
  <c r="M85" i="3"/>
  <c r="H76" i="3"/>
  <c r="D84" i="3"/>
  <c r="J77" i="3"/>
  <c r="D87" i="3"/>
  <c r="E82" i="3"/>
  <c r="D79" i="3"/>
  <c r="C87" i="3"/>
  <c r="K76" i="3"/>
  <c r="K196" i="3" s="1"/>
  <c r="L241" i="3" s="1"/>
  <c r="D82" i="3"/>
  <c r="J81" i="3"/>
  <c r="K81" i="3"/>
  <c r="E80" i="3"/>
  <c r="L76" i="3"/>
  <c r="E86" i="3"/>
  <c r="I76" i="3"/>
  <c r="M30" i="16"/>
  <c r="L30" i="16"/>
  <c r="L119" i="3"/>
  <c r="L126" i="3"/>
  <c r="K128" i="3"/>
  <c r="I125" i="3"/>
  <c r="J128" i="3"/>
  <c r="H118" i="3"/>
  <c r="H129" i="3"/>
  <c r="B125" i="3"/>
  <c r="L124" i="3"/>
  <c r="J120" i="3"/>
  <c r="H122" i="3"/>
  <c r="M121" i="3"/>
  <c r="J127" i="3"/>
  <c r="F126" i="3"/>
  <c r="E118" i="3"/>
  <c r="L129" i="3"/>
  <c r="I127" i="3"/>
  <c r="H128" i="3"/>
  <c r="I122" i="3"/>
  <c r="K129" i="3"/>
  <c r="D124" i="3"/>
  <c r="G124" i="3"/>
  <c r="H126" i="3"/>
  <c r="D121" i="3"/>
  <c r="G126" i="3"/>
  <c r="C124" i="3"/>
  <c r="K121" i="3"/>
  <c r="I121" i="3"/>
  <c r="B124" i="3"/>
  <c r="J118" i="3"/>
  <c r="C128" i="3"/>
  <c r="F143" i="41"/>
  <c r="E153" i="41"/>
  <c r="D151" i="41"/>
  <c r="D152" i="41"/>
  <c r="B154" i="41"/>
  <c r="C150" i="41"/>
  <c r="H154" i="41"/>
  <c r="F155" i="41"/>
  <c r="G148" i="41"/>
  <c r="H152" i="41"/>
  <c r="B152" i="41"/>
  <c r="C152" i="41"/>
  <c r="F154" i="41"/>
  <c r="G150" i="41"/>
  <c r="K153" i="41"/>
  <c r="D146" i="41"/>
  <c r="C103" i="23"/>
  <c r="M33" i="40"/>
  <c r="L33" i="40"/>
  <c r="I29" i="23"/>
  <c r="I14" i="91"/>
  <c r="J14" i="91" s="1"/>
  <c r="K40" i="80"/>
  <c r="Q75" i="83"/>
  <c r="P74" i="83"/>
  <c r="O73" i="83"/>
  <c r="N72" i="83"/>
  <c r="M71" i="83"/>
  <c r="L70" i="83"/>
  <c r="K69" i="83"/>
  <c r="F64" i="83"/>
  <c r="M83" i="83"/>
  <c r="O81" i="83"/>
  <c r="H80" i="83"/>
  <c r="J78" i="83"/>
  <c r="M76" i="83"/>
  <c r="E75" i="83"/>
  <c r="O71" i="83"/>
  <c r="Q69" i="83"/>
  <c r="P83" i="83"/>
  <c r="C82" i="83"/>
  <c r="I80" i="83"/>
  <c r="I78" i="83"/>
  <c r="J76" i="83"/>
  <c r="L74" i="83"/>
  <c r="C73" i="83"/>
  <c r="F69" i="83"/>
  <c r="O83" i="83"/>
  <c r="Q81" i="83"/>
  <c r="Q79" i="83"/>
  <c r="H78" i="83"/>
  <c r="I76" i="83"/>
  <c r="K74" i="83"/>
  <c r="Q72" i="83"/>
  <c r="C71" i="83"/>
  <c r="E69" i="83"/>
  <c r="N83" i="83"/>
  <c r="N81" i="83"/>
  <c r="P79" i="83"/>
  <c r="G78" i="83"/>
  <c r="H76" i="83"/>
  <c r="J74" i="83"/>
  <c r="P72" i="83"/>
  <c r="Q70" i="83"/>
  <c r="C69" i="83"/>
  <c r="L83" i="83"/>
  <c r="M81" i="83"/>
  <c r="O79" i="83"/>
  <c r="F78" i="83"/>
  <c r="G76" i="83"/>
  <c r="H74" i="83"/>
  <c r="J72" i="83"/>
  <c r="P70" i="83"/>
  <c r="K83" i="83"/>
  <c r="L81" i="83"/>
  <c r="M79" i="83"/>
  <c r="O77" i="83"/>
  <c r="F76" i="83"/>
  <c r="I72" i="83"/>
  <c r="O70" i="83"/>
  <c r="E83" i="83"/>
  <c r="K81" i="83"/>
  <c r="L79" i="83"/>
  <c r="N77" i="83"/>
  <c r="E76" i="83"/>
  <c r="H72" i="83"/>
  <c r="N70" i="83"/>
  <c r="F84" i="83"/>
  <c r="C81" i="83"/>
  <c r="L78" i="83"/>
  <c r="I75" i="83"/>
  <c r="O69" i="83"/>
  <c r="E84" i="83"/>
  <c r="Q80" i="83"/>
  <c r="K78" i="83"/>
  <c r="H75" i="83"/>
  <c r="N69" i="83"/>
  <c r="D84" i="83"/>
  <c r="P80" i="83"/>
  <c r="M77" i="83"/>
  <c r="G75" i="83"/>
  <c r="M69" i="83"/>
  <c r="Q83" i="83"/>
  <c r="N80" i="83"/>
  <c r="K77" i="83"/>
  <c r="F75" i="83"/>
  <c r="C72" i="83"/>
  <c r="G69" i="83"/>
  <c r="D83" i="83"/>
  <c r="M80" i="83"/>
  <c r="J77" i="83"/>
  <c r="D75" i="83"/>
  <c r="Q71" i="83"/>
  <c r="M82" i="83"/>
  <c r="J79" i="83"/>
  <c r="E77" i="83"/>
  <c r="Q73" i="83"/>
  <c r="C83" i="83"/>
  <c r="G79" i="83"/>
  <c r="C70" i="83"/>
  <c r="P82" i="83"/>
  <c r="P78" i="83"/>
  <c r="C74" i="83"/>
  <c r="P69" i="83"/>
  <c r="O82" i="83"/>
  <c r="O78" i="83"/>
  <c r="K73" i="83"/>
  <c r="N82" i="83"/>
  <c r="N78" i="83"/>
  <c r="J73" i="83"/>
  <c r="L82" i="83"/>
  <c r="I77" i="83"/>
  <c r="I73" i="83"/>
  <c r="K82" i="83"/>
  <c r="H77" i="83"/>
  <c r="H79" i="83"/>
  <c r="Q84" i="83"/>
  <c r="G77" i="83"/>
  <c r="H70" i="83"/>
  <c r="P84" i="83"/>
  <c r="F77" i="83"/>
  <c r="G70" i="83"/>
  <c r="O84" i="83"/>
  <c r="N76" i="83"/>
  <c r="F70" i="83"/>
  <c r="N84" i="83"/>
  <c r="L76" i="83"/>
  <c r="D70" i="83"/>
  <c r="D82" i="83"/>
  <c r="K75" i="83"/>
  <c r="J82" i="83"/>
  <c r="I71" i="83"/>
  <c r="J81" i="83"/>
  <c r="H71" i="83"/>
  <c r="I81" i="83"/>
  <c r="L80" i="83"/>
  <c r="K80" i="83"/>
  <c r="D76" i="83"/>
  <c r="M75" i="83"/>
  <c r="L75" i="83"/>
  <c r="C75" i="83"/>
  <c r="J80" i="83"/>
  <c r="K79" i="83"/>
  <c r="I79" i="83"/>
  <c r="P71" i="83"/>
  <c r="L84" i="83"/>
  <c r="M84" i="83"/>
  <c r="L34" i="96"/>
  <c r="M34" i="96"/>
  <c r="F279" i="75"/>
  <c r="I150" i="59"/>
  <c r="G148" i="59"/>
  <c r="K145" i="59"/>
  <c r="D143" i="59"/>
  <c r="G150" i="59"/>
  <c r="E148" i="59"/>
  <c r="I145" i="59"/>
  <c r="C143" i="59"/>
  <c r="E150" i="59"/>
  <c r="K147" i="59"/>
  <c r="H145" i="59"/>
  <c r="M142" i="59"/>
  <c r="D150" i="59"/>
  <c r="G145" i="59"/>
  <c r="K142" i="59"/>
  <c r="G152" i="59"/>
  <c r="C150" i="59"/>
  <c r="F145" i="59"/>
  <c r="J142" i="59"/>
  <c r="F136" i="59"/>
  <c r="B152" i="59"/>
  <c r="K148" i="59"/>
  <c r="J144" i="59"/>
  <c r="H141" i="59"/>
  <c r="J148" i="59"/>
  <c r="I144" i="59"/>
  <c r="G141" i="59"/>
  <c r="H144" i="59"/>
  <c r="E141" i="59"/>
  <c r="K151" i="59"/>
  <c r="E144" i="59"/>
  <c r="D141" i="59"/>
  <c r="F147" i="59"/>
  <c r="D144" i="59"/>
  <c r="C141" i="59"/>
  <c r="F151" i="59"/>
  <c r="D147" i="59"/>
  <c r="B144" i="59"/>
  <c r="G151" i="59"/>
  <c r="C146" i="59"/>
  <c r="K150" i="59"/>
  <c r="B146" i="59"/>
  <c r="J150" i="59"/>
  <c r="L145" i="59"/>
  <c r="B150" i="59"/>
  <c r="E145" i="59"/>
  <c r="M149" i="59"/>
  <c r="C144" i="59"/>
  <c r="L149" i="59"/>
  <c r="M143" i="59"/>
  <c r="H142" i="59"/>
  <c r="D152" i="59"/>
  <c r="I141" i="59"/>
  <c r="E149" i="59"/>
  <c r="D149" i="59"/>
  <c r="C149" i="59"/>
  <c r="E147" i="59"/>
  <c r="M146" i="59"/>
  <c r="G142" i="59"/>
  <c r="E142" i="59"/>
  <c r="D142" i="59"/>
  <c r="C147" i="59"/>
  <c r="L146" i="59"/>
  <c r="E152" i="59"/>
  <c r="K143" i="59"/>
  <c r="K146" i="59"/>
  <c r="L143" i="59"/>
  <c r="D146" i="59"/>
  <c r="I142" i="59"/>
  <c r="H150" i="59"/>
  <c r="B151" i="59"/>
  <c r="M141" i="59"/>
  <c r="I143" i="59"/>
  <c r="C152" i="59"/>
  <c r="G149" i="59"/>
  <c r="J149" i="59"/>
  <c r="G143" i="59"/>
  <c r="D145" i="59"/>
  <c r="M150" i="59"/>
  <c r="F148" i="59"/>
  <c r="M144" i="59"/>
  <c r="J146" i="59"/>
  <c r="J151" i="59"/>
  <c r="B147" i="59"/>
  <c r="H146" i="59"/>
  <c r="B142" i="59"/>
  <c r="D148" i="59"/>
  <c r="B149" i="59"/>
  <c r="F144" i="59"/>
  <c r="H149" i="59"/>
  <c r="C145" i="59"/>
  <c r="E151" i="59"/>
  <c r="K144" i="59"/>
  <c r="J143" i="59"/>
  <c r="D151" i="59"/>
  <c r="F407" i="83"/>
  <c r="I13" i="79"/>
  <c r="F143" i="59"/>
  <c r="F86" i="89"/>
  <c r="J99" i="89"/>
  <c r="H99" i="89"/>
  <c r="G99" i="89"/>
  <c r="E99" i="89"/>
  <c r="D99" i="89"/>
  <c r="D91" i="89"/>
  <c r="C91" i="89"/>
  <c r="F93" i="89"/>
  <c r="E91" i="89"/>
  <c r="K100" i="89"/>
  <c r="D96" i="89"/>
  <c r="I95" i="89"/>
  <c r="I91" i="89"/>
  <c r="I92" i="89"/>
  <c r="F33" i="73"/>
  <c r="E42" i="73"/>
  <c r="J44" i="73"/>
  <c r="K38" i="73"/>
  <c r="B45" i="73"/>
  <c r="D42" i="73"/>
  <c r="I38" i="73"/>
  <c r="K40" i="73"/>
  <c r="I46" i="73"/>
  <c r="M36" i="73"/>
  <c r="C43" i="73"/>
  <c r="F44" i="73"/>
  <c r="L46" i="73"/>
  <c r="L43" i="73"/>
  <c r="H45" i="73"/>
  <c r="J64" i="59"/>
  <c r="J68" i="57"/>
  <c r="F67" i="57"/>
  <c r="B66" i="57"/>
  <c r="J64" i="57"/>
  <c r="F63" i="57"/>
  <c r="B62" i="57"/>
  <c r="J60" i="57"/>
  <c r="B58" i="57"/>
  <c r="I68" i="57"/>
  <c r="E67" i="57"/>
  <c r="M65" i="57"/>
  <c r="I64" i="57"/>
  <c r="E63" i="57"/>
  <c r="M61" i="57"/>
  <c r="I60" i="57"/>
  <c r="I222" i="57" s="1"/>
  <c r="J267" i="57" s="1"/>
  <c r="M57" i="57"/>
  <c r="H68" i="57"/>
  <c r="D67" i="57"/>
  <c r="L65" i="57"/>
  <c r="H64" i="57"/>
  <c r="D63" i="57"/>
  <c r="L61" i="57"/>
  <c r="H60" i="57"/>
  <c r="L57" i="57"/>
  <c r="G68" i="57"/>
  <c r="C67" i="57"/>
  <c r="K65" i="57"/>
  <c r="G64" i="57"/>
  <c r="C63" i="57"/>
  <c r="K61" i="57"/>
  <c r="C59" i="57"/>
  <c r="K57" i="57"/>
  <c r="F68" i="57"/>
  <c r="B67" i="57"/>
  <c r="J65" i="57"/>
  <c r="F64" i="57"/>
  <c r="B63" i="57"/>
  <c r="J61" i="57"/>
  <c r="B59" i="57"/>
  <c r="J57" i="57"/>
  <c r="B68" i="57"/>
  <c r="J66" i="57"/>
  <c r="F65" i="57"/>
  <c r="B64" i="57"/>
  <c r="J62" i="57"/>
  <c r="B60" i="57"/>
  <c r="J58" i="57"/>
  <c r="F57" i="57"/>
  <c r="L68" i="57"/>
  <c r="H66" i="57"/>
  <c r="E64" i="57"/>
  <c r="C60" i="57"/>
  <c r="D58" i="57"/>
  <c r="K68" i="57"/>
  <c r="G66" i="57"/>
  <c r="D64" i="57"/>
  <c r="M59" i="57"/>
  <c r="C58" i="57"/>
  <c r="E68" i="57"/>
  <c r="F66" i="57"/>
  <c r="C64" i="57"/>
  <c r="L59" i="57"/>
  <c r="I57" i="57"/>
  <c r="F51" i="57"/>
  <c r="D68" i="57"/>
  <c r="E66" i="57"/>
  <c r="M63" i="57"/>
  <c r="C62" i="57"/>
  <c r="K59" i="57"/>
  <c r="H57" i="57"/>
  <c r="C68" i="57"/>
  <c r="D66" i="57"/>
  <c r="L63" i="57"/>
  <c r="I61" i="57"/>
  <c r="J59" i="57"/>
  <c r="G57" i="57"/>
  <c r="I66" i="57"/>
  <c r="G63" i="57"/>
  <c r="B57" i="57"/>
  <c r="C66" i="57"/>
  <c r="M62" i="57"/>
  <c r="I65" i="57"/>
  <c r="L62" i="57"/>
  <c r="I59" i="57"/>
  <c r="H65" i="57"/>
  <c r="K62" i="57"/>
  <c r="H59" i="57"/>
  <c r="G65" i="57"/>
  <c r="I62" i="57"/>
  <c r="M68" i="57"/>
  <c r="E65" i="57"/>
  <c r="H62" i="57"/>
  <c r="M58" i="57"/>
  <c r="J67" i="57"/>
  <c r="M64" i="57"/>
  <c r="H58" i="57"/>
  <c r="H67" i="57"/>
  <c r="G67" i="57"/>
  <c r="M66" i="57"/>
  <c r="C61" i="57"/>
  <c r="L66" i="57"/>
  <c r="B61" i="57"/>
  <c r="K66" i="57"/>
  <c r="M60" i="57"/>
  <c r="C65" i="57"/>
  <c r="K60" i="57"/>
  <c r="I67" i="57"/>
  <c r="F58" i="57"/>
  <c r="D65" i="57"/>
  <c r="E58" i="57"/>
  <c r="J63" i="57"/>
  <c r="B65" i="57"/>
  <c r="E57" i="57"/>
  <c r="L64" i="57"/>
  <c r="D57" i="57"/>
  <c r="K64" i="57"/>
  <c r="C57" i="57"/>
  <c r="K63" i="57"/>
  <c r="H61" i="57"/>
  <c r="L67" i="57"/>
  <c r="K67" i="57"/>
  <c r="I63" i="57"/>
  <c r="I58" i="57"/>
  <c r="H63" i="57"/>
  <c r="K58" i="57"/>
  <c r="L60" i="57"/>
  <c r="L58" i="57"/>
  <c r="G58" i="57"/>
  <c r="M67" i="57"/>
  <c r="L36" i="73"/>
  <c r="I42" i="73"/>
  <c r="J41" i="73"/>
  <c r="R347" i="77"/>
  <c r="G329" i="77"/>
  <c r="F329" i="77"/>
  <c r="B105" i="69"/>
  <c r="K6" i="73"/>
  <c r="I11" i="61"/>
  <c r="G53" i="95"/>
  <c r="G47" i="95"/>
  <c r="E53" i="95"/>
  <c r="E47" i="95"/>
  <c r="I53" i="95"/>
  <c r="C49" i="95"/>
  <c r="H53" i="95"/>
  <c r="B49" i="95"/>
  <c r="F53" i="95"/>
  <c r="C51" i="95"/>
  <c r="I48" i="95"/>
  <c r="D53" i="95"/>
  <c r="B51" i="95"/>
  <c r="H48" i="95"/>
  <c r="C53" i="95"/>
  <c r="I50" i="95"/>
  <c r="G48" i="95"/>
  <c r="I54" i="95"/>
  <c r="C48" i="95"/>
  <c r="B53" i="95"/>
  <c r="I49" i="95"/>
  <c r="I52" i="95"/>
  <c r="H49" i="95"/>
  <c r="H52" i="95"/>
  <c r="F48" i="95"/>
  <c r="I51" i="95"/>
  <c r="I47" i="95"/>
  <c r="E54" i="95"/>
  <c r="B48" i="95"/>
  <c r="D54" i="95"/>
  <c r="H47" i="95"/>
  <c r="C54" i="95"/>
  <c r="F47" i="95"/>
  <c r="B54" i="95"/>
  <c r="D47" i="95"/>
  <c r="C47" i="95"/>
  <c r="C50" i="95"/>
  <c r="H51" i="95"/>
  <c r="H50" i="95"/>
  <c r="B50" i="95"/>
  <c r="F41" i="95"/>
  <c r="F54" i="95"/>
  <c r="H54" i="95"/>
  <c r="G54" i="95"/>
  <c r="C52" i="95"/>
  <c r="B52" i="95"/>
  <c r="B47" i="95"/>
  <c r="E48" i="95"/>
  <c r="D48" i="95"/>
  <c r="G405" i="81"/>
  <c r="F405" i="81"/>
  <c r="T425" i="81"/>
  <c r="I13" i="71"/>
  <c r="K13" i="71" s="1"/>
  <c r="F78" i="65"/>
  <c r="D87" i="65"/>
  <c r="B86" i="65"/>
  <c r="E430" i="67"/>
  <c r="K11" i="67"/>
  <c r="G9" i="69"/>
  <c r="M41" i="58"/>
  <c r="L41" i="58"/>
  <c r="C283" i="79"/>
  <c r="O281" i="79"/>
  <c r="M280" i="79"/>
  <c r="K279" i="79"/>
  <c r="I278" i="79"/>
  <c r="G277" i="79"/>
  <c r="E276" i="79"/>
  <c r="C275" i="79"/>
  <c r="O273" i="79"/>
  <c r="M272" i="79"/>
  <c r="K271" i="79"/>
  <c r="I270" i="79"/>
  <c r="B283" i="79"/>
  <c r="N281" i="79"/>
  <c r="L280" i="79"/>
  <c r="J279" i="79"/>
  <c r="H278" i="79"/>
  <c r="F277" i="79"/>
  <c r="D276" i="79"/>
  <c r="B275" i="79"/>
  <c r="N273" i="79"/>
  <c r="L272" i="79"/>
  <c r="J271" i="79"/>
  <c r="H270" i="79"/>
  <c r="M281" i="79"/>
  <c r="K280" i="79"/>
  <c r="I279" i="79"/>
  <c r="G278" i="79"/>
  <c r="E277" i="79"/>
  <c r="C276" i="79"/>
  <c r="O274" i="79"/>
  <c r="M273" i="79"/>
  <c r="K272" i="79"/>
  <c r="I271" i="79"/>
  <c r="G270" i="79"/>
  <c r="L281" i="79"/>
  <c r="J280" i="79"/>
  <c r="H279" i="79"/>
  <c r="F278" i="79"/>
  <c r="D277" i="79"/>
  <c r="B276" i="79"/>
  <c r="N274" i="79"/>
  <c r="L273" i="79"/>
  <c r="J272" i="79"/>
  <c r="H271" i="79"/>
  <c r="F270" i="79"/>
  <c r="M282" i="79"/>
  <c r="K281" i="79"/>
  <c r="I280" i="79"/>
  <c r="G279" i="79"/>
  <c r="E278" i="79"/>
  <c r="C277" i="79"/>
  <c r="O275" i="79"/>
  <c r="M274" i="79"/>
  <c r="K273" i="79"/>
  <c r="I272" i="79"/>
  <c r="G271" i="79"/>
  <c r="E270" i="79"/>
  <c r="K283" i="79"/>
  <c r="G281" i="79"/>
  <c r="E280" i="79"/>
  <c r="C279" i="79"/>
  <c r="M276" i="79"/>
  <c r="K275" i="79"/>
  <c r="I274" i="79"/>
  <c r="G273" i="79"/>
  <c r="E272" i="79"/>
  <c r="C271" i="79"/>
  <c r="N280" i="79"/>
  <c r="N278" i="79"/>
  <c r="F275" i="79"/>
  <c r="F273" i="79"/>
  <c r="L271" i="79"/>
  <c r="G282" i="79"/>
  <c r="H280" i="79"/>
  <c r="M278" i="79"/>
  <c r="E275" i="79"/>
  <c r="E273" i="79"/>
  <c r="F271" i="79"/>
  <c r="F282" i="79"/>
  <c r="G280" i="79"/>
  <c r="L278" i="79"/>
  <c r="L276" i="79"/>
  <c r="D275" i="79"/>
  <c r="D273" i="79"/>
  <c r="E271" i="79"/>
  <c r="E282" i="79"/>
  <c r="F280" i="79"/>
  <c r="K278" i="79"/>
  <c r="K276" i="79"/>
  <c r="L274" i="79"/>
  <c r="C273" i="79"/>
  <c r="D271" i="79"/>
  <c r="M283" i="79"/>
  <c r="D282" i="79"/>
  <c r="D280" i="79"/>
  <c r="J278" i="79"/>
  <c r="J276" i="79"/>
  <c r="K274" i="79"/>
  <c r="B273" i="79"/>
  <c r="B271" i="79"/>
  <c r="L283" i="79"/>
  <c r="C282" i="79"/>
  <c r="C280" i="79"/>
  <c r="D278" i="79"/>
  <c r="J274" i="79"/>
  <c r="O272" i="79"/>
  <c r="O270" i="79"/>
  <c r="J281" i="79"/>
  <c r="D279" i="79"/>
  <c r="N275" i="79"/>
  <c r="H273" i="79"/>
  <c r="D270" i="79"/>
  <c r="H281" i="79"/>
  <c r="O278" i="79"/>
  <c r="L275" i="79"/>
  <c r="H272" i="79"/>
  <c r="B270" i="79"/>
  <c r="F281" i="79"/>
  <c r="C278" i="79"/>
  <c r="E281" i="79"/>
  <c r="B278" i="79"/>
  <c r="I275" i="79"/>
  <c r="F272" i="79"/>
  <c r="F283" i="79"/>
  <c r="B280" i="79"/>
  <c r="J277" i="79"/>
  <c r="F274" i="79"/>
  <c r="N271" i="79"/>
  <c r="C281" i="79"/>
  <c r="B277" i="79"/>
  <c r="N272" i="79"/>
  <c r="B281" i="79"/>
  <c r="G272" i="79"/>
  <c r="O280" i="79"/>
  <c r="G276" i="79"/>
  <c r="D272" i="79"/>
  <c r="O279" i="79"/>
  <c r="F276" i="79"/>
  <c r="C272" i="79"/>
  <c r="J283" i="79"/>
  <c r="N279" i="79"/>
  <c r="M275" i="79"/>
  <c r="B272" i="79"/>
  <c r="M279" i="79"/>
  <c r="J275" i="79"/>
  <c r="O271" i="79"/>
  <c r="D283" i="79"/>
  <c r="J270" i="79"/>
  <c r="L282" i="79"/>
  <c r="H275" i="79"/>
  <c r="C270" i="79"/>
  <c r="K282" i="79"/>
  <c r="G275" i="79"/>
  <c r="J282" i="79"/>
  <c r="H274" i="79"/>
  <c r="B282" i="79"/>
  <c r="G274" i="79"/>
  <c r="F264" i="79"/>
  <c r="F279" i="79"/>
  <c r="B274" i="79"/>
  <c r="K277" i="79"/>
  <c r="E274" i="79"/>
  <c r="D274" i="79"/>
  <c r="C274" i="79"/>
  <c r="I281" i="79"/>
  <c r="N270" i="79"/>
  <c r="L270" i="79"/>
  <c r="K270" i="79"/>
  <c r="G283" i="79"/>
  <c r="E283" i="79"/>
  <c r="B279" i="79"/>
  <c r="M277" i="79"/>
  <c r="D281" i="79"/>
  <c r="L279" i="79"/>
  <c r="E279" i="79"/>
  <c r="L277" i="79"/>
  <c r="J273" i="79"/>
  <c r="I273" i="79"/>
  <c r="M271" i="79"/>
  <c r="M270" i="79"/>
  <c r="M287" i="79" s="1"/>
  <c r="N338" i="79" s="1"/>
  <c r="K31" i="78"/>
  <c r="M39" i="54"/>
  <c r="L39" i="54"/>
  <c r="I6" i="41"/>
  <c r="L189" i="73"/>
  <c r="B192" i="73"/>
  <c r="I193" i="73"/>
  <c r="D190" i="73"/>
  <c r="E193" i="73"/>
  <c r="K31" i="46"/>
  <c r="E111" i="51"/>
  <c r="E117" i="51"/>
  <c r="F178" i="59"/>
  <c r="J185" i="59"/>
  <c r="K190" i="59"/>
  <c r="J192" i="59"/>
  <c r="C185" i="59"/>
  <c r="C186" i="59"/>
  <c r="M189" i="59"/>
  <c r="G184" i="59"/>
  <c r="M192" i="59"/>
  <c r="F184" i="59"/>
  <c r="G189" i="59"/>
  <c r="L190" i="59"/>
  <c r="D187" i="59"/>
  <c r="F183" i="59"/>
  <c r="D183" i="59"/>
  <c r="K185" i="59"/>
  <c r="D190" i="59"/>
  <c r="B192" i="59"/>
  <c r="B183" i="59"/>
  <c r="C188" i="59"/>
  <c r="C189" i="59"/>
  <c r="E185" i="59"/>
  <c r="H193" i="59"/>
  <c r="I194" i="59"/>
  <c r="L183" i="59"/>
  <c r="H187" i="59"/>
  <c r="K186" i="59"/>
  <c r="H183" i="59"/>
  <c r="K191" i="59"/>
  <c r="H191" i="59"/>
  <c r="L189" i="59"/>
  <c r="C190" i="59"/>
  <c r="G185" i="59"/>
  <c r="H185" i="59"/>
  <c r="C194" i="59"/>
  <c r="B190" i="59"/>
  <c r="I188" i="59"/>
  <c r="M184" i="59"/>
  <c r="B188" i="59"/>
  <c r="J186" i="59"/>
  <c r="I193" i="59"/>
  <c r="C184" i="59"/>
  <c r="K183" i="59"/>
  <c r="G192" i="59"/>
  <c r="D188" i="59"/>
  <c r="B186" i="59"/>
  <c r="E193" i="59"/>
  <c r="H186" i="59"/>
  <c r="E192" i="59"/>
  <c r="E194" i="59"/>
  <c r="H190" i="59"/>
  <c r="G186" i="59"/>
  <c r="C183" i="59"/>
  <c r="K189" i="59"/>
  <c r="K187" i="59"/>
  <c r="E190" i="59"/>
  <c r="I189" i="59"/>
  <c r="J191" i="59"/>
  <c r="J190" i="59"/>
  <c r="C187" i="59"/>
  <c r="G191" i="59"/>
  <c r="D193" i="59"/>
  <c r="K192" i="59"/>
  <c r="C191" i="59"/>
  <c r="E188" i="59"/>
  <c r="F190" i="59"/>
  <c r="D185" i="59"/>
  <c r="L191" i="59"/>
  <c r="H188" i="59"/>
  <c r="H189" i="59"/>
  <c r="I186" i="59"/>
  <c r="E191" i="59"/>
  <c r="J193" i="59"/>
  <c r="M186" i="59"/>
  <c r="B189" i="59"/>
  <c r="E187" i="59"/>
  <c r="G183" i="59"/>
  <c r="E189" i="59"/>
  <c r="M185" i="59"/>
  <c r="K184" i="59"/>
  <c r="E186" i="59"/>
  <c r="D191" i="59"/>
  <c r="B187" i="59"/>
  <c r="C192" i="59"/>
  <c r="I190" i="59"/>
  <c r="L186" i="59"/>
  <c r="D189" i="59"/>
  <c r="K193" i="59"/>
  <c r="M183" i="59"/>
  <c r="J187" i="59"/>
  <c r="E183" i="59"/>
  <c r="B184" i="59"/>
  <c r="F186" i="59"/>
  <c r="J194" i="59"/>
  <c r="B185" i="59"/>
  <c r="I191" i="59"/>
  <c r="M191" i="59"/>
  <c r="J183" i="59"/>
  <c r="H194" i="59"/>
  <c r="I192" i="59"/>
  <c r="F192" i="59"/>
  <c r="F185" i="59"/>
  <c r="F191" i="59"/>
  <c r="H192" i="59"/>
  <c r="L184" i="59"/>
  <c r="K188" i="59"/>
  <c r="C193" i="59"/>
  <c r="M190" i="59"/>
  <c r="B194" i="59"/>
  <c r="F189" i="59"/>
  <c r="I185" i="59"/>
  <c r="D192" i="59"/>
  <c r="I184" i="59"/>
  <c r="E184" i="59"/>
  <c r="G190" i="59"/>
  <c r="L192" i="59"/>
  <c r="K194" i="59"/>
  <c r="J188" i="59"/>
  <c r="I187" i="59"/>
  <c r="J184" i="59"/>
  <c r="H184" i="59"/>
  <c r="B193" i="59"/>
  <c r="D186" i="59"/>
  <c r="D184" i="59"/>
  <c r="I57" i="55"/>
  <c r="I68" i="55"/>
  <c r="I56" i="51"/>
  <c r="C117" i="45"/>
  <c r="D110" i="45"/>
  <c r="H113" i="45"/>
  <c r="L30" i="18"/>
  <c r="M30" i="18"/>
  <c r="M152" i="55"/>
  <c r="M147" i="55"/>
  <c r="H148" i="55"/>
  <c r="I35" i="17"/>
  <c r="I33" i="17"/>
  <c r="I31" i="17"/>
  <c r="I29" i="17"/>
  <c r="H35" i="17"/>
  <c r="H33" i="17"/>
  <c r="H31" i="17"/>
  <c r="H29" i="17"/>
  <c r="G35" i="17"/>
  <c r="G33" i="17"/>
  <c r="G31" i="17"/>
  <c r="G29" i="17"/>
  <c r="G108" i="17" s="1"/>
  <c r="H141" i="17" s="1"/>
  <c r="F35" i="17"/>
  <c r="F33" i="17"/>
  <c r="F31" i="17"/>
  <c r="F29" i="17"/>
  <c r="F108" i="17" s="1"/>
  <c r="G141" i="17" s="1"/>
  <c r="D35" i="17"/>
  <c r="D33" i="17"/>
  <c r="E35" i="17"/>
  <c r="E33" i="17"/>
  <c r="H34" i="17"/>
  <c r="H32" i="17"/>
  <c r="H30" i="17"/>
  <c r="H28" i="17"/>
  <c r="G34" i="17"/>
  <c r="G32" i="17"/>
  <c r="G30" i="17"/>
  <c r="G28" i="17"/>
  <c r="G107" i="17" s="1"/>
  <c r="H140" i="17" s="1"/>
  <c r="C33" i="17"/>
  <c r="I28" i="17"/>
  <c r="B33" i="17"/>
  <c r="I32" i="17"/>
  <c r="F32" i="17"/>
  <c r="F28" i="17"/>
  <c r="F107" i="17" s="1"/>
  <c r="G140" i="17" s="1"/>
  <c r="D32" i="17"/>
  <c r="C32" i="17"/>
  <c r="E32" i="17"/>
  <c r="B35" i="17"/>
  <c r="I34" i="17"/>
  <c r="I30" i="17"/>
  <c r="F34" i="17"/>
  <c r="F30" i="17"/>
  <c r="C35" i="17"/>
  <c r="E34" i="17"/>
  <c r="D34" i="17"/>
  <c r="B32" i="17"/>
  <c r="C34" i="17"/>
  <c r="B34" i="17"/>
  <c r="F22" i="17"/>
  <c r="M32" i="72"/>
  <c r="L32" i="72"/>
  <c r="C83" i="21"/>
  <c r="H150" i="41"/>
  <c r="G64" i="105"/>
  <c r="G62" i="105"/>
  <c r="F64" i="105"/>
  <c r="F62" i="105"/>
  <c r="E68" i="105"/>
  <c r="E66" i="105"/>
  <c r="E64" i="105"/>
  <c r="E62" i="105"/>
  <c r="C65" i="105"/>
  <c r="H62" i="105"/>
  <c r="F56" i="105"/>
  <c r="E67" i="105"/>
  <c r="B65" i="105"/>
  <c r="D62" i="105"/>
  <c r="D67" i="105"/>
  <c r="I64" i="105"/>
  <c r="I109" i="105" s="1"/>
  <c r="J142" i="105" s="1"/>
  <c r="C62" i="105"/>
  <c r="D69" i="105"/>
  <c r="C64" i="105"/>
  <c r="C66" i="105"/>
  <c r="D63" i="105"/>
  <c r="E69" i="105"/>
  <c r="E114" i="105" s="1"/>
  <c r="F147" i="105" s="1"/>
  <c r="B66" i="105"/>
  <c r="C63" i="105"/>
  <c r="C69" i="105"/>
  <c r="I65" i="105"/>
  <c r="I110" i="105" s="1"/>
  <c r="J143" i="105" s="1"/>
  <c r="B63" i="105"/>
  <c r="B69" i="105"/>
  <c r="H65" i="105"/>
  <c r="H110" i="105" s="1"/>
  <c r="I143" i="105" s="1"/>
  <c r="I62" i="105"/>
  <c r="G65" i="105"/>
  <c r="B62" i="105"/>
  <c r="F65" i="105"/>
  <c r="I63" i="105"/>
  <c r="D68" i="105"/>
  <c r="H63" i="105"/>
  <c r="C68" i="105"/>
  <c r="G63" i="105"/>
  <c r="B68" i="105"/>
  <c r="F63" i="105"/>
  <c r="E63" i="105"/>
  <c r="B67" i="105"/>
  <c r="B64" i="105"/>
  <c r="E65" i="105"/>
  <c r="C67" i="105"/>
  <c r="D66" i="105"/>
  <c r="D65" i="105"/>
  <c r="D64" i="105"/>
  <c r="H64" i="105"/>
  <c r="H109" i="105" s="1"/>
  <c r="I142" i="105" s="1"/>
  <c r="H208" i="99"/>
  <c r="F217" i="99"/>
  <c r="F209" i="99"/>
  <c r="M211" i="99"/>
  <c r="J209" i="99"/>
  <c r="N387" i="97"/>
  <c r="N386" i="97"/>
  <c r="I101" i="87"/>
  <c r="F148" i="87"/>
  <c r="G148" i="87"/>
  <c r="I6" i="87"/>
  <c r="J6" i="87" s="1"/>
  <c r="M41" i="106"/>
  <c r="L41" i="106"/>
  <c r="I7" i="89"/>
  <c r="F322" i="97"/>
  <c r="G322" i="97"/>
  <c r="P338" i="97"/>
  <c r="M28" i="78"/>
  <c r="L28" i="78"/>
  <c r="G81" i="101"/>
  <c r="F81" i="101"/>
  <c r="J91" i="101"/>
  <c r="C99" i="89"/>
  <c r="J100" i="89"/>
  <c r="D100" i="89"/>
  <c r="K98" i="89"/>
  <c r="F94" i="85"/>
  <c r="C101" i="85"/>
  <c r="D105" i="85"/>
  <c r="C105" i="85"/>
  <c r="D101" i="85"/>
  <c r="I105" i="85"/>
  <c r="E105" i="85"/>
  <c r="I99" i="85"/>
  <c r="E99" i="85"/>
  <c r="E100" i="85"/>
  <c r="D104" i="85"/>
  <c r="O159" i="83"/>
  <c r="O158" i="83"/>
  <c r="O157" i="83"/>
  <c r="O156" i="83"/>
  <c r="O155" i="83"/>
  <c r="O154" i="83"/>
  <c r="O153" i="83"/>
  <c r="O152" i="83"/>
  <c r="O151" i="83"/>
  <c r="O150" i="83"/>
  <c r="O149" i="83"/>
  <c r="O148" i="83"/>
  <c r="O147" i="83"/>
  <c r="O146" i="83"/>
  <c r="O145" i="83"/>
  <c r="O144" i="83"/>
  <c r="J159" i="83"/>
  <c r="J158" i="83"/>
  <c r="J157" i="83"/>
  <c r="J156" i="83"/>
  <c r="J155" i="83"/>
  <c r="J154" i="83"/>
  <c r="J153" i="83"/>
  <c r="J152" i="83"/>
  <c r="J151" i="83"/>
  <c r="J150" i="83"/>
  <c r="J149" i="83"/>
  <c r="J148" i="83"/>
  <c r="J147" i="83"/>
  <c r="J146" i="83"/>
  <c r="J145" i="83"/>
  <c r="J144" i="83"/>
  <c r="H159" i="83"/>
  <c r="F158" i="83"/>
  <c r="D157" i="83"/>
  <c r="B156" i="83"/>
  <c r="P154" i="83"/>
  <c r="M153" i="83"/>
  <c r="K152" i="83"/>
  <c r="H151" i="83"/>
  <c r="F150" i="83"/>
  <c r="D149" i="83"/>
  <c r="B148" i="83"/>
  <c r="P146" i="83"/>
  <c r="K144" i="83"/>
  <c r="G159" i="83"/>
  <c r="E158" i="83"/>
  <c r="C157" i="83"/>
  <c r="Q155" i="83"/>
  <c r="N154" i="83"/>
  <c r="L153" i="83"/>
  <c r="I152" i="83"/>
  <c r="G151" i="83"/>
  <c r="E150" i="83"/>
  <c r="C149" i="83"/>
  <c r="Q147" i="83"/>
  <c r="N146" i="83"/>
  <c r="I144" i="83"/>
  <c r="F159" i="83"/>
  <c r="D158" i="83"/>
  <c r="B157" i="83"/>
  <c r="P155" i="83"/>
  <c r="K153" i="83"/>
  <c r="H152" i="83"/>
  <c r="F151" i="83"/>
  <c r="D150" i="83"/>
  <c r="B149" i="83"/>
  <c r="P147" i="83"/>
  <c r="M146" i="83"/>
  <c r="K145" i="83"/>
  <c r="H144" i="83"/>
  <c r="E159" i="83"/>
  <c r="C158" i="83"/>
  <c r="Q156" i="83"/>
  <c r="N155" i="83"/>
  <c r="I153" i="83"/>
  <c r="G152" i="83"/>
  <c r="E151" i="83"/>
  <c r="C150" i="83"/>
  <c r="Q148" i="83"/>
  <c r="N147" i="83"/>
  <c r="L146" i="83"/>
  <c r="I145" i="83"/>
  <c r="G144" i="83"/>
  <c r="D159" i="83"/>
  <c r="B158" i="83"/>
  <c r="P156" i="83"/>
  <c r="K154" i="83"/>
  <c r="H153" i="83"/>
  <c r="F152" i="83"/>
  <c r="D151" i="83"/>
  <c r="B150" i="83"/>
  <c r="P148" i="83"/>
  <c r="M147" i="83"/>
  <c r="K146" i="83"/>
  <c r="H145" i="83"/>
  <c r="F144" i="83"/>
  <c r="P158" i="83"/>
  <c r="M157" i="83"/>
  <c r="K156" i="83"/>
  <c r="H155" i="83"/>
  <c r="F154" i="83"/>
  <c r="D153" i="83"/>
  <c r="B152" i="83"/>
  <c r="P150" i="83"/>
  <c r="M149" i="83"/>
  <c r="K148" i="83"/>
  <c r="H147" i="83"/>
  <c r="F146" i="83"/>
  <c r="D145" i="83"/>
  <c r="L159" i="83"/>
  <c r="L157" i="83"/>
  <c r="C156" i="83"/>
  <c r="D152" i="83"/>
  <c r="I150" i="83"/>
  <c r="I148" i="83"/>
  <c r="Q146" i="83"/>
  <c r="Q144" i="83"/>
  <c r="F138" i="83"/>
  <c r="M159" i="83"/>
  <c r="K157" i="83"/>
  <c r="K155" i="83"/>
  <c r="P153" i="83"/>
  <c r="N151" i="83"/>
  <c r="N149" i="83"/>
  <c r="C148" i="83"/>
  <c r="B146" i="83"/>
  <c r="K159" i="83"/>
  <c r="I157" i="83"/>
  <c r="I155" i="83"/>
  <c r="N153" i="83"/>
  <c r="M151" i="83"/>
  <c r="L149" i="83"/>
  <c r="L147" i="83"/>
  <c r="Q145" i="83"/>
  <c r="I159" i="83"/>
  <c r="H157" i="83"/>
  <c r="G155" i="83"/>
  <c r="G153" i="83"/>
  <c r="L151" i="83"/>
  <c r="K149" i="83"/>
  <c r="K147" i="83"/>
  <c r="P145" i="83"/>
  <c r="C159" i="83"/>
  <c r="G157" i="83"/>
  <c r="F155" i="83"/>
  <c r="F153" i="83"/>
  <c r="K151" i="83"/>
  <c r="I149" i="83"/>
  <c r="I147" i="83"/>
  <c r="N145" i="83"/>
  <c r="B159" i="83"/>
  <c r="F157" i="83"/>
  <c r="E155" i="83"/>
  <c r="E153" i="83"/>
  <c r="I151" i="83"/>
  <c r="H149" i="83"/>
  <c r="G147" i="83"/>
  <c r="G145" i="83"/>
  <c r="Q158" i="83"/>
  <c r="E157" i="83"/>
  <c r="D155" i="83"/>
  <c r="C153" i="83"/>
  <c r="C151" i="83"/>
  <c r="G149" i="83"/>
  <c r="F147" i="83"/>
  <c r="F145" i="83"/>
  <c r="H158" i="83"/>
  <c r="C152" i="83"/>
  <c r="M148" i="83"/>
  <c r="C146" i="83"/>
  <c r="G158" i="83"/>
  <c r="Q154" i="83"/>
  <c r="Q151" i="83"/>
  <c r="L148" i="83"/>
  <c r="E145" i="83"/>
  <c r="Q157" i="83"/>
  <c r="I154" i="83"/>
  <c r="P151" i="83"/>
  <c r="H148" i="83"/>
  <c r="P157" i="83"/>
  <c r="H154" i="83"/>
  <c r="B151" i="83"/>
  <c r="G148" i="83"/>
  <c r="N157" i="83"/>
  <c r="G154" i="83"/>
  <c r="Q150" i="83"/>
  <c r="F148" i="83"/>
  <c r="P144" i="83"/>
  <c r="P159" i="83"/>
  <c r="H156" i="83"/>
  <c r="B153" i="83"/>
  <c r="H150" i="83"/>
  <c r="C147" i="83"/>
  <c r="D144" i="83"/>
  <c r="M158" i="83"/>
  <c r="E149" i="83"/>
  <c r="L158" i="83"/>
  <c r="Q153" i="83"/>
  <c r="N148" i="83"/>
  <c r="K158" i="83"/>
  <c r="Q152" i="83"/>
  <c r="E148" i="83"/>
  <c r="I158" i="83"/>
  <c r="P152" i="83"/>
  <c r="D148" i="83"/>
  <c r="N156" i="83"/>
  <c r="N152" i="83"/>
  <c r="E147" i="83"/>
  <c r="M156" i="83"/>
  <c r="M152" i="83"/>
  <c r="D147" i="83"/>
  <c r="G146" i="83"/>
  <c r="E154" i="83"/>
  <c r="E146" i="83"/>
  <c r="D154" i="83"/>
  <c r="D146" i="83"/>
  <c r="L152" i="83"/>
  <c r="N144" i="83"/>
  <c r="E152" i="83"/>
  <c r="N158" i="83"/>
  <c r="K150" i="83"/>
  <c r="N150" i="83"/>
  <c r="M150" i="83"/>
  <c r="L150" i="83"/>
  <c r="G150" i="83"/>
  <c r="Q159" i="83"/>
  <c r="B147" i="83"/>
  <c r="I156" i="83"/>
  <c r="G156" i="83"/>
  <c r="F156" i="83"/>
  <c r="E156" i="83"/>
  <c r="D156" i="83"/>
  <c r="I146" i="83"/>
  <c r="H146" i="83"/>
  <c r="N159" i="83"/>
  <c r="L156" i="83"/>
  <c r="Q149" i="83"/>
  <c r="P149" i="83"/>
  <c r="F149" i="83"/>
  <c r="E144" i="83"/>
  <c r="I14" i="99"/>
  <c r="K14" i="99" s="1"/>
  <c r="K30" i="84"/>
  <c r="I102" i="85"/>
  <c r="I103" i="85"/>
  <c r="K29" i="96"/>
  <c r="I11" i="77"/>
  <c r="I16" i="83"/>
  <c r="K16" i="83" s="1"/>
  <c r="C242" i="77"/>
  <c r="F510" i="77"/>
  <c r="D510" i="77"/>
  <c r="C42" i="69"/>
  <c r="D47" i="69"/>
  <c r="E46" i="69"/>
  <c r="G68" i="59"/>
  <c r="F36" i="85"/>
  <c r="G258" i="71"/>
  <c r="F258" i="71"/>
  <c r="P274" i="71"/>
  <c r="J141" i="59"/>
  <c r="J65" i="59"/>
  <c r="K11" i="73"/>
  <c r="I11" i="73"/>
  <c r="K105" i="63"/>
  <c r="L141" i="59"/>
  <c r="B214" i="75"/>
  <c r="N212" i="75"/>
  <c r="J210" i="75"/>
  <c r="H209" i="75"/>
  <c r="F208" i="75"/>
  <c r="D207" i="75"/>
  <c r="B206" i="75"/>
  <c r="N204" i="75"/>
  <c r="L203" i="75"/>
  <c r="J202" i="75"/>
  <c r="H201" i="75"/>
  <c r="O214" i="75"/>
  <c r="L213" i="75"/>
  <c r="I212" i="75"/>
  <c r="C210" i="75"/>
  <c r="N208" i="75"/>
  <c r="K207" i="75"/>
  <c r="H206" i="75"/>
  <c r="E205" i="75"/>
  <c r="B204" i="75"/>
  <c r="M202" i="75"/>
  <c r="J201" i="75"/>
  <c r="M213" i="75"/>
  <c r="H212" i="75"/>
  <c r="D211" i="75"/>
  <c r="N209" i="75"/>
  <c r="J208" i="75"/>
  <c r="F207" i="75"/>
  <c r="O205" i="75"/>
  <c r="K204" i="75"/>
  <c r="G203" i="75"/>
  <c r="C202" i="75"/>
  <c r="K213" i="75"/>
  <c r="C211" i="75"/>
  <c r="M209" i="75"/>
  <c r="I208" i="75"/>
  <c r="E207" i="75"/>
  <c r="N205" i="75"/>
  <c r="J204" i="75"/>
  <c r="F203" i="75"/>
  <c r="B202" i="75"/>
  <c r="N214" i="75"/>
  <c r="J213" i="75"/>
  <c r="B211" i="75"/>
  <c r="L209" i="75"/>
  <c r="H208" i="75"/>
  <c r="C207" i="75"/>
  <c r="I204" i="75"/>
  <c r="E203" i="75"/>
  <c r="O201" i="75"/>
  <c r="M214" i="75"/>
  <c r="I213" i="75"/>
  <c r="E212" i="75"/>
  <c r="O210" i="75"/>
  <c r="K209" i="75"/>
  <c r="G208" i="75"/>
  <c r="B207" i="75"/>
  <c r="H204" i="75"/>
  <c r="D203" i="75"/>
  <c r="N201" i="75"/>
  <c r="L214" i="75"/>
  <c r="H213" i="75"/>
  <c r="D212" i="75"/>
  <c r="N210" i="75"/>
  <c r="J209" i="75"/>
  <c r="E208" i="75"/>
  <c r="O206" i="75"/>
  <c r="K205" i="75"/>
  <c r="G204" i="75"/>
  <c r="C203" i="75"/>
  <c r="M201" i="75"/>
  <c r="K214" i="75"/>
  <c r="G213" i="75"/>
  <c r="C212" i="75"/>
  <c r="M210" i="75"/>
  <c r="I209" i="75"/>
  <c r="D208" i="75"/>
  <c r="N206" i="75"/>
  <c r="J205" i="75"/>
  <c r="F204" i="75"/>
  <c r="B203" i="75"/>
  <c r="L201" i="75"/>
  <c r="C214" i="75"/>
  <c r="O209" i="75"/>
  <c r="L207" i="75"/>
  <c r="H205" i="75"/>
  <c r="J203" i="75"/>
  <c r="F201" i="75"/>
  <c r="O213" i="75"/>
  <c r="K211" i="75"/>
  <c r="G209" i="75"/>
  <c r="J207" i="75"/>
  <c r="I203" i="75"/>
  <c r="E201" i="75"/>
  <c r="N213" i="75"/>
  <c r="J211" i="75"/>
  <c r="F209" i="75"/>
  <c r="I207" i="75"/>
  <c r="H203" i="75"/>
  <c r="D201" i="75"/>
  <c r="F213" i="75"/>
  <c r="I211" i="75"/>
  <c r="E209" i="75"/>
  <c r="H207" i="75"/>
  <c r="D205" i="75"/>
  <c r="O202" i="75"/>
  <c r="C201" i="75"/>
  <c r="E213" i="75"/>
  <c r="H211" i="75"/>
  <c r="D209" i="75"/>
  <c r="G207" i="75"/>
  <c r="C205" i="75"/>
  <c r="N202" i="75"/>
  <c r="B201" i="75"/>
  <c r="O212" i="75"/>
  <c r="K210" i="75"/>
  <c r="M208" i="75"/>
  <c r="J206" i="75"/>
  <c r="L204" i="75"/>
  <c r="H202" i="75"/>
  <c r="C213" i="75"/>
  <c r="E210" i="75"/>
  <c r="I206" i="75"/>
  <c r="K203" i="75"/>
  <c r="B213" i="75"/>
  <c r="D210" i="75"/>
  <c r="L202" i="75"/>
  <c r="F195" i="75"/>
  <c r="B210" i="75"/>
  <c r="K202" i="75"/>
  <c r="C209" i="75"/>
  <c r="E206" i="75"/>
  <c r="I202" i="75"/>
  <c r="K212" i="75"/>
  <c r="B209" i="75"/>
  <c r="D206" i="75"/>
  <c r="G202" i="75"/>
  <c r="J214" i="75"/>
  <c r="N211" i="75"/>
  <c r="C208" i="75"/>
  <c r="O204" i="75"/>
  <c r="K201" i="75"/>
  <c r="I210" i="75"/>
  <c r="B205" i="75"/>
  <c r="H210" i="75"/>
  <c r="M204" i="75"/>
  <c r="G210" i="75"/>
  <c r="E204" i="75"/>
  <c r="I214" i="75"/>
  <c r="F210" i="75"/>
  <c r="D204" i="75"/>
  <c r="H214" i="75"/>
  <c r="O208" i="75"/>
  <c r="C204" i="75"/>
  <c r="D214" i="75"/>
  <c r="O207" i="75"/>
  <c r="F202" i="75"/>
  <c r="D213" i="75"/>
  <c r="N207" i="75"/>
  <c r="E202" i="75"/>
  <c r="L210" i="75"/>
  <c r="L208" i="75"/>
  <c r="K208" i="75"/>
  <c r="B208" i="75"/>
  <c r="M207" i="75"/>
  <c r="G214" i="75"/>
  <c r="C206" i="75"/>
  <c r="F214" i="75"/>
  <c r="E214" i="75"/>
  <c r="J212" i="75"/>
  <c r="B212" i="75"/>
  <c r="O211" i="75"/>
  <c r="O203" i="75"/>
  <c r="E211" i="75"/>
  <c r="K206" i="75"/>
  <c r="I205" i="75"/>
  <c r="N203" i="75"/>
  <c r="M203" i="75"/>
  <c r="D202" i="75"/>
  <c r="I201" i="75"/>
  <c r="G201" i="75"/>
  <c r="K100" i="69"/>
  <c r="B106" i="69"/>
  <c r="B107" i="69"/>
  <c r="E146" i="59"/>
  <c r="E63" i="59"/>
  <c r="K34" i="80"/>
  <c r="C152" i="63"/>
  <c r="F148" i="63"/>
  <c r="J141" i="63"/>
  <c r="I151" i="63"/>
  <c r="K146" i="63"/>
  <c r="C151" i="63"/>
  <c r="K145" i="63"/>
  <c r="B151" i="63"/>
  <c r="J145" i="63"/>
  <c r="K150" i="63"/>
  <c r="F136" i="63"/>
  <c r="J150" i="63"/>
  <c r="M144" i="63"/>
  <c r="H150" i="63"/>
  <c r="E144" i="63"/>
  <c r="M146" i="63"/>
  <c r="F144" i="63"/>
  <c r="C144" i="63"/>
  <c r="B144" i="63"/>
  <c r="G152" i="63"/>
  <c r="M143" i="63"/>
  <c r="F152" i="63"/>
  <c r="L143" i="63"/>
  <c r="M148" i="63"/>
  <c r="I141" i="63"/>
  <c r="E148" i="63"/>
  <c r="C148" i="63"/>
  <c r="B148" i="63"/>
  <c r="M147" i="63"/>
  <c r="B147" i="63"/>
  <c r="E142" i="63"/>
  <c r="G148" i="63"/>
  <c r="K141" i="63"/>
  <c r="E152" i="63"/>
  <c r="I150" i="63"/>
  <c r="C149" i="63"/>
  <c r="K152" i="63"/>
  <c r="F143" i="63"/>
  <c r="L145" i="63"/>
  <c r="I145" i="63"/>
  <c r="G149" i="63"/>
  <c r="G151" i="63"/>
  <c r="H144" i="63"/>
  <c r="J143" i="63"/>
  <c r="I147" i="63"/>
  <c r="K142" i="63"/>
  <c r="I142" i="63"/>
  <c r="C150" i="63"/>
  <c r="I152" i="63"/>
  <c r="D143" i="63"/>
  <c r="E145" i="63"/>
  <c r="H146" i="63"/>
  <c r="K148" i="63"/>
  <c r="E151" i="63"/>
  <c r="L141" i="63"/>
  <c r="M151" i="63"/>
  <c r="B143" i="63"/>
  <c r="F150" i="63"/>
  <c r="J142" i="63"/>
  <c r="I148" i="63"/>
  <c r="L150" i="63"/>
  <c r="K147" i="63"/>
  <c r="J151" i="63"/>
  <c r="E146" i="63"/>
  <c r="D150" i="63"/>
  <c r="J152" i="63"/>
  <c r="E143" i="63"/>
  <c r="H145" i="63"/>
  <c r="L151" i="63"/>
  <c r="M142" i="63"/>
  <c r="M30" i="58"/>
  <c r="L30" i="58"/>
  <c r="F39" i="73"/>
  <c r="C45" i="73"/>
  <c r="H44" i="73"/>
  <c r="H40" i="73"/>
  <c r="D144" i="63"/>
  <c r="L152" i="63"/>
  <c r="M282" i="57"/>
  <c r="A294" i="57" s="1"/>
  <c r="A306" i="57" s="1"/>
  <c r="N283" i="57"/>
  <c r="D279" i="57"/>
  <c r="N280" i="57"/>
  <c r="M280" i="57"/>
  <c r="A292" i="57" s="1"/>
  <c r="A304" i="57" s="1"/>
  <c r="C279" i="57"/>
  <c r="N284" i="57"/>
  <c r="M284" i="57"/>
  <c r="A296" i="57" s="1"/>
  <c r="A308" i="57" s="1"/>
  <c r="N281" i="57"/>
  <c r="M281" i="57"/>
  <c r="A293" i="57" s="1"/>
  <c r="A305" i="57" s="1"/>
  <c r="G279" i="57"/>
  <c r="F279" i="57"/>
  <c r="E279" i="57"/>
  <c r="M283" i="57"/>
  <c r="A295" i="57" s="1"/>
  <c r="A307" i="57" s="1"/>
  <c r="N282" i="57"/>
  <c r="J192" i="71"/>
  <c r="C189" i="71"/>
  <c r="K183" i="71"/>
  <c r="E184" i="71"/>
  <c r="G192" i="71"/>
  <c r="F89" i="59"/>
  <c r="B88" i="59"/>
  <c r="J86" i="59"/>
  <c r="B84" i="59"/>
  <c r="J82" i="59"/>
  <c r="F81" i="59"/>
  <c r="B80" i="59"/>
  <c r="J78" i="59"/>
  <c r="J88" i="59"/>
  <c r="F87" i="59"/>
  <c r="B86" i="59"/>
  <c r="J84" i="59"/>
  <c r="B82" i="59"/>
  <c r="J80" i="59"/>
  <c r="F79" i="59"/>
  <c r="B78" i="59"/>
  <c r="F72" i="59"/>
  <c r="C89" i="59"/>
  <c r="I87" i="59"/>
  <c r="C86" i="59"/>
  <c r="B83" i="59"/>
  <c r="H81" i="59"/>
  <c r="M79" i="59"/>
  <c r="G78" i="59"/>
  <c r="B89" i="59"/>
  <c r="H87" i="59"/>
  <c r="M85" i="59"/>
  <c r="M82" i="59"/>
  <c r="G81" i="59"/>
  <c r="L79" i="59"/>
  <c r="F78" i="59"/>
  <c r="M88" i="59"/>
  <c r="G87" i="59"/>
  <c r="L85" i="59"/>
  <c r="L82" i="59"/>
  <c r="E81" i="59"/>
  <c r="K79" i="59"/>
  <c r="E78" i="59"/>
  <c r="L88" i="59"/>
  <c r="E87" i="59"/>
  <c r="K85" i="59"/>
  <c r="E84" i="59"/>
  <c r="K82" i="59"/>
  <c r="D81" i="59"/>
  <c r="J79" i="59"/>
  <c r="D78" i="59"/>
  <c r="K88" i="59"/>
  <c r="D87" i="59"/>
  <c r="J85" i="59"/>
  <c r="D84" i="59"/>
  <c r="C81" i="59"/>
  <c r="I79" i="59"/>
  <c r="C78" i="59"/>
  <c r="L89" i="59"/>
  <c r="F88" i="59"/>
  <c r="L86" i="59"/>
  <c r="E85" i="59"/>
  <c r="K83" i="59"/>
  <c r="E82" i="59"/>
  <c r="K80" i="59"/>
  <c r="D79" i="59"/>
  <c r="E88" i="59"/>
  <c r="D86" i="59"/>
  <c r="M80" i="59"/>
  <c r="K78" i="59"/>
  <c r="D88" i="59"/>
  <c r="L80" i="59"/>
  <c r="I78" i="59"/>
  <c r="C88" i="59"/>
  <c r="E83" i="59"/>
  <c r="I80" i="59"/>
  <c r="H78" i="59"/>
  <c r="M87" i="59"/>
  <c r="D83" i="59"/>
  <c r="H80" i="59"/>
  <c r="L87" i="59"/>
  <c r="D85" i="59"/>
  <c r="C83" i="59"/>
  <c r="G80" i="59"/>
  <c r="E89" i="59"/>
  <c r="C85" i="59"/>
  <c r="M81" i="59"/>
  <c r="L78" i="59"/>
  <c r="D89" i="59"/>
  <c r="B85" i="59"/>
  <c r="L81" i="59"/>
  <c r="I88" i="59"/>
  <c r="M84" i="59"/>
  <c r="K81" i="59"/>
  <c r="H88" i="59"/>
  <c r="L84" i="59"/>
  <c r="J81" i="59"/>
  <c r="G88" i="59"/>
  <c r="K84" i="59"/>
  <c r="I81" i="59"/>
  <c r="J87" i="59"/>
  <c r="C84" i="59"/>
  <c r="F80" i="59"/>
  <c r="G86" i="59"/>
  <c r="C80" i="59"/>
  <c r="F86" i="59"/>
  <c r="H79" i="59"/>
  <c r="E86" i="59"/>
  <c r="G79" i="59"/>
  <c r="M89" i="59"/>
  <c r="E79" i="59"/>
  <c r="K89" i="59"/>
  <c r="M83" i="59"/>
  <c r="C79" i="59"/>
  <c r="J89" i="59"/>
  <c r="L83" i="59"/>
  <c r="B79" i="59"/>
  <c r="K87" i="59"/>
  <c r="D82" i="59"/>
  <c r="C82" i="59"/>
  <c r="B81" i="59"/>
  <c r="I89" i="59"/>
  <c r="E80" i="59"/>
  <c r="H89" i="59"/>
  <c r="D80" i="59"/>
  <c r="C87" i="59"/>
  <c r="B87" i="59"/>
  <c r="G89" i="59"/>
  <c r="I86" i="59"/>
  <c r="H86" i="59"/>
  <c r="M78" i="59"/>
  <c r="M86" i="59"/>
  <c r="K86" i="59"/>
  <c r="J83" i="59"/>
  <c r="C45" i="55"/>
  <c r="E44" i="55"/>
  <c r="H100" i="69"/>
  <c r="F328" i="77"/>
  <c r="R346" i="77"/>
  <c r="G328" i="77"/>
  <c r="G99" i="71"/>
  <c r="M67" i="61"/>
  <c r="M66" i="61"/>
  <c r="G63" i="61"/>
  <c r="M39" i="55"/>
  <c r="H103" i="71"/>
  <c r="C82" i="65"/>
  <c r="K80" i="65"/>
  <c r="I88" i="65"/>
  <c r="L88" i="65"/>
  <c r="F110" i="71"/>
  <c r="M29" i="74"/>
  <c r="L29" i="74"/>
  <c r="C192" i="73"/>
  <c r="E184" i="73"/>
  <c r="I191" i="73"/>
  <c r="J194" i="73"/>
  <c r="C113" i="51"/>
  <c r="I116" i="51"/>
  <c r="L59" i="55"/>
  <c r="K62" i="55"/>
  <c r="B58" i="55"/>
  <c r="N6" i="65"/>
  <c r="A352" i="65" s="1"/>
  <c r="I12" i="53"/>
  <c r="J12" i="53" s="1"/>
  <c r="H58" i="51"/>
  <c r="J111" i="45"/>
  <c r="B188" i="73"/>
  <c r="J109" i="45"/>
  <c r="F58" i="51"/>
  <c r="B153" i="47"/>
  <c r="I146" i="47"/>
  <c r="C102" i="29"/>
  <c r="I12" i="37"/>
  <c r="K12" i="37" s="1"/>
  <c r="E154" i="35"/>
  <c r="B143" i="55"/>
  <c r="H152" i="55"/>
  <c r="B81" i="29"/>
  <c r="I10" i="49"/>
  <c r="H152" i="35"/>
  <c r="F153" i="35"/>
  <c r="E246" i="27"/>
  <c r="J7" i="27"/>
  <c r="N7" i="27"/>
  <c r="A212" i="27" s="1"/>
  <c r="J11" i="39"/>
  <c r="I11" i="39"/>
  <c r="B85" i="21"/>
  <c r="D153" i="41"/>
  <c r="N205" i="35"/>
  <c r="G191" i="35"/>
  <c r="F191" i="35"/>
  <c r="I146" i="55"/>
  <c r="M141" i="55"/>
  <c r="B79" i="35"/>
  <c r="F77" i="35"/>
  <c r="J75" i="35"/>
  <c r="D74" i="35"/>
  <c r="H72" i="35"/>
  <c r="K78" i="35"/>
  <c r="E77" i="35"/>
  <c r="I75" i="35"/>
  <c r="C74" i="35"/>
  <c r="G72" i="35"/>
  <c r="K70" i="35"/>
  <c r="I79" i="35"/>
  <c r="K77" i="35"/>
  <c r="E74" i="35"/>
  <c r="E72" i="35"/>
  <c r="G70" i="35"/>
  <c r="H79" i="35"/>
  <c r="J77" i="35"/>
  <c r="B74" i="35"/>
  <c r="D72" i="35"/>
  <c r="F70" i="35"/>
  <c r="F79" i="35"/>
  <c r="H75" i="35"/>
  <c r="J73" i="35"/>
  <c r="B72" i="35"/>
  <c r="D70" i="35"/>
  <c r="F64" i="35"/>
  <c r="E79" i="35"/>
  <c r="G77" i="35"/>
  <c r="G75" i="35"/>
  <c r="I73" i="35"/>
  <c r="K71" i="35"/>
  <c r="H78" i="35"/>
  <c r="J76" i="35"/>
  <c r="B75" i="35"/>
  <c r="D73" i="35"/>
  <c r="F71" i="35"/>
  <c r="I74" i="35"/>
  <c r="J78" i="35"/>
  <c r="F76" i="35"/>
  <c r="G73" i="35"/>
  <c r="F74" i="35"/>
  <c r="E71" i="35"/>
  <c r="K76" i="35"/>
  <c r="K73" i="35"/>
  <c r="D71" i="35"/>
  <c r="K79" i="35"/>
  <c r="H73" i="35"/>
  <c r="J70" i="35"/>
  <c r="J79" i="35"/>
  <c r="F73" i="35"/>
  <c r="G79" i="35"/>
  <c r="G76" i="35"/>
  <c r="E73" i="35"/>
  <c r="D79" i="35"/>
  <c r="E76" i="35"/>
  <c r="C73" i="35"/>
  <c r="E70" i="35"/>
  <c r="F78" i="35"/>
  <c r="E75" i="35"/>
  <c r="I72" i="35"/>
  <c r="E78" i="35"/>
  <c r="D75" i="35"/>
  <c r="F72" i="35"/>
  <c r="D77" i="35"/>
  <c r="G71" i="35"/>
  <c r="K75" i="35"/>
  <c r="D76" i="35"/>
  <c r="F75" i="35"/>
  <c r="C75" i="35"/>
  <c r="J74" i="35"/>
  <c r="K74" i="35"/>
  <c r="C79" i="35"/>
  <c r="B73" i="35"/>
  <c r="I78" i="35"/>
  <c r="K72" i="35"/>
  <c r="G78" i="35"/>
  <c r="J72" i="35"/>
  <c r="H74" i="35"/>
  <c r="G74" i="35"/>
  <c r="C72" i="35"/>
  <c r="J71" i="35"/>
  <c r="D78" i="35"/>
  <c r="C78" i="35"/>
  <c r="B78" i="35"/>
  <c r="I6" i="21"/>
  <c r="J6" i="21" s="1"/>
  <c r="G184" i="41"/>
  <c r="F184" i="41"/>
  <c r="F190" i="41"/>
  <c r="F191" i="41"/>
  <c r="G189" i="41"/>
  <c r="G192" i="37"/>
  <c r="F192" i="37"/>
  <c r="N206" i="37"/>
  <c r="C103" i="29"/>
  <c r="F66" i="49"/>
  <c r="E79" i="49"/>
  <c r="F75" i="49"/>
  <c r="C75" i="49"/>
  <c r="H71" i="49"/>
  <c r="F74" i="49"/>
  <c r="G70" i="49"/>
  <c r="H77" i="49"/>
  <c r="G72" i="49"/>
  <c r="G77" i="49"/>
  <c r="F72" i="49"/>
  <c r="F77" i="49"/>
  <c r="D72" i="49"/>
  <c r="D77" i="49"/>
  <c r="C72" i="49"/>
  <c r="C77" i="49"/>
  <c r="C166" i="49" s="1"/>
  <c r="D205" i="49" s="1"/>
  <c r="I71" i="49"/>
  <c r="B77" i="49"/>
  <c r="E70" i="49"/>
  <c r="E75" i="49"/>
  <c r="E74" i="49"/>
  <c r="I76" i="49"/>
  <c r="C76" i="49"/>
  <c r="C74" i="49"/>
  <c r="B74" i="49"/>
  <c r="B163" i="49" s="1"/>
  <c r="C202" i="49" s="1"/>
  <c r="K73" i="49"/>
  <c r="H72" i="49"/>
  <c r="I72" i="49"/>
  <c r="K76" i="49"/>
  <c r="D79" i="49"/>
  <c r="I77" i="49"/>
  <c r="J76" i="49"/>
  <c r="J72" i="49"/>
  <c r="F73" i="49"/>
  <c r="D75" i="49"/>
  <c r="I70" i="49"/>
  <c r="H73" i="49"/>
  <c r="F76" i="49"/>
  <c r="B72" i="49"/>
  <c r="I74" i="49"/>
  <c r="B76" i="49"/>
  <c r="J77" i="49"/>
  <c r="F70" i="49"/>
  <c r="F159" i="49" s="1"/>
  <c r="G198" i="49" s="1"/>
  <c r="B73" i="49"/>
  <c r="J73" i="49"/>
  <c r="H75" i="49"/>
  <c r="E78" i="49"/>
  <c r="E71" i="49"/>
  <c r="E73" i="49"/>
  <c r="G71" i="49"/>
  <c r="H74" i="49"/>
  <c r="B75" i="49"/>
  <c r="F78" i="49"/>
  <c r="F71" i="49"/>
  <c r="G74" i="49"/>
  <c r="I75" i="49"/>
  <c r="G131" i="21"/>
  <c r="F131" i="21"/>
  <c r="F133" i="21"/>
  <c r="F132" i="21"/>
  <c r="F134" i="21"/>
  <c r="F135" i="21"/>
  <c r="M32" i="54"/>
  <c r="L32" i="54"/>
  <c r="I7" i="33"/>
  <c r="K7" i="33" s="1"/>
  <c r="J7" i="33"/>
  <c r="I9" i="21"/>
  <c r="H155" i="41"/>
  <c r="F42" i="113"/>
  <c r="E53" i="113"/>
  <c r="C53" i="113"/>
  <c r="C48" i="113"/>
  <c r="B53" i="113"/>
  <c r="I47" i="113"/>
  <c r="I52" i="113"/>
  <c r="H47" i="113"/>
  <c r="H52" i="113"/>
  <c r="G47" i="113"/>
  <c r="B51" i="113"/>
  <c r="B47" i="113"/>
  <c r="I50" i="113"/>
  <c r="F53" i="113"/>
  <c r="E47" i="113"/>
  <c r="D47" i="113"/>
  <c r="C47" i="113"/>
  <c r="G53" i="113"/>
  <c r="H49" i="113"/>
  <c r="C52" i="113"/>
  <c r="H53" i="113"/>
  <c r="C51" i="113"/>
  <c r="C50" i="113"/>
  <c r="I49" i="113"/>
  <c r="H50" i="113"/>
  <c r="L28" i="110"/>
  <c r="M28" i="110"/>
  <c r="M30" i="100"/>
  <c r="L30" i="100"/>
  <c r="K11" i="97"/>
  <c r="K33" i="106"/>
  <c r="M30" i="110"/>
  <c r="L30" i="110"/>
  <c r="K28" i="114"/>
  <c r="J9" i="109"/>
  <c r="I9" i="109"/>
  <c r="K10" i="87"/>
  <c r="O72" i="83"/>
  <c r="B80" i="83"/>
  <c r="D51" i="105"/>
  <c r="D113" i="105" s="1"/>
  <c r="E146" i="105" s="1"/>
  <c r="P75" i="83"/>
  <c r="G12" i="107"/>
  <c r="M28" i="96"/>
  <c r="L28" i="96"/>
  <c r="N74" i="83"/>
  <c r="I49" i="105"/>
  <c r="C49" i="105"/>
  <c r="G52" i="105"/>
  <c r="I70" i="83"/>
  <c r="M39" i="104"/>
  <c r="L39" i="104"/>
  <c r="G153" i="87"/>
  <c r="F153" i="87"/>
  <c r="L165" i="87"/>
  <c r="E70" i="83"/>
  <c r="M42" i="102"/>
  <c r="L42" i="102"/>
  <c r="F215" i="99"/>
  <c r="H213" i="99"/>
  <c r="M216" i="99"/>
  <c r="C209" i="99"/>
  <c r="J212" i="99"/>
  <c r="F212" i="99"/>
  <c r="K9" i="89"/>
  <c r="E396" i="91"/>
  <c r="N13" i="91"/>
  <c r="A372" i="91" s="1"/>
  <c r="K13" i="91"/>
  <c r="D104" i="87"/>
  <c r="I105" i="87"/>
  <c r="K34" i="82"/>
  <c r="I14" i="83"/>
  <c r="J14" i="83" s="1"/>
  <c r="G97" i="89"/>
  <c r="B95" i="89"/>
  <c r="K94" i="89"/>
  <c r="K93" i="89"/>
  <c r="I11" i="89"/>
  <c r="J11" i="89" s="1"/>
  <c r="K15" i="83"/>
  <c r="J59" i="83"/>
  <c r="J58" i="83"/>
  <c r="J57" i="83"/>
  <c r="J56" i="83"/>
  <c r="J55" i="83"/>
  <c r="J54" i="83"/>
  <c r="J53" i="83"/>
  <c r="J52" i="83"/>
  <c r="J51" i="83"/>
  <c r="J50" i="83"/>
  <c r="J49" i="83"/>
  <c r="J48" i="83"/>
  <c r="J47" i="83"/>
  <c r="J46" i="83"/>
  <c r="J45" i="83"/>
  <c r="J44" i="83"/>
  <c r="Q58" i="83"/>
  <c r="P57" i="83"/>
  <c r="O56" i="83"/>
  <c r="N55" i="83"/>
  <c r="M54" i="83"/>
  <c r="L53" i="83"/>
  <c r="K52" i="83"/>
  <c r="I51" i="83"/>
  <c r="H50" i="83"/>
  <c r="G49" i="83"/>
  <c r="F48" i="83"/>
  <c r="Q59" i="83"/>
  <c r="P58" i="83"/>
  <c r="O57" i="83"/>
  <c r="N56" i="83"/>
  <c r="M55" i="83"/>
  <c r="L54" i="83"/>
  <c r="K53" i="83"/>
  <c r="I52" i="83"/>
  <c r="H51" i="83"/>
  <c r="G50" i="83"/>
  <c r="F49" i="83"/>
  <c r="E48" i="83"/>
  <c r="P59" i="83"/>
  <c r="O58" i="83"/>
  <c r="N57" i="83"/>
  <c r="M56" i="83"/>
  <c r="L55" i="83"/>
  <c r="K54" i="83"/>
  <c r="I53" i="83"/>
  <c r="H52" i="83"/>
  <c r="G51" i="83"/>
  <c r="F50" i="83"/>
  <c r="E49" i="83"/>
  <c r="D48" i="83"/>
  <c r="Q44" i="83"/>
  <c r="O59" i="83"/>
  <c r="N58" i="83"/>
  <c r="M57" i="83"/>
  <c r="L56" i="83"/>
  <c r="K55" i="83"/>
  <c r="I54" i="83"/>
  <c r="H53" i="83"/>
  <c r="G52" i="83"/>
  <c r="F51" i="83"/>
  <c r="E50" i="83"/>
  <c r="D49" i="83"/>
  <c r="C48" i="83"/>
  <c r="Q45" i="83"/>
  <c r="P44" i="83"/>
  <c r="N59" i="83"/>
  <c r="M58" i="83"/>
  <c r="L57" i="83"/>
  <c r="K56" i="83"/>
  <c r="I55" i="83"/>
  <c r="H54" i="83"/>
  <c r="G53" i="83"/>
  <c r="G372" i="83" s="1"/>
  <c r="H429" i="83" s="1"/>
  <c r="F52" i="83"/>
  <c r="F371" i="83" s="1"/>
  <c r="G428" i="83" s="1"/>
  <c r="E51" i="83"/>
  <c r="D50" i="83"/>
  <c r="C49" i="83"/>
  <c r="B48" i="83"/>
  <c r="Q46" i="83"/>
  <c r="P45" i="83"/>
  <c r="O44" i="83"/>
  <c r="I59" i="83"/>
  <c r="H58" i="83"/>
  <c r="G57" i="83"/>
  <c r="F56" i="83"/>
  <c r="E55" i="83"/>
  <c r="D54" i="83"/>
  <c r="C53" i="83"/>
  <c r="B52" i="83"/>
  <c r="B371" i="83" s="1"/>
  <c r="C428" i="83" s="1"/>
  <c r="Q50" i="83"/>
  <c r="P49" i="83"/>
  <c r="O48" i="83"/>
  <c r="N47" i="83"/>
  <c r="M46" i="83"/>
  <c r="L45" i="83"/>
  <c r="K44" i="83"/>
  <c r="E59" i="83"/>
  <c r="H57" i="83"/>
  <c r="P55" i="83"/>
  <c r="B54" i="83"/>
  <c r="E52" i="83"/>
  <c r="M50" i="83"/>
  <c r="P48" i="83"/>
  <c r="G47" i="83"/>
  <c r="I45" i="83"/>
  <c r="I364" i="83" s="1"/>
  <c r="J421" i="83" s="1"/>
  <c r="F58" i="83"/>
  <c r="H56" i="83"/>
  <c r="O54" i="83"/>
  <c r="P52" i="83"/>
  <c r="B51" i="83"/>
  <c r="B370" i="83" s="1"/>
  <c r="C427" i="83" s="1"/>
  <c r="H49" i="83"/>
  <c r="I47" i="83"/>
  <c r="K45" i="83"/>
  <c r="E58" i="83"/>
  <c r="G56" i="83"/>
  <c r="N54" i="83"/>
  <c r="O52" i="83"/>
  <c r="P50" i="83"/>
  <c r="B49" i="83"/>
  <c r="H47" i="83"/>
  <c r="H45" i="83"/>
  <c r="D58" i="83"/>
  <c r="E56" i="83"/>
  <c r="G54" i="83"/>
  <c r="N52" i="83"/>
  <c r="O50" i="83"/>
  <c r="Q48" i="83"/>
  <c r="F47" i="83"/>
  <c r="G45" i="83"/>
  <c r="M59" i="83"/>
  <c r="C58" i="83"/>
  <c r="D56" i="83"/>
  <c r="F54" i="83"/>
  <c r="M52" i="83"/>
  <c r="M371" i="83" s="1"/>
  <c r="N428" i="83" s="1"/>
  <c r="N50" i="83"/>
  <c r="N48" i="83"/>
  <c r="P46" i="83"/>
  <c r="F45" i="83"/>
  <c r="L59" i="83"/>
  <c r="B58" i="83"/>
  <c r="C56" i="83"/>
  <c r="E54" i="83"/>
  <c r="L52" i="83"/>
  <c r="L50" i="83"/>
  <c r="M48" i="83"/>
  <c r="O46" i="83"/>
  <c r="K59" i="83"/>
  <c r="Q57" i="83"/>
  <c r="B56" i="83"/>
  <c r="C54" i="83"/>
  <c r="D52" i="83"/>
  <c r="K50" i="83"/>
  <c r="L48" i="83"/>
  <c r="N46" i="83"/>
  <c r="H59" i="83"/>
  <c r="B57" i="83"/>
  <c r="O53" i="83"/>
  <c r="D51" i="83"/>
  <c r="Q47" i="83"/>
  <c r="N44" i="83"/>
  <c r="G59" i="83"/>
  <c r="Q56" i="83"/>
  <c r="N53" i="83"/>
  <c r="C51" i="83"/>
  <c r="P47" i="83"/>
  <c r="M44" i="83"/>
  <c r="F59" i="83"/>
  <c r="P56" i="83"/>
  <c r="M53" i="83"/>
  <c r="I50" i="83"/>
  <c r="O47" i="83"/>
  <c r="L44" i="83"/>
  <c r="D59" i="83"/>
  <c r="I56" i="83"/>
  <c r="F53" i="83"/>
  <c r="C50" i="83"/>
  <c r="M47" i="83"/>
  <c r="I44" i="83"/>
  <c r="C59" i="83"/>
  <c r="Q55" i="83"/>
  <c r="E53" i="83"/>
  <c r="B50" i="83"/>
  <c r="B369" i="83" s="1"/>
  <c r="C426" i="83" s="1"/>
  <c r="L47" i="83"/>
  <c r="H44" i="83"/>
  <c r="G58" i="83"/>
  <c r="D55" i="83"/>
  <c r="Q51" i="83"/>
  <c r="L49" i="83"/>
  <c r="H46" i="83"/>
  <c r="K57" i="83"/>
  <c r="D53" i="83"/>
  <c r="K48" i="83"/>
  <c r="I57" i="83"/>
  <c r="B53" i="83"/>
  <c r="I48" i="83"/>
  <c r="F57" i="83"/>
  <c r="Q52" i="83"/>
  <c r="H48" i="83"/>
  <c r="E57" i="83"/>
  <c r="C52" i="83"/>
  <c r="G48" i="83"/>
  <c r="D57" i="83"/>
  <c r="P51" i="83"/>
  <c r="K47" i="83"/>
  <c r="F38" i="83"/>
  <c r="C57" i="83"/>
  <c r="O51" i="83"/>
  <c r="L46" i="83"/>
  <c r="O55" i="83"/>
  <c r="N49" i="83"/>
  <c r="H55" i="83"/>
  <c r="M49" i="83"/>
  <c r="G55" i="83"/>
  <c r="K49" i="83"/>
  <c r="F55" i="83"/>
  <c r="I49" i="83"/>
  <c r="C55" i="83"/>
  <c r="K46" i="83"/>
  <c r="Q53" i="83"/>
  <c r="N51" i="83"/>
  <c r="M51" i="83"/>
  <c r="L51" i="83"/>
  <c r="K51" i="83"/>
  <c r="Q49" i="83"/>
  <c r="B59" i="83"/>
  <c r="F46" i="83"/>
  <c r="P54" i="83"/>
  <c r="P53" i="83"/>
  <c r="O49" i="83"/>
  <c r="I46" i="83"/>
  <c r="G46" i="83"/>
  <c r="G44" i="83"/>
  <c r="F44" i="83"/>
  <c r="M45" i="83"/>
  <c r="L58" i="83"/>
  <c r="Q54" i="83"/>
  <c r="K58" i="83"/>
  <c r="I58" i="83"/>
  <c r="B55" i="83"/>
  <c r="O45" i="83"/>
  <c r="N45" i="83"/>
  <c r="B96" i="89"/>
  <c r="K28" i="80"/>
  <c r="K33" i="78"/>
  <c r="G333" i="79"/>
  <c r="F333" i="79"/>
  <c r="R351" i="79"/>
  <c r="H100" i="85"/>
  <c r="F100" i="85"/>
  <c r="E101" i="85"/>
  <c r="M41" i="82"/>
  <c r="L41" i="82"/>
  <c r="G415" i="83"/>
  <c r="F415" i="83"/>
  <c r="T435" i="83"/>
  <c r="F95" i="63"/>
  <c r="B103" i="63"/>
  <c r="J105" i="63"/>
  <c r="L106" i="63"/>
  <c r="F109" i="63"/>
  <c r="M99" i="63"/>
  <c r="D102" i="63"/>
  <c r="M104" i="63"/>
  <c r="I107" i="63"/>
  <c r="B108" i="63"/>
  <c r="H110" i="63"/>
  <c r="L100" i="63"/>
  <c r="D107" i="63"/>
  <c r="D104" i="63"/>
  <c r="J106" i="63"/>
  <c r="D109" i="63"/>
  <c r="H99" i="63"/>
  <c r="C109" i="63"/>
  <c r="L102" i="63"/>
  <c r="L222" i="63" s="1"/>
  <c r="M267" i="63" s="1"/>
  <c r="L107" i="63"/>
  <c r="E99" i="63"/>
  <c r="D100" i="63"/>
  <c r="J102" i="63"/>
  <c r="D105" i="63"/>
  <c r="J101" i="63"/>
  <c r="K106" i="63"/>
  <c r="E109" i="63"/>
  <c r="L99" i="63"/>
  <c r="B110" i="63"/>
  <c r="F45" i="69"/>
  <c r="E43" i="69"/>
  <c r="F65" i="59"/>
  <c r="G214" i="79"/>
  <c r="E213" i="79"/>
  <c r="C212" i="79"/>
  <c r="O210" i="79"/>
  <c r="M209" i="79"/>
  <c r="K208" i="79"/>
  <c r="I207" i="79"/>
  <c r="E205" i="79"/>
  <c r="C204" i="79"/>
  <c r="O202" i="79"/>
  <c r="M201" i="79"/>
  <c r="F214" i="79"/>
  <c r="D213" i="79"/>
  <c r="B212" i="79"/>
  <c r="N210" i="79"/>
  <c r="L209" i="79"/>
  <c r="J208" i="79"/>
  <c r="H207" i="79"/>
  <c r="D205" i="79"/>
  <c r="B204" i="79"/>
  <c r="N202" i="79"/>
  <c r="L201" i="79"/>
  <c r="E214" i="79"/>
  <c r="C213" i="79"/>
  <c r="O211" i="79"/>
  <c r="M210" i="79"/>
  <c r="K209" i="79"/>
  <c r="I208" i="79"/>
  <c r="G207" i="79"/>
  <c r="E206" i="79"/>
  <c r="C205" i="79"/>
  <c r="O203" i="79"/>
  <c r="M202" i="79"/>
  <c r="K201" i="79"/>
  <c r="D214" i="79"/>
  <c r="B213" i="79"/>
  <c r="N211" i="79"/>
  <c r="L210" i="79"/>
  <c r="J209" i="79"/>
  <c r="H208" i="79"/>
  <c r="F207" i="79"/>
  <c r="D206" i="79"/>
  <c r="B205" i="79"/>
  <c r="N203" i="79"/>
  <c r="L202" i="79"/>
  <c r="J201" i="79"/>
  <c r="C214" i="79"/>
  <c r="O212" i="79"/>
  <c r="K210" i="79"/>
  <c r="I209" i="79"/>
  <c r="G208" i="79"/>
  <c r="E207" i="79"/>
  <c r="C206" i="79"/>
  <c r="O204" i="79"/>
  <c r="M203" i="79"/>
  <c r="K202" i="79"/>
  <c r="I201" i="79"/>
  <c r="O214" i="79"/>
  <c r="M213" i="79"/>
  <c r="K212" i="79"/>
  <c r="I211" i="79"/>
  <c r="G210" i="79"/>
  <c r="E209" i="79"/>
  <c r="C208" i="79"/>
  <c r="O206" i="79"/>
  <c r="K204" i="79"/>
  <c r="I203" i="79"/>
  <c r="G202" i="79"/>
  <c r="E201" i="79"/>
  <c r="N214" i="79"/>
  <c r="F213" i="79"/>
  <c r="G209" i="79"/>
  <c r="L207" i="79"/>
  <c r="D204" i="79"/>
  <c r="D202" i="79"/>
  <c r="M214" i="79"/>
  <c r="N212" i="79"/>
  <c r="E211" i="79"/>
  <c r="F209" i="79"/>
  <c r="K207" i="79"/>
  <c r="K205" i="79"/>
  <c r="L203" i="79"/>
  <c r="C202" i="79"/>
  <c r="L214" i="79"/>
  <c r="D211" i="79"/>
  <c r="D209" i="79"/>
  <c r="J207" i="79"/>
  <c r="J205" i="79"/>
  <c r="K203" i="79"/>
  <c r="B202" i="79"/>
  <c r="K214" i="79"/>
  <c r="C211" i="79"/>
  <c r="C209" i="79"/>
  <c r="D207" i="79"/>
  <c r="I205" i="79"/>
  <c r="J203" i="79"/>
  <c r="O201" i="79"/>
  <c r="J214" i="79"/>
  <c r="J212" i="79"/>
  <c r="B211" i="79"/>
  <c r="B209" i="79"/>
  <c r="C207" i="79"/>
  <c r="H205" i="79"/>
  <c r="H203" i="79"/>
  <c r="N201" i="79"/>
  <c r="F195" i="79"/>
  <c r="I214" i="79"/>
  <c r="I212" i="79"/>
  <c r="J210" i="79"/>
  <c r="O208" i="79"/>
  <c r="B207" i="79"/>
  <c r="G203" i="79"/>
  <c r="H201" i="79"/>
  <c r="J213" i="79"/>
  <c r="F210" i="79"/>
  <c r="N207" i="79"/>
  <c r="J204" i="79"/>
  <c r="G201" i="79"/>
  <c r="H213" i="79"/>
  <c r="D210" i="79"/>
  <c r="N206" i="79"/>
  <c r="H204" i="79"/>
  <c r="D201" i="79"/>
  <c r="M208" i="79"/>
  <c r="B206" i="79"/>
  <c r="C203" i="79"/>
  <c r="K211" i="79"/>
  <c r="D208" i="79"/>
  <c r="I204" i="79"/>
  <c r="J211" i="79"/>
  <c r="B208" i="79"/>
  <c r="G204" i="79"/>
  <c r="H211" i="79"/>
  <c r="O207" i="79"/>
  <c r="F204" i="79"/>
  <c r="H214" i="79"/>
  <c r="M207" i="79"/>
  <c r="E204" i="79"/>
  <c r="B214" i="79"/>
  <c r="I210" i="79"/>
  <c r="F203" i="79"/>
  <c r="O213" i="79"/>
  <c r="H210" i="79"/>
  <c r="E203" i="79"/>
  <c r="O209" i="79"/>
  <c r="L204" i="79"/>
  <c r="N209" i="79"/>
  <c r="D203" i="79"/>
  <c r="H209" i="79"/>
  <c r="B203" i="79"/>
  <c r="N213" i="79"/>
  <c r="N208" i="79"/>
  <c r="J202" i="79"/>
  <c r="L213" i="79"/>
  <c r="L208" i="79"/>
  <c r="I202" i="79"/>
  <c r="H212" i="79"/>
  <c r="J206" i="79"/>
  <c r="F201" i="79"/>
  <c r="H202" i="79"/>
  <c r="E212" i="79"/>
  <c r="F202" i="79"/>
  <c r="D212" i="79"/>
  <c r="E202" i="79"/>
  <c r="E210" i="79"/>
  <c r="C201" i="79"/>
  <c r="C210" i="79"/>
  <c r="B201" i="79"/>
  <c r="K206" i="79"/>
  <c r="F208" i="79"/>
  <c r="E208" i="79"/>
  <c r="I206" i="79"/>
  <c r="H206" i="79"/>
  <c r="O205" i="79"/>
  <c r="M204" i="79"/>
  <c r="I213" i="79"/>
  <c r="G213" i="79"/>
  <c r="B210" i="79"/>
  <c r="N205" i="79"/>
  <c r="N204" i="79"/>
  <c r="K213" i="79"/>
  <c r="K34" i="70"/>
  <c r="K152" i="59"/>
  <c r="J145" i="59"/>
  <c r="F68" i="59"/>
  <c r="J10" i="69"/>
  <c r="I10" i="69"/>
  <c r="F248" i="67"/>
  <c r="G248" i="67"/>
  <c r="F252" i="67"/>
  <c r="F256" i="67"/>
  <c r="G249" i="67"/>
  <c r="F253" i="67"/>
  <c r="F254" i="67"/>
  <c r="G250" i="67"/>
  <c r="I110" i="63"/>
  <c r="L110" i="63"/>
  <c r="C65" i="59"/>
  <c r="D99" i="69"/>
  <c r="K110" i="69"/>
  <c r="J109" i="69"/>
  <c r="I9" i="67"/>
  <c r="K9" i="67" s="1"/>
  <c r="K141" i="59"/>
  <c r="I12" i="81"/>
  <c r="C95" i="75"/>
  <c r="E90" i="75"/>
  <c r="O99" i="75"/>
  <c r="B95" i="75"/>
  <c r="D90" i="75"/>
  <c r="B99" i="75"/>
  <c r="H94" i="75"/>
  <c r="D89" i="75"/>
  <c r="O98" i="75"/>
  <c r="G94" i="75"/>
  <c r="C89" i="75"/>
  <c r="K98" i="75"/>
  <c r="F94" i="75"/>
  <c r="O88" i="75"/>
  <c r="O97" i="75"/>
  <c r="J92" i="75"/>
  <c r="D88" i="75"/>
  <c r="N97" i="75"/>
  <c r="C92" i="75"/>
  <c r="M97" i="75"/>
  <c r="F88" i="75"/>
  <c r="G96" i="75"/>
  <c r="E88" i="75"/>
  <c r="F96" i="75"/>
  <c r="M86" i="75"/>
  <c r="E96" i="75"/>
  <c r="L86" i="75"/>
  <c r="K95" i="75"/>
  <c r="K86" i="75"/>
  <c r="D95" i="75"/>
  <c r="I86" i="75"/>
  <c r="O92" i="75"/>
  <c r="F83" i="75"/>
  <c r="L92" i="75"/>
  <c r="C98" i="75"/>
  <c r="B98" i="75"/>
  <c r="N92" i="75"/>
  <c r="B92" i="75"/>
  <c r="O91" i="75"/>
  <c r="M91" i="75"/>
  <c r="G88" i="75"/>
  <c r="D98" i="75"/>
  <c r="N90" i="75"/>
  <c r="J98" i="75"/>
  <c r="K93" i="75"/>
  <c r="L88" i="75"/>
  <c r="F98" i="75"/>
  <c r="J94" i="75"/>
  <c r="K97" i="75"/>
  <c r="E93" i="75"/>
  <c r="B89" i="75"/>
  <c r="G97" i="75"/>
  <c r="I87" i="75"/>
  <c r="C97" i="75"/>
  <c r="I95" i="75"/>
  <c r="N86" i="75"/>
  <c r="N99" i="75"/>
  <c r="D96" i="75"/>
  <c r="E91" i="75"/>
  <c r="F86" i="75"/>
  <c r="N95" i="75"/>
  <c r="D92" i="75"/>
  <c r="M93" i="75"/>
  <c r="G89" i="75"/>
  <c r="O86" i="75"/>
  <c r="L98" i="75"/>
  <c r="O94" i="75"/>
  <c r="B90" i="75"/>
  <c r="J99" i="75"/>
  <c r="K94" i="75"/>
  <c r="O90" i="75"/>
  <c r="K91" i="75"/>
  <c r="L87" i="75"/>
  <c r="B88" i="75"/>
  <c r="N98" i="75"/>
  <c r="H96" i="75"/>
  <c r="J87" i="75"/>
  <c r="D97" i="75"/>
  <c r="E92" i="75"/>
  <c r="I88" i="75"/>
  <c r="N87" i="75"/>
  <c r="O96" i="75"/>
  <c r="I96" i="75"/>
  <c r="B87" i="75"/>
  <c r="C87" i="75"/>
  <c r="C94" i="75"/>
  <c r="E89" i="75"/>
  <c r="N91" i="75"/>
  <c r="K87" i="75"/>
  <c r="E97" i="75"/>
  <c r="G87" i="75"/>
  <c r="L97" i="75"/>
  <c r="F89" i="75"/>
  <c r="C110" i="69"/>
  <c r="F52" i="63"/>
  <c r="L68" i="63"/>
  <c r="G59" i="63"/>
  <c r="M61" i="63"/>
  <c r="D64" i="63"/>
  <c r="M59" i="63"/>
  <c r="K65" i="63"/>
  <c r="G64" i="63"/>
  <c r="C59" i="63"/>
  <c r="G58" i="63"/>
  <c r="C60" i="63"/>
  <c r="H67" i="63"/>
  <c r="I60" i="63"/>
  <c r="I222" i="63" s="1"/>
  <c r="J267" i="63" s="1"/>
  <c r="L62" i="63"/>
  <c r="L224" i="63" s="1"/>
  <c r="M269" i="63" s="1"/>
  <c r="J57" i="63"/>
  <c r="L63" i="63"/>
  <c r="B61" i="63"/>
  <c r="D65" i="63"/>
  <c r="J66" i="63"/>
  <c r="D66" i="63"/>
  <c r="J68" i="63"/>
  <c r="E59" i="63"/>
  <c r="H61" i="63"/>
  <c r="E68" i="63"/>
  <c r="I61" i="63"/>
  <c r="E57" i="63"/>
  <c r="B59" i="63"/>
  <c r="J65" i="63"/>
  <c r="L64" i="63"/>
  <c r="F67" i="63"/>
  <c r="F229" i="63" s="1"/>
  <c r="G274" i="63" s="1"/>
  <c r="M57" i="63"/>
  <c r="D60" i="63"/>
  <c r="F66" i="63"/>
  <c r="J59" i="63"/>
  <c r="I67" i="63"/>
  <c r="C65" i="63"/>
  <c r="C227" i="63" s="1"/>
  <c r="D272" i="63" s="1"/>
  <c r="I65" i="63"/>
  <c r="B66" i="63"/>
  <c r="H68" i="63"/>
  <c r="L58" i="63"/>
  <c r="F57" i="63"/>
  <c r="F64" i="63"/>
  <c r="K58" i="63"/>
  <c r="G65" i="63"/>
  <c r="D62" i="63"/>
  <c r="J64" i="63"/>
  <c r="D67" i="63"/>
  <c r="K61" i="63"/>
  <c r="J67" i="63"/>
  <c r="M60" i="63"/>
  <c r="B65" i="63"/>
  <c r="H62" i="63"/>
  <c r="L60" i="63"/>
  <c r="F63" i="63"/>
  <c r="L65" i="63"/>
  <c r="G68" i="63"/>
  <c r="L59" i="63"/>
  <c r="F65" i="63"/>
  <c r="D57" i="63"/>
  <c r="J58" i="63"/>
  <c r="M62" i="63"/>
  <c r="D58" i="63"/>
  <c r="J60" i="63"/>
  <c r="D63" i="63"/>
  <c r="E64" i="63"/>
  <c r="D61" i="63"/>
  <c r="K63" i="63"/>
  <c r="G62" i="63"/>
  <c r="K68" i="63"/>
  <c r="F59" i="63"/>
  <c r="L61" i="63"/>
  <c r="F62" i="63"/>
  <c r="C68" i="63"/>
  <c r="M58" i="63"/>
  <c r="G60" i="63"/>
  <c r="G61" i="63"/>
  <c r="G67" i="63"/>
  <c r="H60" i="63"/>
  <c r="H222" i="63" s="1"/>
  <c r="I267" i="63" s="1"/>
  <c r="B60" i="63"/>
  <c r="E66" i="63"/>
  <c r="F61" i="63"/>
  <c r="K60" i="63"/>
  <c r="E63" i="63"/>
  <c r="E225" i="63" s="1"/>
  <c r="F270" i="63" s="1"/>
  <c r="H65" i="63"/>
  <c r="E62" i="63"/>
  <c r="B68" i="63"/>
  <c r="K67" i="63"/>
  <c r="K62" i="63"/>
  <c r="K66" i="63"/>
  <c r="E65" i="63"/>
  <c r="D59" i="63"/>
  <c r="L67" i="63"/>
  <c r="E60" i="63"/>
  <c r="L57" i="63"/>
  <c r="M64" i="63"/>
  <c r="M68" i="63"/>
  <c r="D68" i="63"/>
  <c r="C61" i="63"/>
  <c r="M67" i="63"/>
  <c r="L66" i="63"/>
  <c r="E58" i="63"/>
  <c r="H66" i="63"/>
  <c r="C67" i="63"/>
  <c r="H59" i="63"/>
  <c r="K57" i="63"/>
  <c r="B67" i="63"/>
  <c r="C66" i="63"/>
  <c r="F68" i="63"/>
  <c r="J63" i="63"/>
  <c r="K64" i="63"/>
  <c r="G66" i="63"/>
  <c r="F60" i="63"/>
  <c r="G63" i="63"/>
  <c r="I66" i="63"/>
  <c r="C62" i="63"/>
  <c r="B62" i="63"/>
  <c r="J62" i="63"/>
  <c r="I68" i="63"/>
  <c r="M63" i="63"/>
  <c r="F58" i="63"/>
  <c r="E67" i="63"/>
  <c r="J61" i="63"/>
  <c r="M66" i="63"/>
  <c r="M65" i="63"/>
  <c r="K59" i="63"/>
  <c r="I59" i="63"/>
  <c r="G57" i="63"/>
  <c r="I62" i="63"/>
  <c r="E61" i="63"/>
  <c r="H58" i="61"/>
  <c r="F258" i="59"/>
  <c r="G259" i="57"/>
  <c r="F259" i="57"/>
  <c r="P275" i="57"/>
  <c r="G45" i="73"/>
  <c r="F46" i="73"/>
  <c r="H37" i="73"/>
  <c r="K44" i="73"/>
  <c r="K103" i="71"/>
  <c r="B104" i="71"/>
  <c r="G101" i="71"/>
  <c r="I109" i="71"/>
  <c r="H104" i="71"/>
  <c r="J103" i="69"/>
  <c r="D141" i="63"/>
  <c r="D148" i="63"/>
  <c r="J148" i="63"/>
  <c r="L184" i="71"/>
  <c r="G183" i="71"/>
  <c r="E192" i="71"/>
  <c r="H184" i="71"/>
  <c r="M46" i="55"/>
  <c r="E149" i="63"/>
  <c r="H61" i="61"/>
  <c r="M57" i="61"/>
  <c r="H59" i="61"/>
  <c r="J154" i="49"/>
  <c r="H151" i="49"/>
  <c r="F154" i="49"/>
  <c r="J152" i="49"/>
  <c r="D151" i="49"/>
  <c r="B148" i="49"/>
  <c r="F146" i="49"/>
  <c r="G154" i="49"/>
  <c r="J150" i="49"/>
  <c r="C149" i="49"/>
  <c r="F147" i="49"/>
  <c r="E154" i="49"/>
  <c r="G152" i="49"/>
  <c r="I150" i="49"/>
  <c r="B149" i="49"/>
  <c r="E147" i="49"/>
  <c r="D154" i="49"/>
  <c r="F152" i="49"/>
  <c r="H150" i="49"/>
  <c r="K148" i="49"/>
  <c r="D147" i="49"/>
  <c r="K155" i="49"/>
  <c r="C154" i="49"/>
  <c r="G150" i="49"/>
  <c r="J148" i="49"/>
  <c r="C147" i="49"/>
  <c r="J155" i="49"/>
  <c r="B154" i="49"/>
  <c r="F150" i="49"/>
  <c r="B147" i="49"/>
  <c r="C155" i="49"/>
  <c r="C152" i="49"/>
  <c r="J149" i="49"/>
  <c r="G147" i="49"/>
  <c r="B155" i="49"/>
  <c r="B152" i="49"/>
  <c r="K146" i="49"/>
  <c r="K154" i="49"/>
  <c r="K151" i="49"/>
  <c r="G149" i="49"/>
  <c r="J146" i="49"/>
  <c r="I154" i="49"/>
  <c r="J151" i="49"/>
  <c r="F149" i="49"/>
  <c r="I146" i="49"/>
  <c r="F140" i="49"/>
  <c r="H154" i="49"/>
  <c r="I151" i="49"/>
  <c r="H146" i="49"/>
  <c r="G153" i="49"/>
  <c r="B151" i="49"/>
  <c r="B146" i="49"/>
  <c r="K149" i="49"/>
  <c r="F153" i="49"/>
  <c r="C153" i="49"/>
  <c r="G148" i="49"/>
  <c r="B153" i="49"/>
  <c r="F148" i="49"/>
  <c r="C148" i="49"/>
  <c r="K150" i="49"/>
  <c r="I155" i="49"/>
  <c r="E150" i="49"/>
  <c r="H155" i="49"/>
  <c r="D150" i="49"/>
  <c r="G155" i="49"/>
  <c r="C150" i="49"/>
  <c r="C163" i="49" s="1"/>
  <c r="D202" i="49" s="1"/>
  <c r="F155" i="49"/>
  <c r="B150" i="49"/>
  <c r="E155" i="49"/>
  <c r="I147" i="49"/>
  <c r="H147" i="49"/>
  <c r="C146" i="49"/>
  <c r="D155" i="49"/>
  <c r="F151" i="49"/>
  <c r="K153" i="49"/>
  <c r="J153" i="49"/>
  <c r="G151" i="49"/>
  <c r="K152" i="49"/>
  <c r="E151" i="49"/>
  <c r="C151" i="49"/>
  <c r="K147" i="49"/>
  <c r="D146" i="49"/>
  <c r="J147" i="49"/>
  <c r="G146" i="49"/>
  <c r="E146" i="49"/>
  <c r="F255" i="67"/>
  <c r="H86" i="65"/>
  <c r="J87" i="65"/>
  <c r="D80" i="65"/>
  <c r="C86" i="65"/>
  <c r="E425" i="61"/>
  <c r="K6" i="61"/>
  <c r="J6" i="61"/>
  <c r="K109" i="69"/>
  <c r="F250" i="59"/>
  <c r="C191" i="79"/>
  <c r="O189" i="79"/>
  <c r="K187" i="79"/>
  <c r="I186" i="79"/>
  <c r="G185" i="79"/>
  <c r="E184" i="79"/>
  <c r="C183" i="79"/>
  <c r="O181" i="79"/>
  <c r="K179" i="79"/>
  <c r="I178" i="79"/>
  <c r="B191" i="79"/>
  <c r="N189" i="79"/>
  <c r="J187" i="79"/>
  <c r="H186" i="79"/>
  <c r="F185" i="79"/>
  <c r="D184" i="79"/>
  <c r="B183" i="79"/>
  <c r="N181" i="79"/>
  <c r="J179" i="79"/>
  <c r="H178" i="79"/>
  <c r="O190" i="79"/>
  <c r="K188" i="79"/>
  <c r="I187" i="79"/>
  <c r="G186" i="79"/>
  <c r="E185" i="79"/>
  <c r="C184" i="79"/>
  <c r="O182" i="79"/>
  <c r="K180" i="79"/>
  <c r="I179" i="79"/>
  <c r="G178" i="79"/>
  <c r="N190" i="79"/>
  <c r="J188" i="79"/>
  <c r="H187" i="79"/>
  <c r="F186" i="79"/>
  <c r="D185" i="79"/>
  <c r="B184" i="79"/>
  <c r="N182" i="79"/>
  <c r="J180" i="79"/>
  <c r="H179" i="79"/>
  <c r="F178" i="79"/>
  <c r="O191" i="79"/>
  <c r="M190" i="79"/>
  <c r="K189" i="79"/>
  <c r="I188" i="79"/>
  <c r="G187" i="79"/>
  <c r="E186" i="79"/>
  <c r="C185" i="79"/>
  <c r="O183" i="79"/>
  <c r="M182" i="79"/>
  <c r="K181" i="79"/>
  <c r="I180" i="79"/>
  <c r="G179" i="79"/>
  <c r="E178" i="79"/>
  <c r="K191" i="79"/>
  <c r="I190" i="79"/>
  <c r="G189" i="79"/>
  <c r="C187" i="79"/>
  <c r="O185" i="79"/>
  <c r="M184" i="79"/>
  <c r="K183" i="79"/>
  <c r="I182" i="79"/>
  <c r="G181" i="79"/>
  <c r="C179" i="79"/>
  <c r="F191" i="79"/>
  <c r="F189" i="79"/>
  <c r="L187" i="79"/>
  <c r="L185" i="79"/>
  <c r="M183" i="79"/>
  <c r="D182" i="79"/>
  <c r="J178" i="79"/>
  <c r="E191" i="79"/>
  <c r="F187" i="79"/>
  <c r="K185" i="79"/>
  <c r="L183" i="79"/>
  <c r="C182" i="79"/>
  <c r="C180" i="79"/>
  <c r="D178" i="79"/>
  <c r="D191" i="79"/>
  <c r="E187" i="79"/>
  <c r="J185" i="79"/>
  <c r="J183" i="79"/>
  <c r="B182" i="79"/>
  <c r="B180" i="79"/>
  <c r="C178" i="79"/>
  <c r="L190" i="79"/>
  <c r="C189" i="79"/>
  <c r="D187" i="79"/>
  <c r="I185" i="79"/>
  <c r="I183" i="79"/>
  <c r="J181" i="79"/>
  <c r="O179" i="79"/>
  <c r="B178" i="79"/>
  <c r="K190" i="79"/>
  <c r="B189" i="79"/>
  <c r="B187" i="79"/>
  <c r="H185" i="79"/>
  <c r="H183" i="79"/>
  <c r="I181" i="79"/>
  <c r="N179" i="79"/>
  <c r="J190" i="79"/>
  <c r="O188" i="79"/>
  <c r="O186" i="79"/>
  <c r="B185" i="79"/>
  <c r="G183" i="79"/>
  <c r="H181" i="79"/>
  <c r="M179" i="79"/>
  <c r="J191" i="79"/>
  <c r="G188" i="79"/>
  <c r="N185" i="79"/>
  <c r="K182" i="79"/>
  <c r="L179" i="79"/>
  <c r="H191" i="79"/>
  <c r="O184" i="79"/>
  <c r="C190" i="79"/>
  <c r="M186" i="79"/>
  <c r="G184" i="79"/>
  <c r="C181" i="79"/>
  <c r="K178" i="79"/>
  <c r="D190" i="79"/>
  <c r="J186" i="79"/>
  <c r="L182" i="79"/>
  <c r="E179" i="79"/>
  <c r="B190" i="79"/>
  <c r="D186" i="79"/>
  <c r="J182" i="79"/>
  <c r="D179" i="79"/>
  <c r="J189" i="79"/>
  <c r="C186" i="79"/>
  <c r="H182" i="79"/>
  <c r="B179" i="79"/>
  <c r="I189" i="79"/>
  <c r="B186" i="79"/>
  <c r="G182" i="79"/>
  <c r="O178" i="79"/>
  <c r="H189" i="79"/>
  <c r="M185" i="79"/>
  <c r="F182" i="79"/>
  <c r="N178" i="79"/>
  <c r="N188" i="79"/>
  <c r="N184" i="79"/>
  <c r="E182" i="79"/>
  <c r="M178" i="79"/>
  <c r="G191" i="79"/>
  <c r="K184" i="79"/>
  <c r="G180" i="79"/>
  <c r="H190" i="79"/>
  <c r="J184" i="79"/>
  <c r="F180" i="79"/>
  <c r="G190" i="79"/>
  <c r="I184" i="79"/>
  <c r="F179" i="79"/>
  <c r="F190" i="79"/>
  <c r="H184" i="79"/>
  <c r="L178" i="79"/>
  <c r="E190" i="79"/>
  <c r="F184" i="79"/>
  <c r="B188" i="79"/>
  <c r="D183" i="79"/>
  <c r="N186" i="79"/>
  <c r="L186" i="79"/>
  <c r="K186" i="79"/>
  <c r="F172" i="79"/>
  <c r="L184" i="79"/>
  <c r="N183" i="79"/>
  <c r="L191" i="79"/>
  <c r="O187" i="79"/>
  <c r="N187" i="79"/>
  <c r="M187" i="79"/>
  <c r="F183" i="79"/>
  <c r="E183" i="79"/>
  <c r="O180" i="79"/>
  <c r="N180" i="79"/>
  <c r="N191" i="79"/>
  <c r="H180" i="79"/>
  <c r="I191" i="79"/>
  <c r="M191" i="79"/>
  <c r="H188" i="79"/>
  <c r="F188" i="79"/>
  <c r="C188" i="79"/>
  <c r="F181" i="79"/>
  <c r="B181" i="79"/>
  <c r="L28" i="40"/>
  <c r="M28" i="40"/>
  <c r="M37" i="68"/>
  <c r="L37" i="68"/>
  <c r="E192" i="73"/>
  <c r="H192" i="73"/>
  <c r="D191" i="73"/>
  <c r="L184" i="73"/>
  <c r="K6" i="65"/>
  <c r="C30" i="65" s="1"/>
  <c r="I110" i="51"/>
  <c r="M35" i="70"/>
  <c r="L35" i="70"/>
  <c r="B64" i="55"/>
  <c r="G65" i="55"/>
  <c r="J60" i="55"/>
  <c r="I8" i="53"/>
  <c r="E117" i="45"/>
  <c r="B115" i="45"/>
  <c r="F86" i="53"/>
  <c r="J97" i="53"/>
  <c r="F93" i="53"/>
  <c r="C90" i="53"/>
  <c r="I97" i="53"/>
  <c r="E93" i="53"/>
  <c r="B90" i="53"/>
  <c r="C97" i="53"/>
  <c r="D93" i="53"/>
  <c r="K89" i="53"/>
  <c r="F96" i="53"/>
  <c r="C93" i="53"/>
  <c r="J89" i="53"/>
  <c r="B93" i="53"/>
  <c r="H98" i="53"/>
  <c r="F91" i="53"/>
  <c r="E98" i="53"/>
  <c r="D98" i="53"/>
  <c r="B98" i="53"/>
  <c r="K97" i="53"/>
  <c r="I90" i="53"/>
  <c r="C96" i="53"/>
  <c r="G90" i="53"/>
  <c r="C98" i="53"/>
  <c r="G95" i="53"/>
  <c r="F95" i="53"/>
  <c r="C95" i="53"/>
  <c r="B95" i="53"/>
  <c r="G93" i="53"/>
  <c r="K92" i="53"/>
  <c r="I98" i="53"/>
  <c r="G98" i="53"/>
  <c r="K94" i="53"/>
  <c r="E90" i="53"/>
  <c r="J94" i="53"/>
  <c r="I93" i="53"/>
  <c r="H90" i="53"/>
  <c r="C92" i="53"/>
  <c r="D90" i="53"/>
  <c r="K96" i="53"/>
  <c r="J93" i="53"/>
  <c r="G89" i="53"/>
  <c r="B89" i="53"/>
  <c r="G96" i="53"/>
  <c r="F97" i="53"/>
  <c r="B94" i="53"/>
  <c r="J95" i="53"/>
  <c r="F92" i="53"/>
  <c r="G94" i="53"/>
  <c r="D94" i="53"/>
  <c r="J90" i="53"/>
  <c r="H97" i="53"/>
  <c r="B91" i="53"/>
  <c r="F98" i="53"/>
  <c r="I89" i="53"/>
  <c r="B92" i="53"/>
  <c r="M31" i="50"/>
  <c r="L31" i="50"/>
  <c r="D147" i="47"/>
  <c r="J8" i="45"/>
  <c r="E282" i="43"/>
  <c r="C282" i="43"/>
  <c r="F186" i="41"/>
  <c r="F93" i="23"/>
  <c r="B102" i="23"/>
  <c r="E97" i="23"/>
  <c r="E332" i="43"/>
  <c r="N7" i="43"/>
  <c r="A282" i="43" s="1"/>
  <c r="B151" i="35"/>
  <c r="F149" i="55"/>
  <c r="I141" i="55"/>
  <c r="I152" i="55"/>
  <c r="K153" i="35"/>
  <c r="B101" i="29"/>
  <c r="E151" i="35"/>
  <c r="N11" i="47"/>
  <c r="A314" i="47" s="1"/>
  <c r="E336" i="47"/>
  <c r="K11" i="47"/>
  <c r="J11" i="47"/>
  <c r="K29" i="32"/>
  <c r="K146" i="41"/>
  <c r="I8" i="9"/>
  <c r="J8" i="9" s="1"/>
  <c r="I7" i="113"/>
  <c r="J6" i="111"/>
  <c r="I6" i="111"/>
  <c r="M41" i="114"/>
  <c r="L41" i="114"/>
  <c r="E113" i="105"/>
  <c r="F146" i="105" s="1"/>
  <c r="G14" i="111"/>
  <c r="F203" i="99"/>
  <c r="J218" i="99"/>
  <c r="M212" i="99"/>
  <c r="I218" i="99"/>
  <c r="L212" i="99"/>
  <c r="L214" i="99"/>
  <c r="L208" i="99"/>
  <c r="B210" i="99"/>
  <c r="L209" i="99"/>
  <c r="K209" i="99"/>
  <c r="E218" i="99"/>
  <c r="H209" i="99"/>
  <c r="D218" i="99"/>
  <c r="D208" i="99"/>
  <c r="C218" i="99"/>
  <c r="C208" i="99"/>
  <c r="D217" i="99"/>
  <c r="C217" i="99"/>
  <c r="B217" i="99"/>
  <c r="E216" i="99"/>
  <c r="K214" i="99"/>
  <c r="J214" i="99"/>
  <c r="C210" i="99"/>
  <c r="F213" i="99"/>
  <c r="B212" i="99"/>
  <c r="B208" i="99"/>
  <c r="H218" i="99"/>
  <c r="M31" i="112"/>
  <c r="L31" i="112"/>
  <c r="G6" i="115"/>
  <c r="K12" i="93"/>
  <c r="M37" i="106"/>
  <c r="L37" i="106"/>
  <c r="I16" i="97"/>
  <c r="J16" i="97" s="1"/>
  <c r="M38" i="86"/>
  <c r="L38" i="86"/>
  <c r="N71" i="83"/>
  <c r="B81" i="83"/>
  <c r="G319" i="97"/>
  <c r="F319" i="97"/>
  <c r="C348" i="97" s="1"/>
  <c r="O74" i="83"/>
  <c r="E29" i="103"/>
  <c r="G26" i="103"/>
  <c r="D29" i="103"/>
  <c r="F26" i="103"/>
  <c r="F18" i="103"/>
  <c r="C29" i="103"/>
  <c r="B29" i="103"/>
  <c r="G25" i="103"/>
  <c r="G28" i="103"/>
  <c r="F25" i="103"/>
  <c r="C28" i="103"/>
  <c r="G27" i="103"/>
  <c r="F27" i="103"/>
  <c r="G24" i="103"/>
  <c r="G29" i="103"/>
  <c r="F28" i="103"/>
  <c r="F29" i="103"/>
  <c r="E28" i="103"/>
  <c r="D28" i="103"/>
  <c r="B28" i="103"/>
  <c r="F24" i="103"/>
  <c r="J72" i="99"/>
  <c r="F71" i="99"/>
  <c r="B70" i="99"/>
  <c r="J68" i="99"/>
  <c r="F67" i="99"/>
  <c r="B66" i="99"/>
  <c r="J64" i="99"/>
  <c r="B62" i="99"/>
  <c r="I72" i="99"/>
  <c r="E71" i="99"/>
  <c r="M69" i="99"/>
  <c r="I68" i="99"/>
  <c r="E67" i="99"/>
  <c r="M65" i="99"/>
  <c r="I64" i="99"/>
  <c r="M61" i="99"/>
  <c r="E72" i="99"/>
  <c r="M70" i="99"/>
  <c r="I69" i="99"/>
  <c r="E68" i="99"/>
  <c r="M66" i="99"/>
  <c r="I65" i="99"/>
  <c r="M62" i="99"/>
  <c r="I61" i="99"/>
  <c r="L71" i="99"/>
  <c r="E70" i="99"/>
  <c r="H68" i="99"/>
  <c r="L66" i="99"/>
  <c r="J63" i="99"/>
  <c r="C62" i="99"/>
  <c r="K71" i="99"/>
  <c r="D70" i="99"/>
  <c r="G68" i="99"/>
  <c r="K66" i="99"/>
  <c r="I63" i="99"/>
  <c r="L61" i="99"/>
  <c r="J71" i="99"/>
  <c r="C70" i="99"/>
  <c r="F68" i="99"/>
  <c r="J66" i="99"/>
  <c r="C65" i="99"/>
  <c r="H63" i="99"/>
  <c r="K61" i="99"/>
  <c r="I71" i="99"/>
  <c r="L69" i="99"/>
  <c r="D68" i="99"/>
  <c r="I66" i="99"/>
  <c r="B65" i="99"/>
  <c r="J61" i="99"/>
  <c r="H71" i="99"/>
  <c r="K69" i="99"/>
  <c r="C68" i="99"/>
  <c r="H66" i="99"/>
  <c r="M64" i="99"/>
  <c r="H61" i="99"/>
  <c r="G71" i="99"/>
  <c r="J69" i="99"/>
  <c r="B68" i="99"/>
  <c r="L64" i="99"/>
  <c r="C63" i="99"/>
  <c r="G61" i="99"/>
  <c r="B71" i="99"/>
  <c r="L68" i="99"/>
  <c r="L65" i="99"/>
  <c r="B63" i="99"/>
  <c r="L70" i="99"/>
  <c r="K68" i="99"/>
  <c r="K65" i="99"/>
  <c r="L62" i="99"/>
  <c r="K70" i="99"/>
  <c r="M67" i="99"/>
  <c r="J65" i="99"/>
  <c r="K62" i="99"/>
  <c r="J70" i="99"/>
  <c r="L67" i="99"/>
  <c r="H65" i="99"/>
  <c r="J62" i="99"/>
  <c r="M72" i="99"/>
  <c r="I70" i="99"/>
  <c r="K67" i="99"/>
  <c r="I62" i="99"/>
  <c r="G72" i="99"/>
  <c r="H69" i="99"/>
  <c r="G67" i="99"/>
  <c r="E62" i="99"/>
  <c r="D72" i="99"/>
  <c r="J67" i="99"/>
  <c r="B64" i="99"/>
  <c r="C72" i="99"/>
  <c r="I67" i="99"/>
  <c r="M63" i="99"/>
  <c r="B72" i="99"/>
  <c r="H67" i="99"/>
  <c r="L63" i="99"/>
  <c r="M71" i="99"/>
  <c r="D67" i="99"/>
  <c r="K63" i="99"/>
  <c r="D71" i="99"/>
  <c r="C67" i="99"/>
  <c r="H62" i="99"/>
  <c r="F70" i="99"/>
  <c r="F61" i="99"/>
  <c r="L72" i="99"/>
  <c r="F55" i="99"/>
  <c r="K72" i="99"/>
  <c r="C66" i="99"/>
  <c r="H72" i="99"/>
  <c r="F72" i="99"/>
  <c r="K64" i="99"/>
  <c r="C71" i="99"/>
  <c r="H64" i="99"/>
  <c r="B69" i="99"/>
  <c r="D61" i="99"/>
  <c r="F62" i="99"/>
  <c r="D62" i="99"/>
  <c r="H70" i="99"/>
  <c r="E61" i="99"/>
  <c r="G70" i="99"/>
  <c r="C61" i="99"/>
  <c r="G69" i="99"/>
  <c r="B61" i="99"/>
  <c r="F69" i="99"/>
  <c r="E69" i="99"/>
  <c r="D69" i="99"/>
  <c r="C69" i="99"/>
  <c r="M68" i="99"/>
  <c r="B67" i="99"/>
  <c r="G62" i="99"/>
  <c r="C64" i="99"/>
  <c r="M73" i="83"/>
  <c r="C47" i="105"/>
  <c r="F51" i="105"/>
  <c r="H69" i="83"/>
  <c r="F302" i="99"/>
  <c r="D69" i="83"/>
  <c r="K211" i="99"/>
  <c r="J216" i="99"/>
  <c r="M219" i="99"/>
  <c r="K210" i="99"/>
  <c r="B216" i="99"/>
  <c r="J213" i="99"/>
  <c r="J13" i="91"/>
  <c r="H9" i="87"/>
  <c r="I194" i="111"/>
  <c r="E193" i="111"/>
  <c r="H194" i="111"/>
  <c r="D193" i="111"/>
  <c r="L191" i="111"/>
  <c r="H190" i="111"/>
  <c r="D189" i="111"/>
  <c r="L187" i="111"/>
  <c r="H186" i="111"/>
  <c r="D185" i="111"/>
  <c r="L183" i="111"/>
  <c r="G194" i="111"/>
  <c r="C193" i="111"/>
  <c r="G190" i="111"/>
  <c r="C189" i="111"/>
  <c r="K187" i="111"/>
  <c r="G186" i="111"/>
  <c r="C185" i="111"/>
  <c r="E194" i="111"/>
  <c r="M192" i="111"/>
  <c r="I191" i="111"/>
  <c r="E190" i="111"/>
  <c r="M188" i="111"/>
  <c r="I187" i="111"/>
  <c r="E186" i="111"/>
  <c r="M184" i="111"/>
  <c r="I183" i="111"/>
  <c r="K194" i="111"/>
  <c r="D191" i="111"/>
  <c r="I189" i="111"/>
  <c r="B188" i="111"/>
  <c r="D186" i="111"/>
  <c r="I184" i="111"/>
  <c r="F193" i="111"/>
  <c r="F191" i="111"/>
  <c r="F227" i="111" s="1"/>
  <c r="G272" i="111" s="1"/>
  <c r="J189" i="111"/>
  <c r="M187" i="111"/>
  <c r="B186" i="111"/>
  <c r="F184" i="111"/>
  <c r="F194" i="111"/>
  <c r="H192" i="111"/>
  <c r="L190" i="111"/>
  <c r="B189" i="111"/>
  <c r="E187" i="111"/>
  <c r="M193" i="111"/>
  <c r="M189" i="111"/>
  <c r="C188" i="111"/>
  <c r="L185" i="111"/>
  <c r="L193" i="111"/>
  <c r="M191" i="111"/>
  <c r="L189" i="111"/>
  <c r="J187" i="111"/>
  <c r="K185" i="111"/>
  <c r="K193" i="111"/>
  <c r="K189" i="111"/>
  <c r="H187" i="111"/>
  <c r="J185" i="111"/>
  <c r="M183" i="111"/>
  <c r="J193" i="111"/>
  <c r="H191" i="111"/>
  <c r="H189" i="111"/>
  <c r="G187" i="111"/>
  <c r="I185" i="111"/>
  <c r="I193" i="111"/>
  <c r="G191" i="111"/>
  <c r="G189" i="111"/>
  <c r="F187" i="111"/>
  <c r="H185" i="111"/>
  <c r="H183" i="111"/>
  <c r="K190" i="111"/>
  <c r="J188" i="111"/>
  <c r="L186" i="111"/>
  <c r="L184" i="111"/>
  <c r="B193" i="111"/>
  <c r="C190" i="111"/>
  <c r="K186" i="111"/>
  <c r="G183" i="111"/>
  <c r="L192" i="111"/>
  <c r="B190" i="111"/>
  <c r="J186" i="111"/>
  <c r="F183" i="111"/>
  <c r="I192" i="111"/>
  <c r="F189" i="111"/>
  <c r="I186" i="111"/>
  <c r="E183" i="111"/>
  <c r="G192" i="111"/>
  <c r="E189" i="111"/>
  <c r="F186" i="111"/>
  <c r="D183" i="111"/>
  <c r="M194" i="111"/>
  <c r="E191" i="111"/>
  <c r="G188" i="111"/>
  <c r="E185" i="111"/>
  <c r="G193" i="111"/>
  <c r="D190" i="111"/>
  <c r="M186" i="111"/>
  <c r="D184" i="111"/>
  <c r="E192" i="111"/>
  <c r="D187" i="111"/>
  <c r="D192" i="111"/>
  <c r="C187" i="111"/>
  <c r="B187" i="111"/>
  <c r="F177" i="111"/>
  <c r="M190" i="111"/>
  <c r="G185" i="111"/>
  <c r="L194" i="111"/>
  <c r="F188" i="111"/>
  <c r="J194" i="111"/>
  <c r="E188" i="111"/>
  <c r="D194" i="111"/>
  <c r="D188" i="111"/>
  <c r="C194" i="111"/>
  <c r="C186" i="111"/>
  <c r="B194" i="111"/>
  <c r="M185" i="111"/>
  <c r="H193" i="111"/>
  <c r="F185" i="111"/>
  <c r="H184" i="111"/>
  <c r="G184" i="111"/>
  <c r="E184" i="111"/>
  <c r="F192" i="111"/>
  <c r="F190" i="111"/>
  <c r="B185" i="111"/>
  <c r="J190" i="111"/>
  <c r="I190" i="111"/>
  <c r="L188" i="111"/>
  <c r="K188" i="111"/>
  <c r="I188" i="111"/>
  <c r="H188" i="111"/>
  <c r="C170" i="85"/>
  <c r="F147" i="87"/>
  <c r="G147" i="87"/>
  <c r="G150" i="87"/>
  <c r="F149" i="87"/>
  <c r="M35" i="106"/>
  <c r="L35" i="106"/>
  <c r="J7" i="91"/>
  <c r="K11" i="81"/>
  <c r="F324" i="97"/>
  <c r="I176" i="105"/>
  <c r="I177" i="105"/>
  <c r="I174" i="105"/>
  <c r="I175" i="105"/>
  <c r="G96" i="89"/>
  <c r="G95" i="89"/>
  <c r="E273" i="95"/>
  <c r="N7" i="95"/>
  <c r="K31" i="86"/>
  <c r="F264" i="83"/>
  <c r="C284" i="83"/>
  <c r="J281" i="83"/>
  <c r="C280" i="83"/>
  <c r="N278" i="83"/>
  <c r="J277" i="83"/>
  <c r="C276" i="83"/>
  <c r="N274" i="83"/>
  <c r="J273" i="83"/>
  <c r="C272" i="83"/>
  <c r="N270" i="83"/>
  <c r="J269" i="83"/>
  <c r="Q283" i="83"/>
  <c r="M282" i="83"/>
  <c r="H281" i="83"/>
  <c r="Q279" i="83"/>
  <c r="M278" i="83"/>
  <c r="H277" i="83"/>
  <c r="Q275" i="83"/>
  <c r="M274" i="83"/>
  <c r="H273" i="83"/>
  <c r="Q271" i="83"/>
  <c r="M270" i="83"/>
  <c r="H269" i="83"/>
  <c r="P283" i="83"/>
  <c r="L282" i="83"/>
  <c r="P279" i="83"/>
  <c r="L278" i="83"/>
  <c r="E277" i="83"/>
  <c r="P275" i="83"/>
  <c r="L274" i="83"/>
  <c r="E273" i="83"/>
  <c r="P271" i="83"/>
  <c r="L270" i="83"/>
  <c r="E269" i="83"/>
  <c r="O283" i="83"/>
  <c r="K282" i="83"/>
  <c r="O279" i="83"/>
  <c r="K278" i="83"/>
  <c r="D277" i="83"/>
  <c r="O275" i="83"/>
  <c r="K274" i="83"/>
  <c r="D273" i="83"/>
  <c r="K270" i="83"/>
  <c r="D269" i="83"/>
  <c r="N283" i="83"/>
  <c r="J282" i="83"/>
  <c r="C281" i="83"/>
  <c r="N279" i="83"/>
  <c r="J278" i="83"/>
  <c r="C277" i="83"/>
  <c r="N275" i="83"/>
  <c r="J274" i="83"/>
  <c r="C273" i="83"/>
  <c r="J270" i="83"/>
  <c r="C269" i="83"/>
  <c r="K284" i="83"/>
  <c r="H280" i="83"/>
  <c r="Q277" i="83"/>
  <c r="D276" i="83"/>
  <c r="O273" i="83"/>
  <c r="L271" i="83"/>
  <c r="M269" i="83"/>
  <c r="D284" i="83"/>
  <c r="L279" i="83"/>
  <c r="M277" i="83"/>
  <c r="H275" i="83"/>
  <c r="K273" i="83"/>
  <c r="J284" i="83"/>
  <c r="P281" i="83"/>
  <c r="H279" i="83"/>
  <c r="P276" i="83"/>
  <c r="O274" i="83"/>
  <c r="H272" i="83"/>
  <c r="O269" i="83"/>
  <c r="H284" i="83"/>
  <c r="E279" i="83"/>
  <c r="O276" i="83"/>
  <c r="H274" i="83"/>
  <c r="N269" i="83"/>
  <c r="E284" i="83"/>
  <c r="M281" i="83"/>
  <c r="D279" i="83"/>
  <c r="M276" i="83"/>
  <c r="E274" i="83"/>
  <c r="L269" i="83"/>
  <c r="M283" i="83"/>
  <c r="L281" i="83"/>
  <c r="C279" i="83"/>
  <c r="L276" i="83"/>
  <c r="D274" i="83"/>
  <c r="M271" i="83"/>
  <c r="K269" i="83"/>
  <c r="L283" i="83"/>
  <c r="K281" i="83"/>
  <c r="Q278" i="83"/>
  <c r="K276" i="83"/>
  <c r="Q273" i="83"/>
  <c r="K271" i="83"/>
  <c r="K283" i="83"/>
  <c r="Q280" i="83"/>
  <c r="P278" i="83"/>
  <c r="J276" i="83"/>
  <c r="P273" i="83"/>
  <c r="H271" i="83"/>
  <c r="O284" i="83"/>
  <c r="L280" i="83"/>
  <c r="Q276" i="83"/>
  <c r="M284" i="83"/>
  <c r="K280" i="83"/>
  <c r="H276" i="83"/>
  <c r="M272" i="83"/>
  <c r="L284" i="83"/>
  <c r="J280" i="83"/>
  <c r="E276" i="83"/>
  <c r="L272" i="83"/>
  <c r="H283" i="83"/>
  <c r="E280" i="83"/>
  <c r="M275" i="83"/>
  <c r="K272" i="83"/>
  <c r="E283" i="83"/>
  <c r="D280" i="83"/>
  <c r="L275" i="83"/>
  <c r="J272" i="83"/>
  <c r="E278" i="83"/>
  <c r="Q274" i="83"/>
  <c r="O270" i="83"/>
  <c r="M279" i="83"/>
  <c r="M273" i="83"/>
  <c r="K279" i="83"/>
  <c r="L273" i="83"/>
  <c r="O278" i="83"/>
  <c r="Q272" i="83"/>
  <c r="H278" i="83"/>
  <c r="P272" i="83"/>
  <c r="Q284" i="83"/>
  <c r="D278" i="83"/>
  <c r="P284" i="83"/>
  <c r="P277" i="83"/>
  <c r="C271" i="83"/>
  <c r="L277" i="83"/>
  <c r="K277" i="83"/>
  <c r="K275" i="83"/>
  <c r="E275" i="83"/>
  <c r="D283" i="83"/>
  <c r="D275" i="83"/>
  <c r="H282" i="83"/>
  <c r="Q270" i="83"/>
  <c r="M280" i="83"/>
  <c r="O277" i="83"/>
  <c r="N277" i="83"/>
  <c r="C275" i="83"/>
  <c r="P274" i="83"/>
  <c r="E270" i="83"/>
  <c r="P280" i="83"/>
  <c r="O280" i="83"/>
  <c r="N273" i="83"/>
  <c r="P270" i="83"/>
  <c r="H270" i="83"/>
  <c r="Q282" i="83"/>
  <c r="P282" i="83"/>
  <c r="Q281" i="83"/>
  <c r="D270" i="83"/>
  <c r="Q269" i="83"/>
  <c r="P269" i="83"/>
  <c r="C283" i="83"/>
  <c r="L156" i="93"/>
  <c r="H155" i="93"/>
  <c r="L152" i="93"/>
  <c r="H151" i="93"/>
  <c r="D150" i="93"/>
  <c r="L148" i="93"/>
  <c r="H147" i="93"/>
  <c r="D146" i="93"/>
  <c r="K156" i="93"/>
  <c r="G155" i="93"/>
  <c r="C154" i="93"/>
  <c r="K152" i="93"/>
  <c r="G151" i="93"/>
  <c r="C150" i="93"/>
  <c r="G147" i="93"/>
  <c r="C146" i="93"/>
  <c r="J156" i="93"/>
  <c r="F155" i="93"/>
  <c r="B154" i="93"/>
  <c r="J152" i="93"/>
  <c r="F151" i="93"/>
  <c r="B150" i="93"/>
  <c r="F147" i="93"/>
  <c r="B146" i="93"/>
  <c r="I156" i="93"/>
  <c r="E155" i="93"/>
  <c r="M153" i="93"/>
  <c r="I152" i="93"/>
  <c r="E151" i="93"/>
  <c r="M149" i="93"/>
  <c r="I148" i="93"/>
  <c r="M145" i="93"/>
  <c r="H156" i="93"/>
  <c r="D155" i="93"/>
  <c r="L153" i="93"/>
  <c r="H152" i="93"/>
  <c r="D151" i="93"/>
  <c r="L149" i="93"/>
  <c r="H148" i="93"/>
  <c r="L145" i="93"/>
  <c r="D156" i="93"/>
  <c r="L154" i="93"/>
  <c r="H153" i="93"/>
  <c r="D152" i="93"/>
  <c r="L150" i="93"/>
  <c r="H149" i="93"/>
  <c r="L146" i="93"/>
  <c r="H145" i="93"/>
  <c r="M155" i="93"/>
  <c r="K151" i="93"/>
  <c r="G149" i="93"/>
  <c r="I147" i="93"/>
  <c r="E145" i="93"/>
  <c r="L155" i="93"/>
  <c r="I153" i="93"/>
  <c r="J151" i="93"/>
  <c r="F149" i="93"/>
  <c r="C147" i="93"/>
  <c r="D145" i="93"/>
  <c r="K155" i="93"/>
  <c r="G153" i="93"/>
  <c r="I151" i="93"/>
  <c r="E149" i="93"/>
  <c r="B147" i="93"/>
  <c r="C145" i="93"/>
  <c r="J155" i="93"/>
  <c r="F153" i="93"/>
  <c r="C151" i="93"/>
  <c r="D149" i="93"/>
  <c r="M146" i="93"/>
  <c r="B145" i="93"/>
  <c r="I155" i="93"/>
  <c r="B151" i="93"/>
  <c r="C149" i="93"/>
  <c r="K146" i="93"/>
  <c r="M152" i="93"/>
  <c r="I150" i="93"/>
  <c r="F148" i="93"/>
  <c r="G146" i="93"/>
  <c r="F154" i="93"/>
  <c r="H150" i="93"/>
  <c r="G150" i="93"/>
  <c r="J146" i="93"/>
  <c r="F150" i="93"/>
  <c r="I146" i="93"/>
  <c r="F139" i="93"/>
  <c r="M156" i="93"/>
  <c r="E150" i="93"/>
  <c r="H146" i="93"/>
  <c r="G156" i="93"/>
  <c r="C153" i="93"/>
  <c r="K149" i="93"/>
  <c r="F146" i="93"/>
  <c r="L151" i="93"/>
  <c r="F152" i="93"/>
  <c r="M147" i="93"/>
  <c r="E152" i="93"/>
  <c r="L147" i="93"/>
  <c r="C152" i="93"/>
  <c r="B152" i="93"/>
  <c r="E146" i="93"/>
  <c r="F156" i="93"/>
  <c r="M151" i="93"/>
  <c r="K145" i="93"/>
  <c r="E156" i="93"/>
  <c r="M150" i="93"/>
  <c r="J145" i="93"/>
  <c r="I149" i="93"/>
  <c r="B149" i="93"/>
  <c r="M148" i="93"/>
  <c r="C156" i="93"/>
  <c r="G148" i="93"/>
  <c r="B156" i="93"/>
  <c r="H154" i="93"/>
  <c r="F145" i="93"/>
  <c r="J149" i="93"/>
  <c r="C148" i="93"/>
  <c r="B148" i="93"/>
  <c r="I145" i="93"/>
  <c r="G145" i="93"/>
  <c r="C155" i="93"/>
  <c r="C275" i="93" s="1"/>
  <c r="D320" i="93" s="1"/>
  <c r="B155" i="93"/>
  <c r="M154" i="93"/>
  <c r="G152" i="93"/>
  <c r="B153" i="93"/>
  <c r="K150" i="93"/>
  <c r="J150" i="93"/>
  <c r="I154" i="93"/>
  <c r="G154" i="93"/>
  <c r="F410" i="81"/>
  <c r="F104" i="85"/>
  <c r="H104" i="85"/>
  <c r="E103" i="85"/>
  <c r="R349" i="79"/>
  <c r="G331" i="79"/>
  <c r="F331" i="79"/>
  <c r="J221" i="97"/>
  <c r="F220" i="97"/>
  <c r="B219" i="97"/>
  <c r="J217" i="97"/>
  <c r="F216" i="97"/>
  <c r="B215" i="97"/>
  <c r="J213" i="97"/>
  <c r="F212" i="97"/>
  <c r="B211" i="97"/>
  <c r="I221" i="97"/>
  <c r="E220" i="97"/>
  <c r="M218" i="97"/>
  <c r="M214" i="97"/>
  <c r="M210" i="97"/>
  <c r="E221" i="97"/>
  <c r="M219" i="97"/>
  <c r="I218" i="97"/>
  <c r="M215" i="97"/>
  <c r="I214" i="97"/>
  <c r="M211" i="97"/>
  <c r="I210" i="97"/>
  <c r="M221" i="97"/>
  <c r="D220" i="97"/>
  <c r="H218" i="97"/>
  <c r="M216" i="97"/>
  <c r="F215" i="97"/>
  <c r="K213" i="97"/>
  <c r="B212" i="97"/>
  <c r="F210" i="97"/>
  <c r="L221" i="97"/>
  <c r="C220" i="97"/>
  <c r="G218" i="97"/>
  <c r="L216" i="97"/>
  <c r="E215" i="97"/>
  <c r="L211" i="97"/>
  <c r="E210" i="97"/>
  <c r="F204" i="97"/>
  <c r="K221" i="97"/>
  <c r="B220" i="97"/>
  <c r="F218" i="97"/>
  <c r="K216" i="97"/>
  <c r="D215" i="97"/>
  <c r="G213" i="97"/>
  <c r="K211" i="97"/>
  <c r="D210" i="97"/>
  <c r="H221" i="97"/>
  <c r="L219" i="97"/>
  <c r="E218" i="97"/>
  <c r="J216" i="97"/>
  <c r="C215" i="97"/>
  <c r="F213" i="97"/>
  <c r="J211" i="97"/>
  <c r="C210" i="97"/>
  <c r="G221" i="97"/>
  <c r="K219" i="97"/>
  <c r="D218" i="97"/>
  <c r="L214" i="97"/>
  <c r="I211" i="97"/>
  <c r="B210" i="97"/>
  <c r="F221" i="97"/>
  <c r="J219" i="97"/>
  <c r="C218" i="97"/>
  <c r="K214" i="97"/>
  <c r="C213" i="97"/>
  <c r="H211" i="97"/>
  <c r="M220" i="97"/>
  <c r="J218" i="97"/>
  <c r="K215" i="97"/>
  <c r="M212" i="97"/>
  <c r="J210" i="97"/>
  <c r="L220" i="97"/>
  <c r="B218" i="97"/>
  <c r="J215" i="97"/>
  <c r="L212" i="97"/>
  <c r="H210" i="97"/>
  <c r="K220" i="97"/>
  <c r="M217" i="97"/>
  <c r="I215" i="97"/>
  <c r="K212" i="97"/>
  <c r="G210" i="97"/>
  <c r="J220" i="97"/>
  <c r="L217" i="97"/>
  <c r="H215" i="97"/>
  <c r="J212" i="97"/>
  <c r="I220" i="97"/>
  <c r="K217" i="97"/>
  <c r="G215" i="97"/>
  <c r="H219" i="97"/>
  <c r="F214" i="97"/>
  <c r="C212" i="97"/>
  <c r="L218" i="97"/>
  <c r="D214" i="97"/>
  <c r="K218" i="97"/>
  <c r="C214" i="97"/>
  <c r="B214" i="97"/>
  <c r="G217" i="97"/>
  <c r="M213" i="97"/>
  <c r="F217" i="97"/>
  <c r="L213" i="97"/>
  <c r="H220" i="97"/>
  <c r="L215" i="97"/>
  <c r="D221" i="97"/>
  <c r="J214" i="97"/>
  <c r="C221" i="97"/>
  <c r="H214" i="97"/>
  <c r="B221" i="97"/>
  <c r="G214" i="97"/>
  <c r="G220" i="97"/>
  <c r="E214" i="97"/>
  <c r="B217" i="97"/>
  <c r="C211" i="97"/>
  <c r="B213" i="97"/>
  <c r="G212" i="97"/>
  <c r="G211" i="97"/>
  <c r="F211" i="97"/>
  <c r="E211" i="97"/>
  <c r="C216" i="97"/>
  <c r="B216" i="97"/>
  <c r="D211" i="97"/>
  <c r="L210" i="97"/>
  <c r="K210" i="97"/>
  <c r="G219" i="97"/>
  <c r="C219" i="97"/>
  <c r="C217" i="97"/>
  <c r="G216" i="97"/>
  <c r="D219" i="97"/>
  <c r="I219" i="97"/>
  <c r="F219" i="97"/>
  <c r="E219" i="97"/>
  <c r="M28" i="66"/>
  <c r="L28" i="66"/>
  <c r="P269" i="73"/>
  <c r="G253" i="73"/>
  <c r="F253" i="73"/>
  <c r="F254" i="63"/>
  <c r="G254" i="63"/>
  <c r="P270" i="63"/>
  <c r="I131" i="69"/>
  <c r="E130" i="69"/>
  <c r="M128" i="69"/>
  <c r="E126" i="69"/>
  <c r="M124" i="69"/>
  <c r="I123" i="69"/>
  <c r="E122" i="69"/>
  <c r="M120" i="69"/>
  <c r="H131" i="69"/>
  <c r="G131" i="69"/>
  <c r="F131" i="69"/>
  <c r="B130" i="69"/>
  <c r="J128" i="69"/>
  <c r="F127" i="69"/>
  <c r="J124" i="69"/>
  <c r="F123" i="69"/>
  <c r="B122" i="69"/>
  <c r="J120" i="69"/>
  <c r="E131" i="69"/>
  <c r="M129" i="69"/>
  <c r="I128" i="69"/>
  <c r="E127" i="69"/>
  <c r="M125" i="69"/>
  <c r="I124" i="69"/>
  <c r="E123" i="69"/>
  <c r="M121" i="69"/>
  <c r="D131" i="69"/>
  <c r="L129" i="69"/>
  <c r="B131" i="69"/>
  <c r="F129" i="69"/>
  <c r="K127" i="69"/>
  <c r="F124" i="69"/>
  <c r="K122" i="69"/>
  <c r="D121" i="69"/>
  <c r="M130" i="69"/>
  <c r="E129" i="69"/>
  <c r="J127" i="69"/>
  <c r="L125" i="69"/>
  <c r="E124" i="69"/>
  <c r="J122" i="69"/>
  <c r="L130" i="69"/>
  <c r="D129" i="69"/>
  <c r="K125" i="69"/>
  <c r="D124" i="69"/>
  <c r="I122" i="69"/>
  <c r="K130" i="69"/>
  <c r="C129" i="69"/>
  <c r="G127" i="69"/>
  <c r="J125" i="69"/>
  <c r="C124" i="69"/>
  <c r="H122" i="69"/>
  <c r="L120" i="69"/>
  <c r="J130" i="69"/>
  <c r="B129" i="69"/>
  <c r="D127" i="69"/>
  <c r="I125" i="69"/>
  <c r="B124" i="69"/>
  <c r="G122" i="69"/>
  <c r="K120" i="69"/>
  <c r="F130" i="69"/>
  <c r="G128" i="69"/>
  <c r="L126" i="69"/>
  <c r="E125" i="69"/>
  <c r="J123" i="69"/>
  <c r="L121" i="69"/>
  <c r="E120" i="69"/>
  <c r="F114" i="69"/>
  <c r="H129" i="69"/>
  <c r="J126" i="69"/>
  <c r="M123" i="69"/>
  <c r="G129" i="69"/>
  <c r="L123" i="69"/>
  <c r="G121" i="69"/>
  <c r="L128" i="69"/>
  <c r="K123" i="69"/>
  <c r="F121" i="69"/>
  <c r="M131" i="69"/>
  <c r="K128" i="69"/>
  <c r="G126" i="69"/>
  <c r="H123" i="69"/>
  <c r="E121" i="69"/>
  <c r="L131" i="69"/>
  <c r="H128" i="69"/>
  <c r="F126" i="69"/>
  <c r="G123" i="69"/>
  <c r="I130" i="69"/>
  <c r="C128" i="69"/>
  <c r="F125" i="69"/>
  <c r="M122" i="69"/>
  <c r="K129" i="69"/>
  <c r="D125" i="69"/>
  <c r="J129" i="69"/>
  <c r="C125" i="69"/>
  <c r="G120" i="69"/>
  <c r="I129" i="69"/>
  <c r="B125" i="69"/>
  <c r="F120" i="69"/>
  <c r="F128" i="69"/>
  <c r="L124" i="69"/>
  <c r="D120" i="69"/>
  <c r="E128" i="69"/>
  <c r="K124" i="69"/>
  <c r="L127" i="69"/>
  <c r="C123" i="69"/>
  <c r="C131" i="69"/>
  <c r="G124" i="69"/>
  <c r="H130" i="69"/>
  <c r="D123" i="69"/>
  <c r="G130" i="69"/>
  <c r="B123" i="69"/>
  <c r="D130" i="69"/>
  <c r="L122" i="69"/>
  <c r="C130" i="69"/>
  <c r="F122" i="69"/>
  <c r="D128" i="69"/>
  <c r="D122" i="69"/>
  <c r="B128" i="69"/>
  <c r="C122" i="69"/>
  <c r="J121" i="69"/>
  <c r="M126" i="69"/>
  <c r="K126" i="69"/>
  <c r="D126" i="69"/>
  <c r="H125" i="69"/>
  <c r="G125" i="69"/>
  <c r="H124" i="69"/>
  <c r="K131" i="69"/>
  <c r="K121" i="69"/>
  <c r="J131" i="69"/>
  <c r="M127" i="69"/>
  <c r="I44" i="69"/>
  <c r="M63" i="59"/>
  <c r="I149" i="59"/>
  <c r="F152" i="59"/>
  <c r="J67" i="59"/>
  <c r="G257" i="65"/>
  <c r="P273" i="65"/>
  <c r="F257" i="65"/>
  <c r="L104" i="63"/>
  <c r="B100" i="63"/>
  <c r="J108" i="69"/>
  <c r="L100" i="69"/>
  <c r="H99" i="69"/>
  <c r="E99" i="69"/>
  <c r="B68" i="59"/>
  <c r="E105" i="69"/>
  <c r="L32" i="80"/>
  <c r="M32" i="80"/>
  <c r="J40" i="73"/>
  <c r="J46" i="73"/>
  <c r="C40" i="73"/>
  <c r="M38" i="73"/>
  <c r="D46" i="73"/>
  <c r="H107" i="71"/>
  <c r="F106" i="71"/>
  <c r="K102" i="71"/>
  <c r="L105" i="71"/>
  <c r="C143" i="63"/>
  <c r="H149" i="63"/>
  <c r="B150" i="63"/>
  <c r="G8" i="63"/>
  <c r="J46" i="55"/>
  <c r="J188" i="71"/>
  <c r="C194" i="71"/>
  <c r="I192" i="71"/>
  <c r="I193" i="71"/>
  <c r="L185" i="71"/>
  <c r="I11" i="65"/>
  <c r="K42" i="55"/>
  <c r="J37" i="55"/>
  <c r="K16" i="79"/>
  <c r="C264" i="79" s="1"/>
  <c r="I15" i="75"/>
  <c r="I7" i="71"/>
  <c r="K59" i="61"/>
  <c r="I60" i="61"/>
  <c r="L60" i="61"/>
  <c r="B89" i="65"/>
  <c r="E85" i="65"/>
  <c r="B83" i="65"/>
  <c r="B224" i="65" s="1"/>
  <c r="C269" i="65" s="1"/>
  <c r="H87" i="65"/>
  <c r="M42" i="66"/>
  <c r="L42" i="66"/>
  <c r="M194" i="61"/>
  <c r="I193" i="61"/>
  <c r="M190" i="61"/>
  <c r="I189" i="61"/>
  <c r="E188" i="61"/>
  <c r="M186" i="61"/>
  <c r="I185" i="61"/>
  <c r="E184" i="61"/>
  <c r="L194" i="61"/>
  <c r="H193" i="61"/>
  <c r="L190" i="61"/>
  <c r="H189" i="61"/>
  <c r="D188" i="61"/>
  <c r="L186" i="61"/>
  <c r="H185" i="61"/>
  <c r="D184" i="61"/>
  <c r="K194" i="61"/>
  <c r="G193" i="61"/>
  <c r="C192" i="61"/>
  <c r="K190" i="61"/>
  <c r="G189" i="61"/>
  <c r="C188" i="61"/>
  <c r="G185" i="61"/>
  <c r="C184" i="61"/>
  <c r="J194" i="61"/>
  <c r="F193" i="61"/>
  <c r="B192" i="61"/>
  <c r="J190" i="61"/>
  <c r="F189" i="61"/>
  <c r="B188" i="61"/>
  <c r="F185" i="61"/>
  <c r="B184" i="61"/>
  <c r="I194" i="61"/>
  <c r="E193" i="61"/>
  <c r="M191" i="61"/>
  <c r="I190" i="61"/>
  <c r="E189" i="61"/>
  <c r="M187" i="61"/>
  <c r="I186" i="61"/>
  <c r="M183" i="61"/>
  <c r="E194" i="61"/>
  <c r="M192" i="61"/>
  <c r="I191" i="61"/>
  <c r="E190" i="61"/>
  <c r="M188" i="61"/>
  <c r="I187" i="61"/>
  <c r="M184" i="61"/>
  <c r="I183" i="61"/>
  <c r="J193" i="61"/>
  <c r="F191" i="61"/>
  <c r="C189" i="61"/>
  <c r="D187" i="61"/>
  <c r="L184" i="61"/>
  <c r="B183" i="61"/>
  <c r="D193" i="61"/>
  <c r="B189" i="61"/>
  <c r="C187" i="61"/>
  <c r="K184" i="61"/>
  <c r="C193" i="61"/>
  <c r="L188" i="61"/>
  <c r="B187" i="61"/>
  <c r="J184" i="61"/>
  <c r="B193" i="61"/>
  <c r="C191" i="61"/>
  <c r="K188" i="61"/>
  <c r="H186" i="61"/>
  <c r="I184" i="61"/>
  <c r="L192" i="61"/>
  <c r="B191" i="61"/>
  <c r="J188" i="61"/>
  <c r="G186" i="61"/>
  <c r="H184" i="61"/>
  <c r="G194" i="61"/>
  <c r="H192" i="61"/>
  <c r="D190" i="61"/>
  <c r="F188" i="61"/>
  <c r="B186" i="61"/>
  <c r="K183" i="61"/>
  <c r="G192" i="61"/>
  <c r="D189" i="61"/>
  <c r="F192" i="61"/>
  <c r="I188" i="61"/>
  <c r="L191" i="61"/>
  <c r="H188" i="61"/>
  <c r="G188" i="61"/>
  <c r="C185" i="61"/>
  <c r="F177" i="61"/>
  <c r="L187" i="61"/>
  <c r="B185" i="61"/>
  <c r="C194" i="61"/>
  <c r="G190" i="61"/>
  <c r="G187" i="61"/>
  <c r="J183" i="61"/>
  <c r="K193" i="61"/>
  <c r="H187" i="61"/>
  <c r="C183" i="61"/>
  <c r="F187" i="61"/>
  <c r="E187" i="61"/>
  <c r="I192" i="61"/>
  <c r="F186" i="61"/>
  <c r="H191" i="61"/>
  <c r="H190" i="61"/>
  <c r="M185" i="61"/>
  <c r="M193" i="61"/>
  <c r="L183" i="61"/>
  <c r="L193" i="61"/>
  <c r="H183" i="61"/>
  <c r="G191" i="61"/>
  <c r="G183" i="61"/>
  <c r="F190" i="61"/>
  <c r="F183" i="61"/>
  <c r="C190" i="61"/>
  <c r="E183" i="61"/>
  <c r="B190" i="61"/>
  <c r="D183" i="61"/>
  <c r="J189" i="61"/>
  <c r="K187" i="61"/>
  <c r="J187" i="61"/>
  <c r="C186" i="61"/>
  <c r="L185" i="61"/>
  <c r="G184" i="61"/>
  <c r="F184" i="61"/>
  <c r="H194" i="61"/>
  <c r="L189" i="61"/>
  <c r="F194" i="61"/>
  <c r="D194" i="61"/>
  <c r="B194" i="61"/>
  <c r="M189" i="61"/>
  <c r="K189" i="61"/>
  <c r="G250" i="55"/>
  <c r="F250" i="55"/>
  <c r="F256" i="55"/>
  <c r="L35" i="46"/>
  <c r="M35" i="46"/>
  <c r="H183" i="73"/>
  <c r="H185" i="73"/>
  <c r="H221" i="73" s="1"/>
  <c r="I266" i="73" s="1"/>
  <c r="K193" i="73"/>
  <c r="C183" i="73"/>
  <c r="F111" i="51"/>
  <c r="E112" i="51"/>
  <c r="I11" i="57"/>
  <c r="E68" i="55"/>
  <c r="C68" i="55"/>
  <c r="D96" i="49"/>
  <c r="H94" i="49"/>
  <c r="B93" i="49"/>
  <c r="F91" i="49"/>
  <c r="J89" i="49"/>
  <c r="D95" i="49"/>
  <c r="G93" i="49"/>
  <c r="J91" i="49"/>
  <c r="C90" i="49"/>
  <c r="G98" i="49"/>
  <c r="C95" i="49"/>
  <c r="F93" i="49"/>
  <c r="I91" i="49"/>
  <c r="B90" i="49"/>
  <c r="F98" i="49"/>
  <c r="B95" i="49"/>
  <c r="E93" i="49"/>
  <c r="H91" i="49"/>
  <c r="K89" i="49"/>
  <c r="E98" i="49"/>
  <c r="K94" i="49"/>
  <c r="K164" i="49" s="1"/>
  <c r="L203" i="49" s="1"/>
  <c r="D93" i="49"/>
  <c r="G91" i="49"/>
  <c r="I89" i="49"/>
  <c r="I159" i="49" s="1"/>
  <c r="J198" i="49" s="1"/>
  <c r="D98" i="49"/>
  <c r="G96" i="49"/>
  <c r="J94" i="49"/>
  <c r="C93" i="49"/>
  <c r="E91" i="49"/>
  <c r="H89" i="49"/>
  <c r="F95" i="49"/>
  <c r="H92" i="49"/>
  <c r="F90" i="49"/>
  <c r="G97" i="49"/>
  <c r="G167" i="49" s="1"/>
  <c r="H206" i="49" s="1"/>
  <c r="E95" i="49"/>
  <c r="G92" i="49"/>
  <c r="E90" i="49"/>
  <c r="F97" i="49"/>
  <c r="I94" i="49"/>
  <c r="F92" i="49"/>
  <c r="D90" i="49"/>
  <c r="F83" i="49"/>
  <c r="E97" i="49"/>
  <c r="G94" i="49"/>
  <c r="E92" i="49"/>
  <c r="G89" i="49"/>
  <c r="D97" i="49"/>
  <c r="F94" i="49"/>
  <c r="D92" i="49"/>
  <c r="F89" i="49"/>
  <c r="C96" i="49"/>
  <c r="K93" i="49"/>
  <c r="C91" i="49"/>
  <c r="C98" i="49"/>
  <c r="C94" i="49"/>
  <c r="H90" i="49"/>
  <c r="H160" i="49" s="1"/>
  <c r="I199" i="49" s="1"/>
  <c r="B98" i="49"/>
  <c r="B94" i="49"/>
  <c r="G90" i="49"/>
  <c r="I93" i="49"/>
  <c r="D89" i="49"/>
  <c r="C97" i="49"/>
  <c r="H93" i="49"/>
  <c r="C89" i="49"/>
  <c r="F96" i="49"/>
  <c r="J92" i="49"/>
  <c r="B96" i="49"/>
  <c r="K90" i="49"/>
  <c r="J90" i="49"/>
  <c r="I90" i="49"/>
  <c r="E89" i="49"/>
  <c r="B89" i="49"/>
  <c r="G95" i="49"/>
  <c r="K92" i="49"/>
  <c r="I92" i="49"/>
  <c r="D94" i="49"/>
  <c r="J93" i="49"/>
  <c r="C92" i="49"/>
  <c r="B92" i="49"/>
  <c r="B91" i="49"/>
  <c r="K91" i="49"/>
  <c r="D91" i="49"/>
  <c r="E94" i="49"/>
  <c r="B97" i="49"/>
  <c r="E96" i="49"/>
  <c r="P271" i="57"/>
  <c r="G255" i="57"/>
  <c r="N319" i="57" s="1"/>
  <c r="F255" i="57"/>
  <c r="F257" i="57"/>
  <c r="F258" i="57"/>
  <c r="D51" i="51"/>
  <c r="C55" i="51"/>
  <c r="M31" i="48"/>
  <c r="L31" i="48"/>
  <c r="F143" i="47"/>
  <c r="I153" i="47"/>
  <c r="B146" i="47"/>
  <c r="K146" i="47"/>
  <c r="B150" i="47"/>
  <c r="G147" i="47"/>
  <c r="I147" i="47"/>
  <c r="J150" i="47"/>
  <c r="G155" i="47"/>
  <c r="D146" i="47"/>
  <c r="C149" i="47"/>
  <c r="J153" i="47"/>
  <c r="H146" i="47"/>
  <c r="B152" i="47"/>
  <c r="K153" i="47"/>
  <c r="C152" i="47"/>
  <c r="C155" i="47"/>
  <c r="G149" i="47"/>
  <c r="H152" i="47"/>
  <c r="F150" i="47"/>
  <c r="F153" i="47"/>
  <c r="F147" i="47"/>
  <c r="I148" i="47"/>
  <c r="H151" i="47"/>
  <c r="C154" i="47"/>
  <c r="H153" i="47"/>
  <c r="G146" i="47"/>
  <c r="E147" i="47"/>
  <c r="F155" i="47"/>
  <c r="B149" i="47"/>
  <c r="K151" i="47"/>
  <c r="F154" i="47"/>
  <c r="B154" i="47"/>
  <c r="E151" i="47"/>
  <c r="G148" i="47"/>
  <c r="J151" i="47"/>
  <c r="H149" i="47"/>
  <c r="K150" i="47"/>
  <c r="B151" i="47"/>
  <c r="G188" i="49"/>
  <c r="F188" i="49"/>
  <c r="G189" i="49"/>
  <c r="M40" i="42"/>
  <c r="L40" i="42"/>
  <c r="H149" i="55"/>
  <c r="L143" i="55"/>
  <c r="B142" i="55"/>
  <c r="K152" i="35"/>
  <c r="D155" i="35"/>
  <c r="K12" i="47"/>
  <c r="I12" i="47"/>
  <c r="F104" i="45"/>
  <c r="C116" i="45"/>
  <c r="E108" i="45"/>
  <c r="F116" i="45"/>
  <c r="F114" i="45"/>
  <c r="F117" i="45"/>
  <c r="D117" i="45"/>
  <c r="K113" i="45"/>
  <c r="I112" i="45"/>
  <c r="I115" i="45"/>
  <c r="C115" i="45"/>
  <c r="I111" i="45"/>
  <c r="B111" i="45"/>
  <c r="B114" i="45"/>
  <c r="K112" i="45"/>
  <c r="H109" i="45"/>
  <c r="F111" i="45"/>
  <c r="E109" i="45"/>
  <c r="E112" i="45"/>
  <c r="F110" i="45"/>
  <c r="B110" i="45"/>
  <c r="I114" i="45"/>
  <c r="H117" i="45"/>
  <c r="H110" i="45"/>
  <c r="D108" i="45"/>
  <c r="J113" i="45"/>
  <c r="E115" i="45"/>
  <c r="J112" i="45"/>
  <c r="K116" i="45"/>
  <c r="J117" i="45"/>
  <c r="I110" i="45"/>
  <c r="G110" i="45"/>
  <c r="B57" i="13"/>
  <c r="D54" i="13"/>
  <c r="C56" i="13"/>
  <c r="E59" i="13"/>
  <c r="G56" i="13"/>
  <c r="D59" i="13"/>
  <c r="F56" i="13"/>
  <c r="F48" i="13"/>
  <c r="E56" i="13"/>
  <c r="D56" i="13"/>
  <c r="E55" i="13"/>
  <c r="D55" i="13"/>
  <c r="E58" i="13"/>
  <c r="E54" i="13"/>
  <c r="F57" i="13"/>
  <c r="E57" i="13"/>
  <c r="D57" i="13"/>
  <c r="D58" i="13"/>
  <c r="G57" i="13"/>
  <c r="C57" i="13"/>
  <c r="B56" i="13"/>
  <c r="I10" i="55"/>
  <c r="J10" i="55"/>
  <c r="M39" i="8"/>
  <c r="L39" i="8"/>
  <c r="H82" i="21"/>
  <c r="M38" i="114"/>
  <c r="L38" i="114"/>
  <c r="K13" i="111"/>
  <c r="G137" i="115"/>
  <c r="K135" i="115"/>
  <c r="E134" i="115"/>
  <c r="I132" i="115"/>
  <c r="C131" i="115"/>
  <c r="G129" i="115"/>
  <c r="I135" i="115"/>
  <c r="C134" i="115"/>
  <c r="G132" i="115"/>
  <c r="K130" i="115"/>
  <c r="E129" i="115"/>
  <c r="H135" i="115"/>
  <c r="B134" i="115"/>
  <c r="F132" i="115"/>
  <c r="J130" i="115"/>
  <c r="D129" i="115"/>
  <c r="H138" i="115"/>
  <c r="B137" i="115"/>
  <c r="F135" i="115"/>
  <c r="J133" i="115"/>
  <c r="H130" i="115"/>
  <c r="B129" i="115"/>
  <c r="F123" i="115"/>
  <c r="C137" i="115"/>
  <c r="B135" i="115"/>
  <c r="B133" i="115"/>
  <c r="I130" i="115"/>
  <c r="K136" i="115"/>
  <c r="K134" i="115"/>
  <c r="G130" i="115"/>
  <c r="J136" i="115"/>
  <c r="J134" i="115"/>
  <c r="F130" i="115"/>
  <c r="I136" i="115"/>
  <c r="I134" i="115"/>
  <c r="H132" i="115"/>
  <c r="E130" i="115"/>
  <c r="I138" i="115"/>
  <c r="H136" i="115"/>
  <c r="H134" i="115"/>
  <c r="D130" i="115"/>
  <c r="C136" i="115"/>
  <c r="D133" i="115"/>
  <c r="J129" i="115"/>
  <c r="B136" i="115"/>
  <c r="C132" i="115"/>
  <c r="F129" i="115"/>
  <c r="E135" i="115"/>
  <c r="I137" i="115"/>
  <c r="H133" i="115"/>
  <c r="K129" i="115"/>
  <c r="H137" i="115"/>
  <c r="G133" i="115"/>
  <c r="I129" i="115"/>
  <c r="F137" i="115"/>
  <c r="F133" i="115"/>
  <c r="H129" i="115"/>
  <c r="G136" i="115"/>
  <c r="E133" i="115"/>
  <c r="C129" i="115"/>
  <c r="F136" i="115"/>
  <c r="C133" i="115"/>
  <c r="G138" i="115"/>
  <c r="D135" i="115"/>
  <c r="G131" i="115"/>
  <c r="B138" i="115"/>
  <c r="H131" i="115"/>
  <c r="F131" i="115"/>
  <c r="E136" i="115"/>
  <c r="D136" i="115"/>
  <c r="B131" i="115"/>
  <c r="F134" i="115"/>
  <c r="F138" i="115"/>
  <c r="C138" i="115"/>
  <c r="J135" i="115"/>
  <c r="G135" i="115"/>
  <c r="K133" i="115"/>
  <c r="I133" i="115"/>
  <c r="D134" i="115"/>
  <c r="B132" i="115"/>
  <c r="I131" i="115"/>
  <c r="C135" i="115"/>
  <c r="G134" i="115"/>
  <c r="C130" i="115"/>
  <c r="B130" i="115"/>
  <c r="F257" i="111"/>
  <c r="P273" i="111"/>
  <c r="G257" i="111"/>
  <c r="B60" i="107"/>
  <c r="F58" i="107"/>
  <c r="J56" i="107"/>
  <c r="H53" i="107"/>
  <c r="B52" i="107"/>
  <c r="I59" i="107"/>
  <c r="B58" i="107"/>
  <c r="H54" i="107"/>
  <c r="K52" i="107"/>
  <c r="D51" i="107"/>
  <c r="H59" i="107"/>
  <c r="K57" i="107"/>
  <c r="J52" i="107"/>
  <c r="C51" i="107"/>
  <c r="F45" i="107"/>
  <c r="G59" i="107"/>
  <c r="J57" i="107"/>
  <c r="C56" i="107"/>
  <c r="I52" i="107"/>
  <c r="B51" i="107"/>
  <c r="E59" i="107"/>
  <c r="E57" i="107"/>
  <c r="D59" i="107"/>
  <c r="D57" i="107"/>
  <c r="C55" i="107"/>
  <c r="C53" i="107"/>
  <c r="C59" i="107"/>
  <c r="C57" i="107"/>
  <c r="B55" i="107"/>
  <c r="B53" i="107"/>
  <c r="J60" i="107"/>
  <c r="J58" i="107"/>
  <c r="I56" i="107"/>
  <c r="I54" i="107"/>
  <c r="F52" i="107"/>
  <c r="G58" i="107"/>
  <c r="I55" i="107"/>
  <c r="H52" i="107"/>
  <c r="K60" i="107"/>
  <c r="E58" i="107"/>
  <c r="H55" i="107"/>
  <c r="G52" i="107"/>
  <c r="I60" i="107"/>
  <c r="D58" i="107"/>
  <c r="E52" i="107"/>
  <c r="H60" i="107"/>
  <c r="C58" i="107"/>
  <c r="D52" i="107"/>
  <c r="G60" i="107"/>
  <c r="I57" i="107"/>
  <c r="K54" i="107"/>
  <c r="C52" i="107"/>
  <c r="F60" i="107"/>
  <c r="H57" i="107"/>
  <c r="J54" i="107"/>
  <c r="K51" i="107"/>
  <c r="I51" i="107"/>
  <c r="E60" i="107"/>
  <c r="H51" i="107"/>
  <c r="D60" i="107"/>
  <c r="B56" i="107"/>
  <c r="G51" i="107"/>
  <c r="C60" i="107"/>
  <c r="K55" i="107"/>
  <c r="F51" i="107"/>
  <c r="K59" i="107"/>
  <c r="J55" i="107"/>
  <c r="E51" i="107"/>
  <c r="K58" i="107"/>
  <c r="B54" i="107"/>
  <c r="J59" i="107"/>
  <c r="F59" i="107"/>
  <c r="B59" i="107"/>
  <c r="I58" i="107"/>
  <c r="J51" i="107"/>
  <c r="H58" i="107"/>
  <c r="K56" i="107"/>
  <c r="B57" i="107"/>
  <c r="H56" i="107"/>
  <c r="C54" i="107"/>
  <c r="K53" i="107"/>
  <c r="J53" i="107"/>
  <c r="I53" i="107"/>
  <c r="G57" i="107"/>
  <c r="F57" i="107"/>
  <c r="J10" i="91"/>
  <c r="I10" i="91"/>
  <c r="J8" i="97"/>
  <c r="I8" i="97"/>
  <c r="K8" i="97" s="1"/>
  <c r="M70" i="83"/>
  <c r="B82" i="83"/>
  <c r="H6" i="89"/>
  <c r="I6" i="89" s="1"/>
  <c r="P272" i="111"/>
  <c r="G256" i="111"/>
  <c r="F256" i="111"/>
  <c r="G37" i="95"/>
  <c r="G35" i="95"/>
  <c r="G33" i="95"/>
  <c r="G31" i="95"/>
  <c r="E37" i="95"/>
  <c r="E35" i="95"/>
  <c r="E36" i="95"/>
  <c r="C34" i="95"/>
  <c r="I31" i="95"/>
  <c r="D36" i="95"/>
  <c r="B34" i="95"/>
  <c r="H31" i="95"/>
  <c r="C36" i="95"/>
  <c r="I33" i="95"/>
  <c r="F31" i="95"/>
  <c r="B36" i="95"/>
  <c r="H33" i="95"/>
  <c r="I35" i="95"/>
  <c r="F33" i="95"/>
  <c r="F37" i="95"/>
  <c r="C35" i="95"/>
  <c r="I32" i="95"/>
  <c r="G30" i="95"/>
  <c r="G36" i="95"/>
  <c r="G32" i="95"/>
  <c r="F36" i="95"/>
  <c r="F32" i="95"/>
  <c r="H35" i="95"/>
  <c r="F35" i="95"/>
  <c r="D35" i="95"/>
  <c r="G34" i="95"/>
  <c r="H30" i="95"/>
  <c r="I36" i="95"/>
  <c r="H36" i="95"/>
  <c r="B35" i="95"/>
  <c r="I34" i="95"/>
  <c r="H34" i="95"/>
  <c r="H37" i="95"/>
  <c r="C37" i="95"/>
  <c r="B37" i="95"/>
  <c r="F34" i="95"/>
  <c r="E34" i="95"/>
  <c r="D34" i="95"/>
  <c r="I37" i="95"/>
  <c r="F24" i="95"/>
  <c r="D37" i="95"/>
  <c r="F30" i="95"/>
  <c r="H32" i="95"/>
  <c r="I30" i="95"/>
  <c r="J10" i="89"/>
  <c r="I10" i="89"/>
  <c r="N73" i="83"/>
  <c r="K28" i="106"/>
  <c r="M35" i="92"/>
  <c r="L35" i="92"/>
  <c r="L72" i="83"/>
  <c r="I50" i="105"/>
  <c r="B50" i="105"/>
  <c r="I46" i="105"/>
  <c r="M30" i="96"/>
  <c r="L30" i="96"/>
  <c r="D213" i="99"/>
  <c r="I53" i="85"/>
  <c r="I51" i="85"/>
  <c r="I49" i="85"/>
  <c r="I47" i="85"/>
  <c r="H53" i="85"/>
  <c r="H51" i="85"/>
  <c r="H49" i="85"/>
  <c r="H47" i="85"/>
  <c r="G53" i="85"/>
  <c r="G47" i="85"/>
  <c r="F53" i="85"/>
  <c r="F47" i="85"/>
  <c r="E53" i="85"/>
  <c r="E47" i="85"/>
  <c r="I54" i="85"/>
  <c r="I52" i="85"/>
  <c r="I50" i="85"/>
  <c r="I48" i="85"/>
  <c r="D53" i="85"/>
  <c r="B47" i="85"/>
  <c r="C53" i="85"/>
  <c r="B53" i="85"/>
  <c r="C50" i="85"/>
  <c r="H52" i="85"/>
  <c r="B50" i="85"/>
  <c r="C52" i="85"/>
  <c r="G48" i="85"/>
  <c r="B48" i="85"/>
  <c r="D47" i="85"/>
  <c r="C51" i="85"/>
  <c r="B52" i="85"/>
  <c r="F41" i="85"/>
  <c r="B51" i="85"/>
  <c r="H50" i="85"/>
  <c r="F48" i="85"/>
  <c r="E48" i="85"/>
  <c r="D48" i="85"/>
  <c r="C48" i="85"/>
  <c r="C47" i="85"/>
  <c r="D54" i="85"/>
  <c r="E54" i="85"/>
  <c r="C54" i="85"/>
  <c r="B54" i="85"/>
  <c r="C49" i="85"/>
  <c r="B49" i="85"/>
  <c r="H54" i="85"/>
  <c r="H48" i="85"/>
  <c r="G54" i="85"/>
  <c r="F54" i="85"/>
  <c r="M218" i="99"/>
  <c r="M208" i="99"/>
  <c r="H212" i="99"/>
  <c r="M215" i="99"/>
  <c r="G217" i="99"/>
  <c r="B215" i="99"/>
  <c r="B105" i="87"/>
  <c r="G150" i="85"/>
  <c r="J198" i="85" s="1"/>
  <c r="F150" i="85"/>
  <c r="L32" i="106"/>
  <c r="M32" i="106"/>
  <c r="G110" i="111"/>
  <c r="C109" i="111"/>
  <c r="G106" i="111"/>
  <c r="C105" i="111"/>
  <c r="K103" i="111"/>
  <c r="G102" i="111"/>
  <c r="C101" i="111"/>
  <c r="K99" i="111"/>
  <c r="E110" i="111"/>
  <c r="I107" i="111"/>
  <c r="E106" i="111"/>
  <c r="E226" i="111" s="1"/>
  <c r="F271" i="111" s="1"/>
  <c r="M104" i="111"/>
  <c r="I103" i="111"/>
  <c r="E102" i="111"/>
  <c r="M100" i="111"/>
  <c r="M220" i="111" s="1"/>
  <c r="N265" i="111" s="1"/>
  <c r="I99" i="111"/>
  <c r="G109" i="111"/>
  <c r="F106" i="111"/>
  <c r="F226" i="111" s="1"/>
  <c r="G271" i="111" s="1"/>
  <c r="K104" i="111"/>
  <c r="E103" i="111"/>
  <c r="K101" i="111"/>
  <c r="E100" i="111"/>
  <c r="H109" i="111"/>
  <c r="H229" i="111" s="1"/>
  <c r="I274" i="111" s="1"/>
  <c r="C106" i="111"/>
  <c r="H104" i="111"/>
  <c r="M102" i="111"/>
  <c r="F101" i="111"/>
  <c r="J99" i="111"/>
  <c r="C108" i="111"/>
  <c r="D106" i="111"/>
  <c r="G104" i="111"/>
  <c r="K102" i="111"/>
  <c r="B101" i="111"/>
  <c r="E99" i="111"/>
  <c r="B108" i="111"/>
  <c r="B106" i="111"/>
  <c r="F104" i="111"/>
  <c r="J102" i="111"/>
  <c r="L100" i="111"/>
  <c r="D99" i="111"/>
  <c r="I109" i="111"/>
  <c r="M105" i="111"/>
  <c r="E104" i="111"/>
  <c r="I102" i="111"/>
  <c r="K100" i="111"/>
  <c r="C99" i="111"/>
  <c r="F109" i="111"/>
  <c r="H107" i="111"/>
  <c r="L105" i="111"/>
  <c r="D104" i="111"/>
  <c r="H102" i="111"/>
  <c r="J100" i="111"/>
  <c r="B99" i="111"/>
  <c r="E109" i="111"/>
  <c r="G107" i="111"/>
  <c r="G227" i="111" s="1"/>
  <c r="H272" i="111" s="1"/>
  <c r="K105" i="111"/>
  <c r="C104" i="111"/>
  <c r="F102" i="111"/>
  <c r="I100" i="111"/>
  <c r="H110" i="111"/>
  <c r="B107" i="111"/>
  <c r="F105" i="111"/>
  <c r="H103" i="111"/>
  <c r="H223" i="111" s="1"/>
  <c r="I268" i="111" s="1"/>
  <c r="L101" i="111"/>
  <c r="C100" i="111"/>
  <c r="H106" i="111"/>
  <c r="F103" i="111"/>
  <c r="G100" i="111"/>
  <c r="G220" i="111" s="1"/>
  <c r="H265" i="111" s="1"/>
  <c r="I108" i="111"/>
  <c r="J105" i="111"/>
  <c r="D103" i="111"/>
  <c r="F100" i="111"/>
  <c r="F220" i="111" s="1"/>
  <c r="G265" i="111" s="1"/>
  <c r="H108" i="111"/>
  <c r="I105" i="111"/>
  <c r="C103" i="111"/>
  <c r="C223" i="111" s="1"/>
  <c r="D268" i="111" s="1"/>
  <c r="D100" i="111"/>
  <c r="F93" i="111"/>
  <c r="G108" i="111"/>
  <c r="H105" i="111"/>
  <c r="B103" i="111"/>
  <c r="B100" i="111"/>
  <c r="D110" i="111"/>
  <c r="E107" i="111"/>
  <c r="L104" i="111"/>
  <c r="M101" i="111"/>
  <c r="F99" i="111"/>
  <c r="I106" i="111"/>
  <c r="G103" i="111"/>
  <c r="H100" i="111"/>
  <c r="D108" i="111"/>
  <c r="L103" i="111"/>
  <c r="F107" i="111"/>
  <c r="J103" i="111"/>
  <c r="D107" i="111"/>
  <c r="L102" i="111"/>
  <c r="L106" i="111"/>
  <c r="B102" i="111"/>
  <c r="B110" i="111"/>
  <c r="B230" i="111" s="1"/>
  <c r="C275" i="111" s="1"/>
  <c r="I104" i="111"/>
  <c r="B104" i="111"/>
  <c r="B224" i="111" s="1"/>
  <c r="C269" i="111" s="1"/>
  <c r="M103" i="111"/>
  <c r="D109" i="111"/>
  <c r="D102" i="111"/>
  <c r="B109" i="111"/>
  <c r="C102" i="111"/>
  <c r="F108" i="111"/>
  <c r="J101" i="111"/>
  <c r="E108" i="111"/>
  <c r="L99" i="111"/>
  <c r="C107" i="111"/>
  <c r="H99" i="111"/>
  <c r="M106" i="111"/>
  <c r="G99" i="111"/>
  <c r="G219" i="111" s="1"/>
  <c r="H264" i="111" s="1"/>
  <c r="K106" i="111"/>
  <c r="J106" i="111"/>
  <c r="B105" i="111"/>
  <c r="I110" i="111"/>
  <c r="F110" i="111"/>
  <c r="D105" i="111"/>
  <c r="E101" i="111"/>
  <c r="D101" i="111"/>
  <c r="M99" i="111"/>
  <c r="J104" i="111"/>
  <c r="C110" i="111"/>
  <c r="G105" i="111"/>
  <c r="E105" i="111"/>
  <c r="I101" i="111"/>
  <c r="H101" i="111"/>
  <c r="G101" i="111"/>
  <c r="J282" i="97"/>
  <c r="F281" i="97"/>
  <c r="B280" i="97"/>
  <c r="J278" i="97"/>
  <c r="F277" i="97"/>
  <c r="B276" i="97"/>
  <c r="J274" i="97"/>
  <c r="F273" i="97"/>
  <c r="I282" i="97"/>
  <c r="E281" i="97"/>
  <c r="M279" i="97"/>
  <c r="I278" i="97"/>
  <c r="E277" i="97"/>
  <c r="M275" i="97"/>
  <c r="I274" i="97"/>
  <c r="E273" i="97"/>
  <c r="I283" i="97"/>
  <c r="E282" i="97"/>
  <c r="M280" i="97"/>
  <c r="I279" i="97"/>
  <c r="E278" i="97"/>
  <c r="M276" i="97"/>
  <c r="I275" i="97"/>
  <c r="E274" i="97"/>
  <c r="D282" i="97"/>
  <c r="I280" i="97"/>
  <c r="B279" i="97"/>
  <c r="G277" i="97"/>
  <c r="J275" i="97"/>
  <c r="K283" i="97"/>
  <c r="C282" i="97"/>
  <c r="H280" i="97"/>
  <c r="M278" i="97"/>
  <c r="D277" i="97"/>
  <c r="H275" i="97"/>
  <c r="J283" i="97"/>
  <c r="B282" i="97"/>
  <c r="G280" i="97"/>
  <c r="L278" i="97"/>
  <c r="C277" i="97"/>
  <c r="G275" i="97"/>
  <c r="H283" i="97"/>
  <c r="M281" i="97"/>
  <c r="F280" i="97"/>
  <c r="K278" i="97"/>
  <c r="B277" i="97"/>
  <c r="F275" i="97"/>
  <c r="K273" i="97"/>
  <c r="G283" i="97"/>
  <c r="L281" i="97"/>
  <c r="E280" i="97"/>
  <c r="H278" i="97"/>
  <c r="L276" i="97"/>
  <c r="E275" i="97"/>
  <c r="J273" i="97"/>
  <c r="F283" i="97"/>
  <c r="K281" i="97"/>
  <c r="D280" i="97"/>
  <c r="G278" i="97"/>
  <c r="K276" i="97"/>
  <c r="D275" i="97"/>
  <c r="I273" i="97"/>
  <c r="D284" i="97"/>
  <c r="D281" i="97"/>
  <c r="F278" i="97"/>
  <c r="D276" i="97"/>
  <c r="D273" i="97"/>
  <c r="C281" i="97"/>
  <c r="D278" i="97"/>
  <c r="C276" i="97"/>
  <c r="E283" i="97"/>
  <c r="B281" i="97"/>
  <c r="C278" i="97"/>
  <c r="L275" i="97"/>
  <c r="D283" i="97"/>
  <c r="L280" i="97"/>
  <c r="B278" i="97"/>
  <c r="K275" i="97"/>
  <c r="K280" i="97"/>
  <c r="M277" i="97"/>
  <c r="C275" i="97"/>
  <c r="K282" i="97"/>
  <c r="K279" i="97"/>
  <c r="I277" i="97"/>
  <c r="K274" i="97"/>
  <c r="K284" i="97"/>
  <c r="G281" i="97"/>
  <c r="I276" i="97"/>
  <c r="J284" i="97"/>
  <c r="J280" i="97"/>
  <c r="H276" i="97"/>
  <c r="I284" i="97"/>
  <c r="C280" i="97"/>
  <c r="G276" i="97"/>
  <c r="F267" i="97"/>
  <c r="H284" i="97"/>
  <c r="L279" i="97"/>
  <c r="F276" i="97"/>
  <c r="G284" i="97"/>
  <c r="J279" i="97"/>
  <c r="E276" i="97"/>
  <c r="M282" i="97"/>
  <c r="E279" i="97"/>
  <c r="H274" i="97"/>
  <c r="I281" i="97"/>
  <c r="F274" i="97"/>
  <c r="H281" i="97"/>
  <c r="D274" i="97"/>
  <c r="H279" i="97"/>
  <c r="G279" i="97"/>
  <c r="H273" i="97"/>
  <c r="F279" i="97"/>
  <c r="G273" i="97"/>
  <c r="H282" i="97"/>
  <c r="B275" i="97"/>
  <c r="L277" i="97"/>
  <c r="K277" i="97"/>
  <c r="J277" i="97"/>
  <c r="H277" i="97"/>
  <c r="J276" i="97"/>
  <c r="G274" i="97"/>
  <c r="F284" i="97"/>
  <c r="F282" i="97"/>
  <c r="L282" i="97"/>
  <c r="G282" i="97"/>
  <c r="J281" i="97"/>
  <c r="D279" i="97"/>
  <c r="C279" i="97"/>
  <c r="E284" i="97"/>
  <c r="I67" i="85"/>
  <c r="I65" i="85"/>
  <c r="H67" i="85"/>
  <c r="H65" i="85"/>
  <c r="G67" i="85"/>
  <c r="G65" i="85"/>
  <c r="F67" i="85"/>
  <c r="F65" i="85"/>
  <c r="E71" i="85"/>
  <c r="E69" i="85"/>
  <c r="E67" i="85"/>
  <c r="E65" i="85"/>
  <c r="I66" i="85"/>
  <c r="I64" i="85"/>
  <c r="B69" i="85"/>
  <c r="C66" i="85"/>
  <c r="B66" i="85"/>
  <c r="D65" i="85"/>
  <c r="C65" i="85"/>
  <c r="D71" i="85"/>
  <c r="E68" i="85"/>
  <c r="B65" i="85"/>
  <c r="D67" i="85"/>
  <c r="E64" i="85"/>
  <c r="C69" i="85"/>
  <c r="B64" i="85"/>
  <c r="D68" i="85"/>
  <c r="C67" i="85"/>
  <c r="F64" i="85"/>
  <c r="E70" i="85"/>
  <c r="D64" i="85"/>
  <c r="D70" i="85"/>
  <c r="C64" i="85"/>
  <c r="C70" i="85"/>
  <c r="B70" i="85"/>
  <c r="D69" i="85"/>
  <c r="F58" i="85"/>
  <c r="D66" i="85"/>
  <c r="H64" i="85"/>
  <c r="G64" i="85"/>
  <c r="C68" i="85"/>
  <c r="C71" i="85"/>
  <c r="B71" i="85"/>
  <c r="B68" i="85"/>
  <c r="B67" i="85"/>
  <c r="H66" i="85"/>
  <c r="G66" i="85"/>
  <c r="E66" i="85"/>
  <c r="F66" i="85"/>
  <c r="L109" i="81"/>
  <c r="L108" i="81"/>
  <c r="L107" i="81"/>
  <c r="L106" i="81"/>
  <c r="L105" i="81"/>
  <c r="L104" i="81"/>
  <c r="L103" i="81"/>
  <c r="L102" i="81"/>
  <c r="L101" i="81"/>
  <c r="L100" i="81"/>
  <c r="L99" i="81"/>
  <c r="L98" i="81"/>
  <c r="L97" i="81"/>
  <c r="L96" i="81"/>
  <c r="L95" i="81"/>
  <c r="L94" i="81"/>
  <c r="K109" i="81"/>
  <c r="K108" i="81"/>
  <c r="K107" i="81"/>
  <c r="K106" i="81"/>
  <c r="K105" i="81"/>
  <c r="K104" i="81"/>
  <c r="K103" i="81"/>
  <c r="K102" i="81"/>
  <c r="K101" i="81"/>
  <c r="K100" i="81"/>
  <c r="K99" i="81"/>
  <c r="K98" i="81"/>
  <c r="K97" i="81"/>
  <c r="K96" i="81"/>
  <c r="K95" i="81"/>
  <c r="K94" i="81"/>
  <c r="J109" i="81"/>
  <c r="J108" i="81"/>
  <c r="J107" i="81"/>
  <c r="J106" i="81"/>
  <c r="J105" i="81"/>
  <c r="J104" i="81"/>
  <c r="J103" i="81"/>
  <c r="J102" i="81"/>
  <c r="J101" i="81"/>
  <c r="J100" i="81"/>
  <c r="J99" i="81"/>
  <c r="J98" i="81"/>
  <c r="J97" i="81"/>
  <c r="J96" i="81"/>
  <c r="J95" i="81"/>
  <c r="J94" i="81"/>
  <c r="I109" i="81"/>
  <c r="I108" i="81"/>
  <c r="I107" i="81"/>
  <c r="I106" i="81"/>
  <c r="I105" i="81"/>
  <c r="I104" i="81"/>
  <c r="I103" i="81"/>
  <c r="I102" i="81"/>
  <c r="I97" i="81"/>
  <c r="I96" i="81"/>
  <c r="I95" i="81"/>
  <c r="I94" i="81"/>
  <c r="H109" i="81"/>
  <c r="H108" i="81"/>
  <c r="H107" i="81"/>
  <c r="H106" i="81"/>
  <c r="H105" i="81"/>
  <c r="H104" i="81"/>
  <c r="H103" i="81"/>
  <c r="H102" i="81"/>
  <c r="H97" i="81"/>
  <c r="H96" i="81"/>
  <c r="H95" i="81"/>
  <c r="H94" i="81"/>
  <c r="D109" i="81"/>
  <c r="D108" i="81"/>
  <c r="D107" i="81"/>
  <c r="D106" i="81"/>
  <c r="D105" i="81"/>
  <c r="D104" i="81"/>
  <c r="D103" i="81"/>
  <c r="D102" i="81"/>
  <c r="D101" i="81"/>
  <c r="D100" i="81"/>
  <c r="D99" i="81"/>
  <c r="D98" i="81"/>
  <c r="D97" i="81"/>
  <c r="D96" i="81"/>
  <c r="D95" i="81"/>
  <c r="D94" i="81"/>
  <c r="C109" i="81"/>
  <c r="M107" i="81"/>
  <c r="Q105" i="81"/>
  <c r="F104" i="81"/>
  <c r="O102" i="81"/>
  <c r="C101" i="81"/>
  <c r="M99" i="81"/>
  <c r="Q97" i="81"/>
  <c r="F96" i="81"/>
  <c r="O94" i="81"/>
  <c r="B109" i="81"/>
  <c r="G107" i="81"/>
  <c r="P105" i="81"/>
  <c r="E104" i="81"/>
  <c r="N102" i="81"/>
  <c r="B101" i="81"/>
  <c r="P97" i="81"/>
  <c r="E96" i="81"/>
  <c r="N94" i="81"/>
  <c r="F88" i="81"/>
  <c r="Q108" i="81"/>
  <c r="F107" i="81"/>
  <c r="O105" i="81"/>
  <c r="C104" i="81"/>
  <c r="M102" i="81"/>
  <c r="Q100" i="81"/>
  <c r="O97" i="81"/>
  <c r="C96" i="81"/>
  <c r="M94" i="81"/>
  <c r="P108" i="81"/>
  <c r="E107" i="81"/>
  <c r="N105" i="81"/>
  <c r="B104" i="81"/>
  <c r="G102" i="81"/>
  <c r="P100" i="81"/>
  <c r="E99" i="81"/>
  <c r="N97" i="81"/>
  <c r="B96" i="81"/>
  <c r="G94" i="81"/>
  <c r="O108" i="81"/>
  <c r="C107" i="81"/>
  <c r="M105" i="81"/>
  <c r="Q103" i="81"/>
  <c r="F102" i="81"/>
  <c r="O100" i="81"/>
  <c r="C99" i="81"/>
  <c r="M97" i="81"/>
  <c r="Q95" i="81"/>
  <c r="F94" i="81"/>
  <c r="N108" i="81"/>
  <c r="B107" i="81"/>
  <c r="G105" i="81"/>
  <c r="P103" i="81"/>
  <c r="E102" i="81"/>
  <c r="N100" i="81"/>
  <c r="B99" i="81"/>
  <c r="G97" i="81"/>
  <c r="P95" i="81"/>
  <c r="E94" i="81"/>
  <c r="M108" i="81"/>
  <c r="F106" i="81"/>
  <c r="M103" i="81"/>
  <c r="M98" i="81"/>
  <c r="O95" i="81"/>
  <c r="G108" i="81"/>
  <c r="E106" i="81"/>
  <c r="G103" i="81"/>
  <c r="E101" i="81"/>
  <c r="N95" i="81"/>
  <c r="F108" i="81"/>
  <c r="C106" i="81"/>
  <c r="F103" i="81"/>
  <c r="M100" i="81"/>
  <c r="M95" i="81"/>
  <c r="E108" i="81"/>
  <c r="B106" i="81"/>
  <c r="E103" i="81"/>
  <c r="E98" i="81"/>
  <c r="G95" i="81"/>
  <c r="C108" i="81"/>
  <c r="F105" i="81"/>
  <c r="C103" i="81"/>
  <c r="C98" i="81"/>
  <c r="F95" i="81"/>
  <c r="P109" i="81"/>
  <c r="N107" i="81"/>
  <c r="P104" i="81"/>
  <c r="B102" i="81"/>
  <c r="P99" i="81"/>
  <c r="B97" i="81"/>
  <c r="P94" i="81"/>
  <c r="O107" i="81"/>
  <c r="N103" i="81"/>
  <c r="N99" i="81"/>
  <c r="C95" i="81"/>
  <c r="Q106" i="81"/>
  <c r="B103" i="81"/>
  <c r="Q98" i="81"/>
  <c r="B95" i="81"/>
  <c r="P106" i="81"/>
  <c r="Q102" i="81"/>
  <c r="P98" i="81"/>
  <c r="Q94" i="81"/>
  <c r="O106" i="81"/>
  <c r="P102" i="81"/>
  <c r="O98" i="81"/>
  <c r="C94" i="81"/>
  <c r="N106" i="81"/>
  <c r="C102" i="81"/>
  <c r="N98" i="81"/>
  <c r="B94" i="81"/>
  <c r="M106" i="81"/>
  <c r="Q101" i="81"/>
  <c r="B98" i="81"/>
  <c r="B108" i="81"/>
  <c r="M101" i="81"/>
  <c r="E95" i="81"/>
  <c r="Q107" i="81"/>
  <c r="P107" i="81"/>
  <c r="E100" i="81"/>
  <c r="G106" i="81"/>
  <c r="C100" i="81"/>
  <c r="E105" i="81"/>
  <c r="B100" i="81"/>
  <c r="O104" i="81"/>
  <c r="E97" i="81"/>
  <c r="Q109" i="81"/>
  <c r="N101" i="81"/>
  <c r="O109" i="81"/>
  <c r="Q99" i="81"/>
  <c r="N109" i="81"/>
  <c r="O99" i="81"/>
  <c r="M109" i="81"/>
  <c r="F97" i="81"/>
  <c r="G109" i="81"/>
  <c r="C97" i="81"/>
  <c r="B105" i="81"/>
  <c r="N96" i="81"/>
  <c r="M104" i="81"/>
  <c r="G104" i="81"/>
  <c r="O103" i="81"/>
  <c r="P101" i="81"/>
  <c r="O101" i="81"/>
  <c r="M96" i="81"/>
  <c r="G96" i="81"/>
  <c r="P96" i="81"/>
  <c r="O96" i="81"/>
  <c r="F109" i="81"/>
  <c r="E109" i="81"/>
  <c r="C105" i="81"/>
  <c r="Q104" i="81"/>
  <c r="N104" i="81"/>
  <c r="Q96" i="81"/>
  <c r="I10" i="85"/>
  <c r="M39" i="80"/>
  <c r="L39" i="80"/>
  <c r="M34" i="100"/>
  <c r="L34" i="100"/>
  <c r="H152" i="105"/>
  <c r="A159" i="105" s="1"/>
  <c r="A166" i="105" s="1"/>
  <c r="I153" i="105"/>
  <c r="H153" i="105"/>
  <c r="A160" i="105" s="1"/>
  <c r="A167" i="105" s="1"/>
  <c r="H154" i="105"/>
  <c r="A161" i="105" s="1"/>
  <c r="A168" i="105" s="1"/>
  <c r="E151" i="105"/>
  <c r="I152" i="105"/>
  <c r="D151" i="105"/>
  <c r="C151" i="105"/>
  <c r="L165" i="95"/>
  <c r="G153" i="95"/>
  <c r="F153" i="95"/>
  <c r="E96" i="89"/>
  <c r="B100" i="89"/>
  <c r="C98" i="89"/>
  <c r="C97" i="89"/>
  <c r="J7" i="95"/>
  <c r="E176" i="91"/>
  <c r="I174" i="91"/>
  <c r="C173" i="91"/>
  <c r="G171" i="91"/>
  <c r="K169" i="91"/>
  <c r="D176" i="91"/>
  <c r="H174" i="91"/>
  <c r="B173" i="91"/>
  <c r="F171" i="91"/>
  <c r="J169" i="91"/>
  <c r="I177" i="91"/>
  <c r="C176" i="91"/>
  <c r="G174" i="91"/>
  <c r="I169" i="91"/>
  <c r="H177" i="91"/>
  <c r="B176" i="91"/>
  <c r="F174" i="91"/>
  <c r="H169" i="91"/>
  <c r="G177" i="91"/>
  <c r="K175" i="91"/>
  <c r="E174" i="91"/>
  <c r="I172" i="91"/>
  <c r="C171" i="91"/>
  <c r="G169" i="91"/>
  <c r="I178" i="91"/>
  <c r="C177" i="91"/>
  <c r="G175" i="91"/>
  <c r="K173" i="91"/>
  <c r="I170" i="91"/>
  <c r="C169" i="91"/>
  <c r="B175" i="91"/>
  <c r="B170" i="91"/>
  <c r="K174" i="91"/>
  <c r="C172" i="91"/>
  <c r="F169" i="91"/>
  <c r="B177" i="91"/>
  <c r="J174" i="91"/>
  <c r="B172" i="91"/>
  <c r="E169" i="91"/>
  <c r="K176" i="91"/>
  <c r="D174" i="91"/>
  <c r="D169" i="91"/>
  <c r="J176" i="91"/>
  <c r="C174" i="91"/>
  <c r="B169" i="91"/>
  <c r="H178" i="91"/>
  <c r="F176" i="91"/>
  <c r="H173" i="91"/>
  <c r="K170" i="91"/>
  <c r="C178" i="91"/>
  <c r="G173" i="91"/>
  <c r="C170" i="91"/>
  <c r="B178" i="91"/>
  <c r="F173" i="91"/>
  <c r="F177" i="91"/>
  <c r="E173" i="91"/>
  <c r="H176" i="91"/>
  <c r="H172" i="91"/>
  <c r="J173" i="91"/>
  <c r="I173" i="91"/>
  <c r="G178" i="91"/>
  <c r="D173" i="91"/>
  <c r="F178" i="91"/>
  <c r="G172" i="91"/>
  <c r="F172" i="91"/>
  <c r="F163" i="91"/>
  <c r="I171" i="91"/>
  <c r="B174" i="91"/>
  <c r="H171" i="91"/>
  <c r="B171" i="91"/>
  <c r="J170" i="91"/>
  <c r="H170" i="91"/>
  <c r="J175" i="91"/>
  <c r="F170" i="91"/>
  <c r="E170" i="91"/>
  <c r="D170" i="91"/>
  <c r="D175" i="91"/>
  <c r="C175" i="91"/>
  <c r="G170" i="91"/>
  <c r="G176" i="91"/>
  <c r="I175" i="91"/>
  <c r="H175" i="91"/>
  <c r="F175" i="91"/>
  <c r="E175" i="91"/>
  <c r="I176" i="91"/>
  <c r="F26" i="85"/>
  <c r="B34" i="85"/>
  <c r="G36" i="85"/>
  <c r="D225" i="111"/>
  <c r="E270" i="111" s="1"/>
  <c r="K6" i="111"/>
  <c r="F412" i="81"/>
  <c r="B159" i="91"/>
  <c r="H154" i="91"/>
  <c r="B151" i="91"/>
  <c r="K158" i="91"/>
  <c r="F154" i="91"/>
  <c r="K150" i="91"/>
  <c r="J158" i="91"/>
  <c r="E154" i="91"/>
  <c r="J150" i="91"/>
  <c r="H158" i="91"/>
  <c r="B154" i="91"/>
  <c r="F156" i="91"/>
  <c r="F151" i="91"/>
  <c r="D151" i="91"/>
  <c r="C151" i="91"/>
  <c r="B156" i="91"/>
  <c r="I150" i="91"/>
  <c r="K155" i="91"/>
  <c r="F146" i="91"/>
  <c r="J155" i="91"/>
  <c r="I158" i="91"/>
  <c r="B158" i="91"/>
  <c r="C157" i="91"/>
  <c r="H151" i="91"/>
  <c r="C159" i="91"/>
  <c r="G159" i="91"/>
  <c r="K153" i="91"/>
  <c r="J153" i="91"/>
  <c r="C153" i="91"/>
  <c r="B153" i="91"/>
  <c r="H159" i="91"/>
  <c r="F159" i="91"/>
  <c r="I155" i="91"/>
  <c r="C154" i="91"/>
  <c r="I9" i="87"/>
  <c r="J9" i="87" s="1"/>
  <c r="D234" i="81"/>
  <c r="D233" i="81"/>
  <c r="D232" i="81"/>
  <c r="D231" i="81"/>
  <c r="D230" i="81"/>
  <c r="D229" i="81"/>
  <c r="D228" i="81"/>
  <c r="D227" i="81"/>
  <c r="D226" i="81"/>
  <c r="D225" i="81"/>
  <c r="D224" i="81"/>
  <c r="D223" i="81"/>
  <c r="D222" i="81"/>
  <c r="D221" i="81"/>
  <c r="D220" i="81"/>
  <c r="D219" i="81"/>
  <c r="C234" i="81"/>
  <c r="C233" i="81"/>
  <c r="C232" i="81"/>
  <c r="C231" i="81"/>
  <c r="C230" i="81"/>
  <c r="C229" i="81"/>
  <c r="C228" i="81"/>
  <c r="C227" i="81"/>
  <c r="C226" i="81"/>
  <c r="C225" i="81"/>
  <c r="C224" i="81"/>
  <c r="C223" i="81"/>
  <c r="C222" i="81"/>
  <c r="C221" i="81"/>
  <c r="C220" i="81"/>
  <c r="C219" i="81"/>
  <c r="B234" i="81"/>
  <c r="B233" i="81"/>
  <c r="B232" i="81"/>
  <c r="B231" i="81"/>
  <c r="B230" i="81"/>
  <c r="B229" i="81"/>
  <c r="B228" i="81"/>
  <c r="B227" i="81"/>
  <c r="B226" i="81"/>
  <c r="B225" i="81"/>
  <c r="B224" i="81"/>
  <c r="B223" i="81"/>
  <c r="B222" i="81"/>
  <c r="B221" i="81"/>
  <c r="B220" i="81"/>
  <c r="B219" i="81"/>
  <c r="F213" i="81"/>
  <c r="Q232" i="81"/>
  <c r="Q231" i="81"/>
  <c r="Q230" i="81"/>
  <c r="Q229" i="81"/>
  <c r="Q226" i="81"/>
  <c r="Q225" i="81"/>
  <c r="Q224" i="81"/>
  <c r="Q223" i="81"/>
  <c r="Q222" i="81"/>
  <c r="Q221" i="81"/>
  <c r="Q220" i="81"/>
  <c r="Q219" i="81"/>
  <c r="P232" i="81"/>
  <c r="P231" i="81"/>
  <c r="P230" i="81"/>
  <c r="P229" i="81"/>
  <c r="P226" i="81"/>
  <c r="P225" i="81"/>
  <c r="P224" i="81"/>
  <c r="P223" i="81"/>
  <c r="P222" i="81"/>
  <c r="P221" i="81"/>
  <c r="P220" i="81"/>
  <c r="P219" i="81"/>
  <c r="L234" i="81"/>
  <c r="L233" i="81"/>
  <c r="L232" i="81"/>
  <c r="L231" i="81"/>
  <c r="L230" i="81"/>
  <c r="L229" i="81"/>
  <c r="L228" i="81"/>
  <c r="L227" i="81"/>
  <c r="L226" i="81"/>
  <c r="L225" i="81"/>
  <c r="L224" i="81"/>
  <c r="L223" i="81"/>
  <c r="L222" i="81"/>
  <c r="L221" i="81"/>
  <c r="L220" i="81"/>
  <c r="L219" i="81"/>
  <c r="E233" i="81"/>
  <c r="I231" i="81"/>
  <c r="N229" i="81"/>
  <c r="G228" i="81"/>
  <c r="K226" i="81"/>
  <c r="E225" i="81"/>
  <c r="I223" i="81"/>
  <c r="N221" i="81"/>
  <c r="G220" i="81"/>
  <c r="O232" i="81"/>
  <c r="H231" i="81"/>
  <c r="M229" i="81"/>
  <c r="F228" i="81"/>
  <c r="J226" i="81"/>
  <c r="O224" i="81"/>
  <c r="H223" i="81"/>
  <c r="M221" i="81"/>
  <c r="F220" i="81"/>
  <c r="I234" i="81"/>
  <c r="N232" i="81"/>
  <c r="G231" i="81"/>
  <c r="K229" i="81"/>
  <c r="E228" i="81"/>
  <c r="I226" i="81"/>
  <c r="N224" i="81"/>
  <c r="G223" i="81"/>
  <c r="K221" i="81"/>
  <c r="E220" i="81"/>
  <c r="H234" i="81"/>
  <c r="M232" i="81"/>
  <c r="F231" i="81"/>
  <c r="J229" i="81"/>
  <c r="O227" i="81"/>
  <c r="H226" i="81"/>
  <c r="M224" i="81"/>
  <c r="F223" i="81"/>
  <c r="J221" i="81"/>
  <c r="O219" i="81"/>
  <c r="G234" i="81"/>
  <c r="K232" i="81"/>
  <c r="E231" i="81"/>
  <c r="I229" i="81"/>
  <c r="N227" i="81"/>
  <c r="G226" i="81"/>
  <c r="K224" i="81"/>
  <c r="E223" i="81"/>
  <c r="I221" i="81"/>
  <c r="N219" i="81"/>
  <c r="F234" i="81"/>
  <c r="J232" i="81"/>
  <c r="O230" i="81"/>
  <c r="H229" i="81"/>
  <c r="M227" i="81"/>
  <c r="F226" i="81"/>
  <c r="J224" i="81"/>
  <c r="O222" i="81"/>
  <c r="H221" i="81"/>
  <c r="M219" i="81"/>
  <c r="H233" i="81"/>
  <c r="J230" i="81"/>
  <c r="H228" i="81"/>
  <c r="J225" i="81"/>
  <c r="M222" i="81"/>
  <c r="J220" i="81"/>
  <c r="G233" i="81"/>
  <c r="I230" i="81"/>
  <c r="I225" i="81"/>
  <c r="K222" i="81"/>
  <c r="I220" i="81"/>
  <c r="F233" i="81"/>
  <c r="H230" i="81"/>
  <c r="H225" i="81"/>
  <c r="J222" i="81"/>
  <c r="H220" i="81"/>
  <c r="I232" i="81"/>
  <c r="G230" i="81"/>
  <c r="I227" i="81"/>
  <c r="G225" i="81"/>
  <c r="I222" i="81"/>
  <c r="K219" i="81"/>
  <c r="H232" i="81"/>
  <c r="F230" i="81"/>
  <c r="H227" i="81"/>
  <c r="F225" i="81"/>
  <c r="H222" i="81"/>
  <c r="J219" i="81"/>
  <c r="E234" i="81"/>
  <c r="N231" i="81"/>
  <c r="E229" i="81"/>
  <c r="N226" i="81"/>
  <c r="E224" i="81"/>
  <c r="G221" i="81"/>
  <c r="E219" i="81"/>
  <c r="N234" i="81"/>
  <c r="M230" i="81"/>
  <c r="M226" i="81"/>
  <c r="G222" i="81"/>
  <c r="M234" i="81"/>
  <c r="K230" i="81"/>
  <c r="E226" i="81"/>
  <c r="F222" i="81"/>
  <c r="O233" i="81"/>
  <c r="E230" i="81"/>
  <c r="O225" i="81"/>
  <c r="E222" i="81"/>
  <c r="N233" i="81"/>
  <c r="O229" i="81"/>
  <c r="N225" i="81"/>
  <c r="O221" i="81"/>
  <c r="M233" i="81"/>
  <c r="G229" i="81"/>
  <c r="M225" i="81"/>
  <c r="F221" i="81"/>
  <c r="F229" i="81"/>
  <c r="K225" i="81"/>
  <c r="E221" i="81"/>
  <c r="G227" i="81"/>
  <c r="M220" i="81"/>
  <c r="I233" i="81"/>
  <c r="F227" i="81"/>
  <c r="K220" i="81"/>
  <c r="G232" i="81"/>
  <c r="E227" i="81"/>
  <c r="I219" i="81"/>
  <c r="F232" i="81"/>
  <c r="O226" i="81"/>
  <c r="H219" i="81"/>
  <c r="E232" i="81"/>
  <c r="I224" i="81"/>
  <c r="G219" i="81"/>
  <c r="J231" i="81"/>
  <c r="O223" i="81"/>
  <c r="H224" i="81"/>
  <c r="G224" i="81"/>
  <c r="F224" i="81"/>
  <c r="N223" i="81"/>
  <c r="M223" i="81"/>
  <c r="K231" i="81"/>
  <c r="O220" i="81"/>
  <c r="K223" i="81"/>
  <c r="J223" i="81"/>
  <c r="N222" i="81"/>
  <c r="N220" i="81"/>
  <c r="F219" i="81"/>
  <c r="M231" i="81"/>
  <c r="N230" i="81"/>
  <c r="O228" i="81"/>
  <c r="I228" i="81"/>
  <c r="O234" i="81"/>
  <c r="O231" i="81"/>
  <c r="N228" i="81"/>
  <c r="M228" i="81"/>
  <c r="I14" i="79"/>
  <c r="J14" i="79" s="1"/>
  <c r="J198" i="99"/>
  <c r="F197" i="99"/>
  <c r="J194" i="99"/>
  <c r="F193" i="99"/>
  <c r="B192" i="99"/>
  <c r="J190" i="99"/>
  <c r="F189" i="99"/>
  <c r="I198" i="99"/>
  <c r="E197" i="99"/>
  <c r="M195" i="99"/>
  <c r="I194" i="99"/>
  <c r="E193" i="99"/>
  <c r="M191" i="99"/>
  <c r="I190" i="99"/>
  <c r="E189" i="99"/>
  <c r="M187" i="99"/>
  <c r="E198" i="99"/>
  <c r="M196" i="99"/>
  <c r="I195" i="99"/>
  <c r="E194" i="99"/>
  <c r="M192" i="99"/>
  <c r="I191" i="99"/>
  <c r="E190" i="99"/>
  <c r="M188" i="99"/>
  <c r="I187" i="99"/>
  <c r="I197" i="99"/>
  <c r="L195" i="99"/>
  <c r="D194" i="99"/>
  <c r="I192" i="99"/>
  <c r="B191" i="99"/>
  <c r="G189" i="99"/>
  <c r="H197" i="99"/>
  <c r="C194" i="99"/>
  <c r="H192" i="99"/>
  <c r="M190" i="99"/>
  <c r="D189" i="99"/>
  <c r="H187" i="99"/>
  <c r="G197" i="99"/>
  <c r="B194" i="99"/>
  <c r="G192" i="99"/>
  <c r="L190" i="99"/>
  <c r="C189" i="99"/>
  <c r="G187" i="99"/>
  <c r="M198" i="99"/>
  <c r="D197" i="99"/>
  <c r="H195" i="99"/>
  <c r="M193" i="99"/>
  <c r="F192" i="99"/>
  <c r="K190" i="99"/>
  <c r="B189" i="99"/>
  <c r="F187" i="99"/>
  <c r="L198" i="99"/>
  <c r="C197" i="99"/>
  <c r="G195" i="99"/>
  <c r="L193" i="99"/>
  <c r="E192" i="99"/>
  <c r="H190" i="99"/>
  <c r="L188" i="99"/>
  <c r="E187" i="99"/>
  <c r="F181" i="99"/>
  <c r="K198" i="99"/>
  <c r="B197" i="99"/>
  <c r="F195" i="99"/>
  <c r="K193" i="99"/>
  <c r="D192" i="99"/>
  <c r="G190" i="99"/>
  <c r="D187" i="99"/>
  <c r="I196" i="99"/>
  <c r="F194" i="99"/>
  <c r="G191" i="99"/>
  <c r="I188" i="99"/>
  <c r="H196" i="99"/>
  <c r="J193" i="99"/>
  <c r="F191" i="99"/>
  <c r="H188" i="99"/>
  <c r="G196" i="99"/>
  <c r="I193" i="99"/>
  <c r="E191" i="99"/>
  <c r="G188" i="99"/>
  <c r="H198" i="99"/>
  <c r="F196" i="99"/>
  <c r="H193" i="99"/>
  <c r="D191" i="99"/>
  <c r="F188" i="99"/>
  <c r="G198" i="99"/>
  <c r="E196" i="99"/>
  <c r="G193" i="99"/>
  <c r="C191" i="99"/>
  <c r="E188" i="99"/>
  <c r="B198" i="99"/>
  <c r="D195" i="99"/>
  <c r="L192" i="99"/>
  <c r="B190" i="99"/>
  <c r="J192" i="99"/>
  <c r="D188" i="99"/>
  <c r="C192" i="99"/>
  <c r="D196" i="99"/>
  <c r="L191" i="99"/>
  <c r="L187" i="99"/>
  <c r="K191" i="99"/>
  <c r="E195" i="99"/>
  <c r="J191" i="99"/>
  <c r="F198" i="99"/>
  <c r="L194" i="99"/>
  <c r="C190" i="99"/>
  <c r="D193" i="99"/>
  <c r="C193" i="99"/>
  <c r="B193" i="99"/>
  <c r="D198" i="99"/>
  <c r="K192" i="99"/>
  <c r="C198" i="99"/>
  <c r="H191" i="99"/>
  <c r="M194" i="99"/>
  <c r="H189" i="99"/>
  <c r="H194" i="99"/>
  <c r="G194" i="99"/>
  <c r="F190" i="99"/>
  <c r="D190" i="99"/>
  <c r="M189" i="99"/>
  <c r="L189" i="99"/>
  <c r="J197" i="99"/>
  <c r="L196" i="99"/>
  <c r="K194" i="99"/>
  <c r="J189" i="99"/>
  <c r="I189" i="99"/>
  <c r="K197" i="99"/>
  <c r="K189" i="99"/>
  <c r="M197" i="99"/>
  <c r="L197" i="99"/>
  <c r="I10" i="97"/>
  <c r="L39" i="86"/>
  <c r="M39" i="86"/>
  <c r="N191" i="75"/>
  <c r="L190" i="75"/>
  <c r="J189" i="75"/>
  <c r="H188" i="75"/>
  <c r="F187" i="75"/>
  <c r="D186" i="75"/>
  <c r="B185" i="75"/>
  <c r="N183" i="75"/>
  <c r="L182" i="75"/>
  <c r="J181" i="75"/>
  <c r="H180" i="75"/>
  <c r="F179" i="75"/>
  <c r="D178" i="75"/>
  <c r="M191" i="75"/>
  <c r="J190" i="75"/>
  <c r="G189" i="75"/>
  <c r="O186" i="75"/>
  <c r="L185" i="75"/>
  <c r="I184" i="75"/>
  <c r="F183" i="75"/>
  <c r="C182" i="75"/>
  <c r="N180" i="75"/>
  <c r="K179" i="75"/>
  <c r="H178" i="75"/>
  <c r="O190" i="75"/>
  <c r="K189" i="75"/>
  <c r="F188" i="75"/>
  <c r="B187" i="75"/>
  <c r="K185" i="75"/>
  <c r="G184" i="75"/>
  <c r="C183" i="75"/>
  <c r="I180" i="75"/>
  <c r="D179" i="75"/>
  <c r="N190" i="75"/>
  <c r="I189" i="75"/>
  <c r="N186" i="75"/>
  <c r="J185" i="75"/>
  <c r="F184" i="75"/>
  <c r="B183" i="75"/>
  <c r="G180" i="75"/>
  <c r="C179" i="75"/>
  <c r="M190" i="75"/>
  <c r="H189" i="75"/>
  <c r="C188" i="75"/>
  <c r="M186" i="75"/>
  <c r="I185" i="75"/>
  <c r="E184" i="75"/>
  <c r="O182" i="75"/>
  <c r="K181" i="75"/>
  <c r="F180" i="75"/>
  <c r="B179" i="75"/>
  <c r="K190" i="75"/>
  <c r="F189" i="75"/>
  <c r="B188" i="75"/>
  <c r="L186" i="75"/>
  <c r="H185" i="75"/>
  <c r="D184" i="75"/>
  <c r="N182" i="75"/>
  <c r="I181" i="75"/>
  <c r="O178" i="75"/>
  <c r="O191" i="75"/>
  <c r="I190" i="75"/>
  <c r="O187" i="75"/>
  <c r="K186" i="75"/>
  <c r="G185" i="75"/>
  <c r="C184" i="75"/>
  <c r="M182" i="75"/>
  <c r="H181" i="75"/>
  <c r="N178" i="75"/>
  <c r="L191" i="75"/>
  <c r="H190" i="75"/>
  <c r="N187" i="75"/>
  <c r="J186" i="75"/>
  <c r="F185" i="75"/>
  <c r="B184" i="75"/>
  <c r="K182" i="75"/>
  <c r="G181" i="75"/>
  <c r="C180" i="75"/>
  <c r="M178" i="75"/>
  <c r="C190" i="75"/>
  <c r="M187" i="75"/>
  <c r="B186" i="75"/>
  <c r="L183" i="75"/>
  <c r="O181" i="75"/>
  <c r="L179" i="75"/>
  <c r="B190" i="75"/>
  <c r="L187" i="75"/>
  <c r="O185" i="75"/>
  <c r="K183" i="75"/>
  <c r="N181" i="75"/>
  <c r="J179" i="75"/>
  <c r="K191" i="75"/>
  <c r="O189" i="75"/>
  <c r="K187" i="75"/>
  <c r="N185" i="75"/>
  <c r="J183" i="75"/>
  <c r="F181" i="75"/>
  <c r="I179" i="75"/>
  <c r="J191" i="75"/>
  <c r="N189" i="75"/>
  <c r="J187" i="75"/>
  <c r="M185" i="75"/>
  <c r="I183" i="75"/>
  <c r="H179" i="75"/>
  <c r="I191" i="75"/>
  <c r="I187" i="75"/>
  <c r="E185" i="75"/>
  <c r="H183" i="75"/>
  <c r="G179" i="75"/>
  <c r="E191" i="75"/>
  <c r="O188" i="75"/>
  <c r="D187" i="75"/>
  <c r="N184" i="75"/>
  <c r="J182" i="75"/>
  <c r="J178" i="75"/>
  <c r="G186" i="75"/>
  <c r="D183" i="75"/>
  <c r="N179" i="75"/>
  <c r="C189" i="75"/>
  <c r="F186" i="75"/>
  <c r="I182" i="75"/>
  <c r="M179" i="75"/>
  <c r="B189" i="75"/>
  <c r="E186" i="75"/>
  <c r="H182" i="75"/>
  <c r="E179" i="75"/>
  <c r="N188" i="75"/>
  <c r="C186" i="75"/>
  <c r="G182" i="75"/>
  <c r="L178" i="75"/>
  <c r="D185" i="75"/>
  <c r="F182" i="75"/>
  <c r="K178" i="75"/>
  <c r="F191" i="75"/>
  <c r="I188" i="75"/>
  <c r="L184" i="75"/>
  <c r="C181" i="75"/>
  <c r="E178" i="75"/>
  <c r="H187" i="75"/>
  <c r="E182" i="75"/>
  <c r="G187" i="75"/>
  <c r="D182" i="75"/>
  <c r="F172" i="75"/>
  <c r="E187" i="75"/>
  <c r="B182" i="75"/>
  <c r="H191" i="75"/>
  <c r="C187" i="75"/>
  <c r="B181" i="75"/>
  <c r="G191" i="75"/>
  <c r="I186" i="75"/>
  <c r="O180" i="75"/>
  <c r="G190" i="75"/>
  <c r="M184" i="75"/>
  <c r="B180" i="75"/>
  <c r="F190" i="75"/>
  <c r="K184" i="75"/>
  <c r="O179" i="75"/>
  <c r="J184" i="75"/>
  <c r="H184" i="75"/>
  <c r="O183" i="75"/>
  <c r="M183" i="75"/>
  <c r="D191" i="75"/>
  <c r="G183" i="75"/>
  <c r="C191" i="75"/>
  <c r="E183" i="75"/>
  <c r="B191" i="75"/>
  <c r="D190" i="75"/>
  <c r="J180" i="75"/>
  <c r="E190" i="75"/>
  <c r="K188" i="75"/>
  <c r="J188" i="75"/>
  <c r="G188" i="75"/>
  <c r="H186" i="75"/>
  <c r="I178" i="75"/>
  <c r="G178" i="75"/>
  <c r="F178" i="75"/>
  <c r="C178" i="75"/>
  <c r="B178" i="75"/>
  <c r="C185" i="75"/>
  <c r="O184" i="75"/>
  <c r="K180" i="75"/>
  <c r="F180" i="73"/>
  <c r="B187" i="73"/>
  <c r="H186" i="73"/>
  <c r="G186" i="73"/>
  <c r="D194" i="73"/>
  <c r="K189" i="73"/>
  <c r="K187" i="73"/>
  <c r="C187" i="73"/>
  <c r="M185" i="73"/>
  <c r="B189" i="73"/>
  <c r="J191" i="73"/>
  <c r="B183" i="73"/>
  <c r="F189" i="73"/>
  <c r="I186" i="73"/>
  <c r="G192" i="73"/>
  <c r="B184" i="73"/>
  <c r="I184" i="73"/>
  <c r="I187" i="73"/>
  <c r="E190" i="73"/>
  <c r="L186" i="73"/>
  <c r="C184" i="73"/>
  <c r="B190" i="73"/>
  <c r="B226" i="73" s="1"/>
  <c r="C271" i="73" s="1"/>
  <c r="E183" i="73"/>
  <c r="D186" i="73"/>
  <c r="M192" i="73"/>
  <c r="M184" i="73"/>
  <c r="J192" i="73"/>
  <c r="F185" i="73"/>
  <c r="L183" i="73"/>
  <c r="K194" i="73"/>
  <c r="K184" i="73"/>
  <c r="H191" i="73"/>
  <c r="J193" i="73"/>
  <c r="J190" i="73"/>
  <c r="F192" i="73"/>
  <c r="E194" i="73"/>
  <c r="M191" i="73"/>
  <c r="I194" i="73"/>
  <c r="H184" i="73"/>
  <c r="J188" i="73"/>
  <c r="E189" i="73"/>
  <c r="J185" i="73"/>
  <c r="E185" i="73"/>
  <c r="C194" i="73"/>
  <c r="E186" i="73"/>
  <c r="B193" i="73"/>
  <c r="C191" i="73"/>
  <c r="I185" i="73"/>
  <c r="M190" i="73"/>
  <c r="E187" i="73"/>
  <c r="G190" i="73"/>
  <c r="C193" i="73"/>
  <c r="G184" i="73"/>
  <c r="F191" i="73"/>
  <c r="H188" i="73"/>
  <c r="G185" i="73"/>
  <c r="I190" i="73"/>
  <c r="E188" i="73"/>
  <c r="I9" i="63"/>
  <c r="L38" i="69"/>
  <c r="M45" i="69"/>
  <c r="G122" i="79"/>
  <c r="E121" i="79"/>
  <c r="C120" i="79"/>
  <c r="O118" i="79"/>
  <c r="M117" i="79"/>
  <c r="K116" i="79"/>
  <c r="I115" i="79"/>
  <c r="F122" i="79"/>
  <c r="D121" i="79"/>
  <c r="B120" i="79"/>
  <c r="N118" i="79"/>
  <c r="L117" i="79"/>
  <c r="E122" i="79"/>
  <c r="C121" i="79"/>
  <c r="O119" i="79"/>
  <c r="M118" i="79"/>
  <c r="I116" i="79"/>
  <c r="G115" i="79"/>
  <c r="E114" i="79"/>
  <c r="C113" i="79"/>
  <c r="O111" i="79"/>
  <c r="M110" i="79"/>
  <c r="D122" i="79"/>
  <c r="B121" i="79"/>
  <c r="N119" i="79"/>
  <c r="L118" i="79"/>
  <c r="H116" i="79"/>
  <c r="F115" i="79"/>
  <c r="D114" i="79"/>
  <c r="B113" i="79"/>
  <c r="N111" i="79"/>
  <c r="L110" i="79"/>
  <c r="C122" i="79"/>
  <c r="O120" i="79"/>
  <c r="M119" i="79"/>
  <c r="I117" i="79"/>
  <c r="G116" i="79"/>
  <c r="E115" i="79"/>
  <c r="C114" i="79"/>
  <c r="O112" i="79"/>
  <c r="M111" i="79"/>
  <c r="I109" i="79"/>
  <c r="O122" i="79"/>
  <c r="M121" i="79"/>
  <c r="K120" i="79"/>
  <c r="I119" i="79"/>
  <c r="G118" i="79"/>
  <c r="E117" i="79"/>
  <c r="C116" i="79"/>
  <c r="O114" i="79"/>
  <c r="M113" i="79"/>
  <c r="K112" i="79"/>
  <c r="I111" i="79"/>
  <c r="G110" i="79"/>
  <c r="E109" i="79"/>
  <c r="L121" i="79"/>
  <c r="D120" i="79"/>
  <c r="D118" i="79"/>
  <c r="F116" i="79"/>
  <c r="L114" i="79"/>
  <c r="F113" i="79"/>
  <c r="K111" i="79"/>
  <c r="D110" i="79"/>
  <c r="K121" i="79"/>
  <c r="L119" i="79"/>
  <c r="E116" i="79"/>
  <c r="K114" i="79"/>
  <c r="E113" i="79"/>
  <c r="J111" i="79"/>
  <c r="J121" i="79"/>
  <c r="K119" i="79"/>
  <c r="D116" i="79"/>
  <c r="J114" i="79"/>
  <c r="D113" i="79"/>
  <c r="H111" i="79"/>
  <c r="I121" i="79"/>
  <c r="J119" i="79"/>
  <c r="O117" i="79"/>
  <c r="B116" i="79"/>
  <c r="B294" i="79" s="1"/>
  <c r="C345" i="79" s="1"/>
  <c r="I114" i="79"/>
  <c r="N112" i="79"/>
  <c r="G111" i="79"/>
  <c r="O109" i="79"/>
  <c r="H121" i="79"/>
  <c r="H119" i="79"/>
  <c r="N117" i="79"/>
  <c r="O115" i="79"/>
  <c r="H114" i="79"/>
  <c r="M112" i="79"/>
  <c r="F111" i="79"/>
  <c r="N109" i="79"/>
  <c r="G121" i="79"/>
  <c r="G119" i="79"/>
  <c r="H117" i="79"/>
  <c r="N115" i="79"/>
  <c r="G114" i="79"/>
  <c r="L112" i="79"/>
  <c r="E111" i="79"/>
  <c r="M109" i="79"/>
  <c r="M122" i="79"/>
  <c r="G120" i="79"/>
  <c r="M114" i="79"/>
  <c r="E112" i="79"/>
  <c r="H109" i="79"/>
  <c r="F121" i="79"/>
  <c r="I118" i="79"/>
  <c r="K115" i="79"/>
  <c r="H113" i="79"/>
  <c r="N110" i="79"/>
  <c r="N120" i="79"/>
  <c r="E118" i="79"/>
  <c r="B115" i="79"/>
  <c r="D112" i="79"/>
  <c r="D109" i="79"/>
  <c r="M120" i="79"/>
  <c r="G117" i="79"/>
  <c r="N114" i="79"/>
  <c r="C112" i="79"/>
  <c r="L120" i="79"/>
  <c r="F117" i="79"/>
  <c r="F114" i="79"/>
  <c r="B112" i="79"/>
  <c r="J120" i="79"/>
  <c r="D117" i="79"/>
  <c r="B114" i="79"/>
  <c r="L111" i="79"/>
  <c r="I120" i="79"/>
  <c r="O113" i="79"/>
  <c r="D111" i="79"/>
  <c r="H120" i="79"/>
  <c r="O116" i="79"/>
  <c r="N113" i="79"/>
  <c r="C111" i="79"/>
  <c r="O121" i="79"/>
  <c r="M115" i="79"/>
  <c r="B111" i="79"/>
  <c r="N121" i="79"/>
  <c r="L115" i="79"/>
  <c r="O110" i="79"/>
  <c r="F120" i="79"/>
  <c r="J115" i="79"/>
  <c r="E120" i="79"/>
  <c r="H115" i="79"/>
  <c r="I110" i="79"/>
  <c r="F119" i="79"/>
  <c r="D115" i="79"/>
  <c r="H110" i="79"/>
  <c r="B119" i="79"/>
  <c r="J113" i="79"/>
  <c r="G109" i="79"/>
  <c r="J122" i="79"/>
  <c r="K113" i="79"/>
  <c r="I122" i="79"/>
  <c r="I113" i="79"/>
  <c r="H122" i="79"/>
  <c r="G113" i="79"/>
  <c r="B122" i="79"/>
  <c r="J112" i="79"/>
  <c r="E119" i="79"/>
  <c r="I112" i="79"/>
  <c r="H118" i="79"/>
  <c r="F110" i="79"/>
  <c r="C115" i="79"/>
  <c r="L113" i="79"/>
  <c r="H112" i="79"/>
  <c r="G112" i="79"/>
  <c r="F112" i="79"/>
  <c r="D119" i="79"/>
  <c r="C119" i="79"/>
  <c r="F103" i="79"/>
  <c r="L109" i="79"/>
  <c r="F109" i="79"/>
  <c r="L122" i="79"/>
  <c r="N122" i="79"/>
  <c r="K122" i="79"/>
  <c r="F118" i="79"/>
  <c r="N116" i="79"/>
  <c r="M116" i="79"/>
  <c r="E110" i="79"/>
  <c r="L116" i="79"/>
  <c r="J116" i="79"/>
  <c r="M38" i="74"/>
  <c r="L38" i="74"/>
  <c r="C148" i="59"/>
  <c r="D106" i="63"/>
  <c r="F101" i="63"/>
  <c r="L60" i="59"/>
  <c r="E106" i="69"/>
  <c r="G102" i="69"/>
  <c r="C101" i="69"/>
  <c r="I100" i="69"/>
  <c r="B65" i="59"/>
  <c r="I15" i="79"/>
  <c r="L102" i="69"/>
  <c r="G404" i="81"/>
  <c r="F404" i="81"/>
  <c r="L31" i="52"/>
  <c r="M31" i="52"/>
  <c r="L37" i="73"/>
  <c r="H41" i="73"/>
  <c r="F40" i="73"/>
  <c r="J47" i="73"/>
  <c r="G110" i="71"/>
  <c r="H110" i="71"/>
  <c r="C104" i="71"/>
  <c r="J101" i="71"/>
  <c r="H108" i="71"/>
  <c r="L108" i="69"/>
  <c r="D152" i="63"/>
  <c r="F151" i="63"/>
  <c r="F52" i="55"/>
  <c r="E66" i="55"/>
  <c r="H63" i="55"/>
  <c r="C57" i="55"/>
  <c r="D66" i="55"/>
  <c r="B63" i="55"/>
  <c r="K59" i="55"/>
  <c r="B57" i="55"/>
  <c r="J65" i="55"/>
  <c r="M62" i="55"/>
  <c r="J59" i="55"/>
  <c r="I65" i="55"/>
  <c r="L62" i="55"/>
  <c r="I59" i="55"/>
  <c r="H65" i="55"/>
  <c r="J62" i="55"/>
  <c r="H59" i="55"/>
  <c r="L67" i="55"/>
  <c r="I63" i="55"/>
  <c r="G58" i="55"/>
  <c r="J67" i="55"/>
  <c r="I62" i="55"/>
  <c r="H57" i="55"/>
  <c r="I67" i="55"/>
  <c r="J61" i="55"/>
  <c r="F57" i="55"/>
  <c r="H67" i="55"/>
  <c r="I61" i="55"/>
  <c r="E57" i="55"/>
  <c r="B67" i="55"/>
  <c r="H61" i="55"/>
  <c r="D57" i="55"/>
  <c r="L66" i="55"/>
  <c r="M64" i="55"/>
  <c r="M63" i="55"/>
  <c r="L63" i="55"/>
  <c r="K63" i="55"/>
  <c r="J63" i="55"/>
  <c r="C61" i="55"/>
  <c r="B68" i="55"/>
  <c r="L60" i="55"/>
  <c r="M67" i="55"/>
  <c r="B59" i="55"/>
  <c r="B61" i="55"/>
  <c r="M60" i="55"/>
  <c r="M58" i="55"/>
  <c r="L58" i="55"/>
  <c r="J58" i="55"/>
  <c r="H58" i="55"/>
  <c r="D68" i="55"/>
  <c r="M66" i="55"/>
  <c r="C65" i="55"/>
  <c r="D65" i="55"/>
  <c r="F65" i="55"/>
  <c r="E65" i="55"/>
  <c r="C62" i="55"/>
  <c r="I64" i="55"/>
  <c r="C67" i="55"/>
  <c r="G57" i="55"/>
  <c r="B60" i="55"/>
  <c r="K60" i="55"/>
  <c r="E63" i="55"/>
  <c r="K65" i="55"/>
  <c r="J66" i="55"/>
  <c r="D58" i="55"/>
  <c r="B65" i="55"/>
  <c r="M61" i="55"/>
  <c r="G64" i="55"/>
  <c r="L64" i="55"/>
  <c r="F68" i="55"/>
  <c r="K67" i="55"/>
  <c r="C58" i="55"/>
  <c r="I60" i="55"/>
  <c r="C63" i="55"/>
  <c r="H62" i="55"/>
  <c r="G66" i="55"/>
  <c r="J68" i="55"/>
  <c r="K61" i="55"/>
  <c r="D64" i="55"/>
  <c r="F67" i="55"/>
  <c r="M57" i="55"/>
  <c r="F58" i="55"/>
  <c r="B62" i="55"/>
  <c r="H64" i="55"/>
  <c r="K66" i="55"/>
  <c r="F66" i="55"/>
  <c r="G63" i="55"/>
  <c r="M65" i="55"/>
  <c r="G68" i="55"/>
  <c r="K58" i="55"/>
  <c r="I58" i="55"/>
  <c r="I191" i="71"/>
  <c r="H183" i="71"/>
  <c r="N11" i="67"/>
  <c r="C44" i="55"/>
  <c r="J61" i="61"/>
  <c r="M61" i="61"/>
  <c r="F249" i="59"/>
  <c r="G249" i="59"/>
  <c r="J11" i="55"/>
  <c r="I11" i="55"/>
  <c r="M32" i="74"/>
  <c r="L32" i="74"/>
  <c r="K87" i="65"/>
  <c r="G84" i="65"/>
  <c r="M88" i="65"/>
  <c r="K7" i="83"/>
  <c r="I14" i="75"/>
  <c r="A318" i="63"/>
  <c r="A328" i="63" s="1"/>
  <c r="K9" i="59"/>
  <c r="I14" i="77"/>
  <c r="J14" i="77" s="1"/>
  <c r="M33" i="46"/>
  <c r="L33" i="46"/>
  <c r="B93" i="55"/>
  <c r="E376" i="55"/>
  <c r="C376" i="55"/>
  <c r="I183" i="73"/>
  <c r="I189" i="73"/>
  <c r="B185" i="73"/>
  <c r="B186" i="73"/>
  <c r="C189" i="73"/>
  <c r="D113" i="51"/>
  <c r="K113" i="51"/>
  <c r="F254" i="55"/>
  <c r="J57" i="55"/>
  <c r="K57" i="55"/>
  <c r="J64" i="55"/>
  <c r="M33" i="48"/>
  <c r="L33" i="48"/>
  <c r="F116" i="67"/>
  <c r="L122" i="67"/>
  <c r="F131" i="67"/>
  <c r="C127" i="67"/>
  <c r="D122" i="67"/>
  <c r="J128" i="67"/>
  <c r="M129" i="67"/>
  <c r="F123" i="67"/>
  <c r="J65" i="67"/>
  <c r="B57" i="51"/>
  <c r="K110" i="45"/>
  <c r="E428" i="65"/>
  <c r="K9" i="65"/>
  <c r="J9" i="65"/>
  <c r="I52" i="51"/>
  <c r="F151" i="47"/>
  <c r="B147" i="47"/>
  <c r="K9" i="33"/>
  <c r="M38" i="54"/>
  <c r="L38" i="54"/>
  <c r="E433" i="61"/>
  <c r="N14" i="61"/>
  <c r="A416" i="61" s="1"/>
  <c r="K14" i="61"/>
  <c r="J14" i="61"/>
  <c r="B144" i="55"/>
  <c r="G145" i="55"/>
  <c r="F143" i="55"/>
  <c r="F248" i="65"/>
  <c r="G248" i="65"/>
  <c r="F255" i="65"/>
  <c r="F254" i="65"/>
  <c r="F256" i="65"/>
  <c r="F252" i="65"/>
  <c r="I117" i="47"/>
  <c r="C116" i="47"/>
  <c r="G114" i="47"/>
  <c r="E111" i="47"/>
  <c r="I109" i="47"/>
  <c r="C108" i="47"/>
  <c r="I116" i="47"/>
  <c r="B115" i="47"/>
  <c r="E113" i="47"/>
  <c r="H111" i="47"/>
  <c r="K109" i="47"/>
  <c r="D108" i="47"/>
  <c r="F102" i="47"/>
  <c r="J114" i="47"/>
  <c r="C113" i="47"/>
  <c r="F111" i="47"/>
  <c r="H109" i="47"/>
  <c r="I114" i="47"/>
  <c r="B113" i="47"/>
  <c r="D111" i="47"/>
  <c r="G109" i="47"/>
  <c r="E116" i="47"/>
  <c r="H114" i="47"/>
  <c r="C111" i="47"/>
  <c r="F109" i="47"/>
  <c r="D116" i="47"/>
  <c r="B114" i="47"/>
  <c r="K111" i="47"/>
  <c r="E109" i="47"/>
  <c r="B116" i="47"/>
  <c r="J111" i="47"/>
  <c r="D109" i="47"/>
  <c r="K115" i="47"/>
  <c r="I111" i="47"/>
  <c r="C109" i="47"/>
  <c r="J115" i="47"/>
  <c r="I113" i="47"/>
  <c r="G111" i="47"/>
  <c r="B109" i="47"/>
  <c r="I115" i="47"/>
  <c r="H113" i="47"/>
  <c r="B111" i="47"/>
  <c r="K108" i="47"/>
  <c r="E117" i="47"/>
  <c r="D115" i="47"/>
  <c r="H112" i="47"/>
  <c r="G110" i="47"/>
  <c r="F108" i="47"/>
  <c r="D114" i="47"/>
  <c r="F110" i="47"/>
  <c r="C114" i="47"/>
  <c r="E110" i="47"/>
  <c r="C117" i="47"/>
  <c r="C110" i="47"/>
  <c r="B117" i="47"/>
  <c r="D113" i="47"/>
  <c r="B110" i="47"/>
  <c r="J108" i="47"/>
  <c r="C115" i="47"/>
  <c r="J109" i="47"/>
  <c r="K114" i="47"/>
  <c r="I108" i="47"/>
  <c r="F114" i="47"/>
  <c r="H108" i="47"/>
  <c r="E114" i="47"/>
  <c r="G108" i="47"/>
  <c r="E108" i="47"/>
  <c r="I112" i="47"/>
  <c r="B108" i="47"/>
  <c r="D117" i="47"/>
  <c r="C112" i="47"/>
  <c r="B112" i="47"/>
  <c r="D112" i="47"/>
  <c r="J110" i="47"/>
  <c r="K110" i="47"/>
  <c r="I110" i="47"/>
  <c r="H110" i="47"/>
  <c r="D110" i="47"/>
  <c r="H117" i="47"/>
  <c r="H116" i="47"/>
  <c r="H115" i="47"/>
  <c r="G115" i="47"/>
  <c r="E112" i="47"/>
  <c r="F115" i="47"/>
  <c r="E115" i="47"/>
  <c r="G191" i="47"/>
  <c r="N205" i="47"/>
  <c r="F191" i="47"/>
  <c r="F193" i="47"/>
  <c r="J6" i="17"/>
  <c r="I6" i="17"/>
  <c r="B147" i="41"/>
  <c r="H10" i="111"/>
  <c r="D101" i="87"/>
  <c r="F105" i="87"/>
  <c r="B101" i="87"/>
  <c r="E102" i="87"/>
  <c r="D102" i="87"/>
  <c r="F101" i="87"/>
  <c r="I100" i="87"/>
  <c r="E99" i="87"/>
  <c r="H104" i="87"/>
  <c r="G104" i="87"/>
  <c r="F104" i="87"/>
  <c r="E104" i="87"/>
  <c r="I102" i="87"/>
  <c r="E98" i="87"/>
  <c r="D98" i="87"/>
  <c r="F93" i="87"/>
  <c r="D105" i="87"/>
  <c r="I104" i="87"/>
  <c r="H102" i="87"/>
  <c r="D99" i="87"/>
  <c r="I98" i="87"/>
  <c r="H98" i="87"/>
  <c r="L39" i="94"/>
  <c r="M39" i="94"/>
  <c r="M36" i="86"/>
  <c r="L36" i="86"/>
  <c r="M72" i="83"/>
  <c r="G400" i="83"/>
  <c r="F400" i="83"/>
  <c r="F403" i="83"/>
  <c r="G401" i="83"/>
  <c r="F411" i="83"/>
  <c r="F406" i="83"/>
  <c r="F402" i="83"/>
  <c r="G409" i="83"/>
  <c r="F412" i="83"/>
  <c r="G6" i="107"/>
  <c r="B97" i="99"/>
  <c r="C422" i="99"/>
  <c r="C97" i="99"/>
  <c r="E422" i="99"/>
  <c r="G13" i="93"/>
  <c r="K71" i="83"/>
  <c r="I15" i="93"/>
  <c r="J15" i="93" s="1"/>
  <c r="G84" i="83"/>
  <c r="G407" i="81"/>
  <c r="F407" i="81"/>
  <c r="T427" i="81"/>
  <c r="C84" i="83"/>
  <c r="M28" i="82"/>
  <c r="L28" i="82"/>
  <c r="M40" i="94"/>
  <c r="L40" i="94"/>
  <c r="L211" i="99"/>
  <c r="I208" i="99"/>
  <c r="C214" i="99"/>
  <c r="J217" i="99"/>
  <c r="L218" i="99"/>
  <c r="H216" i="99"/>
  <c r="B100" i="87"/>
  <c r="L33" i="90"/>
  <c r="M33" i="90"/>
  <c r="E649" i="83"/>
  <c r="J18" i="83"/>
  <c r="N18" i="83"/>
  <c r="A264" i="89"/>
  <c r="A272" i="89" s="1"/>
  <c r="J171" i="85"/>
  <c r="G148" i="95"/>
  <c r="F148" i="95"/>
  <c r="F91" i="89"/>
  <c r="F98" i="89"/>
  <c r="J92" i="89"/>
  <c r="I99" i="89"/>
  <c r="I15" i="81"/>
  <c r="J15" i="81" s="1"/>
  <c r="F228" i="111"/>
  <c r="G273" i="111" s="1"/>
  <c r="K8" i="95"/>
  <c r="B82" i="91"/>
  <c r="B77" i="91"/>
  <c r="J76" i="91"/>
  <c r="H76" i="91"/>
  <c r="G81" i="91"/>
  <c r="G76" i="91"/>
  <c r="F81" i="91"/>
  <c r="F76" i="91"/>
  <c r="E81" i="91"/>
  <c r="G75" i="91"/>
  <c r="G83" i="91"/>
  <c r="D83" i="91"/>
  <c r="D81" i="91"/>
  <c r="F70" i="91"/>
  <c r="C81" i="91"/>
  <c r="F78" i="91"/>
  <c r="E78" i="91"/>
  <c r="D78" i="91"/>
  <c r="C77" i="91"/>
  <c r="I74" i="91"/>
  <c r="H74" i="91"/>
  <c r="H78" i="91"/>
  <c r="B81" i="91"/>
  <c r="F79" i="91"/>
  <c r="I78" i="91"/>
  <c r="F413" i="83"/>
  <c r="L35" i="82"/>
  <c r="M35" i="82"/>
  <c r="L72" i="93"/>
  <c r="H71" i="93"/>
  <c r="D70" i="93"/>
  <c r="L68" i="93"/>
  <c r="H67" i="93"/>
  <c r="L64" i="93"/>
  <c r="H63" i="93"/>
  <c r="D62" i="93"/>
  <c r="K72" i="93"/>
  <c r="G71" i="93"/>
  <c r="C70" i="93"/>
  <c r="K68" i="93"/>
  <c r="G67" i="93"/>
  <c r="C66" i="93"/>
  <c r="K64" i="93"/>
  <c r="C62" i="93"/>
  <c r="J72" i="93"/>
  <c r="F71" i="93"/>
  <c r="B70" i="93"/>
  <c r="J68" i="93"/>
  <c r="F67" i="93"/>
  <c r="B66" i="93"/>
  <c r="J64" i="93"/>
  <c r="B62" i="93"/>
  <c r="I72" i="93"/>
  <c r="E71" i="93"/>
  <c r="M69" i="93"/>
  <c r="I68" i="93"/>
  <c r="E67" i="93"/>
  <c r="M65" i="93"/>
  <c r="I64" i="93"/>
  <c r="M61" i="93"/>
  <c r="H72" i="93"/>
  <c r="D71" i="93"/>
  <c r="L69" i="93"/>
  <c r="H68" i="93"/>
  <c r="D67" i="93"/>
  <c r="L65" i="93"/>
  <c r="H64" i="93"/>
  <c r="L61" i="93"/>
  <c r="D72" i="93"/>
  <c r="L70" i="93"/>
  <c r="H69" i="93"/>
  <c r="D68" i="93"/>
  <c r="L66" i="93"/>
  <c r="H65" i="93"/>
  <c r="L62" i="93"/>
  <c r="H61" i="93"/>
  <c r="F72" i="93"/>
  <c r="G70" i="93"/>
  <c r="C68" i="93"/>
  <c r="M63" i="93"/>
  <c r="J61" i="93"/>
  <c r="E72" i="93"/>
  <c r="F70" i="93"/>
  <c r="B68" i="93"/>
  <c r="K65" i="93"/>
  <c r="L63" i="93"/>
  <c r="I61" i="93"/>
  <c r="F55" i="93"/>
  <c r="C72" i="93"/>
  <c r="C276" i="93" s="1"/>
  <c r="D321" i="93" s="1"/>
  <c r="E70" i="93"/>
  <c r="M67" i="93"/>
  <c r="J65" i="93"/>
  <c r="K63" i="93"/>
  <c r="G61" i="93"/>
  <c r="B72" i="93"/>
  <c r="K69" i="93"/>
  <c r="L67" i="93"/>
  <c r="I65" i="93"/>
  <c r="J63" i="93"/>
  <c r="F61" i="93"/>
  <c r="F265" i="93" s="1"/>
  <c r="G310" i="93" s="1"/>
  <c r="M71" i="93"/>
  <c r="J69" i="93"/>
  <c r="K67" i="93"/>
  <c r="I63" i="93"/>
  <c r="E61" i="93"/>
  <c r="I71" i="93"/>
  <c r="E69" i="93"/>
  <c r="B67" i="93"/>
  <c r="C65" i="93"/>
  <c r="K62" i="93"/>
  <c r="C71" i="93"/>
  <c r="E68" i="93"/>
  <c r="C61" i="93"/>
  <c r="B71" i="93"/>
  <c r="J67" i="93"/>
  <c r="B61" i="93"/>
  <c r="M70" i="93"/>
  <c r="I67" i="93"/>
  <c r="J70" i="93"/>
  <c r="M66" i="93"/>
  <c r="B64" i="93"/>
  <c r="J71" i="93"/>
  <c r="I66" i="93"/>
  <c r="G62" i="93"/>
  <c r="K70" i="93"/>
  <c r="H66" i="93"/>
  <c r="F62" i="93"/>
  <c r="I70" i="93"/>
  <c r="E62" i="93"/>
  <c r="H70" i="93"/>
  <c r="K61" i="93"/>
  <c r="I69" i="93"/>
  <c r="D61" i="93"/>
  <c r="G69" i="93"/>
  <c r="G68" i="93"/>
  <c r="F68" i="93"/>
  <c r="C67" i="93"/>
  <c r="K66" i="93"/>
  <c r="J66" i="93"/>
  <c r="L71" i="93"/>
  <c r="C63" i="93"/>
  <c r="J62" i="93"/>
  <c r="I62" i="93"/>
  <c r="M72" i="93"/>
  <c r="H62" i="93"/>
  <c r="G72" i="93"/>
  <c r="K71" i="93"/>
  <c r="F69" i="93"/>
  <c r="B69" i="93"/>
  <c r="C69" i="93"/>
  <c r="M68" i="93"/>
  <c r="B65" i="93"/>
  <c r="M64" i="93"/>
  <c r="C64" i="93"/>
  <c r="B63" i="93"/>
  <c r="D69" i="93"/>
  <c r="M62" i="93"/>
  <c r="D98" i="85"/>
  <c r="B105" i="85"/>
  <c r="F101" i="85"/>
  <c r="J9" i="71"/>
  <c r="I9" i="71"/>
  <c r="K12" i="63"/>
  <c r="I14" i="73"/>
  <c r="F178" i="71"/>
  <c r="K188" i="71"/>
  <c r="I188" i="71"/>
  <c r="B188" i="71"/>
  <c r="D185" i="71"/>
  <c r="J194" i="71"/>
  <c r="C185" i="71"/>
  <c r="I194" i="71"/>
  <c r="B185" i="71"/>
  <c r="H194" i="71"/>
  <c r="J184" i="71"/>
  <c r="B184" i="71"/>
  <c r="I184" i="71"/>
  <c r="M183" i="71"/>
  <c r="L183" i="71"/>
  <c r="F183" i="71"/>
  <c r="E191" i="71"/>
  <c r="J190" i="71"/>
  <c r="H190" i="71"/>
  <c r="G190" i="71"/>
  <c r="B194" i="71"/>
  <c r="F191" i="71"/>
  <c r="G184" i="71"/>
  <c r="I189" i="71"/>
  <c r="C192" i="71"/>
  <c r="K191" i="71"/>
  <c r="G186" i="71"/>
  <c r="K184" i="71"/>
  <c r="H192" i="71"/>
  <c r="C183" i="71"/>
  <c r="E188" i="71"/>
  <c r="K190" i="71"/>
  <c r="B186" i="71"/>
  <c r="M189" i="71"/>
  <c r="B193" i="71"/>
  <c r="I190" i="71"/>
  <c r="I186" i="71"/>
  <c r="D191" i="71"/>
  <c r="J193" i="71"/>
  <c r="M186" i="71"/>
  <c r="G189" i="71"/>
  <c r="J183" i="71"/>
  <c r="I187" i="71"/>
  <c r="E189" i="71"/>
  <c r="H191" i="71"/>
  <c r="J186" i="71"/>
  <c r="L189" i="71"/>
  <c r="F192" i="71"/>
  <c r="I185" i="71"/>
  <c r="C188" i="71"/>
  <c r="E194" i="71"/>
  <c r="E185" i="71"/>
  <c r="F186" i="71"/>
  <c r="D187" i="71"/>
  <c r="J189" i="71"/>
  <c r="G185" i="71"/>
  <c r="C190" i="71"/>
  <c r="E193" i="71"/>
  <c r="D189" i="71"/>
  <c r="K193" i="71"/>
  <c r="F184" i="71"/>
  <c r="H189" i="71"/>
  <c r="E190" i="71"/>
  <c r="D194" i="71"/>
  <c r="M184" i="71"/>
  <c r="D186" i="71"/>
  <c r="H36" i="69"/>
  <c r="G40" i="69"/>
  <c r="E47" i="69"/>
  <c r="F257" i="59"/>
  <c r="I16" i="75"/>
  <c r="K16" i="75" s="1"/>
  <c r="I146" i="59"/>
  <c r="M34" i="60"/>
  <c r="L34" i="60"/>
  <c r="H107" i="63"/>
  <c r="B104" i="63"/>
  <c r="D122" i="77"/>
  <c r="B121" i="77"/>
  <c r="N119" i="77"/>
  <c r="L118" i="77"/>
  <c r="H116" i="77"/>
  <c r="F115" i="77"/>
  <c r="D114" i="77"/>
  <c r="B113" i="77"/>
  <c r="N111" i="77"/>
  <c r="L110" i="77"/>
  <c r="M121" i="77"/>
  <c r="J120" i="77"/>
  <c r="G119" i="77"/>
  <c r="D118" i="77"/>
  <c r="O116" i="77"/>
  <c r="L115" i="77"/>
  <c r="I114" i="77"/>
  <c r="F113" i="77"/>
  <c r="C112" i="77"/>
  <c r="N110" i="77"/>
  <c r="N288" i="77" s="1"/>
  <c r="O339" i="77" s="1"/>
  <c r="O122" i="77"/>
  <c r="L121" i="77"/>
  <c r="I120" i="77"/>
  <c r="F119" i="77"/>
  <c r="N116" i="77"/>
  <c r="K115" i="77"/>
  <c r="H114" i="77"/>
  <c r="E113" i="77"/>
  <c r="B112" i="77"/>
  <c r="M110" i="77"/>
  <c r="I109" i="77"/>
  <c r="N122" i="77"/>
  <c r="K121" i="77"/>
  <c r="H120" i="77"/>
  <c r="E119" i="77"/>
  <c r="M116" i="77"/>
  <c r="J115" i="77"/>
  <c r="G114" i="77"/>
  <c r="D113" i="77"/>
  <c r="O111" i="77"/>
  <c r="H109" i="77"/>
  <c r="M122" i="77"/>
  <c r="J121" i="77"/>
  <c r="G120" i="77"/>
  <c r="D119" i="77"/>
  <c r="O117" i="77"/>
  <c r="L116" i="77"/>
  <c r="I115" i="77"/>
  <c r="F114" i="77"/>
  <c r="C113" i="77"/>
  <c r="M111" i="77"/>
  <c r="G109" i="77"/>
  <c r="L122" i="77"/>
  <c r="I121" i="77"/>
  <c r="F120" i="77"/>
  <c r="C119" i="77"/>
  <c r="C297" i="77" s="1"/>
  <c r="D348" i="77" s="1"/>
  <c r="N117" i="77"/>
  <c r="K116" i="77"/>
  <c r="H115" i="77"/>
  <c r="E114" i="77"/>
  <c r="O112" i="77"/>
  <c r="L111" i="77"/>
  <c r="I110" i="77"/>
  <c r="F109" i="77"/>
  <c r="K122" i="77"/>
  <c r="H121" i="77"/>
  <c r="E120" i="77"/>
  <c r="B119" i="77"/>
  <c r="M117" i="77"/>
  <c r="J116" i="77"/>
  <c r="G115" i="77"/>
  <c r="C114" i="77"/>
  <c r="N112" i="77"/>
  <c r="K111" i="77"/>
  <c r="H110" i="77"/>
  <c r="E109" i="77"/>
  <c r="D121" i="77"/>
  <c r="H119" i="77"/>
  <c r="F117" i="77"/>
  <c r="D115" i="77"/>
  <c r="I113" i="77"/>
  <c r="G111" i="77"/>
  <c r="L109" i="77"/>
  <c r="C122" i="77"/>
  <c r="O119" i="77"/>
  <c r="L117" i="77"/>
  <c r="O115" i="77"/>
  <c r="L113" i="77"/>
  <c r="I111" i="77"/>
  <c r="M109" i="77"/>
  <c r="B122" i="77"/>
  <c r="M119" i="77"/>
  <c r="N115" i="77"/>
  <c r="K113" i="77"/>
  <c r="H111" i="77"/>
  <c r="D109" i="77"/>
  <c r="O121" i="77"/>
  <c r="L119" i="77"/>
  <c r="I117" i="77"/>
  <c r="M115" i="77"/>
  <c r="J113" i="77"/>
  <c r="F111" i="77"/>
  <c r="N121" i="77"/>
  <c r="K119" i="77"/>
  <c r="H117" i="77"/>
  <c r="E115" i="77"/>
  <c r="H113" i="77"/>
  <c r="E111" i="77"/>
  <c r="G121" i="77"/>
  <c r="J119" i="77"/>
  <c r="G117" i="77"/>
  <c r="C115" i="77"/>
  <c r="G113" i="77"/>
  <c r="D111" i="77"/>
  <c r="F121" i="77"/>
  <c r="I119" i="77"/>
  <c r="E117" i="77"/>
  <c r="B115" i="77"/>
  <c r="M112" i="77"/>
  <c r="C111" i="77"/>
  <c r="H122" i="77"/>
  <c r="M118" i="77"/>
  <c r="C116" i="77"/>
  <c r="H112" i="77"/>
  <c r="G122" i="77"/>
  <c r="B116" i="77"/>
  <c r="G112" i="77"/>
  <c r="F122" i="77"/>
  <c r="O114" i="77"/>
  <c r="F112" i="77"/>
  <c r="E122" i="77"/>
  <c r="I118" i="77"/>
  <c r="N114" i="77"/>
  <c r="E112" i="77"/>
  <c r="E121" i="77"/>
  <c r="H118" i="77"/>
  <c r="M114" i="77"/>
  <c r="D112" i="77"/>
  <c r="M120" i="77"/>
  <c r="D117" i="77"/>
  <c r="B114" i="77"/>
  <c r="G110" i="77"/>
  <c r="G118" i="77"/>
  <c r="L112" i="77"/>
  <c r="F118" i="77"/>
  <c r="K112" i="77"/>
  <c r="E118" i="77"/>
  <c r="J112" i="77"/>
  <c r="I112" i="77"/>
  <c r="J122" i="77"/>
  <c r="J111" i="77"/>
  <c r="N120" i="77"/>
  <c r="E116" i="77"/>
  <c r="E110" i="77"/>
  <c r="I122" i="77"/>
  <c r="J114" i="77"/>
  <c r="C121" i="77"/>
  <c r="O113" i="77"/>
  <c r="O120" i="77"/>
  <c r="N113" i="77"/>
  <c r="L120" i="77"/>
  <c r="M113" i="77"/>
  <c r="K120" i="77"/>
  <c r="B111" i="77"/>
  <c r="O118" i="77"/>
  <c r="N118" i="77"/>
  <c r="I116" i="77"/>
  <c r="G116" i="77"/>
  <c r="F116" i="77"/>
  <c r="D116" i="77"/>
  <c r="L114" i="77"/>
  <c r="K114" i="77"/>
  <c r="O110" i="77"/>
  <c r="D110" i="77"/>
  <c r="O109" i="77"/>
  <c r="N109" i="77"/>
  <c r="F103" i="77"/>
  <c r="D120" i="77"/>
  <c r="C120" i="77"/>
  <c r="B120" i="77"/>
  <c r="F110" i="77"/>
  <c r="M37" i="74"/>
  <c r="L37" i="74"/>
  <c r="B104" i="69"/>
  <c r="M101" i="69"/>
  <c r="I7" i="63"/>
  <c r="M57" i="59"/>
  <c r="B100" i="69"/>
  <c r="L37" i="60"/>
  <c r="M37" i="60"/>
  <c r="F47" i="55"/>
  <c r="J43" i="55"/>
  <c r="M40" i="55"/>
  <c r="F37" i="55"/>
  <c r="E47" i="55"/>
  <c r="I43" i="55"/>
  <c r="L40" i="55"/>
  <c r="E46" i="55"/>
  <c r="H43" i="55"/>
  <c r="K40" i="55"/>
  <c r="D46" i="55"/>
  <c r="G43" i="55"/>
  <c r="L39" i="55"/>
  <c r="C46" i="55"/>
  <c r="F43" i="55"/>
  <c r="J39" i="55"/>
  <c r="M36" i="55"/>
  <c r="E45" i="55"/>
  <c r="B42" i="55"/>
  <c r="B46" i="55"/>
  <c r="F41" i="55"/>
  <c r="J36" i="55"/>
  <c r="M45" i="55"/>
  <c r="E41" i="55"/>
  <c r="I36" i="55"/>
  <c r="F45" i="55"/>
  <c r="B41" i="55"/>
  <c r="D45" i="55"/>
  <c r="I39" i="55"/>
  <c r="M44" i="55"/>
  <c r="G39" i="55"/>
  <c r="J42" i="55"/>
  <c r="F39" i="55"/>
  <c r="C42" i="55"/>
  <c r="I47" i="55"/>
  <c r="M41" i="55"/>
  <c r="M47" i="55"/>
  <c r="L41" i="55"/>
  <c r="L47" i="55"/>
  <c r="D41" i="55"/>
  <c r="J47" i="55"/>
  <c r="H39" i="55"/>
  <c r="L45" i="55"/>
  <c r="I38" i="55"/>
  <c r="B45" i="55"/>
  <c r="H38" i="55"/>
  <c r="J38" i="55"/>
  <c r="M37" i="55"/>
  <c r="L37" i="55"/>
  <c r="L36" i="55"/>
  <c r="K36" i="55"/>
  <c r="F32" i="55"/>
  <c r="H47" i="55"/>
  <c r="G47" i="55"/>
  <c r="B44" i="55"/>
  <c r="M43" i="55"/>
  <c r="L43" i="55"/>
  <c r="E43" i="55"/>
  <c r="D43" i="55"/>
  <c r="G36" i="55"/>
  <c r="M38" i="55"/>
  <c r="G41" i="55"/>
  <c r="F42" i="55"/>
  <c r="H36" i="55"/>
  <c r="B47" i="55"/>
  <c r="I37" i="55"/>
  <c r="C40" i="55"/>
  <c r="J44" i="55"/>
  <c r="I40" i="55"/>
  <c r="F38" i="55"/>
  <c r="J45" i="55"/>
  <c r="K38" i="55"/>
  <c r="I46" i="55"/>
  <c r="H42" i="55"/>
  <c r="J40" i="55"/>
  <c r="B40" i="55"/>
  <c r="F44" i="55"/>
  <c r="L46" i="55"/>
  <c r="G37" i="55"/>
  <c r="K44" i="55"/>
  <c r="I42" i="55"/>
  <c r="H46" i="55"/>
  <c r="I44" i="55"/>
  <c r="J41" i="55"/>
  <c r="D44" i="55"/>
  <c r="K47" i="55"/>
  <c r="D47" i="55"/>
  <c r="D42" i="55"/>
  <c r="K45" i="55"/>
  <c r="F36" i="55"/>
  <c r="L38" i="55"/>
  <c r="G42" i="55"/>
  <c r="D45" i="73"/>
  <c r="L39" i="73"/>
  <c r="M42" i="73"/>
  <c r="K41" i="73"/>
  <c r="M100" i="71"/>
  <c r="K106" i="71"/>
  <c r="B103" i="71"/>
  <c r="L109" i="71"/>
  <c r="K103" i="69"/>
  <c r="J147" i="63"/>
  <c r="D147" i="63"/>
  <c r="B189" i="71"/>
  <c r="F185" i="71"/>
  <c r="C184" i="71"/>
  <c r="K8" i="71"/>
  <c r="I13" i="57"/>
  <c r="J13" i="57" s="1"/>
  <c r="G45" i="55"/>
  <c r="F40" i="55"/>
  <c r="H68" i="61"/>
  <c r="C65" i="61"/>
  <c r="L61" i="61"/>
  <c r="G58" i="61"/>
  <c r="G68" i="61"/>
  <c r="B65" i="61"/>
  <c r="F58" i="61"/>
  <c r="L66" i="61"/>
  <c r="D63" i="61"/>
  <c r="F64" i="61"/>
  <c r="B59" i="61"/>
  <c r="D64" i="61"/>
  <c r="L58" i="61"/>
  <c r="C64" i="61"/>
  <c r="K58" i="61"/>
  <c r="C63" i="61"/>
  <c r="I58" i="61"/>
  <c r="B63" i="61"/>
  <c r="J57" i="61"/>
  <c r="J67" i="61"/>
  <c r="J62" i="61"/>
  <c r="B57" i="61"/>
  <c r="D67" i="61"/>
  <c r="C60" i="61"/>
  <c r="B67" i="61"/>
  <c r="B60" i="61"/>
  <c r="K66" i="61"/>
  <c r="M59" i="61"/>
  <c r="J66" i="61"/>
  <c r="C57" i="61"/>
  <c r="I66" i="61"/>
  <c r="H66" i="61"/>
  <c r="K62" i="61"/>
  <c r="H62" i="61"/>
  <c r="H224" i="61" s="1"/>
  <c r="I269" i="61" s="1"/>
  <c r="H60" i="61"/>
  <c r="F52" i="61"/>
  <c r="I62" i="61"/>
  <c r="F65" i="61"/>
  <c r="G65" i="61"/>
  <c r="G66" i="61"/>
  <c r="E66" i="61"/>
  <c r="K68" i="61"/>
  <c r="I61" i="61"/>
  <c r="G57" i="61"/>
  <c r="L57" i="61"/>
  <c r="M64" i="61"/>
  <c r="G67" i="61"/>
  <c r="B58" i="61"/>
  <c r="B68" i="61"/>
  <c r="C59" i="61"/>
  <c r="I63" i="61"/>
  <c r="C66" i="61"/>
  <c r="I68" i="61"/>
  <c r="M58" i="61"/>
  <c r="K65" i="61"/>
  <c r="D57" i="61"/>
  <c r="H64" i="61"/>
  <c r="K64" i="61"/>
  <c r="E67" i="61"/>
  <c r="I57" i="61"/>
  <c r="L63" i="61"/>
  <c r="C67" i="61"/>
  <c r="K57" i="61"/>
  <c r="F68" i="61"/>
  <c r="I59" i="61"/>
  <c r="C62" i="61"/>
  <c r="I64" i="61"/>
  <c r="F66" i="61"/>
  <c r="J59" i="61"/>
  <c r="L62" i="61"/>
  <c r="G64" i="61"/>
  <c r="D66" i="61"/>
  <c r="J68" i="61"/>
  <c r="H57" i="61"/>
  <c r="K63" i="61"/>
  <c r="G252" i="71"/>
  <c r="F252" i="71"/>
  <c r="M63" i="61"/>
  <c r="E63" i="61"/>
  <c r="H63" i="61"/>
  <c r="K10" i="75"/>
  <c r="M107" i="69"/>
  <c r="L84" i="65"/>
  <c r="G82" i="65"/>
  <c r="L89" i="65"/>
  <c r="L85" i="65"/>
  <c r="K78" i="65"/>
  <c r="I13" i="59"/>
  <c r="J13" i="59" s="1"/>
  <c r="M34" i="74"/>
  <c r="L34" i="74"/>
  <c r="M42" i="82"/>
  <c r="L42" i="82"/>
  <c r="K84" i="65"/>
  <c r="D89" i="63"/>
  <c r="L87" i="63"/>
  <c r="H86" i="63"/>
  <c r="D85" i="63"/>
  <c r="D226" i="63" s="1"/>
  <c r="E271" i="63" s="1"/>
  <c r="L83" i="63"/>
  <c r="H82" i="63"/>
  <c r="L79" i="63"/>
  <c r="H78" i="63"/>
  <c r="C89" i="63"/>
  <c r="G86" i="63"/>
  <c r="C85" i="63"/>
  <c r="K83" i="63"/>
  <c r="G82" i="63"/>
  <c r="C81" i="63"/>
  <c r="K79" i="63"/>
  <c r="G78" i="63"/>
  <c r="B89" i="63"/>
  <c r="F86" i="63"/>
  <c r="B85" i="63"/>
  <c r="J83" i="63"/>
  <c r="F82" i="63"/>
  <c r="B81" i="63"/>
  <c r="J79" i="63"/>
  <c r="F78" i="63"/>
  <c r="M88" i="63"/>
  <c r="I87" i="63"/>
  <c r="M84" i="63"/>
  <c r="I83" i="63"/>
  <c r="E82" i="63"/>
  <c r="M80" i="63"/>
  <c r="I79" i="63"/>
  <c r="E78" i="63"/>
  <c r="L88" i="63"/>
  <c r="H87" i="63"/>
  <c r="L84" i="63"/>
  <c r="H83" i="63"/>
  <c r="D82" i="63"/>
  <c r="L80" i="63"/>
  <c r="H79" i="63"/>
  <c r="D78" i="63"/>
  <c r="L89" i="63"/>
  <c r="H88" i="63"/>
  <c r="L85" i="63"/>
  <c r="H84" i="63"/>
  <c r="D83" i="63"/>
  <c r="L81" i="63"/>
  <c r="H80" i="63"/>
  <c r="H221" i="63" s="1"/>
  <c r="I266" i="63" s="1"/>
  <c r="D79" i="63"/>
  <c r="F88" i="63"/>
  <c r="C86" i="63"/>
  <c r="D84" i="63"/>
  <c r="M81" i="63"/>
  <c r="B80" i="63"/>
  <c r="E88" i="63"/>
  <c r="B86" i="63"/>
  <c r="C84" i="63"/>
  <c r="M79" i="63"/>
  <c r="D88" i="63"/>
  <c r="M85" i="63"/>
  <c r="B84" i="63"/>
  <c r="G79" i="63"/>
  <c r="C88" i="63"/>
  <c r="K85" i="63"/>
  <c r="M83" i="63"/>
  <c r="I81" i="63"/>
  <c r="F79" i="63"/>
  <c r="M89" i="63"/>
  <c r="B88" i="63"/>
  <c r="J85" i="63"/>
  <c r="G83" i="63"/>
  <c r="H81" i="63"/>
  <c r="E79" i="63"/>
  <c r="H89" i="63"/>
  <c r="F85" i="63"/>
  <c r="B83" i="63"/>
  <c r="L78" i="63"/>
  <c r="J88" i="63"/>
  <c r="E85" i="63"/>
  <c r="B82" i="63"/>
  <c r="I78" i="63"/>
  <c r="I88" i="63"/>
  <c r="K84" i="63"/>
  <c r="G81" i="63"/>
  <c r="C78" i="63"/>
  <c r="G88" i="63"/>
  <c r="J84" i="63"/>
  <c r="F81" i="63"/>
  <c r="B78" i="63"/>
  <c r="M87" i="63"/>
  <c r="I84" i="63"/>
  <c r="G87" i="63"/>
  <c r="G84" i="63"/>
  <c r="M86" i="63"/>
  <c r="E83" i="63"/>
  <c r="K88" i="63"/>
  <c r="L82" i="63"/>
  <c r="L223" i="63" s="1"/>
  <c r="M268" i="63" s="1"/>
  <c r="F87" i="63"/>
  <c r="K82" i="63"/>
  <c r="F72" i="63"/>
  <c r="C87" i="63"/>
  <c r="J82" i="63"/>
  <c r="B87" i="63"/>
  <c r="I82" i="63"/>
  <c r="L86" i="63"/>
  <c r="C82" i="63"/>
  <c r="G80" i="63"/>
  <c r="C83" i="63"/>
  <c r="M82" i="63"/>
  <c r="K89" i="63"/>
  <c r="I80" i="63"/>
  <c r="J89" i="63"/>
  <c r="F80" i="63"/>
  <c r="I89" i="63"/>
  <c r="G89" i="63"/>
  <c r="C80" i="63"/>
  <c r="I86" i="63"/>
  <c r="K78" i="63"/>
  <c r="I85" i="63"/>
  <c r="H85" i="63"/>
  <c r="G85" i="63"/>
  <c r="F84" i="63"/>
  <c r="E84" i="63"/>
  <c r="F83" i="63"/>
  <c r="C79" i="63"/>
  <c r="F89" i="63"/>
  <c r="E89" i="63"/>
  <c r="B79" i="63"/>
  <c r="M78" i="63"/>
  <c r="M219" i="63" s="1"/>
  <c r="N264" i="63" s="1"/>
  <c r="J78" i="63"/>
  <c r="I10" i="53"/>
  <c r="J10" i="53"/>
  <c r="N204" i="53"/>
  <c r="F190" i="53"/>
  <c r="G190" i="53"/>
  <c r="B194" i="73"/>
  <c r="K192" i="73"/>
  <c r="M186" i="73"/>
  <c r="H194" i="73"/>
  <c r="H190" i="73"/>
  <c r="C114" i="51"/>
  <c r="B115" i="51"/>
  <c r="M59" i="55"/>
  <c r="C59" i="55"/>
  <c r="B66" i="55"/>
  <c r="I11" i="49"/>
  <c r="L30" i="52"/>
  <c r="M30" i="52"/>
  <c r="E114" i="45"/>
  <c r="J58" i="51"/>
  <c r="I117" i="45"/>
  <c r="F149" i="47"/>
  <c r="C150" i="47"/>
  <c r="I9" i="43"/>
  <c r="J9" i="43" s="1"/>
  <c r="F141" i="35"/>
  <c r="H155" i="35"/>
  <c r="E149" i="35"/>
  <c r="C149" i="35"/>
  <c r="E155" i="35"/>
  <c r="D149" i="35"/>
  <c r="I154" i="35"/>
  <c r="K148" i="35"/>
  <c r="B153" i="35"/>
  <c r="J153" i="35"/>
  <c r="F147" i="35"/>
  <c r="C147" i="35"/>
  <c r="G153" i="35"/>
  <c r="E147" i="35"/>
  <c r="E152" i="35"/>
  <c r="F146" i="35"/>
  <c r="D152" i="35"/>
  <c r="C146" i="35"/>
  <c r="C152" i="35"/>
  <c r="G152" i="35"/>
  <c r="F152" i="35"/>
  <c r="H150" i="35"/>
  <c r="F149" i="35"/>
  <c r="H146" i="35"/>
  <c r="G146" i="35"/>
  <c r="E150" i="35"/>
  <c r="K146" i="35"/>
  <c r="I148" i="35"/>
  <c r="C154" i="35"/>
  <c r="F148" i="35"/>
  <c r="H149" i="35"/>
  <c r="I155" i="35"/>
  <c r="I153" i="35"/>
  <c r="J147" i="35"/>
  <c r="J152" i="35"/>
  <c r="J148" i="35"/>
  <c r="B146" i="35"/>
  <c r="B152" i="35"/>
  <c r="K149" i="35"/>
  <c r="C155" i="35"/>
  <c r="G147" i="35"/>
  <c r="H147" i="35"/>
  <c r="H154" i="35"/>
  <c r="B155" i="35"/>
  <c r="C148" i="35"/>
  <c r="C153" i="35"/>
  <c r="I146" i="35"/>
  <c r="I150" i="35"/>
  <c r="D150" i="35"/>
  <c r="H153" i="35"/>
  <c r="I147" i="35"/>
  <c r="E148" i="35"/>
  <c r="H148" i="35"/>
  <c r="H151" i="35"/>
  <c r="D151" i="35"/>
  <c r="G148" i="35"/>
  <c r="D153" i="35"/>
  <c r="C151" i="35"/>
  <c r="D154" i="35"/>
  <c r="K151" i="55"/>
  <c r="F145" i="55"/>
  <c r="K146" i="55"/>
  <c r="G187" i="39"/>
  <c r="F187" i="39"/>
  <c r="J146" i="35"/>
  <c r="D146" i="35"/>
  <c r="I85" i="21"/>
  <c r="H85" i="21"/>
  <c r="H83" i="21"/>
  <c r="C82" i="21"/>
  <c r="B82" i="21"/>
  <c r="I86" i="21"/>
  <c r="H79" i="21"/>
  <c r="I81" i="21"/>
  <c r="H81" i="21"/>
  <c r="F76" i="21"/>
  <c r="C79" i="21"/>
  <c r="B83" i="21"/>
  <c r="I82" i="21"/>
  <c r="F79" i="21"/>
  <c r="B81" i="21"/>
  <c r="F86" i="21"/>
  <c r="C80" i="21"/>
  <c r="E85" i="21"/>
  <c r="G80" i="21"/>
  <c r="G86" i="21"/>
  <c r="H86" i="21"/>
  <c r="D86" i="21"/>
  <c r="D85" i="21"/>
  <c r="I83" i="21"/>
  <c r="D79" i="21"/>
  <c r="D80" i="21"/>
  <c r="I79" i="21"/>
  <c r="B79" i="21"/>
  <c r="C85" i="21"/>
  <c r="G85" i="21"/>
  <c r="F80" i="21"/>
  <c r="H80" i="21"/>
  <c r="C86" i="21"/>
  <c r="E86" i="21"/>
  <c r="H84" i="21"/>
  <c r="G79" i="21"/>
  <c r="C84" i="21"/>
  <c r="B84" i="21"/>
  <c r="F85" i="21"/>
  <c r="E80" i="21"/>
  <c r="B80" i="21"/>
  <c r="E79" i="21"/>
  <c r="I9" i="53"/>
  <c r="J9" i="53" s="1"/>
  <c r="M35" i="44"/>
  <c r="L35" i="44"/>
  <c r="M39" i="34"/>
  <c r="L39" i="34"/>
  <c r="I153" i="41"/>
  <c r="M36" i="62"/>
  <c r="L36" i="62"/>
  <c r="M33" i="82"/>
  <c r="L33" i="82"/>
  <c r="F53" i="73"/>
  <c r="C66" i="73"/>
  <c r="M64" i="73"/>
  <c r="H65" i="73"/>
  <c r="I7" i="79"/>
  <c r="F60" i="79"/>
  <c r="G70" i="79"/>
  <c r="F70" i="79"/>
  <c r="E70" i="79"/>
  <c r="D70" i="79"/>
  <c r="C70" i="79"/>
  <c r="L75" i="79"/>
  <c r="N65" i="79"/>
  <c r="K75" i="79"/>
  <c r="L65" i="79"/>
  <c r="G75" i="79"/>
  <c r="I63" i="79"/>
  <c r="L74" i="79"/>
  <c r="C73" i="79"/>
  <c r="H71" i="79"/>
  <c r="G71" i="79"/>
  <c r="O68" i="79"/>
  <c r="H70" i="79"/>
  <c r="G63" i="79"/>
  <c r="C63" i="79"/>
  <c r="B66" i="79"/>
  <c r="D63" i="79"/>
  <c r="O65" i="79"/>
  <c r="H63" i="79"/>
  <c r="E63" i="79"/>
  <c r="G9" i="79"/>
  <c r="B58" i="73"/>
  <c r="D58" i="73"/>
  <c r="M60" i="73"/>
  <c r="B60" i="73"/>
  <c r="F57" i="73"/>
  <c r="F67" i="73"/>
  <c r="M63" i="73"/>
  <c r="I10" i="43"/>
  <c r="J10" i="43" s="1"/>
  <c r="G72" i="41"/>
  <c r="C79" i="41"/>
  <c r="K163" i="49"/>
  <c r="L202" i="49" s="1"/>
  <c r="I12" i="51"/>
  <c r="F31" i="67"/>
  <c r="L47" i="67"/>
  <c r="G46" i="67"/>
  <c r="B45" i="67"/>
  <c r="I43" i="67"/>
  <c r="D42" i="67"/>
  <c r="K40" i="67"/>
  <c r="L37" i="67"/>
  <c r="G36" i="67"/>
  <c r="K47" i="67"/>
  <c r="F46" i="67"/>
  <c r="M44" i="67"/>
  <c r="H43" i="67"/>
  <c r="C42" i="67"/>
  <c r="I40" i="67"/>
  <c r="K37" i="67"/>
  <c r="F36" i="67"/>
  <c r="J47" i="67"/>
  <c r="E46" i="67"/>
  <c r="L44" i="67"/>
  <c r="G43" i="67"/>
  <c r="M41" i="67"/>
  <c r="H40" i="67"/>
  <c r="J37" i="67"/>
  <c r="I47" i="67"/>
  <c r="D46" i="67"/>
  <c r="K44" i="67"/>
  <c r="E43" i="67"/>
  <c r="L41" i="67"/>
  <c r="G40" i="67"/>
  <c r="I37" i="67"/>
  <c r="J46" i="67"/>
  <c r="D44" i="67"/>
  <c r="K41" i="67"/>
  <c r="K39" i="67"/>
  <c r="F37" i="67"/>
  <c r="I46" i="67"/>
  <c r="C44" i="67"/>
  <c r="J41" i="67"/>
  <c r="J39" i="67"/>
  <c r="C46" i="67"/>
  <c r="B44" i="67"/>
  <c r="I41" i="67"/>
  <c r="I39" i="67"/>
  <c r="M45" i="67"/>
  <c r="M43" i="67"/>
  <c r="G41" i="67"/>
  <c r="H39" i="67"/>
  <c r="L45" i="67"/>
  <c r="L43" i="67"/>
  <c r="F41" i="67"/>
  <c r="M38" i="67"/>
  <c r="M36" i="67"/>
  <c r="H47" i="67"/>
  <c r="G45" i="67"/>
  <c r="B43" i="67"/>
  <c r="B41" i="67"/>
  <c r="H38" i="67"/>
  <c r="C47" i="67"/>
  <c r="D43" i="67"/>
  <c r="B40" i="67"/>
  <c r="B47" i="67"/>
  <c r="C43" i="67"/>
  <c r="M39" i="67"/>
  <c r="M46" i="67"/>
  <c r="L42" i="67"/>
  <c r="L39" i="67"/>
  <c r="L46" i="67"/>
  <c r="K42" i="67"/>
  <c r="L38" i="67"/>
  <c r="K46" i="67"/>
  <c r="J42" i="67"/>
  <c r="K38" i="67"/>
  <c r="F45" i="67"/>
  <c r="F42" i="67"/>
  <c r="K43" i="67"/>
  <c r="H37" i="67"/>
  <c r="I42" i="67"/>
  <c r="G37" i="67"/>
  <c r="H42" i="67"/>
  <c r="L36" i="67"/>
  <c r="G42" i="67"/>
  <c r="K36" i="67"/>
  <c r="E41" i="67"/>
  <c r="I36" i="67"/>
  <c r="E47" i="67"/>
  <c r="C41" i="67"/>
  <c r="H45" i="67"/>
  <c r="E45" i="67"/>
  <c r="D45" i="67"/>
  <c r="I44" i="67"/>
  <c r="H44" i="67"/>
  <c r="G44" i="67"/>
  <c r="F40" i="67"/>
  <c r="G47" i="67"/>
  <c r="J45" i="67"/>
  <c r="I45" i="67"/>
  <c r="E44" i="67"/>
  <c r="D41" i="67"/>
  <c r="M40" i="67"/>
  <c r="E40" i="67"/>
  <c r="D40" i="67"/>
  <c r="G38" i="67"/>
  <c r="I38" i="67"/>
  <c r="F38" i="67"/>
  <c r="C58" i="51"/>
  <c r="E58" i="51"/>
  <c r="J59" i="51"/>
  <c r="H60" i="51"/>
  <c r="D57" i="51"/>
  <c r="K29" i="56"/>
  <c r="C96" i="33"/>
  <c r="H101" i="31"/>
  <c r="I9" i="33"/>
  <c r="K32" i="56"/>
  <c r="G99" i="33"/>
  <c r="D69" i="21"/>
  <c r="I12" i="67"/>
  <c r="K8" i="39"/>
  <c r="K12" i="67"/>
  <c r="K30" i="38"/>
  <c r="F51" i="53"/>
  <c r="J55" i="53"/>
  <c r="J56" i="53"/>
  <c r="K53" i="53"/>
  <c r="G133" i="27"/>
  <c r="F133" i="27"/>
  <c r="L145" i="27"/>
  <c r="L30" i="24"/>
  <c r="M30" i="24"/>
  <c r="J8" i="43"/>
  <c r="I8" i="43"/>
  <c r="M35" i="34"/>
  <c r="L35" i="34"/>
  <c r="J178" i="17"/>
  <c r="H120" i="11"/>
  <c r="H121" i="11"/>
  <c r="H119" i="11"/>
  <c r="E67" i="33"/>
  <c r="G227" i="2"/>
  <c r="A243" i="2"/>
  <c r="M28" i="22"/>
  <c r="L28" i="22"/>
  <c r="G154" i="41"/>
  <c r="G151" i="41"/>
  <c r="H29" i="23"/>
  <c r="G101" i="23"/>
  <c r="I7" i="5"/>
  <c r="J7" i="5" s="1"/>
  <c r="F163" i="75"/>
  <c r="C160" i="75"/>
  <c r="I161" i="75"/>
  <c r="K155" i="75"/>
  <c r="B51" i="39"/>
  <c r="G64" i="19"/>
  <c r="F37" i="51"/>
  <c r="I60" i="37"/>
  <c r="C59" i="37"/>
  <c r="G57" i="37"/>
  <c r="K55" i="37"/>
  <c r="I52" i="37"/>
  <c r="C51" i="37"/>
  <c r="H60" i="37"/>
  <c r="B59" i="37"/>
  <c r="F57" i="37"/>
  <c r="J55" i="37"/>
  <c r="H52" i="37"/>
  <c r="B51" i="37"/>
  <c r="F45" i="37"/>
  <c r="K59" i="37"/>
  <c r="C58" i="37"/>
  <c r="G52" i="37"/>
  <c r="J59" i="37"/>
  <c r="B58" i="37"/>
  <c r="F52" i="37"/>
  <c r="I59" i="37"/>
  <c r="K57" i="37"/>
  <c r="C56" i="37"/>
  <c r="C54" i="37"/>
  <c r="E52" i="37"/>
  <c r="H59" i="37"/>
  <c r="J57" i="37"/>
  <c r="B56" i="37"/>
  <c r="B54" i="37"/>
  <c r="D52" i="37"/>
  <c r="G59" i="37"/>
  <c r="I57" i="37"/>
  <c r="I55" i="37"/>
  <c r="K53" i="37"/>
  <c r="C52" i="37"/>
  <c r="J60" i="37"/>
  <c r="J58" i="37"/>
  <c r="B57" i="37"/>
  <c r="H51" i="37"/>
  <c r="B60" i="37"/>
  <c r="J56" i="37"/>
  <c r="I53" i="37"/>
  <c r="D51" i="37"/>
  <c r="H58" i="37"/>
  <c r="B53" i="37"/>
  <c r="H57" i="37"/>
  <c r="I54" i="37"/>
  <c r="E51" i="37"/>
  <c r="K60" i="37"/>
  <c r="E57" i="37"/>
  <c r="H54" i="37"/>
  <c r="G60" i="37"/>
  <c r="D57" i="37"/>
  <c r="J53" i="37"/>
  <c r="F60" i="37"/>
  <c r="C57" i="37"/>
  <c r="H53" i="37"/>
  <c r="E60" i="37"/>
  <c r="K56" i="37"/>
  <c r="D60" i="37"/>
  <c r="I56" i="37"/>
  <c r="D59" i="37"/>
  <c r="H55" i="37"/>
  <c r="J52" i="37"/>
  <c r="K58" i="37"/>
  <c r="B52" i="37"/>
  <c r="C55" i="37"/>
  <c r="K54" i="37"/>
  <c r="B55" i="37"/>
  <c r="J54" i="37"/>
  <c r="E59" i="37"/>
  <c r="C60" i="37"/>
  <c r="K52" i="37"/>
  <c r="F59" i="37"/>
  <c r="C53" i="37"/>
  <c r="G58" i="37"/>
  <c r="J51" i="37"/>
  <c r="F58" i="37"/>
  <c r="I51" i="37"/>
  <c r="E58" i="37"/>
  <c r="G51" i="37"/>
  <c r="D58" i="37"/>
  <c r="F51" i="37"/>
  <c r="K51" i="37"/>
  <c r="I58" i="37"/>
  <c r="H56" i="37"/>
  <c r="C101" i="23"/>
  <c r="F35" i="23"/>
  <c r="H59" i="39"/>
  <c r="H97" i="19"/>
  <c r="E83" i="19"/>
  <c r="F158" i="13"/>
  <c r="D158" i="13"/>
  <c r="C55" i="39"/>
  <c r="L106" i="59"/>
  <c r="E108" i="59"/>
  <c r="L31" i="34"/>
  <c r="M31" i="34"/>
  <c r="M31" i="26"/>
  <c r="L31" i="26"/>
  <c r="I9" i="25"/>
  <c r="J9" i="25"/>
  <c r="J127" i="2"/>
  <c r="G169" i="2"/>
  <c r="G168" i="2"/>
  <c r="F227" i="2"/>
  <c r="C256" i="2" s="1"/>
  <c r="P243" i="2"/>
  <c r="F29" i="5"/>
  <c r="E29" i="5"/>
  <c r="G26" i="5"/>
  <c r="D29" i="5"/>
  <c r="F26" i="5"/>
  <c r="F18" i="5"/>
  <c r="G28" i="5"/>
  <c r="C29" i="5"/>
  <c r="B29" i="5"/>
  <c r="C28" i="5"/>
  <c r="B28" i="5"/>
  <c r="E28" i="5"/>
  <c r="D28" i="5"/>
  <c r="G27" i="5"/>
  <c r="F27" i="5"/>
  <c r="F25" i="5"/>
  <c r="G24" i="5"/>
  <c r="F24" i="5"/>
  <c r="G29" i="5"/>
  <c r="F28" i="5"/>
  <c r="G25" i="5"/>
  <c r="J7" i="23"/>
  <c r="I7" i="23"/>
  <c r="L33" i="36"/>
  <c r="M33" i="36"/>
  <c r="M38" i="4"/>
  <c r="L38" i="4"/>
  <c r="I9" i="35"/>
  <c r="D168" i="2"/>
  <c r="M33" i="8"/>
  <c r="L33" i="8"/>
  <c r="G187" i="53"/>
  <c r="F187" i="53"/>
  <c r="M34" i="48"/>
  <c r="L34" i="48"/>
  <c r="I11" i="37"/>
  <c r="L29" i="40"/>
  <c r="M29" i="40"/>
  <c r="F92" i="23"/>
  <c r="G103" i="23"/>
  <c r="G102" i="23"/>
  <c r="F96" i="23"/>
  <c r="G96" i="23"/>
  <c r="G100" i="23"/>
  <c r="F100" i="23"/>
  <c r="G98" i="23"/>
  <c r="G99" i="23"/>
  <c r="F99" i="23"/>
  <c r="B103" i="23"/>
  <c r="H97" i="23"/>
  <c r="F97" i="23"/>
  <c r="B101" i="23"/>
  <c r="H101" i="23"/>
  <c r="G97" i="23"/>
  <c r="I97" i="23"/>
  <c r="I96" i="23"/>
  <c r="B99" i="23"/>
  <c r="I101" i="23"/>
  <c r="B97" i="23"/>
  <c r="E101" i="23"/>
  <c r="B96" i="23"/>
  <c r="C96" i="23"/>
  <c r="I100" i="23"/>
  <c r="B100" i="23"/>
  <c r="C100" i="23"/>
  <c r="D101" i="23"/>
  <c r="E96" i="23"/>
  <c r="D97" i="23"/>
  <c r="F101" i="23"/>
  <c r="F81" i="5"/>
  <c r="D99" i="5" s="1"/>
  <c r="J91" i="5"/>
  <c r="G81" i="5"/>
  <c r="G83" i="5"/>
  <c r="H120" i="5" s="1"/>
  <c r="F82" i="5"/>
  <c r="C168" i="2"/>
  <c r="E167" i="2"/>
  <c r="D167" i="2"/>
  <c r="M171" i="2"/>
  <c r="J160" i="2"/>
  <c r="C160" i="2"/>
  <c r="B160" i="2"/>
  <c r="B167" i="2"/>
  <c r="M166" i="2"/>
  <c r="I169" i="2"/>
  <c r="D160" i="2"/>
  <c r="K171" i="2"/>
  <c r="J163" i="2"/>
  <c r="D170" i="2"/>
  <c r="C163" i="2"/>
  <c r="J168" i="2"/>
  <c r="H168" i="2"/>
  <c r="L169" i="2"/>
  <c r="E160" i="2"/>
  <c r="J164" i="2"/>
  <c r="G170" i="2"/>
  <c r="F162" i="2"/>
  <c r="L168" i="2"/>
  <c r="K161" i="2"/>
  <c r="J161" i="2"/>
  <c r="B166" i="2"/>
  <c r="F167" i="2"/>
  <c r="J170" i="2"/>
  <c r="C169" i="2"/>
  <c r="B161" i="2"/>
  <c r="H167" i="2"/>
  <c r="G160" i="2"/>
  <c r="K170" i="2"/>
  <c r="B164" i="2"/>
  <c r="F165" i="2"/>
  <c r="I165" i="2"/>
  <c r="K167" i="2"/>
  <c r="C166" i="2"/>
  <c r="D166" i="2"/>
  <c r="F171" i="2"/>
  <c r="L165" i="2"/>
  <c r="H161" i="2"/>
  <c r="L162" i="2"/>
  <c r="L171" i="2"/>
  <c r="G166" i="2"/>
  <c r="I171" i="2"/>
  <c r="L164" i="2"/>
  <c r="F169" i="2"/>
  <c r="F161" i="2"/>
  <c r="M165" i="2"/>
  <c r="F160" i="2"/>
  <c r="H170" i="2"/>
  <c r="C165" i="2"/>
  <c r="E170" i="2"/>
  <c r="H163" i="2"/>
  <c r="L166" i="2"/>
  <c r="B171" i="2"/>
  <c r="L170" i="2"/>
  <c r="I170" i="2"/>
  <c r="D163" i="2"/>
  <c r="D169" i="2"/>
  <c r="K163" i="2"/>
  <c r="M168" i="2"/>
  <c r="D162" i="2"/>
  <c r="F164" i="2"/>
  <c r="I168" i="2"/>
  <c r="B170" i="2"/>
  <c r="H164" i="2"/>
  <c r="B162" i="2"/>
  <c r="H166" i="2"/>
  <c r="C161" i="2"/>
  <c r="E166" i="2"/>
  <c r="G167" i="2"/>
  <c r="D171" i="2"/>
  <c r="C164" i="2"/>
  <c r="H165" i="2"/>
  <c r="E163" i="2"/>
  <c r="D165" i="2"/>
  <c r="K168" i="2"/>
  <c r="M164" i="2"/>
  <c r="C162" i="2"/>
  <c r="J166" i="2"/>
  <c r="I161" i="2"/>
  <c r="B163" i="2"/>
  <c r="H169" i="2"/>
  <c r="I164" i="2"/>
  <c r="E165" i="2"/>
  <c r="L163" i="2"/>
  <c r="J171" i="2"/>
  <c r="I163" i="2"/>
  <c r="C171" i="2"/>
  <c r="D164" i="2"/>
  <c r="F168" i="2"/>
  <c r="I160" i="2"/>
  <c r="K162" i="2"/>
  <c r="J165" i="2"/>
  <c r="K164" i="2"/>
  <c r="F166" i="2"/>
  <c r="G163" i="2"/>
  <c r="K165" i="2"/>
  <c r="E164" i="2"/>
  <c r="F163" i="2"/>
  <c r="M162" i="2"/>
  <c r="I162" i="2"/>
  <c r="K160" i="2"/>
  <c r="B165" i="2"/>
  <c r="H171" i="2"/>
  <c r="G164" i="2"/>
  <c r="L161" i="2"/>
  <c r="M170" i="2"/>
  <c r="H160" i="2"/>
  <c r="F52" i="31"/>
  <c r="F48" i="31"/>
  <c r="E52" i="31"/>
  <c r="E50" i="31"/>
  <c r="E48" i="31"/>
  <c r="E46" i="31"/>
  <c r="H51" i="31"/>
  <c r="D47" i="31"/>
  <c r="I52" i="31"/>
  <c r="C48" i="31"/>
  <c r="I45" i="31"/>
  <c r="E51" i="31"/>
  <c r="I48" i="31"/>
  <c r="D51" i="31"/>
  <c r="H48" i="31"/>
  <c r="C51" i="31"/>
  <c r="G48" i="31"/>
  <c r="H45" i="31"/>
  <c r="B51" i="31"/>
  <c r="D48" i="31"/>
  <c r="I50" i="31"/>
  <c r="B48" i="31"/>
  <c r="F39" i="31"/>
  <c r="H50" i="31"/>
  <c r="I47" i="31"/>
  <c r="E45" i="31"/>
  <c r="G52" i="31"/>
  <c r="I49" i="31"/>
  <c r="E47" i="31"/>
  <c r="D52" i="31"/>
  <c r="H49" i="31"/>
  <c r="C47" i="31"/>
  <c r="D49" i="31"/>
  <c r="E49" i="31"/>
  <c r="H47" i="31"/>
  <c r="G47" i="31"/>
  <c r="B52" i="31"/>
  <c r="I46" i="31"/>
  <c r="I51" i="31"/>
  <c r="H46" i="31"/>
  <c r="G51" i="31"/>
  <c r="H52" i="31"/>
  <c r="C52" i="31"/>
  <c r="F51" i="31"/>
  <c r="D50" i="31"/>
  <c r="F47" i="31"/>
  <c r="B47" i="31"/>
  <c r="D45" i="31"/>
  <c r="D46" i="31"/>
  <c r="F74" i="15"/>
  <c r="G82" i="15"/>
  <c r="F82" i="15"/>
  <c r="B83" i="15"/>
  <c r="E84" i="15"/>
  <c r="C83" i="15"/>
  <c r="I82" i="15"/>
  <c r="H81" i="15"/>
  <c r="I80" i="15"/>
  <c r="G80" i="15"/>
  <c r="H79" i="15"/>
  <c r="C85" i="15"/>
  <c r="E83" i="15"/>
  <c r="C81" i="15"/>
  <c r="H82" i="15"/>
  <c r="B81" i="15"/>
  <c r="H80" i="15"/>
  <c r="D84" i="15"/>
  <c r="B84" i="15"/>
  <c r="G79" i="15"/>
  <c r="E82" i="15"/>
  <c r="C84" i="15"/>
  <c r="B82" i="15"/>
  <c r="E79" i="15"/>
  <c r="C86" i="15"/>
  <c r="C80" i="15"/>
  <c r="B80" i="15"/>
  <c r="D86" i="15"/>
  <c r="D83" i="15"/>
  <c r="E85" i="15"/>
  <c r="B85" i="15"/>
  <c r="B79" i="15"/>
  <c r="B96" i="19"/>
  <c r="B52" i="15"/>
  <c r="B48" i="15"/>
  <c r="E47" i="15"/>
  <c r="I51" i="15"/>
  <c r="I49" i="15"/>
  <c r="I47" i="15"/>
  <c r="I45" i="15"/>
  <c r="I107" i="15" s="1"/>
  <c r="J140" i="15" s="1"/>
  <c r="E49" i="15"/>
  <c r="H51" i="15"/>
  <c r="H49" i="15"/>
  <c r="H47" i="15"/>
  <c r="H45" i="15"/>
  <c r="E45" i="15"/>
  <c r="G51" i="15"/>
  <c r="G47" i="15"/>
  <c r="F51" i="15"/>
  <c r="F47" i="15"/>
  <c r="E51" i="15"/>
  <c r="I52" i="15"/>
  <c r="I50" i="15"/>
  <c r="I48" i="15"/>
  <c r="I46" i="15"/>
  <c r="I108" i="15" s="1"/>
  <c r="J141" i="15" s="1"/>
  <c r="H52" i="15"/>
  <c r="H50" i="15"/>
  <c r="H48" i="15"/>
  <c r="H46" i="15"/>
  <c r="D46" i="15"/>
  <c r="E50" i="15"/>
  <c r="E46" i="15"/>
  <c r="D50" i="15"/>
  <c r="D49" i="15"/>
  <c r="D45" i="15"/>
  <c r="E52" i="15"/>
  <c r="E48" i="15"/>
  <c r="D52" i="15"/>
  <c r="D48" i="15"/>
  <c r="C52" i="15"/>
  <c r="C114" i="15" s="1"/>
  <c r="D147" i="15" s="1"/>
  <c r="C48" i="15"/>
  <c r="D51" i="15"/>
  <c r="C51" i="15"/>
  <c r="C113" i="15" s="1"/>
  <c r="D146" i="15" s="1"/>
  <c r="B51" i="15"/>
  <c r="B113" i="15" s="1"/>
  <c r="C146" i="15" s="1"/>
  <c r="G48" i="15"/>
  <c r="F48" i="15"/>
  <c r="D47" i="15"/>
  <c r="G52" i="15"/>
  <c r="F39" i="15"/>
  <c r="F52" i="15"/>
  <c r="C47" i="15"/>
  <c r="B47" i="15"/>
  <c r="E168" i="9"/>
  <c r="N7" i="9"/>
  <c r="A150" i="9" s="1"/>
  <c r="K7" i="9"/>
  <c r="J7" i="9"/>
  <c r="G81" i="15"/>
  <c r="F36" i="5"/>
  <c r="C41" i="5"/>
  <c r="E40" i="5"/>
  <c r="B40" i="5"/>
  <c r="D40" i="5"/>
  <c r="B41" i="5"/>
  <c r="C40" i="5"/>
  <c r="C44" i="5"/>
  <c r="B39" i="5"/>
  <c r="G39" i="5"/>
  <c r="B44" i="5"/>
  <c r="C39" i="5"/>
  <c r="C43" i="5"/>
  <c r="C42" i="5"/>
  <c r="B43" i="5"/>
  <c r="E39" i="5"/>
  <c r="B42" i="5"/>
  <c r="F40" i="5"/>
  <c r="E161" i="2"/>
  <c r="J169" i="2"/>
  <c r="L160" i="2"/>
  <c r="D115" i="39"/>
  <c r="H113" i="39"/>
  <c r="B112" i="39"/>
  <c r="F110" i="39"/>
  <c r="J108" i="39"/>
  <c r="I116" i="39"/>
  <c r="C115" i="39"/>
  <c r="G113" i="39"/>
  <c r="I108" i="39"/>
  <c r="H116" i="39"/>
  <c r="K115" i="39"/>
  <c r="C114" i="39"/>
  <c r="E112" i="39"/>
  <c r="G110" i="39"/>
  <c r="G108" i="39"/>
  <c r="I117" i="39"/>
  <c r="J115" i="39"/>
  <c r="B114" i="39"/>
  <c r="D112" i="39"/>
  <c r="F108" i="39"/>
  <c r="H117" i="39"/>
  <c r="I115" i="39"/>
  <c r="K113" i="39"/>
  <c r="C112" i="39"/>
  <c r="C110" i="39"/>
  <c r="E108" i="39"/>
  <c r="G117" i="39"/>
  <c r="H115" i="39"/>
  <c r="J113" i="39"/>
  <c r="B110" i="39"/>
  <c r="D108" i="39"/>
  <c r="F102" i="39"/>
  <c r="F117" i="39"/>
  <c r="G115" i="39"/>
  <c r="I113" i="39"/>
  <c r="I111" i="39"/>
  <c r="K109" i="39"/>
  <c r="C108" i="39"/>
  <c r="J114" i="39"/>
  <c r="B113" i="39"/>
  <c r="F109" i="39"/>
  <c r="F114" i="39"/>
  <c r="H108" i="39"/>
  <c r="C113" i="39"/>
  <c r="H110" i="39"/>
  <c r="B116" i="39"/>
  <c r="H112" i="39"/>
  <c r="D109" i="39"/>
  <c r="F115" i="39"/>
  <c r="G112" i="39"/>
  <c r="C109" i="39"/>
  <c r="E115" i="39"/>
  <c r="F112" i="39"/>
  <c r="B109" i="39"/>
  <c r="B115" i="39"/>
  <c r="H111" i="39"/>
  <c r="K108" i="39"/>
  <c r="K114" i="39"/>
  <c r="G111" i="39"/>
  <c r="B108" i="39"/>
  <c r="I114" i="39"/>
  <c r="F111" i="39"/>
  <c r="D114" i="39"/>
  <c r="C117" i="39"/>
  <c r="F113" i="39"/>
  <c r="I110" i="39"/>
  <c r="J112" i="39"/>
  <c r="C111" i="39"/>
  <c r="I112" i="39"/>
  <c r="B111" i="39"/>
  <c r="G116" i="39"/>
  <c r="I109" i="39"/>
  <c r="B117" i="39"/>
  <c r="J109" i="39"/>
  <c r="G109" i="39"/>
  <c r="C116" i="39"/>
  <c r="E109" i="39"/>
  <c r="H114" i="39"/>
  <c r="G114" i="39"/>
  <c r="K112" i="39"/>
  <c r="F116" i="39"/>
  <c r="E114" i="39"/>
  <c r="E113" i="39"/>
  <c r="D113" i="39"/>
  <c r="H109" i="39"/>
  <c r="F24" i="23"/>
  <c r="G30" i="23"/>
  <c r="G34" i="23"/>
  <c r="D34" i="23"/>
  <c r="M40" i="22"/>
  <c r="L40" i="22"/>
  <c r="F24" i="11"/>
  <c r="G29" i="11"/>
  <c r="F29" i="11"/>
  <c r="E29" i="11"/>
  <c r="G26" i="11"/>
  <c r="D29" i="11"/>
  <c r="F26" i="11"/>
  <c r="F18" i="11"/>
  <c r="C29" i="11"/>
  <c r="E28" i="11"/>
  <c r="G25" i="11"/>
  <c r="D28" i="11"/>
  <c r="F25" i="11"/>
  <c r="B29" i="11"/>
  <c r="G24" i="11"/>
  <c r="C28" i="11"/>
  <c r="B28" i="11"/>
  <c r="G27" i="11"/>
  <c r="G28" i="11"/>
  <c r="F28" i="11"/>
  <c r="F27" i="11"/>
  <c r="K33" i="34"/>
  <c r="C79" i="15"/>
  <c r="I79" i="15"/>
  <c r="L31" i="18"/>
  <c r="M31" i="18"/>
  <c r="G165" i="2"/>
  <c r="G171" i="2"/>
  <c r="I99" i="31"/>
  <c r="L35" i="12"/>
  <c r="M35" i="12"/>
  <c r="H64" i="29"/>
  <c r="H62" i="29"/>
  <c r="F64" i="29"/>
  <c r="E62" i="29"/>
  <c r="E64" i="29"/>
  <c r="D62" i="29"/>
  <c r="E66" i="29"/>
  <c r="D64" i="29"/>
  <c r="C62" i="29"/>
  <c r="F56" i="29"/>
  <c r="E68" i="29"/>
  <c r="D66" i="29"/>
  <c r="C64" i="29"/>
  <c r="B62" i="29"/>
  <c r="D68" i="29"/>
  <c r="C66" i="29"/>
  <c r="B64" i="29"/>
  <c r="B66" i="29"/>
  <c r="C68" i="29"/>
  <c r="I63" i="29"/>
  <c r="F65" i="29"/>
  <c r="E63" i="29"/>
  <c r="E65" i="29"/>
  <c r="D63" i="29"/>
  <c r="D69" i="29"/>
  <c r="B65" i="29"/>
  <c r="G64" i="29"/>
  <c r="C69" i="29"/>
  <c r="I64" i="29"/>
  <c r="B69" i="29"/>
  <c r="B68" i="29"/>
  <c r="H63" i="29"/>
  <c r="C63" i="29"/>
  <c r="G63" i="29"/>
  <c r="E67" i="29"/>
  <c r="F63" i="29"/>
  <c r="B67" i="29"/>
  <c r="G62" i="29"/>
  <c r="F62" i="29"/>
  <c r="I65" i="29"/>
  <c r="B63" i="29"/>
  <c r="I62" i="29"/>
  <c r="D67" i="29"/>
  <c r="C67" i="29"/>
  <c r="C112" i="29" s="1"/>
  <c r="D145" i="29" s="1"/>
  <c r="H65" i="29"/>
  <c r="G65" i="29"/>
  <c r="D65" i="29"/>
  <c r="C65" i="29"/>
  <c r="E69" i="29"/>
  <c r="F92" i="19"/>
  <c r="B102" i="19"/>
  <c r="I101" i="19"/>
  <c r="B101" i="19"/>
  <c r="I97" i="19"/>
  <c r="B97" i="19"/>
  <c r="I96" i="19"/>
  <c r="B98" i="19"/>
  <c r="G103" i="19"/>
  <c r="D96" i="19"/>
  <c r="G101" i="19"/>
  <c r="D97" i="19"/>
  <c r="C100" i="19"/>
  <c r="G99" i="19"/>
  <c r="C99" i="19"/>
  <c r="C96" i="19"/>
  <c r="G97" i="19"/>
  <c r="G102" i="19"/>
  <c r="I100" i="19"/>
  <c r="F103" i="19"/>
  <c r="G100" i="19"/>
  <c r="B103" i="19"/>
  <c r="F101" i="19"/>
  <c r="G98" i="19"/>
  <c r="B99" i="19"/>
  <c r="C101" i="19"/>
  <c r="F100" i="19"/>
  <c r="F98" i="19"/>
  <c r="E101" i="19"/>
  <c r="F96" i="19"/>
  <c r="C97" i="19"/>
  <c r="D101" i="19"/>
  <c r="E96" i="19"/>
  <c r="F58" i="21"/>
  <c r="E68" i="21"/>
  <c r="E66" i="21"/>
  <c r="E64" i="21"/>
  <c r="E62" i="21"/>
  <c r="I62" i="21"/>
  <c r="G62" i="21"/>
  <c r="H62" i="21"/>
  <c r="D66" i="21"/>
  <c r="D62" i="21"/>
  <c r="B62" i="21"/>
  <c r="I65" i="21"/>
  <c r="C66" i="21"/>
  <c r="C62" i="21"/>
  <c r="B66" i="21"/>
  <c r="H64" i="21"/>
  <c r="G64" i="21"/>
  <c r="D68" i="21"/>
  <c r="D64" i="21"/>
  <c r="C68" i="21"/>
  <c r="B68" i="21"/>
  <c r="H65" i="21"/>
  <c r="I64" i="21"/>
  <c r="C64" i="21"/>
  <c r="I63" i="21"/>
  <c r="B64" i="21"/>
  <c r="H63" i="21"/>
  <c r="A245" i="43"/>
  <c r="A253" i="43" s="1"/>
  <c r="I12" i="35"/>
  <c r="I7" i="53"/>
  <c r="J7" i="53"/>
  <c r="B96" i="31"/>
  <c r="L32" i="28"/>
  <c r="M32" i="28"/>
  <c r="P247" i="3"/>
  <c r="B35" i="25"/>
  <c r="B33" i="25"/>
  <c r="C34" i="25"/>
  <c r="B32" i="25"/>
  <c r="I29" i="25"/>
  <c r="B34" i="25"/>
  <c r="I31" i="25"/>
  <c r="H29" i="25"/>
  <c r="I33" i="25"/>
  <c r="H31" i="25"/>
  <c r="G29" i="25"/>
  <c r="F33" i="25"/>
  <c r="I35" i="25"/>
  <c r="H33" i="25"/>
  <c r="G31" i="25"/>
  <c r="F29" i="25"/>
  <c r="H35" i="25"/>
  <c r="G33" i="25"/>
  <c r="F31" i="25"/>
  <c r="G35" i="25"/>
  <c r="C35" i="25"/>
  <c r="I32" i="25"/>
  <c r="H30" i="25"/>
  <c r="G28" i="25"/>
  <c r="I34" i="25"/>
  <c r="H32" i="25"/>
  <c r="G30" i="25"/>
  <c r="F28" i="25"/>
  <c r="F35" i="25"/>
  <c r="D35" i="25"/>
  <c r="E35" i="25"/>
  <c r="I30" i="25"/>
  <c r="H34" i="25"/>
  <c r="F30" i="25"/>
  <c r="F22" i="25"/>
  <c r="E34" i="25"/>
  <c r="G34" i="25"/>
  <c r="F34" i="25"/>
  <c r="D33" i="25"/>
  <c r="I28" i="25"/>
  <c r="C33" i="25"/>
  <c r="H28" i="25"/>
  <c r="G32" i="25"/>
  <c r="D34" i="25"/>
  <c r="E33" i="25"/>
  <c r="F32" i="25"/>
  <c r="E32" i="25"/>
  <c r="D32" i="25"/>
  <c r="C32" i="25"/>
  <c r="F103" i="23"/>
  <c r="I8" i="11"/>
  <c r="K8" i="11" s="1"/>
  <c r="M31" i="22"/>
  <c r="L31" i="22"/>
  <c r="E100" i="19"/>
  <c r="I11" i="35"/>
  <c r="J11" i="35" s="1"/>
  <c r="N207" i="41"/>
  <c r="F193" i="41"/>
  <c r="G193" i="41"/>
  <c r="E80" i="15"/>
  <c r="I81" i="15"/>
  <c r="M34" i="14"/>
  <c r="L34" i="14"/>
  <c r="I9" i="19"/>
  <c r="M167" i="2"/>
  <c r="M160" i="2"/>
  <c r="F34" i="23"/>
  <c r="A100" i="11"/>
  <c r="G106" i="11" s="1"/>
  <c r="G102" i="31"/>
  <c r="M28" i="28"/>
  <c r="L28" i="28"/>
  <c r="F24" i="19"/>
  <c r="C32" i="19"/>
  <c r="H34" i="19"/>
  <c r="H30" i="19"/>
  <c r="I35" i="19"/>
  <c r="E34" i="19"/>
  <c r="D34" i="19"/>
  <c r="C34" i="19"/>
  <c r="B34" i="19"/>
  <c r="B32" i="19"/>
  <c r="I31" i="19"/>
  <c r="B33" i="19"/>
  <c r="E32" i="19"/>
  <c r="F33" i="19"/>
  <c r="G28" i="19"/>
  <c r="D32" i="19"/>
  <c r="I30" i="19"/>
  <c r="H28" i="19"/>
  <c r="I34" i="19"/>
  <c r="H32" i="19"/>
  <c r="B35" i="19"/>
  <c r="I7" i="35"/>
  <c r="J7" i="35" s="1"/>
  <c r="I10" i="23"/>
  <c r="J10" i="23"/>
  <c r="E393" i="3"/>
  <c r="K8" i="3"/>
  <c r="J8" i="3"/>
  <c r="N8" i="3"/>
  <c r="D100" i="19"/>
  <c r="L146" i="27"/>
  <c r="G134" i="27"/>
  <c r="F134" i="27"/>
  <c r="M30" i="34"/>
  <c r="L30" i="34"/>
  <c r="E249" i="19"/>
  <c r="J10" i="19"/>
  <c r="F80" i="15"/>
  <c r="M169" i="2"/>
  <c r="E162" i="2"/>
  <c r="I7" i="11"/>
  <c r="J236" i="77"/>
  <c r="G234" i="77"/>
  <c r="D232" i="77"/>
  <c r="G230" i="77"/>
  <c r="D228" i="77"/>
  <c r="O225" i="77"/>
  <c r="E224" i="77"/>
  <c r="D234" i="77"/>
  <c r="O230" i="77"/>
  <c r="F227" i="77"/>
  <c r="D224" i="77"/>
  <c r="C234" i="77"/>
  <c r="N230" i="77"/>
  <c r="E227" i="77"/>
  <c r="F220" i="77"/>
  <c r="K237" i="77"/>
  <c r="O233" i="77"/>
  <c r="F230" i="77"/>
  <c r="C227" i="77"/>
  <c r="B237" i="77"/>
  <c r="N233" i="77"/>
  <c r="E230" i="77"/>
  <c r="B227" i="77"/>
  <c r="I236" i="77"/>
  <c r="G233" i="77"/>
  <c r="L229" i="77"/>
  <c r="O226" i="77"/>
  <c r="C232" i="77"/>
  <c r="F229" i="77"/>
  <c r="L225" i="77"/>
  <c r="B232" i="77"/>
  <c r="N227" i="77"/>
  <c r="O231" i="77"/>
  <c r="N226" i="77"/>
  <c r="N231" i="77"/>
  <c r="N225" i="77"/>
  <c r="H236" i="77"/>
  <c r="M231" i="77"/>
  <c r="M225" i="77"/>
  <c r="G236" i="77"/>
  <c r="K231" i="77"/>
  <c r="J225" i="77"/>
  <c r="I235" i="77"/>
  <c r="J229" i="77"/>
  <c r="M224" i="77"/>
  <c r="G229" i="77"/>
  <c r="E229" i="77"/>
  <c r="D229" i="77"/>
  <c r="C229" i="77"/>
  <c r="K235" i="77"/>
  <c r="C228" i="77"/>
  <c r="F234" i="77"/>
  <c r="H225" i="77"/>
  <c r="E234" i="77"/>
  <c r="G225" i="77"/>
  <c r="E233" i="77"/>
  <c r="L224" i="77"/>
  <c r="H231" i="77"/>
  <c r="K229" i="77"/>
  <c r="B228" i="77"/>
  <c r="O227" i="77"/>
  <c r="I225" i="77"/>
  <c r="K224" i="77"/>
  <c r="G235" i="77"/>
  <c r="J235" i="77"/>
  <c r="I231" i="77"/>
  <c r="F235" i="77"/>
  <c r="D233" i="77"/>
  <c r="C233" i="77"/>
  <c r="G12" i="97"/>
  <c r="K29" i="92"/>
  <c r="G228" i="111"/>
  <c r="H273" i="111" s="1"/>
  <c r="G6" i="81"/>
  <c r="I7" i="81"/>
  <c r="J7" i="81" s="1"/>
  <c r="I224" i="77"/>
  <c r="K234" i="77"/>
  <c r="I227" i="77"/>
  <c r="K233" i="77"/>
  <c r="F228" i="77"/>
  <c r="M232" i="77"/>
  <c r="E644" i="81"/>
  <c r="K13" i="81"/>
  <c r="C213" i="81" s="1"/>
  <c r="Q233" i="81" s="1"/>
  <c r="K232" i="77"/>
  <c r="G321" i="97"/>
  <c r="F321" i="97"/>
  <c r="J65" i="79"/>
  <c r="K71" i="79"/>
  <c r="B70" i="79"/>
  <c r="I73" i="79"/>
  <c r="B68" i="79"/>
  <c r="I76" i="79"/>
  <c r="D71" i="79"/>
  <c r="G76" i="79"/>
  <c r="I11" i="87"/>
  <c r="K31" i="66"/>
  <c r="I12" i="65"/>
  <c r="J72" i="79"/>
  <c r="K7" i="109"/>
  <c r="M74" i="79"/>
  <c r="K9" i="61"/>
  <c r="K74" i="79"/>
  <c r="C140" i="75"/>
  <c r="N283" i="73"/>
  <c r="N280" i="73"/>
  <c r="M280" i="73"/>
  <c r="A292" i="73" s="1"/>
  <c r="A304" i="73" s="1"/>
  <c r="D279" i="73"/>
  <c r="C279" i="73"/>
  <c r="N281" i="73"/>
  <c r="M281" i="73"/>
  <c r="A293" i="73" s="1"/>
  <c r="A305" i="73" s="1"/>
  <c r="M38" i="80"/>
  <c r="L38" i="80"/>
  <c r="C133" i="75"/>
  <c r="G259" i="67"/>
  <c r="F259" i="67"/>
  <c r="P275" i="67"/>
  <c r="K13" i="89"/>
  <c r="J145" i="75"/>
  <c r="M140" i="75"/>
  <c r="D145" i="75"/>
  <c r="I133" i="75"/>
  <c r="I138" i="75"/>
  <c r="H143" i="75"/>
  <c r="M133" i="75"/>
  <c r="B140" i="75"/>
  <c r="F145" i="75"/>
  <c r="K29" i="72"/>
  <c r="G258" i="67"/>
  <c r="P274" i="67"/>
  <c r="F258" i="67"/>
  <c r="I14" i="67"/>
  <c r="J14" i="67" s="1"/>
  <c r="B139" i="75"/>
  <c r="F200" i="65"/>
  <c r="F214" i="65"/>
  <c r="K210" i="65"/>
  <c r="J210" i="65"/>
  <c r="C207" i="65"/>
  <c r="I212" i="65"/>
  <c r="H209" i="65"/>
  <c r="G205" i="65"/>
  <c r="L213" i="65"/>
  <c r="D208" i="65"/>
  <c r="M212" i="65"/>
  <c r="B208" i="65"/>
  <c r="L212" i="65"/>
  <c r="G212" i="65"/>
  <c r="F212" i="65"/>
  <c r="L205" i="65"/>
  <c r="D212" i="65"/>
  <c r="H205" i="65"/>
  <c r="K209" i="65"/>
  <c r="J209" i="65"/>
  <c r="I209" i="65"/>
  <c r="G209" i="65"/>
  <c r="F208" i="65"/>
  <c r="E208" i="65"/>
  <c r="D205" i="65"/>
  <c r="E205" i="65"/>
  <c r="C205" i="65"/>
  <c r="B205" i="65"/>
  <c r="C215" i="65"/>
  <c r="I211" i="65"/>
  <c r="H211" i="65"/>
  <c r="E212" i="65"/>
  <c r="C212" i="65"/>
  <c r="C227" i="65" s="1"/>
  <c r="D272" i="65" s="1"/>
  <c r="K205" i="65"/>
  <c r="F205" i="65"/>
  <c r="F109" i="57"/>
  <c r="B108" i="57"/>
  <c r="J106" i="57"/>
  <c r="F105" i="57"/>
  <c r="B104" i="57"/>
  <c r="B224" i="57" s="1"/>
  <c r="C269" i="57" s="1"/>
  <c r="J102" i="57"/>
  <c r="F101" i="57"/>
  <c r="B100" i="57"/>
  <c r="I110" i="57"/>
  <c r="E109" i="57"/>
  <c r="I106" i="57"/>
  <c r="E105" i="57"/>
  <c r="M103" i="57"/>
  <c r="I102" i="57"/>
  <c r="E101" i="57"/>
  <c r="M99" i="57"/>
  <c r="H110" i="57"/>
  <c r="D109" i="57"/>
  <c r="H106" i="57"/>
  <c r="D105" i="57"/>
  <c r="D225" i="57" s="1"/>
  <c r="E270" i="57" s="1"/>
  <c r="L103" i="57"/>
  <c r="H102" i="57"/>
  <c r="D101" i="57"/>
  <c r="L99" i="57"/>
  <c r="L219" i="57" s="1"/>
  <c r="M264" i="57" s="1"/>
  <c r="G110" i="57"/>
  <c r="C109" i="57"/>
  <c r="G106" i="57"/>
  <c r="C105" i="57"/>
  <c r="K103" i="57"/>
  <c r="G102" i="57"/>
  <c r="C101" i="57"/>
  <c r="K99" i="57"/>
  <c r="F110" i="57"/>
  <c r="B109" i="57"/>
  <c r="F106" i="57"/>
  <c r="B105" i="57"/>
  <c r="J103" i="57"/>
  <c r="F102" i="57"/>
  <c r="B101" i="57"/>
  <c r="J99" i="57"/>
  <c r="B110" i="57"/>
  <c r="F107" i="57"/>
  <c r="B106" i="57"/>
  <c r="J104" i="57"/>
  <c r="F103" i="57"/>
  <c r="B102" i="57"/>
  <c r="J100" i="57"/>
  <c r="F99" i="57"/>
  <c r="E110" i="57"/>
  <c r="F108" i="57"/>
  <c r="C106" i="57"/>
  <c r="D104" i="57"/>
  <c r="L101" i="57"/>
  <c r="I99" i="57"/>
  <c r="F93" i="57"/>
  <c r="D110" i="57"/>
  <c r="E108" i="57"/>
  <c r="M105" i="57"/>
  <c r="C104" i="57"/>
  <c r="K101" i="57"/>
  <c r="H99" i="57"/>
  <c r="C110" i="57"/>
  <c r="C230" i="57" s="1"/>
  <c r="D275" i="57" s="1"/>
  <c r="D108" i="57"/>
  <c r="L105" i="57"/>
  <c r="I103" i="57"/>
  <c r="J101" i="57"/>
  <c r="G99" i="57"/>
  <c r="C108" i="57"/>
  <c r="K105" i="57"/>
  <c r="H103" i="57"/>
  <c r="I101" i="57"/>
  <c r="E99" i="57"/>
  <c r="I107" i="57"/>
  <c r="J105" i="57"/>
  <c r="G103" i="57"/>
  <c r="H101" i="57"/>
  <c r="D99" i="57"/>
  <c r="H108" i="57"/>
  <c r="H228" i="57" s="1"/>
  <c r="I273" i="57" s="1"/>
  <c r="M104" i="57"/>
  <c r="D102" i="57"/>
  <c r="G108" i="57"/>
  <c r="G228" i="57" s="1"/>
  <c r="H273" i="57" s="1"/>
  <c r="L104" i="57"/>
  <c r="C102" i="57"/>
  <c r="H107" i="57"/>
  <c r="H227" i="57" s="1"/>
  <c r="I272" i="57" s="1"/>
  <c r="K104" i="57"/>
  <c r="M101" i="57"/>
  <c r="G107" i="57"/>
  <c r="G227" i="57" s="1"/>
  <c r="H272" i="57" s="1"/>
  <c r="I104" i="57"/>
  <c r="G101" i="57"/>
  <c r="E107" i="57"/>
  <c r="H104" i="57"/>
  <c r="M100" i="57"/>
  <c r="D107" i="57"/>
  <c r="G104" i="57"/>
  <c r="L100" i="57"/>
  <c r="I109" i="57"/>
  <c r="L106" i="57"/>
  <c r="D103" i="57"/>
  <c r="G100" i="57"/>
  <c r="M102" i="57"/>
  <c r="I108" i="57"/>
  <c r="L102" i="57"/>
  <c r="C107" i="57"/>
  <c r="K102" i="57"/>
  <c r="B107" i="57"/>
  <c r="E102" i="57"/>
  <c r="M106" i="57"/>
  <c r="K100" i="57"/>
  <c r="E106" i="57"/>
  <c r="E226" i="57" s="1"/>
  <c r="F271" i="57" s="1"/>
  <c r="H100" i="57"/>
  <c r="H220" i="57" s="1"/>
  <c r="I265" i="57" s="1"/>
  <c r="D106" i="57"/>
  <c r="I105" i="57"/>
  <c r="H105" i="57"/>
  <c r="G105" i="57"/>
  <c r="F104" i="57"/>
  <c r="E103" i="57"/>
  <c r="E104" i="57"/>
  <c r="I100" i="57"/>
  <c r="F100" i="57"/>
  <c r="D100" i="57"/>
  <c r="C100" i="57"/>
  <c r="C99" i="57"/>
  <c r="B99" i="57"/>
  <c r="H109" i="57"/>
  <c r="G109" i="57"/>
  <c r="E100" i="57"/>
  <c r="K106" i="57"/>
  <c r="C103" i="57"/>
  <c r="B103" i="57"/>
  <c r="B223" i="57" s="1"/>
  <c r="C268" i="57" s="1"/>
  <c r="D73" i="79"/>
  <c r="E194" i="63"/>
  <c r="I187" i="63"/>
  <c r="K183" i="63"/>
  <c r="K219" i="63" s="1"/>
  <c r="L264" i="63" s="1"/>
  <c r="K192" i="63"/>
  <c r="B186" i="63"/>
  <c r="G192" i="63"/>
  <c r="F186" i="63"/>
  <c r="F192" i="63"/>
  <c r="C186" i="63"/>
  <c r="E192" i="63"/>
  <c r="M185" i="63"/>
  <c r="K191" i="63"/>
  <c r="L185" i="63"/>
  <c r="J191" i="63"/>
  <c r="K185" i="63"/>
  <c r="B190" i="63"/>
  <c r="I185" i="63"/>
  <c r="M192" i="63"/>
  <c r="G183" i="63"/>
  <c r="I192" i="63"/>
  <c r="F183" i="63"/>
  <c r="H192" i="63"/>
  <c r="E183" i="63"/>
  <c r="C190" i="63"/>
  <c r="F178" i="63"/>
  <c r="K189" i="63"/>
  <c r="G188" i="63"/>
  <c r="K188" i="63"/>
  <c r="J188" i="63"/>
  <c r="I188" i="63"/>
  <c r="F188" i="63"/>
  <c r="E188" i="63"/>
  <c r="G186" i="63"/>
  <c r="J185" i="63"/>
  <c r="H184" i="63"/>
  <c r="B193" i="63"/>
  <c r="I184" i="63"/>
  <c r="M29" i="54"/>
  <c r="L29" i="54"/>
  <c r="C41" i="73"/>
  <c r="C224" i="73" s="1"/>
  <c r="D269" i="73" s="1"/>
  <c r="H46" i="73"/>
  <c r="M37" i="73"/>
  <c r="J38" i="73"/>
  <c r="G37" i="73"/>
  <c r="G220" i="73" s="1"/>
  <c r="H265" i="73" s="1"/>
  <c r="B46" i="73"/>
  <c r="F43" i="73"/>
  <c r="E186" i="63"/>
  <c r="D187" i="63"/>
  <c r="H183" i="63"/>
  <c r="D193" i="63"/>
  <c r="J190" i="63"/>
  <c r="D188" i="63"/>
  <c r="F322" i="75"/>
  <c r="B204" i="65"/>
  <c r="I213" i="65"/>
  <c r="B207" i="65"/>
  <c r="I204" i="65"/>
  <c r="L204" i="65"/>
  <c r="K204" i="65"/>
  <c r="B67" i="87"/>
  <c r="G66" i="87"/>
  <c r="J43" i="73"/>
  <c r="K109" i="65"/>
  <c r="G108" i="65"/>
  <c r="C107" i="65"/>
  <c r="G104" i="65"/>
  <c r="C103" i="65"/>
  <c r="C223" i="65" s="1"/>
  <c r="D268" i="65" s="1"/>
  <c r="K101" i="65"/>
  <c r="G100" i="65"/>
  <c r="C99" i="65"/>
  <c r="D110" i="65"/>
  <c r="F107" i="65"/>
  <c r="M105" i="65"/>
  <c r="H104" i="65"/>
  <c r="B103" i="65"/>
  <c r="B223" i="65" s="1"/>
  <c r="C268" i="65" s="1"/>
  <c r="I101" i="65"/>
  <c r="D100" i="65"/>
  <c r="C110" i="65"/>
  <c r="E107" i="65"/>
  <c r="L105" i="65"/>
  <c r="F104" i="65"/>
  <c r="M102" i="65"/>
  <c r="H101" i="65"/>
  <c r="C100" i="65"/>
  <c r="B110" i="65"/>
  <c r="B230" i="65" s="1"/>
  <c r="C275" i="65" s="1"/>
  <c r="D107" i="65"/>
  <c r="E104" i="65"/>
  <c r="L102" i="65"/>
  <c r="G101" i="65"/>
  <c r="B100" i="65"/>
  <c r="M109" i="65"/>
  <c r="B107" i="65"/>
  <c r="D104" i="65"/>
  <c r="K102" i="65"/>
  <c r="F101" i="65"/>
  <c r="M99" i="65"/>
  <c r="L109" i="65"/>
  <c r="F108" i="65"/>
  <c r="M106" i="65"/>
  <c r="C104" i="65"/>
  <c r="J102" i="65"/>
  <c r="E101" i="65"/>
  <c r="L99" i="65"/>
  <c r="L110" i="65"/>
  <c r="G109" i="65"/>
  <c r="B108" i="65"/>
  <c r="D105" i="65"/>
  <c r="K103" i="65"/>
  <c r="F102" i="65"/>
  <c r="M100" i="65"/>
  <c r="H99" i="65"/>
  <c r="I110" i="65"/>
  <c r="D108" i="65"/>
  <c r="D106" i="65"/>
  <c r="J103" i="65"/>
  <c r="J101" i="65"/>
  <c r="E99" i="65"/>
  <c r="H110" i="65"/>
  <c r="C108" i="65"/>
  <c r="C106" i="65"/>
  <c r="I103" i="65"/>
  <c r="D101" i="65"/>
  <c r="D99" i="65"/>
  <c r="G110" i="65"/>
  <c r="M107" i="65"/>
  <c r="B106" i="65"/>
  <c r="H103" i="65"/>
  <c r="C101" i="65"/>
  <c r="B99" i="65"/>
  <c r="F110" i="65"/>
  <c r="L107" i="65"/>
  <c r="G105" i="65"/>
  <c r="G103" i="65"/>
  <c r="B101" i="65"/>
  <c r="E110" i="65"/>
  <c r="F105" i="65"/>
  <c r="F103" i="65"/>
  <c r="L100" i="65"/>
  <c r="F109" i="65"/>
  <c r="G107" i="65"/>
  <c r="M104" i="65"/>
  <c r="H102" i="65"/>
  <c r="H100" i="65"/>
  <c r="M103" i="65"/>
  <c r="E100" i="65"/>
  <c r="M110" i="65"/>
  <c r="L106" i="65"/>
  <c r="L103" i="65"/>
  <c r="K99" i="65"/>
  <c r="K110" i="65"/>
  <c r="E103" i="65"/>
  <c r="J99" i="65"/>
  <c r="J219" i="65" s="1"/>
  <c r="K264" i="65" s="1"/>
  <c r="J110" i="65"/>
  <c r="D103" i="65"/>
  <c r="I99" i="65"/>
  <c r="J109" i="65"/>
  <c r="I102" i="65"/>
  <c r="G99" i="65"/>
  <c r="D109" i="65"/>
  <c r="E105" i="65"/>
  <c r="C102" i="65"/>
  <c r="E106" i="65"/>
  <c r="I100" i="65"/>
  <c r="C105" i="65"/>
  <c r="F100" i="65"/>
  <c r="F220" i="65" s="1"/>
  <c r="G265" i="65" s="1"/>
  <c r="B105" i="65"/>
  <c r="F99" i="65"/>
  <c r="L104" i="65"/>
  <c r="I109" i="65"/>
  <c r="K104" i="65"/>
  <c r="E109" i="65"/>
  <c r="I104" i="65"/>
  <c r="M108" i="65"/>
  <c r="J100" i="65"/>
  <c r="J220" i="65" s="1"/>
  <c r="K265" i="65" s="1"/>
  <c r="L108" i="65"/>
  <c r="E108" i="65"/>
  <c r="F93" i="65"/>
  <c r="G106" i="65"/>
  <c r="G102" i="65"/>
  <c r="H109" i="65"/>
  <c r="C109" i="65"/>
  <c r="B109" i="65"/>
  <c r="F106" i="65"/>
  <c r="D102" i="65"/>
  <c r="B102" i="65"/>
  <c r="M101" i="65"/>
  <c r="L101" i="65"/>
  <c r="K100" i="65"/>
  <c r="K220" i="65" s="1"/>
  <c r="L265" i="65" s="1"/>
  <c r="J104" i="65"/>
  <c r="B104" i="65"/>
  <c r="E102" i="65"/>
  <c r="H278" i="75"/>
  <c r="N278" i="75"/>
  <c r="H271" i="75"/>
  <c r="F275" i="75"/>
  <c r="H275" i="75"/>
  <c r="B276" i="75"/>
  <c r="E278" i="75"/>
  <c r="D272" i="75"/>
  <c r="G281" i="75"/>
  <c r="L283" i="75"/>
  <c r="H272" i="75"/>
  <c r="M280" i="75"/>
  <c r="N283" i="69"/>
  <c r="M283" i="69"/>
  <c r="A295" i="69" s="1"/>
  <c r="A307" i="69" s="1"/>
  <c r="N284" i="69"/>
  <c r="N280" i="69"/>
  <c r="G279" i="69"/>
  <c r="M288" i="69"/>
  <c r="A300" i="69" s="1"/>
  <c r="A312" i="69" s="1"/>
  <c r="M284" i="69"/>
  <c r="A296" i="69" s="1"/>
  <c r="A308" i="69" s="1"/>
  <c r="M280" i="69"/>
  <c r="A292" i="69" s="1"/>
  <c r="A304" i="69" s="1"/>
  <c r="F279" i="69"/>
  <c r="N281" i="69"/>
  <c r="M281" i="69"/>
  <c r="A293" i="69" s="1"/>
  <c r="A305" i="69" s="1"/>
  <c r="E279" i="69"/>
  <c r="M282" i="69"/>
  <c r="A294" i="69" s="1"/>
  <c r="A306" i="69" s="1"/>
  <c r="D279" i="69"/>
  <c r="C279" i="69"/>
  <c r="N282" i="69"/>
  <c r="L40" i="62"/>
  <c r="M40" i="62"/>
  <c r="G257" i="73"/>
  <c r="F257" i="73"/>
  <c r="P273" i="73"/>
  <c r="K36" i="76"/>
  <c r="L61" i="73"/>
  <c r="E66" i="73"/>
  <c r="K57" i="73"/>
  <c r="K60" i="73"/>
  <c r="L59" i="73"/>
  <c r="H68" i="73"/>
  <c r="L65" i="73"/>
  <c r="D63" i="73"/>
  <c r="M29" i="44"/>
  <c r="L29" i="44"/>
  <c r="I73" i="41"/>
  <c r="F132" i="53"/>
  <c r="F136" i="53"/>
  <c r="H72" i="41"/>
  <c r="I12" i="55"/>
  <c r="J12" i="55"/>
  <c r="C134" i="53"/>
  <c r="F135" i="51"/>
  <c r="G133" i="51"/>
  <c r="I11" i="43"/>
  <c r="K8" i="45"/>
  <c r="D51" i="39"/>
  <c r="D59" i="39"/>
  <c r="C52" i="39"/>
  <c r="E425" i="63"/>
  <c r="K6" i="63"/>
  <c r="K31" i="58"/>
  <c r="I113" i="45"/>
  <c r="J108" i="45"/>
  <c r="I108" i="45"/>
  <c r="E113" i="45"/>
  <c r="D113" i="45"/>
  <c r="D112" i="45"/>
  <c r="K117" i="45"/>
  <c r="F103" i="45"/>
  <c r="E116" i="45"/>
  <c r="G111" i="45"/>
  <c r="D116" i="45"/>
  <c r="D111" i="45"/>
  <c r="F115" i="45"/>
  <c r="G114" i="45"/>
  <c r="K111" i="45"/>
  <c r="I109" i="45"/>
  <c r="H111" i="45"/>
  <c r="K109" i="45"/>
  <c r="D109" i="45"/>
  <c r="J116" i="45"/>
  <c r="I116" i="45"/>
  <c r="G115" i="45"/>
  <c r="G116" i="45"/>
  <c r="B116" i="45"/>
  <c r="H115" i="45"/>
  <c r="K34" i="52"/>
  <c r="C53" i="51"/>
  <c r="I60" i="51"/>
  <c r="E110" i="45"/>
  <c r="J110" i="45"/>
  <c r="H116" i="45"/>
  <c r="D168" i="55"/>
  <c r="E169" i="55"/>
  <c r="D163" i="55"/>
  <c r="C172" i="55"/>
  <c r="G163" i="55"/>
  <c r="I9" i="49"/>
  <c r="K9" i="49" s="1"/>
  <c r="K70" i="39"/>
  <c r="P275" i="55"/>
  <c r="G259" i="55"/>
  <c r="F259" i="55"/>
  <c r="C99" i="33"/>
  <c r="K31" i="42"/>
  <c r="E63" i="21"/>
  <c r="G184" i="49"/>
  <c r="F184" i="49"/>
  <c r="F190" i="49"/>
  <c r="G185" i="49"/>
  <c r="F191" i="49"/>
  <c r="K32" i="40"/>
  <c r="H57" i="53"/>
  <c r="G60" i="53"/>
  <c r="K60" i="53"/>
  <c r="K56" i="53"/>
  <c r="B54" i="53"/>
  <c r="G256" i="73"/>
  <c r="F256" i="73"/>
  <c r="P272" i="73"/>
  <c r="H54" i="45"/>
  <c r="I55" i="45"/>
  <c r="B59" i="45"/>
  <c r="E53" i="45"/>
  <c r="M36" i="36"/>
  <c r="L36" i="36"/>
  <c r="L145" i="29"/>
  <c r="F133" i="29"/>
  <c r="I154" i="29" s="1"/>
  <c r="A162" i="29" s="1"/>
  <c r="A170" i="29" s="1"/>
  <c r="G133" i="29"/>
  <c r="L146" i="15"/>
  <c r="F134" i="15"/>
  <c r="J156" i="15" s="1"/>
  <c r="G134" i="15"/>
  <c r="I6" i="37"/>
  <c r="J6" i="37"/>
  <c r="D62" i="23"/>
  <c r="F34" i="19"/>
  <c r="F35" i="19"/>
  <c r="L243" i="39"/>
  <c r="B65" i="33"/>
  <c r="I133" i="43"/>
  <c r="B135" i="43"/>
  <c r="F30" i="23"/>
  <c r="F97" i="31"/>
  <c r="M35" i="28"/>
  <c r="L35" i="28"/>
  <c r="E86" i="27"/>
  <c r="B148" i="41"/>
  <c r="I151" i="41"/>
  <c r="B82" i="27"/>
  <c r="F33" i="51"/>
  <c r="B34" i="23"/>
  <c r="J157" i="75"/>
  <c r="N158" i="75"/>
  <c r="G155" i="75"/>
  <c r="D160" i="75"/>
  <c r="J161" i="75"/>
  <c r="D158" i="75"/>
  <c r="F166" i="75"/>
  <c r="K10" i="23"/>
  <c r="J36" i="51"/>
  <c r="G84" i="9"/>
  <c r="J94" i="9"/>
  <c r="F84" i="9"/>
  <c r="G85" i="9"/>
  <c r="H96" i="19"/>
  <c r="M37" i="30"/>
  <c r="L37" i="30"/>
  <c r="L41" i="34"/>
  <c r="M41" i="34"/>
  <c r="H83" i="29"/>
  <c r="M108" i="59"/>
  <c r="G106" i="59"/>
  <c r="F104" i="59"/>
  <c r="G184" i="35"/>
  <c r="F184" i="35"/>
  <c r="F190" i="35"/>
  <c r="G185" i="35"/>
  <c r="E245" i="25"/>
  <c r="N6" i="25"/>
  <c r="A204" i="25" s="1"/>
  <c r="K6" i="25"/>
  <c r="D79" i="15"/>
  <c r="M36" i="8"/>
  <c r="L36" i="8"/>
  <c r="E126" i="2"/>
  <c r="F120" i="2"/>
  <c r="B168" i="2"/>
  <c r="I167" i="2"/>
  <c r="K30" i="56"/>
  <c r="I6" i="45"/>
  <c r="F248" i="71"/>
  <c r="G248" i="71"/>
  <c r="G249" i="71"/>
  <c r="I8" i="33"/>
  <c r="J8" i="33"/>
  <c r="G190" i="43"/>
  <c r="N204" i="43"/>
  <c r="F190" i="43"/>
  <c r="M38" i="18"/>
  <c r="L38" i="18"/>
  <c r="A318" i="73"/>
  <c r="A328" i="73" s="1"/>
  <c r="I57" i="51"/>
  <c r="B51" i="51"/>
  <c r="C56" i="51"/>
  <c r="F47" i="51"/>
  <c r="E60" i="51"/>
  <c r="J54" i="51"/>
  <c r="I54" i="51"/>
  <c r="J53" i="51"/>
  <c r="J52" i="51"/>
  <c r="H52" i="51"/>
  <c r="F52" i="51"/>
  <c r="D60" i="51"/>
  <c r="B60" i="51"/>
  <c r="F59" i="51"/>
  <c r="E59" i="51"/>
  <c r="H55" i="51"/>
  <c r="D59" i="51"/>
  <c r="K55" i="51"/>
  <c r="J55" i="51"/>
  <c r="E114" i="21"/>
  <c r="F147" i="21" s="1"/>
  <c r="G131" i="31"/>
  <c r="F131" i="31"/>
  <c r="L29" i="24"/>
  <c r="M29" i="24"/>
  <c r="J79" i="53"/>
  <c r="D78" i="53"/>
  <c r="B75" i="53"/>
  <c r="F73" i="53"/>
  <c r="J71" i="53"/>
  <c r="D70" i="53"/>
  <c r="I79" i="53"/>
  <c r="C78" i="53"/>
  <c r="G76" i="53"/>
  <c r="K74" i="53"/>
  <c r="E73" i="53"/>
  <c r="H79" i="53"/>
  <c r="B78" i="53"/>
  <c r="F76" i="53"/>
  <c r="J74" i="53"/>
  <c r="D73" i="53"/>
  <c r="F64" i="53"/>
  <c r="G79" i="53"/>
  <c r="K77" i="53"/>
  <c r="E76" i="53"/>
  <c r="I74" i="53"/>
  <c r="C73" i="53"/>
  <c r="G71" i="53"/>
  <c r="F79" i="53"/>
  <c r="J77" i="53"/>
  <c r="D76" i="53"/>
  <c r="H74" i="53"/>
  <c r="B73" i="53"/>
  <c r="F71" i="53"/>
  <c r="B79" i="53"/>
  <c r="F77" i="53"/>
  <c r="J75" i="53"/>
  <c r="D74" i="53"/>
  <c r="H72" i="53"/>
  <c r="E75" i="53"/>
  <c r="G72" i="53"/>
  <c r="E70" i="53"/>
  <c r="G77" i="53"/>
  <c r="D75" i="53"/>
  <c r="F72" i="53"/>
  <c r="E77" i="53"/>
  <c r="C75" i="53"/>
  <c r="E72" i="53"/>
  <c r="D77" i="53"/>
  <c r="G74" i="53"/>
  <c r="D72" i="53"/>
  <c r="K79" i="53"/>
  <c r="F74" i="53"/>
  <c r="C72" i="53"/>
  <c r="K72" i="53"/>
  <c r="J72" i="53"/>
  <c r="E79" i="53"/>
  <c r="I72" i="53"/>
  <c r="D79" i="53"/>
  <c r="K75" i="53"/>
  <c r="B72" i="53"/>
  <c r="C79" i="53"/>
  <c r="I75" i="53"/>
  <c r="K71" i="53"/>
  <c r="G78" i="53"/>
  <c r="C74" i="53"/>
  <c r="J70" i="53"/>
  <c r="G75" i="53"/>
  <c r="F70" i="53"/>
  <c r="F75" i="53"/>
  <c r="B74" i="53"/>
  <c r="K73" i="53"/>
  <c r="J78" i="53"/>
  <c r="I73" i="53"/>
  <c r="K76" i="53"/>
  <c r="J76" i="53"/>
  <c r="H75" i="53"/>
  <c r="E74" i="53"/>
  <c r="J73" i="53"/>
  <c r="H73" i="53"/>
  <c r="K78" i="53"/>
  <c r="I78" i="53"/>
  <c r="K70" i="53"/>
  <c r="F78" i="53"/>
  <c r="E78" i="53"/>
  <c r="D71" i="53"/>
  <c r="G73" i="53"/>
  <c r="E71" i="53"/>
  <c r="G70" i="53"/>
  <c r="H78" i="53"/>
  <c r="C69" i="21"/>
  <c r="A101" i="9"/>
  <c r="G107" i="9" s="1"/>
  <c r="L31" i="36"/>
  <c r="M31" i="36"/>
  <c r="L28" i="24"/>
  <c r="M28" i="24"/>
  <c r="G101" i="9"/>
  <c r="A107" i="9" s="1"/>
  <c r="A113" i="9" s="1"/>
  <c r="L39" i="4"/>
  <c r="M39" i="4"/>
  <c r="B41" i="53"/>
  <c r="F39" i="53"/>
  <c r="J37" i="53"/>
  <c r="D36" i="53"/>
  <c r="H34" i="53"/>
  <c r="K40" i="53"/>
  <c r="E39" i="53"/>
  <c r="I37" i="53"/>
  <c r="C36" i="53"/>
  <c r="G34" i="53"/>
  <c r="K32" i="53"/>
  <c r="J40" i="53"/>
  <c r="D39" i="53"/>
  <c r="H37" i="53"/>
  <c r="B36" i="53"/>
  <c r="F34" i="53"/>
  <c r="J32" i="53"/>
  <c r="I40" i="53"/>
  <c r="C39" i="53"/>
  <c r="G37" i="53"/>
  <c r="K35" i="53"/>
  <c r="I32" i="53"/>
  <c r="H40" i="53"/>
  <c r="B39" i="53"/>
  <c r="F37" i="53"/>
  <c r="J35" i="53"/>
  <c r="H32" i="53"/>
  <c r="J41" i="53"/>
  <c r="D40" i="53"/>
  <c r="H38" i="53"/>
  <c r="B37" i="53"/>
  <c r="F35" i="53"/>
  <c r="J33" i="53"/>
  <c r="H41" i="53"/>
  <c r="K38" i="53"/>
  <c r="H36" i="53"/>
  <c r="K33" i="53"/>
  <c r="G41" i="53"/>
  <c r="J38" i="53"/>
  <c r="G36" i="53"/>
  <c r="I33" i="53"/>
  <c r="F41" i="53"/>
  <c r="I38" i="53"/>
  <c r="F36" i="53"/>
  <c r="H33" i="53"/>
  <c r="E41" i="53"/>
  <c r="G38" i="53"/>
  <c r="E36" i="53"/>
  <c r="G33" i="53"/>
  <c r="D41" i="53"/>
  <c r="F38" i="53"/>
  <c r="I35" i="53"/>
  <c r="F33" i="53"/>
  <c r="C41" i="53"/>
  <c r="E37" i="53"/>
  <c r="G40" i="53"/>
  <c r="D37" i="53"/>
  <c r="F40" i="53"/>
  <c r="C37" i="53"/>
  <c r="E40" i="53"/>
  <c r="K36" i="53"/>
  <c r="C40" i="53"/>
  <c r="J36" i="53"/>
  <c r="G32" i="53"/>
  <c r="H39" i="53"/>
  <c r="E38" i="53"/>
  <c r="D38" i="53"/>
  <c r="B38" i="53"/>
  <c r="K37" i="53"/>
  <c r="H35" i="53"/>
  <c r="F26" i="53"/>
  <c r="G39" i="53"/>
  <c r="C38" i="53"/>
  <c r="I36" i="53"/>
  <c r="G35" i="53"/>
  <c r="I34" i="53"/>
  <c r="K41" i="53"/>
  <c r="F32" i="53"/>
  <c r="I41" i="53"/>
  <c r="B40" i="53"/>
  <c r="K39" i="53"/>
  <c r="J39" i="53"/>
  <c r="J34" i="53"/>
  <c r="I39" i="53"/>
  <c r="K34" i="53"/>
  <c r="F58" i="33"/>
  <c r="D66" i="33"/>
  <c r="F62" i="33"/>
  <c r="H62" i="33"/>
  <c r="D64" i="33"/>
  <c r="E69" i="33"/>
  <c r="D62" i="33"/>
  <c r="F65" i="33"/>
  <c r="B69" i="33"/>
  <c r="E63" i="33"/>
  <c r="G62" i="33"/>
  <c r="D69" i="33"/>
  <c r="F64" i="33"/>
  <c r="B66" i="33"/>
  <c r="H64" i="33"/>
  <c r="B68" i="33"/>
  <c r="G132" i="29"/>
  <c r="F132" i="29"/>
  <c r="J153" i="29" s="1"/>
  <c r="B63" i="33"/>
  <c r="E64" i="33"/>
  <c r="L39" i="50"/>
  <c r="M39" i="50"/>
  <c r="K32" i="38"/>
  <c r="K28" i="34"/>
  <c r="D32" i="23"/>
  <c r="I64" i="19"/>
  <c r="E64" i="19"/>
  <c r="H64" i="19"/>
  <c r="E68" i="19"/>
  <c r="D68" i="19"/>
  <c r="D64" i="19"/>
  <c r="I67" i="19"/>
  <c r="C64" i="19"/>
  <c r="B64" i="19"/>
  <c r="E66" i="19"/>
  <c r="E62" i="19"/>
  <c r="D66" i="19"/>
  <c r="D62" i="19"/>
  <c r="B67" i="19"/>
  <c r="I66" i="19"/>
  <c r="C66" i="19"/>
  <c r="B66" i="19"/>
  <c r="I65" i="19"/>
  <c r="B65" i="19"/>
  <c r="F59" i="19"/>
  <c r="E65" i="19"/>
  <c r="H67" i="19"/>
  <c r="E63" i="19"/>
  <c r="H66" i="19"/>
  <c r="H65" i="19"/>
  <c r="C65" i="19"/>
  <c r="D69" i="19"/>
  <c r="D67" i="19"/>
  <c r="G69" i="19"/>
  <c r="D65" i="19"/>
  <c r="G63" i="19"/>
  <c r="G68" i="19"/>
  <c r="F69" i="19"/>
  <c r="G66" i="19"/>
  <c r="E67" i="19"/>
  <c r="F62" i="19"/>
  <c r="H100" i="19"/>
  <c r="F75" i="19"/>
  <c r="B85" i="19"/>
  <c r="C84" i="19"/>
  <c r="C80" i="19"/>
  <c r="B81" i="19"/>
  <c r="I80" i="19"/>
  <c r="B80" i="19"/>
  <c r="I79" i="19"/>
  <c r="B83" i="19"/>
  <c r="B79" i="19"/>
  <c r="C83" i="19"/>
  <c r="G82" i="19"/>
  <c r="I81" i="19"/>
  <c r="G80" i="19"/>
  <c r="C86" i="19"/>
  <c r="F81" i="19"/>
  <c r="C82" i="19"/>
  <c r="B84" i="19"/>
  <c r="F79" i="19"/>
  <c r="B86" i="19"/>
  <c r="C85" i="19"/>
  <c r="F82" i="19"/>
  <c r="E81" i="19"/>
  <c r="I82" i="19"/>
  <c r="E80" i="19"/>
  <c r="H81" i="19"/>
  <c r="E79" i="19"/>
  <c r="E86" i="19"/>
  <c r="D84" i="19"/>
  <c r="H79" i="19"/>
  <c r="D85" i="19"/>
  <c r="D80" i="19"/>
  <c r="G79" i="19"/>
  <c r="B82" i="19"/>
  <c r="I10" i="29"/>
  <c r="J10" i="29"/>
  <c r="M32" i="20"/>
  <c r="L32" i="20"/>
  <c r="K102" i="59"/>
  <c r="M107" i="59"/>
  <c r="J105" i="59"/>
  <c r="I8" i="31"/>
  <c r="J8" i="31" s="1"/>
  <c r="M28" i="30"/>
  <c r="L28" i="30"/>
  <c r="C204" i="25"/>
  <c r="E204" i="25"/>
  <c r="D80" i="15"/>
  <c r="B86" i="15"/>
  <c r="M121" i="2"/>
  <c r="C119" i="2"/>
  <c r="L145" i="33"/>
  <c r="G133" i="33"/>
  <c r="F133" i="33"/>
  <c r="E168" i="2"/>
  <c r="J167" i="2"/>
  <c r="M32" i="30"/>
  <c r="L32" i="30"/>
  <c r="E121" i="3"/>
  <c r="E333" i="41"/>
  <c r="K8" i="41"/>
  <c r="J8" i="41"/>
  <c r="I10" i="31"/>
  <c r="F92" i="31"/>
  <c r="G103" i="31"/>
  <c r="B102" i="31"/>
  <c r="D102" i="31"/>
  <c r="C97" i="31"/>
  <c r="I96" i="31"/>
  <c r="C102" i="31"/>
  <c r="B97" i="31"/>
  <c r="C101" i="31"/>
  <c r="B101" i="31"/>
  <c r="H99" i="31"/>
  <c r="B99" i="31"/>
  <c r="D96" i="31"/>
  <c r="C96" i="31"/>
  <c r="G96" i="31"/>
  <c r="F103" i="31"/>
  <c r="C103" i="31"/>
  <c r="D103" i="31"/>
  <c r="H97" i="31"/>
  <c r="A374" i="3"/>
  <c r="B375" i="3" s="1"/>
  <c r="B155" i="3"/>
  <c r="B154" i="3"/>
  <c r="E154" i="3"/>
  <c r="C157" i="3"/>
  <c r="E157" i="3"/>
  <c r="D154" i="3"/>
  <c r="D157" i="3"/>
  <c r="C154" i="3"/>
  <c r="D156" i="3"/>
  <c r="D155" i="3"/>
  <c r="C155" i="3"/>
  <c r="B157" i="3"/>
  <c r="E156" i="3"/>
  <c r="C156" i="3"/>
  <c r="B156" i="3"/>
  <c r="E155" i="3"/>
  <c r="H9" i="79"/>
  <c r="K32" i="96"/>
  <c r="J92" i="101"/>
  <c r="G82" i="101"/>
  <c r="F82" i="101"/>
  <c r="G13" i="73"/>
  <c r="K6" i="75"/>
  <c r="M36" i="80"/>
  <c r="L36" i="80"/>
  <c r="M42" i="78"/>
  <c r="L42" i="78"/>
  <c r="H73" i="79"/>
  <c r="H9" i="85"/>
  <c r="B133" i="75"/>
  <c r="G135" i="75"/>
  <c r="F139" i="75"/>
  <c r="G138" i="75"/>
  <c r="G143" i="75"/>
  <c r="L133" i="75"/>
  <c r="L138" i="75"/>
  <c r="N144" i="75"/>
  <c r="K35" i="66"/>
  <c r="F219" i="57"/>
  <c r="G264" i="57" s="1"/>
  <c r="I6" i="93"/>
  <c r="J6" i="93" s="1"/>
  <c r="G321" i="77"/>
  <c r="G320" i="77"/>
  <c r="F330" i="77"/>
  <c r="F320" i="77"/>
  <c r="F326" i="77"/>
  <c r="F324" i="77"/>
  <c r="F331" i="77"/>
  <c r="L244" i="51"/>
  <c r="L245" i="51"/>
  <c r="L243" i="51"/>
  <c r="I9" i="57"/>
  <c r="J7" i="61"/>
  <c r="I7" i="61"/>
  <c r="K7" i="61" s="1"/>
  <c r="F330" i="75"/>
  <c r="R348" i="75"/>
  <c r="G330" i="75"/>
  <c r="B213" i="65"/>
  <c r="E209" i="65"/>
  <c r="J212" i="65"/>
  <c r="F210" i="65"/>
  <c r="H210" i="65"/>
  <c r="C210" i="65"/>
  <c r="M28" i="50"/>
  <c r="L28" i="50"/>
  <c r="E67" i="87"/>
  <c r="E70" i="87"/>
  <c r="C69" i="87"/>
  <c r="B66" i="87"/>
  <c r="P272" i="69"/>
  <c r="G256" i="69"/>
  <c r="F256" i="69"/>
  <c r="N287" i="69" s="1"/>
  <c r="F332" i="77"/>
  <c r="G173" i="65"/>
  <c r="C172" i="65"/>
  <c r="K170" i="65"/>
  <c r="G169" i="65"/>
  <c r="C168" i="65"/>
  <c r="K166" i="65"/>
  <c r="G165" i="65"/>
  <c r="C164" i="65"/>
  <c r="K162" i="65"/>
  <c r="L173" i="65"/>
  <c r="G172" i="65"/>
  <c r="B171" i="65"/>
  <c r="J166" i="65"/>
  <c r="L163" i="65"/>
  <c r="G162" i="65"/>
  <c r="K173" i="65"/>
  <c r="F172" i="65"/>
  <c r="M170" i="65"/>
  <c r="B168" i="65"/>
  <c r="I166" i="65"/>
  <c r="K163" i="65"/>
  <c r="F162" i="65"/>
  <c r="J173" i="65"/>
  <c r="E172" i="65"/>
  <c r="L170" i="65"/>
  <c r="F169" i="65"/>
  <c r="M167" i="65"/>
  <c r="H166" i="65"/>
  <c r="C165" i="65"/>
  <c r="J163" i="65"/>
  <c r="E162" i="65"/>
  <c r="I173" i="65"/>
  <c r="D172" i="65"/>
  <c r="J170" i="65"/>
  <c r="L167" i="65"/>
  <c r="G166" i="65"/>
  <c r="B165" i="65"/>
  <c r="I163" i="65"/>
  <c r="D162" i="65"/>
  <c r="H173" i="65"/>
  <c r="B172" i="65"/>
  <c r="I170" i="65"/>
  <c r="K167" i="65"/>
  <c r="F166" i="65"/>
  <c r="M164" i="65"/>
  <c r="H163" i="65"/>
  <c r="C162" i="65"/>
  <c r="F156" i="65"/>
  <c r="C173" i="65"/>
  <c r="J171" i="65"/>
  <c r="E170" i="65"/>
  <c r="L168" i="65"/>
  <c r="G167" i="65"/>
  <c r="B166" i="65"/>
  <c r="D163" i="65"/>
  <c r="J172" i="65"/>
  <c r="D170" i="65"/>
  <c r="K165" i="65"/>
  <c r="F163" i="65"/>
  <c r="I172" i="65"/>
  <c r="C170" i="65"/>
  <c r="J167" i="65"/>
  <c r="J165" i="65"/>
  <c r="E163" i="65"/>
  <c r="H172" i="65"/>
  <c r="B170" i="65"/>
  <c r="I167" i="65"/>
  <c r="C163" i="65"/>
  <c r="M171" i="65"/>
  <c r="M169" i="65"/>
  <c r="H167" i="65"/>
  <c r="B163" i="65"/>
  <c r="L171" i="65"/>
  <c r="L169" i="65"/>
  <c r="L226" i="65" s="1"/>
  <c r="M271" i="65" s="1"/>
  <c r="F167" i="65"/>
  <c r="F165" i="65"/>
  <c r="M162" i="65"/>
  <c r="M173" i="65"/>
  <c r="G171" i="65"/>
  <c r="B169" i="65"/>
  <c r="B167" i="65"/>
  <c r="H162" i="65"/>
  <c r="I171" i="65"/>
  <c r="G164" i="65"/>
  <c r="H171" i="65"/>
  <c r="G168" i="65"/>
  <c r="F164" i="65"/>
  <c r="F171" i="65"/>
  <c r="F168" i="65"/>
  <c r="E171" i="65"/>
  <c r="E167" i="65"/>
  <c r="D171" i="65"/>
  <c r="D167" i="65"/>
  <c r="B164" i="65"/>
  <c r="F173" i="65"/>
  <c r="F170" i="65"/>
  <c r="E166" i="65"/>
  <c r="J162" i="65"/>
  <c r="K172" i="65"/>
  <c r="C166" i="65"/>
  <c r="K171" i="65"/>
  <c r="M165" i="65"/>
  <c r="C171" i="65"/>
  <c r="L165" i="65"/>
  <c r="H170" i="65"/>
  <c r="L164" i="65"/>
  <c r="G170" i="65"/>
  <c r="K164" i="65"/>
  <c r="J169" i="65"/>
  <c r="M163" i="65"/>
  <c r="C169" i="65"/>
  <c r="M168" i="65"/>
  <c r="M225" i="65" s="1"/>
  <c r="N270" i="65" s="1"/>
  <c r="K168" i="65"/>
  <c r="J168" i="65"/>
  <c r="C167" i="65"/>
  <c r="J164" i="65"/>
  <c r="I162" i="65"/>
  <c r="B162" i="65"/>
  <c r="E173" i="65"/>
  <c r="D173" i="65"/>
  <c r="L166" i="65"/>
  <c r="D166" i="65"/>
  <c r="G163" i="65"/>
  <c r="L162" i="65"/>
  <c r="B173" i="65"/>
  <c r="M172" i="65"/>
  <c r="L172" i="65"/>
  <c r="K169" i="65"/>
  <c r="M166" i="65"/>
  <c r="I12" i="61"/>
  <c r="M278" i="75"/>
  <c r="C283" i="75"/>
  <c r="D283" i="75"/>
  <c r="F283" i="75"/>
  <c r="O270" i="75"/>
  <c r="L276" i="75"/>
  <c r="B270" i="75"/>
  <c r="I273" i="75"/>
  <c r="B277" i="75"/>
  <c r="L32" i="70"/>
  <c r="M32" i="70"/>
  <c r="F257" i="67"/>
  <c r="P273" i="67"/>
  <c r="G257" i="67"/>
  <c r="G257" i="69"/>
  <c r="F257" i="69"/>
  <c r="P273" i="69"/>
  <c r="G276" i="75"/>
  <c r="K35" i="60"/>
  <c r="J57" i="73"/>
  <c r="I59" i="73"/>
  <c r="J66" i="73"/>
  <c r="F58" i="73"/>
  <c r="I65" i="73"/>
  <c r="I227" i="73" s="1"/>
  <c r="J272" i="73" s="1"/>
  <c r="H61" i="73"/>
  <c r="L58" i="73"/>
  <c r="L68" i="73"/>
  <c r="K77" i="41"/>
  <c r="M40" i="84"/>
  <c r="L40" i="84"/>
  <c r="I13" i="67"/>
  <c r="F48" i="39"/>
  <c r="B56" i="39"/>
  <c r="E58" i="39"/>
  <c r="H52" i="39"/>
  <c r="F52" i="39"/>
  <c r="J58" i="39"/>
  <c r="H60" i="39"/>
  <c r="K59" i="39"/>
  <c r="G52" i="39"/>
  <c r="I58" i="39"/>
  <c r="H51" i="39"/>
  <c r="C58" i="39"/>
  <c r="I56" i="39"/>
  <c r="J56" i="39"/>
  <c r="K52" i="39"/>
  <c r="B58" i="39"/>
  <c r="J57" i="39"/>
  <c r="I59" i="39"/>
  <c r="H54" i="39"/>
  <c r="D57" i="39"/>
  <c r="C51" i="39"/>
  <c r="B59" i="39"/>
  <c r="K57" i="39"/>
  <c r="K9" i="55"/>
  <c r="F135" i="53"/>
  <c r="H129" i="53"/>
  <c r="H79" i="41"/>
  <c r="B79" i="41"/>
  <c r="O280" i="75"/>
  <c r="F66" i="73"/>
  <c r="B225" i="57"/>
  <c r="C270" i="57" s="1"/>
  <c r="M42" i="50"/>
  <c r="L42" i="50"/>
  <c r="D130" i="51"/>
  <c r="C131" i="51"/>
  <c r="K72" i="41"/>
  <c r="H66" i="73"/>
  <c r="M33" i="42"/>
  <c r="L33" i="42"/>
  <c r="F58" i="39"/>
  <c r="G57" i="39"/>
  <c r="G58" i="39"/>
  <c r="G184" i="45"/>
  <c r="F184" i="45"/>
  <c r="G185" i="45"/>
  <c r="F186" i="45"/>
  <c r="F189" i="45"/>
  <c r="F158" i="55"/>
  <c r="G173" i="55"/>
  <c r="C168" i="55"/>
  <c r="B162" i="55"/>
  <c r="F173" i="55"/>
  <c r="D167" i="55"/>
  <c r="B167" i="55"/>
  <c r="M166" i="55"/>
  <c r="E171" i="55"/>
  <c r="L166" i="55"/>
  <c r="H170" i="55"/>
  <c r="B170" i="55"/>
  <c r="H168" i="55"/>
  <c r="F168" i="55"/>
  <c r="E168" i="55"/>
  <c r="K166" i="55"/>
  <c r="I173" i="55"/>
  <c r="F164" i="55"/>
  <c r="H173" i="55"/>
  <c r="L170" i="55"/>
  <c r="K170" i="55"/>
  <c r="J170" i="55"/>
  <c r="I170" i="55"/>
  <c r="C164" i="55"/>
  <c r="J164" i="55"/>
  <c r="H164" i="55"/>
  <c r="B164" i="55"/>
  <c r="H162" i="55"/>
  <c r="D171" i="55"/>
  <c r="F60" i="51"/>
  <c r="C57" i="51"/>
  <c r="C54" i="51"/>
  <c r="M41" i="42"/>
  <c r="L41" i="42"/>
  <c r="I168" i="55"/>
  <c r="F169" i="55"/>
  <c r="M171" i="55"/>
  <c r="M169" i="55"/>
  <c r="K168" i="55"/>
  <c r="E166" i="55"/>
  <c r="K163" i="55"/>
  <c r="F167" i="49"/>
  <c r="G206" i="49" s="1"/>
  <c r="B98" i="31"/>
  <c r="C63" i="21"/>
  <c r="I6" i="59"/>
  <c r="K54" i="53"/>
  <c r="D51" i="53"/>
  <c r="H60" i="53"/>
  <c r="J53" i="53"/>
  <c r="F60" i="53"/>
  <c r="F47" i="45"/>
  <c r="C56" i="45"/>
  <c r="B54" i="45"/>
  <c r="B53" i="45"/>
  <c r="K53" i="45"/>
  <c r="J53" i="45"/>
  <c r="G53" i="45"/>
  <c r="E59" i="45"/>
  <c r="H59" i="45"/>
  <c r="K55" i="45"/>
  <c r="G97" i="33"/>
  <c r="I10" i="51"/>
  <c r="H60" i="45"/>
  <c r="J51" i="45"/>
  <c r="C59" i="45"/>
  <c r="D60" i="45"/>
  <c r="J56" i="45"/>
  <c r="M28" i="36"/>
  <c r="L28" i="36"/>
  <c r="I103" i="31"/>
  <c r="F98" i="23"/>
  <c r="H102" i="9"/>
  <c r="G33" i="19"/>
  <c r="G131" i="33"/>
  <c r="F131" i="33"/>
  <c r="C40" i="17"/>
  <c r="D212" i="17"/>
  <c r="F212" i="17"/>
  <c r="G186" i="53"/>
  <c r="F186" i="53"/>
  <c r="D63" i="33"/>
  <c r="C100" i="31"/>
  <c r="E247" i="27"/>
  <c r="N8" i="27"/>
  <c r="E152" i="41"/>
  <c r="D147" i="41"/>
  <c r="D54" i="11"/>
  <c r="F123" i="43"/>
  <c r="B133" i="43"/>
  <c r="J128" i="43"/>
  <c r="B127" i="43"/>
  <c r="B132" i="43"/>
  <c r="F128" i="43"/>
  <c r="E128" i="43"/>
  <c r="H127" i="43"/>
  <c r="C133" i="43"/>
  <c r="I127" i="43"/>
  <c r="I130" i="43"/>
  <c r="I134" i="43"/>
  <c r="D127" i="43"/>
  <c r="I135" i="43"/>
  <c r="B136" i="43"/>
  <c r="B129" i="43"/>
  <c r="D132" i="43"/>
  <c r="F134" i="43"/>
  <c r="B131" i="43"/>
  <c r="B134" i="43"/>
  <c r="E134" i="43"/>
  <c r="E127" i="43"/>
  <c r="B130" i="43"/>
  <c r="D131" i="43"/>
  <c r="H135" i="43"/>
  <c r="H132" i="43"/>
  <c r="C135" i="43"/>
  <c r="K127" i="43"/>
  <c r="C127" i="43"/>
  <c r="J129" i="43"/>
  <c r="G129" i="43"/>
  <c r="F59" i="53"/>
  <c r="I12" i="41"/>
  <c r="O160" i="75"/>
  <c r="G167" i="75"/>
  <c r="O155" i="75"/>
  <c r="C162" i="75"/>
  <c r="D166" i="75"/>
  <c r="L167" i="75"/>
  <c r="F164" i="75"/>
  <c r="M29" i="42"/>
  <c r="L29" i="42"/>
  <c r="H40" i="51"/>
  <c r="B40" i="51"/>
  <c r="I40" i="51"/>
  <c r="L30" i="32"/>
  <c r="M30" i="32"/>
  <c r="B102" i="25"/>
  <c r="I99" i="25"/>
  <c r="H99" i="25"/>
  <c r="I98" i="25"/>
  <c r="H98" i="25"/>
  <c r="I97" i="25"/>
  <c r="H97" i="25"/>
  <c r="C102" i="25"/>
  <c r="F91" i="25"/>
  <c r="C103" i="25"/>
  <c r="D103" i="25"/>
  <c r="D102" i="25"/>
  <c r="G103" i="25"/>
  <c r="E102" i="25"/>
  <c r="H102" i="25"/>
  <c r="D100" i="25"/>
  <c r="C98" i="25"/>
  <c r="F98" i="25"/>
  <c r="E96" i="25"/>
  <c r="I103" i="25"/>
  <c r="B103" i="25"/>
  <c r="E98" i="25"/>
  <c r="H103" i="25"/>
  <c r="D96" i="25"/>
  <c r="G98" i="25"/>
  <c r="F103" i="25"/>
  <c r="E99" i="25"/>
  <c r="E100" i="25"/>
  <c r="C33" i="23"/>
  <c r="N7" i="19"/>
  <c r="A212" i="19" s="1"/>
  <c r="E246" i="19"/>
  <c r="J7" i="19"/>
  <c r="D84" i="29"/>
  <c r="J7" i="47"/>
  <c r="I7" i="47"/>
  <c r="D110" i="59"/>
  <c r="I106" i="59"/>
  <c r="M32" i="36"/>
  <c r="L32" i="36"/>
  <c r="D85" i="15"/>
  <c r="J126" i="2"/>
  <c r="C122" i="2"/>
  <c r="I166" i="2"/>
  <c r="G162" i="2"/>
  <c r="P245" i="2"/>
  <c r="F135" i="15"/>
  <c r="G193" i="51"/>
  <c r="F193" i="51"/>
  <c r="N207" i="51"/>
  <c r="F215" i="59"/>
  <c r="B214" i="59"/>
  <c r="F211" i="59"/>
  <c r="B210" i="59"/>
  <c r="F207" i="59"/>
  <c r="B206" i="59"/>
  <c r="J204" i="59"/>
  <c r="E215" i="59"/>
  <c r="M213" i="59"/>
  <c r="I212" i="59"/>
  <c r="E211" i="59"/>
  <c r="M209" i="59"/>
  <c r="I208" i="59"/>
  <c r="E207" i="59"/>
  <c r="M205" i="59"/>
  <c r="I204" i="59"/>
  <c r="C215" i="59"/>
  <c r="C211" i="59"/>
  <c r="C207" i="59"/>
  <c r="K205" i="59"/>
  <c r="G204" i="59"/>
  <c r="J214" i="59"/>
  <c r="B212" i="59"/>
  <c r="J210" i="59"/>
  <c r="B208" i="59"/>
  <c r="J206" i="59"/>
  <c r="F205" i="59"/>
  <c r="B204" i="59"/>
  <c r="F198" i="59"/>
  <c r="J215" i="59"/>
  <c r="L213" i="59"/>
  <c r="C212" i="59"/>
  <c r="F210" i="59"/>
  <c r="H208" i="59"/>
  <c r="K206" i="59"/>
  <c r="B205" i="59"/>
  <c r="I215" i="59"/>
  <c r="M211" i="59"/>
  <c r="E210" i="59"/>
  <c r="I206" i="59"/>
  <c r="M204" i="59"/>
  <c r="H215" i="59"/>
  <c r="I213" i="59"/>
  <c r="L211" i="59"/>
  <c r="D210" i="59"/>
  <c r="E208" i="59"/>
  <c r="H206" i="59"/>
  <c r="L204" i="59"/>
  <c r="G215" i="59"/>
  <c r="H213" i="59"/>
  <c r="K211" i="59"/>
  <c r="C210" i="59"/>
  <c r="D208" i="59"/>
  <c r="G206" i="59"/>
  <c r="K204" i="59"/>
  <c r="D215" i="59"/>
  <c r="J211" i="59"/>
  <c r="L209" i="59"/>
  <c r="C208" i="59"/>
  <c r="F206" i="59"/>
  <c r="H204" i="59"/>
  <c r="K214" i="59"/>
  <c r="B213" i="59"/>
  <c r="D211" i="59"/>
  <c r="J207" i="59"/>
  <c r="L205" i="59"/>
  <c r="C204" i="59"/>
  <c r="C213" i="59"/>
  <c r="H210" i="59"/>
  <c r="H207" i="59"/>
  <c r="F204" i="59"/>
  <c r="M215" i="59"/>
  <c r="M212" i="59"/>
  <c r="G210" i="59"/>
  <c r="G207" i="59"/>
  <c r="E204" i="59"/>
  <c r="L215" i="59"/>
  <c r="L212" i="59"/>
  <c r="D207" i="59"/>
  <c r="D204" i="59"/>
  <c r="K215" i="59"/>
  <c r="I209" i="59"/>
  <c r="B207" i="59"/>
  <c r="B215" i="59"/>
  <c r="H212" i="59"/>
  <c r="H209" i="59"/>
  <c r="M206" i="59"/>
  <c r="C214" i="59"/>
  <c r="C209" i="59"/>
  <c r="G205" i="59"/>
  <c r="E213" i="59"/>
  <c r="B209" i="59"/>
  <c r="E205" i="59"/>
  <c r="D213" i="59"/>
  <c r="M208" i="59"/>
  <c r="D205" i="59"/>
  <c r="L208" i="59"/>
  <c r="C205" i="59"/>
  <c r="E212" i="59"/>
  <c r="I211" i="59"/>
  <c r="L207" i="59"/>
  <c r="K210" i="59"/>
  <c r="I210" i="59"/>
  <c r="M214" i="59"/>
  <c r="E209" i="59"/>
  <c r="L214" i="59"/>
  <c r="D209" i="59"/>
  <c r="I214" i="59"/>
  <c r="M207" i="59"/>
  <c r="H214" i="59"/>
  <c r="K207" i="59"/>
  <c r="D214" i="59"/>
  <c r="D206" i="59"/>
  <c r="F214" i="59"/>
  <c r="E214" i="59"/>
  <c r="D212" i="59"/>
  <c r="H211" i="59"/>
  <c r="G211" i="59"/>
  <c r="B211" i="59"/>
  <c r="M210" i="59"/>
  <c r="L206" i="59"/>
  <c r="E206" i="59"/>
  <c r="C206" i="59"/>
  <c r="J205" i="59"/>
  <c r="I205" i="59"/>
  <c r="H205" i="59"/>
  <c r="G214" i="59"/>
  <c r="L210" i="59"/>
  <c r="I207" i="59"/>
  <c r="M36" i="44"/>
  <c r="L36" i="44"/>
  <c r="F57" i="51"/>
  <c r="F51" i="51"/>
  <c r="B59" i="51"/>
  <c r="I55" i="51"/>
  <c r="C416" i="63"/>
  <c r="B198" i="63"/>
  <c r="E416" i="63"/>
  <c r="F171" i="55"/>
  <c r="I172" i="55"/>
  <c r="C170" i="55"/>
  <c r="I167" i="55"/>
  <c r="C165" i="55"/>
  <c r="I7" i="37"/>
  <c r="F142" i="41"/>
  <c r="B150" i="41"/>
  <c r="H149" i="41"/>
  <c r="I154" i="41"/>
  <c r="H146" i="41"/>
  <c r="J150" i="41"/>
  <c r="B149" i="41"/>
  <c r="I147" i="41"/>
  <c r="H147" i="41"/>
  <c r="C147" i="41"/>
  <c r="G149" i="41"/>
  <c r="J146" i="41"/>
  <c r="F146" i="41"/>
  <c r="I150" i="41"/>
  <c r="I149" i="41"/>
  <c r="B155" i="41"/>
  <c r="G147" i="41"/>
  <c r="G155" i="41"/>
  <c r="I152" i="41"/>
  <c r="G146" i="41"/>
  <c r="B146" i="41"/>
  <c r="F153" i="41"/>
  <c r="C153" i="41"/>
  <c r="C154" i="41"/>
  <c r="J151" i="41"/>
  <c r="J153" i="41"/>
  <c r="C151" i="41"/>
  <c r="G152" i="41"/>
  <c r="F150" i="41"/>
  <c r="D150" i="41"/>
  <c r="F151" i="41"/>
  <c r="C149" i="41"/>
  <c r="F148" i="41"/>
  <c r="E146" i="41"/>
  <c r="H148" i="41"/>
  <c r="F149" i="41"/>
  <c r="I146" i="41"/>
  <c r="F152" i="41"/>
  <c r="K150" i="41"/>
  <c r="C98" i="31"/>
  <c r="B58" i="51"/>
  <c r="M29" i="28"/>
  <c r="L29" i="28"/>
  <c r="M28" i="46"/>
  <c r="L28" i="46"/>
  <c r="F101" i="33"/>
  <c r="F134" i="51"/>
  <c r="B132" i="51"/>
  <c r="J128" i="51"/>
  <c r="E134" i="51"/>
  <c r="J131" i="51"/>
  <c r="D134" i="51"/>
  <c r="H131" i="51"/>
  <c r="F128" i="51"/>
  <c r="J136" i="51"/>
  <c r="G131" i="51"/>
  <c r="E128" i="51"/>
  <c r="F122" i="51"/>
  <c r="H136" i="51"/>
  <c r="J130" i="51"/>
  <c r="D128" i="51"/>
  <c r="G135" i="51"/>
  <c r="F130" i="51"/>
  <c r="B130" i="51"/>
  <c r="K133" i="51"/>
  <c r="J129" i="51"/>
  <c r="J133" i="51"/>
  <c r="H129" i="51"/>
  <c r="K128" i="51"/>
  <c r="D132" i="51"/>
  <c r="C132" i="51"/>
  <c r="I130" i="51"/>
  <c r="F136" i="51"/>
  <c r="H130" i="51"/>
  <c r="E136" i="51"/>
  <c r="G130" i="51"/>
  <c r="D136" i="51"/>
  <c r="K129" i="51"/>
  <c r="H135" i="51"/>
  <c r="J127" i="51"/>
  <c r="J135" i="51"/>
  <c r="I135" i="51"/>
  <c r="G129" i="51"/>
  <c r="H132" i="51"/>
  <c r="E132" i="51"/>
  <c r="G132" i="51"/>
  <c r="F132" i="51"/>
  <c r="K127" i="51"/>
  <c r="B136" i="51"/>
  <c r="G186" i="39"/>
  <c r="F186" i="39"/>
  <c r="L38" i="14"/>
  <c r="M38" i="14"/>
  <c r="K212" i="43"/>
  <c r="A222" i="43" s="1"/>
  <c r="A232" i="43" s="1"/>
  <c r="L212" i="43"/>
  <c r="D129" i="2"/>
  <c r="L119" i="2"/>
  <c r="M127" i="2"/>
  <c r="B118" i="2"/>
  <c r="E122" i="2"/>
  <c r="L127" i="2"/>
  <c r="G127" i="2"/>
  <c r="F127" i="2"/>
  <c r="M120" i="2"/>
  <c r="J124" i="2"/>
  <c r="H122" i="2"/>
  <c r="M129" i="2"/>
  <c r="F122" i="2"/>
  <c r="D122" i="2"/>
  <c r="G123" i="2"/>
  <c r="F123" i="2"/>
  <c r="F129" i="2"/>
  <c r="E129" i="2"/>
  <c r="L120" i="2"/>
  <c r="L121" i="2"/>
  <c r="G121" i="2"/>
  <c r="C129" i="2"/>
  <c r="G119" i="2"/>
  <c r="E118" i="2"/>
  <c r="J119" i="2"/>
  <c r="J129" i="2"/>
  <c r="K127" i="2"/>
  <c r="M128" i="2"/>
  <c r="B128" i="2"/>
  <c r="I127" i="2"/>
  <c r="L124" i="2"/>
  <c r="D119" i="2"/>
  <c r="B127" i="2"/>
  <c r="M118" i="2"/>
  <c r="G126" i="2"/>
  <c r="H126" i="2"/>
  <c r="H123" i="2"/>
  <c r="M124" i="2"/>
  <c r="F128" i="2"/>
  <c r="J125" i="2"/>
  <c r="G129" i="2"/>
  <c r="C125" i="2"/>
  <c r="B124" i="2"/>
  <c r="I118" i="2"/>
  <c r="J122" i="2"/>
  <c r="H118" i="2"/>
  <c r="K126" i="2"/>
  <c r="F124" i="2"/>
  <c r="C120" i="2"/>
  <c r="K123" i="2"/>
  <c r="B122" i="2"/>
  <c r="J128" i="2"/>
  <c r="J120" i="2"/>
  <c r="F118" i="2"/>
  <c r="K118" i="2"/>
  <c r="B123" i="2"/>
  <c r="H129" i="2"/>
  <c r="G122" i="2"/>
  <c r="H119" i="2"/>
  <c r="D126" i="2"/>
  <c r="D118" i="2"/>
  <c r="M125" i="2"/>
  <c r="K129" i="2"/>
  <c r="J121" i="2"/>
  <c r="D128" i="2"/>
  <c r="C121" i="2"/>
  <c r="F126" i="2"/>
  <c r="J123" i="2"/>
  <c r="H127" i="2"/>
  <c r="C127" i="2"/>
  <c r="B119" i="2"/>
  <c r="G118" i="2"/>
  <c r="B126" i="2"/>
  <c r="E119" i="2"/>
  <c r="I122" i="2"/>
  <c r="K124" i="2"/>
  <c r="K125" i="2"/>
  <c r="K122" i="2"/>
  <c r="B129" i="2"/>
  <c r="B121" i="2"/>
  <c r="C126" i="2"/>
  <c r="L129" i="2"/>
  <c r="G124" i="2"/>
  <c r="I129" i="2"/>
  <c r="L122" i="2"/>
  <c r="I126" i="2"/>
  <c r="K128" i="2"/>
  <c r="J118" i="2"/>
  <c r="C118" i="2"/>
  <c r="D123" i="2"/>
  <c r="C128" i="2"/>
  <c r="M122" i="2"/>
  <c r="C124" i="2"/>
  <c r="M123" i="2"/>
  <c r="I128" i="2"/>
  <c r="K120" i="2"/>
  <c r="F125" i="2"/>
  <c r="K28" i="58"/>
  <c r="I41" i="47"/>
  <c r="C40" i="47"/>
  <c r="G38" i="47"/>
  <c r="K36" i="47"/>
  <c r="I33" i="47"/>
  <c r="J40" i="47"/>
  <c r="C39" i="47"/>
  <c r="F37" i="47"/>
  <c r="I35" i="47"/>
  <c r="H40" i="47"/>
  <c r="K38" i="47"/>
  <c r="D37" i="47"/>
  <c r="G35" i="47"/>
  <c r="J33" i="47"/>
  <c r="G40" i="47"/>
  <c r="J38" i="47"/>
  <c r="C37" i="47"/>
  <c r="F35" i="47"/>
  <c r="H33" i="47"/>
  <c r="F40" i="47"/>
  <c r="I38" i="47"/>
  <c r="B37" i="47"/>
  <c r="G33" i="47"/>
  <c r="K39" i="47"/>
  <c r="J37" i="47"/>
  <c r="H35" i="47"/>
  <c r="J39" i="47"/>
  <c r="I37" i="47"/>
  <c r="K41" i="47"/>
  <c r="I39" i="47"/>
  <c r="H37" i="47"/>
  <c r="K32" i="47"/>
  <c r="J41" i="47"/>
  <c r="H39" i="47"/>
  <c r="G37" i="47"/>
  <c r="K34" i="47"/>
  <c r="J32" i="47"/>
  <c r="H41" i="47"/>
  <c r="G39" i="47"/>
  <c r="E37" i="47"/>
  <c r="J34" i="47"/>
  <c r="I32" i="47"/>
  <c r="F26" i="47"/>
  <c r="C41" i="47"/>
  <c r="H38" i="47"/>
  <c r="F36" i="47"/>
  <c r="D41" i="47"/>
  <c r="K37" i="47"/>
  <c r="B41" i="47"/>
  <c r="J36" i="47"/>
  <c r="K33" i="47"/>
  <c r="I40" i="47"/>
  <c r="H36" i="47"/>
  <c r="E40" i="47"/>
  <c r="G36" i="47"/>
  <c r="B40" i="47"/>
  <c r="D36" i="47"/>
  <c r="G32" i="47"/>
  <c r="B38" i="47"/>
  <c r="I36" i="47"/>
  <c r="E36" i="47"/>
  <c r="G41" i="47"/>
  <c r="C36" i="47"/>
  <c r="F41" i="47"/>
  <c r="B36" i="47"/>
  <c r="E41" i="47"/>
  <c r="K35" i="47"/>
  <c r="E39" i="47"/>
  <c r="G34" i="47"/>
  <c r="D39" i="47"/>
  <c r="F34" i="47"/>
  <c r="J35" i="47"/>
  <c r="H34" i="47"/>
  <c r="I34" i="47"/>
  <c r="F33" i="47"/>
  <c r="F32" i="47"/>
  <c r="H32" i="47"/>
  <c r="K40" i="47"/>
  <c r="D40" i="47"/>
  <c r="F39" i="47"/>
  <c r="B39" i="47"/>
  <c r="C38" i="47"/>
  <c r="F38" i="47"/>
  <c r="E38" i="47"/>
  <c r="D38" i="47"/>
  <c r="L198" i="93"/>
  <c r="H197" i="93"/>
  <c r="D196" i="93"/>
  <c r="L194" i="93"/>
  <c r="H193" i="93"/>
  <c r="D192" i="93"/>
  <c r="L190" i="93"/>
  <c r="H189" i="93"/>
  <c r="D188" i="93"/>
  <c r="M198" i="93"/>
  <c r="G197" i="93"/>
  <c r="I194" i="93"/>
  <c r="D193" i="93"/>
  <c r="K191" i="93"/>
  <c r="F190" i="93"/>
  <c r="M188" i="93"/>
  <c r="H187" i="93"/>
  <c r="K198" i="93"/>
  <c r="F197" i="93"/>
  <c r="M195" i="93"/>
  <c r="H194" i="93"/>
  <c r="C193" i="93"/>
  <c r="J191" i="93"/>
  <c r="E190" i="93"/>
  <c r="L188" i="93"/>
  <c r="G187" i="93"/>
  <c r="J198" i="93"/>
  <c r="E197" i="93"/>
  <c r="L195" i="93"/>
  <c r="G194" i="93"/>
  <c r="B193" i="93"/>
  <c r="I191" i="93"/>
  <c r="D190" i="93"/>
  <c r="F187" i="93"/>
  <c r="I198" i="93"/>
  <c r="D197" i="93"/>
  <c r="F194" i="93"/>
  <c r="M192" i="93"/>
  <c r="H191" i="93"/>
  <c r="C190" i="93"/>
  <c r="E187" i="93"/>
  <c r="H198" i="93"/>
  <c r="C197" i="93"/>
  <c r="E194" i="93"/>
  <c r="L192" i="93"/>
  <c r="G191" i="93"/>
  <c r="B190" i="93"/>
  <c r="I188" i="93"/>
  <c r="D187" i="93"/>
  <c r="D198" i="93"/>
  <c r="F195" i="93"/>
  <c r="M193" i="93"/>
  <c r="H192" i="93"/>
  <c r="C191" i="93"/>
  <c r="J189" i="93"/>
  <c r="E188" i="93"/>
  <c r="J194" i="93"/>
  <c r="E192" i="93"/>
  <c r="L189" i="93"/>
  <c r="I196" i="93"/>
  <c r="D194" i="93"/>
  <c r="C192" i="93"/>
  <c r="K189" i="93"/>
  <c r="H196" i="93"/>
  <c r="C194" i="93"/>
  <c r="B192" i="93"/>
  <c r="B270" i="93" s="1"/>
  <c r="C315" i="93" s="1"/>
  <c r="I189" i="93"/>
  <c r="I187" i="93"/>
  <c r="G198" i="93"/>
  <c r="G196" i="93"/>
  <c r="B194" i="93"/>
  <c r="M191" i="93"/>
  <c r="G189" i="93"/>
  <c r="F198" i="93"/>
  <c r="F196" i="93"/>
  <c r="L193" i="93"/>
  <c r="L191" i="93"/>
  <c r="F189" i="93"/>
  <c r="M197" i="93"/>
  <c r="H195" i="93"/>
  <c r="G193" i="93"/>
  <c r="B191" i="93"/>
  <c r="B189" i="93"/>
  <c r="E196" i="93"/>
  <c r="J192" i="93"/>
  <c r="C189" i="93"/>
  <c r="I192" i="93"/>
  <c r="H188" i="93"/>
  <c r="I195" i="93"/>
  <c r="G192" i="93"/>
  <c r="G188" i="93"/>
  <c r="G195" i="93"/>
  <c r="F192" i="93"/>
  <c r="F188" i="93"/>
  <c r="E195" i="93"/>
  <c r="F191" i="93"/>
  <c r="I197" i="93"/>
  <c r="I193" i="93"/>
  <c r="G190" i="93"/>
  <c r="K193" i="93"/>
  <c r="M187" i="93"/>
  <c r="J193" i="93"/>
  <c r="L187" i="93"/>
  <c r="E198" i="93"/>
  <c r="F193" i="93"/>
  <c r="C198" i="93"/>
  <c r="E193" i="93"/>
  <c r="B198" i="93"/>
  <c r="K192" i="93"/>
  <c r="L197" i="93"/>
  <c r="E191" i="93"/>
  <c r="J190" i="93"/>
  <c r="I190" i="93"/>
  <c r="H190" i="93"/>
  <c r="K197" i="93"/>
  <c r="M189" i="93"/>
  <c r="J197" i="93"/>
  <c r="E189" i="93"/>
  <c r="F181" i="93"/>
  <c r="B197" i="93"/>
  <c r="M196" i="93"/>
  <c r="L196" i="93"/>
  <c r="D195" i="93"/>
  <c r="M190" i="93"/>
  <c r="M194" i="93"/>
  <c r="K194" i="93"/>
  <c r="D191" i="93"/>
  <c r="K190" i="93"/>
  <c r="D189" i="93"/>
  <c r="C56" i="53"/>
  <c r="K52" i="53"/>
  <c r="B58" i="53"/>
  <c r="I9" i="45"/>
  <c r="K9" i="45" s="1"/>
  <c r="F75" i="27"/>
  <c r="E84" i="27"/>
  <c r="C84" i="27"/>
  <c r="D84" i="27"/>
  <c r="D85" i="27"/>
  <c r="E79" i="27"/>
  <c r="F80" i="27"/>
  <c r="I81" i="27"/>
  <c r="G85" i="27"/>
  <c r="C82" i="27"/>
  <c r="I84" i="27"/>
  <c r="F83" i="27"/>
  <c r="G84" i="27"/>
  <c r="D82" i="27"/>
  <c r="H82" i="27"/>
  <c r="I82" i="27"/>
  <c r="E81" i="27"/>
  <c r="F82" i="27"/>
  <c r="F86" i="27"/>
  <c r="E82" i="27"/>
  <c r="D79" i="27"/>
  <c r="E80" i="27"/>
  <c r="G80" i="27"/>
  <c r="D86" i="27"/>
  <c r="G86" i="27"/>
  <c r="E85" i="27"/>
  <c r="D80" i="27"/>
  <c r="G79" i="27"/>
  <c r="E83" i="27"/>
  <c r="D81" i="27"/>
  <c r="B81" i="27"/>
  <c r="H83" i="27"/>
  <c r="F81" i="27"/>
  <c r="G82" i="27"/>
  <c r="I8" i="23"/>
  <c r="L38" i="44"/>
  <c r="M38" i="44"/>
  <c r="K54" i="39"/>
  <c r="I98" i="31"/>
  <c r="L40" i="20"/>
  <c r="M40" i="20"/>
  <c r="D99" i="9"/>
  <c r="F220" i="27"/>
  <c r="D220" i="27"/>
  <c r="G35" i="19"/>
  <c r="K6" i="37"/>
  <c r="C102" i="23"/>
  <c r="M37" i="48"/>
  <c r="L37" i="48"/>
  <c r="L32" i="34"/>
  <c r="M32" i="34"/>
  <c r="C65" i="33"/>
  <c r="E220" i="27"/>
  <c r="C220" i="27"/>
  <c r="E150" i="41"/>
  <c r="A243" i="37"/>
  <c r="A251" i="37" s="1"/>
  <c r="G60" i="39"/>
  <c r="E57" i="11"/>
  <c r="F57" i="11"/>
  <c r="F49" i="11"/>
  <c r="D56" i="11"/>
  <c r="D58" i="11"/>
  <c r="C56" i="11"/>
  <c r="D59" i="11"/>
  <c r="G57" i="11"/>
  <c r="E55" i="11"/>
  <c r="E59" i="11"/>
  <c r="E54" i="11"/>
  <c r="J51" i="53"/>
  <c r="I167" i="75"/>
  <c r="F157" i="75"/>
  <c r="H162" i="75"/>
  <c r="F168" i="75"/>
  <c r="O162" i="75"/>
  <c r="I165" i="75"/>
  <c r="H215" i="71"/>
  <c r="D214" i="71"/>
  <c r="L212" i="71"/>
  <c r="H211" i="71"/>
  <c r="D210" i="71"/>
  <c r="L208" i="71"/>
  <c r="H207" i="71"/>
  <c r="D206" i="71"/>
  <c r="L204" i="71"/>
  <c r="G215" i="71"/>
  <c r="C214" i="71"/>
  <c r="G211" i="71"/>
  <c r="C210" i="71"/>
  <c r="G207" i="71"/>
  <c r="C206" i="71"/>
  <c r="K204" i="71"/>
  <c r="F215" i="71"/>
  <c r="B214" i="71"/>
  <c r="F211" i="71"/>
  <c r="B210" i="71"/>
  <c r="F207" i="71"/>
  <c r="B206" i="71"/>
  <c r="J204" i="71"/>
  <c r="E215" i="71"/>
  <c r="M213" i="71"/>
  <c r="I212" i="71"/>
  <c r="E211" i="71"/>
  <c r="M209" i="71"/>
  <c r="I208" i="71"/>
  <c r="E207" i="71"/>
  <c r="M205" i="71"/>
  <c r="I204" i="71"/>
  <c r="D215" i="71"/>
  <c r="L213" i="71"/>
  <c r="H212" i="71"/>
  <c r="D211" i="71"/>
  <c r="L209" i="71"/>
  <c r="H208" i="71"/>
  <c r="D207" i="71"/>
  <c r="L205" i="71"/>
  <c r="H204" i="71"/>
  <c r="C215" i="71"/>
  <c r="C211" i="71"/>
  <c r="C207" i="71"/>
  <c r="K205" i="71"/>
  <c r="G204" i="71"/>
  <c r="F214" i="71"/>
  <c r="B212" i="71"/>
  <c r="L207" i="71"/>
  <c r="H205" i="71"/>
  <c r="E214" i="71"/>
  <c r="M211" i="71"/>
  <c r="I209" i="71"/>
  <c r="K207" i="71"/>
  <c r="G205" i="71"/>
  <c r="L211" i="71"/>
  <c r="H209" i="71"/>
  <c r="J207" i="71"/>
  <c r="F205" i="71"/>
  <c r="M215" i="71"/>
  <c r="I213" i="71"/>
  <c r="K211" i="71"/>
  <c r="I207" i="71"/>
  <c r="E205" i="71"/>
  <c r="L215" i="71"/>
  <c r="H213" i="71"/>
  <c r="J211" i="71"/>
  <c r="B207" i="71"/>
  <c r="D205" i="71"/>
  <c r="B215" i="71"/>
  <c r="D213" i="71"/>
  <c r="L210" i="71"/>
  <c r="B209" i="71"/>
  <c r="J206" i="71"/>
  <c r="F204" i="71"/>
  <c r="G214" i="71"/>
  <c r="I210" i="71"/>
  <c r="L206" i="71"/>
  <c r="H210" i="71"/>
  <c r="K206" i="71"/>
  <c r="G210" i="71"/>
  <c r="I206" i="71"/>
  <c r="E213" i="71"/>
  <c r="F210" i="71"/>
  <c r="H206" i="71"/>
  <c r="C213" i="71"/>
  <c r="E210" i="71"/>
  <c r="G206" i="71"/>
  <c r="F198" i="71"/>
  <c r="J215" i="71"/>
  <c r="E212" i="71"/>
  <c r="M208" i="71"/>
  <c r="I205" i="71"/>
  <c r="I215" i="71"/>
  <c r="J210" i="71"/>
  <c r="M204" i="71"/>
  <c r="M214" i="71"/>
  <c r="E209" i="71"/>
  <c r="E204" i="71"/>
  <c r="L214" i="71"/>
  <c r="D209" i="71"/>
  <c r="D204" i="71"/>
  <c r="K214" i="71"/>
  <c r="C209" i="71"/>
  <c r="C204" i="71"/>
  <c r="J214" i="71"/>
  <c r="B204" i="71"/>
  <c r="M212" i="71"/>
  <c r="B208" i="71"/>
  <c r="C212" i="71"/>
  <c r="I211" i="71"/>
  <c r="B211" i="71"/>
  <c r="M210" i="71"/>
  <c r="K210" i="71"/>
  <c r="E208" i="71"/>
  <c r="D208" i="71"/>
  <c r="M207" i="71"/>
  <c r="C208" i="71"/>
  <c r="M206" i="71"/>
  <c r="F206" i="71"/>
  <c r="E206" i="71"/>
  <c r="J205" i="71"/>
  <c r="C205" i="71"/>
  <c r="K215" i="71"/>
  <c r="I214" i="71"/>
  <c r="H214" i="71"/>
  <c r="B213" i="71"/>
  <c r="D212" i="71"/>
  <c r="B205" i="71"/>
  <c r="I6" i="51"/>
  <c r="K7" i="43"/>
  <c r="C211" i="37"/>
  <c r="L212" i="37"/>
  <c r="K212" i="37"/>
  <c r="A222" i="37" s="1"/>
  <c r="A232" i="37" s="1"/>
  <c r="L39" i="64"/>
  <c r="M39" i="64"/>
  <c r="I6" i="31"/>
  <c r="J6" i="31" s="1"/>
  <c r="C36" i="51"/>
  <c r="F79" i="27"/>
  <c r="D100" i="23"/>
  <c r="C35" i="23"/>
  <c r="H119" i="5"/>
  <c r="H121" i="5"/>
  <c r="B55" i="39"/>
  <c r="J179" i="29"/>
  <c r="C103" i="19"/>
  <c r="F80" i="19"/>
  <c r="M37" i="6"/>
  <c r="L37" i="6"/>
  <c r="B83" i="29"/>
  <c r="B104" i="59"/>
  <c r="E109" i="59"/>
  <c r="L244" i="43"/>
  <c r="I153" i="19"/>
  <c r="A161" i="19" s="1"/>
  <c r="A169" i="19" s="1"/>
  <c r="D151" i="19"/>
  <c r="C151" i="19"/>
  <c r="J153" i="19"/>
  <c r="I152" i="19"/>
  <c r="A160" i="19" s="1"/>
  <c r="A168" i="19" s="1"/>
  <c r="J152" i="19"/>
  <c r="C82" i="15"/>
  <c r="B120" i="2"/>
  <c r="G128" i="2"/>
  <c r="M29" i="4"/>
  <c r="L29" i="4"/>
  <c r="K166" i="2"/>
  <c r="C170" i="2"/>
  <c r="A245" i="2"/>
  <c r="G229" i="2"/>
  <c r="F374" i="3"/>
  <c r="D374" i="3"/>
  <c r="M36" i="78"/>
  <c r="L36" i="78"/>
  <c r="H235" i="77"/>
  <c r="K228" i="77"/>
  <c r="H226" i="77"/>
  <c r="D230" i="77"/>
  <c r="D235" i="77"/>
  <c r="G152" i="87"/>
  <c r="F152" i="87"/>
  <c r="L164" i="87"/>
  <c r="G151" i="87"/>
  <c r="F151" i="87"/>
  <c r="J53" i="97"/>
  <c r="F52" i="97"/>
  <c r="B51" i="97"/>
  <c r="J49" i="97"/>
  <c r="F48" i="97"/>
  <c r="B47" i="97"/>
  <c r="B293" i="97" s="1"/>
  <c r="C338" i="97" s="1"/>
  <c r="J45" i="97"/>
  <c r="F44" i="97"/>
  <c r="I53" i="97"/>
  <c r="E52" i="97"/>
  <c r="M50" i="97"/>
  <c r="I49" i="97"/>
  <c r="E48" i="97"/>
  <c r="M46" i="97"/>
  <c r="I45" i="97"/>
  <c r="M42" i="97"/>
  <c r="E53" i="97"/>
  <c r="M51" i="97"/>
  <c r="I50" i="97"/>
  <c r="E49" i="97"/>
  <c r="M47" i="97"/>
  <c r="I46" i="97"/>
  <c r="I292" i="97" s="1"/>
  <c r="J337" i="97" s="1"/>
  <c r="M43" i="97"/>
  <c r="I42" i="97"/>
  <c r="J52" i="97"/>
  <c r="C51" i="97"/>
  <c r="F49" i="97"/>
  <c r="F295" i="97" s="1"/>
  <c r="G340" i="97" s="1"/>
  <c r="J47" i="97"/>
  <c r="C46" i="97"/>
  <c r="H44" i="97"/>
  <c r="K42" i="97"/>
  <c r="H52" i="97"/>
  <c r="H298" i="97" s="1"/>
  <c r="I343" i="97" s="1"/>
  <c r="K50" i="97"/>
  <c r="C49" i="97"/>
  <c r="H47" i="97"/>
  <c r="H293" i="97" s="1"/>
  <c r="I338" i="97" s="1"/>
  <c r="M45" i="97"/>
  <c r="H42" i="97"/>
  <c r="M53" i="97"/>
  <c r="D52" i="97"/>
  <c r="H50" i="97"/>
  <c r="M48" i="97"/>
  <c r="F47" i="97"/>
  <c r="K45" i="97"/>
  <c r="F42" i="97"/>
  <c r="F288" i="97" s="1"/>
  <c r="G333" i="97" s="1"/>
  <c r="L53" i="97"/>
  <c r="C52" i="97"/>
  <c r="G50" i="97"/>
  <c r="L48" i="97"/>
  <c r="L294" i="97" s="1"/>
  <c r="M339" i="97" s="1"/>
  <c r="E47" i="97"/>
  <c r="H45" i="97"/>
  <c r="L43" i="97"/>
  <c r="F36" i="97"/>
  <c r="K51" i="97"/>
  <c r="L49" i="97"/>
  <c r="L295" i="97" s="1"/>
  <c r="M340" i="97" s="1"/>
  <c r="I47" i="97"/>
  <c r="I293" i="97" s="1"/>
  <c r="J338" i="97" s="1"/>
  <c r="J51" i="97"/>
  <c r="K49" i="97"/>
  <c r="G47" i="97"/>
  <c r="K53" i="97"/>
  <c r="I51" i="97"/>
  <c r="H49" i="97"/>
  <c r="D47" i="97"/>
  <c r="H53" i="97"/>
  <c r="H51" i="97"/>
  <c r="G49" i="97"/>
  <c r="G295" i="97" s="1"/>
  <c r="H340" i="97" s="1"/>
  <c r="C47" i="97"/>
  <c r="C293" i="97" s="1"/>
  <c r="D338" i="97" s="1"/>
  <c r="M44" i="97"/>
  <c r="L42" i="97"/>
  <c r="G53" i="97"/>
  <c r="G51" i="97"/>
  <c r="D49" i="97"/>
  <c r="L46" i="97"/>
  <c r="L44" i="97"/>
  <c r="J42" i="97"/>
  <c r="B53" i="97"/>
  <c r="L50" i="97"/>
  <c r="I48" i="97"/>
  <c r="G46" i="97"/>
  <c r="G44" i="97"/>
  <c r="B52" i="97"/>
  <c r="G48" i="97"/>
  <c r="G294" i="97" s="1"/>
  <c r="H339" i="97" s="1"/>
  <c r="K44" i="97"/>
  <c r="L51" i="97"/>
  <c r="D48" i="97"/>
  <c r="J44" i="97"/>
  <c r="F51" i="97"/>
  <c r="C48" i="97"/>
  <c r="I44" i="97"/>
  <c r="E51" i="97"/>
  <c r="B48" i="97"/>
  <c r="D51" i="97"/>
  <c r="L47" i="97"/>
  <c r="K43" i="97"/>
  <c r="F53" i="97"/>
  <c r="D50" i="97"/>
  <c r="H46" i="97"/>
  <c r="G43" i="97"/>
  <c r="G289" i="97" s="1"/>
  <c r="H334" i="97" s="1"/>
  <c r="J48" i="97"/>
  <c r="G42" i="97"/>
  <c r="G288" i="97" s="1"/>
  <c r="H333" i="97" s="1"/>
  <c r="D53" i="97"/>
  <c r="H48" i="97"/>
  <c r="C53" i="97"/>
  <c r="K47" i="97"/>
  <c r="M52" i="97"/>
  <c r="K46" i="97"/>
  <c r="L52" i="97"/>
  <c r="J46" i="97"/>
  <c r="B50" i="97"/>
  <c r="J43" i="97"/>
  <c r="E46" i="97"/>
  <c r="D46" i="97"/>
  <c r="B46" i="97"/>
  <c r="B292" i="97" s="1"/>
  <c r="C337" i="97" s="1"/>
  <c r="L45" i="97"/>
  <c r="G45" i="97"/>
  <c r="K52" i="97"/>
  <c r="F45" i="97"/>
  <c r="F46" i="97"/>
  <c r="I43" i="97"/>
  <c r="H43" i="97"/>
  <c r="F43" i="97"/>
  <c r="J50" i="97"/>
  <c r="E50" i="97"/>
  <c r="C50" i="97"/>
  <c r="M49" i="97"/>
  <c r="B49" i="97"/>
  <c r="K48" i="97"/>
  <c r="F50" i="97"/>
  <c r="I52" i="97"/>
  <c r="I298" i="97" s="1"/>
  <c r="J343" i="97" s="1"/>
  <c r="G52" i="97"/>
  <c r="C76" i="79"/>
  <c r="L71" i="79"/>
  <c r="I70" i="79"/>
  <c r="O67" i="79"/>
  <c r="H76" i="79"/>
  <c r="C71" i="79"/>
  <c r="O64" i="79"/>
  <c r="M69" i="79"/>
  <c r="D72" i="79"/>
  <c r="H173" i="71"/>
  <c r="D172" i="71"/>
  <c r="L170" i="71"/>
  <c r="H169" i="71"/>
  <c r="D168" i="71"/>
  <c r="L166" i="71"/>
  <c r="H165" i="71"/>
  <c r="L162" i="71"/>
  <c r="G173" i="71"/>
  <c r="C172" i="71"/>
  <c r="G169" i="71"/>
  <c r="C168" i="71"/>
  <c r="K166" i="71"/>
  <c r="G165" i="71"/>
  <c r="C164" i="71"/>
  <c r="K162" i="71"/>
  <c r="F173" i="71"/>
  <c r="B172" i="71"/>
  <c r="F169" i="71"/>
  <c r="B168" i="71"/>
  <c r="J166" i="71"/>
  <c r="F165" i="71"/>
  <c r="B164" i="71"/>
  <c r="J162" i="71"/>
  <c r="E173" i="71"/>
  <c r="M171" i="71"/>
  <c r="I170" i="71"/>
  <c r="E169" i="71"/>
  <c r="M167" i="71"/>
  <c r="I166" i="71"/>
  <c r="M163" i="71"/>
  <c r="I162" i="71"/>
  <c r="D173" i="71"/>
  <c r="L171" i="71"/>
  <c r="H170" i="71"/>
  <c r="D169" i="71"/>
  <c r="L167" i="71"/>
  <c r="H166" i="71"/>
  <c r="L163" i="71"/>
  <c r="H162" i="71"/>
  <c r="C173" i="71"/>
  <c r="G170" i="71"/>
  <c r="C169" i="71"/>
  <c r="K167" i="71"/>
  <c r="G166" i="71"/>
  <c r="C165" i="71"/>
  <c r="K163" i="71"/>
  <c r="G162" i="71"/>
  <c r="I172" i="71"/>
  <c r="G168" i="71"/>
  <c r="C166" i="71"/>
  <c r="H172" i="71"/>
  <c r="F168" i="71"/>
  <c r="B166" i="71"/>
  <c r="J163" i="71"/>
  <c r="G172" i="71"/>
  <c r="C170" i="71"/>
  <c r="E168" i="71"/>
  <c r="M165" i="71"/>
  <c r="I163" i="71"/>
  <c r="F172" i="71"/>
  <c r="B170" i="71"/>
  <c r="J167" i="71"/>
  <c r="L165" i="71"/>
  <c r="H163" i="71"/>
  <c r="E172" i="71"/>
  <c r="M169" i="71"/>
  <c r="I167" i="71"/>
  <c r="G163" i="71"/>
  <c r="K173" i="71"/>
  <c r="G171" i="71"/>
  <c r="I169" i="71"/>
  <c r="E167" i="71"/>
  <c r="M164" i="71"/>
  <c r="C163" i="71"/>
  <c r="L172" i="71"/>
  <c r="B169" i="71"/>
  <c r="D166" i="71"/>
  <c r="F162" i="71"/>
  <c r="K172" i="71"/>
  <c r="M168" i="71"/>
  <c r="E162" i="71"/>
  <c r="J172" i="71"/>
  <c r="L168" i="71"/>
  <c r="I165" i="71"/>
  <c r="D162" i="71"/>
  <c r="K168" i="71"/>
  <c r="B165" i="71"/>
  <c r="C162" i="71"/>
  <c r="I171" i="71"/>
  <c r="J168" i="71"/>
  <c r="L164" i="71"/>
  <c r="B162" i="71"/>
  <c r="G167" i="71"/>
  <c r="H164" i="71"/>
  <c r="F156" i="71"/>
  <c r="L169" i="71"/>
  <c r="G164" i="71"/>
  <c r="K169" i="71"/>
  <c r="F164" i="71"/>
  <c r="J169" i="71"/>
  <c r="F163" i="71"/>
  <c r="M173" i="71"/>
  <c r="I168" i="71"/>
  <c r="E163" i="71"/>
  <c r="L173" i="71"/>
  <c r="H168" i="71"/>
  <c r="D163" i="71"/>
  <c r="M172" i="71"/>
  <c r="C167" i="71"/>
  <c r="B173" i="71"/>
  <c r="H171" i="71"/>
  <c r="I164" i="71"/>
  <c r="F171" i="71"/>
  <c r="B163" i="71"/>
  <c r="M162" i="71"/>
  <c r="C171" i="71"/>
  <c r="B171" i="71"/>
  <c r="M170" i="71"/>
  <c r="H167" i="71"/>
  <c r="E166" i="71"/>
  <c r="I173" i="71"/>
  <c r="J173" i="71"/>
  <c r="D167" i="71"/>
  <c r="B167" i="71"/>
  <c r="M166" i="71"/>
  <c r="F166" i="71"/>
  <c r="F170" i="71"/>
  <c r="F167" i="71"/>
  <c r="H12" i="97"/>
  <c r="K72" i="79"/>
  <c r="G252" i="73"/>
  <c r="F252" i="73"/>
  <c r="O73" i="79"/>
  <c r="F296" i="77"/>
  <c r="G347" i="77" s="1"/>
  <c r="I227" i="63"/>
  <c r="J272" i="63" s="1"/>
  <c r="H223" i="65"/>
  <c r="I268" i="65" s="1"/>
  <c r="I10" i="93"/>
  <c r="K11" i="83"/>
  <c r="I134" i="75"/>
  <c r="D139" i="75"/>
  <c r="D143" i="75"/>
  <c r="N140" i="75"/>
  <c r="M145" i="75"/>
  <c r="E136" i="75"/>
  <c r="N133" i="75"/>
  <c r="K30" i="82"/>
  <c r="M37" i="90"/>
  <c r="L37" i="90"/>
  <c r="F71" i="79"/>
  <c r="M31" i="60"/>
  <c r="L31" i="60"/>
  <c r="F124" i="53"/>
  <c r="K133" i="53"/>
  <c r="E127" i="53"/>
  <c r="J133" i="53"/>
  <c r="D127" i="53"/>
  <c r="H133" i="53"/>
  <c r="B127" i="53"/>
  <c r="G133" i="53"/>
  <c r="I131" i="53"/>
  <c r="B135" i="53"/>
  <c r="K134" i="53"/>
  <c r="E134" i="53"/>
  <c r="D134" i="53"/>
  <c r="I133" i="53"/>
  <c r="E132" i="53"/>
  <c r="C130" i="53"/>
  <c r="G129" i="53"/>
  <c r="I136" i="53"/>
  <c r="C131" i="53"/>
  <c r="B131" i="53"/>
  <c r="F129" i="53"/>
  <c r="C129" i="53"/>
  <c r="B129" i="53"/>
  <c r="C127" i="53"/>
  <c r="C42" i="73"/>
  <c r="K37" i="73"/>
  <c r="B40" i="73"/>
  <c r="B223" i="73" s="1"/>
  <c r="C268" i="73" s="1"/>
  <c r="D47" i="73"/>
  <c r="M45" i="73"/>
  <c r="L41" i="73"/>
  <c r="I39" i="73"/>
  <c r="F29" i="51"/>
  <c r="K40" i="51"/>
  <c r="G40" i="51"/>
  <c r="G36" i="51"/>
  <c r="F40" i="51"/>
  <c r="I36" i="51"/>
  <c r="H36" i="51"/>
  <c r="F39" i="51"/>
  <c r="D40" i="51"/>
  <c r="H41" i="51"/>
  <c r="I32" i="51"/>
  <c r="H37" i="51"/>
  <c r="D37" i="51"/>
  <c r="H38" i="51"/>
  <c r="B39" i="51"/>
  <c r="G41" i="51"/>
  <c r="I35" i="51"/>
  <c r="K34" i="51"/>
  <c r="D36" i="51"/>
  <c r="K32" i="51"/>
  <c r="I39" i="51"/>
  <c r="K33" i="51"/>
  <c r="F32" i="51"/>
  <c r="K38" i="51"/>
  <c r="J37" i="51"/>
  <c r="C40" i="51"/>
  <c r="J38" i="51"/>
  <c r="J32" i="51"/>
  <c r="J40" i="51"/>
  <c r="B36" i="51"/>
  <c r="D41" i="51"/>
  <c r="C37" i="51"/>
  <c r="G38" i="51"/>
  <c r="K37" i="51"/>
  <c r="F41" i="51"/>
  <c r="H35" i="51"/>
  <c r="B37" i="51"/>
  <c r="F38" i="51"/>
  <c r="G32" i="51"/>
  <c r="E36" i="51"/>
  <c r="H39" i="51"/>
  <c r="J33" i="51"/>
  <c r="H34" i="51"/>
  <c r="H33" i="51"/>
  <c r="B38" i="51"/>
  <c r="I34" i="51"/>
  <c r="I37" i="51"/>
  <c r="K39" i="51"/>
  <c r="E38" i="51"/>
  <c r="K41" i="51"/>
  <c r="K35" i="51"/>
  <c r="E41" i="51"/>
  <c r="I33" i="51"/>
  <c r="F34" i="51"/>
  <c r="E40" i="51"/>
  <c r="G10" i="81"/>
  <c r="G191" i="51"/>
  <c r="F191" i="51"/>
  <c r="N205" i="51"/>
  <c r="C204" i="65"/>
  <c r="J213" i="65"/>
  <c r="I215" i="65"/>
  <c r="D213" i="65"/>
  <c r="F213" i="65"/>
  <c r="K212" i="65"/>
  <c r="E68" i="87"/>
  <c r="G65" i="87"/>
  <c r="B70" i="87"/>
  <c r="K9" i="77"/>
  <c r="F258" i="73"/>
  <c r="G258" i="73"/>
  <c r="P274" i="73"/>
  <c r="E110" i="63"/>
  <c r="F108" i="63"/>
  <c r="B106" i="63"/>
  <c r="K103" i="63"/>
  <c r="L101" i="63"/>
  <c r="I99" i="63"/>
  <c r="C110" i="63"/>
  <c r="E108" i="63"/>
  <c r="M105" i="63"/>
  <c r="J103" i="63"/>
  <c r="K101" i="63"/>
  <c r="G99" i="63"/>
  <c r="K108" i="63"/>
  <c r="C105" i="63"/>
  <c r="C102" i="63"/>
  <c r="J108" i="63"/>
  <c r="B105" i="63"/>
  <c r="B102" i="63"/>
  <c r="I108" i="63"/>
  <c r="K104" i="63"/>
  <c r="M101" i="63"/>
  <c r="F94" i="63"/>
  <c r="H108" i="63"/>
  <c r="H228" i="63" s="1"/>
  <c r="I273" i="63" s="1"/>
  <c r="J104" i="63"/>
  <c r="B101" i="63"/>
  <c r="G108" i="63"/>
  <c r="M100" i="63"/>
  <c r="M110" i="63"/>
  <c r="C107" i="63"/>
  <c r="E104" i="63"/>
  <c r="G100" i="63"/>
  <c r="C106" i="63"/>
  <c r="E100" i="63"/>
  <c r="G110" i="63"/>
  <c r="G230" i="63" s="1"/>
  <c r="H275" i="63" s="1"/>
  <c r="K99" i="63"/>
  <c r="F110" i="63"/>
  <c r="F230" i="63" s="1"/>
  <c r="G275" i="63" s="1"/>
  <c r="J99" i="63"/>
  <c r="K109" i="63"/>
  <c r="C99" i="63"/>
  <c r="J109" i="63"/>
  <c r="B99" i="63"/>
  <c r="B109" i="63"/>
  <c r="D103" i="63"/>
  <c r="M106" i="63"/>
  <c r="E106" i="63"/>
  <c r="E226" i="63" s="1"/>
  <c r="F271" i="63" s="1"/>
  <c r="E103" i="63"/>
  <c r="C103" i="63"/>
  <c r="E102" i="63"/>
  <c r="E107" i="63"/>
  <c r="B107" i="63"/>
  <c r="M102" i="63"/>
  <c r="G102" i="63"/>
  <c r="F102" i="63"/>
  <c r="K100" i="63"/>
  <c r="I100" i="63"/>
  <c r="M108" i="63"/>
  <c r="G107" i="63"/>
  <c r="F107" i="63"/>
  <c r="H100" i="63"/>
  <c r="F100" i="63"/>
  <c r="I109" i="63"/>
  <c r="M40" i="66"/>
  <c r="L40" i="66"/>
  <c r="C275" i="75"/>
  <c r="C273" i="75"/>
  <c r="B271" i="75"/>
  <c r="I274" i="75"/>
  <c r="N271" i="75"/>
  <c r="B272" i="75"/>
  <c r="I272" i="75"/>
  <c r="E273" i="75"/>
  <c r="B279" i="75"/>
  <c r="F272" i="75"/>
  <c r="M275" i="75"/>
  <c r="L41" i="94"/>
  <c r="M41" i="94"/>
  <c r="I7" i="75"/>
  <c r="J7" i="75" s="1"/>
  <c r="O98" i="79"/>
  <c r="M97" i="79"/>
  <c r="K96" i="79"/>
  <c r="I95" i="79"/>
  <c r="N98" i="79"/>
  <c r="L97" i="79"/>
  <c r="J96" i="79"/>
  <c r="H95" i="79"/>
  <c r="F94" i="79"/>
  <c r="D93" i="79"/>
  <c r="B92" i="79"/>
  <c r="B293" i="79" s="1"/>
  <c r="C344" i="79" s="1"/>
  <c r="N90" i="79"/>
  <c r="L89" i="79"/>
  <c r="J88" i="79"/>
  <c r="H87" i="79"/>
  <c r="F86" i="79"/>
  <c r="F287" i="79" s="1"/>
  <c r="G338" i="79" s="1"/>
  <c r="O99" i="79"/>
  <c r="M98" i="79"/>
  <c r="K97" i="79"/>
  <c r="I96" i="79"/>
  <c r="G95" i="79"/>
  <c r="E94" i="79"/>
  <c r="C93" i="79"/>
  <c r="O91" i="79"/>
  <c r="M90" i="79"/>
  <c r="K89" i="79"/>
  <c r="I88" i="79"/>
  <c r="I289" i="79" s="1"/>
  <c r="J340" i="79" s="1"/>
  <c r="G87" i="79"/>
  <c r="E86" i="79"/>
  <c r="K99" i="79"/>
  <c r="I98" i="79"/>
  <c r="G97" i="79"/>
  <c r="E96" i="79"/>
  <c r="C95" i="79"/>
  <c r="O93" i="79"/>
  <c r="M92" i="79"/>
  <c r="K91" i="79"/>
  <c r="G89" i="79"/>
  <c r="E88" i="79"/>
  <c r="C87" i="79"/>
  <c r="M99" i="79"/>
  <c r="F98" i="79"/>
  <c r="N96" i="79"/>
  <c r="E95" i="79"/>
  <c r="M93" i="79"/>
  <c r="C91" i="79"/>
  <c r="J89" i="79"/>
  <c r="D88" i="79"/>
  <c r="M86" i="79"/>
  <c r="L99" i="79"/>
  <c r="E98" i="79"/>
  <c r="M96" i="79"/>
  <c r="D95" i="79"/>
  <c r="L93" i="79"/>
  <c r="B91" i="79"/>
  <c r="B292" i="79" s="1"/>
  <c r="C343" i="79" s="1"/>
  <c r="I89" i="79"/>
  <c r="C88" i="79"/>
  <c r="L86" i="79"/>
  <c r="L287" i="79" s="1"/>
  <c r="M338" i="79" s="1"/>
  <c r="J99" i="79"/>
  <c r="J300" i="79" s="1"/>
  <c r="K351" i="79" s="1"/>
  <c r="D98" i="79"/>
  <c r="L96" i="79"/>
  <c r="B95" i="79"/>
  <c r="K93" i="79"/>
  <c r="O90" i="79"/>
  <c r="H89" i="79"/>
  <c r="B88" i="79"/>
  <c r="K86" i="79"/>
  <c r="I99" i="79"/>
  <c r="C98" i="79"/>
  <c r="H96" i="79"/>
  <c r="O94" i="79"/>
  <c r="O295" i="79" s="1"/>
  <c r="P346" i="79" s="1"/>
  <c r="J93" i="79"/>
  <c r="E92" i="79"/>
  <c r="E293" i="79" s="1"/>
  <c r="F344" i="79" s="1"/>
  <c r="L90" i="79"/>
  <c r="F89" i="79"/>
  <c r="O87" i="79"/>
  <c r="J86" i="79"/>
  <c r="H99" i="79"/>
  <c r="B98" i="79"/>
  <c r="B299" i="79" s="1"/>
  <c r="C350" i="79" s="1"/>
  <c r="G96" i="79"/>
  <c r="N94" i="79"/>
  <c r="D92" i="79"/>
  <c r="K90" i="79"/>
  <c r="E89" i="79"/>
  <c r="N87" i="79"/>
  <c r="I86" i="79"/>
  <c r="G99" i="79"/>
  <c r="O97" i="79"/>
  <c r="F96" i="79"/>
  <c r="M94" i="79"/>
  <c r="C92" i="79"/>
  <c r="J90" i="79"/>
  <c r="J291" i="79" s="1"/>
  <c r="K342" i="79" s="1"/>
  <c r="D89" i="79"/>
  <c r="M87" i="79"/>
  <c r="H86" i="79"/>
  <c r="H97" i="79"/>
  <c r="H298" i="79" s="1"/>
  <c r="I349" i="79" s="1"/>
  <c r="F95" i="79"/>
  <c r="K98" i="79"/>
  <c r="B96" i="79"/>
  <c r="B297" i="79" s="1"/>
  <c r="C348" i="79" s="1"/>
  <c r="B94" i="79"/>
  <c r="C89" i="79"/>
  <c r="D87" i="79"/>
  <c r="E99" i="79"/>
  <c r="O96" i="79"/>
  <c r="C94" i="79"/>
  <c r="O88" i="79"/>
  <c r="O289" i="79" s="1"/>
  <c r="P340" i="79" s="1"/>
  <c r="N86" i="79"/>
  <c r="N287" i="79" s="1"/>
  <c r="O338" i="79" s="1"/>
  <c r="D99" i="79"/>
  <c r="D300" i="79" s="1"/>
  <c r="E351" i="79" s="1"/>
  <c r="D96" i="79"/>
  <c r="N93" i="79"/>
  <c r="N88" i="79"/>
  <c r="G86" i="79"/>
  <c r="C99" i="79"/>
  <c r="C96" i="79"/>
  <c r="M88" i="79"/>
  <c r="D86" i="79"/>
  <c r="B99" i="79"/>
  <c r="O95" i="79"/>
  <c r="E91" i="79"/>
  <c r="L88" i="79"/>
  <c r="C86" i="79"/>
  <c r="L98" i="79"/>
  <c r="N95" i="79"/>
  <c r="N296" i="79" s="1"/>
  <c r="O347" i="79" s="1"/>
  <c r="E93" i="79"/>
  <c r="D91" i="79"/>
  <c r="K88" i="79"/>
  <c r="B86" i="79"/>
  <c r="J98" i="79"/>
  <c r="M95" i="79"/>
  <c r="B93" i="79"/>
  <c r="H88" i="79"/>
  <c r="K95" i="79"/>
  <c r="M91" i="79"/>
  <c r="K87" i="79"/>
  <c r="J95" i="79"/>
  <c r="L91" i="79"/>
  <c r="J87" i="79"/>
  <c r="L94" i="79"/>
  <c r="J91" i="79"/>
  <c r="I87" i="79"/>
  <c r="I288" i="79" s="1"/>
  <c r="J339" i="79" s="1"/>
  <c r="N99" i="79"/>
  <c r="K94" i="79"/>
  <c r="F87" i="79"/>
  <c r="F288" i="79" s="1"/>
  <c r="G339" i="79" s="1"/>
  <c r="F99" i="79"/>
  <c r="J94" i="79"/>
  <c r="E87" i="79"/>
  <c r="J97" i="79"/>
  <c r="D94" i="79"/>
  <c r="B90" i="79"/>
  <c r="G94" i="79"/>
  <c r="F88" i="79"/>
  <c r="O92" i="79"/>
  <c r="L87" i="79"/>
  <c r="N92" i="79"/>
  <c r="B87" i="79"/>
  <c r="L92" i="79"/>
  <c r="L293" i="79" s="1"/>
  <c r="M344" i="79" s="1"/>
  <c r="O86" i="79"/>
  <c r="H98" i="79"/>
  <c r="K92" i="79"/>
  <c r="F97" i="79"/>
  <c r="E90" i="79"/>
  <c r="F80" i="79"/>
  <c r="I97" i="79"/>
  <c r="B89" i="79"/>
  <c r="E97" i="79"/>
  <c r="G88" i="79"/>
  <c r="D97" i="79"/>
  <c r="C97" i="79"/>
  <c r="B97" i="79"/>
  <c r="B298" i="79" s="1"/>
  <c r="C349" i="79" s="1"/>
  <c r="J92" i="79"/>
  <c r="J293" i="79" s="1"/>
  <c r="K344" i="79" s="1"/>
  <c r="N91" i="79"/>
  <c r="G98" i="79"/>
  <c r="L95" i="79"/>
  <c r="C90" i="79"/>
  <c r="O89" i="79"/>
  <c r="O290" i="79" s="1"/>
  <c r="P341" i="79" s="1"/>
  <c r="N89" i="79"/>
  <c r="N290" i="79" s="1"/>
  <c r="O341" i="79" s="1"/>
  <c r="M89" i="79"/>
  <c r="N97" i="79"/>
  <c r="I94" i="79"/>
  <c r="H94" i="79"/>
  <c r="D90" i="79"/>
  <c r="I57" i="73"/>
  <c r="L57" i="73"/>
  <c r="L66" i="73"/>
  <c r="I60" i="73"/>
  <c r="F63" i="73"/>
  <c r="G68" i="73"/>
  <c r="F64" i="73"/>
  <c r="J61" i="73"/>
  <c r="I58" i="73"/>
  <c r="I14" i="57"/>
  <c r="J14" i="57" s="1"/>
  <c r="J73" i="41"/>
  <c r="L32" i="66"/>
  <c r="M32" i="66"/>
  <c r="B132" i="53"/>
  <c r="G130" i="53"/>
  <c r="J132" i="53"/>
  <c r="G75" i="41"/>
  <c r="I72" i="41"/>
  <c r="G250" i="65"/>
  <c r="F250" i="65"/>
  <c r="K8" i="51"/>
  <c r="F79" i="45"/>
  <c r="J77" i="45"/>
  <c r="D76" i="45"/>
  <c r="H74" i="45"/>
  <c r="B73" i="45"/>
  <c r="F71" i="45"/>
  <c r="B79" i="45"/>
  <c r="E77" i="45"/>
  <c r="H75" i="45"/>
  <c r="K73" i="45"/>
  <c r="G70" i="45"/>
  <c r="J78" i="45"/>
  <c r="C77" i="45"/>
  <c r="I73" i="45"/>
  <c r="B72" i="45"/>
  <c r="E70" i="45"/>
  <c r="I78" i="45"/>
  <c r="B77" i="45"/>
  <c r="H73" i="45"/>
  <c r="K71" i="45"/>
  <c r="D70" i="45"/>
  <c r="H78" i="45"/>
  <c r="K76" i="45"/>
  <c r="J71" i="45"/>
  <c r="C70" i="45"/>
  <c r="F64" i="45"/>
  <c r="G79" i="45"/>
  <c r="D77" i="45"/>
  <c r="J74" i="45"/>
  <c r="H72" i="45"/>
  <c r="F70" i="45"/>
  <c r="E79" i="45"/>
  <c r="J76" i="45"/>
  <c r="I74" i="45"/>
  <c r="B70" i="45"/>
  <c r="D79" i="45"/>
  <c r="I76" i="45"/>
  <c r="C79" i="45"/>
  <c r="H76" i="45"/>
  <c r="K78" i="45"/>
  <c r="G76" i="45"/>
  <c r="C72" i="45"/>
  <c r="C78" i="45"/>
  <c r="K75" i="45"/>
  <c r="D71" i="45"/>
  <c r="E76" i="45"/>
  <c r="K72" i="45"/>
  <c r="K79" i="45"/>
  <c r="C76" i="45"/>
  <c r="J72" i="45"/>
  <c r="I79" i="45"/>
  <c r="J75" i="45"/>
  <c r="I71" i="45"/>
  <c r="H79" i="45"/>
  <c r="I75" i="45"/>
  <c r="H71" i="45"/>
  <c r="F78" i="45"/>
  <c r="C75" i="45"/>
  <c r="E71" i="45"/>
  <c r="K74" i="45"/>
  <c r="J79" i="45"/>
  <c r="C74" i="45"/>
  <c r="G78" i="45"/>
  <c r="B74" i="45"/>
  <c r="E78" i="45"/>
  <c r="J73" i="45"/>
  <c r="D78" i="45"/>
  <c r="H77" i="45"/>
  <c r="G71" i="45"/>
  <c r="G77" i="45"/>
  <c r="C71" i="45"/>
  <c r="F77" i="45"/>
  <c r="F76" i="45"/>
  <c r="B76" i="45"/>
  <c r="C73" i="45"/>
  <c r="B75" i="45"/>
  <c r="B71" i="45"/>
  <c r="K70" i="45"/>
  <c r="J70" i="45"/>
  <c r="I70" i="45"/>
  <c r="I77" i="45"/>
  <c r="B78" i="45"/>
  <c r="K77" i="45"/>
  <c r="I72" i="45"/>
  <c r="H70" i="45"/>
  <c r="I6" i="57"/>
  <c r="J6" i="57" s="1"/>
  <c r="C135" i="53"/>
  <c r="D77" i="41"/>
  <c r="I11" i="75"/>
  <c r="J11" i="75" s="1"/>
  <c r="F31" i="69"/>
  <c r="J47" i="69"/>
  <c r="C44" i="69"/>
  <c r="G39" i="69"/>
  <c r="H47" i="69"/>
  <c r="L42" i="69"/>
  <c r="G47" i="69"/>
  <c r="K42" i="69"/>
  <c r="K46" i="69"/>
  <c r="J42" i="69"/>
  <c r="I38" i="69"/>
  <c r="J46" i="69"/>
  <c r="H42" i="69"/>
  <c r="H38" i="69"/>
  <c r="D45" i="69"/>
  <c r="G41" i="69"/>
  <c r="L36" i="69"/>
  <c r="F44" i="69"/>
  <c r="K36" i="69"/>
  <c r="E44" i="69"/>
  <c r="G36" i="69"/>
  <c r="D44" i="69"/>
  <c r="F36" i="69"/>
  <c r="K41" i="69"/>
  <c r="J41" i="69"/>
  <c r="I41" i="69"/>
  <c r="F41" i="69"/>
  <c r="L47" i="69"/>
  <c r="C40" i="69"/>
  <c r="H39" i="69"/>
  <c r="J37" i="69"/>
  <c r="I37" i="69"/>
  <c r="H37" i="69"/>
  <c r="M47" i="69"/>
  <c r="I46" i="69"/>
  <c r="K44" i="69"/>
  <c r="G44" i="69"/>
  <c r="E41" i="69"/>
  <c r="B40" i="69"/>
  <c r="L39" i="69"/>
  <c r="J39" i="69"/>
  <c r="H44" i="69"/>
  <c r="G46" i="69"/>
  <c r="J45" i="69"/>
  <c r="C45" i="69"/>
  <c r="F94" i="59"/>
  <c r="F100" i="59"/>
  <c r="K103" i="59"/>
  <c r="H103" i="59"/>
  <c r="L101" i="59"/>
  <c r="F107" i="59"/>
  <c r="G104" i="59"/>
  <c r="K101" i="59"/>
  <c r="H101" i="59"/>
  <c r="K110" i="59"/>
  <c r="D102" i="59"/>
  <c r="B102" i="59"/>
  <c r="E100" i="59"/>
  <c r="K104" i="59"/>
  <c r="E102" i="59"/>
  <c r="L108" i="59"/>
  <c r="E104" i="59"/>
  <c r="H100" i="59"/>
  <c r="I110" i="59"/>
  <c r="I102" i="59"/>
  <c r="I99" i="59"/>
  <c r="K105" i="59"/>
  <c r="E101" i="59"/>
  <c r="C104" i="59"/>
  <c r="F110" i="59"/>
  <c r="D99" i="59"/>
  <c r="H109" i="59"/>
  <c r="C109" i="59"/>
  <c r="E110" i="59"/>
  <c r="I101" i="59"/>
  <c r="E106" i="59"/>
  <c r="C101" i="59"/>
  <c r="B109" i="59"/>
  <c r="K109" i="59"/>
  <c r="H107" i="59"/>
  <c r="M109" i="59"/>
  <c r="D106" i="59"/>
  <c r="L100" i="59"/>
  <c r="H110" i="59"/>
  <c r="D108" i="59"/>
  <c r="H106" i="59"/>
  <c r="B106" i="59"/>
  <c r="E107" i="59"/>
  <c r="C103" i="59"/>
  <c r="H105" i="59"/>
  <c r="I107" i="59"/>
  <c r="D101" i="59"/>
  <c r="F106" i="59"/>
  <c r="J106" i="59"/>
  <c r="M104" i="59"/>
  <c r="H104" i="59"/>
  <c r="J104" i="59"/>
  <c r="F99" i="59"/>
  <c r="F101" i="59"/>
  <c r="M106" i="59"/>
  <c r="G110" i="59"/>
  <c r="J103" i="59"/>
  <c r="I103" i="59"/>
  <c r="M101" i="59"/>
  <c r="G101" i="59"/>
  <c r="L99" i="59"/>
  <c r="C106" i="59"/>
  <c r="M103" i="59"/>
  <c r="I105" i="59"/>
  <c r="M100" i="59"/>
  <c r="J109" i="59"/>
  <c r="F102" i="59"/>
  <c r="C102" i="59"/>
  <c r="G100" i="59"/>
  <c r="M99" i="59"/>
  <c r="F109" i="59"/>
  <c r="L102" i="59"/>
  <c r="I108" i="59"/>
  <c r="G105" i="59"/>
  <c r="F108" i="59"/>
  <c r="B101" i="59"/>
  <c r="I100" i="59"/>
  <c r="M110" i="59"/>
  <c r="C110" i="59"/>
  <c r="D107" i="59"/>
  <c r="E99" i="59"/>
  <c r="L103" i="59"/>
  <c r="D104" i="59"/>
  <c r="J101" i="59"/>
  <c r="E105" i="59"/>
  <c r="C105" i="59"/>
  <c r="F103" i="59"/>
  <c r="B110" i="59"/>
  <c r="L105" i="59"/>
  <c r="L107" i="59"/>
  <c r="J110" i="59"/>
  <c r="D135" i="51"/>
  <c r="C136" i="51"/>
  <c r="D58" i="51"/>
  <c r="I51" i="39"/>
  <c r="B52" i="39"/>
  <c r="D52" i="39"/>
  <c r="I6" i="43"/>
  <c r="J6" i="43" s="1"/>
  <c r="K57" i="51"/>
  <c r="J57" i="51"/>
  <c r="I59" i="51"/>
  <c r="J60" i="51"/>
  <c r="E57" i="51"/>
  <c r="K35" i="56"/>
  <c r="J162" i="55"/>
  <c r="M163" i="55"/>
  <c r="E163" i="55"/>
  <c r="C163" i="55"/>
  <c r="G171" i="55"/>
  <c r="M168" i="55"/>
  <c r="G166" i="55"/>
  <c r="C51" i="51"/>
  <c r="K30" i="66"/>
  <c r="J10" i="39"/>
  <c r="I10" i="39"/>
  <c r="J178" i="33"/>
  <c r="L28" i="12"/>
  <c r="M28" i="12"/>
  <c r="G414" i="83"/>
  <c r="T434" i="83"/>
  <c r="F414" i="83"/>
  <c r="M31" i="56"/>
  <c r="L31" i="56"/>
  <c r="K58" i="53"/>
  <c r="I55" i="53"/>
  <c r="H59" i="53"/>
  <c r="B57" i="53"/>
  <c r="E51" i="45"/>
  <c r="E55" i="45"/>
  <c r="D56" i="45"/>
  <c r="G54" i="45"/>
  <c r="F53" i="45"/>
  <c r="B60" i="45"/>
  <c r="K58" i="39"/>
  <c r="H34" i="23"/>
  <c r="D33" i="19"/>
  <c r="C35" i="19"/>
  <c r="K194" i="55"/>
  <c r="C192" i="55"/>
  <c r="K190" i="55"/>
  <c r="G189" i="55"/>
  <c r="C188" i="55"/>
  <c r="K186" i="55"/>
  <c r="G185" i="55"/>
  <c r="C184" i="55"/>
  <c r="J194" i="55"/>
  <c r="B192" i="55"/>
  <c r="J190" i="55"/>
  <c r="F189" i="55"/>
  <c r="B188" i="55"/>
  <c r="J186" i="55"/>
  <c r="F185" i="55"/>
  <c r="B184" i="55"/>
  <c r="I194" i="55"/>
  <c r="E193" i="55"/>
  <c r="M191" i="55"/>
  <c r="I190" i="55"/>
  <c r="E189" i="55"/>
  <c r="I186" i="55"/>
  <c r="E185" i="55"/>
  <c r="M183" i="55"/>
  <c r="H194" i="55"/>
  <c r="D193" i="55"/>
  <c r="L191" i="55"/>
  <c r="H190" i="55"/>
  <c r="D189" i="55"/>
  <c r="H186" i="55"/>
  <c r="D185" i="55"/>
  <c r="L183" i="55"/>
  <c r="C193" i="55"/>
  <c r="K191" i="55"/>
  <c r="G190" i="55"/>
  <c r="C189" i="55"/>
  <c r="K187" i="55"/>
  <c r="G186" i="55"/>
  <c r="C185" i="55"/>
  <c r="K183" i="55"/>
  <c r="C194" i="55"/>
  <c r="K192" i="55"/>
  <c r="G191" i="55"/>
  <c r="C190" i="55"/>
  <c r="K188" i="55"/>
  <c r="C186" i="55"/>
  <c r="K184" i="55"/>
  <c r="G183" i="55"/>
  <c r="B194" i="55"/>
  <c r="D192" i="55"/>
  <c r="L189" i="55"/>
  <c r="I187" i="55"/>
  <c r="J185" i="55"/>
  <c r="F183" i="55"/>
  <c r="J191" i="55"/>
  <c r="K189" i="55"/>
  <c r="H187" i="55"/>
  <c r="I185" i="55"/>
  <c r="E183" i="55"/>
  <c r="I191" i="55"/>
  <c r="J189" i="55"/>
  <c r="H185" i="55"/>
  <c r="D183" i="55"/>
  <c r="K193" i="55"/>
  <c r="H191" i="55"/>
  <c r="I189" i="55"/>
  <c r="E187" i="55"/>
  <c r="B185" i="55"/>
  <c r="C183" i="55"/>
  <c r="J193" i="55"/>
  <c r="F191" i="55"/>
  <c r="H189" i="55"/>
  <c r="D187" i="55"/>
  <c r="M184" i="55"/>
  <c r="B183" i="55"/>
  <c r="G192" i="55"/>
  <c r="B186" i="55"/>
  <c r="F192" i="55"/>
  <c r="J188" i="55"/>
  <c r="M185" i="55"/>
  <c r="E192" i="55"/>
  <c r="I188" i="55"/>
  <c r="L185" i="55"/>
  <c r="E191" i="55"/>
  <c r="H188" i="55"/>
  <c r="K185" i="55"/>
  <c r="D191" i="55"/>
  <c r="L184" i="55"/>
  <c r="C191" i="55"/>
  <c r="J184" i="55"/>
  <c r="H193" i="55"/>
  <c r="F190" i="55"/>
  <c r="C187" i="55"/>
  <c r="F184" i="55"/>
  <c r="B191" i="55"/>
  <c r="E186" i="55"/>
  <c r="M190" i="55"/>
  <c r="D186" i="55"/>
  <c r="L190" i="55"/>
  <c r="I184" i="55"/>
  <c r="E190" i="55"/>
  <c r="H184" i="55"/>
  <c r="D190" i="55"/>
  <c r="G184" i="55"/>
  <c r="M189" i="55"/>
  <c r="D184" i="55"/>
  <c r="I193" i="55"/>
  <c r="F186" i="55"/>
  <c r="B193" i="55"/>
  <c r="E184" i="55"/>
  <c r="M192" i="55"/>
  <c r="J183" i="55"/>
  <c r="H192" i="55"/>
  <c r="L192" i="55"/>
  <c r="I183" i="55"/>
  <c r="J192" i="55"/>
  <c r="H183" i="55"/>
  <c r="I192" i="55"/>
  <c r="E188" i="55"/>
  <c r="D188" i="55"/>
  <c r="E194" i="55"/>
  <c r="B189" i="55"/>
  <c r="D194" i="55"/>
  <c r="B190" i="55"/>
  <c r="J187" i="55"/>
  <c r="B187" i="55"/>
  <c r="M186" i="55"/>
  <c r="L186" i="55"/>
  <c r="F177" i="55"/>
  <c r="H103" i="31"/>
  <c r="C98" i="23"/>
  <c r="G192" i="3"/>
  <c r="C191" i="3"/>
  <c r="K189" i="3"/>
  <c r="G188" i="3"/>
  <c r="C187" i="3"/>
  <c r="K185" i="3"/>
  <c r="G184" i="3"/>
  <c r="C183" i="3"/>
  <c r="K181" i="3"/>
  <c r="B188" i="3"/>
  <c r="F192" i="3"/>
  <c r="B191" i="3"/>
  <c r="J189" i="3"/>
  <c r="F188" i="3"/>
  <c r="B187" i="3"/>
  <c r="J185" i="3"/>
  <c r="F184" i="3"/>
  <c r="B183" i="3"/>
  <c r="J181" i="3"/>
  <c r="F189" i="3"/>
  <c r="F181" i="3"/>
  <c r="E192" i="3"/>
  <c r="M190" i="3"/>
  <c r="I189" i="3"/>
  <c r="E188" i="3"/>
  <c r="M186" i="3"/>
  <c r="I185" i="3"/>
  <c r="E184" i="3"/>
  <c r="M182" i="3"/>
  <c r="I181" i="3"/>
  <c r="F185" i="3"/>
  <c r="J182" i="3"/>
  <c r="D192" i="3"/>
  <c r="L190" i="3"/>
  <c r="H189" i="3"/>
  <c r="D188" i="3"/>
  <c r="L186" i="3"/>
  <c r="H185" i="3"/>
  <c r="D184" i="3"/>
  <c r="L182" i="3"/>
  <c r="H181" i="3"/>
  <c r="B184" i="3"/>
  <c r="C192" i="3"/>
  <c r="K190" i="3"/>
  <c r="G189" i="3"/>
  <c r="C188" i="3"/>
  <c r="K186" i="3"/>
  <c r="G185" i="3"/>
  <c r="C184" i="3"/>
  <c r="K182" i="3"/>
  <c r="G181" i="3"/>
  <c r="B192" i="3"/>
  <c r="J186" i="3"/>
  <c r="J201" i="3" s="1"/>
  <c r="K246" i="3" s="1"/>
  <c r="J190" i="3"/>
  <c r="J191" i="3"/>
  <c r="F190" i="3"/>
  <c r="B189" i="3"/>
  <c r="J187" i="3"/>
  <c r="F186" i="3"/>
  <c r="B185" i="3"/>
  <c r="J183" i="3"/>
  <c r="F182" i="3"/>
  <c r="B181" i="3"/>
  <c r="K191" i="3"/>
  <c r="E189" i="3"/>
  <c r="E187" i="3"/>
  <c r="K184" i="3"/>
  <c r="E182" i="3"/>
  <c r="C189" i="3"/>
  <c r="I186" i="3"/>
  <c r="C182" i="3"/>
  <c r="I191" i="3"/>
  <c r="D189" i="3"/>
  <c r="D187" i="3"/>
  <c r="J184" i="3"/>
  <c r="D182" i="3"/>
  <c r="H191" i="3"/>
  <c r="I184" i="3"/>
  <c r="J188" i="3"/>
  <c r="K183" i="3"/>
  <c r="G191" i="3"/>
  <c r="M188" i="3"/>
  <c r="H186" i="3"/>
  <c r="H184" i="3"/>
  <c r="B182" i="3"/>
  <c r="E191" i="3"/>
  <c r="E186" i="3"/>
  <c r="D191" i="3"/>
  <c r="D186" i="3"/>
  <c r="E181" i="3"/>
  <c r="F191" i="3"/>
  <c r="L188" i="3"/>
  <c r="G186" i="3"/>
  <c r="M183" i="3"/>
  <c r="M181" i="3"/>
  <c r="K188" i="3"/>
  <c r="L183" i="3"/>
  <c r="L181" i="3"/>
  <c r="L192" i="3"/>
  <c r="G190" i="3"/>
  <c r="M187" i="3"/>
  <c r="M185" i="3"/>
  <c r="G183" i="3"/>
  <c r="K192" i="3"/>
  <c r="E190" i="3"/>
  <c r="L187" i="3"/>
  <c r="L185" i="3"/>
  <c r="F183" i="3"/>
  <c r="J192" i="3"/>
  <c r="D190" i="3"/>
  <c r="K187" i="3"/>
  <c r="E185" i="3"/>
  <c r="E183" i="3"/>
  <c r="H188" i="3"/>
  <c r="G182" i="3"/>
  <c r="I187" i="3"/>
  <c r="D181" i="3"/>
  <c r="H187" i="3"/>
  <c r="G187" i="3"/>
  <c r="M192" i="3"/>
  <c r="F187" i="3"/>
  <c r="I192" i="3"/>
  <c r="C186" i="3"/>
  <c r="C190" i="3"/>
  <c r="B190" i="3"/>
  <c r="M189" i="3"/>
  <c r="L189" i="3"/>
  <c r="D183" i="3"/>
  <c r="I188" i="3"/>
  <c r="H183" i="3"/>
  <c r="L191" i="3"/>
  <c r="H182" i="3"/>
  <c r="B186" i="3"/>
  <c r="C185" i="3"/>
  <c r="D185" i="3"/>
  <c r="H192" i="3"/>
  <c r="M184" i="3"/>
  <c r="L184" i="3"/>
  <c r="I183" i="3"/>
  <c r="M191" i="3"/>
  <c r="I182" i="3"/>
  <c r="I190" i="3"/>
  <c r="H190" i="3"/>
  <c r="C181" i="3"/>
  <c r="J10" i="61"/>
  <c r="F130" i="33"/>
  <c r="G130" i="33"/>
  <c r="F135" i="33"/>
  <c r="F132" i="33"/>
  <c r="L45" i="2"/>
  <c r="H44" i="2"/>
  <c r="D43" i="2"/>
  <c r="L41" i="2"/>
  <c r="H40" i="2"/>
  <c r="D39" i="2"/>
  <c r="L37" i="2"/>
  <c r="H36" i="2"/>
  <c r="K45" i="2"/>
  <c r="G44" i="2"/>
  <c r="C43" i="2"/>
  <c r="K41" i="2"/>
  <c r="G40" i="2"/>
  <c r="K37" i="2"/>
  <c r="G36" i="2"/>
  <c r="J45" i="2"/>
  <c r="F44" i="2"/>
  <c r="J41" i="2"/>
  <c r="F40" i="2"/>
  <c r="J37" i="2"/>
  <c r="F36" i="2"/>
  <c r="G45" i="2"/>
  <c r="G41" i="2"/>
  <c r="B43" i="2"/>
  <c r="C40" i="2"/>
  <c r="I45" i="2"/>
  <c r="E44" i="2"/>
  <c r="M42" i="2"/>
  <c r="I41" i="2"/>
  <c r="E40" i="2"/>
  <c r="M38" i="2"/>
  <c r="I37" i="2"/>
  <c r="M34" i="2"/>
  <c r="G37" i="2"/>
  <c r="H45" i="2"/>
  <c r="D44" i="2"/>
  <c r="L42" i="2"/>
  <c r="H41" i="2"/>
  <c r="D40" i="2"/>
  <c r="L38" i="2"/>
  <c r="H37" i="2"/>
  <c r="L34" i="2"/>
  <c r="C44" i="2"/>
  <c r="K38" i="2"/>
  <c r="K42" i="2"/>
  <c r="K34" i="2"/>
  <c r="C45" i="2"/>
  <c r="K43" i="2"/>
  <c r="G42" i="2"/>
  <c r="C41" i="2"/>
  <c r="K39" i="2"/>
  <c r="K35" i="2"/>
  <c r="I44" i="2"/>
  <c r="C42" i="2"/>
  <c r="I39" i="2"/>
  <c r="J34" i="2"/>
  <c r="M41" i="2"/>
  <c r="H34" i="2"/>
  <c r="B44" i="2"/>
  <c r="B42" i="2"/>
  <c r="H39" i="2"/>
  <c r="I34" i="2"/>
  <c r="M43" i="2"/>
  <c r="M36" i="2"/>
  <c r="I38" i="2"/>
  <c r="L43" i="2"/>
  <c r="F41" i="2"/>
  <c r="L36" i="2"/>
  <c r="E41" i="2"/>
  <c r="K36" i="2"/>
  <c r="D41" i="2"/>
  <c r="J36" i="2"/>
  <c r="H43" i="2"/>
  <c r="B41" i="2"/>
  <c r="I36" i="2"/>
  <c r="J43" i="2"/>
  <c r="E39" i="2"/>
  <c r="I43" i="2"/>
  <c r="J38" i="2"/>
  <c r="E45" i="2"/>
  <c r="E43" i="2"/>
  <c r="K40" i="2"/>
  <c r="E38" i="2"/>
  <c r="L35" i="2"/>
  <c r="D45" i="2"/>
  <c r="J42" i="2"/>
  <c r="J40" i="2"/>
  <c r="D38" i="2"/>
  <c r="J35" i="2"/>
  <c r="B45" i="2"/>
  <c r="I42" i="2"/>
  <c r="I40" i="2"/>
  <c r="I35" i="2"/>
  <c r="K44" i="2"/>
  <c r="J44" i="2"/>
  <c r="M37" i="2"/>
  <c r="F43" i="2"/>
  <c r="H42" i="2"/>
  <c r="F42" i="2"/>
  <c r="M35" i="2"/>
  <c r="B40" i="2"/>
  <c r="M39" i="2"/>
  <c r="L39" i="2"/>
  <c r="J39" i="2"/>
  <c r="H38" i="2"/>
  <c r="E42" i="2"/>
  <c r="M45" i="2"/>
  <c r="M44" i="2"/>
  <c r="F37" i="2"/>
  <c r="G43" i="2"/>
  <c r="D42" i="2"/>
  <c r="M40" i="2"/>
  <c r="F45" i="2"/>
  <c r="L44" i="2"/>
  <c r="L40" i="2"/>
  <c r="H35" i="2"/>
  <c r="J10" i="35"/>
  <c r="I10" i="35"/>
  <c r="E101" i="33"/>
  <c r="F98" i="33"/>
  <c r="F103" i="33"/>
  <c r="G100" i="33"/>
  <c r="F97" i="33"/>
  <c r="F100" i="33"/>
  <c r="B100" i="33"/>
  <c r="F99" i="33"/>
  <c r="B98" i="33"/>
  <c r="C98" i="33"/>
  <c r="C103" i="33"/>
  <c r="D97" i="33"/>
  <c r="B103" i="33"/>
  <c r="C97" i="33"/>
  <c r="H96" i="33"/>
  <c r="D101" i="33"/>
  <c r="B101" i="33"/>
  <c r="I100" i="33"/>
  <c r="H97" i="33"/>
  <c r="E97" i="33"/>
  <c r="F96" i="33"/>
  <c r="F92" i="33"/>
  <c r="E151" i="41"/>
  <c r="K151" i="41"/>
  <c r="I8" i="25"/>
  <c r="G59" i="53"/>
  <c r="B155" i="75"/>
  <c r="I163" i="75"/>
  <c r="B165" i="75"/>
  <c r="N165" i="75"/>
  <c r="H155" i="75"/>
  <c r="D164" i="75"/>
  <c r="H151" i="41"/>
  <c r="I6" i="47"/>
  <c r="K6" i="47" s="1"/>
  <c r="D58" i="39"/>
  <c r="F64" i="19"/>
  <c r="I41" i="51"/>
  <c r="G35" i="51"/>
  <c r="G39" i="51"/>
  <c r="I7" i="7"/>
  <c r="J7" i="7" s="1"/>
  <c r="G81" i="27"/>
  <c r="E100" i="23"/>
  <c r="I34" i="23"/>
  <c r="F51" i="39"/>
  <c r="E97" i="19"/>
  <c r="C79" i="19"/>
  <c r="D382" i="3"/>
  <c r="F382" i="3"/>
  <c r="F133" i="31"/>
  <c r="F186" i="47"/>
  <c r="G211" i="47" s="1"/>
  <c r="G186" i="47"/>
  <c r="F192" i="47"/>
  <c r="L110" i="59"/>
  <c r="I109" i="59"/>
  <c r="J177" i="19"/>
  <c r="J178" i="19"/>
  <c r="D82" i="15"/>
  <c r="M28" i="18"/>
  <c r="L28" i="18"/>
  <c r="E127" i="2"/>
  <c r="K119" i="2"/>
  <c r="C151" i="17"/>
  <c r="E169" i="2"/>
  <c r="D161" i="2"/>
  <c r="F265" i="75"/>
  <c r="O279" i="75"/>
  <c r="E275" i="75"/>
  <c r="L271" i="75"/>
  <c r="M282" i="75"/>
  <c r="D276" i="75"/>
  <c r="N272" i="75"/>
  <c r="L272" i="75"/>
  <c r="O272" i="75"/>
  <c r="J272" i="75"/>
  <c r="B275" i="75"/>
  <c r="F254" i="71"/>
  <c r="I215" i="69"/>
  <c r="E214" i="69"/>
  <c r="M212" i="69"/>
  <c r="I211" i="69"/>
  <c r="E210" i="69"/>
  <c r="I207" i="69"/>
  <c r="E206" i="69"/>
  <c r="M204" i="69"/>
  <c r="H215" i="69"/>
  <c r="D214" i="69"/>
  <c r="L212" i="69"/>
  <c r="H211" i="69"/>
  <c r="D210" i="69"/>
  <c r="H207" i="69"/>
  <c r="D206" i="69"/>
  <c r="L204" i="69"/>
  <c r="C214" i="69"/>
  <c r="K212" i="69"/>
  <c r="G211" i="69"/>
  <c r="C210" i="69"/>
  <c r="K208" i="69"/>
  <c r="G207" i="69"/>
  <c r="C206" i="69"/>
  <c r="K204" i="69"/>
  <c r="B214" i="69"/>
  <c r="J212" i="69"/>
  <c r="F211" i="69"/>
  <c r="B210" i="69"/>
  <c r="J208" i="69"/>
  <c r="F207" i="69"/>
  <c r="B206" i="69"/>
  <c r="J204" i="69"/>
  <c r="E215" i="69"/>
  <c r="M213" i="69"/>
  <c r="I212" i="69"/>
  <c r="E211" i="69"/>
  <c r="I208" i="69"/>
  <c r="E207" i="69"/>
  <c r="M205" i="69"/>
  <c r="I204" i="69"/>
  <c r="D215" i="69"/>
  <c r="L213" i="69"/>
  <c r="H212" i="69"/>
  <c r="D211" i="69"/>
  <c r="H208" i="69"/>
  <c r="D207" i="69"/>
  <c r="L205" i="69"/>
  <c r="H204" i="69"/>
  <c r="I214" i="69"/>
  <c r="E212" i="69"/>
  <c r="G210" i="69"/>
  <c r="C208" i="69"/>
  <c r="K205" i="69"/>
  <c r="H214" i="69"/>
  <c r="D212" i="69"/>
  <c r="F210" i="69"/>
  <c r="B208" i="69"/>
  <c r="J205" i="69"/>
  <c r="C212" i="69"/>
  <c r="K209" i="69"/>
  <c r="M207" i="69"/>
  <c r="I205" i="69"/>
  <c r="B212" i="69"/>
  <c r="J209" i="69"/>
  <c r="L207" i="69"/>
  <c r="H205" i="69"/>
  <c r="K213" i="69"/>
  <c r="M211" i="69"/>
  <c r="I209" i="69"/>
  <c r="K207" i="69"/>
  <c r="G205" i="69"/>
  <c r="K215" i="69"/>
  <c r="G213" i="69"/>
  <c r="C211" i="69"/>
  <c r="E209" i="69"/>
  <c r="M206" i="69"/>
  <c r="C205" i="69"/>
  <c r="B211" i="69"/>
  <c r="D208" i="69"/>
  <c r="F204" i="69"/>
  <c r="K214" i="69"/>
  <c r="M210" i="69"/>
  <c r="J207" i="69"/>
  <c r="E204" i="69"/>
  <c r="J214" i="69"/>
  <c r="L210" i="69"/>
  <c r="C207" i="69"/>
  <c r="D204" i="69"/>
  <c r="J213" i="69"/>
  <c r="K210" i="69"/>
  <c r="B207" i="69"/>
  <c r="C204" i="69"/>
  <c r="I213" i="69"/>
  <c r="J210" i="69"/>
  <c r="L206" i="69"/>
  <c r="B204" i="69"/>
  <c r="D213" i="69"/>
  <c r="H206" i="69"/>
  <c r="I210" i="69"/>
  <c r="E205" i="69"/>
  <c r="H210" i="69"/>
  <c r="D205" i="69"/>
  <c r="J215" i="69"/>
  <c r="H209" i="69"/>
  <c r="B205" i="69"/>
  <c r="C215" i="69"/>
  <c r="G204" i="69"/>
  <c r="B215" i="69"/>
  <c r="D209" i="69"/>
  <c r="E213" i="69"/>
  <c r="I206" i="69"/>
  <c r="H213" i="69"/>
  <c r="G206" i="69"/>
  <c r="F213" i="69"/>
  <c r="F206" i="69"/>
  <c r="C213" i="69"/>
  <c r="F205" i="69"/>
  <c r="B213" i="69"/>
  <c r="G212" i="69"/>
  <c r="F212" i="69"/>
  <c r="K211" i="69"/>
  <c r="L211" i="69"/>
  <c r="J211" i="69"/>
  <c r="C209" i="69"/>
  <c r="B209" i="69"/>
  <c r="E208" i="69"/>
  <c r="K206" i="69"/>
  <c r="J206" i="69"/>
  <c r="F198" i="69"/>
  <c r="L67" i="79"/>
  <c r="D293" i="79"/>
  <c r="E344" i="79" s="1"/>
  <c r="K32" i="92"/>
  <c r="K136" i="75"/>
  <c r="F141" i="75"/>
  <c r="E145" i="75"/>
  <c r="C142" i="75"/>
  <c r="H132" i="75"/>
  <c r="H137" i="75"/>
  <c r="G142" i="75"/>
  <c r="B135" i="75"/>
  <c r="I8" i="83"/>
  <c r="J8" i="83"/>
  <c r="M65" i="79"/>
  <c r="I89" i="69"/>
  <c r="E88" i="69"/>
  <c r="M86" i="69"/>
  <c r="M82" i="69"/>
  <c r="M78" i="69"/>
  <c r="F89" i="69"/>
  <c r="B88" i="69"/>
  <c r="J86" i="69"/>
  <c r="F85" i="69"/>
  <c r="B84" i="69"/>
  <c r="J82" i="69"/>
  <c r="F81" i="69"/>
  <c r="B80" i="69"/>
  <c r="J78" i="69"/>
  <c r="E89" i="69"/>
  <c r="M87" i="69"/>
  <c r="I86" i="69"/>
  <c r="M83" i="69"/>
  <c r="I82" i="69"/>
  <c r="M79" i="69"/>
  <c r="I78" i="69"/>
  <c r="C89" i="69"/>
  <c r="H87" i="69"/>
  <c r="M85" i="69"/>
  <c r="F84" i="69"/>
  <c r="H82" i="69"/>
  <c r="M80" i="69"/>
  <c r="F79" i="69"/>
  <c r="B89" i="69"/>
  <c r="G87" i="69"/>
  <c r="L85" i="69"/>
  <c r="G82" i="69"/>
  <c r="L80" i="69"/>
  <c r="E79" i="69"/>
  <c r="M88" i="69"/>
  <c r="F87" i="69"/>
  <c r="K85" i="69"/>
  <c r="C84" i="69"/>
  <c r="F82" i="69"/>
  <c r="K80" i="69"/>
  <c r="D79" i="69"/>
  <c r="L88" i="69"/>
  <c r="E87" i="69"/>
  <c r="J85" i="69"/>
  <c r="L83" i="69"/>
  <c r="E82" i="69"/>
  <c r="J80" i="69"/>
  <c r="C79" i="69"/>
  <c r="K88" i="69"/>
  <c r="D87" i="69"/>
  <c r="K83" i="69"/>
  <c r="D82" i="69"/>
  <c r="B79" i="69"/>
  <c r="G88" i="69"/>
  <c r="K86" i="69"/>
  <c r="B85" i="69"/>
  <c r="G83" i="69"/>
  <c r="L81" i="69"/>
  <c r="G78" i="69"/>
  <c r="G89" i="69"/>
  <c r="G86" i="69"/>
  <c r="J83" i="69"/>
  <c r="G81" i="69"/>
  <c r="H78" i="69"/>
  <c r="D89" i="69"/>
  <c r="F86" i="69"/>
  <c r="I83" i="69"/>
  <c r="F78" i="69"/>
  <c r="J88" i="69"/>
  <c r="E86" i="69"/>
  <c r="H83" i="69"/>
  <c r="C81" i="69"/>
  <c r="E78" i="69"/>
  <c r="I88" i="69"/>
  <c r="D86" i="69"/>
  <c r="F83" i="69"/>
  <c r="B81" i="69"/>
  <c r="D78" i="69"/>
  <c r="H88" i="69"/>
  <c r="C86" i="69"/>
  <c r="E83" i="69"/>
  <c r="C78" i="69"/>
  <c r="L87" i="69"/>
  <c r="C85" i="69"/>
  <c r="L82" i="69"/>
  <c r="L79" i="69"/>
  <c r="H86" i="69"/>
  <c r="B82" i="69"/>
  <c r="B86" i="69"/>
  <c r="M81" i="69"/>
  <c r="M89" i="69"/>
  <c r="G85" i="69"/>
  <c r="K81" i="69"/>
  <c r="L89" i="69"/>
  <c r="J81" i="69"/>
  <c r="K89" i="69"/>
  <c r="M84" i="69"/>
  <c r="D88" i="69"/>
  <c r="K79" i="69"/>
  <c r="B78" i="69"/>
  <c r="G84" i="69"/>
  <c r="F72" i="69"/>
  <c r="D83" i="69"/>
  <c r="J89" i="69"/>
  <c r="C83" i="69"/>
  <c r="H89" i="69"/>
  <c r="B83" i="69"/>
  <c r="F88" i="69"/>
  <c r="K82" i="69"/>
  <c r="C88" i="69"/>
  <c r="C82" i="69"/>
  <c r="J87" i="69"/>
  <c r="F80" i="69"/>
  <c r="K87" i="69"/>
  <c r="I87" i="69"/>
  <c r="C87" i="69"/>
  <c r="B87" i="69"/>
  <c r="L86" i="69"/>
  <c r="L84" i="69"/>
  <c r="C80" i="69"/>
  <c r="J84" i="69"/>
  <c r="G80" i="69"/>
  <c r="J79" i="69"/>
  <c r="I79" i="69"/>
  <c r="H79" i="69"/>
  <c r="G79" i="69"/>
  <c r="L78" i="69"/>
  <c r="K84" i="69"/>
  <c r="K78" i="69"/>
  <c r="P271" i="59"/>
  <c r="G255" i="59"/>
  <c r="F255" i="59"/>
  <c r="G214" i="65"/>
  <c r="F228" i="57"/>
  <c r="G273" i="57" s="1"/>
  <c r="I45" i="73"/>
  <c r="I228" i="73" s="1"/>
  <c r="J273" i="73" s="1"/>
  <c r="K39" i="73"/>
  <c r="H42" i="73"/>
  <c r="F37" i="73"/>
  <c r="F220" i="73" s="1"/>
  <c r="G265" i="73" s="1"/>
  <c r="F47" i="73"/>
  <c r="E43" i="73"/>
  <c r="B214" i="65"/>
  <c r="I206" i="65"/>
  <c r="K215" i="65"/>
  <c r="H204" i="65"/>
  <c r="I214" i="65"/>
  <c r="K214" i="65"/>
  <c r="C214" i="65"/>
  <c r="C229" i="65" s="1"/>
  <c r="D274" i="65" s="1"/>
  <c r="K33" i="58"/>
  <c r="D71" i="87"/>
  <c r="G67" i="87"/>
  <c r="C64" i="87"/>
  <c r="M39" i="58"/>
  <c r="L39" i="58"/>
  <c r="D282" i="75"/>
  <c r="I278" i="75"/>
  <c r="K273" i="75"/>
  <c r="E277" i="75"/>
  <c r="M273" i="75"/>
  <c r="O273" i="75"/>
  <c r="C274" i="75"/>
  <c r="G274" i="75"/>
  <c r="D280" i="75"/>
  <c r="H273" i="75"/>
  <c r="H280" i="75"/>
  <c r="K14" i="83"/>
  <c r="F152" i="79"/>
  <c r="D166" i="79"/>
  <c r="B166" i="79"/>
  <c r="I164" i="79"/>
  <c r="H164" i="79"/>
  <c r="H296" i="79" s="1"/>
  <c r="I347" i="79" s="1"/>
  <c r="O163" i="79"/>
  <c r="F159" i="79"/>
  <c r="C159" i="79"/>
  <c r="J157" i="79"/>
  <c r="B168" i="79"/>
  <c r="O167" i="79"/>
  <c r="N163" i="79"/>
  <c r="F163" i="79"/>
  <c r="G159" i="79"/>
  <c r="C157" i="79"/>
  <c r="D157" i="79"/>
  <c r="K155" i="79"/>
  <c r="G66" i="73"/>
  <c r="H63" i="73"/>
  <c r="K59" i="73"/>
  <c r="H62" i="73"/>
  <c r="F65" i="73"/>
  <c r="K65" i="73"/>
  <c r="C63" i="73"/>
  <c r="M59" i="73"/>
  <c r="H136" i="53"/>
  <c r="K71" i="41"/>
  <c r="L245" i="47"/>
  <c r="L244" i="47"/>
  <c r="L243" i="47"/>
  <c r="B228" i="63"/>
  <c r="C273" i="63" s="1"/>
  <c r="I128" i="53"/>
  <c r="E133" i="53"/>
  <c r="F134" i="53"/>
  <c r="G131" i="53"/>
  <c r="H73" i="41"/>
  <c r="E74" i="41"/>
  <c r="L28" i="56"/>
  <c r="M28" i="56"/>
  <c r="J131" i="53"/>
  <c r="E75" i="41"/>
  <c r="B129" i="51"/>
  <c r="F127" i="51"/>
  <c r="G128" i="51"/>
  <c r="F192" i="49"/>
  <c r="N206" i="49"/>
  <c r="G192" i="49"/>
  <c r="J164" i="49"/>
  <c r="K203" i="49" s="1"/>
  <c r="B54" i="51"/>
  <c r="B54" i="39"/>
  <c r="J53" i="39"/>
  <c r="E131" i="67"/>
  <c r="L129" i="67"/>
  <c r="G128" i="67"/>
  <c r="B127" i="67"/>
  <c r="I125" i="67"/>
  <c r="D124" i="67"/>
  <c r="K122" i="67"/>
  <c r="F121" i="67"/>
  <c r="D131" i="67"/>
  <c r="K129" i="67"/>
  <c r="F128" i="67"/>
  <c r="H125" i="67"/>
  <c r="C124" i="67"/>
  <c r="J122" i="67"/>
  <c r="E121" i="67"/>
  <c r="C131" i="67"/>
  <c r="J129" i="67"/>
  <c r="E128" i="67"/>
  <c r="G125" i="67"/>
  <c r="B124" i="67"/>
  <c r="I122" i="67"/>
  <c r="D121" i="67"/>
  <c r="B131" i="67"/>
  <c r="I129" i="67"/>
  <c r="D128" i="67"/>
  <c r="K126" i="67"/>
  <c r="F125" i="67"/>
  <c r="M123" i="67"/>
  <c r="H122" i="67"/>
  <c r="C121" i="67"/>
  <c r="C129" i="67"/>
  <c r="J126" i="67"/>
  <c r="I124" i="67"/>
  <c r="E122" i="67"/>
  <c r="D120" i="67"/>
  <c r="B129" i="67"/>
  <c r="H124" i="67"/>
  <c r="C122" i="67"/>
  <c r="C120" i="67"/>
  <c r="M128" i="67"/>
  <c r="G124" i="67"/>
  <c r="M121" i="67"/>
  <c r="L128" i="67"/>
  <c r="F126" i="67"/>
  <c r="F124" i="67"/>
  <c r="L121" i="67"/>
  <c r="K130" i="67"/>
  <c r="K128" i="67"/>
  <c r="E126" i="67"/>
  <c r="L123" i="67"/>
  <c r="K121" i="67"/>
  <c r="F130" i="67"/>
  <c r="L125" i="67"/>
  <c r="G123" i="67"/>
  <c r="B121" i="67"/>
  <c r="C130" i="67"/>
  <c r="C126" i="67"/>
  <c r="M122" i="67"/>
  <c r="H129" i="67"/>
  <c r="M125" i="67"/>
  <c r="G122" i="67"/>
  <c r="G129" i="67"/>
  <c r="K125" i="67"/>
  <c r="F122" i="67"/>
  <c r="F129" i="67"/>
  <c r="E125" i="67"/>
  <c r="J121" i="67"/>
  <c r="D129" i="67"/>
  <c r="D125" i="67"/>
  <c r="I121" i="67"/>
  <c r="K127" i="67"/>
  <c r="K124" i="67"/>
  <c r="I120" i="67"/>
  <c r="L124" i="67"/>
  <c r="F115" i="67"/>
  <c r="G130" i="67"/>
  <c r="K123" i="67"/>
  <c r="E130" i="67"/>
  <c r="J123" i="67"/>
  <c r="D130" i="67"/>
  <c r="H123" i="67"/>
  <c r="I128" i="67"/>
  <c r="E123" i="67"/>
  <c r="B128" i="67"/>
  <c r="C123" i="67"/>
  <c r="M124" i="67"/>
  <c r="D123" i="67"/>
  <c r="B123" i="67"/>
  <c r="H121" i="67"/>
  <c r="K131" i="67"/>
  <c r="M120" i="67"/>
  <c r="J131" i="67"/>
  <c r="L120" i="67"/>
  <c r="E120" i="67"/>
  <c r="G127" i="67"/>
  <c r="E127" i="67"/>
  <c r="D127" i="67"/>
  <c r="D126" i="67"/>
  <c r="C125" i="67"/>
  <c r="H120" i="67"/>
  <c r="G120" i="67"/>
  <c r="C128" i="67"/>
  <c r="J127" i="67"/>
  <c r="F120" i="67"/>
  <c r="H53" i="51"/>
  <c r="K52" i="51"/>
  <c r="B52" i="51"/>
  <c r="B55" i="51"/>
  <c r="I51" i="51"/>
  <c r="K58" i="51"/>
  <c r="J166" i="55"/>
  <c r="H165" i="55"/>
  <c r="G164" i="55"/>
  <c r="K172" i="55"/>
  <c r="E170" i="55"/>
  <c r="K167" i="55"/>
  <c r="C164" i="49"/>
  <c r="D203" i="49" s="1"/>
  <c r="I102" i="31"/>
  <c r="I10" i="41"/>
  <c r="J10" i="41" s="1"/>
  <c r="M28" i="6"/>
  <c r="L28" i="6"/>
  <c r="I101" i="33"/>
  <c r="D96" i="33"/>
  <c r="L29" i="26"/>
  <c r="M29" i="26"/>
  <c r="J178" i="23"/>
  <c r="J179" i="23"/>
  <c r="J177" i="23"/>
  <c r="D66" i="73"/>
  <c r="F66" i="39"/>
  <c r="C78" i="39"/>
  <c r="F75" i="39"/>
  <c r="D72" i="39"/>
  <c r="F79" i="39"/>
  <c r="I72" i="39"/>
  <c r="E79" i="39"/>
  <c r="K75" i="39"/>
  <c r="H72" i="39"/>
  <c r="D79" i="39"/>
  <c r="J75" i="39"/>
  <c r="G72" i="39"/>
  <c r="C79" i="39"/>
  <c r="I75" i="39"/>
  <c r="E72" i="39"/>
  <c r="B79" i="39"/>
  <c r="H75" i="39"/>
  <c r="C72" i="39"/>
  <c r="F78" i="39"/>
  <c r="G75" i="39"/>
  <c r="B72" i="39"/>
  <c r="E74" i="39"/>
  <c r="J70" i="39"/>
  <c r="G77" i="39"/>
  <c r="C74" i="39"/>
  <c r="I73" i="39"/>
  <c r="I79" i="39"/>
  <c r="H73" i="39"/>
  <c r="J72" i="39"/>
  <c r="E78" i="39"/>
  <c r="K71" i="39"/>
  <c r="G70" i="39"/>
  <c r="D78" i="39"/>
  <c r="J71" i="39"/>
  <c r="F77" i="39"/>
  <c r="E70" i="39"/>
  <c r="G76" i="39"/>
  <c r="D70" i="39"/>
  <c r="D76" i="39"/>
  <c r="H74" i="39"/>
  <c r="J73" i="39"/>
  <c r="E77" i="39"/>
  <c r="G74" i="39"/>
  <c r="F74" i="39"/>
  <c r="K73" i="39"/>
  <c r="F70" i="39"/>
  <c r="E51" i="53"/>
  <c r="K57" i="53"/>
  <c r="B52" i="53"/>
  <c r="H58" i="53"/>
  <c r="L40" i="44"/>
  <c r="M40" i="44"/>
  <c r="E57" i="45"/>
  <c r="D58" i="45"/>
  <c r="C55" i="45"/>
  <c r="F187" i="37"/>
  <c r="D211" i="37" s="1"/>
  <c r="G187" i="37"/>
  <c r="G189" i="37"/>
  <c r="K7" i="27"/>
  <c r="H30" i="23"/>
  <c r="D35" i="19"/>
  <c r="H29" i="19"/>
  <c r="H98" i="31"/>
  <c r="I7" i="13"/>
  <c r="J7" i="13" s="1"/>
  <c r="E96" i="37"/>
  <c r="I94" i="37"/>
  <c r="C93" i="37"/>
  <c r="G91" i="37"/>
  <c r="K89" i="37"/>
  <c r="D96" i="37"/>
  <c r="H94" i="37"/>
  <c r="B93" i="37"/>
  <c r="F91" i="37"/>
  <c r="J89" i="37"/>
  <c r="C95" i="37"/>
  <c r="E93" i="37"/>
  <c r="E91" i="37"/>
  <c r="G89" i="37"/>
  <c r="B95" i="37"/>
  <c r="D93" i="37"/>
  <c r="D91" i="37"/>
  <c r="F89" i="37"/>
  <c r="G98" i="37"/>
  <c r="K94" i="37"/>
  <c r="K92" i="37"/>
  <c r="C91" i="37"/>
  <c r="E89" i="37"/>
  <c r="F98" i="37"/>
  <c r="J94" i="37"/>
  <c r="J92" i="37"/>
  <c r="B91" i="37"/>
  <c r="D89" i="37"/>
  <c r="F83" i="37"/>
  <c r="E98" i="37"/>
  <c r="G96" i="37"/>
  <c r="G94" i="37"/>
  <c r="I92" i="37"/>
  <c r="K90" i="37"/>
  <c r="K160" i="37" s="1"/>
  <c r="L199" i="37" s="1"/>
  <c r="C89" i="37"/>
  <c r="B94" i="37"/>
  <c r="D92" i="37"/>
  <c r="F90" i="37"/>
  <c r="F93" i="37"/>
  <c r="D90" i="37"/>
  <c r="D95" i="37"/>
  <c r="B92" i="37"/>
  <c r="D97" i="37"/>
  <c r="J93" i="37"/>
  <c r="G90" i="37"/>
  <c r="C97" i="37"/>
  <c r="I93" i="37"/>
  <c r="E90" i="37"/>
  <c r="B97" i="37"/>
  <c r="B167" i="37" s="1"/>
  <c r="C206" i="37" s="1"/>
  <c r="H93" i="37"/>
  <c r="C90" i="37"/>
  <c r="F96" i="37"/>
  <c r="G93" i="37"/>
  <c r="B90" i="37"/>
  <c r="C96" i="37"/>
  <c r="H92" i="37"/>
  <c r="I89" i="37"/>
  <c r="B96" i="37"/>
  <c r="G92" i="37"/>
  <c r="H89" i="37"/>
  <c r="F95" i="37"/>
  <c r="K91" i="37"/>
  <c r="D98" i="37"/>
  <c r="E95" i="37"/>
  <c r="J91" i="37"/>
  <c r="K93" i="37"/>
  <c r="E92" i="37"/>
  <c r="F92" i="37"/>
  <c r="C92" i="37"/>
  <c r="G97" i="37"/>
  <c r="C98" i="37"/>
  <c r="I91" i="37"/>
  <c r="J90" i="37"/>
  <c r="B98" i="37"/>
  <c r="H91" i="37"/>
  <c r="E97" i="37"/>
  <c r="H90" i="37"/>
  <c r="B89" i="37"/>
  <c r="G95" i="37"/>
  <c r="C94" i="37"/>
  <c r="F97" i="37"/>
  <c r="F94" i="37"/>
  <c r="E94" i="37"/>
  <c r="D94" i="37"/>
  <c r="I90" i="37"/>
  <c r="K31" i="14"/>
  <c r="A244" i="2"/>
  <c r="K152" i="41"/>
  <c r="C63" i="33"/>
  <c r="G65" i="23"/>
  <c r="K8" i="9"/>
  <c r="B153" i="41"/>
  <c r="H153" i="41"/>
  <c r="G153" i="41"/>
  <c r="I6" i="35"/>
  <c r="K6" i="35" s="1"/>
  <c r="H100" i="23"/>
  <c r="C57" i="11"/>
  <c r="H6" i="23"/>
  <c r="K28" i="26"/>
  <c r="B161" i="75"/>
  <c r="G168" i="75"/>
  <c r="I168" i="75"/>
  <c r="E156" i="75"/>
  <c r="K156" i="75"/>
  <c r="G165" i="75"/>
  <c r="O161" i="75"/>
  <c r="G51" i="39"/>
  <c r="F66" i="19"/>
  <c r="F36" i="51"/>
  <c r="E37" i="51"/>
  <c r="C41" i="51"/>
  <c r="H81" i="27"/>
  <c r="B98" i="25"/>
  <c r="I54" i="39"/>
  <c r="D79" i="19"/>
  <c r="N9" i="3"/>
  <c r="K9" i="3"/>
  <c r="J9" i="3"/>
  <c r="E394" i="3"/>
  <c r="G99" i="59"/>
  <c r="G102" i="59"/>
  <c r="J60" i="45"/>
  <c r="N10" i="19"/>
  <c r="A236" i="19" s="1"/>
  <c r="B84" i="27"/>
  <c r="J8" i="17"/>
  <c r="E102" i="21"/>
  <c r="E100" i="21"/>
  <c r="E98" i="21"/>
  <c r="E96" i="21"/>
  <c r="H102" i="21"/>
  <c r="H98" i="21"/>
  <c r="D102" i="21"/>
  <c r="G102" i="21"/>
  <c r="G98" i="21"/>
  <c r="F91" i="21"/>
  <c r="D98" i="21"/>
  <c r="C102" i="21"/>
  <c r="C98" i="21"/>
  <c r="I97" i="21"/>
  <c r="H101" i="21"/>
  <c r="H97" i="21"/>
  <c r="B102" i="21"/>
  <c r="B98" i="21"/>
  <c r="I101" i="21"/>
  <c r="D100" i="21"/>
  <c r="D96" i="21"/>
  <c r="I102" i="21"/>
  <c r="I100" i="21"/>
  <c r="H100" i="21"/>
  <c r="I99" i="21"/>
  <c r="H99" i="21"/>
  <c r="I98" i="21"/>
  <c r="I96" i="21"/>
  <c r="H103" i="21"/>
  <c r="I103" i="21"/>
  <c r="H96" i="21"/>
  <c r="G103" i="21"/>
  <c r="E86" i="15"/>
  <c r="B125" i="2"/>
  <c r="G125" i="2"/>
  <c r="L125" i="2"/>
  <c r="M28" i="20"/>
  <c r="L28" i="20"/>
  <c r="E171" i="2"/>
  <c r="H162" i="2"/>
  <c r="G40" i="5"/>
  <c r="H89" i="71"/>
  <c r="D88" i="71"/>
  <c r="L86" i="71"/>
  <c r="D84" i="71"/>
  <c r="L82" i="71"/>
  <c r="H81" i="71"/>
  <c r="D80" i="71"/>
  <c r="L78" i="71"/>
  <c r="G89" i="71"/>
  <c r="C88" i="71"/>
  <c r="K86" i="71"/>
  <c r="C84" i="71"/>
  <c r="K82" i="71"/>
  <c r="G81" i="71"/>
  <c r="C80" i="71"/>
  <c r="K78" i="71"/>
  <c r="F89" i="71"/>
  <c r="B88" i="71"/>
  <c r="J86" i="71"/>
  <c r="B84" i="71"/>
  <c r="J82" i="71"/>
  <c r="F81" i="71"/>
  <c r="B80" i="71"/>
  <c r="J78" i="71"/>
  <c r="E89" i="71"/>
  <c r="M87" i="71"/>
  <c r="I86" i="71"/>
  <c r="E85" i="71"/>
  <c r="M83" i="71"/>
  <c r="E81" i="71"/>
  <c r="M79" i="71"/>
  <c r="I78" i="71"/>
  <c r="D89" i="71"/>
  <c r="L87" i="71"/>
  <c r="H86" i="71"/>
  <c r="D85" i="71"/>
  <c r="L83" i="71"/>
  <c r="D81" i="71"/>
  <c r="L79" i="71"/>
  <c r="H78" i="71"/>
  <c r="C89" i="71"/>
  <c r="K87" i="71"/>
  <c r="G86" i="71"/>
  <c r="C85" i="71"/>
  <c r="K83" i="71"/>
  <c r="C81" i="71"/>
  <c r="K79" i="71"/>
  <c r="G78" i="71"/>
  <c r="B89" i="71"/>
  <c r="D87" i="71"/>
  <c r="L84" i="71"/>
  <c r="B83" i="71"/>
  <c r="J80" i="71"/>
  <c r="F78" i="71"/>
  <c r="M88" i="71"/>
  <c r="C87" i="71"/>
  <c r="K84" i="71"/>
  <c r="M82" i="71"/>
  <c r="I80" i="71"/>
  <c r="E78" i="71"/>
  <c r="L88" i="71"/>
  <c r="B87" i="71"/>
  <c r="J84" i="71"/>
  <c r="H80" i="71"/>
  <c r="D78" i="71"/>
  <c r="K88" i="71"/>
  <c r="M86" i="71"/>
  <c r="E82" i="71"/>
  <c r="G80" i="71"/>
  <c r="C78" i="71"/>
  <c r="J88" i="71"/>
  <c r="F86" i="71"/>
  <c r="D82" i="71"/>
  <c r="F80" i="71"/>
  <c r="B78" i="71"/>
  <c r="F88" i="71"/>
  <c r="B86" i="71"/>
  <c r="J83" i="71"/>
  <c r="L81" i="71"/>
  <c r="H79" i="71"/>
  <c r="H87" i="71"/>
  <c r="E84" i="71"/>
  <c r="L80" i="71"/>
  <c r="G87" i="71"/>
  <c r="K80" i="71"/>
  <c r="F87" i="71"/>
  <c r="E80" i="71"/>
  <c r="E87" i="71"/>
  <c r="J79" i="71"/>
  <c r="E86" i="71"/>
  <c r="I79" i="71"/>
  <c r="F72" i="71"/>
  <c r="J89" i="71"/>
  <c r="L85" i="71"/>
  <c r="C82" i="71"/>
  <c r="D79" i="71"/>
  <c r="H88" i="71"/>
  <c r="D83" i="71"/>
  <c r="G88" i="71"/>
  <c r="C83" i="71"/>
  <c r="E88" i="71"/>
  <c r="B82" i="71"/>
  <c r="J87" i="71"/>
  <c r="M81" i="71"/>
  <c r="I87" i="71"/>
  <c r="K81" i="71"/>
  <c r="K85" i="71"/>
  <c r="M80" i="71"/>
  <c r="C86" i="71"/>
  <c r="B79" i="71"/>
  <c r="M85" i="71"/>
  <c r="M78" i="71"/>
  <c r="J85" i="71"/>
  <c r="B85" i="71"/>
  <c r="M84" i="71"/>
  <c r="E83" i="71"/>
  <c r="M89" i="71"/>
  <c r="L89" i="71"/>
  <c r="K89" i="71"/>
  <c r="I89" i="71"/>
  <c r="I88" i="71"/>
  <c r="I81" i="71"/>
  <c r="B81" i="71"/>
  <c r="G79" i="71"/>
  <c r="F79" i="71"/>
  <c r="E79" i="71"/>
  <c r="C79" i="71"/>
  <c r="D86" i="71"/>
  <c r="J81" i="71"/>
  <c r="G64" i="79"/>
  <c r="J109" i="67"/>
  <c r="F108" i="67"/>
  <c r="B107" i="67"/>
  <c r="J105" i="67"/>
  <c r="F104" i="67"/>
  <c r="B103" i="67"/>
  <c r="J101" i="67"/>
  <c r="F100" i="67"/>
  <c r="B99" i="67"/>
  <c r="F93" i="67"/>
  <c r="D110" i="67"/>
  <c r="K108" i="67"/>
  <c r="F107" i="67"/>
  <c r="M105" i="67"/>
  <c r="H104" i="67"/>
  <c r="C103" i="67"/>
  <c r="D100" i="67"/>
  <c r="C110" i="67"/>
  <c r="J108" i="67"/>
  <c r="E107" i="67"/>
  <c r="L105" i="67"/>
  <c r="G104" i="67"/>
  <c r="M102" i="67"/>
  <c r="C100" i="67"/>
  <c r="B110" i="67"/>
  <c r="I108" i="67"/>
  <c r="D107" i="67"/>
  <c r="K105" i="67"/>
  <c r="E104" i="67"/>
  <c r="L102" i="67"/>
  <c r="G101" i="67"/>
  <c r="B100" i="67"/>
  <c r="M109" i="67"/>
  <c r="H108" i="67"/>
  <c r="C107" i="67"/>
  <c r="D104" i="67"/>
  <c r="K102" i="67"/>
  <c r="F101" i="67"/>
  <c r="M99" i="67"/>
  <c r="L109" i="67"/>
  <c r="G108" i="67"/>
  <c r="M106" i="67"/>
  <c r="C104" i="67"/>
  <c r="J102" i="67"/>
  <c r="L99" i="67"/>
  <c r="L110" i="67"/>
  <c r="G109" i="67"/>
  <c r="B108" i="67"/>
  <c r="K103" i="67"/>
  <c r="F102" i="67"/>
  <c r="M100" i="67"/>
  <c r="H99" i="67"/>
  <c r="J110" i="67"/>
  <c r="E108" i="67"/>
  <c r="L103" i="67"/>
  <c r="L101" i="67"/>
  <c r="F99" i="67"/>
  <c r="I110" i="67"/>
  <c r="D108" i="67"/>
  <c r="J103" i="67"/>
  <c r="K101" i="67"/>
  <c r="E99" i="67"/>
  <c r="H110" i="67"/>
  <c r="C108" i="67"/>
  <c r="C106" i="67"/>
  <c r="I103" i="67"/>
  <c r="D99" i="67"/>
  <c r="G110" i="67"/>
  <c r="M107" i="67"/>
  <c r="B106" i="67"/>
  <c r="H103" i="67"/>
  <c r="C101" i="67"/>
  <c r="C99" i="67"/>
  <c r="F110" i="67"/>
  <c r="L107" i="67"/>
  <c r="G105" i="67"/>
  <c r="G103" i="67"/>
  <c r="B101" i="67"/>
  <c r="H109" i="67"/>
  <c r="H107" i="67"/>
  <c r="B105" i="67"/>
  <c r="I100" i="67"/>
  <c r="L108" i="67"/>
  <c r="K104" i="67"/>
  <c r="K100" i="67"/>
  <c r="K107" i="67"/>
  <c r="J104" i="67"/>
  <c r="J100" i="67"/>
  <c r="J107" i="67"/>
  <c r="I104" i="67"/>
  <c r="H100" i="67"/>
  <c r="I107" i="67"/>
  <c r="B104" i="67"/>
  <c r="G100" i="67"/>
  <c r="G107" i="67"/>
  <c r="M103" i="67"/>
  <c r="E100" i="67"/>
  <c r="K109" i="67"/>
  <c r="G99" i="67"/>
  <c r="G106" i="67"/>
  <c r="L100" i="67"/>
  <c r="F106" i="67"/>
  <c r="K99" i="67"/>
  <c r="F105" i="67"/>
  <c r="J99" i="67"/>
  <c r="M110" i="67"/>
  <c r="I99" i="67"/>
  <c r="K110" i="67"/>
  <c r="C105" i="67"/>
  <c r="I109" i="67"/>
  <c r="L104" i="67"/>
  <c r="C109" i="67"/>
  <c r="B109" i="67"/>
  <c r="M108" i="67"/>
  <c r="L106" i="67"/>
  <c r="K106" i="67"/>
  <c r="J106" i="67"/>
  <c r="D103" i="67"/>
  <c r="E103" i="67"/>
  <c r="G102" i="67"/>
  <c r="C102" i="67"/>
  <c r="B102" i="67"/>
  <c r="M101" i="67"/>
  <c r="E110" i="67"/>
  <c r="D109" i="67"/>
  <c r="M104" i="67"/>
  <c r="F103" i="67"/>
  <c r="E109" i="67"/>
  <c r="F109" i="67"/>
  <c r="G213" i="89"/>
  <c r="F213" i="89"/>
  <c r="N227" i="89"/>
  <c r="M142" i="75"/>
  <c r="B291" i="79"/>
  <c r="C342" i="79" s="1"/>
  <c r="I12" i="71"/>
  <c r="J12" i="71" s="1"/>
  <c r="P272" i="59"/>
  <c r="F256" i="59"/>
  <c r="G256" i="59"/>
  <c r="D225" i="63"/>
  <c r="E270" i="63" s="1"/>
  <c r="F138" i="75"/>
  <c r="O142" i="75"/>
  <c r="H133" i="75"/>
  <c r="F143" i="75"/>
  <c r="K133" i="75"/>
  <c r="K138" i="75"/>
  <c r="J143" i="75"/>
  <c r="D214" i="77"/>
  <c r="D300" i="77" s="1"/>
  <c r="E351" i="77" s="1"/>
  <c r="B213" i="77"/>
  <c r="N211" i="77"/>
  <c r="L210" i="77"/>
  <c r="J209" i="77"/>
  <c r="H208" i="77"/>
  <c r="F207" i="77"/>
  <c r="D206" i="77"/>
  <c r="B205" i="77"/>
  <c r="N203" i="77"/>
  <c r="L202" i="77"/>
  <c r="J201" i="77"/>
  <c r="G214" i="77"/>
  <c r="D213" i="77"/>
  <c r="D299" i="77" s="1"/>
  <c r="E350" i="77" s="1"/>
  <c r="O211" i="77"/>
  <c r="K210" i="77"/>
  <c r="H209" i="77"/>
  <c r="E208" i="77"/>
  <c r="B207" i="77"/>
  <c r="J204" i="77"/>
  <c r="G203" i="77"/>
  <c r="D202" i="77"/>
  <c r="F214" i="77"/>
  <c r="C213" i="77"/>
  <c r="C299" i="77" s="1"/>
  <c r="D350" i="77" s="1"/>
  <c r="J210" i="77"/>
  <c r="G209" i="77"/>
  <c r="D208" i="77"/>
  <c r="O206" i="77"/>
  <c r="I204" i="77"/>
  <c r="F203" i="77"/>
  <c r="C202" i="77"/>
  <c r="E214" i="77"/>
  <c r="O212" i="77"/>
  <c r="I210" i="77"/>
  <c r="F209" i="77"/>
  <c r="C208" i="77"/>
  <c r="N206" i="77"/>
  <c r="K205" i="77"/>
  <c r="H204" i="77"/>
  <c r="E203" i="77"/>
  <c r="B202" i="77"/>
  <c r="C214" i="77"/>
  <c r="N212" i="77"/>
  <c r="K211" i="77"/>
  <c r="H210" i="77"/>
  <c r="E209" i="77"/>
  <c r="B208" i="77"/>
  <c r="J205" i="77"/>
  <c r="G204" i="77"/>
  <c r="D203" i="77"/>
  <c r="O201" i="77"/>
  <c r="B214" i="77"/>
  <c r="J211" i="77"/>
  <c r="G210" i="77"/>
  <c r="D209" i="77"/>
  <c r="O207" i="77"/>
  <c r="I205" i="77"/>
  <c r="F204" i="77"/>
  <c r="C203" i="77"/>
  <c r="N201" i="77"/>
  <c r="O213" i="77"/>
  <c r="I211" i="77"/>
  <c r="F210" i="77"/>
  <c r="C209" i="77"/>
  <c r="N207" i="77"/>
  <c r="K206" i="77"/>
  <c r="H205" i="77"/>
  <c r="E204" i="77"/>
  <c r="B203" i="77"/>
  <c r="M201" i="77"/>
  <c r="J214" i="77"/>
  <c r="H212" i="77"/>
  <c r="M210" i="77"/>
  <c r="K208" i="77"/>
  <c r="I206" i="77"/>
  <c r="M204" i="77"/>
  <c r="K202" i="77"/>
  <c r="B201" i="77"/>
  <c r="G213" i="77"/>
  <c r="D211" i="77"/>
  <c r="O208" i="77"/>
  <c r="D207" i="77"/>
  <c r="O204" i="77"/>
  <c r="M202" i="77"/>
  <c r="F213" i="77"/>
  <c r="C211" i="77"/>
  <c r="N208" i="77"/>
  <c r="C207" i="77"/>
  <c r="N204" i="77"/>
  <c r="J202" i="77"/>
  <c r="O214" i="77"/>
  <c r="E213" i="77"/>
  <c r="B211" i="77"/>
  <c r="M208" i="77"/>
  <c r="J206" i="77"/>
  <c r="L204" i="77"/>
  <c r="I202" i="77"/>
  <c r="I288" i="77" s="1"/>
  <c r="J339" i="77" s="1"/>
  <c r="N214" i="77"/>
  <c r="K212" i="77"/>
  <c r="O210" i="77"/>
  <c r="O296" i="77" s="1"/>
  <c r="P347" i="77" s="1"/>
  <c r="L208" i="77"/>
  <c r="H206" i="77"/>
  <c r="K204" i="77"/>
  <c r="H202" i="77"/>
  <c r="M214" i="77"/>
  <c r="J212" i="77"/>
  <c r="N210" i="77"/>
  <c r="J208" i="77"/>
  <c r="D204" i="77"/>
  <c r="G202" i="77"/>
  <c r="L214" i="77"/>
  <c r="I212" i="77"/>
  <c r="E210" i="77"/>
  <c r="I208" i="77"/>
  <c r="C204" i="77"/>
  <c r="F202" i="77"/>
  <c r="F288" i="77" s="1"/>
  <c r="G339" i="77" s="1"/>
  <c r="M213" i="77"/>
  <c r="D210" i="77"/>
  <c r="I207" i="77"/>
  <c r="M203" i="77"/>
  <c r="D201" i="77"/>
  <c r="L213" i="77"/>
  <c r="C210" i="77"/>
  <c r="H207" i="77"/>
  <c r="L203" i="77"/>
  <c r="C201" i="77"/>
  <c r="K213" i="77"/>
  <c r="B210" i="77"/>
  <c r="G207" i="77"/>
  <c r="K203" i="77"/>
  <c r="J213" i="77"/>
  <c r="O209" i="77"/>
  <c r="E207" i="77"/>
  <c r="E293" i="77" s="1"/>
  <c r="F344" i="77" s="1"/>
  <c r="J203" i="77"/>
  <c r="I213" i="77"/>
  <c r="N209" i="77"/>
  <c r="E206" i="77"/>
  <c r="I203" i="77"/>
  <c r="F195" i="77"/>
  <c r="E212" i="77"/>
  <c r="I209" i="77"/>
  <c r="N205" i="77"/>
  <c r="E202" i="77"/>
  <c r="L209" i="77"/>
  <c r="C205" i="77"/>
  <c r="C291" i="77" s="1"/>
  <c r="D342" i="77" s="1"/>
  <c r="K214" i="77"/>
  <c r="K300" i="77" s="1"/>
  <c r="L351" i="77" s="1"/>
  <c r="K209" i="77"/>
  <c r="B204" i="77"/>
  <c r="I214" i="77"/>
  <c r="B209" i="77"/>
  <c r="O203" i="77"/>
  <c r="H214" i="77"/>
  <c r="G208" i="77"/>
  <c r="H203" i="77"/>
  <c r="N213" i="77"/>
  <c r="F208" i="77"/>
  <c r="O202" i="77"/>
  <c r="D212" i="77"/>
  <c r="J207" i="77"/>
  <c r="I201" i="77"/>
  <c r="B206" i="77"/>
  <c r="B292" i="77" s="1"/>
  <c r="C343" i="77" s="1"/>
  <c r="O205" i="77"/>
  <c r="H213" i="77"/>
  <c r="E205" i="77"/>
  <c r="K201" i="77"/>
  <c r="H201" i="77"/>
  <c r="E211" i="77"/>
  <c r="M207" i="77"/>
  <c r="L207" i="77"/>
  <c r="K207" i="77"/>
  <c r="C206" i="77"/>
  <c r="D205" i="77"/>
  <c r="N202" i="77"/>
  <c r="L201" i="77"/>
  <c r="F201" i="77"/>
  <c r="C212" i="77"/>
  <c r="B212" i="77"/>
  <c r="B298" i="77" s="1"/>
  <c r="C349" i="77" s="1"/>
  <c r="H211" i="77"/>
  <c r="G201" i="77"/>
  <c r="E201" i="77"/>
  <c r="M209" i="77"/>
  <c r="L210" i="65"/>
  <c r="F48" i="53"/>
  <c r="B56" i="53"/>
  <c r="D59" i="53"/>
  <c r="G57" i="53"/>
  <c r="F57" i="53"/>
  <c r="K51" i="53"/>
  <c r="G403" i="81"/>
  <c r="F403" i="81"/>
  <c r="F256" i="71"/>
  <c r="B210" i="65"/>
  <c r="F82" i="77"/>
  <c r="F95" i="77"/>
  <c r="E90" i="77"/>
  <c r="O98" i="77"/>
  <c r="O96" i="77"/>
  <c r="N96" i="77"/>
  <c r="H88" i="77"/>
  <c r="L96" i="77"/>
  <c r="O87" i="77"/>
  <c r="K96" i="77"/>
  <c r="O86" i="77"/>
  <c r="B93" i="77"/>
  <c r="O92" i="77"/>
  <c r="G96" i="77"/>
  <c r="F96" i="77"/>
  <c r="N92" i="77"/>
  <c r="L92" i="77"/>
  <c r="D92" i="77"/>
  <c r="C92" i="77"/>
  <c r="K90" i="77"/>
  <c r="K86" i="77"/>
  <c r="C99" i="77"/>
  <c r="B99" i="77"/>
  <c r="B86" i="77"/>
  <c r="I96" i="77"/>
  <c r="J90" i="77"/>
  <c r="J86" i="77"/>
  <c r="G320" i="75"/>
  <c r="F320" i="75"/>
  <c r="F324" i="75"/>
  <c r="I208" i="65"/>
  <c r="G204" i="65"/>
  <c r="M205" i="65"/>
  <c r="J204" i="65"/>
  <c r="M204" i="65"/>
  <c r="G215" i="65"/>
  <c r="J11" i="59"/>
  <c r="I11" i="59"/>
  <c r="H40" i="45"/>
  <c r="B39" i="45"/>
  <c r="F37" i="45"/>
  <c r="J35" i="45"/>
  <c r="H32" i="45"/>
  <c r="K41" i="45"/>
  <c r="D40" i="45"/>
  <c r="G38" i="45"/>
  <c r="J36" i="45"/>
  <c r="F33" i="45"/>
  <c r="I41" i="45"/>
  <c r="B40" i="45"/>
  <c r="B167" i="45" s="1"/>
  <c r="C206" i="45" s="1"/>
  <c r="E38" i="45"/>
  <c r="E165" i="45" s="1"/>
  <c r="F204" i="45" s="1"/>
  <c r="H36" i="45"/>
  <c r="K34" i="45"/>
  <c r="H41" i="45"/>
  <c r="K39" i="45"/>
  <c r="D38" i="45"/>
  <c r="D165" i="45" s="1"/>
  <c r="E204" i="45" s="1"/>
  <c r="G36" i="45"/>
  <c r="J34" i="45"/>
  <c r="G41" i="45"/>
  <c r="J39" i="45"/>
  <c r="C38" i="45"/>
  <c r="F36" i="45"/>
  <c r="I34" i="45"/>
  <c r="C41" i="45"/>
  <c r="C168" i="45" s="1"/>
  <c r="D207" i="45" s="1"/>
  <c r="K38" i="45"/>
  <c r="I36" i="45"/>
  <c r="B41" i="45"/>
  <c r="J38" i="45"/>
  <c r="E36" i="45"/>
  <c r="K40" i="45"/>
  <c r="I38" i="45"/>
  <c r="D36" i="45"/>
  <c r="J40" i="45"/>
  <c r="H38" i="45"/>
  <c r="C36" i="45"/>
  <c r="K33" i="45"/>
  <c r="I40" i="45"/>
  <c r="F38" i="45"/>
  <c r="B36" i="45"/>
  <c r="J33" i="45"/>
  <c r="J160" i="45" s="1"/>
  <c r="K199" i="45" s="1"/>
  <c r="I39" i="45"/>
  <c r="H37" i="45"/>
  <c r="F35" i="45"/>
  <c r="K32" i="45"/>
  <c r="K159" i="45" s="1"/>
  <c r="L198" i="45" s="1"/>
  <c r="K37" i="45"/>
  <c r="H34" i="45"/>
  <c r="J41" i="45"/>
  <c r="J37" i="45"/>
  <c r="G34" i="45"/>
  <c r="E41" i="45"/>
  <c r="G37" i="45"/>
  <c r="I33" i="45"/>
  <c r="D41" i="45"/>
  <c r="E37" i="45"/>
  <c r="H33" i="45"/>
  <c r="F26" i="45"/>
  <c r="F40" i="45"/>
  <c r="C37" i="45"/>
  <c r="G40" i="45"/>
  <c r="H35" i="45"/>
  <c r="H162" i="45" s="1"/>
  <c r="I201" i="45" s="1"/>
  <c r="E40" i="45"/>
  <c r="E167" i="45" s="1"/>
  <c r="F206" i="45" s="1"/>
  <c r="G35" i="45"/>
  <c r="C40" i="45"/>
  <c r="H39" i="45"/>
  <c r="G39" i="45"/>
  <c r="F39" i="45"/>
  <c r="F34" i="45"/>
  <c r="B38" i="45"/>
  <c r="G32" i="45"/>
  <c r="I37" i="45"/>
  <c r="F32" i="45"/>
  <c r="G33" i="45"/>
  <c r="J32" i="45"/>
  <c r="I32" i="45"/>
  <c r="E39" i="45"/>
  <c r="D39" i="45"/>
  <c r="C39" i="45"/>
  <c r="D37" i="45"/>
  <c r="I35" i="45"/>
  <c r="B37" i="45"/>
  <c r="K36" i="45"/>
  <c r="K35" i="45"/>
  <c r="F41" i="45"/>
  <c r="D64" i="87"/>
  <c r="F65" i="87"/>
  <c r="C66" i="87"/>
  <c r="D275" i="75"/>
  <c r="J276" i="75"/>
  <c r="K280" i="75"/>
  <c r="G275" i="75"/>
  <c r="O275" i="75"/>
  <c r="C276" i="75"/>
  <c r="I275" i="75"/>
  <c r="F281" i="75"/>
  <c r="J274" i="75"/>
  <c r="C278" i="75"/>
  <c r="J281" i="75"/>
  <c r="K15" i="75"/>
  <c r="M57" i="73"/>
  <c r="K63" i="73"/>
  <c r="B65" i="73"/>
  <c r="K67" i="73"/>
  <c r="C57" i="73"/>
  <c r="D67" i="73"/>
  <c r="H64" i="73"/>
  <c r="H10" i="67"/>
  <c r="D132" i="53"/>
  <c r="F127" i="53"/>
  <c r="G135" i="53"/>
  <c r="B136" i="53"/>
  <c r="C133" i="53"/>
  <c r="K75" i="41"/>
  <c r="G249" i="55"/>
  <c r="F249" i="55"/>
  <c r="F257" i="55"/>
  <c r="F75" i="41"/>
  <c r="G128" i="53"/>
  <c r="K36" i="58"/>
  <c r="K130" i="51"/>
  <c r="E129" i="51"/>
  <c r="C130" i="51"/>
  <c r="G159" i="49"/>
  <c r="H198" i="49" s="1"/>
  <c r="G188" i="43"/>
  <c r="F188" i="43"/>
  <c r="L218" i="43" s="1"/>
  <c r="F192" i="43"/>
  <c r="J55" i="39"/>
  <c r="F131" i="59"/>
  <c r="B130" i="59"/>
  <c r="F127" i="59"/>
  <c r="B126" i="59"/>
  <c r="J124" i="59"/>
  <c r="F123" i="59"/>
  <c r="B122" i="59"/>
  <c r="J120" i="59"/>
  <c r="F129" i="59"/>
  <c r="B128" i="59"/>
  <c r="J126" i="59"/>
  <c r="F125" i="59"/>
  <c r="B124" i="59"/>
  <c r="J122" i="59"/>
  <c r="F121" i="59"/>
  <c r="B120" i="59"/>
  <c r="F114" i="59"/>
  <c r="H130" i="59"/>
  <c r="B129" i="59"/>
  <c r="H127" i="59"/>
  <c r="M125" i="59"/>
  <c r="G124" i="59"/>
  <c r="M122" i="59"/>
  <c r="G121" i="59"/>
  <c r="G130" i="59"/>
  <c r="G127" i="59"/>
  <c r="L125" i="59"/>
  <c r="F124" i="59"/>
  <c r="L122" i="59"/>
  <c r="E121" i="59"/>
  <c r="F130" i="59"/>
  <c r="E127" i="59"/>
  <c r="K125" i="59"/>
  <c r="E124" i="59"/>
  <c r="K122" i="59"/>
  <c r="D121" i="59"/>
  <c r="E130" i="59"/>
  <c r="D127" i="59"/>
  <c r="J125" i="59"/>
  <c r="D124" i="59"/>
  <c r="I122" i="59"/>
  <c r="C121" i="59"/>
  <c r="D130" i="59"/>
  <c r="I128" i="59"/>
  <c r="C127" i="59"/>
  <c r="I125" i="59"/>
  <c r="C124" i="59"/>
  <c r="H122" i="59"/>
  <c r="B121" i="59"/>
  <c r="E131" i="59"/>
  <c r="E128" i="59"/>
  <c r="K126" i="59"/>
  <c r="D125" i="59"/>
  <c r="J123" i="59"/>
  <c r="D122" i="59"/>
  <c r="I120" i="59"/>
  <c r="G131" i="59"/>
  <c r="D129" i="59"/>
  <c r="H126" i="59"/>
  <c r="M123" i="59"/>
  <c r="K121" i="59"/>
  <c r="D131" i="59"/>
  <c r="C129" i="59"/>
  <c r="G126" i="59"/>
  <c r="L123" i="59"/>
  <c r="J121" i="59"/>
  <c r="C131" i="59"/>
  <c r="H128" i="59"/>
  <c r="F126" i="59"/>
  <c r="K123" i="59"/>
  <c r="I121" i="59"/>
  <c r="B131" i="59"/>
  <c r="G128" i="59"/>
  <c r="E126" i="59"/>
  <c r="I123" i="59"/>
  <c r="H121" i="59"/>
  <c r="F128" i="59"/>
  <c r="D126" i="59"/>
  <c r="H123" i="59"/>
  <c r="M120" i="59"/>
  <c r="J127" i="59"/>
  <c r="H124" i="59"/>
  <c r="F120" i="59"/>
  <c r="I127" i="59"/>
  <c r="G123" i="59"/>
  <c r="E120" i="59"/>
  <c r="I130" i="59"/>
  <c r="B127" i="59"/>
  <c r="E123" i="59"/>
  <c r="D120" i="59"/>
  <c r="C130" i="59"/>
  <c r="M126" i="59"/>
  <c r="D123" i="59"/>
  <c r="C120" i="59"/>
  <c r="L126" i="59"/>
  <c r="C123" i="59"/>
  <c r="C126" i="59"/>
  <c r="G122" i="59"/>
  <c r="L127" i="59"/>
  <c r="M121" i="59"/>
  <c r="K127" i="59"/>
  <c r="L121" i="59"/>
  <c r="I126" i="59"/>
  <c r="L120" i="59"/>
  <c r="H125" i="59"/>
  <c r="K120" i="59"/>
  <c r="G125" i="59"/>
  <c r="H120" i="59"/>
  <c r="E125" i="59"/>
  <c r="G120" i="59"/>
  <c r="I129" i="59"/>
  <c r="L124" i="59"/>
  <c r="M124" i="59"/>
  <c r="K124" i="59"/>
  <c r="I124" i="59"/>
  <c r="B123" i="59"/>
  <c r="F122" i="59"/>
  <c r="H131" i="59"/>
  <c r="C122" i="59"/>
  <c r="I131" i="59"/>
  <c r="E129" i="59"/>
  <c r="D128" i="59"/>
  <c r="B125" i="59"/>
  <c r="E122" i="59"/>
  <c r="H129" i="59"/>
  <c r="C125" i="59"/>
  <c r="G129" i="59"/>
  <c r="C128" i="59"/>
  <c r="M127" i="59"/>
  <c r="F252" i="61"/>
  <c r="G248" i="61"/>
  <c r="F248" i="61"/>
  <c r="F257" i="61"/>
  <c r="F255" i="61"/>
  <c r="G253" i="61"/>
  <c r="G249" i="61"/>
  <c r="H8" i="77"/>
  <c r="I8" i="77" s="1"/>
  <c r="M30" i="54"/>
  <c r="L30" i="54"/>
  <c r="I8" i="47"/>
  <c r="J8" i="47" s="1"/>
  <c r="B53" i="51"/>
  <c r="J56" i="51"/>
  <c r="G60" i="51"/>
  <c r="J168" i="55"/>
  <c r="G169" i="55"/>
  <c r="L167" i="55"/>
  <c r="K165" i="55"/>
  <c r="D162" i="55"/>
  <c r="I171" i="55"/>
  <c r="C169" i="55"/>
  <c r="K78" i="47"/>
  <c r="E77" i="47"/>
  <c r="I75" i="47"/>
  <c r="C74" i="47"/>
  <c r="G72" i="47"/>
  <c r="K70" i="47"/>
  <c r="H79" i="47"/>
  <c r="K77" i="47"/>
  <c r="D76" i="47"/>
  <c r="G74" i="47"/>
  <c r="J72" i="47"/>
  <c r="F79" i="47"/>
  <c r="E74" i="47"/>
  <c r="H72" i="47"/>
  <c r="J70" i="47"/>
  <c r="E79" i="47"/>
  <c r="K75" i="47"/>
  <c r="D74" i="47"/>
  <c r="F72" i="47"/>
  <c r="D79" i="47"/>
  <c r="G77" i="47"/>
  <c r="J75" i="47"/>
  <c r="B74" i="47"/>
  <c r="E72" i="47"/>
  <c r="D78" i="47"/>
  <c r="H75" i="47"/>
  <c r="G73" i="47"/>
  <c r="F71" i="47"/>
  <c r="C78" i="47"/>
  <c r="G75" i="47"/>
  <c r="F73" i="47"/>
  <c r="E71" i="47"/>
  <c r="B78" i="47"/>
  <c r="F75" i="47"/>
  <c r="E73" i="47"/>
  <c r="D71" i="47"/>
  <c r="J77" i="47"/>
  <c r="E75" i="47"/>
  <c r="D73" i="47"/>
  <c r="K79" i="47"/>
  <c r="F77" i="47"/>
  <c r="D75" i="47"/>
  <c r="C73" i="47"/>
  <c r="G70" i="47"/>
  <c r="F64" i="47"/>
  <c r="B79" i="47"/>
  <c r="J76" i="47"/>
  <c r="I74" i="47"/>
  <c r="C72" i="47"/>
  <c r="G79" i="47"/>
  <c r="E76" i="47"/>
  <c r="B72" i="47"/>
  <c r="C79" i="47"/>
  <c r="K71" i="47"/>
  <c r="I78" i="47"/>
  <c r="B75" i="47"/>
  <c r="H78" i="47"/>
  <c r="K74" i="47"/>
  <c r="F78" i="47"/>
  <c r="H74" i="47"/>
  <c r="F70" i="47"/>
  <c r="G71" i="47"/>
  <c r="E70" i="47"/>
  <c r="G76" i="47"/>
  <c r="D70" i="47"/>
  <c r="F76" i="47"/>
  <c r="C75" i="47"/>
  <c r="J74" i="47"/>
  <c r="J78" i="47"/>
  <c r="I73" i="47"/>
  <c r="G78" i="47"/>
  <c r="H73" i="47"/>
  <c r="J79" i="47"/>
  <c r="E78" i="47"/>
  <c r="I79" i="47"/>
  <c r="F74" i="47"/>
  <c r="D77" i="47"/>
  <c r="K76" i="47"/>
  <c r="K73" i="47"/>
  <c r="J73" i="47"/>
  <c r="B73" i="47"/>
  <c r="K72" i="47"/>
  <c r="D72" i="47"/>
  <c r="J71" i="47"/>
  <c r="I72" i="47"/>
  <c r="C102" i="33"/>
  <c r="D97" i="31"/>
  <c r="G189" i="39"/>
  <c r="E34" i="33"/>
  <c r="E32" i="33"/>
  <c r="D34" i="33"/>
  <c r="D32" i="33"/>
  <c r="B34" i="33"/>
  <c r="H31" i="33"/>
  <c r="F29" i="33"/>
  <c r="I35" i="33"/>
  <c r="G33" i="33"/>
  <c r="C35" i="33"/>
  <c r="I32" i="33"/>
  <c r="G30" i="33"/>
  <c r="F33" i="33"/>
  <c r="I30" i="33"/>
  <c r="E33" i="33"/>
  <c r="F30" i="33"/>
  <c r="D33" i="33"/>
  <c r="C33" i="33"/>
  <c r="H35" i="33"/>
  <c r="B33" i="33"/>
  <c r="I29" i="33"/>
  <c r="G35" i="33"/>
  <c r="H32" i="33"/>
  <c r="H29" i="33"/>
  <c r="F35" i="33"/>
  <c r="G32" i="33"/>
  <c r="G29" i="33"/>
  <c r="I34" i="33"/>
  <c r="I31" i="33"/>
  <c r="I28" i="33"/>
  <c r="H34" i="33"/>
  <c r="G31" i="33"/>
  <c r="H28" i="33"/>
  <c r="H30" i="33"/>
  <c r="E35" i="33"/>
  <c r="B35" i="33"/>
  <c r="D35" i="33"/>
  <c r="C34" i="33"/>
  <c r="I33" i="33"/>
  <c r="H33" i="33"/>
  <c r="F32" i="33"/>
  <c r="C32" i="33"/>
  <c r="B32" i="33"/>
  <c r="F31" i="33"/>
  <c r="G28" i="33"/>
  <c r="F28" i="33"/>
  <c r="G34" i="33"/>
  <c r="F34" i="33"/>
  <c r="F22" i="33"/>
  <c r="J8" i="67"/>
  <c r="I8" i="67"/>
  <c r="K8" i="67" s="1"/>
  <c r="B99" i="33"/>
  <c r="K29" i="66"/>
  <c r="K14" i="63"/>
  <c r="N207" i="37"/>
  <c r="F193" i="37"/>
  <c r="G193" i="37"/>
  <c r="L31" i="32"/>
  <c r="M31" i="32"/>
  <c r="F75" i="29"/>
  <c r="G79" i="29"/>
  <c r="E84" i="29"/>
  <c r="B84" i="29"/>
  <c r="I83" i="29"/>
  <c r="H81" i="29"/>
  <c r="G81" i="29"/>
  <c r="D80" i="29"/>
  <c r="F84" i="29"/>
  <c r="D79" i="29"/>
  <c r="G84" i="29"/>
  <c r="F85" i="29"/>
  <c r="I82" i="29"/>
  <c r="G83" i="29"/>
  <c r="E80" i="29"/>
  <c r="E83" i="29"/>
  <c r="G80" i="29"/>
  <c r="E79" i="29"/>
  <c r="D81" i="29"/>
  <c r="G82" i="29"/>
  <c r="F83" i="29"/>
  <c r="F80" i="29"/>
  <c r="F108" i="29" s="1"/>
  <c r="G141" i="29" s="1"/>
  <c r="I84" i="29"/>
  <c r="F82" i="29"/>
  <c r="E85" i="29"/>
  <c r="E86" i="29"/>
  <c r="D82" i="29"/>
  <c r="C81" i="29"/>
  <c r="C82" i="29"/>
  <c r="G86" i="29"/>
  <c r="E82" i="29"/>
  <c r="D85" i="29"/>
  <c r="D86" i="29"/>
  <c r="F86" i="29"/>
  <c r="H82" i="29"/>
  <c r="F79" i="29"/>
  <c r="E81" i="29"/>
  <c r="H113" i="93"/>
  <c r="D112" i="93"/>
  <c r="L110" i="93"/>
  <c r="H109" i="93"/>
  <c r="D108" i="93"/>
  <c r="L106" i="93"/>
  <c r="H105" i="93"/>
  <c r="D104" i="93"/>
  <c r="G113" i="93"/>
  <c r="C112" i="93"/>
  <c r="K110" i="93"/>
  <c r="G109" i="93"/>
  <c r="C108" i="93"/>
  <c r="K106" i="93"/>
  <c r="G105" i="93"/>
  <c r="C104" i="93"/>
  <c r="F113" i="93"/>
  <c r="B112" i="93"/>
  <c r="J110" i="93"/>
  <c r="F109" i="93"/>
  <c r="B108" i="93"/>
  <c r="J106" i="93"/>
  <c r="F105" i="93"/>
  <c r="B104" i="93"/>
  <c r="I114" i="93"/>
  <c r="E113" i="93"/>
  <c r="I110" i="93"/>
  <c r="E109" i="93"/>
  <c r="M107" i="93"/>
  <c r="I106" i="93"/>
  <c r="E105" i="93"/>
  <c r="M103" i="93"/>
  <c r="H114" i="93"/>
  <c r="D113" i="93"/>
  <c r="H110" i="93"/>
  <c r="D109" i="93"/>
  <c r="L107" i="93"/>
  <c r="H106" i="93"/>
  <c r="D105" i="93"/>
  <c r="L103" i="93"/>
  <c r="D114" i="93"/>
  <c r="H111" i="93"/>
  <c r="D110" i="93"/>
  <c r="L108" i="93"/>
  <c r="H107" i="93"/>
  <c r="D106" i="93"/>
  <c r="L104" i="93"/>
  <c r="H103" i="93"/>
  <c r="C114" i="93"/>
  <c r="E112" i="93"/>
  <c r="M109" i="93"/>
  <c r="J107" i="93"/>
  <c r="K105" i="93"/>
  <c r="G103" i="93"/>
  <c r="B114" i="93"/>
  <c r="B276" i="93" s="1"/>
  <c r="C321" i="93" s="1"/>
  <c r="L109" i="93"/>
  <c r="I107" i="93"/>
  <c r="J105" i="93"/>
  <c r="F103" i="93"/>
  <c r="K109" i="93"/>
  <c r="G107" i="93"/>
  <c r="I105" i="93"/>
  <c r="E103" i="93"/>
  <c r="I111" i="93"/>
  <c r="J109" i="93"/>
  <c r="F107" i="93"/>
  <c r="C105" i="93"/>
  <c r="D103" i="93"/>
  <c r="G111" i="93"/>
  <c r="I109" i="93"/>
  <c r="E107" i="93"/>
  <c r="B105" i="93"/>
  <c r="C103" i="93"/>
  <c r="B113" i="93"/>
  <c r="C111" i="93"/>
  <c r="K108" i="93"/>
  <c r="M106" i="93"/>
  <c r="I104" i="93"/>
  <c r="B109" i="93"/>
  <c r="B106" i="93"/>
  <c r="I112" i="93"/>
  <c r="M108" i="93"/>
  <c r="M105" i="93"/>
  <c r="H112" i="93"/>
  <c r="J108" i="93"/>
  <c r="L105" i="93"/>
  <c r="G112" i="93"/>
  <c r="I108" i="93"/>
  <c r="I270" i="93" s="1"/>
  <c r="J315" i="93" s="1"/>
  <c r="M104" i="93"/>
  <c r="F112" i="93"/>
  <c r="H108" i="93"/>
  <c r="K104" i="93"/>
  <c r="E114" i="93"/>
  <c r="C109" i="93"/>
  <c r="E104" i="93"/>
  <c r="G108" i="93"/>
  <c r="K103" i="93"/>
  <c r="I113" i="93"/>
  <c r="I275" i="93" s="1"/>
  <c r="J320" i="93" s="1"/>
  <c r="F108" i="93"/>
  <c r="J103" i="93"/>
  <c r="C113" i="93"/>
  <c r="E108" i="93"/>
  <c r="I103" i="93"/>
  <c r="K107" i="93"/>
  <c r="B103" i="93"/>
  <c r="D107" i="93"/>
  <c r="E111" i="93"/>
  <c r="H104" i="93"/>
  <c r="D111" i="93"/>
  <c r="G104" i="93"/>
  <c r="G266" i="93" s="1"/>
  <c r="H311" i="93" s="1"/>
  <c r="B111" i="93"/>
  <c r="F104" i="93"/>
  <c r="M110" i="93"/>
  <c r="G110" i="93"/>
  <c r="C107" i="93"/>
  <c r="F110" i="93"/>
  <c r="E110" i="93"/>
  <c r="C110" i="93"/>
  <c r="B110" i="93"/>
  <c r="B107" i="93"/>
  <c r="G106" i="93"/>
  <c r="E106" i="93"/>
  <c r="C106" i="93"/>
  <c r="J104" i="93"/>
  <c r="F97" i="93"/>
  <c r="F114" i="93"/>
  <c r="F111" i="93"/>
  <c r="F106" i="93"/>
  <c r="G114" i="93"/>
  <c r="G51" i="53"/>
  <c r="H54" i="53"/>
  <c r="I60" i="53"/>
  <c r="H53" i="53"/>
  <c r="D60" i="53"/>
  <c r="N8" i="41"/>
  <c r="A290" i="41" s="1"/>
  <c r="F51" i="45"/>
  <c r="K60" i="45"/>
  <c r="D59" i="45"/>
  <c r="K56" i="45"/>
  <c r="I33" i="19"/>
  <c r="C33" i="19"/>
  <c r="C112" i="19" s="1"/>
  <c r="D145" i="19" s="1"/>
  <c r="H31" i="19"/>
  <c r="G108" i="3"/>
  <c r="C107" i="3"/>
  <c r="K105" i="3"/>
  <c r="K204" i="3" s="1"/>
  <c r="L249" i="3" s="1"/>
  <c r="G104" i="3"/>
  <c r="K101" i="3"/>
  <c r="G100" i="3"/>
  <c r="C99" i="3"/>
  <c r="K97" i="3"/>
  <c r="F105" i="3"/>
  <c r="J98" i="3"/>
  <c r="F108" i="3"/>
  <c r="B107" i="3"/>
  <c r="J105" i="3"/>
  <c r="J204" i="3" s="1"/>
  <c r="K249" i="3" s="1"/>
  <c r="F104" i="3"/>
  <c r="J101" i="3"/>
  <c r="J200" i="3" s="1"/>
  <c r="K245" i="3" s="1"/>
  <c r="F100" i="3"/>
  <c r="B99" i="3"/>
  <c r="J97" i="3"/>
  <c r="E108" i="3"/>
  <c r="M106" i="3"/>
  <c r="I105" i="3"/>
  <c r="E104" i="3"/>
  <c r="M102" i="3"/>
  <c r="I101" i="3"/>
  <c r="E100" i="3"/>
  <c r="M98" i="3"/>
  <c r="M197" i="3" s="1"/>
  <c r="N242" i="3" s="1"/>
  <c r="B100" i="3"/>
  <c r="D108" i="3"/>
  <c r="D207" i="3" s="1"/>
  <c r="E252" i="3" s="1"/>
  <c r="L106" i="3"/>
  <c r="H105" i="3"/>
  <c r="D104" i="3"/>
  <c r="L102" i="3"/>
  <c r="H101" i="3"/>
  <c r="D100" i="3"/>
  <c r="L98" i="3"/>
  <c r="L197" i="3" s="1"/>
  <c r="M242" i="3" s="1"/>
  <c r="J102" i="3"/>
  <c r="C108" i="3"/>
  <c r="K106" i="3"/>
  <c r="G105" i="3"/>
  <c r="K102" i="3"/>
  <c r="K201" i="3" s="1"/>
  <c r="L246" i="3" s="1"/>
  <c r="G101" i="3"/>
  <c r="C100" i="3"/>
  <c r="K98" i="3"/>
  <c r="G97" i="3"/>
  <c r="J106" i="3"/>
  <c r="F101" i="3"/>
  <c r="B108" i="3"/>
  <c r="B207" i="3" s="1"/>
  <c r="C252" i="3" s="1"/>
  <c r="F97" i="3"/>
  <c r="J107" i="3"/>
  <c r="F106" i="3"/>
  <c r="F205" i="3" s="1"/>
  <c r="G250" i="3" s="1"/>
  <c r="B105" i="3"/>
  <c r="B204" i="3" s="1"/>
  <c r="C249" i="3" s="1"/>
  <c r="J103" i="3"/>
  <c r="F102" i="3"/>
  <c r="B101" i="3"/>
  <c r="J99" i="3"/>
  <c r="F98" i="3"/>
  <c r="E107" i="3"/>
  <c r="K104" i="3"/>
  <c r="E102" i="3"/>
  <c r="L99" i="3"/>
  <c r="L97" i="3"/>
  <c r="L196" i="3" s="1"/>
  <c r="M241" i="3" s="1"/>
  <c r="I106" i="3"/>
  <c r="I99" i="3"/>
  <c r="D107" i="3"/>
  <c r="J104" i="3"/>
  <c r="D102" i="3"/>
  <c r="K99" i="3"/>
  <c r="K198" i="3" s="1"/>
  <c r="L243" i="3" s="1"/>
  <c r="E97" i="3"/>
  <c r="C102" i="3"/>
  <c r="D97" i="3"/>
  <c r="J108" i="3"/>
  <c r="J207" i="3" s="1"/>
  <c r="K252" i="3" s="1"/>
  <c r="K103" i="3"/>
  <c r="E99" i="3"/>
  <c r="M108" i="3"/>
  <c r="H106" i="3"/>
  <c r="B102" i="3"/>
  <c r="H99" i="3"/>
  <c r="K108" i="3"/>
  <c r="L101" i="3"/>
  <c r="D106" i="3"/>
  <c r="E101" i="3"/>
  <c r="L108" i="3"/>
  <c r="G106" i="3"/>
  <c r="M103" i="3"/>
  <c r="M101" i="3"/>
  <c r="G99" i="3"/>
  <c r="E106" i="3"/>
  <c r="F99" i="3"/>
  <c r="L103" i="3"/>
  <c r="M107" i="3"/>
  <c r="M105" i="3"/>
  <c r="G103" i="3"/>
  <c r="M100" i="3"/>
  <c r="L107" i="3"/>
  <c r="L206" i="3" s="1"/>
  <c r="M251" i="3" s="1"/>
  <c r="L105" i="3"/>
  <c r="L204" i="3" s="1"/>
  <c r="M249" i="3" s="1"/>
  <c r="F103" i="3"/>
  <c r="L100" i="3"/>
  <c r="G98" i="3"/>
  <c r="K107" i="3"/>
  <c r="K206" i="3" s="1"/>
  <c r="L251" i="3" s="1"/>
  <c r="E105" i="3"/>
  <c r="E103" i="3"/>
  <c r="K100" i="3"/>
  <c r="E98" i="3"/>
  <c r="B106" i="3"/>
  <c r="M99" i="3"/>
  <c r="D105" i="3"/>
  <c r="D99" i="3"/>
  <c r="M104" i="3"/>
  <c r="D98" i="3"/>
  <c r="L104" i="3"/>
  <c r="L203" i="3" s="1"/>
  <c r="M248" i="3" s="1"/>
  <c r="D101" i="3"/>
  <c r="H102" i="3"/>
  <c r="C101" i="3"/>
  <c r="J100" i="3"/>
  <c r="J199" i="3" s="1"/>
  <c r="K244" i="3" s="1"/>
  <c r="I108" i="3"/>
  <c r="I207" i="3" s="1"/>
  <c r="J252" i="3" s="1"/>
  <c r="I100" i="3"/>
  <c r="H108" i="3"/>
  <c r="H100" i="3"/>
  <c r="I102" i="3"/>
  <c r="I107" i="3"/>
  <c r="G107" i="3"/>
  <c r="H107" i="3"/>
  <c r="H206" i="3" s="1"/>
  <c r="I251" i="3" s="1"/>
  <c r="M97" i="3"/>
  <c r="M196" i="3" s="1"/>
  <c r="N241" i="3" s="1"/>
  <c r="D103" i="3"/>
  <c r="F107" i="3"/>
  <c r="F206" i="3" s="1"/>
  <c r="G251" i="3" s="1"/>
  <c r="C106" i="3"/>
  <c r="C205" i="3" s="1"/>
  <c r="D250" i="3" s="1"/>
  <c r="C105" i="3"/>
  <c r="G102" i="3"/>
  <c r="M29" i="30"/>
  <c r="L29" i="30"/>
  <c r="C64" i="33"/>
  <c r="E65" i="33"/>
  <c r="I33" i="23"/>
  <c r="K12" i="45"/>
  <c r="K147" i="41"/>
  <c r="I155" i="41"/>
  <c r="C155" i="41"/>
  <c r="H96" i="23"/>
  <c r="H52" i="53"/>
  <c r="C161" i="75"/>
  <c r="J159" i="75"/>
  <c r="G158" i="75"/>
  <c r="N157" i="75"/>
  <c r="H131" i="71"/>
  <c r="D130" i="71"/>
  <c r="H127" i="71"/>
  <c r="D126" i="71"/>
  <c r="L124" i="71"/>
  <c r="H123" i="71"/>
  <c r="D122" i="71"/>
  <c r="L120" i="71"/>
  <c r="G131" i="71"/>
  <c r="C130" i="71"/>
  <c r="G127" i="71"/>
  <c r="C126" i="71"/>
  <c r="K124" i="71"/>
  <c r="G123" i="71"/>
  <c r="C122" i="71"/>
  <c r="K120" i="71"/>
  <c r="F131" i="71"/>
  <c r="B130" i="71"/>
  <c r="F127" i="71"/>
  <c r="B126" i="71"/>
  <c r="J124" i="71"/>
  <c r="F123" i="71"/>
  <c r="B122" i="71"/>
  <c r="J120" i="71"/>
  <c r="E131" i="71"/>
  <c r="I128" i="71"/>
  <c r="E127" i="71"/>
  <c r="M125" i="71"/>
  <c r="I124" i="71"/>
  <c r="E123" i="71"/>
  <c r="M121" i="71"/>
  <c r="I120" i="71"/>
  <c r="D131" i="71"/>
  <c r="H128" i="71"/>
  <c r="D127" i="71"/>
  <c r="L125" i="71"/>
  <c r="H124" i="71"/>
  <c r="D123" i="71"/>
  <c r="L121" i="71"/>
  <c r="H120" i="71"/>
  <c r="C131" i="71"/>
  <c r="G128" i="71"/>
  <c r="C127" i="71"/>
  <c r="K125" i="71"/>
  <c r="G124" i="71"/>
  <c r="C123" i="71"/>
  <c r="K121" i="71"/>
  <c r="G120" i="71"/>
  <c r="I126" i="71"/>
  <c r="E124" i="71"/>
  <c r="G122" i="71"/>
  <c r="C120" i="71"/>
  <c r="F128" i="71"/>
  <c r="H126" i="71"/>
  <c r="D124" i="71"/>
  <c r="F122" i="71"/>
  <c r="B120" i="71"/>
  <c r="I130" i="71"/>
  <c r="E128" i="71"/>
  <c r="G126" i="71"/>
  <c r="C124" i="71"/>
  <c r="E122" i="71"/>
  <c r="H130" i="71"/>
  <c r="D128" i="71"/>
  <c r="F126" i="71"/>
  <c r="B124" i="71"/>
  <c r="J121" i="71"/>
  <c r="G130" i="71"/>
  <c r="C128" i="71"/>
  <c r="E126" i="71"/>
  <c r="M123" i="71"/>
  <c r="I121" i="71"/>
  <c r="I129" i="71"/>
  <c r="K127" i="71"/>
  <c r="G125" i="71"/>
  <c r="I123" i="71"/>
  <c r="E121" i="71"/>
  <c r="M127" i="71"/>
  <c r="B125" i="71"/>
  <c r="D121" i="71"/>
  <c r="I131" i="71"/>
  <c r="L127" i="71"/>
  <c r="M124" i="71"/>
  <c r="C121" i="71"/>
  <c r="B131" i="71"/>
  <c r="J127" i="71"/>
  <c r="F124" i="71"/>
  <c r="B121" i="71"/>
  <c r="I127" i="71"/>
  <c r="L123" i="71"/>
  <c r="M120" i="71"/>
  <c r="B127" i="71"/>
  <c r="K123" i="71"/>
  <c r="F120" i="71"/>
  <c r="H129" i="71"/>
  <c r="J126" i="71"/>
  <c r="L122" i="71"/>
  <c r="C129" i="71"/>
  <c r="K122" i="71"/>
  <c r="B129" i="71"/>
  <c r="J122" i="71"/>
  <c r="B128" i="71"/>
  <c r="I122" i="71"/>
  <c r="M126" i="71"/>
  <c r="H122" i="71"/>
  <c r="L126" i="71"/>
  <c r="H121" i="71"/>
  <c r="H125" i="71"/>
  <c r="D120" i="71"/>
  <c r="D125" i="71"/>
  <c r="C125" i="71"/>
  <c r="J123" i="71"/>
  <c r="B123" i="71"/>
  <c r="F130" i="71"/>
  <c r="M122" i="71"/>
  <c r="E130" i="71"/>
  <c r="G121" i="71"/>
  <c r="F121" i="71"/>
  <c r="F129" i="71"/>
  <c r="F114" i="71"/>
  <c r="G129" i="71"/>
  <c r="J125" i="71"/>
  <c r="E120" i="71"/>
  <c r="E129" i="71"/>
  <c r="F125" i="71"/>
  <c r="E125" i="71"/>
  <c r="I125" i="71"/>
  <c r="D129" i="71"/>
  <c r="K126" i="71"/>
  <c r="H12" i="43"/>
  <c r="M37" i="36"/>
  <c r="L37" i="36"/>
  <c r="F68" i="19"/>
  <c r="D38" i="51"/>
  <c r="D39" i="51"/>
  <c r="I12" i="39"/>
  <c r="J12" i="39" s="1"/>
  <c r="I83" i="27"/>
  <c r="C97" i="23"/>
  <c r="I30" i="23"/>
  <c r="I52" i="39"/>
  <c r="K8" i="7"/>
  <c r="C98" i="19"/>
  <c r="F97" i="19"/>
  <c r="D81" i="19"/>
  <c r="L38" i="58"/>
  <c r="M38" i="58"/>
  <c r="C83" i="29"/>
  <c r="H99" i="59"/>
  <c r="I104" i="59"/>
  <c r="D105" i="59"/>
  <c r="C57" i="17"/>
  <c r="D220" i="17"/>
  <c r="F220" i="17"/>
  <c r="K9" i="27"/>
  <c r="E81" i="15"/>
  <c r="E123" i="2"/>
  <c r="L118" i="2"/>
  <c r="D127" i="2"/>
  <c r="F135" i="29"/>
  <c r="M161" i="2"/>
  <c r="L167" i="2"/>
  <c r="E588" i="81"/>
  <c r="C588" i="81"/>
  <c r="B213" i="81"/>
  <c r="E235" i="77"/>
  <c r="D226" i="77"/>
  <c r="F232" i="77"/>
  <c r="D225" i="77"/>
  <c r="C230" i="77"/>
  <c r="M233" i="77"/>
  <c r="K11" i="77"/>
  <c r="F128" i="75"/>
  <c r="M143" i="75"/>
  <c r="B138" i="75"/>
  <c r="M132" i="75"/>
  <c r="L143" i="75"/>
  <c r="O137" i="75"/>
  <c r="E132" i="75"/>
  <c r="O141" i="75"/>
  <c r="N137" i="75"/>
  <c r="D132" i="75"/>
  <c r="M141" i="75"/>
  <c r="M137" i="75"/>
  <c r="B132" i="75"/>
  <c r="L141" i="75"/>
  <c r="N136" i="75"/>
  <c r="H145" i="75"/>
  <c r="I140" i="75"/>
  <c r="O144" i="75"/>
  <c r="G140" i="75"/>
  <c r="C144" i="75"/>
  <c r="B144" i="75"/>
  <c r="H134" i="75"/>
  <c r="O143" i="75"/>
  <c r="G134" i="75"/>
  <c r="N143" i="75"/>
  <c r="F134" i="75"/>
  <c r="F140" i="75"/>
  <c r="O138" i="75"/>
  <c r="N138" i="75"/>
  <c r="E138" i="75"/>
  <c r="C138" i="75"/>
  <c r="M136" i="75"/>
  <c r="L135" i="75"/>
  <c r="H144" i="75"/>
  <c r="E144" i="75"/>
  <c r="M135" i="75"/>
  <c r="I234" i="77"/>
  <c r="K28" i="70"/>
  <c r="L42" i="80"/>
  <c r="M42" i="80"/>
  <c r="H8" i="87"/>
  <c r="C69" i="79"/>
  <c r="L64" i="79"/>
  <c r="J63" i="79"/>
  <c r="E72" i="79"/>
  <c r="L66" i="79"/>
  <c r="D75" i="79"/>
  <c r="E73" i="79"/>
  <c r="J75" i="79"/>
  <c r="I12" i="79"/>
  <c r="K28" i="68"/>
  <c r="I6" i="67"/>
  <c r="J6" i="67"/>
  <c r="K10" i="73"/>
  <c r="K33" i="88"/>
  <c r="K224" i="65"/>
  <c r="L269" i="65" s="1"/>
  <c r="M222" i="63"/>
  <c r="N267" i="63" s="1"/>
  <c r="K8" i="83"/>
  <c r="H140" i="75"/>
  <c r="C145" i="75"/>
  <c r="I144" i="75"/>
  <c r="N134" i="75"/>
  <c r="N139" i="75"/>
  <c r="M144" i="75"/>
  <c r="F137" i="75"/>
  <c r="I192" i="69"/>
  <c r="E191" i="69"/>
  <c r="M189" i="69"/>
  <c r="I188" i="69"/>
  <c r="E187" i="69"/>
  <c r="M185" i="69"/>
  <c r="I184" i="69"/>
  <c r="E183" i="69"/>
  <c r="H192" i="69"/>
  <c r="D191" i="69"/>
  <c r="L189" i="69"/>
  <c r="H188" i="69"/>
  <c r="D187" i="69"/>
  <c r="L185" i="69"/>
  <c r="H184" i="69"/>
  <c r="D183" i="69"/>
  <c r="G192" i="69"/>
  <c r="C191" i="69"/>
  <c r="K189" i="69"/>
  <c r="G188" i="69"/>
  <c r="C187" i="69"/>
  <c r="K185" i="69"/>
  <c r="G184" i="69"/>
  <c r="C183" i="69"/>
  <c r="F192" i="69"/>
  <c r="B191" i="69"/>
  <c r="J189" i="69"/>
  <c r="F188" i="69"/>
  <c r="B187" i="69"/>
  <c r="J185" i="69"/>
  <c r="F184" i="69"/>
  <c r="B183" i="69"/>
  <c r="F177" i="69"/>
  <c r="I193" i="69"/>
  <c r="E192" i="69"/>
  <c r="M190" i="69"/>
  <c r="I189" i="69"/>
  <c r="E188" i="69"/>
  <c r="M186" i="69"/>
  <c r="I185" i="69"/>
  <c r="E184" i="69"/>
  <c r="H193" i="69"/>
  <c r="D192" i="69"/>
  <c r="L190" i="69"/>
  <c r="H189" i="69"/>
  <c r="D188" i="69"/>
  <c r="L186" i="69"/>
  <c r="H185" i="69"/>
  <c r="D184" i="69"/>
  <c r="H190" i="69"/>
  <c r="J188" i="69"/>
  <c r="F186" i="69"/>
  <c r="B184" i="69"/>
  <c r="I194" i="69"/>
  <c r="G190" i="69"/>
  <c r="C188" i="69"/>
  <c r="E186" i="69"/>
  <c r="M183" i="69"/>
  <c r="H194" i="69"/>
  <c r="F190" i="69"/>
  <c r="B188" i="69"/>
  <c r="D186" i="69"/>
  <c r="L183" i="69"/>
  <c r="G194" i="69"/>
  <c r="C192" i="69"/>
  <c r="E190" i="69"/>
  <c r="M187" i="69"/>
  <c r="C186" i="69"/>
  <c r="K183" i="69"/>
  <c r="F194" i="69"/>
  <c r="B192" i="69"/>
  <c r="D190" i="69"/>
  <c r="L187" i="69"/>
  <c r="B186" i="69"/>
  <c r="J183" i="69"/>
  <c r="B194" i="69"/>
  <c r="F189" i="69"/>
  <c r="H187" i="69"/>
  <c r="D185" i="69"/>
  <c r="F183" i="69"/>
  <c r="E194" i="69"/>
  <c r="F191" i="69"/>
  <c r="I187" i="69"/>
  <c r="J184" i="69"/>
  <c r="D194" i="69"/>
  <c r="K190" i="69"/>
  <c r="G187" i="69"/>
  <c r="C184" i="69"/>
  <c r="C194" i="69"/>
  <c r="J190" i="69"/>
  <c r="F187" i="69"/>
  <c r="I183" i="69"/>
  <c r="G193" i="69"/>
  <c r="I190" i="69"/>
  <c r="K186" i="69"/>
  <c r="H183" i="69"/>
  <c r="F193" i="69"/>
  <c r="C190" i="69"/>
  <c r="J186" i="69"/>
  <c r="G183" i="69"/>
  <c r="B193" i="69"/>
  <c r="D189" i="69"/>
  <c r="G185" i="69"/>
  <c r="C193" i="69"/>
  <c r="K187" i="69"/>
  <c r="J187" i="69"/>
  <c r="I186" i="69"/>
  <c r="H186" i="69"/>
  <c r="G186" i="69"/>
  <c r="B190" i="69"/>
  <c r="B185" i="69"/>
  <c r="H191" i="69"/>
  <c r="G191" i="69"/>
  <c r="G189" i="69"/>
  <c r="E189" i="69"/>
  <c r="C189" i="69"/>
  <c r="B189" i="69"/>
  <c r="M188" i="69"/>
  <c r="K188" i="69"/>
  <c r="E193" i="69"/>
  <c r="D193" i="69"/>
  <c r="I191" i="69"/>
  <c r="C185" i="69"/>
  <c r="K184" i="69"/>
  <c r="E185" i="69"/>
  <c r="M184" i="69"/>
  <c r="L184" i="69"/>
  <c r="F185" i="69"/>
  <c r="L188" i="69"/>
  <c r="G251" i="61"/>
  <c r="F251" i="61"/>
  <c r="G144" i="75"/>
  <c r="F31" i="73"/>
  <c r="F45" i="73"/>
  <c r="F228" i="73" s="1"/>
  <c r="G273" i="73" s="1"/>
  <c r="J39" i="73"/>
  <c r="E45" i="73"/>
  <c r="H39" i="73"/>
  <c r="K47" i="73"/>
  <c r="J36" i="73"/>
  <c r="C47" i="73"/>
  <c r="C230" i="73" s="1"/>
  <c r="D275" i="73" s="1"/>
  <c r="I36" i="73"/>
  <c r="B44" i="73"/>
  <c r="H36" i="73"/>
  <c r="M43" i="73"/>
  <c r="G36" i="73"/>
  <c r="G219" i="73" s="1"/>
  <c r="H264" i="73" s="1"/>
  <c r="K43" i="73"/>
  <c r="K226" i="73" s="1"/>
  <c r="L271" i="73" s="1"/>
  <c r="F36" i="73"/>
  <c r="F219" i="73" s="1"/>
  <c r="G264" i="73" s="1"/>
  <c r="H43" i="73"/>
  <c r="G43" i="73"/>
  <c r="E41" i="73"/>
  <c r="M47" i="73"/>
  <c r="L47" i="73"/>
  <c r="G41" i="73"/>
  <c r="D41" i="73"/>
  <c r="B41" i="73"/>
  <c r="B224" i="73" s="1"/>
  <c r="C269" i="73" s="1"/>
  <c r="L40" i="73"/>
  <c r="F38" i="73"/>
  <c r="K36" i="73"/>
  <c r="H229" i="65"/>
  <c r="I274" i="65" s="1"/>
  <c r="E89" i="61"/>
  <c r="M87" i="61"/>
  <c r="I86" i="61"/>
  <c r="E85" i="61"/>
  <c r="M83" i="61"/>
  <c r="I82" i="61"/>
  <c r="E81" i="61"/>
  <c r="M79" i="61"/>
  <c r="M220" i="61" s="1"/>
  <c r="N265" i="61" s="1"/>
  <c r="D89" i="61"/>
  <c r="L87" i="61"/>
  <c r="H86" i="61"/>
  <c r="D85" i="61"/>
  <c r="L83" i="61"/>
  <c r="H82" i="61"/>
  <c r="D81" i="61"/>
  <c r="L79" i="61"/>
  <c r="C89" i="61"/>
  <c r="C230" i="61" s="1"/>
  <c r="D275" i="61" s="1"/>
  <c r="K87" i="61"/>
  <c r="G86" i="61"/>
  <c r="K83" i="61"/>
  <c r="G82" i="61"/>
  <c r="C81" i="61"/>
  <c r="K79" i="61"/>
  <c r="K220" i="61" s="1"/>
  <c r="L265" i="61" s="1"/>
  <c r="G78" i="61"/>
  <c r="G219" i="61" s="1"/>
  <c r="H264" i="61" s="1"/>
  <c r="B89" i="61"/>
  <c r="J87" i="61"/>
  <c r="F86" i="61"/>
  <c r="J83" i="61"/>
  <c r="F82" i="61"/>
  <c r="B81" i="61"/>
  <c r="J79" i="61"/>
  <c r="F78" i="61"/>
  <c r="F219" i="61" s="1"/>
  <c r="G264" i="61" s="1"/>
  <c r="M88" i="61"/>
  <c r="I87" i="61"/>
  <c r="E86" i="61"/>
  <c r="M84" i="61"/>
  <c r="I83" i="61"/>
  <c r="E82" i="61"/>
  <c r="M80" i="61"/>
  <c r="E78" i="61"/>
  <c r="M89" i="61"/>
  <c r="I88" i="61"/>
  <c r="E87" i="61"/>
  <c r="M85" i="61"/>
  <c r="E83" i="61"/>
  <c r="M81" i="61"/>
  <c r="I80" i="61"/>
  <c r="E79" i="61"/>
  <c r="D88" i="61"/>
  <c r="L85" i="61"/>
  <c r="L226" i="61" s="1"/>
  <c r="M271" i="61" s="1"/>
  <c r="J81" i="61"/>
  <c r="G79" i="61"/>
  <c r="C88" i="61"/>
  <c r="K85" i="61"/>
  <c r="H83" i="61"/>
  <c r="I81" i="61"/>
  <c r="F79" i="61"/>
  <c r="F220" i="61" s="1"/>
  <c r="G265" i="61" s="1"/>
  <c r="L89" i="61"/>
  <c r="B88" i="61"/>
  <c r="J85" i="61"/>
  <c r="G83" i="61"/>
  <c r="H81" i="61"/>
  <c r="D79" i="61"/>
  <c r="K89" i="61"/>
  <c r="H87" i="61"/>
  <c r="F83" i="61"/>
  <c r="G81" i="61"/>
  <c r="J89" i="61"/>
  <c r="G87" i="61"/>
  <c r="D83" i="61"/>
  <c r="F81" i="61"/>
  <c r="F89" i="61"/>
  <c r="B87" i="61"/>
  <c r="B228" i="61" s="1"/>
  <c r="C273" i="61" s="1"/>
  <c r="K84" i="61"/>
  <c r="L82" i="61"/>
  <c r="H80" i="61"/>
  <c r="J78" i="61"/>
  <c r="G89" i="61"/>
  <c r="C86" i="61"/>
  <c r="J82" i="61"/>
  <c r="J223" i="61" s="1"/>
  <c r="K268" i="61" s="1"/>
  <c r="M78" i="61"/>
  <c r="L88" i="61"/>
  <c r="B86" i="61"/>
  <c r="D82" i="61"/>
  <c r="L78" i="61"/>
  <c r="K88" i="61"/>
  <c r="G85" i="61"/>
  <c r="C82" i="61"/>
  <c r="C223" i="61" s="1"/>
  <c r="D268" i="61" s="1"/>
  <c r="K78" i="61"/>
  <c r="J88" i="61"/>
  <c r="F85" i="61"/>
  <c r="B82" i="61"/>
  <c r="B223" i="61" s="1"/>
  <c r="C268" i="61" s="1"/>
  <c r="D78" i="61"/>
  <c r="H88" i="61"/>
  <c r="L84" i="61"/>
  <c r="L81" i="61"/>
  <c r="F87" i="61"/>
  <c r="F84" i="61"/>
  <c r="F225" i="61" s="1"/>
  <c r="G270" i="61" s="1"/>
  <c r="J80" i="61"/>
  <c r="E88" i="61"/>
  <c r="M82" i="61"/>
  <c r="F72" i="61"/>
  <c r="D87" i="61"/>
  <c r="K82" i="61"/>
  <c r="K223" i="61" s="1"/>
  <c r="L268" i="61" s="1"/>
  <c r="C87" i="61"/>
  <c r="K81" i="61"/>
  <c r="M86" i="61"/>
  <c r="L80" i="61"/>
  <c r="L86" i="61"/>
  <c r="K80" i="61"/>
  <c r="J86" i="61"/>
  <c r="F80" i="61"/>
  <c r="C83" i="61"/>
  <c r="B83" i="61"/>
  <c r="B224" i="61" s="1"/>
  <c r="C269" i="61" s="1"/>
  <c r="G80" i="61"/>
  <c r="E80" i="61"/>
  <c r="I89" i="61"/>
  <c r="D80" i="61"/>
  <c r="K86" i="61"/>
  <c r="G84" i="61"/>
  <c r="E84" i="61"/>
  <c r="D84" i="61"/>
  <c r="C80" i="61"/>
  <c r="B80" i="61"/>
  <c r="J84" i="61"/>
  <c r="H89" i="61"/>
  <c r="G88" i="61"/>
  <c r="F88" i="61"/>
  <c r="D86" i="61"/>
  <c r="B226" i="57"/>
  <c r="C271" i="57" s="1"/>
  <c r="K11" i="53"/>
  <c r="J42" i="73"/>
  <c r="J225" i="73" s="1"/>
  <c r="K270" i="73" s="1"/>
  <c r="D44" i="73"/>
  <c r="M46" i="73"/>
  <c r="D40" i="73"/>
  <c r="C46" i="73"/>
  <c r="C229" i="73" s="1"/>
  <c r="D274" i="73" s="1"/>
  <c r="I43" i="73"/>
  <c r="G229" i="63"/>
  <c r="H274" i="63" s="1"/>
  <c r="M42" i="100"/>
  <c r="L42" i="100"/>
  <c r="O75" i="79"/>
  <c r="G402" i="81"/>
  <c r="F402" i="81"/>
  <c r="G253" i="71"/>
  <c r="F253" i="71"/>
  <c r="P269" i="71"/>
  <c r="G255" i="73"/>
  <c r="K12" i="69"/>
  <c r="B211" i="65"/>
  <c r="F207" i="65"/>
  <c r="F206" i="65"/>
  <c r="C68" i="87"/>
  <c r="J9" i="77"/>
  <c r="I10" i="65"/>
  <c r="J10" i="65" s="1"/>
  <c r="F282" i="75"/>
  <c r="D273" i="75"/>
  <c r="B280" i="75"/>
  <c r="J271" i="75"/>
  <c r="J277" i="75"/>
  <c r="L277" i="75"/>
  <c r="K276" i="75"/>
  <c r="L275" i="75"/>
  <c r="E279" i="75"/>
  <c r="L282" i="75"/>
  <c r="A317" i="63"/>
  <c r="A327" i="63" s="1"/>
  <c r="J17" i="81"/>
  <c r="M29" i="78"/>
  <c r="L29" i="78"/>
  <c r="C44" i="73"/>
  <c r="F150" i="75"/>
  <c r="D165" i="75"/>
  <c r="L160" i="75"/>
  <c r="N167" i="75"/>
  <c r="K161" i="75"/>
  <c r="I155" i="75"/>
  <c r="G162" i="75"/>
  <c r="H158" i="75"/>
  <c r="E167" i="75"/>
  <c r="I156" i="75"/>
  <c r="F167" i="75"/>
  <c r="K158" i="75"/>
  <c r="E157" i="75"/>
  <c r="N160" i="75"/>
  <c r="B164" i="75"/>
  <c r="I159" i="75"/>
  <c r="H160" i="75"/>
  <c r="O168" i="75"/>
  <c r="E160" i="75"/>
  <c r="F156" i="75"/>
  <c r="C165" i="75"/>
  <c r="K168" i="75"/>
  <c r="C167" i="75"/>
  <c r="E166" i="75"/>
  <c r="E155" i="75"/>
  <c r="N162" i="75"/>
  <c r="E158" i="75"/>
  <c r="H165" i="75"/>
  <c r="E159" i="75"/>
  <c r="K167" i="75"/>
  <c r="J158" i="75"/>
  <c r="C168" i="75"/>
  <c r="H163" i="75"/>
  <c r="D161" i="75"/>
  <c r="H161" i="75"/>
  <c r="C157" i="75"/>
  <c r="L161" i="75"/>
  <c r="B157" i="75"/>
  <c r="E164" i="75"/>
  <c r="B158" i="75"/>
  <c r="H166" i="75"/>
  <c r="H156" i="75"/>
  <c r="O165" i="75"/>
  <c r="F161" i="75"/>
  <c r="I162" i="75"/>
  <c r="L157" i="75"/>
  <c r="G157" i="75"/>
  <c r="N164" i="75"/>
  <c r="J160" i="75"/>
  <c r="M155" i="75"/>
  <c r="B163" i="75"/>
  <c r="M156" i="75"/>
  <c r="E165" i="75"/>
  <c r="E168" i="75"/>
  <c r="K159" i="75"/>
  <c r="B159" i="75"/>
  <c r="C155" i="75"/>
  <c r="B167" i="75"/>
  <c r="F155" i="75"/>
  <c r="H159" i="75"/>
  <c r="O167" i="75"/>
  <c r="M161" i="75"/>
  <c r="J155" i="75"/>
  <c r="O163" i="75"/>
  <c r="C166" i="75"/>
  <c r="D162" i="75"/>
  <c r="I157" i="75"/>
  <c r="C156" i="75"/>
  <c r="G161" i="75"/>
  <c r="G163" i="75"/>
  <c r="L168" i="75"/>
  <c r="C163" i="75"/>
  <c r="N156" i="75"/>
  <c r="C164" i="75"/>
  <c r="C159" i="75"/>
  <c r="I158" i="75"/>
  <c r="J167" i="75"/>
  <c r="K162" i="75"/>
  <c r="O158" i="75"/>
  <c r="D167" i="75"/>
  <c r="E163" i="75"/>
  <c r="E68" i="73"/>
  <c r="C64" i="73"/>
  <c r="M66" i="73"/>
  <c r="H67" i="73"/>
  <c r="B59" i="73"/>
  <c r="H58" i="73"/>
  <c r="I68" i="73"/>
  <c r="M65" i="73"/>
  <c r="I62" i="73"/>
  <c r="K128" i="53"/>
  <c r="J78" i="41"/>
  <c r="D76" i="41"/>
  <c r="J72" i="41"/>
  <c r="C78" i="41"/>
  <c r="I74" i="41"/>
  <c r="F71" i="41"/>
  <c r="D78" i="41"/>
  <c r="G74" i="41"/>
  <c r="B78" i="41"/>
  <c r="F74" i="41"/>
  <c r="G70" i="41"/>
  <c r="B74" i="41"/>
  <c r="F70" i="41"/>
  <c r="K73" i="41"/>
  <c r="E70" i="41"/>
  <c r="K76" i="41"/>
  <c r="E73" i="41"/>
  <c r="D70" i="41"/>
  <c r="J76" i="41"/>
  <c r="D73" i="41"/>
  <c r="K79" i="41"/>
  <c r="E76" i="41"/>
  <c r="E72" i="41"/>
  <c r="E79" i="41"/>
  <c r="D72" i="41"/>
  <c r="G78" i="41"/>
  <c r="E71" i="41"/>
  <c r="E78" i="41"/>
  <c r="F78" i="41"/>
  <c r="D71" i="41"/>
  <c r="J70" i="41"/>
  <c r="D75" i="41"/>
  <c r="G76" i="41"/>
  <c r="F76" i="41"/>
  <c r="F65" i="41"/>
  <c r="B75" i="41"/>
  <c r="K74" i="41"/>
  <c r="H74" i="41"/>
  <c r="C73" i="41"/>
  <c r="I78" i="41"/>
  <c r="B72" i="41"/>
  <c r="D79" i="41"/>
  <c r="C75" i="41"/>
  <c r="B73" i="41"/>
  <c r="F72" i="41"/>
  <c r="C72" i="41"/>
  <c r="G79" i="41"/>
  <c r="M35" i="58"/>
  <c r="L35" i="58"/>
  <c r="C89" i="55"/>
  <c r="K87" i="55"/>
  <c r="G86" i="55"/>
  <c r="C85" i="55"/>
  <c r="K83" i="55"/>
  <c r="C81" i="55"/>
  <c r="K79" i="55"/>
  <c r="G78" i="55"/>
  <c r="B89" i="55"/>
  <c r="J87" i="55"/>
  <c r="F86" i="55"/>
  <c r="B85" i="55"/>
  <c r="J83" i="55"/>
  <c r="B81" i="55"/>
  <c r="J79" i="55"/>
  <c r="F78" i="55"/>
  <c r="M88" i="55"/>
  <c r="I87" i="55"/>
  <c r="E86" i="55"/>
  <c r="M84" i="55"/>
  <c r="E82" i="55"/>
  <c r="M80" i="55"/>
  <c r="I79" i="55"/>
  <c r="E78" i="55"/>
  <c r="L88" i="55"/>
  <c r="H87" i="55"/>
  <c r="D86" i="55"/>
  <c r="L84" i="55"/>
  <c r="D82" i="55"/>
  <c r="L80" i="55"/>
  <c r="H79" i="55"/>
  <c r="D78" i="55"/>
  <c r="K88" i="55"/>
  <c r="G87" i="55"/>
  <c r="C86" i="55"/>
  <c r="K84" i="55"/>
  <c r="C82" i="55"/>
  <c r="K80" i="55"/>
  <c r="G79" i="55"/>
  <c r="C78" i="55"/>
  <c r="K89" i="55"/>
  <c r="G88" i="55"/>
  <c r="C87" i="55"/>
  <c r="K85" i="55"/>
  <c r="C83" i="55"/>
  <c r="K81" i="55"/>
  <c r="G80" i="55"/>
  <c r="C79" i="55"/>
  <c r="I88" i="55"/>
  <c r="J86" i="55"/>
  <c r="D80" i="55"/>
  <c r="H88" i="55"/>
  <c r="I86" i="55"/>
  <c r="E84" i="55"/>
  <c r="B82" i="55"/>
  <c r="C80" i="55"/>
  <c r="F88" i="55"/>
  <c r="H86" i="55"/>
  <c r="D84" i="55"/>
  <c r="M81" i="55"/>
  <c r="B80" i="55"/>
  <c r="E88" i="55"/>
  <c r="B86" i="55"/>
  <c r="C84" i="55"/>
  <c r="L81" i="55"/>
  <c r="M79" i="55"/>
  <c r="D88" i="55"/>
  <c r="M85" i="55"/>
  <c r="B84" i="55"/>
  <c r="J81" i="55"/>
  <c r="L79" i="55"/>
  <c r="E89" i="55"/>
  <c r="L82" i="55"/>
  <c r="E79" i="55"/>
  <c r="D89" i="55"/>
  <c r="K82" i="55"/>
  <c r="D79" i="55"/>
  <c r="J88" i="55"/>
  <c r="J82" i="55"/>
  <c r="B79" i="55"/>
  <c r="C88" i="55"/>
  <c r="M78" i="55"/>
  <c r="B88" i="55"/>
  <c r="E85" i="55"/>
  <c r="I81" i="55"/>
  <c r="L78" i="55"/>
  <c r="M89" i="55"/>
  <c r="D87" i="55"/>
  <c r="M83" i="55"/>
  <c r="D81" i="55"/>
  <c r="B78" i="55"/>
  <c r="I89" i="55"/>
  <c r="E80" i="55"/>
  <c r="H89" i="55"/>
  <c r="F79" i="55"/>
  <c r="G89" i="55"/>
  <c r="L83" i="55"/>
  <c r="K78" i="55"/>
  <c r="F89" i="55"/>
  <c r="J78" i="55"/>
  <c r="M87" i="55"/>
  <c r="E83" i="55"/>
  <c r="I78" i="55"/>
  <c r="F87" i="55"/>
  <c r="B83" i="55"/>
  <c r="M86" i="55"/>
  <c r="F80" i="55"/>
  <c r="J84" i="55"/>
  <c r="L86" i="55"/>
  <c r="H78" i="55"/>
  <c r="K86" i="55"/>
  <c r="L85" i="55"/>
  <c r="J85" i="55"/>
  <c r="D85" i="55"/>
  <c r="F72" i="55"/>
  <c r="H81" i="55"/>
  <c r="G81" i="55"/>
  <c r="E87" i="55"/>
  <c r="B87" i="55"/>
  <c r="D83" i="55"/>
  <c r="I80" i="55"/>
  <c r="M82" i="55"/>
  <c r="J80" i="55"/>
  <c r="F81" i="55"/>
  <c r="E81" i="55"/>
  <c r="H80" i="55"/>
  <c r="L87" i="55"/>
  <c r="L89" i="55"/>
  <c r="J89" i="55"/>
  <c r="I11" i="45"/>
  <c r="J11" i="45" s="1"/>
  <c r="K127" i="53"/>
  <c r="C128" i="53"/>
  <c r="I134" i="53"/>
  <c r="K70" i="41"/>
  <c r="G77" i="41"/>
  <c r="G73" i="41"/>
  <c r="N318" i="55"/>
  <c r="N317" i="55"/>
  <c r="G71" i="41"/>
  <c r="I10" i="73"/>
  <c r="J10" i="73"/>
  <c r="I14" i="59"/>
  <c r="K14" i="59" s="1"/>
  <c r="J132" i="51"/>
  <c r="D131" i="51"/>
  <c r="I131" i="51"/>
  <c r="M34" i="50"/>
  <c r="L34" i="50"/>
  <c r="E57" i="39"/>
  <c r="H57" i="39"/>
  <c r="B57" i="39"/>
  <c r="I8" i="55"/>
  <c r="J8" i="55" s="1"/>
  <c r="B56" i="51"/>
  <c r="G57" i="51"/>
  <c r="I58" i="51"/>
  <c r="F193" i="45"/>
  <c r="I7" i="57"/>
  <c r="J172" i="55"/>
  <c r="J169" i="55"/>
  <c r="C167" i="55"/>
  <c r="H163" i="55"/>
  <c r="G170" i="55"/>
  <c r="F160" i="49"/>
  <c r="G199" i="49" s="1"/>
  <c r="I13" i="55"/>
  <c r="J13" i="55" s="1"/>
  <c r="N204" i="39"/>
  <c r="F190" i="39"/>
  <c r="G190" i="39"/>
  <c r="F252" i="55"/>
  <c r="M39" i="56"/>
  <c r="L39" i="56"/>
  <c r="K11" i="39"/>
  <c r="I96" i="33"/>
  <c r="D100" i="33"/>
  <c r="F82" i="31"/>
  <c r="F80" i="31"/>
  <c r="E86" i="31"/>
  <c r="E114" i="31" s="1"/>
  <c r="F147" i="31" s="1"/>
  <c r="E84" i="31"/>
  <c r="E82" i="31"/>
  <c r="E80" i="31"/>
  <c r="D84" i="31"/>
  <c r="B82" i="31"/>
  <c r="H79" i="31"/>
  <c r="E85" i="31"/>
  <c r="C83" i="31"/>
  <c r="I80" i="31"/>
  <c r="C84" i="31"/>
  <c r="G81" i="31"/>
  <c r="C79" i="31"/>
  <c r="B84" i="31"/>
  <c r="F81" i="31"/>
  <c r="B79" i="31"/>
  <c r="E81" i="31"/>
  <c r="D86" i="31"/>
  <c r="D81" i="31"/>
  <c r="C86" i="31"/>
  <c r="C81" i="31"/>
  <c r="B86" i="31"/>
  <c r="B81" i="31"/>
  <c r="I82" i="31"/>
  <c r="C80" i="31"/>
  <c r="D85" i="31"/>
  <c r="D113" i="31" s="1"/>
  <c r="E146" i="31" s="1"/>
  <c r="H82" i="31"/>
  <c r="B80" i="31"/>
  <c r="G82" i="31"/>
  <c r="F73" i="31"/>
  <c r="D82" i="31"/>
  <c r="C82" i="31"/>
  <c r="I81" i="31"/>
  <c r="I109" i="31" s="1"/>
  <c r="J142" i="31" s="1"/>
  <c r="H81" i="31"/>
  <c r="H109" i="31" s="1"/>
  <c r="I142" i="31" s="1"/>
  <c r="G80" i="31"/>
  <c r="H80" i="31"/>
  <c r="B85" i="31"/>
  <c r="G79" i="31"/>
  <c r="F79" i="31"/>
  <c r="E79" i="31"/>
  <c r="C85" i="31"/>
  <c r="D83" i="31"/>
  <c r="B83" i="31"/>
  <c r="D80" i="31"/>
  <c r="I79" i="31"/>
  <c r="D79" i="31"/>
  <c r="E83" i="31"/>
  <c r="I7" i="67"/>
  <c r="J7" i="67" s="1"/>
  <c r="K34" i="66"/>
  <c r="I9" i="31"/>
  <c r="J9" i="31" s="1"/>
  <c r="M39" i="38"/>
  <c r="L39" i="38"/>
  <c r="I56" i="53"/>
  <c r="B59" i="53"/>
  <c r="B53" i="53"/>
  <c r="E52" i="53"/>
  <c r="K11" i="37"/>
  <c r="I101" i="31"/>
  <c r="F74" i="57"/>
  <c r="I88" i="57"/>
  <c r="M78" i="57"/>
  <c r="M219" i="57" s="1"/>
  <c r="N264" i="57" s="1"/>
  <c r="L87" i="57"/>
  <c r="C85" i="57"/>
  <c r="G81" i="57"/>
  <c r="J78" i="57"/>
  <c r="K89" i="57"/>
  <c r="C80" i="57"/>
  <c r="I89" i="57"/>
  <c r="I78" i="57"/>
  <c r="H89" i="57"/>
  <c r="K83" i="57"/>
  <c r="H78" i="57"/>
  <c r="G89" i="57"/>
  <c r="E83" i="57"/>
  <c r="G78" i="57"/>
  <c r="G219" i="57" s="1"/>
  <c r="H264" i="57" s="1"/>
  <c r="F89" i="57"/>
  <c r="D83" i="57"/>
  <c r="K87" i="57"/>
  <c r="M82" i="57"/>
  <c r="E81" i="57"/>
  <c r="D81" i="57"/>
  <c r="I80" i="57"/>
  <c r="D80" i="57"/>
  <c r="E89" i="57"/>
  <c r="H80" i="57"/>
  <c r="M86" i="57"/>
  <c r="E87" i="57"/>
  <c r="G80" i="57"/>
  <c r="D87" i="57"/>
  <c r="E80" i="57"/>
  <c r="J86" i="57"/>
  <c r="I86" i="57"/>
  <c r="L86" i="57"/>
  <c r="K86" i="57"/>
  <c r="C83" i="57"/>
  <c r="L82" i="57"/>
  <c r="F81" i="57"/>
  <c r="L89" i="57"/>
  <c r="J82" i="57"/>
  <c r="F57" i="45"/>
  <c r="H55" i="45"/>
  <c r="G51" i="45"/>
  <c r="I29" i="19"/>
  <c r="H101" i="11"/>
  <c r="D99" i="11"/>
  <c r="G102" i="11"/>
  <c r="A108" i="11" s="1"/>
  <c r="A114" i="11" s="1"/>
  <c r="G101" i="11"/>
  <c r="A107" i="11" s="1"/>
  <c r="A113" i="11" s="1"/>
  <c r="H102" i="11"/>
  <c r="D69" i="23"/>
  <c r="H33" i="19"/>
  <c r="G109" i="55"/>
  <c r="C108" i="55"/>
  <c r="K106" i="55"/>
  <c r="G105" i="55"/>
  <c r="C104" i="55"/>
  <c r="K102" i="55"/>
  <c r="G101" i="55"/>
  <c r="C100" i="55"/>
  <c r="F109" i="55"/>
  <c r="B108" i="55"/>
  <c r="J106" i="55"/>
  <c r="F105" i="55"/>
  <c r="B104" i="55"/>
  <c r="J102" i="55"/>
  <c r="F101" i="55"/>
  <c r="B100" i="55"/>
  <c r="I110" i="55"/>
  <c r="E109" i="55"/>
  <c r="I106" i="55"/>
  <c r="E105" i="55"/>
  <c r="M103" i="55"/>
  <c r="I102" i="55"/>
  <c r="E101" i="55"/>
  <c r="M99" i="55"/>
  <c r="H110" i="55"/>
  <c r="D109" i="55"/>
  <c r="H106" i="55"/>
  <c r="D105" i="55"/>
  <c r="L103" i="55"/>
  <c r="H102" i="55"/>
  <c r="D101" i="55"/>
  <c r="L99" i="55"/>
  <c r="G110" i="55"/>
  <c r="C109" i="55"/>
  <c r="G106" i="55"/>
  <c r="C105" i="55"/>
  <c r="K103" i="55"/>
  <c r="G102" i="55"/>
  <c r="C101" i="55"/>
  <c r="K99" i="55"/>
  <c r="C110" i="55"/>
  <c r="G107" i="55"/>
  <c r="C106" i="55"/>
  <c r="K104" i="55"/>
  <c r="G103" i="55"/>
  <c r="C102" i="55"/>
  <c r="K100" i="55"/>
  <c r="G99" i="55"/>
  <c r="H108" i="55"/>
  <c r="E106" i="55"/>
  <c r="F104" i="55"/>
  <c r="B102" i="55"/>
  <c r="D100" i="55"/>
  <c r="F110" i="55"/>
  <c r="G108" i="55"/>
  <c r="D106" i="55"/>
  <c r="E104" i="55"/>
  <c r="M101" i="55"/>
  <c r="J99" i="55"/>
  <c r="E110" i="55"/>
  <c r="F108" i="55"/>
  <c r="B106" i="55"/>
  <c r="D104" i="55"/>
  <c r="L101" i="55"/>
  <c r="I99" i="55"/>
  <c r="F93" i="55"/>
  <c r="D110" i="55"/>
  <c r="E108" i="55"/>
  <c r="M105" i="55"/>
  <c r="J103" i="55"/>
  <c r="K101" i="55"/>
  <c r="H99" i="55"/>
  <c r="B110" i="55"/>
  <c r="D108" i="55"/>
  <c r="L105" i="55"/>
  <c r="I103" i="55"/>
  <c r="J101" i="55"/>
  <c r="F99" i="55"/>
  <c r="I108" i="55"/>
  <c r="B105" i="55"/>
  <c r="E102" i="55"/>
  <c r="B99" i="55"/>
  <c r="J107" i="55"/>
  <c r="M104" i="55"/>
  <c r="D102" i="55"/>
  <c r="I107" i="55"/>
  <c r="L104" i="55"/>
  <c r="I101" i="55"/>
  <c r="H107" i="55"/>
  <c r="J104" i="55"/>
  <c r="H101" i="55"/>
  <c r="F107" i="55"/>
  <c r="I104" i="55"/>
  <c r="B101" i="55"/>
  <c r="M106" i="55"/>
  <c r="E103" i="55"/>
  <c r="H100" i="55"/>
  <c r="L106" i="55"/>
  <c r="M100" i="55"/>
  <c r="F106" i="55"/>
  <c r="L100" i="55"/>
  <c r="K105" i="55"/>
  <c r="J100" i="55"/>
  <c r="J105" i="55"/>
  <c r="I100" i="55"/>
  <c r="I105" i="55"/>
  <c r="G100" i="55"/>
  <c r="I109" i="55"/>
  <c r="H104" i="55"/>
  <c r="E100" i="55"/>
  <c r="H109" i="55"/>
  <c r="M102" i="55"/>
  <c r="B109" i="55"/>
  <c r="L102" i="55"/>
  <c r="C99" i="55"/>
  <c r="F102" i="55"/>
  <c r="F100" i="55"/>
  <c r="D107" i="55"/>
  <c r="E99" i="55"/>
  <c r="E107" i="55"/>
  <c r="D99" i="55"/>
  <c r="H105" i="55"/>
  <c r="G104" i="55"/>
  <c r="F103" i="55"/>
  <c r="H103" i="55"/>
  <c r="C107" i="55"/>
  <c r="B107" i="55"/>
  <c r="D103" i="55"/>
  <c r="C103" i="55"/>
  <c r="B103" i="55"/>
  <c r="F58" i="23"/>
  <c r="H64" i="23"/>
  <c r="I63" i="23"/>
  <c r="H62" i="23"/>
  <c r="G62" i="23"/>
  <c r="G63" i="23"/>
  <c r="H63" i="23"/>
  <c r="F64" i="23"/>
  <c r="G64" i="23"/>
  <c r="D66" i="23"/>
  <c r="B64" i="23"/>
  <c r="C64" i="23"/>
  <c r="B68" i="23"/>
  <c r="C68" i="23"/>
  <c r="J152" i="17"/>
  <c r="I154" i="17"/>
  <c r="A162" i="17" s="1"/>
  <c r="A170" i="17" s="1"/>
  <c r="I152" i="17"/>
  <c r="A160" i="17" s="1"/>
  <c r="A168" i="17" s="1"/>
  <c r="F253" i="55"/>
  <c r="J133" i="43"/>
  <c r="B128" i="43"/>
  <c r="J130" i="43"/>
  <c r="K134" i="43"/>
  <c r="H8" i="37"/>
  <c r="L159" i="81"/>
  <c r="L158" i="81"/>
  <c r="L157" i="81"/>
  <c r="L156" i="81"/>
  <c r="L153" i="81"/>
  <c r="L152" i="81"/>
  <c r="L151" i="81"/>
  <c r="L150" i="81"/>
  <c r="L149" i="81"/>
  <c r="L148" i="81"/>
  <c r="L147" i="81"/>
  <c r="L146" i="81"/>
  <c r="K159" i="81"/>
  <c r="K158" i="81"/>
  <c r="K157" i="81"/>
  <c r="K156" i="81"/>
  <c r="K155" i="81"/>
  <c r="K154" i="81"/>
  <c r="K153" i="81"/>
  <c r="K152" i="81"/>
  <c r="K151" i="81"/>
  <c r="K150" i="81"/>
  <c r="K149" i="81"/>
  <c r="K148" i="81"/>
  <c r="K147" i="81"/>
  <c r="K146" i="81"/>
  <c r="K145" i="81"/>
  <c r="K144" i="81"/>
  <c r="J159" i="81"/>
  <c r="J158" i="81"/>
  <c r="J157" i="81"/>
  <c r="J156" i="81"/>
  <c r="J155" i="81"/>
  <c r="J154" i="81"/>
  <c r="J153" i="81"/>
  <c r="J152" i="81"/>
  <c r="J151" i="81"/>
  <c r="J150" i="81"/>
  <c r="J149" i="81"/>
  <c r="J148" i="81"/>
  <c r="J147" i="81"/>
  <c r="J146" i="81"/>
  <c r="J145" i="81"/>
  <c r="J144" i="81"/>
  <c r="I159" i="81"/>
  <c r="I158" i="81"/>
  <c r="I157" i="81"/>
  <c r="I156" i="81"/>
  <c r="I155" i="81"/>
  <c r="I154" i="81"/>
  <c r="I153" i="81"/>
  <c r="I152" i="81"/>
  <c r="I151" i="81"/>
  <c r="I150" i="81"/>
  <c r="I149" i="81"/>
  <c r="I148" i="81"/>
  <c r="I147" i="81"/>
  <c r="I146" i="81"/>
  <c r="I145" i="81"/>
  <c r="I144" i="81"/>
  <c r="H159" i="81"/>
  <c r="H158" i="81"/>
  <c r="H157" i="81"/>
  <c r="H156" i="81"/>
  <c r="H155" i="81"/>
  <c r="H154" i="81"/>
  <c r="H153" i="81"/>
  <c r="H152" i="81"/>
  <c r="H151" i="81"/>
  <c r="H150" i="81"/>
  <c r="H149" i="81"/>
  <c r="H148" i="81"/>
  <c r="H147" i="81"/>
  <c r="H146" i="81"/>
  <c r="H145" i="81"/>
  <c r="H144" i="81"/>
  <c r="D159" i="81"/>
  <c r="D158" i="81"/>
  <c r="D157" i="81"/>
  <c r="D156" i="81"/>
  <c r="D155" i="81"/>
  <c r="D154" i="81"/>
  <c r="D153" i="81"/>
  <c r="D152" i="81"/>
  <c r="D151" i="81"/>
  <c r="D150" i="81"/>
  <c r="D149" i="81"/>
  <c r="D148" i="81"/>
  <c r="D147" i="81"/>
  <c r="D146" i="81"/>
  <c r="D145" i="81"/>
  <c r="D144" i="81"/>
  <c r="F159" i="81"/>
  <c r="O157" i="81"/>
  <c r="C156" i="81"/>
  <c r="Q152" i="81"/>
  <c r="F151" i="81"/>
  <c r="O149" i="81"/>
  <c r="C148" i="81"/>
  <c r="M146" i="81"/>
  <c r="Q144" i="81"/>
  <c r="E159" i="81"/>
  <c r="N157" i="81"/>
  <c r="B156" i="81"/>
  <c r="G154" i="81"/>
  <c r="P152" i="81"/>
  <c r="E151" i="81"/>
  <c r="N149" i="81"/>
  <c r="B148" i="81"/>
  <c r="G146" i="81"/>
  <c r="P144" i="81"/>
  <c r="C159" i="81"/>
  <c r="M157" i="81"/>
  <c r="Q155" i="81"/>
  <c r="F154" i="81"/>
  <c r="O152" i="81"/>
  <c r="C151" i="81"/>
  <c r="M149" i="81"/>
  <c r="Q147" i="81"/>
  <c r="F146" i="81"/>
  <c r="O144" i="81"/>
  <c r="B159" i="81"/>
  <c r="G157" i="81"/>
  <c r="P155" i="81"/>
  <c r="E154" i="81"/>
  <c r="N152" i="81"/>
  <c r="B151" i="81"/>
  <c r="G149" i="81"/>
  <c r="P147" i="81"/>
  <c r="E146" i="81"/>
  <c r="N144" i="81"/>
  <c r="F138" i="81"/>
  <c r="Q158" i="81"/>
  <c r="F157" i="81"/>
  <c r="O155" i="81"/>
  <c r="M152" i="81"/>
  <c r="Q150" i="81"/>
  <c r="F149" i="81"/>
  <c r="O147" i="81"/>
  <c r="C146" i="81"/>
  <c r="P158" i="81"/>
  <c r="E157" i="81"/>
  <c r="N155" i="81"/>
  <c r="G152" i="81"/>
  <c r="P150" i="81"/>
  <c r="E149" i="81"/>
  <c r="N147" i="81"/>
  <c r="B146" i="81"/>
  <c r="G144" i="81"/>
  <c r="O159" i="81"/>
  <c r="Q156" i="81"/>
  <c r="O154" i="81"/>
  <c r="Q151" i="81"/>
  <c r="C149" i="81"/>
  <c r="Q146" i="81"/>
  <c r="N159" i="81"/>
  <c r="P156" i="81"/>
  <c r="N154" i="81"/>
  <c r="P151" i="81"/>
  <c r="B149" i="81"/>
  <c r="P146" i="81"/>
  <c r="M159" i="81"/>
  <c r="O156" i="81"/>
  <c r="Q153" i="81"/>
  <c r="O151" i="81"/>
  <c r="Q148" i="81"/>
  <c r="O146" i="81"/>
  <c r="G159" i="81"/>
  <c r="N156" i="81"/>
  <c r="P153" i="81"/>
  <c r="N151" i="81"/>
  <c r="P148" i="81"/>
  <c r="N146" i="81"/>
  <c r="O158" i="81"/>
  <c r="M156" i="81"/>
  <c r="O153" i="81"/>
  <c r="M151" i="81"/>
  <c r="O148" i="81"/>
  <c r="Q145" i="81"/>
  <c r="E158" i="81"/>
  <c r="G155" i="81"/>
  <c r="E153" i="81"/>
  <c r="G150" i="81"/>
  <c r="E148" i="81"/>
  <c r="G145" i="81"/>
  <c r="P159" i="81"/>
  <c r="E155" i="81"/>
  <c r="O150" i="81"/>
  <c r="E147" i="81"/>
  <c r="N158" i="81"/>
  <c r="N150" i="81"/>
  <c r="C147" i="81"/>
  <c r="M158" i="81"/>
  <c r="M150" i="81"/>
  <c r="B147" i="81"/>
  <c r="G158" i="81"/>
  <c r="Q154" i="81"/>
  <c r="F150" i="81"/>
  <c r="P145" i="81"/>
  <c r="F158" i="81"/>
  <c r="P154" i="81"/>
  <c r="E150" i="81"/>
  <c r="O145" i="81"/>
  <c r="C158" i="81"/>
  <c r="N153" i="81"/>
  <c r="C150" i="81"/>
  <c r="N145" i="81"/>
  <c r="M153" i="81"/>
  <c r="F148" i="81"/>
  <c r="G153" i="81"/>
  <c r="M147" i="81"/>
  <c r="F153" i="81"/>
  <c r="G147" i="81"/>
  <c r="C153" i="81"/>
  <c r="F147" i="81"/>
  <c r="B153" i="81"/>
  <c r="P157" i="81"/>
  <c r="B152" i="81"/>
  <c r="F156" i="81"/>
  <c r="E156" i="81"/>
  <c r="F144" i="81"/>
  <c r="E144" i="81"/>
  <c r="F155" i="81"/>
  <c r="F152" i="81"/>
  <c r="B150" i="81"/>
  <c r="Q149" i="81"/>
  <c r="P149" i="81"/>
  <c r="N148" i="81"/>
  <c r="M148" i="81"/>
  <c r="G148" i="81"/>
  <c r="B158" i="81"/>
  <c r="Q157" i="81"/>
  <c r="C157" i="81"/>
  <c r="Q159" i="81"/>
  <c r="G156" i="81"/>
  <c r="C152" i="81"/>
  <c r="E152" i="81"/>
  <c r="G151" i="81"/>
  <c r="F145" i="81"/>
  <c r="E145" i="81"/>
  <c r="B157" i="81"/>
  <c r="K7" i="47"/>
  <c r="G64" i="33"/>
  <c r="I6" i="23"/>
  <c r="M34" i="44"/>
  <c r="L34" i="44"/>
  <c r="B151" i="41"/>
  <c r="F147" i="41"/>
  <c r="E147" i="41"/>
  <c r="H33" i="23"/>
  <c r="D55" i="11"/>
  <c r="K10" i="29"/>
  <c r="I100" i="25"/>
  <c r="F85" i="7"/>
  <c r="E161" i="75"/>
  <c r="L158" i="75"/>
  <c r="J162" i="75"/>
  <c r="B160" i="75"/>
  <c r="F160" i="75"/>
  <c r="M167" i="75"/>
  <c r="G164" i="75"/>
  <c r="G62" i="19"/>
  <c r="M205" i="3"/>
  <c r="N250" i="3" s="1"/>
  <c r="H32" i="51"/>
  <c r="B41" i="51"/>
  <c r="I136" i="37"/>
  <c r="C135" i="37"/>
  <c r="C167" i="37" s="1"/>
  <c r="D206" i="37" s="1"/>
  <c r="G133" i="37"/>
  <c r="K131" i="37"/>
  <c r="I128" i="37"/>
  <c r="C127" i="37"/>
  <c r="H136" i="37"/>
  <c r="B135" i="37"/>
  <c r="F133" i="37"/>
  <c r="F165" i="37" s="1"/>
  <c r="G204" i="37" s="1"/>
  <c r="J131" i="37"/>
  <c r="H128" i="37"/>
  <c r="B127" i="37"/>
  <c r="F121" i="37"/>
  <c r="I135" i="37"/>
  <c r="K133" i="37"/>
  <c r="C132" i="37"/>
  <c r="C130" i="37"/>
  <c r="E128" i="37"/>
  <c r="H135" i="37"/>
  <c r="J133" i="37"/>
  <c r="B132" i="37"/>
  <c r="B130" i="37"/>
  <c r="D128" i="37"/>
  <c r="G135" i="37"/>
  <c r="I131" i="37"/>
  <c r="K129" i="37"/>
  <c r="C128" i="37"/>
  <c r="F135" i="37"/>
  <c r="H131" i="37"/>
  <c r="J129" i="37"/>
  <c r="B128" i="37"/>
  <c r="E135" i="37"/>
  <c r="G131" i="37"/>
  <c r="K127" i="37"/>
  <c r="F136" i="37"/>
  <c r="J132" i="37"/>
  <c r="B131" i="37"/>
  <c r="F127" i="37"/>
  <c r="J135" i="37"/>
  <c r="H132" i="37"/>
  <c r="G129" i="37"/>
  <c r="F134" i="37"/>
  <c r="E131" i="37"/>
  <c r="J128" i="37"/>
  <c r="J136" i="37"/>
  <c r="G130" i="37"/>
  <c r="G136" i="37"/>
  <c r="C133" i="37"/>
  <c r="F130" i="37"/>
  <c r="E136" i="37"/>
  <c r="B133" i="37"/>
  <c r="D136" i="37"/>
  <c r="K132" i="37"/>
  <c r="F129" i="37"/>
  <c r="C136" i="37"/>
  <c r="I132" i="37"/>
  <c r="B136" i="37"/>
  <c r="G132" i="37"/>
  <c r="C129" i="37"/>
  <c r="J134" i="37"/>
  <c r="F131" i="37"/>
  <c r="F128" i="37"/>
  <c r="D131" i="37"/>
  <c r="J127" i="37"/>
  <c r="C131" i="37"/>
  <c r="J130" i="37"/>
  <c r="K130" i="37"/>
  <c r="K128" i="37"/>
  <c r="D135" i="37"/>
  <c r="K136" i="37"/>
  <c r="K135" i="37"/>
  <c r="B129" i="37"/>
  <c r="G134" i="37"/>
  <c r="I127" i="37"/>
  <c r="H127" i="37"/>
  <c r="G127" i="37"/>
  <c r="C134" i="37"/>
  <c r="E127" i="37"/>
  <c r="D132" i="37"/>
  <c r="D127" i="37"/>
  <c r="K134" i="37"/>
  <c r="B134" i="37"/>
  <c r="F132" i="37"/>
  <c r="E132" i="37"/>
  <c r="G128" i="37"/>
  <c r="F135" i="25"/>
  <c r="L147" i="25"/>
  <c r="G135" i="25"/>
  <c r="I9" i="17"/>
  <c r="I102" i="25"/>
  <c r="C99" i="23"/>
  <c r="C56" i="39"/>
  <c r="G168" i="49"/>
  <c r="H207" i="49" s="1"/>
  <c r="K10" i="19"/>
  <c r="C102" i="19"/>
  <c r="F99" i="19"/>
  <c r="D83" i="19"/>
  <c r="M30" i="14"/>
  <c r="L30" i="14"/>
  <c r="D83" i="29"/>
  <c r="J152" i="41"/>
  <c r="D100" i="59"/>
  <c r="H102" i="59"/>
  <c r="K106" i="59"/>
  <c r="I6" i="11"/>
  <c r="F79" i="15"/>
  <c r="L202" i="3"/>
  <c r="M247" i="3" s="1"/>
  <c r="H128" i="2"/>
  <c r="J162" i="2"/>
  <c r="C167" i="2"/>
  <c r="D39" i="5"/>
  <c r="F86" i="47"/>
  <c r="K93" i="47"/>
  <c r="D93" i="47"/>
  <c r="G97" i="47"/>
  <c r="G92" i="47"/>
  <c r="F97" i="47"/>
  <c r="C92" i="47"/>
  <c r="E97" i="47"/>
  <c r="J91" i="47"/>
  <c r="D97" i="47"/>
  <c r="I91" i="47"/>
  <c r="D95" i="47"/>
  <c r="F90" i="47"/>
  <c r="B95" i="47"/>
  <c r="C90" i="47"/>
  <c r="F95" i="47"/>
  <c r="H94" i="47"/>
  <c r="J94" i="47"/>
  <c r="D94" i="47"/>
  <c r="H90" i="47"/>
  <c r="C94" i="47"/>
  <c r="I90" i="47"/>
  <c r="B94" i="47"/>
  <c r="G90" i="47"/>
  <c r="B90" i="47"/>
  <c r="K89" i="47"/>
  <c r="G89" i="47"/>
  <c r="B97" i="47"/>
  <c r="D28" i="13"/>
  <c r="F25" i="13"/>
  <c r="C28" i="13"/>
  <c r="B28" i="13"/>
  <c r="G27" i="13"/>
  <c r="F27" i="13"/>
  <c r="G24" i="13"/>
  <c r="E29" i="13"/>
  <c r="G26" i="13"/>
  <c r="D29" i="13"/>
  <c r="F26" i="13"/>
  <c r="F18" i="13"/>
  <c r="F29" i="13"/>
  <c r="C29" i="13"/>
  <c r="B29" i="13"/>
  <c r="G28" i="13"/>
  <c r="F28" i="13"/>
  <c r="E28" i="13"/>
  <c r="G29" i="13"/>
  <c r="G25" i="13"/>
  <c r="F24" i="13"/>
  <c r="F23" i="23"/>
  <c r="I31" i="23"/>
  <c r="H31" i="23"/>
  <c r="G31" i="23"/>
  <c r="G29" i="23"/>
  <c r="H28" i="23"/>
  <c r="B32" i="23"/>
  <c r="H35" i="23"/>
  <c r="G33" i="23"/>
  <c r="I35" i="23"/>
  <c r="G35" i="23"/>
  <c r="H32" i="23"/>
  <c r="M31" i="16"/>
  <c r="L31" i="16"/>
  <c r="I59" i="41"/>
  <c r="C58" i="41"/>
  <c r="K54" i="41"/>
  <c r="I51" i="41"/>
  <c r="H59" i="41"/>
  <c r="B58" i="41"/>
  <c r="J54" i="41"/>
  <c r="H51" i="41"/>
  <c r="G59" i="41"/>
  <c r="K57" i="41"/>
  <c r="I54" i="41"/>
  <c r="C53" i="41"/>
  <c r="G51" i="41"/>
  <c r="G159" i="41" s="1"/>
  <c r="H198" i="41" s="1"/>
  <c r="E59" i="41"/>
  <c r="F57" i="41"/>
  <c r="F165" i="41" s="1"/>
  <c r="G204" i="41" s="1"/>
  <c r="H53" i="41"/>
  <c r="F51" i="41"/>
  <c r="D59" i="41"/>
  <c r="E57" i="41"/>
  <c r="E51" i="41"/>
  <c r="F45" i="41"/>
  <c r="C59" i="41"/>
  <c r="D57" i="41"/>
  <c r="D51" i="41"/>
  <c r="K60" i="41"/>
  <c r="B59" i="41"/>
  <c r="C57" i="41"/>
  <c r="B53" i="41"/>
  <c r="C51" i="41"/>
  <c r="J60" i="41"/>
  <c r="K58" i="41"/>
  <c r="B57" i="41"/>
  <c r="C55" i="41"/>
  <c r="K52" i="41"/>
  <c r="K160" i="41" s="1"/>
  <c r="L199" i="41" s="1"/>
  <c r="B51" i="41"/>
  <c r="E60" i="41"/>
  <c r="F58" i="41"/>
  <c r="F52" i="41"/>
  <c r="C60" i="41"/>
  <c r="J56" i="41"/>
  <c r="K53" i="41"/>
  <c r="I58" i="41"/>
  <c r="J55" i="41"/>
  <c r="G52" i="41"/>
  <c r="H60" i="41"/>
  <c r="G57" i="41"/>
  <c r="J53" i="41"/>
  <c r="G60" i="41"/>
  <c r="K56" i="41"/>
  <c r="I53" i="41"/>
  <c r="F60" i="41"/>
  <c r="I56" i="41"/>
  <c r="J52" i="41"/>
  <c r="D60" i="41"/>
  <c r="H56" i="41"/>
  <c r="H164" i="41" s="1"/>
  <c r="I203" i="41" s="1"/>
  <c r="I52" i="41"/>
  <c r="B60" i="41"/>
  <c r="C56" i="41"/>
  <c r="H52" i="41"/>
  <c r="K59" i="41"/>
  <c r="B56" i="41"/>
  <c r="E52" i="41"/>
  <c r="H58" i="41"/>
  <c r="B55" i="41"/>
  <c r="K51" i="41"/>
  <c r="G58" i="41"/>
  <c r="G166" i="41" s="1"/>
  <c r="H205" i="41" s="1"/>
  <c r="H54" i="41"/>
  <c r="J51" i="41"/>
  <c r="J57" i="41"/>
  <c r="H57" i="41"/>
  <c r="I57" i="41"/>
  <c r="K55" i="41"/>
  <c r="I55" i="41"/>
  <c r="H55" i="41"/>
  <c r="C54" i="41"/>
  <c r="I60" i="41"/>
  <c r="B54" i="41"/>
  <c r="J59" i="41"/>
  <c r="D52" i="41"/>
  <c r="D58" i="41"/>
  <c r="E58" i="41"/>
  <c r="C52" i="41"/>
  <c r="B52" i="41"/>
  <c r="F59" i="41"/>
  <c r="J58" i="41"/>
  <c r="C32" i="23"/>
  <c r="F33" i="23"/>
  <c r="F185" i="39"/>
  <c r="G185" i="39"/>
  <c r="I9" i="23"/>
  <c r="I8" i="5"/>
  <c r="I10" i="47"/>
  <c r="J10" i="47"/>
  <c r="M32" i="32"/>
  <c r="L32" i="32"/>
  <c r="G39" i="13"/>
  <c r="K28" i="10"/>
  <c r="M32" i="10"/>
  <c r="L32" i="10"/>
  <c r="G128" i="27"/>
  <c r="F128" i="27"/>
  <c r="G131" i="27"/>
  <c r="F132" i="27"/>
  <c r="M31" i="12"/>
  <c r="L31" i="12"/>
  <c r="L37" i="14"/>
  <c r="M37" i="14"/>
  <c r="I46" i="29"/>
  <c r="I47" i="29"/>
  <c r="D126" i="3"/>
  <c r="C125" i="3"/>
  <c r="K127" i="3"/>
  <c r="K205" i="3" s="1"/>
  <c r="L250" i="3" s="1"/>
  <c r="C121" i="3"/>
  <c r="L125" i="3"/>
  <c r="C126" i="3"/>
  <c r="E142" i="7"/>
  <c r="C142" i="7"/>
  <c r="B18" i="7"/>
  <c r="I6" i="5"/>
  <c r="A177" i="17"/>
  <c r="A183" i="17" s="1"/>
  <c r="F131" i="17"/>
  <c r="D151" i="17" s="1"/>
  <c r="G131" i="17"/>
  <c r="I119" i="3"/>
  <c r="D118" i="3"/>
  <c r="C120" i="3"/>
  <c r="I123" i="3"/>
  <c r="G120" i="3"/>
  <c r="D127" i="3"/>
  <c r="G127" i="3"/>
  <c r="K28" i="4"/>
  <c r="E374" i="3"/>
  <c r="C374" i="3"/>
  <c r="K8" i="33"/>
  <c r="C382" i="3"/>
  <c r="E382" i="3"/>
  <c r="J8" i="35"/>
  <c r="I8" i="35"/>
  <c r="I152" i="23"/>
  <c r="A160" i="23" s="1"/>
  <c r="A168" i="23" s="1"/>
  <c r="J152" i="23"/>
  <c r="J155" i="23"/>
  <c r="I155" i="23"/>
  <c r="A163" i="23" s="1"/>
  <c r="A171" i="23" s="1"/>
  <c r="D151" i="23"/>
  <c r="F151" i="23"/>
  <c r="E151" i="23"/>
  <c r="J154" i="23"/>
  <c r="I154" i="23"/>
  <c r="A162" i="23" s="1"/>
  <c r="A170" i="23" s="1"/>
  <c r="J153" i="23"/>
  <c r="I153" i="23"/>
  <c r="A161" i="23" s="1"/>
  <c r="A169" i="23" s="1"/>
  <c r="B43" i="13"/>
  <c r="G40" i="13"/>
  <c r="G40" i="9"/>
  <c r="F40" i="9"/>
  <c r="C40" i="9"/>
  <c r="B40" i="9"/>
  <c r="E39" i="9"/>
  <c r="G39" i="9"/>
  <c r="F39" i="9"/>
  <c r="F34" i="9"/>
  <c r="C42" i="9"/>
  <c r="B41" i="9"/>
  <c r="J123" i="3"/>
  <c r="B129" i="3"/>
  <c r="E120" i="3"/>
  <c r="B120" i="3"/>
  <c r="K125" i="3"/>
  <c r="F128" i="3"/>
  <c r="J124" i="3"/>
  <c r="J202" i="3" s="1"/>
  <c r="K247" i="3" s="1"/>
  <c r="G135" i="23"/>
  <c r="F135" i="23"/>
  <c r="J156" i="23" s="1"/>
  <c r="L147" i="23"/>
  <c r="E128" i="3"/>
  <c r="F212" i="15"/>
  <c r="D212" i="15"/>
  <c r="C40" i="15"/>
  <c r="M40" i="48"/>
  <c r="L40" i="48"/>
  <c r="K58" i="43"/>
  <c r="M36" i="32"/>
  <c r="L36" i="32"/>
  <c r="M34" i="18"/>
  <c r="L34" i="18"/>
  <c r="G80" i="7"/>
  <c r="F80" i="7"/>
  <c r="J90" i="7"/>
  <c r="G59" i="43"/>
  <c r="I59" i="43"/>
  <c r="E60" i="43"/>
  <c r="E52" i="43"/>
  <c r="G57" i="43"/>
  <c r="N10" i="3"/>
  <c r="E395" i="3"/>
  <c r="K10" i="3"/>
  <c r="J10" i="3"/>
  <c r="F192" i="35"/>
  <c r="G192" i="35"/>
  <c r="N206" i="35"/>
  <c r="D33" i="23"/>
  <c r="M34" i="36"/>
  <c r="L34" i="36"/>
  <c r="M28" i="8"/>
  <c r="L28" i="8"/>
  <c r="I34" i="27"/>
  <c r="I32" i="27"/>
  <c r="I30" i="27"/>
  <c r="I28" i="27"/>
  <c r="I33" i="27"/>
  <c r="H31" i="27"/>
  <c r="G29" i="27"/>
  <c r="I35" i="27"/>
  <c r="H33" i="27"/>
  <c r="G31" i="27"/>
  <c r="F29" i="27"/>
  <c r="H35" i="27"/>
  <c r="G33" i="27"/>
  <c r="F31" i="27"/>
  <c r="G35" i="27"/>
  <c r="F33" i="27"/>
  <c r="E35" i="27"/>
  <c r="E114" i="27" s="1"/>
  <c r="F147" i="27" s="1"/>
  <c r="F35" i="27"/>
  <c r="E33" i="27"/>
  <c r="D33" i="27"/>
  <c r="H34" i="27"/>
  <c r="G32" i="27"/>
  <c r="F30" i="27"/>
  <c r="G34" i="27"/>
  <c r="F32" i="27"/>
  <c r="D35" i="27"/>
  <c r="D114" i="27" s="1"/>
  <c r="E147" i="27" s="1"/>
  <c r="B35" i="27"/>
  <c r="C35" i="27"/>
  <c r="H30" i="27"/>
  <c r="H109" i="27" s="1"/>
  <c r="I142" i="27" s="1"/>
  <c r="G30" i="27"/>
  <c r="F34" i="27"/>
  <c r="F22" i="27"/>
  <c r="D34" i="27"/>
  <c r="I29" i="27"/>
  <c r="E34" i="27"/>
  <c r="C34" i="27"/>
  <c r="B33" i="27"/>
  <c r="G28" i="27"/>
  <c r="H32" i="27"/>
  <c r="F28" i="27"/>
  <c r="E32" i="27"/>
  <c r="B34" i="27"/>
  <c r="C33" i="27"/>
  <c r="D32" i="27"/>
  <c r="C32" i="27"/>
  <c r="B32" i="27"/>
  <c r="I31" i="27"/>
  <c r="H29" i="27"/>
  <c r="H28" i="27"/>
  <c r="H107" i="15"/>
  <c r="I140" i="15" s="1"/>
  <c r="A243" i="3"/>
  <c r="J7" i="21"/>
  <c r="I64" i="33"/>
  <c r="G63" i="33"/>
  <c r="B64" i="33"/>
  <c r="H63" i="33"/>
  <c r="D67" i="33"/>
  <c r="C68" i="33"/>
  <c r="C67" i="33"/>
  <c r="B67" i="33"/>
  <c r="F63" i="33"/>
  <c r="C62" i="33"/>
  <c r="F57" i="33"/>
  <c r="C157" i="57"/>
  <c r="F400" i="57"/>
  <c r="D400" i="57"/>
  <c r="M42" i="42"/>
  <c r="L42" i="42"/>
  <c r="F134" i="29"/>
  <c r="G134" i="29"/>
  <c r="L146" i="29"/>
  <c r="I32" i="31"/>
  <c r="F24" i="31"/>
  <c r="D35" i="31"/>
  <c r="I33" i="31"/>
  <c r="H33" i="31"/>
  <c r="G33" i="31"/>
  <c r="G30" i="31"/>
  <c r="I29" i="31"/>
  <c r="I28" i="31"/>
  <c r="H28" i="31"/>
  <c r="H35" i="31"/>
  <c r="C35" i="31"/>
  <c r="B39" i="13"/>
  <c r="M119" i="3"/>
  <c r="I9" i="27"/>
  <c r="N11" i="3"/>
  <c r="E396" i="3"/>
  <c r="J11" i="3"/>
  <c r="K11" i="3"/>
  <c r="C48" i="29"/>
  <c r="I50" i="29"/>
  <c r="H51" i="29"/>
  <c r="H52" i="29"/>
  <c r="H121" i="3"/>
  <c r="J119" i="3"/>
  <c r="K122" i="3"/>
  <c r="K200" i="3" s="1"/>
  <c r="L245" i="3" s="1"/>
  <c r="M122" i="3"/>
  <c r="F121" i="3"/>
  <c r="C127" i="3"/>
  <c r="E119" i="3"/>
  <c r="B126" i="3"/>
  <c r="M37" i="8"/>
  <c r="L37" i="8"/>
  <c r="E129" i="3"/>
  <c r="G121" i="3"/>
  <c r="G160" i="41"/>
  <c r="H199" i="41" s="1"/>
  <c r="J40" i="39"/>
  <c r="D39" i="39"/>
  <c r="H37" i="39"/>
  <c r="B36" i="39"/>
  <c r="F34" i="39"/>
  <c r="J32" i="39"/>
  <c r="J159" i="39" s="1"/>
  <c r="K198" i="39" s="1"/>
  <c r="I40" i="39"/>
  <c r="C39" i="39"/>
  <c r="G37" i="39"/>
  <c r="K35" i="39"/>
  <c r="I32" i="39"/>
  <c r="K41" i="39"/>
  <c r="C40" i="39"/>
  <c r="C167" i="39" s="1"/>
  <c r="D206" i="39" s="1"/>
  <c r="E38" i="39"/>
  <c r="G36" i="39"/>
  <c r="I34" i="39"/>
  <c r="K32" i="39"/>
  <c r="K159" i="39" s="1"/>
  <c r="L198" i="39" s="1"/>
  <c r="J41" i="39"/>
  <c r="B40" i="39"/>
  <c r="D38" i="39"/>
  <c r="F36" i="39"/>
  <c r="H34" i="39"/>
  <c r="H32" i="39"/>
  <c r="I41" i="39"/>
  <c r="K39" i="39"/>
  <c r="C38" i="39"/>
  <c r="E36" i="39"/>
  <c r="G34" i="39"/>
  <c r="G32" i="39"/>
  <c r="H41" i="39"/>
  <c r="J39" i="39"/>
  <c r="B38" i="39"/>
  <c r="D36" i="39"/>
  <c r="F32" i="39"/>
  <c r="F159" i="39" s="1"/>
  <c r="G198" i="39" s="1"/>
  <c r="G41" i="39"/>
  <c r="I39" i="39"/>
  <c r="K37" i="39"/>
  <c r="C36" i="39"/>
  <c r="C163" i="39" s="1"/>
  <c r="D202" i="39" s="1"/>
  <c r="B41" i="39"/>
  <c r="B39" i="39"/>
  <c r="D37" i="39"/>
  <c r="F35" i="39"/>
  <c r="H33" i="39"/>
  <c r="J38" i="39"/>
  <c r="I35" i="39"/>
  <c r="H40" i="39"/>
  <c r="I37" i="39"/>
  <c r="I164" i="39" s="1"/>
  <c r="J203" i="39" s="1"/>
  <c r="E40" i="39"/>
  <c r="K36" i="39"/>
  <c r="G33" i="39"/>
  <c r="G160" i="39" s="1"/>
  <c r="H199" i="39" s="1"/>
  <c r="D40" i="39"/>
  <c r="J36" i="39"/>
  <c r="F33" i="39"/>
  <c r="H39" i="39"/>
  <c r="I36" i="39"/>
  <c r="G39" i="39"/>
  <c r="H36" i="39"/>
  <c r="F39" i="39"/>
  <c r="J35" i="39"/>
  <c r="E39" i="39"/>
  <c r="H35" i="39"/>
  <c r="F41" i="39"/>
  <c r="G38" i="39"/>
  <c r="E41" i="39"/>
  <c r="F38" i="39"/>
  <c r="F165" i="39" s="1"/>
  <c r="G204" i="39" s="1"/>
  <c r="K34" i="39"/>
  <c r="C41" i="39"/>
  <c r="D41" i="39"/>
  <c r="J34" i="39"/>
  <c r="K40" i="39"/>
  <c r="K33" i="39"/>
  <c r="G40" i="39"/>
  <c r="J33" i="39"/>
  <c r="K38" i="39"/>
  <c r="F40" i="39"/>
  <c r="I33" i="39"/>
  <c r="H38" i="39"/>
  <c r="J37" i="39"/>
  <c r="F37" i="39"/>
  <c r="E37" i="39"/>
  <c r="C37" i="39"/>
  <c r="C164" i="39" s="1"/>
  <c r="D203" i="39" s="1"/>
  <c r="B37" i="39"/>
  <c r="B164" i="39" s="1"/>
  <c r="C203" i="39" s="1"/>
  <c r="G35" i="39"/>
  <c r="F26" i="39"/>
  <c r="I38" i="39"/>
  <c r="K34" i="38"/>
  <c r="D35" i="23"/>
  <c r="M30" i="10"/>
  <c r="L30" i="10"/>
  <c r="G255" i="55"/>
  <c r="F255" i="55"/>
  <c r="P271" i="55"/>
  <c r="M35" i="6"/>
  <c r="L35" i="6"/>
  <c r="K10" i="21"/>
  <c r="E169" i="13"/>
  <c r="N8" i="13"/>
  <c r="A158" i="13" s="1"/>
  <c r="P243" i="3"/>
  <c r="F227" i="3"/>
  <c r="I6" i="13"/>
  <c r="K6" i="31"/>
  <c r="B83" i="25"/>
  <c r="B81" i="25"/>
  <c r="F73" i="25"/>
  <c r="D86" i="25"/>
  <c r="C84" i="25"/>
  <c r="B82" i="25"/>
  <c r="G85" i="25"/>
  <c r="E81" i="25"/>
  <c r="B84" i="25"/>
  <c r="I81" i="25"/>
  <c r="I83" i="25"/>
  <c r="H81" i="25"/>
  <c r="G79" i="25"/>
  <c r="F83" i="25"/>
  <c r="H83" i="25"/>
  <c r="G81" i="25"/>
  <c r="F79" i="25"/>
  <c r="G83" i="25"/>
  <c r="F81" i="25"/>
  <c r="E79" i="25"/>
  <c r="D79" i="25"/>
  <c r="I82" i="25"/>
  <c r="I84" i="25"/>
  <c r="H82" i="25"/>
  <c r="G80" i="25"/>
  <c r="C83" i="25"/>
  <c r="G82" i="25"/>
  <c r="F82" i="25"/>
  <c r="G86" i="25"/>
  <c r="E82" i="25"/>
  <c r="E86" i="25"/>
  <c r="D81" i="25"/>
  <c r="F86" i="25"/>
  <c r="D82" i="25"/>
  <c r="C82" i="25"/>
  <c r="F85" i="25"/>
  <c r="H84" i="25"/>
  <c r="F80" i="25"/>
  <c r="G84" i="25"/>
  <c r="E80" i="25"/>
  <c r="F84" i="25"/>
  <c r="D80" i="25"/>
  <c r="E84" i="25"/>
  <c r="D84" i="25"/>
  <c r="E83" i="25"/>
  <c r="D83" i="25"/>
  <c r="C81" i="25"/>
  <c r="D85" i="25"/>
  <c r="E85" i="25"/>
  <c r="C212" i="15"/>
  <c r="B39" i="15"/>
  <c r="E212" i="15"/>
  <c r="C39" i="15"/>
  <c r="B41" i="13"/>
  <c r="K10" i="15"/>
  <c r="E52" i="29"/>
  <c r="G46" i="29"/>
  <c r="F45" i="29"/>
  <c r="F107" i="29" s="1"/>
  <c r="G140" i="29" s="1"/>
  <c r="M128" i="3"/>
  <c r="D122" i="3"/>
  <c r="D125" i="3"/>
  <c r="G125" i="3"/>
  <c r="J122" i="3"/>
  <c r="G128" i="3"/>
  <c r="I120" i="3"/>
  <c r="F127" i="3"/>
  <c r="L31" i="4"/>
  <c r="M31" i="4"/>
  <c r="F132" i="17"/>
  <c r="J155" i="17" s="1"/>
  <c r="L41" i="6"/>
  <c r="M41" i="6"/>
  <c r="F82" i="7"/>
  <c r="G128" i="31"/>
  <c r="F128" i="31"/>
  <c r="F130" i="31"/>
  <c r="F132" i="31"/>
  <c r="I10" i="17"/>
  <c r="A243" i="43"/>
  <c r="A251" i="43" s="1"/>
  <c r="G34" i="41"/>
  <c r="H41" i="41"/>
  <c r="D41" i="41"/>
  <c r="H33" i="41"/>
  <c r="B40" i="41"/>
  <c r="B38" i="41"/>
  <c r="G41" i="41"/>
  <c r="K39" i="41"/>
  <c r="D38" i="41"/>
  <c r="C38" i="41"/>
  <c r="H32" i="41"/>
  <c r="F28" i="41"/>
  <c r="D39" i="13"/>
  <c r="C41" i="13"/>
  <c r="E34" i="21"/>
  <c r="E32" i="21"/>
  <c r="B32" i="21"/>
  <c r="H35" i="21"/>
  <c r="I35" i="21"/>
  <c r="I31" i="21"/>
  <c r="H31" i="21"/>
  <c r="H110" i="21" s="1"/>
  <c r="I143" i="21" s="1"/>
  <c r="I34" i="21"/>
  <c r="I30" i="21"/>
  <c r="I109" i="21" s="1"/>
  <c r="J142" i="21" s="1"/>
  <c r="G34" i="21"/>
  <c r="F23" i="21"/>
  <c r="D34" i="21"/>
  <c r="H34" i="21"/>
  <c r="H30" i="21"/>
  <c r="H109" i="21" s="1"/>
  <c r="I142" i="21" s="1"/>
  <c r="G30" i="21"/>
  <c r="I33" i="21"/>
  <c r="I29" i="21"/>
  <c r="H33" i="21"/>
  <c r="H29" i="21"/>
  <c r="I32" i="21"/>
  <c r="I28" i="21"/>
  <c r="D32" i="21"/>
  <c r="C32" i="21"/>
  <c r="H28" i="21"/>
  <c r="G28" i="21"/>
  <c r="H32" i="21"/>
  <c r="G32" i="21"/>
  <c r="B34" i="21"/>
  <c r="C34" i="21"/>
  <c r="D128" i="3"/>
  <c r="M126" i="3"/>
  <c r="H119" i="3"/>
  <c r="K118" i="3"/>
  <c r="M291" i="3"/>
  <c r="K123" i="3"/>
  <c r="I126" i="3"/>
  <c r="H127" i="3"/>
  <c r="B121" i="3"/>
  <c r="F125" i="3"/>
  <c r="E123" i="3"/>
  <c r="J121" i="3"/>
  <c r="K30" i="28"/>
  <c r="I8" i="21"/>
  <c r="I12" i="49"/>
  <c r="J12" i="49" s="1"/>
  <c r="G128" i="25"/>
  <c r="F128" i="25"/>
  <c r="F131" i="25"/>
  <c r="G130" i="25"/>
  <c r="K7" i="5"/>
  <c r="D60" i="43"/>
  <c r="F58" i="43"/>
  <c r="J52" i="43"/>
  <c r="G7" i="41"/>
  <c r="G7" i="31"/>
  <c r="I10" i="37"/>
  <c r="K10" i="37" s="1"/>
  <c r="C96" i="51"/>
  <c r="G94" i="51"/>
  <c r="K92" i="51"/>
  <c r="E91" i="51"/>
  <c r="I89" i="51"/>
  <c r="E97" i="51"/>
  <c r="C94" i="51"/>
  <c r="G92" i="51"/>
  <c r="K90" i="51"/>
  <c r="E89" i="51"/>
  <c r="B96" i="51"/>
  <c r="D94" i="51"/>
  <c r="E92" i="51"/>
  <c r="G90" i="51"/>
  <c r="B94" i="51"/>
  <c r="D92" i="51"/>
  <c r="F90" i="51"/>
  <c r="K93" i="51"/>
  <c r="C92" i="51"/>
  <c r="E90" i="51"/>
  <c r="G97" i="51"/>
  <c r="J93" i="51"/>
  <c r="B92" i="51"/>
  <c r="D90" i="51"/>
  <c r="F97" i="51"/>
  <c r="G95" i="51"/>
  <c r="I93" i="51"/>
  <c r="K91" i="51"/>
  <c r="C90" i="51"/>
  <c r="H94" i="51"/>
  <c r="H91" i="51"/>
  <c r="C89" i="51"/>
  <c r="F94" i="51"/>
  <c r="G91" i="51"/>
  <c r="B89" i="51"/>
  <c r="E94" i="51"/>
  <c r="F91" i="51"/>
  <c r="H93" i="51"/>
  <c r="D91" i="51"/>
  <c r="G96" i="51"/>
  <c r="G93" i="51"/>
  <c r="C91" i="51"/>
  <c r="E98" i="51"/>
  <c r="E95" i="51"/>
  <c r="B93" i="51"/>
  <c r="B90" i="51"/>
  <c r="F96" i="51"/>
  <c r="H92" i="51"/>
  <c r="E96" i="51"/>
  <c r="F92" i="51"/>
  <c r="F95" i="51"/>
  <c r="I91" i="51"/>
  <c r="F83" i="51"/>
  <c r="D95" i="51"/>
  <c r="B91" i="51"/>
  <c r="B95" i="51"/>
  <c r="I90" i="51"/>
  <c r="K94" i="51"/>
  <c r="F89" i="51"/>
  <c r="J94" i="51"/>
  <c r="D89" i="51"/>
  <c r="I94" i="51"/>
  <c r="F93" i="51"/>
  <c r="E93" i="51"/>
  <c r="D93" i="51"/>
  <c r="C98" i="51"/>
  <c r="J91" i="51"/>
  <c r="B98" i="51"/>
  <c r="J90" i="51"/>
  <c r="J89" i="51"/>
  <c r="H89" i="51"/>
  <c r="G89" i="51"/>
  <c r="C97" i="51"/>
  <c r="G98" i="51"/>
  <c r="D97" i="51"/>
  <c r="F98" i="51"/>
  <c r="D98" i="51"/>
  <c r="B97" i="51"/>
  <c r="D96" i="51"/>
  <c r="C95" i="51"/>
  <c r="C93" i="51"/>
  <c r="K89" i="51"/>
  <c r="J92" i="51"/>
  <c r="J162" i="51" s="1"/>
  <c r="K201" i="51" s="1"/>
  <c r="I92" i="51"/>
  <c r="H90" i="51"/>
  <c r="H100" i="5"/>
  <c r="G100" i="5"/>
  <c r="A106" i="5" s="1"/>
  <c r="A112" i="5" s="1"/>
  <c r="C99" i="5"/>
  <c r="H101" i="5"/>
  <c r="G101" i="5"/>
  <c r="A107" i="5" s="1"/>
  <c r="A113" i="5" s="1"/>
  <c r="E99" i="5"/>
  <c r="H102" i="5"/>
  <c r="I7" i="39"/>
  <c r="I7" i="25"/>
  <c r="J7" i="25" s="1"/>
  <c r="I32" i="23"/>
  <c r="K28" i="52"/>
  <c r="M38" i="26"/>
  <c r="L38" i="26"/>
  <c r="H9" i="29"/>
  <c r="B40" i="13"/>
  <c r="J10" i="15"/>
  <c r="C49" i="29"/>
  <c r="C111" i="29" s="1"/>
  <c r="D144" i="29" s="1"/>
  <c r="I51" i="29"/>
  <c r="G129" i="3"/>
  <c r="C129" i="3"/>
  <c r="D120" i="3"/>
  <c r="H123" i="3"/>
  <c r="J126" i="3"/>
  <c r="J129" i="3"/>
  <c r="I124" i="3"/>
  <c r="K6" i="21"/>
  <c r="J179" i="21"/>
  <c r="G204" i="3"/>
  <c r="H249" i="3" s="1"/>
  <c r="K6" i="11"/>
  <c r="E58" i="9"/>
  <c r="D58" i="9"/>
  <c r="F50" i="9"/>
  <c r="G57" i="9"/>
  <c r="F56" i="9"/>
  <c r="D59" i="9"/>
  <c r="K32" i="24"/>
  <c r="M34" i="16"/>
  <c r="L34" i="16"/>
  <c r="A245" i="3"/>
  <c r="G229" i="3"/>
  <c r="K135" i="41"/>
  <c r="I132" i="41"/>
  <c r="C131" i="41"/>
  <c r="C163" i="41" s="1"/>
  <c r="D202" i="41" s="1"/>
  <c r="G129" i="41"/>
  <c r="K127" i="41"/>
  <c r="I135" i="41"/>
  <c r="C134" i="41"/>
  <c r="G132" i="41"/>
  <c r="K130" i="41"/>
  <c r="I127" i="41"/>
  <c r="H135" i="41"/>
  <c r="B134" i="41"/>
  <c r="F132" i="41"/>
  <c r="J130" i="41"/>
  <c r="H127" i="41"/>
  <c r="G135" i="41"/>
  <c r="K133" i="41"/>
  <c r="E132" i="41"/>
  <c r="C129" i="41"/>
  <c r="G127" i="41"/>
  <c r="G136" i="41"/>
  <c r="G134" i="41"/>
  <c r="C132" i="41"/>
  <c r="C130" i="41"/>
  <c r="C128" i="41"/>
  <c r="F136" i="41"/>
  <c r="F134" i="41"/>
  <c r="B132" i="41"/>
  <c r="B130" i="41"/>
  <c r="B128" i="41"/>
  <c r="E136" i="41"/>
  <c r="K131" i="41"/>
  <c r="K129" i="41"/>
  <c r="J127" i="41"/>
  <c r="J159" i="41" s="1"/>
  <c r="K198" i="41" s="1"/>
  <c r="D136" i="41"/>
  <c r="J133" i="41"/>
  <c r="J131" i="41"/>
  <c r="J129" i="41"/>
  <c r="F127" i="41"/>
  <c r="F121" i="41"/>
  <c r="C136" i="41"/>
  <c r="I131" i="41"/>
  <c r="E127" i="41"/>
  <c r="D135" i="41"/>
  <c r="D131" i="41"/>
  <c r="J128" i="41"/>
  <c r="J134" i="41"/>
  <c r="E131" i="41"/>
  <c r="D128" i="41"/>
  <c r="J136" i="41"/>
  <c r="K134" i="41"/>
  <c r="G130" i="41"/>
  <c r="F130" i="41"/>
  <c r="G133" i="41"/>
  <c r="F133" i="41"/>
  <c r="F129" i="41"/>
  <c r="H136" i="41"/>
  <c r="J132" i="41"/>
  <c r="H128" i="41"/>
  <c r="B136" i="41"/>
  <c r="H132" i="41"/>
  <c r="G128" i="41"/>
  <c r="K132" i="41"/>
  <c r="D132" i="41"/>
  <c r="H131" i="41"/>
  <c r="G131" i="41"/>
  <c r="F131" i="41"/>
  <c r="B129" i="41"/>
  <c r="B131" i="41"/>
  <c r="I136" i="41"/>
  <c r="I128" i="41"/>
  <c r="J135" i="41"/>
  <c r="F128" i="41"/>
  <c r="F160" i="41" s="1"/>
  <c r="G199" i="41" s="1"/>
  <c r="F135" i="41"/>
  <c r="E128" i="41"/>
  <c r="E135" i="41"/>
  <c r="D127" i="41"/>
  <c r="B133" i="41"/>
  <c r="K136" i="41"/>
  <c r="C135" i="41"/>
  <c r="B135" i="41"/>
  <c r="C133" i="41"/>
  <c r="K128" i="41"/>
  <c r="C127" i="41"/>
  <c r="B127" i="41"/>
  <c r="M30" i="64"/>
  <c r="L30" i="64"/>
  <c r="F47" i="43"/>
  <c r="E57" i="43"/>
  <c r="J56" i="43"/>
  <c r="G52" i="43"/>
  <c r="K57" i="43"/>
  <c r="J54" i="43"/>
  <c r="J53" i="43"/>
  <c r="I53" i="43"/>
  <c r="B57" i="43"/>
  <c r="F60" i="43"/>
  <c r="B51" i="43"/>
  <c r="H47" i="71"/>
  <c r="D46" i="71"/>
  <c r="D229" i="71" s="1"/>
  <c r="E274" i="71" s="1"/>
  <c r="L44" i="71"/>
  <c r="H43" i="71"/>
  <c r="D42" i="71"/>
  <c r="L40" i="71"/>
  <c r="H39" i="71"/>
  <c r="L36" i="71"/>
  <c r="G47" i="71"/>
  <c r="C46" i="71"/>
  <c r="C229" i="71" s="1"/>
  <c r="D274" i="71" s="1"/>
  <c r="K44" i="71"/>
  <c r="G43" i="71"/>
  <c r="C42" i="71"/>
  <c r="K40" i="71"/>
  <c r="G39" i="71"/>
  <c r="K36" i="71"/>
  <c r="F47" i="71"/>
  <c r="B46" i="71"/>
  <c r="J44" i="71"/>
  <c r="F43" i="71"/>
  <c r="B42" i="71"/>
  <c r="J40" i="71"/>
  <c r="F39" i="71"/>
  <c r="J36" i="71"/>
  <c r="E47" i="71"/>
  <c r="M45" i="71"/>
  <c r="I44" i="71"/>
  <c r="I227" i="71" s="1"/>
  <c r="J272" i="71" s="1"/>
  <c r="E43" i="71"/>
  <c r="M41" i="71"/>
  <c r="I40" i="71"/>
  <c r="M37" i="71"/>
  <c r="I36" i="71"/>
  <c r="D47" i="71"/>
  <c r="L45" i="71"/>
  <c r="H44" i="71"/>
  <c r="D43" i="71"/>
  <c r="L41" i="71"/>
  <c r="H40" i="71"/>
  <c r="L37" i="71"/>
  <c r="L220" i="71" s="1"/>
  <c r="M265" i="71" s="1"/>
  <c r="H36" i="71"/>
  <c r="C47" i="71"/>
  <c r="K45" i="71"/>
  <c r="G44" i="71"/>
  <c r="C43" i="71"/>
  <c r="K41" i="71"/>
  <c r="G40" i="71"/>
  <c r="K37" i="71"/>
  <c r="G36" i="71"/>
  <c r="J47" i="71"/>
  <c r="F45" i="71"/>
  <c r="B43" i="71"/>
  <c r="D41" i="71"/>
  <c r="L38" i="71"/>
  <c r="L221" i="71" s="1"/>
  <c r="M266" i="71" s="1"/>
  <c r="F30" i="71"/>
  <c r="I47" i="71"/>
  <c r="E45" i="71"/>
  <c r="M42" i="71"/>
  <c r="C41" i="71"/>
  <c r="K38" i="71"/>
  <c r="M36" i="71"/>
  <c r="B47" i="71"/>
  <c r="D45" i="71"/>
  <c r="L42" i="71"/>
  <c r="B41" i="71"/>
  <c r="J38" i="71"/>
  <c r="F36" i="71"/>
  <c r="M46" i="71"/>
  <c r="C45" i="71"/>
  <c r="K42" i="71"/>
  <c r="K225" i="71" s="1"/>
  <c r="L270" i="71" s="1"/>
  <c r="M40" i="71"/>
  <c r="I38" i="71"/>
  <c r="I221" i="71" s="1"/>
  <c r="J266" i="71" s="1"/>
  <c r="L46" i="71"/>
  <c r="B45" i="71"/>
  <c r="J42" i="71"/>
  <c r="F40" i="71"/>
  <c r="H38" i="71"/>
  <c r="H46" i="71"/>
  <c r="D44" i="71"/>
  <c r="F42" i="71"/>
  <c r="B40" i="71"/>
  <c r="J37" i="71"/>
  <c r="F46" i="71"/>
  <c r="I42" i="71"/>
  <c r="J39" i="71"/>
  <c r="E46" i="71"/>
  <c r="H42" i="71"/>
  <c r="I39" i="71"/>
  <c r="I222" i="71" s="1"/>
  <c r="J267" i="71" s="1"/>
  <c r="J45" i="71"/>
  <c r="G42" i="71"/>
  <c r="I45" i="71"/>
  <c r="E42" i="71"/>
  <c r="M38" i="71"/>
  <c r="H45" i="71"/>
  <c r="J41" i="71"/>
  <c r="G38" i="71"/>
  <c r="E44" i="71"/>
  <c r="F41" i="71"/>
  <c r="H37" i="71"/>
  <c r="L47" i="71"/>
  <c r="I41" i="71"/>
  <c r="K47" i="71"/>
  <c r="H41" i="71"/>
  <c r="K46" i="71"/>
  <c r="G41" i="71"/>
  <c r="J46" i="71"/>
  <c r="E41" i="71"/>
  <c r="I46" i="71"/>
  <c r="E40" i="71"/>
  <c r="F44" i="71"/>
  <c r="L39" i="71"/>
  <c r="M47" i="71"/>
  <c r="G46" i="71"/>
  <c r="I37" i="71"/>
  <c r="G45" i="71"/>
  <c r="G37" i="71"/>
  <c r="G220" i="71" s="1"/>
  <c r="H265" i="71" s="1"/>
  <c r="M44" i="71"/>
  <c r="F37" i="71"/>
  <c r="F220" i="71" s="1"/>
  <c r="G265" i="71" s="1"/>
  <c r="C44" i="71"/>
  <c r="B44" i="71"/>
  <c r="M43" i="71"/>
  <c r="K43" i="71"/>
  <c r="J43" i="71"/>
  <c r="I43" i="71"/>
  <c r="D40" i="71"/>
  <c r="C40" i="71"/>
  <c r="M39" i="71"/>
  <c r="K39" i="71"/>
  <c r="L43" i="71"/>
  <c r="F38" i="71"/>
  <c r="K30" i="36"/>
  <c r="M32" i="26"/>
  <c r="L32" i="26"/>
  <c r="I110" i="31"/>
  <c r="J143" i="31" s="1"/>
  <c r="F134" i="25"/>
  <c r="E33" i="23"/>
  <c r="I6" i="53"/>
  <c r="J6" i="53" s="1"/>
  <c r="I7" i="29"/>
  <c r="H10" i="27"/>
  <c r="G40" i="41"/>
  <c r="J153" i="15"/>
  <c r="G151" i="15"/>
  <c r="I153" i="15"/>
  <c r="A161" i="15" s="1"/>
  <c r="A169" i="15" s="1"/>
  <c r="F151" i="15"/>
  <c r="E151" i="15"/>
  <c r="D151" i="15"/>
  <c r="C151" i="15"/>
  <c r="J154" i="15"/>
  <c r="J152" i="15"/>
  <c r="I154" i="15"/>
  <c r="A162" i="15" s="1"/>
  <c r="A170" i="15" s="1"/>
  <c r="I152" i="15"/>
  <c r="A160" i="15" s="1"/>
  <c r="A168" i="15" s="1"/>
  <c r="M36" i="28"/>
  <c r="L36" i="28"/>
  <c r="L38" i="42"/>
  <c r="M38" i="42"/>
  <c r="I10" i="33"/>
  <c r="K10" i="33" s="1"/>
  <c r="J10" i="33"/>
  <c r="H135" i="35"/>
  <c r="B134" i="35"/>
  <c r="F132" i="35"/>
  <c r="H127" i="35"/>
  <c r="G135" i="35"/>
  <c r="K133" i="35"/>
  <c r="E132" i="35"/>
  <c r="I130" i="35"/>
  <c r="C129" i="35"/>
  <c r="G127" i="35"/>
  <c r="C136" i="35"/>
  <c r="E134" i="35"/>
  <c r="G132" i="35"/>
  <c r="G130" i="35"/>
  <c r="I128" i="35"/>
  <c r="B136" i="35"/>
  <c r="D134" i="35"/>
  <c r="D132" i="35"/>
  <c r="F130" i="35"/>
  <c r="H128" i="35"/>
  <c r="J133" i="35"/>
  <c r="B132" i="35"/>
  <c r="F128" i="35"/>
  <c r="I135" i="35"/>
  <c r="I133" i="35"/>
  <c r="K131" i="35"/>
  <c r="C130" i="35"/>
  <c r="E128" i="35"/>
  <c r="B135" i="35"/>
  <c r="D133" i="35"/>
  <c r="F131" i="35"/>
  <c r="H129" i="35"/>
  <c r="J127" i="35"/>
  <c r="H136" i="35"/>
  <c r="C134" i="35"/>
  <c r="E131" i="35"/>
  <c r="J128" i="35"/>
  <c r="F135" i="35"/>
  <c r="B133" i="35"/>
  <c r="I127" i="35"/>
  <c r="K132" i="35"/>
  <c r="B127" i="35"/>
  <c r="J132" i="35"/>
  <c r="I129" i="35"/>
  <c r="I132" i="35"/>
  <c r="G129" i="35"/>
  <c r="H132" i="35"/>
  <c r="F129" i="35"/>
  <c r="C135" i="35"/>
  <c r="C132" i="35"/>
  <c r="K134" i="35"/>
  <c r="J131" i="35"/>
  <c r="B129" i="35"/>
  <c r="G134" i="35"/>
  <c r="D131" i="35"/>
  <c r="C128" i="35"/>
  <c r="F134" i="35"/>
  <c r="C131" i="35"/>
  <c r="B128" i="35"/>
  <c r="G131" i="35"/>
  <c r="B131" i="35"/>
  <c r="F121" i="35"/>
  <c r="I136" i="35"/>
  <c r="G136" i="35"/>
  <c r="H130" i="35"/>
  <c r="K128" i="35"/>
  <c r="F136" i="35"/>
  <c r="B130" i="35"/>
  <c r="J134" i="35"/>
  <c r="H133" i="35"/>
  <c r="K127" i="35"/>
  <c r="G133" i="35"/>
  <c r="F127" i="35"/>
  <c r="F133" i="35"/>
  <c r="E127" i="35"/>
  <c r="I134" i="35"/>
  <c r="H134" i="35"/>
  <c r="E133" i="35"/>
  <c r="C133" i="35"/>
  <c r="I131" i="35"/>
  <c r="H131" i="35"/>
  <c r="G128" i="35"/>
  <c r="D127" i="35"/>
  <c r="C127" i="35"/>
  <c r="D128" i="35"/>
  <c r="C40" i="13"/>
  <c r="C39" i="13"/>
  <c r="C43" i="13"/>
  <c r="A244" i="3"/>
  <c r="E126" i="3"/>
  <c r="B135" i="2"/>
  <c r="E134" i="2"/>
  <c r="B134" i="2"/>
  <c r="D134" i="2"/>
  <c r="C134" i="2"/>
  <c r="D136" i="2"/>
  <c r="C133" i="2"/>
  <c r="E135" i="2"/>
  <c r="D135" i="2"/>
  <c r="D133" i="2"/>
  <c r="C135" i="2"/>
  <c r="A369" i="2"/>
  <c r="B370" i="2" s="1"/>
  <c r="E133" i="2"/>
  <c r="B136" i="2"/>
  <c r="B133" i="2"/>
  <c r="E136" i="2"/>
  <c r="C136" i="2"/>
  <c r="B49" i="29"/>
  <c r="B111" i="29" s="1"/>
  <c r="C144" i="29" s="1"/>
  <c r="G45" i="29"/>
  <c r="L123" i="3"/>
  <c r="L201" i="3" s="1"/>
  <c r="M246" i="3" s="1"/>
  <c r="K119" i="3"/>
  <c r="K197" i="3" s="1"/>
  <c r="L242" i="3" s="1"/>
  <c r="I129" i="3"/>
  <c r="H125" i="3"/>
  <c r="B128" i="3"/>
  <c r="D119" i="3"/>
  <c r="M125" i="3"/>
  <c r="F326" i="3"/>
  <c r="D326" i="3"/>
  <c r="G226" i="3"/>
  <c r="M292" i="3" s="1"/>
  <c r="A242" i="3"/>
  <c r="J6" i="29"/>
  <c r="I6" i="29"/>
  <c r="G9" i="15"/>
  <c r="F228" i="2"/>
  <c r="P244" i="2"/>
  <c r="M32" i="44"/>
  <c r="L32" i="44"/>
  <c r="I10" i="25"/>
  <c r="D57" i="9"/>
  <c r="P245" i="3"/>
  <c r="L145" i="17"/>
  <c r="F133" i="17"/>
  <c r="G133" i="17"/>
  <c r="C60" i="43"/>
  <c r="C52" i="43"/>
  <c r="H52" i="43"/>
  <c r="B56" i="43"/>
  <c r="K7" i="45"/>
  <c r="K36" i="54"/>
  <c r="M31" i="40"/>
  <c r="L31" i="40"/>
  <c r="I10" i="27"/>
  <c r="J10" i="27"/>
  <c r="M41" i="14"/>
  <c r="L41" i="14"/>
  <c r="D108" i="2"/>
  <c r="L106" i="2"/>
  <c r="H105" i="2"/>
  <c r="D104" i="2"/>
  <c r="L102" i="2"/>
  <c r="D100" i="2"/>
  <c r="L98" i="2"/>
  <c r="H97" i="2"/>
  <c r="J102" i="2"/>
  <c r="G98" i="2"/>
  <c r="C108" i="2"/>
  <c r="K106" i="2"/>
  <c r="G105" i="2"/>
  <c r="C104" i="2"/>
  <c r="K102" i="2"/>
  <c r="C100" i="2"/>
  <c r="K98" i="2"/>
  <c r="G97" i="2"/>
  <c r="F105" i="2"/>
  <c r="B100" i="2"/>
  <c r="C105" i="2"/>
  <c r="B108" i="2"/>
  <c r="J106" i="2"/>
  <c r="B104" i="2"/>
  <c r="J98" i="2"/>
  <c r="F97" i="2"/>
  <c r="K107" i="2"/>
  <c r="K99" i="2"/>
  <c r="M107" i="2"/>
  <c r="I106" i="2"/>
  <c r="E105" i="2"/>
  <c r="M103" i="2"/>
  <c r="E101" i="2"/>
  <c r="M99" i="2"/>
  <c r="I98" i="2"/>
  <c r="E97" i="2"/>
  <c r="K103" i="2"/>
  <c r="C97" i="2"/>
  <c r="L107" i="2"/>
  <c r="H106" i="2"/>
  <c r="D105" i="2"/>
  <c r="L103" i="2"/>
  <c r="D101" i="2"/>
  <c r="L99" i="2"/>
  <c r="H98" i="2"/>
  <c r="D97" i="2"/>
  <c r="C101" i="2"/>
  <c r="G106" i="2"/>
  <c r="K108" i="2"/>
  <c r="G107" i="2"/>
  <c r="C106" i="2"/>
  <c r="K104" i="2"/>
  <c r="C102" i="2"/>
  <c r="K100" i="2"/>
  <c r="G99" i="2"/>
  <c r="C98" i="2"/>
  <c r="J107" i="2"/>
  <c r="J105" i="2"/>
  <c r="D103" i="2"/>
  <c r="J100" i="2"/>
  <c r="E98" i="2"/>
  <c r="H107" i="2"/>
  <c r="B103" i="2"/>
  <c r="B98" i="2"/>
  <c r="I107" i="2"/>
  <c r="I105" i="2"/>
  <c r="C103" i="2"/>
  <c r="I100" i="2"/>
  <c r="D98" i="2"/>
  <c r="B105" i="2"/>
  <c r="H100" i="2"/>
  <c r="D102" i="2"/>
  <c r="J97" i="2"/>
  <c r="F107" i="2"/>
  <c r="M104" i="2"/>
  <c r="M102" i="2"/>
  <c r="G100" i="2"/>
  <c r="M97" i="2"/>
  <c r="D107" i="2"/>
  <c r="E102" i="2"/>
  <c r="K97" i="2"/>
  <c r="C107" i="2"/>
  <c r="J99" i="2"/>
  <c r="E107" i="2"/>
  <c r="L104" i="2"/>
  <c r="F100" i="2"/>
  <c r="L97" i="2"/>
  <c r="J104" i="2"/>
  <c r="E100" i="2"/>
  <c r="L108" i="2"/>
  <c r="F106" i="2"/>
  <c r="L101" i="2"/>
  <c r="F99" i="2"/>
  <c r="J108" i="2"/>
  <c r="E106" i="2"/>
  <c r="E104" i="2"/>
  <c r="K101" i="2"/>
  <c r="E99" i="2"/>
  <c r="I108" i="2"/>
  <c r="D106" i="2"/>
  <c r="J103" i="2"/>
  <c r="J101" i="2"/>
  <c r="D99" i="2"/>
  <c r="B107" i="2"/>
  <c r="M100" i="2"/>
  <c r="M106" i="2"/>
  <c r="L100" i="2"/>
  <c r="M105" i="2"/>
  <c r="H99" i="2"/>
  <c r="C99" i="2"/>
  <c r="K105" i="2"/>
  <c r="L105" i="2"/>
  <c r="B99" i="2"/>
  <c r="E103" i="2"/>
  <c r="B102" i="2"/>
  <c r="M101" i="2"/>
  <c r="B106" i="2"/>
  <c r="B101" i="2"/>
  <c r="M98" i="2"/>
  <c r="M108" i="2"/>
  <c r="I99" i="2"/>
  <c r="H108" i="2"/>
  <c r="B97" i="2"/>
  <c r="G108" i="2"/>
  <c r="F98" i="2"/>
  <c r="I97" i="2"/>
  <c r="F108" i="2"/>
  <c r="E108" i="2"/>
  <c r="L34" i="42"/>
  <c r="M34" i="42"/>
  <c r="G80" i="13"/>
  <c r="F80" i="13"/>
  <c r="J90" i="13"/>
  <c r="M35" i="4"/>
  <c r="L35" i="4"/>
  <c r="G189" i="53"/>
  <c r="G184" i="53"/>
  <c r="F184" i="53"/>
  <c r="E35" i="23"/>
  <c r="I160" i="49"/>
  <c r="J199" i="49" s="1"/>
  <c r="J163" i="49"/>
  <c r="K202" i="49" s="1"/>
  <c r="C85" i="17"/>
  <c r="F75" i="17"/>
  <c r="B85" i="17"/>
  <c r="C84" i="17"/>
  <c r="C83" i="17"/>
  <c r="B80" i="17"/>
  <c r="C79" i="17"/>
  <c r="B79" i="17"/>
  <c r="B81" i="17"/>
  <c r="I80" i="17"/>
  <c r="B83" i="17"/>
  <c r="C80" i="17"/>
  <c r="B114" i="15"/>
  <c r="C147" i="15" s="1"/>
  <c r="H9" i="39"/>
  <c r="K7" i="21"/>
  <c r="F192" i="39"/>
  <c r="J179" i="15"/>
  <c r="J177" i="15"/>
  <c r="J178" i="15"/>
  <c r="M33" i="10"/>
  <c r="L33" i="10"/>
  <c r="F191" i="39"/>
  <c r="K30" i="30"/>
  <c r="K31" i="38"/>
  <c r="P244" i="3"/>
  <c r="F228" i="3"/>
  <c r="C206" i="3"/>
  <c r="D251" i="3" s="1"/>
  <c r="K203" i="3"/>
  <c r="L248" i="3" s="1"/>
  <c r="C51" i="29"/>
  <c r="B45" i="29"/>
  <c r="H47" i="29"/>
  <c r="M123" i="3"/>
  <c r="E122" i="3"/>
  <c r="M127" i="3"/>
  <c r="F129" i="3"/>
  <c r="H120" i="3"/>
  <c r="E127" i="3"/>
  <c r="K120" i="3"/>
  <c r="M31" i="24"/>
  <c r="L31" i="24"/>
  <c r="M34" i="8"/>
  <c r="L34" i="8"/>
  <c r="J205" i="3"/>
  <c r="K250" i="3" s="1"/>
  <c r="F226" i="3"/>
  <c r="F229" i="3" s="1"/>
  <c r="P242" i="3"/>
  <c r="L128" i="3"/>
  <c r="M30" i="6"/>
  <c r="L30" i="6"/>
  <c r="I6" i="27"/>
  <c r="J6" i="27" s="1"/>
  <c r="M31" i="20"/>
  <c r="L31" i="20"/>
  <c r="E396" i="2"/>
  <c r="N8" i="2"/>
  <c r="J8" i="2"/>
  <c r="K8" i="2"/>
  <c r="L37" i="50"/>
  <c r="M37" i="50"/>
  <c r="L259" i="81"/>
  <c r="L258" i="81"/>
  <c r="L257" i="81"/>
  <c r="L256" i="81"/>
  <c r="L253" i="81"/>
  <c r="L252" i="81"/>
  <c r="L251" i="81"/>
  <c r="L250" i="81"/>
  <c r="L249" i="81"/>
  <c r="L248" i="81"/>
  <c r="L245" i="81"/>
  <c r="L244" i="81"/>
  <c r="K259" i="81"/>
  <c r="K258" i="81"/>
  <c r="K257" i="81"/>
  <c r="K256" i="81"/>
  <c r="K255" i="81"/>
  <c r="K254" i="81"/>
  <c r="K253" i="81"/>
  <c r="K252" i="81"/>
  <c r="K251" i="81"/>
  <c r="K250" i="81"/>
  <c r="K249" i="81"/>
  <c r="K248" i="81"/>
  <c r="K247" i="81"/>
  <c r="K246" i="81"/>
  <c r="K245" i="81"/>
  <c r="K244" i="81"/>
  <c r="J259" i="81"/>
  <c r="J258" i="81"/>
  <c r="J257" i="81"/>
  <c r="J256" i="81"/>
  <c r="J255" i="81"/>
  <c r="J254" i="81"/>
  <c r="J253" i="81"/>
  <c r="J252" i="81"/>
  <c r="J251" i="81"/>
  <c r="J250" i="81"/>
  <c r="J249" i="81"/>
  <c r="J248" i="81"/>
  <c r="J247" i="81"/>
  <c r="J246" i="81"/>
  <c r="J245" i="81"/>
  <c r="J244" i="81"/>
  <c r="I259" i="81"/>
  <c r="I258" i="81"/>
  <c r="I257" i="81"/>
  <c r="I256" i="81"/>
  <c r="I255" i="81"/>
  <c r="I254" i="81"/>
  <c r="I253" i="81"/>
  <c r="I252" i="81"/>
  <c r="I251" i="81"/>
  <c r="I250" i="81"/>
  <c r="I249" i="81"/>
  <c r="I248" i="81"/>
  <c r="I247" i="81"/>
  <c r="I246" i="81"/>
  <c r="I245" i="81"/>
  <c r="I244" i="81"/>
  <c r="H259" i="81"/>
  <c r="H258" i="81"/>
  <c r="H257" i="81"/>
  <c r="H256" i="81"/>
  <c r="H255" i="81"/>
  <c r="H254" i="81"/>
  <c r="H253" i="81"/>
  <c r="H252" i="81"/>
  <c r="H251" i="81"/>
  <c r="H250" i="81"/>
  <c r="H249" i="81"/>
  <c r="H248" i="81"/>
  <c r="H247" i="81"/>
  <c r="H246" i="81"/>
  <c r="H245" i="81"/>
  <c r="H244" i="81"/>
  <c r="D259" i="81"/>
  <c r="D258" i="81"/>
  <c r="D257" i="81"/>
  <c r="D256" i="81"/>
  <c r="D253" i="81"/>
  <c r="D252" i="81"/>
  <c r="D251" i="81"/>
  <c r="D250" i="81"/>
  <c r="D249" i="81"/>
  <c r="D248" i="81"/>
  <c r="D245" i="81"/>
  <c r="D244" i="81"/>
  <c r="O259" i="81"/>
  <c r="C258" i="81"/>
  <c r="M256" i="81"/>
  <c r="Q254" i="81"/>
  <c r="F253" i="81"/>
  <c r="O251" i="81"/>
  <c r="C250" i="81"/>
  <c r="M248" i="81"/>
  <c r="Q246" i="81"/>
  <c r="F245" i="81"/>
  <c r="N259" i="81"/>
  <c r="B258" i="81"/>
  <c r="G256" i="81"/>
  <c r="P254" i="81"/>
  <c r="E253" i="81"/>
  <c r="N251" i="81"/>
  <c r="B250" i="81"/>
  <c r="G248" i="81"/>
  <c r="P246" i="81"/>
  <c r="E245" i="81"/>
  <c r="M259" i="81"/>
  <c r="Q257" i="81"/>
  <c r="F256" i="81"/>
  <c r="O254" i="81"/>
  <c r="C253" i="81"/>
  <c r="M251" i="81"/>
  <c r="Q249" i="81"/>
  <c r="F248" i="81"/>
  <c r="O246" i="81"/>
  <c r="C245" i="81"/>
  <c r="G259" i="81"/>
  <c r="P257" i="81"/>
  <c r="E256" i="81"/>
  <c r="N254" i="81"/>
  <c r="B253" i="81"/>
  <c r="G251" i="81"/>
  <c r="P249" i="81"/>
  <c r="E248" i="81"/>
  <c r="N246" i="81"/>
  <c r="B245" i="81"/>
  <c r="F259" i="81"/>
  <c r="O257" i="81"/>
  <c r="C256" i="81"/>
  <c r="Q252" i="81"/>
  <c r="F251" i="81"/>
  <c r="O249" i="81"/>
  <c r="C248" i="81"/>
  <c r="Q244" i="81"/>
  <c r="E259" i="81"/>
  <c r="N257" i="81"/>
  <c r="B256" i="81"/>
  <c r="G254" i="81"/>
  <c r="P252" i="81"/>
  <c r="E251" i="81"/>
  <c r="N249" i="81"/>
  <c r="B248" i="81"/>
  <c r="G246" i="81"/>
  <c r="P244" i="81"/>
  <c r="N258" i="81"/>
  <c r="P255" i="81"/>
  <c r="N253" i="81"/>
  <c r="P250" i="81"/>
  <c r="N248" i="81"/>
  <c r="P245" i="81"/>
  <c r="F238" i="81"/>
  <c r="M258" i="81"/>
  <c r="O255" i="81"/>
  <c r="M253" i="81"/>
  <c r="O250" i="81"/>
  <c r="Q247" i="81"/>
  <c r="O245" i="81"/>
  <c r="G258" i="81"/>
  <c r="N255" i="81"/>
  <c r="G253" i="81"/>
  <c r="N250" i="81"/>
  <c r="P247" i="81"/>
  <c r="N245" i="81"/>
  <c r="F258" i="81"/>
  <c r="O252" i="81"/>
  <c r="M250" i="81"/>
  <c r="O247" i="81"/>
  <c r="M245" i="81"/>
  <c r="E258" i="81"/>
  <c r="G255" i="81"/>
  <c r="N252" i="81"/>
  <c r="G250" i="81"/>
  <c r="N247" i="81"/>
  <c r="G245" i="81"/>
  <c r="Q259" i="81"/>
  <c r="C257" i="81"/>
  <c r="F254" i="81"/>
  <c r="C252" i="81"/>
  <c r="F249" i="81"/>
  <c r="C247" i="81"/>
  <c r="F244" i="81"/>
  <c r="P258" i="81"/>
  <c r="F250" i="81"/>
  <c r="O258" i="81"/>
  <c r="C254" i="81"/>
  <c r="E250" i="81"/>
  <c r="C246" i="81"/>
  <c r="M257" i="81"/>
  <c r="B254" i="81"/>
  <c r="M249" i="81"/>
  <c r="B246" i="81"/>
  <c r="G257" i="81"/>
  <c r="Q253" i="81"/>
  <c r="G249" i="81"/>
  <c r="Q245" i="81"/>
  <c r="F257" i="81"/>
  <c r="P253" i="81"/>
  <c r="E249" i="81"/>
  <c r="O244" i="81"/>
  <c r="E257" i="81"/>
  <c r="O253" i="81"/>
  <c r="C249" i="81"/>
  <c r="N244" i="81"/>
  <c r="C255" i="81"/>
  <c r="B255" i="81"/>
  <c r="G247" i="81"/>
  <c r="M252" i="81"/>
  <c r="F247" i="81"/>
  <c r="G252" i="81"/>
  <c r="P259" i="81"/>
  <c r="F252" i="81"/>
  <c r="B247" i="81"/>
  <c r="B257" i="81"/>
  <c r="P251" i="81"/>
  <c r="E244" i="81"/>
  <c r="F255" i="81"/>
  <c r="B244" i="81"/>
  <c r="E252" i="81"/>
  <c r="B252" i="81"/>
  <c r="Q251" i="81"/>
  <c r="C259" i="81"/>
  <c r="B249" i="81"/>
  <c r="O248" i="81"/>
  <c r="F246" i="81"/>
  <c r="M244" i="81"/>
  <c r="G244" i="81"/>
  <c r="B259" i="81"/>
  <c r="C244" i="81"/>
  <c r="O256" i="81"/>
  <c r="N256" i="81"/>
  <c r="Q255" i="81"/>
  <c r="Q258" i="81"/>
  <c r="Q256" i="81"/>
  <c r="P256" i="81"/>
  <c r="C251" i="81"/>
  <c r="B251" i="81"/>
  <c r="Q250" i="81"/>
  <c r="P248" i="81"/>
  <c r="Q248" i="81"/>
  <c r="F35" i="13"/>
  <c r="G56" i="9"/>
  <c r="G8" i="65"/>
  <c r="M36" i="4"/>
  <c r="L36" i="4"/>
  <c r="I8" i="29"/>
  <c r="K8" i="29" s="1"/>
  <c r="H55" i="43"/>
  <c r="E51" i="43"/>
  <c r="C54" i="43"/>
  <c r="H57" i="43"/>
  <c r="I8" i="37"/>
  <c r="I14" i="55"/>
  <c r="J14" i="55" s="1"/>
  <c r="I9" i="41"/>
  <c r="I7" i="49"/>
  <c r="P248" i="3"/>
  <c r="E113" i="31"/>
  <c r="F146" i="31" s="1"/>
  <c r="M33" i="18"/>
  <c r="L33" i="18"/>
  <c r="I11" i="51"/>
  <c r="K111" i="37"/>
  <c r="E111" i="37"/>
  <c r="H117" i="37"/>
  <c r="D111" i="37"/>
  <c r="D110" i="37"/>
  <c r="C111" i="37"/>
  <c r="B111" i="37"/>
  <c r="E115" i="37"/>
  <c r="B109" i="37"/>
  <c r="J114" i="37"/>
  <c r="F105" i="37"/>
  <c r="I114" i="37"/>
  <c r="B112" i="37"/>
  <c r="F115" i="37"/>
  <c r="I113" i="37"/>
  <c r="H113" i="37"/>
  <c r="C109" i="37"/>
  <c r="B33" i="23"/>
  <c r="I28" i="23"/>
  <c r="F141" i="47"/>
  <c r="D153" i="47"/>
  <c r="C148" i="47"/>
  <c r="C153" i="47"/>
  <c r="J147" i="47"/>
  <c r="K152" i="47"/>
  <c r="C147" i="47"/>
  <c r="J152" i="47"/>
  <c r="J146" i="47"/>
  <c r="I150" i="47"/>
  <c r="I155" i="47"/>
  <c r="C151" i="47"/>
  <c r="H154" i="47"/>
  <c r="F152" i="47"/>
  <c r="G154" i="47"/>
  <c r="I152" i="47"/>
  <c r="H150" i="47"/>
  <c r="G150" i="47"/>
  <c r="E150" i="47"/>
  <c r="C146" i="47"/>
  <c r="F146" i="47"/>
  <c r="E146" i="47"/>
  <c r="B164" i="49"/>
  <c r="C203" i="49" s="1"/>
  <c r="F85" i="23"/>
  <c r="F83" i="23"/>
  <c r="F81" i="23"/>
  <c r="F79" i="23"/>
  <c r="E85" i="23"/>
  <c r="E83" i="23"/>
  <c r="E81" i="23"/>
  <c r="E79" i="23"/>
  <c r="D85" i="23"/>
  <c r="D83" i="23"/>
  <c r="D81" i="23"/>
  <c r="D79" i="23"/>
  <c r="I82" i="23"/>
  <c r="C83" i="23"/>
  <c r="C81" i="23"/>
  <c r="B83" i="23"/>
  <c r="B81" i="23"/>
  <c r="F73" i="23"/>
  <c r="I84" i="23"/>
  <c r="E86" i="23"/>
  <c r="E84" i="23"/>
  <c r="E82" i="23"/>
  <c r="E80" i="23"/>
  <c r="D86" i="23"/>
  <c r="D84" i="23"/>
  <c r="D82" i="23"/>
  <c r="D80" i="23"/>
  <c r="F84" i="23"/>
  <c r="F80" i="23"/>
  <c r="C84" i="23"/>
  <c r="B84" i="23"/>
  <c r="I83" i="23"/>
  <c r="G83" i="23"/>
  <c r="H82" i="23"/>
  <c r="H83" i="23"/>
  <c r="G79" i="23"/>
  <c r="C82" i="23"/>
  <c r="B82" i="23"/>
  <c r="I81" i="23"/>
  <c r="G86" i="23"/>
  <c r="F86" i="23"/>
  <c r="G85" i="23"/>
  <c r="G80" i="23"/>
  <c r="G82" i="23"/>
  <c r="F82" i="23"/>
  <c r="H81" i="23"/>
  <c r="G81" i="23"/>
  <c r="H84" i="23"/>
  <c r="G84" i="23"/>
  <c r="J10" i="21"/>
  <c r="M38" i="52"/>
  <c r="L38" i="52"/>
  <c r="G129" i="31"/>
  <c r="F129" i="31"/>
  <c r="M29" i="20"/>
  <c r="L29" i="20"/>
  <c r="B156" i="57"/>
  <c r="E400" i="57"/>
  <c r="C400" i="57"/>
  <c r="C156" i="57"/>
  <c r="M41" i="28"/>
  <c r="L41" i="28"/>
  <c r="I9" i="39"/>
  <c r="J9" i="39" s="1"/>
  <c r="D40" i="13"/>
  <c r="B44" i="13"/>
  <c r="G83" i="13"/>
  <c r="G52" i="29"/>
  <c r="D51" i="29"/>
  <c r="F51" i="29"/>
  <c r="I49" i="29"/>
  <c r="L118" i="3"/>
  <c r="E124" i="3"/>
  <c r="L120" i="3"/>
  <c r="M120" i="3"/>
  <c r="J125" i="3"/>
  <c r="L121" i="3"/>
  <c r="I128" i="3"/>
  <c r="C39" i="17"/>
  <c r="C212" i="17"/>
  <c r="B39" i="17"/>
  <c r="E212" i="17"/>
  <c r="K8" i="19"/>
  <c r="F41" i="33"/>
  <c r="H52" i="33"/>
  <c r="H46" i="33"/>
  <c r="H48" i="33"/>
  <c r="C47" i="33"/>
  <c r="B46" i="33"/>
  <c r="F52" i="33"/>
  <c r="F46" i="33"/>
  <c r="B52" i="33"/>
  <c r="C52" i="33"/>
  <c r="C46" i="33"/>
  <c r="B50" i="33"/>
  <c r="I49" i="33"/>
  <c r="H51" i="33"/>
  <c r="C49" i="33"/>
  <c r="B49" i="33"/>
  <c r="I45" i="33"/>
  <c r="H45" i="33"/>
  <c r="I51" i="33"/>
  <c r="C163" i="37"/>
  <c r="D202" i="37" s="1"/>
  <c r="B117" i="53"/>
  <c r="F115" i="53"/>
  <c r="J113" i="53"/>
  <c r="D112" i="53"/>
  <c r="H110" i="53"/>
  <c r="B109" i="53"/>
  <c r="E115" i="53"/>
  <c r="I113" i="53"/>
  <c r="C112" i="53"/>
  <c r="G110" i="53"/>
  <c r="K108" i="53"/>
  <c r="D115" i="53"/>
  <c r="H113" i="53"/>
  <c r="B112" i="53"/>
  <c r="F110" i="53"/>
  <c r="J108" i="53"/>
  <c r="C115" i="53"/>
  <c r="G113" i="53"/>
  <c r="K111" i="53"/>
  <c r="E110" i="53"/>
  <c r="I108" i="53"/>
  <c r="B115" i="53"/>
  <c r="F113" i="53"/>
  <c r="J111" i="53"/>
  <c r="D110" i="53"/>
  <c r="H108" i="53"/>
  <c r="D116" i="53"/>
  <c r="B113" i="53"/>
  <c r="F111" i="53"/>
  <c r="J109" i="53"/>
  <c r="D108" i="53"/>
  <c r="F116" i="53"/>
  <c r="C114" i="53"/>
  <c r="E111" i="53"/>
  <c r="C109" i="53"/>
  <c r="E116" i="53"/>
  <c r="B114" i="53"/>
  <c r="D111" i="53"/>
  <c r="G108" i="53"/>
  <c r="C116" i="53"/>
  <c r="K113" i="53"/>
  <c r="C111" i="53"/>
  <c r="F108" i="53"/>
  <c r="B116" i="53"/>
  <c r="E113" i="53"/>
  <c r="B111" i="53"/>
  <c r="E108" i="53"/>
  <c r="D113" i="53"/>
  <c r="K110" i="53"/>
  <c r="C108" i="53"/>
  <c r="H111" i="53"/>
  <c r="G111" i="53"/>
  <c r="J110" i="53"/>
  <c r="G114" i="53"/>
  <c r="I110" i="53"/>
  <c r="F114" i="53"/>
  <c r="C110" i="53"/>
  <c r="D117" i="53"/>
  <c r="J112" i="53"/>
  <c r="G109" i="53"/>
  <c r="E117" i="53"/>
  <c r="I111" i="53"/>
  <c r="C117" i="53"/>
  <c r="B110" i="53"/>
  <c r="I109" i="53"/>
  <c r="H109" i="53"/>
  <c r="G115" i="53"/>
  <c r="E109" i="53"/>
  <c r="I112" i="53"/>
  <c r="H112" i="53"/>
  <c r="G112" i="53"/>
  <c r="F112" i="53"/>
  <c r="E112" i="53"/>
  <c r="K109" i="53"/>
  <c r="F117" i="53"/>
  <c r="G116" i="53"/>
  <c r="D114" i="53"/>
  <c r="G117" i="53"/>
  <c r="E114" i="53"/>
  <c r="C113" i="53"/>
  <c r="K112" i="53"/>
  <c r="F109" i="53"/>
  <c r="D109" i="53"/>
  <c r="F102" i="53"/>
  <c r="B108" i="53"/>
  <c r="J78" i="43"/>
  <c r="D77" i="43"/>
  <c r="B74" i="43"/>
  <c r="F72" i="43"/>
  <c r="J70" i="43"/>
  <c r="J159" i="43" s="1"/>
  <c r="K198" i="43" s="1"/>
  <c r="H78" i="43"/>
  <c r="B77" i="43"/>
  <c r="J73" i="43"/>
  <c r="D72" i="43"/>
  <c r="H70" i="43"/>
  <c r="G78" i="43"/>
  <c r="K76" i="43"/>
  <c r="E75" i="43"/>
  <c r="I73" i="43"/>
  <c r="C72" i="43"/>
  <c r="G70" i="43"/>
  <c r="G159" i="43" s="1"/>
  <c r="H198" i="43" s="1"/>
  <c r="F78" i="43"/>
  <c r="J76" i="43"/>
  <c r="D75" i="43"/>
  <c r="H73" i="43"/>
  <c r="B72" i="43"/>
  <c r="F70" i="43"/>
  <c r="F159" i="43" s="1"/>
  <c r="G198" i="43" s="1"/>
  <c r="C78" i="43"/>
  <c r="C167" i="43" s="1"/>
  <c r="D206" i="43" s="1"/>
  <c r="C76" i="43"/>
  <c r="C74" i="43"/>
  <c r="C163" i="43" s="1"/>
  <c r="D202" i="43" s="1"/>
  <c r="I71" i="43"/>
  <c r="B78" i="43"/>
  <c r="B167" i="43" s="1"/>
  <c r="C206" i="43" s="1"/>
  <c r="B76" i="43"/>
  <c r="K73" i="43"/>
  <c r="K162" i="43" s="1"/>
  <c r="L201" i="43" s="1"/>
  <c r="H71" i="43"/>
  <c r="K79" i="43"/>
  <c r="K77" i="43"/>
  <c r="K75" i="43"/>
  <c r="G73" i="43"/>
  <c r="G71" i="43"/>
  <c r="J79" i="43"/>
  <c r="J77" i="43"/>
  <c r="J75" i="43"/>
  <c r="F73" i="43"/>
  <c r="F71" i="43"/>
  <c r="I79" i="43"/>
  <c r="E73" i="43"/>
  <c r="E71" i="43"/>
  <c r="D79" i="43"/>
  <c r="C77" i="43"/>
  <c r="J74" i="43"/>
  <c r="J72" i="43"/>
  <c r="I70" i="43"/>
  <c r="F64" i="43"/>
  <c r="E77" i="43"/>
  <c r="D74" i="43"/>
  <c r="D70" i="43"/>
  <c r="D73" i="43"/>
  <c r="C70" i="43"/>
  <c r="H79" i="43"/>
  <c r="B73" i="43"/>
  <c r="G79" i="43"/>
  <c r="K72" i="43"/>
  <c r="K161" i="43" s="1"/>
  <c r="L200" i="43" s="1"/>
  <c r="E79" i="43"/>
  <c r="D76" i="43"/>
  <c r="H72" i="43"/>
  <c r="G72" i="43"/>
  <c r="E72" i="43"/>
  <c r="K71" i="43"/>
  <c r="K160" i="43" s="1"/>
  <c r="L199" i="43" s="1"/>
  <c r="J71" i="43"/>
  <c r="E76" i="43"/>
  <c r="D71" i="43"/>
  <c r="C71" i="43"/>
  <c r="F79" i="43"/>
  <c r="B70" i="43"/>
  <c r="C79" i="43"/>
  <c r="I78" i="43"/>
  <c r="D78" i="43"/>
  <c r="E78" i="43"/>
  <c r="E167" i="43" s="1"/>
  <c r="F206" i="43" s="1"/>
  <c r="C75" i="43"/>
  <c r="C164" i="43" s="1"/>
  <c r="D203" i="43" s="1"/>
  <c r="B75" i="43"/>
  <c r="K74" i="43"/>
  <c r="E74" i="43"/>
  <c r="C73" i="43"/>
  <c r="I72" i="43"/>
  <c r="B71" i="43"/>
  <c r="K78" i="43"/>
  <c r="B79" i="43"/>
  <c r="K70" i="43"/>
  <c r="E70" i="43"/>
  <c r="M39" i="46"/>
  <c r="L39" i="46"/>
  <c r="F52" i="43"/>
  <c r="J55" i="43"/>
  <c r="D59" i="43"/>
  <c r="D167" i="43" s="1"/>
  <c r="E206" i="43" s="1"/>
  <c r="M39" i="20"/>
  <c r="L39" i="20"/>
  <c r="K29" i="48"/>
  <c r="M38" i="30"/>
  <c r="L38" i="30"/>
  <c r="G32" i="23"/>
  <c r="M28" i="14"/>
  <c r="L28" i="14"/>
  <c r="F32" i="23"/>
  <c r="B35" i="23"/>
  <c r="F29" i="23"/>
  <c r="F84" i="7"/>
  <c r="G160" i="49"/>
  <c r="H199" i="49" s="1"/>
  <c r="L30" i="20"/>
  <c r="M30" i="20"/>
  <c r="N7" i="21"/>
  <c r="A212" i="21" s="1"/>
  <c r="G135" i="27"/>
  <c r="F135" i="27"/>
  <c r="L147" i="27"/>
  <c r="I9" i="51"/>
  <c r="K9" i="51" s="1"/>
  <c r="K7" i="19"/>
  <c r="K32" i="46"/>
  <c r="F188" i="37"/>
  <c r="G188" i="37"/>
  <c r="H59" i="35"/>
  <c r="B58" i="35"/>
  <c r="J54" i="35"/>
  <c r="H51" i="35"/>
  <c r="G59" i="35"/>
  <c r="K57" i="35"/>
  <c r="I54" i="35"/>
  <c r="C53" i="35"/>
  <c r="G51" i="35"/>
  <c r="E60" i="35"/>
  <c r="G58" i="35"/>
  <c r="I56" i="35"/>
  <c r="K54" i="35"/>
  <c r="K52" i="35"/>
  <c r="C51" i="35"/>
  <c r="D60" i="35"/>
  <c r="F58" i="35"/>
  <c r="H56" i="35"/>
  <c r="H54" i="35"/>
  <c r="J52" i="35"/>
  <c r="B51" i="35"/>
  <c r="B60" i="35"/>
  <c r="D58" i="35"/>
  <c r="H52" i="35"/>
  <c r="K59" i="35"/>
  <c r="C58" i="35"/>
  <c r="C56" i="35"/>
  <c r="G52" i="35"/>
  <c r="D59" i="35"/>
  <c r="F57" i="35"/>
  <c r="H55" i="35"/>
  <c r="J53" i="35"/>
  <c r="B52" i="35"/>
  <c r="B59" i="35"/>
  <c r="I53" i="35"/>
  <c r="D51" i="35"/>
  <c r="K58" i="35"/>
  <c r="K55" i="35"/>
  <c r="J58" i="35"/>
  <c r="J55" i="35"/>
  <c r="I58" i="35"/>
  <c r="I55" i="35"/>
  <c r="B53" i="35"/>
  <c r="H58" i="35"/>
  <c r="I52" i="35"/>
  <c r="K60" i="35"/>
  <c r="E58" i="35"/>
  <c r="F52" i="35"/>
  <c r="J60" i="35"/>
  <c r="J57" i="35"/>
  <c r="E52" i="35"/>
  <c r="F60" i="35"/>
  <c r="E57" i="35"/>
  <c r="J51" i="35"/>
  <c r="C60" i="35"/>
  <c r="D57" i="35"/>
  <c r="I51" i="35"/>
  <c r="E59" i="35"/>
  <c r="H53" i="35"/>
  <c r="I57" i="35"/>
  <c r="C59" i="35"/>
  <c r="D52" i="35"/>
  <c r="H57" i="35"/>
  <c r="C52" i="35"/>
  <c r="B57" i="35"/>
  <c r="G57" i="35"/>
  <c r="K51" i="35"/>
  <c r="E51" i="35"/>
  <c r="C57" i="35"/>
  <c r="F51" i="35"/>
  <c r="B56" i="35"/>
  <c r="I60" i="35"/>
  <c r="H60" i="35"/>
  <c r="C55" i="35"/>
  <c r="J56" i="35"/>
  <c r="B55" i="35"/>
  <c r="C54" i="35"/>
  <c r="B54" i="35"/>
  <c r="K53" i="35"/>
  <c r="G60" i="35"/>
  <c r="J59" i="35"/>
  <c r="I59" i="35"/>
  <c r="F59" i="35"/>
  <c r="K56" i="35"/>
  <c r="F45" i="35"/>
  <c r="C42" i="13"/>
  <c r="F39" i="13"/>
  <c r="F132" i="19"/>
  <c r="I156" i="19" s="1"/>
  <c r="A164" i="19" s="1"/>
  <c r="A172" i="19" s="1"/>
  <c r="G132" i="19"/>
  <c r="J179" i="19" s="1"/>
  <c r="M199" i="3"/>
  <c r="N244" i="3" s="1"/>
  <c r="I8" i="19"/>
  <c r="J8" i="19" s="1"/>
  <c r="D46" i="29"/>
  <c r="I45" i="29"/>
  <c r="D45" i="29"/>
  <c r="B52" i="29"/>
  <c r="G133" i="19"/>
  <c r="M124" i="3"/>
  <c r="K126" i="3"/>
  <c r="L122" i="3"/>
  <c r="L127" i="3"/>
  <c r="L205" i="3" s="1"/>
  <c r="M250" i="3" s="1"/>
  <c r="F120" i="3"/>
  <c r="D123" i="3"/>
  <c r="M129" i="3"/>
  <c r="C326" i="3"/>
  <c r="E326" i="3"/>
  <c r="F132" i="25"/>
  <c r="G132" i="25"/>
  <c r="B28" i="7"/>
  <c r="G27" i="7"/>
  <c r="F27" i="7"/>
  <c r="G29" i="7"/>
  <c r="G24" i="7"/>
  <c r="F24" i="7"/>
  <c r="C29" i="7"/>
  <c r="B29" i="7"/>
  <c r="F25" i="7"/>
  <c r="G25" i="7"/>
  <c r="E29" i="7"/>
  <c r="D29" i="7"/>
  <c r="F29" i="7"/>
  <c r="E28" i="7"/>
  <c r="D28" i="7"/>
  <c r="C28" i="7"/>
  <c r="G28" i="7"/>
  <c r="F28" i="7"/>
  <c r="G26" i="7"/>
  <c r="F26" i="7"/>
  <c r="F18" i="7"/>
  <c r="K29" i="12"/>
  <c r="K10" i="35"/>
  <c r="G251" i="55"/>
  <c r="N319" i="55" s="1"/>
  <c r="F251" i="55"/>
  <c r="E36" i="41"/>
  <c r="H36" i="41"/>
  <c r="C39" i="41"/>
  <c r="E57" i="9"/>
  <c r="L87" i="2"/>
  <c r="H86" i="2"/>
  <c r="D85" i="2"/>
  <c r="L83" i="2"/>
  <c r="H82" i="2"/>
  <c r="L79" i="2"/>
  <c r="H78" i="2"/>
  <c r="K80" i="2"/>
  <c r="K87" i="2"/>
  <c r="G86" i="2"/>
  <c r="C85" i="2"/>
  <c r="K83" i="2"/>
  <c r="G82" i="2"/>
  <c r="K79" i="2"/>
  <c r="F86" i="2"/>
  <c r="B85" i="2"/>
  <c r="J83" i="2"/>
  <c r="J79" i="2"/>
  <c r="G87" i="2"/>
  <c r="J87" i="2"/>
  <c r="F82" i="2"/>
  <c r="K84" i="2"/>
  <c r="I87" i="2"/>
  <c r="E86" i="2"/>
  <c r="M84" i="2"/>
  <c r="I83" i="2"/>
  <c r="E82" i="2"/>
  <c r="M80" i="2"/>
  <c r="I79" i="2"/>
  <c r="M76" i="2"/>
  <c r="C82" i="2"/>
  <c r="H87" i="2"/>
  <c r="D86" i="2"/>
  <c r="L84" i="2"/>
  <c r="H83" i="2"/>
  <c r="D82" i="2"/>
  <c r="L80" i="2"/>
  <c r="H79" i="2"/>
  <c r="L76" i="2"/>
  <c r="C86" i="2"/>
  <c r="K76" i="2"/>
  <c r="G83" i="2"/>
  <c r="C87" i="2"/>
  <c r="K85" i="2"/>
  <c r="G84" i="2"/>
  <c r="C83" i="2"/>
  <c r="K81" i="2"/>
  <c r="K77" i="2"/>
  <c r="L86" i="2"/>
  <c r="F84" i="2"/>
  <c r="M81" i="2"/>
  <c r="M79" i="2"/>
  <c r="D84" i="2"/>
  <c r="K86" i="2"/>
  <c r="E84" i="2"/>
  <c r="L81" i="2"/>
  <c r="J86" i="2"/>
  <c r="J81" i="2"/>
  <c r="L85" i="2"/>
  <c r="I86" i="2"/>
  <c r="C84" i="2"/>
  <c r="I81" i="2"/>
  <c r="J76" i="2"/>
  <c r="M85" i="2"/>
  <c r="F83" i="2"/>
  <c r="L78" i="2"/>
  <c r="B86" i="2"/>
  <c r="B84" i="2"/>
  <c r="H81" i="2"/>
  <c r="I76" i="2"/>
  <c r="M83" i="2"/>
  <c r="M78" i="2"/>
  <c r="H76" i="2"/>
  <c r="H85" i="2"/>
  <c r="B83" i="2"/>
  <c r="I80" i="2"/>
  <c r="I78" i="2"/>
  <c r="M87" i="2"/>
  <c r="G85" i="2"/>
  <c r="M82" i="2"/>
  <c r="H80" i="2"/>
  <c r="F87" i="2"/>
  <c r="F85" i="2"/>
  <c r="L82" i="2"/>
  <c r="M77" i="2"/>
  <c r="I82" i="2"/>
  <c r="B82" i="2"/>
  <c r="D87" i="2"/>
  <c r="J80" i="2"/>
  <c r="M86" i="2"/>
  <c r="B87" i="2"/>
  <c r="K78" i="2"/>
  <c r="J78" i="2"/>
  <c r="E87" i="2"/>
  <c r="L77" i="2"/>
  <c r="J85" i="2"/>
  <c r="K82" i="2"/>
  <c r="J77" i="2"/>
  <c r="I85" i="2"/>
  <c r="I77" i="2"/>
  <c r="D83" i="2"/>
  <c r="E85" i="2"/>
  <c r="H77" i="2"/>
  <c r="J84" i="2"/>
  <c r="I84" i="2"/>
  <c r="H84" i="2"/>
  <c r="E83" i="2"/>
  <c r="J82" i="2"/>
  <c r="F116" i="81"/>
  <c r="J129" i="81"/>
  <c r="M124" i="81"/>
  <c r="E124" i="81"/>
  <c r="O123" i="81"/>
  <c r="O121" i="81"/>
  <c r="G119" i="81"/>
  <c r="J134" i="81"/>
  <c r="E132" i="81"/>
  <c r="O131" i="81"/>
  <c r="O129" i="81"/>
  <c r="N129" i="81"/>
  <c r="M129" i="81"/>
  <c r="K129" i="81"/>
  <c r="N121" i="81"/>
  <c r="M121" i="81"/>
  <c r="O119" i="81"/>
  <c r="D36" i="41"/>
  <c r="H65" i="27"/>
  <c r="G65" i="27"/>
  <c r="F65" i="27"/>
  <c r="E65" i="27"/>
  <c r="D65" i="27"/>
  <c r="C63" i="27"/>
  <c r="C62" i="27"/>
  <c r="E66" i="27"/>
  <c r="E67" i="27"/>
  <c r="F58" i="27"/>
  <c r="E63" i="27"/>
  <c r="I6" i="15"/>
  <c r="J6" i="15" s="1"/>
  <c r="G58" i="43"/>
  <c r="F57" i="43"/>
  <c r="J60" i="43"/>
  <c r="K29" i="34"/>
  <c r="K29" i="52"/>
  <c r="H9" i="83"/>
  <c r="D57" i="43"/>
  <c r="G28" i="23"/>
  <c r="F40" i="41"/>
  <c r="F159" i="37"/>
  <c r="G198" i="37" s="1"/>
  <c r="F28" i="23"/>
  <c r="F107" i="23" s="1"/>
  <c r="G140" i="23" s="1"/>
  <c r="M33" i="16"/>
  <c r="L33" i="16"/>
  <c r="K33" i="50"/>
  <c r="F31" i="23"/>
  <c r="B41" i="7"/>
  <c r="G40" i="7"/>
  <c r="F40" i="7"/>
  <c r="C43" i="7"/>
  <c r="E40" i="7"/>
  <c r="B43" i="7"/>
  <c r="D40" i="7"/>
  <c r="C40" i="7"/>
  <c r="C42" i="7"/>
  <c r="E39" i="7"/>
  <c r="B42" i="7"/>
  <c r="D39" i="7"/>
  <c r="F33" i="7"/>
  <c r="C41" i="7"/>
  <c r="G39" i="7"/>
  <c r="F39" i="7"/>
  <c r="B40" i="7"/>
  <c r="C44" i="7"/>
  <c r="B44" i="7"/>
  <c r="C39" i="7"/>
  <c r="B39" i="7"/>
  <c r="D86" i="17"/>
  <c r="E79" i="17"/>
  <c r="H81" i="17"/>
  <c r="I8" i="15"/>
  <c r="J8" i="15" s="1"/>
  <c r="I6" i="9"/>
  <c r="K6" i="9" s="1"/>
  <c r="J6" i="9"/>
  <c r="K30" i="4"/>
  <c r="H11" i="41"/>
  <c r="K207" i="3"/>
  <c r="L252" i="3" s="1"/>
  <c r="M29" i="8"/>
  <c r="L29" i="8"/>
  <c r="E46" i="29"/>
  <c r="B46" i="29"/>
  <c r="H45" i="29"/>
  <c r="B84" i="17"/>
  <c r="M118" i="3"/>
  <c r="D129" i="3"/>
  <c r="E125" i="3"/>
  <c r="I118" i="3"/>
  <c r="B127" i="3"/>
  <c r="H124" i="3"/>
  <c r="F124" i="3"/>
  <c r="K124" i="3"/>
  <c r="K202" i="3" s="1"/>
  <c r="L247" i="3" s="1"/>
  <c r="B29" i="3"/>
  <c r="B35" i="3" s="1"/>
  <c r="E28" i="3"/>
  <c r="E34" i="3" s="1"/>
  <c r="E31" i="3"/>
  <c r="E37" i="3" s="1"/>
  <c r="D28" i="3"/>
  <c r="D34" i="3" s="1"/>
  <c r="D31" i="3"/>
  <c r="D37" i="3" s="1"/>
  <c r="C28" i="3"/>
  <c r="C34" i="3" s="1"/>
  <c r="B28" i="3"/>
  <c r="B34" i="3" s="1"/>
  <c r="C31" i="3"/>
  <c r="C37" i="3" s="1"/>
  <c r="D30" i="3"/>
  <c r="D36" i="3" s="1"/>
  <c r="A326" i="3"/>
  <c r="B31" i="3"/>
  <c r="B37" i="3" s="1"/>
  <c r="B199" i="3" s="1"/>
  <c r="C244" i="3" s="1"/>
  <c r="E30" i="3"/>
  <c r="E36" i="3" s="1"/>
  <c r="B30" i="3"/>
  <c r="B36" i="3" s="1"/>
  <c r="C30" i="3"/>
  <c r="C36" i="3" s="1"/>
  <c r="C29" i="3"/>
  <c r="C35" i="3" s="1"/>
  <c r="E29" i="3"/>
  <c r="E35" i="3" s="1"/>
  <c r="E197" i="3" s="1"/>
  <c r="F242" i="3" s="1"/>
  <c r="D29" i="3"/>
  <c r="D35" i="3" s="1"/>
  <c r="E167" i="7"/>
  <c r="K6" i="7"/>
  <c r="D58" i="5"/>
  <c r="E55" i="5"/>
  <c r="D55" i="5"/>
  <c r="G57" i="5"/>
  <c r="E57" i="5"/>
  <c r="F57" i="5"/>
  <c r="E59" i="5"/>
  <c r="G56" i="5"/>
  <c r="D59" i="5"/>
  <c r="F56" i="5"/>
  <c r="F48" i="5"/>
  <c r="E54" i="5"/>
  <c r="D54" i="5"/>
  <c r="E58" i="5"/>
  <c r="B57" i="5"/>
  <c r="E56" i="5"/>
  <c r="D56" i="5"/>
  <c r="D57" i="5"/>
  <c r="C57" i="5"/>
  <c r="C56" i="5"/>
  <c r="B56" i="5"/>
  <c r="K201" i="146" l="1"/>
  <c r="L246" i="146" s="1"/>
  <c r="L203" i="146"/>
  <c r="M248" i="146" s="1"/>
  <c r="G227" i="146"/>
  <c r="G228" i="146" s="1"/>
  <c r="D207" i="146"/>
  <c r="E252" i="146" s="1"/>
  <c r="L199" i="146"/>
  <c r="M244" i="146" s="1"/>
  <c r="F207" i="146"/>
  <c r="G252" i="146" s="1"/>
  <c r="M198" i="146"/>
  <c r="N243" i="146" s="1"/>
  <c r="M205" i="146"/>
  <c r="N250" i="146" s="1"/>
  <c r="C201" i="146"/>
  <c r="D246" i="146" s="1"/>
  <c r="G206" i="146"/>
  <c r="H251" i="146" s="1"/>
  <c r="I207" i="146"/>
  <c r="J252" i="146" s="1"/>
  <c r="M204" i="146"/>
  <c r="N249" i="146" s="1"/>
  <c r="M196" i="146"/>
  <c r="N241" i="146" s="1"/>
  <c r="J202" i="146"/>
  <c r="K247" i="146" s="1"/>
  <c r="J204" i="146"/>
  <c r="K249" i="146" s="1"/>
  <c r="K204" i="146"/>
  <c r="L249" i="146" s="1"/>
  <c r="I205" i="146"/>
  <c r="J250" i="146" s="1"/>
  <c r="M206" i="146"/>
  <c r="N251" i="146" s="1"/>
  <c r="E175" i="146"/>
  <c r="D178" i="146"/>
  <c r="C175" i="146"/>
  <c r="E178" i="146"/>
  <c r="B178" i="146"/>
  <c r="D175" i="146"/>
  <c r="B175" i="146"/>
  <c r="A385" i="146"/>
  <c r="B386" i="146" s="1"/>
  <c r="B177" i="146"/>
  <c r="E176" i="146"/>
  <c r="D176" i="146"/>
  <c r="C177" i="146"/>
  <c r="D177" i="146"/>
  <c r="E177" i="146"/>
  <c r="B176" i="146"/>
  <c r="C178" i="146"/>
  <c r="C176" i="146"/>
  <c r="M201" i="146"/>
  <c r="N246" i="146" s="1"/>
  <c r="J200" i="146"/>
  <c r="K245" i="146" s="1"/>
  <c r="L198" i="146"/>
  <c r="M243" i="146" s="1"/>
  <c r="F196" i="146"/>
  <c r="G241" i="146" s="1"/>
  <c r="J207" i="146"/>
  <c r="K252" i="146" s="1"/>
  <c r="E385" i="146"/>
  <c r="C385" i="146"/>
  <c r="C205" i="146"/>
  <c r="D250" i="146" s="1"/>
  <c r="B204" i="146"/>
  <c r="C249" i="146" s="1"/>
  <c r="E205" i="146"/>
  <c r="F250" i="146" s="1"/>
  <c r="G204" i="146"/>
  <c r="H249" i="146" s="1"/>
  <c r="J197" i="146"/>
  <c r="K242" i="146" s="1"/>
  <c r="B206" i="146"/>
  <c r="C251" i="146" s="1"/>
  <c r="K200" i="146"/>
  <c r="L245" i="146" s="1"/>
  <c r="C207" i="146"/>
  <c r="D252" i="146" s="1"/>
  <c r="D205" i="146"/>
  <c r="E250" i="146" s="1"/>
  <c r="L202" i="146"/>
  <c r="M247" i="146" s="1"/>
  <c r="A361" i="146"/>
  <c r="D114" i="146"/>
  <c r="B118" i="146" s="1"/>
  <c r="E114" i="146"/>
  <c r="C118" i="146" s="1"/>
  <c r="C114" i="146"/>
  <c r="E118" i="146" s="1"/>
  <c r="E196" i="146" s="1"/>
  <c r="F241" i="146" s="1"/>
  <c r="B114" i="146"/>
  <c r="D118" i="146" s="1"/>
  <c r="D196" i="146" s="1"/>
  <c r="E241" i="146" s="1"/>
  <c r="D113" i="146"/>
  <c r="B121" i="146" s="1"/>
  <c r="B199" i="146" s="1"/>
  <c r="C244" i="146" s="1"/>
  <c r="D115" i="146"/>
  <c r="B119" i="146" s="1"/>
  <c r="C115" i="146"/>
  <c r="E119" i="146" s="1"/>
  <c r="E197" i="146" s="1"/>
  <c r="F242" i="146" s="1"/>
  <c r="B115" i="146"/>
  <c r="D119" i="146" s="1"/>
  <c r="D197" i="146" s="1"/>
  <c r="E242" i="146" s="1"/>
  <c r="B113" i="146"/>
  <c r="D121" i="146" s="1"/>
  <c r="E112" i="146"/>
  <c r="C120" i="146" s="1"/>
  <c r="C198" i="146" s="1"/>
  <c r="D243" i="146" s="1"/>
  <c r="E115" i="146"/>
  <c r="C119" i="146" s="1"/>
  <c r="D112" i="146"/>
  <c r="B120" i="146" s="1"/>
  <c r="B198" i="146" s="1"/>
  <c r="C243" i="146" s="1"/>
  <c r="E113" i="146"/>
  <c r="C121" i="146" s="1"/>
  <c r="C199" i="146" s="1"/>
  <c r="D244" i="146" s="1"/>
  <c r="C113" i="146"/>
  <c r="E121" i="146" s="1"/>
  <c r="C112" i="146"/>
  <c r="E120" i="146" s="1"/>
  <c r="B112" i="146"/>
  <c r="D120" i="146" s="1"/>
  <c r="K196" i="146"/>
  <c r="L241" i="146" s="1"/>
  <c r="F205" i="146"/>
  <c r="G250" i="146" s="1"/>
  <c r="H206" i="146"/>
  <c r="I251" i="146" s="1"/>
  <c r="D204" i="146"/>
  <c r="E249" i="146" s="1"/>
  <c r="J201" i="146"/>
  <c r="K246" i="146" s="1"/>
  <c r="E361" i="146"/>
  <c r="C361" i="146"/>
  <c r="L200" i="146"/>
  <c r="M245" i="146" s="1"/>
  <c r="M207" i="146"/>
  <c r="N252" i="146" s="1"/>
  <c r="C206" i="146"/>
  <c r="D251" i="146" s="1"/>
  <c r="H205" i="146"/>
  <c r="I250" i="146" s="1"/>
  <c r="D361" i="146"/>
  <c r="F361" i="146"/>
  <c r="F385" i="146"/>
  <c r="D385" i="146"/>
  <c r="H204" i="146"/>
  <c r="I249" i="146" s="1"/>
  <c r="L205" i="146"/>
  <c r="M250" i="146" s="1"/>
  <c r="M197" i="146"/>
  <c r="N242" i="146" s="1"/>
  <c r="J199" i="146"/>
  <c r="K244" i="146" s="1"/>
  <c r="G197" i="146"/>
  <c r="H242" i="146" s="1"/>
  <c r="L206" i="146"/>
  <c r="M251" i="146" s="1"/>
  <c r="F204" i="146"/>
  <c r="G249" i="146" s="1"/>
  <c r="C345" i="146"/>
  <c r="E345" i="146"/>
  <c r="M200" i="146"/>
  <c r="N245" i="146" s="1"/>
  <c r="A337" i="146"/>
  <c r="B50" i="146"/>
  <c r="H62" i="146" s="1"/>
  <c r="E49" i="146"/>
  <c r="G61" i="146" s="1"/>
  <c r="G202" i="146" s="1"/>
  <c r="H247" i="146" s="1"/>
  <c r="D49" i="146"/>
  <c r="F61" i="146" s="1"/>
  <c r="F202" i="146" s="1"/>
  <c r="G247" i="146" s="1"/>
  <c r="C49" i="146"/>
  <c r="I61" i="146" s="1"/>
  <c r="E52" i="146"/>
  <c r="G60" i="146" s="1"/>
  <c r="B49" i="146"/>
  <c r="H61" i="146" s="1"/>
  <c r="D52" i="146"/>
  <c r="F60" i="146" s="1"/>
  <c r="D51" i="146"/>
  <c r="F59" i="146" s="1"/>
  <c r="C50" i="146"/>
  <c r="I62" i="146" s="1"/>
  <c r="C52" i="146"/>
  <c r="I60" i="146" s="1"/>
  <c r="I201" i="146" s="1"/>
  <c r="J246" i="146" s="1"/>
  <c r="D50" i="146"/>
  <c r="F62" i="146" s="1"/>
  <c r="F203" i="146" s="1"/>
  <c r="G248" i="146" s="1"/>
  <c r="B52" i="146"/>
  <c r="H60" i="146" s="1"/>
  <c r="H201" i="146" s="1"/>
  <c r="I246" i="146" s="1"/>
  <c r="E51" i="146"/>
  <c r="G59" i="146" s="1"/>
  <c r="C51" i="146"/>
  <c r="I59" i="146" s="1"/>
  <c r="I200" i="146" s="1"/>
  <c r="J245" i="146" s="1"/>
  <c r="B51" i="146"/>
  <c r="H59" i="146" s="1"/>
  <c r="H200" i="146" s="1"/>
  <c r="I245" i="146" s="1"/>
  <c r="E50" i="146"/>
  <c r="G62" i="146" s="1"/>
  <c r="G203" i="146" s="1"/>
  <c r="H248" i="146" s="1"/>
  <c r="K203" i="146"/>
  <c r="L248" i="146" s="1"/>
  <c r="I206" i="146"/>
  <c r="J251" i="146" s="1"/>
  <c r="B200" i="146"/>
  <c r="C245" i="146" s="1"/>
  <c r="B201" i="146"/>
  <c r="C246" i="146" s="1"/>
  <c r="K198" i="146"/>
  <c r="L243" i="146" s="1"/>
  <c r="J205" i="146"/>
  <c r="K250" i="146" s="1"/>
  <c r="D345" i="146"/>
  <c r="F345" i="146"/>
  <c r="E337" i="146"/>
  <c r="C337" i="146"/>
  <c r="D206" i="146"/>
  <c r="E251" i="146" s="1"/>
  <c r="J198" i="146"/>
  <c r="K243" i="146" s="1"/>
  <c r="C200" i="146"/>
  <c r="D245" i="146" s="1"/>
  <c r="B207" i="146"/>
  <c r="C252" i="146" s="1"/>
  <c r="A345" i="146"/>
  <c r="E72" i="146"/>
  <c r="I82" i="146" s="1"/>
  <c r="D72" i="146"/>
  <c r="H82" i="146" s="1"/>
  <c r="C72" i="146"/>
  <c r="C82" i="146" s="1"/>
  <c r="C202" i="146" s="1"/>
  <c r="D247" i="146" s="1"/>
  <c r="C70" i="146"/>
  <c r="C76" i="146" s="1"/>
  <c r="B70" i="146"/>
  <c r="B76" i="146" s="1"/>
  <c r="E73" i="146"/>
  <c r="I83" i="146" s="1"/>
  <c r="B73" i="146"/>
  <c r="B83" i="146" s="1"/>
  <c r="B203" i="146" s="1"/>
  <c r="C248" i="146" s="1"/>
  <c r="D70" i="146"/>
  <c r="H76" i="146" s="1"/>
  <c r="H196" i="146" s="1"/>
  <c r="I241" i="146" s="1"/>
  <c r="E70" i="146"/>
  <c r="I76" i="146" s="1"/>
  <c r="I196" i="146" s="1"/>
  <c r="J241" i="146" s="1"/>
  <c r="D73" i="146"/>
  <c r="H83" i="146" s="1"/>
  <c r="C73" i="146"/>
  <c r="C83" i="146" s="1"/>
  <c r="C203" i="146" s="1"/>
  <c r="D248" i="146" s="1"/>
  <c r="B72" i="146"/>
  <c r="B82" i="146" s="1"/>
  <c r="B202" i="146" s="1"/>
  <c r="C247" i="146" s="1"/>
  <c r="E71" i="146"/>
  <c r="I77" i="146" s="1"/>
  <c r="I197" i="146" s="1"/>
  <c r="J242" i="146" s="1"/>
  <c r="D71" i="146"/>
  <c r="H77" i="146" s="1"/>
  <c r="H197" i="146" s="1"/>
  <c r="I242" i="146" s="1"/>
  <c r="C71" i="146"/>
  <c r="C77" i="146" s="1"/>
  <c r="B71" i="146"/>
  <c r="B77" i="146" s="1"/>
  <c r="F337" i="146"/>
  <c r="D337" i="146"/>
  <c r="L196" i="146"/>
  <c r="M241" i="146" s="1"/>
  <c r="J196" i="146"/>
  <c r="K241" i="146" s="1"/>
  <c r="L204" i="146"/>
  <c r="M249" i="146" s="1"/>
  <c r="J203" i="146"/>
  <c r="K248" i="146" s="1"/>
  <c r="E207" i="146"/>
  <c r="F252" i="146" s="1"/>
  <c r="C256" i="146"/>
  <c r="N257" i="146"/>
  <c r="H207" i="146"/>
  <c r="I252" i="146" s="1"/>
  <c r="B205" i="146"/>
  <c r="C250" i="146" s="1"/>
  <c r="K202" i="146"/>
  <c r="L247" i="146" s="1"/>
  <c r="G207" i="146"/>
  <c r="H252" i="146" s="1"/>
  <c r="A329" i="146"/>
  <c r="E29" i="146"/>
  <c r="E39" i="146" s="1"/>
  <c r="E201" i="146" s="1"/>
  <c r="F246" i="146" s="1"/>
  <c r="D29" i="146"/>
  <c r="D39" i="146" s="1"/>
  <c r="D201" i="146" s="1"/>
  <c r="E246" i="146" s="1"/>
  <c r="C29" i="146"/>
  <c r="G39" i="146" s="1"/>
  <c r="B29" i="146"/>
  <c r="F39" i="146" s="1"/>
  <c r="F201" i="146" s="1"/>
  <c r="G246" i="146" s="1"/>
  <c r="E31" i="146"/>
  <c r="E37" i="146" s="1"/>
  <c r="D28" i="146"/>
  <c r="D38" i="146" s="1"/>
  <c r="D200" i="146" s="1"/>
  <c r="E245" i="146" s="1"/>
  <c r="C31" i="146"/>
  <c r="G37" i="146" s="1"/>
  <c r="G199" i="146" s="1"/>
  <c r="H244" i="146" s="1"/>
  <c r="B28" i="146"/>
  <c r="F38" i="146" s="1"/>
  <c r="E30" i="146"/>
  <c r="E36" i="146" s="1"/>
  <c r="D30" i="146"/>
  <c r="D36" i="146" s="1"/>
  <c r="C30" i="146"/>
  <c r="G36" i="146" s="1"/>
  <c r="G198" i="146" s="1"/>
  <c r="H243" i="146" s="1"/>
  <c r="D31" i="146"/>
  <c r="D37" i="146" s="1"/>
  <c r="B31" i="146"/>
  <c r="F37" i="146" s="1"/>
  <c r="F199" i="146" s="1"/>
  <c r="G244" i="146" s="1"/>
  <c r="B30" i="146"/>
  <c r="F36" i="146" s="1"/>
  <c r="F198" i="146" s="1"/>
  <c r="G243" i="146" s="1"/>
  <c r="E28" i="146"/>
  <c r="E38" i="146" s="1"/>
  <c r="E200" i="146" s="1"/>
  <c r="F245" i="146" s="1"/>
  <c r="C28" i="146"/>
  <c r="G38" i="146" s="1"/>
  <c r="C353" i="146"/>
  <c r="E353" i="146"/>
  <c r="L201" i="146"/>
  <c r="M246" i="146" s="1"/>
  <c r="I204" i="146"/>
  <c r="J249" i="146" s="1"/>
  <c r="F197" i="146"/>
  <c r="G242" i="146" s="1"/>
  <c r="L197" i="146"/>
  <c r="M242" i="146" s="1"/>
  <c r="G196" i="146"/>
  <c r="H241" i="146" s="1"/>
  <c r="F206" i="146"/>
  <c r="G251" i="146" s="1"/>
  <c r="C204" i="146"/>
  <c r="D249" i="146" s="1"/>
  <c r="F227" i="146"/>
  <c r="F228" i="146" s="1"/>
  <c r="K207" i="146"/>
  <c r="L252" i="146" s="1"/>
  <c r="K205" i="146"/>
  <c r="L250" i="146" s="1"/>
  <c r="D353" i="146"/>
  <c r="F353" i="146"/>
  <c r="M203" i="146"/>
  <c r="N248" i="146" s="1"/>
  <c r="J206" i="146"/>
  <c r="K251" i="146" s="1"/>
  <c r="K199" i="146"/>
  <c r="L244" i="146" s="1"/>
  <c r="M199" i="146"/>
  <c r="N244" i="146" s="1"/>
  <c r="K197" i="146"/>
  <c r="L242" i="146" s="1"/>
  <c r="L207" i="146"/>
  <c r="M252" i="146" s="1"/>
  <c r="G205" i="146"/>
  <c r="H250" i="146" s="1"/>
  <c r="M202" i="146"/>
  <c r="N247" i="146" s="1"/>
  <c r="C329" i="146"/>
  <c r="E329" i="146"/>
  <c r="A353" i="146"/>
  <c r="C93" i="146"/>
  <c r="E103" i="146" s="1"/>
  <c r="E202" i="146" s="1"/>
  <c r="F247" i="146" s="1"/>
  <c r="B93" i="146"/>
  <c r="D103" i="146" s="1"/>
  <c r="D202" i="146" s="1"/>
  <c r="E247" i="146" s="1"/>
  <c r="E92" i="146"/>
  <c r="I100" i="146" s="1"/>
  <c r="I199" i="146" s="1"/>
  <c r="J244" i="146" s="1"/>
  <c r="B92" i="146"/>
  <c r="D100" i="146" s="1"/>
  <c r="D93" i="146"/>
  <c r="H103" i="146" s="1"/>
  <c r="D92" i="146"/>
  <c r="H100" i="146" s="1"/>
  <c r="H199" i="146" s="1"/>
  <c r="I244" i="146" s="1"/>
  <c r="C92" i="146"/>
  <c r="E100" i="146" s="1"/>
  <c r="E91" i="146"/>
  <c r="I99" i="146" s="1"/>
  <c r="I198" i="146" s="1"/>
  <c r="J243" i="146" s="1"/>
  <c r="B91" i="146"/>
  <c r="D99" i="146" s="1"/>
  <c r="E93" i="146"/>
  <c r="I103" i="146" s="1"/>
  <c r="D91" i="146"/>
  <c r="H99" i="146" s="1"/>
  <c r="H198" i="146" s="1"/>
  <c r="I243" i="146" s="1"/>
  <c r="C91" i="146"/>
  <c r="E99" i="146" s="1"/>
  <c r="E94" i="146"/>
  <c r="I104" i="146" s="1"/>
  <c r="D94" i="146"/>
  <c r="H104" i="146" s="1"/>
  <c r="C94" i="146"/>
  <c r="E104" i="146" s="1"/>
  <c r="E203" i="146" s="1"/>
  <c r="F248" i="146" s="1"/>
  <c r="B94" i="146"/>
  <c r="D104" i="146" s="1"/>
  <c r="D203" i="146" s="1"/>
  <c r="E248" i="146" s="1"/>
  <c r="E206" i="146"/>
  <c r="F251" i="146" s="1"/>
  <c r="K206" i="146"/>
  <c r="L251" i="146" s="1"/>
  <c r="E204" i="146"/>
  <c r="F249" i="146" s="1"/>
  <c r="D329" i="146"/>
  <c r="F329" i="146"/>
  <c r="E397" i="145"/>
  <c r="B133" i="145"/>
  <c r="D133" i="145"/>
  <c r="B134" i="145"/>
  <c r="C134" i="145"/>
  <c r="E395" i="145"/>
  <c r="D369" i="145"/>
  <c r="C135" i="145"/>
  <c r="K7" i="145"/>
  <c r="F337" i="145" s="1"/>
  <c r="D135" i="145"/>
  <c r="D134" i="145"/>
  <c r="E134" i="145"/>
  <c r="E135" i="145"/>
  <c r="J8" i="145"/>
  <c r="E396" i="145"/>
  <c r="N8" i="145"/>
  <c r="K8" i="145"/>
  <c r="C136" i="145"/>
  <c r="E136" i="145"/>
  <c r="A369" i="145"/>
  <c r="B370" i="145" s="1"/>
  <c r="B136" i="145"/>
  <c r="C133" i="145"/>
  <c r="D136" i="145"/>
  <c r="N7" i="145"/>
  <c r="B135" i="145"/>
  <c r="L206" i="145"/>
  <c r="M251" i="145" s="1"/>
  <c r="K6" i="145"/>
  <c r="J6" i="145"/>
  <c r="E394" i="145"/>
  <c r="N6" i="145"/>
  <c r="M200" i="145"/>
  <c r="N245" i="145" s="1"/>
  <c r="D205" i="145"/>
  <c r="E250" i="145" s="1"/>
  <c r="L197" i="145"/>
  <c r="M242" i="145" s="1"/>
  <c r="C204" i="145"/>
  <c r="D249" i="145" s="1"/>
  <c r="L201" i="145"/>
  <c r="M246" i="145" s="1"/>
  <c r="C201" i="145"/>
  <c r="D246" i="145" s="1"/>
  <c r="J203" i="145"/>
  <c r="K248" i="145" s="1"/>
  <c r="F204" i="145"/>
  <c r="G249" i="145" s="1"/>
  <c r="F196" i="145"/>
  <c r="G241" i="145" s="1"/>
  <c r="C369" i="145"/>
  <c r="J202" i="145"/>
  <c r="K247" i="145" s="1"/>
  <c r="J198" i="145"/>
  <c r="K243" i="145" s="1"/>
  <c r="L200" i="145"/>
  <c r="M245" i="145" s="1"/>
  <c r="F207" i="145"/>
  <c r="G252" i="145" s="1"/>
  <c r="K206" i="145"/>
  <c r="L251" i="145" s="1"/>
  <c r="B206" i="145"/>
  <c r="C251" i="145" s="1"/>
  <c r="K202" i="145"/>
  <c r="L247" i="145" s="1"/>
  <c r="E205" i="145"/>
  <c r="F250" i="145" s="1"/>
  <c r="L207" i="145"/>
  <c r="M252" i="145" s="1"/>
  <c r="B205" i="145"/>
  <c r="C250" i="145" s="1"/>
  <c r="J197" i="145"/>
  <c r="K242" i="145" s="1"/>
  <c r="M205" i="145"/>
  <c r="N250" i="145" s="1"/>
  <c r="E207" i="145"/>
  <c r="F252" i="145" s="1"/>
  <c r="J206" i="145"/>
  <c r="K251" i="145" s="1"/>
  <c r="D207" i="145"/>
  <c r="E252" i="145" s="1"/>
  <c r="K205" i="145"/>
  <c r="L250" i="145" s="1"/>
  <c r="K199" i="145"/>
  <c r="L244" i="145" s="1"/>
  <c r="G204" i="145"/>
  <c r="H249" i="145" s="1"/>
  <c r="M203" i="145"/>
  <c r="N248" i="145" s="1"/>
  <c r="H206" i="145"/>
  <c r="I251" i="145" s="1"/>
  <c r="M204" i="145"/>
  <c r="N249" i="145" s="1"/>
  <c r="H205" i="145"/>
  <c r="I250" i="145" s="1"/>
  <c r="C207" i="145"/>
  <c r="D252" i="145" s="1"/>
  <c r="E206" i="145"/>
  <c r="F251" i="145" s="1"/>
  <c r="M201" i="145"/>
  <c r="N246" i="145" s="1"/>
  <c r="C205" i="145"/>
  <c r="D250" i="145" s="1"/>
  <c r="F228" i="145"/>
  <c r="B201" i="145"/>
  <c r="C246" i="145" s="1"/>
  <c r="J205" i="145"/>
  <c r="K250" i="145" s="1"/>
  <c r="J10" i="145"/>
  <c r="E398" i="145"/>
  <c r="N10" i="145"/>
  <c r="K10" i="145"/>
  <c r="E204" i="145"/>
  <c r="F249" i="145" s="1"/>
  <c r="L199" i="145"/>
  <c r="M244" i="145" s="1"/>
  <c r="E400" i="145"/>
  <c r="K12" i="145"/>
  <c r="J12" i="145"/>
  <c r="N12" i="145"/>
  <c r="I205" i="145"/>
  <c r="J250" i="145" s="1"/>
  <c r="K196" i="145"/>
  <c r="L241" i="145" s="1"/>
  <c r="C337" i="145"/>
  <c r="E337" i="145"/>
  <c r="J199" i="145"/>
  <c r="K244" i="145" s="1"/>
  <c r="A353" i="145"/>
  <c r="D93" i="145"/>
  <c r="B97" i="145" s="1"/>
  <c r="C93" i="145"/>
  <c r="E103" i="145" s="1"/>
  <c r="B93" i="145"/>
  <c r="D103" i="145" s="1"/>
  <c r="D91" i="145"/>
  <c r="H99" i="145" s="1"/>
  <c r="C91" i="145"/>
  <c r="E94" i="145"/>
  <c r="C98" i="145" s="1"/>
  <c r="D94" i="145"/>
  <c r="B98" i="145" s="1"/>
  <c r="B92" i="145"/>
  <c r="E91" i="145"/>
  <c r="I99" i="145" s="1"/>
  <c r="B91" i="145"/>
  <c r="C92" i="145"/>
  <c r="C94" i="145"/>
  <c r="E104" i="145" s="1"/>
  <c r="B94" i="145"/>
  <c r="D104" i="145" s="1"/>
  <c r="E93" i="145"/>
  <c r="C97" i="145" s="1"/>
  <c r="E92" i="145"/>
  <c r="I100" i="145" s="1"/>
  <c r="D92" i="145"/>
  <c r="H100" i="145" s="1"/>
  <c r="M199" i="145"/>
  <c r="N244" i="145" s="1"/>
  <c r="K207" i="145"/>
  <c r="L252" i="145" s="1"/>
  <c r="E385" i="145"/>
  <c r="C385" i="145"/>
  <c r="I206" i="145"/>
  <c r="J251" i="145" s="1"/>
  <c r="H207" i="145"/>
  <c r="I252" i="145" s="1"/>
  <c r="G228" i="145"/>
  <c r="J207" i="145"/>
  <c r="K252" i="145" s="1"/>
  <c r="F385" i="145"/>
  <c r="D385" i="145"/>
  <c r="K204" i="145"/>
  <c r="L249" i="145" s="1"/>
  <c r="L202" i="145"/>
  <c r="M247" i="145" s="1"/>
  <c r="G206" i="145"/>
  <c r="H251" i="145" s="1"/>
  <c r="D206" i="145"/>
  <c r="E251" i="145" s="1"/>
  <c r="K200" i="145"/>
  <c r="L245" i="145" s="1"/>
  <c r="G207" i="145"/>
  <c r="H252" i="145" s="1"/>
  <c r="G196" i="145"/>
  <c r="H241" i="145" s="1"/>
  <c r="K203" i="145"/>
  <c r="L248" i="145" s="1"/>
  <c r="M202" i="145"/>
  <c r="N247" i="145" s="1"/>
  <c r="K197" i="145"/>
  <c r="L242" i="145" s="1"/>
  <c r="L198" i="145"/>
  <c r="M243" i="145" s="1"/>
  <c r="L196" i="145"/>
  <c r="M241" i="145" s="1"/>
  <c r="J196" i="145"/>
  <c r="K241" i="145" s="1"/>
  <c r="M196" i="145"/>
  <c r="N241" i="145" s="1"/>
  <c r="I207" i="145"/>
  <c r="J252" i="145" s="1"/>
  <c r="M206" i="145"/>
  <c r="N251" i="145" s="1"/>
  <c r="F206" i="145"/>
  <c r="G251" i="145" s="1"/>
  <c r="J201" i="145"/>
  <c r="K246" i="145" s="1"/>
  <c r="G205" i="145"/>
  <c r="H250" i="145" s="1"/>
  <c r="F229" i="145"/>
  <c r="F230" i="145" s="1"/>
  <c r="M207" i="145"/>
  <c r="N252" i="145" s="1"/>
  <c r="L203" i="145"/>
  <c r="M248" i="145" s="1"/>
  <c r="F205" i="145"/>
  <c r="G250" i="145" s="1"/>
  <c r="L205" i="145"/>
  <c r="M250" i="145" s="1"/>
  <c r="E175" i="145"/>
  <c r="E178" i="145"/>
  <c r="D178" i="145"/>
  <c r="C175" i="145"/>
  <c r="B178" i="145"/>
  <c r="D175" i="145"/>
  <c r="B175" i="145"/>
  <c r="D177" i="145"/>
  <c r="C177" i="145"/>
  <c r="B177" i="145"/>
  <c r="E176" i="145"/>
  <c r="A385" i="145"/>
  <c r="B386" i="145" s="1"/>
  <c r="C178" i="145"/>
  <c r="E177" i="145"/>
  <c r="D176" i="145"/>
  <c r="C176" i="145"/>
  <c r="B176" i="145"/>
  <c r="L204" i="145"/>
  <c r="M249" i="145" s="1"/>
  <c r="H204" i="145"/>
  <c r="I249" i="145" s="1"/>
  <c r="M198" i="145"/>
  <c r="N243" i="145" s="1"/>
  <c r="B200" i="145"/>
  <c r="C245" i="145" s="1"/>
  <c r="M197" i="145"/>
  <c r="N242" i="145" s="1"/>
  <c r="I204" i="145"/>
  <c r="J249" i="145" s="1"/>
  <c r="C206" i="145"/>
  <c r="D251" i="145" s="1"/>
  <c r="J204" i="145"/>
  <c r="K249" i="145" s="1"/>
  <c r="K201" i="145"/>
  <c r="L246" i="145" s="1"/>
  <c r="F197" i="145"/>
  <c r="G242" i="145" s="1"/>
  <c r="J200" i="145"/>
  <c r="K245" i="145" s="1"/>
  <c r="G197" i="145"/>
  <c r="H242" i="145" s="1"/>
  <c r="C353" i="145"/>
  <c r="E353" i="145"/>
  <c r="D204" i="145"/>
  <c r="E249" i="145" s="1"/>
  <c r="B204" i="145"/>
  <c r="C249" i="145" s="1"/>
  <c r="B207" i="145"/>
  <c r="C252" i="145" s="1"/>
  <c r="C200" i="145"/>
  <c r="D245" i="145" s="1"/>
  <c r="K198" i="145"/>
  <c r="L243" i="145" s="1"/>
  <c r="D353" i="145"/>
  <c r="F353" i="145"/>
  <c r="F385" i="144"/>
  <c r="N12" i="144"/>
  <c r="C155" i="144" s="1"/>
  <c r="C29" i="144"/>
  <c r="C35" i="144" s="1"/>
  <c r="E400" i="144"/>
  <c r="J12" i="144"/>
  <c r="E377" i="144" s="1"/>
  <c r="E31" i="144"/>
  <c r="E37" i="144" s="1"/>
  <c r="C28" i="144"/>
  <c r="C34" i="144" s="1"/>
  <c r="C353" i="144"/>
  <c r="D337" i="144"/>
  <c r="K10" i="144"/>
  <c r="F361" i="144" s="1"/>
  <c r="E91" i="144"/>
  <c r="C94" i="144"/>
  <c r="E29" i="144"/>
  <c r="E35" i="144" s="1"/>
  <c r="E197" i="144" s="1"/>
  <c r="F242" i="144" s="1"/>
  <c r="C31" i="144"/>
  <c r="C37" i="144" s="1"/>
  <c r="C199" i="144" s="1"/>
  <c r="D244" i="144" s="1"/>
  <c r="D93" i="144"/>
  <c r="C385" i="144"/>
  <c r="E92" i="144"/>
  <c r="B93" i="144"/>
  <c r="C92" i="144"/>
  <c r="G102" i="144" s="1"/>
  <c r="B92" i="144"/>
  <c r="F102" i="144" s="1"/>
  <c r="E93" i="144"/>
  <c r="B94" i="144"/>
  <c r="C91" i="144"/>
  <c r="G101" i="144" s="1"/>
  <c r="B91" i="144"/>
  <c r="F101" i="144" s="1"/>
  <c r="D29" i="144"/>
  <c r="D35" i="144" s="1"/>
  <c r="D197" i="144" s="1"/>
  <c r="E242" i="144" s="1"/>
  <c r="E94" i="144"/>
  <c r="C98" i="144" s="1"/>
  <c r="A353" i="144"/>
  <c r="F353" i="144"/>
  <c r="D135" i="144"/>
  <c r="D91" i="144"/>
  <c r="D92" i="144"/>
  <c r="C135" i="144"/>
  <c r="D31" i="144"/>
  <c r="D37" i="144" s="1"/>
  <c r="B29" i="144"/>
  <c r="B35" i="144" s="1"/>
  <c r="D136" i="144"/>
  <c r="E135" i="144"/>
  <c r="J10" i="144"/>
  <c r="E361" i="144" s="1"/>
  <c r="B28" i="144"/>
  <c r="B34" i="144" s="1"/>
  <c r="B136" i="144"/>
  <c r="N10" i="144"/>
  <c r="C136" i="144"/>
  <c r="C133" i="144"/>
  <c r="E136" i="144"/>
  <c r="B134" i="144"/>
  <c r="A369" i="144"/>
  <c r="B370" i="144" s="1"/>
  <c r="B31" i="144"/>
  <c r="B37" i="144" s="1"/>
  <c r="B199" i="144" s="1"/>
  <c r="C244" i="144" s="1"/>
  <c r="C134" i="144"/>
  <c r="D30" i="144"/>
  <c r="D36" i="144" s="1"/>
  <c r="E133" i="144"/>
  <c r="C30" i="144"/>
  <c r="C36" i="144" s="1"/>
  <c r="C198" i="144" s="1"/>
  <c r="D243" i="144" s="1"/>
  <c r="E134" i="144"/>
  <c r="F329" i="144"/>
  <c r="D329" i="144"/>
  <c r="B133" i="144"/>
  <c r="D94" i="144"/>
  <c r="E30" i="144"/>
  <c r="E36" i="144" s="1"/>
  <c r="D133" i="144"/>
  <c r="E28" i="144"/>
  <c r="E34" i="144" s="1"/>
  <c r="E196" i="144" s="1"/>
  <c r="F241" i="144" s="1"/>
  <c r="B30" i="144"/>
  <c r="B36" i="144" s="1"/>
  <c r="B198" i="144" s="1"/>
  <c r="C243" i="144" s="1"/>
  <c r="D134" i="144"/>
  <c r="C329" i="144"/>
  <c r="E329" i="144"/>
  <c r="C93" i="144"/>
  <c r="D28" i="144"/>
  <c r="D34" i="144" s="1"/>
  <c r="D196" i="144" s="1"/>
  <c r="E241" i="144" s="1"/>
  <c r="B175" i="144"/>
  <c r="B178" i="144"/>
  <c r="E178" i="144"/>
  <c r="A385" i="144"/>
  <c r="B386" i="144" s="1"/>
  <c r="D175" i="144"/>
  <c r="B176" i="144"/>
  <c r="D176" i="144"/>
  <c r="C176" i="144"/>
  <c r="E177" i="144"/>
  <c r="D177" i="144"/>
  <c r="E175" i="144"/>
  <c r="D178" i="144"/>
  <c r="C177" i="144"/>
  <c r="B177" i="144"/>
  <c r="E176" i="144"/>
  <c r="C175" i="144"/>
  <c r="C178" i="144"/>
  <c r="E157" i="144"/>
  <c r="D353" i="144"/>
  <c r="C154" i="144"/>
  <c r="B50" i="144"/>
  <c r="B49" i="144"/>
  <c r="E49" i="144"/>
  <c r="C52" i="144"/>
  <c r="D52" i="144"/>
  <c r="F60" i="144" s="1"/>
  <c r="E52" i="144"/>
  <c r="G60" i="144" s="1"/>
  <c r="D50" i="144"/>
  <c r="B51" i="144"/>
  <c r="C51" i="144"/>
  <c r="D51" i="144"/>
  <c r="F59" i="144" s="1"/>
  <c r="E51" i="144"/>
  <c r="G59" i="144" s="1"/>
  <c r="B52" i="144"/>
  <c r="A337" i="144"/>
  <c r="E50" i="144"/>
  <c r="D49" i="144"/>
  <c r="E337" i="144"/>
  <c r="C49" i="144"/>
  <c r="C50" i="144"/>
  <c r="N8" i="144"/>
  <c r="K8" i="144"/>
  <c r="J8" i="144"/>
  <c r="E396" i="144"/>
  <c r="K205" i="144"/>
  <c r="L250" i="144" s="1"/>
  <c r="F206" i="144"/>
  <c r="G251" i="144" s="1"/>
  <c r="F228" i="144"/>
  <c r="F229" i="144" s="1"/>
  <c r="F230" i="144" s="1"/>
  <c r="L205" i="144"/>
  <c r="M250" i="144" s="1"/>
  <c r="J206" i="144"/>
  <c r="K251" i="144" s="1"/>
  <c r="E207" i="144"/>
  <c r="F252" i="144" s="1"/>
  <c r="F205" i="144"/>
  <c r="G250" i="144" s="1"/>
  <c r="J203" i="144"/>
  <c r="K248" i="144" s="1"/>
  <c r="K196" i="144"/>
  <c r="L241" i="144" s="1"/>
  <c r="H204" i="144"/>
  <c r="I249" i="144" s="1"/>
  <c r="L207" i="144"/>
  <c r="M252" i="144" s="1"/>
  <c r="B204" i="144"/>
  <c r="C249" i="144" s="1"/>
  <c r="M201" i="144"/>
  <c r="N246" i="144" s="1"/>
  <c r="J199" i="144"/>
  <c r="K244" i="144" s="1"/>
  <c r="D204" i="144"/>
  <c r="E249" i="144" s="1"/>
  <c r="K197" i="144"/>
  <c r="L242" i="144" s="1"/>
  <c r="J200" i="144"/>
  <c r="K245" i="144" s="1"/>
  <c r="I204" i="144"/>
  <c r="J249" i="144" s="1"/>
  <c r="K204" i="144"/>
  <c r="L249" i="144" s="1"/>
  <c r="M199" i="144"/>
  <c r="N244" i="144" s="1"/>
  <c r="H205" i="144"/>
  <c r="I250" i="144" s="1"/>
  <c r="L197" i="144"/>
  <c r="M242" i="144" s="1"/>
  <c r="G207" i="144"/>
  <c r="H252" i="144" s="1"/>
  <c r="B205" i="144"/>
  <c r="C250" i="144" s="1"/>
  <c r="K203" i="144"/>
  <c r="L248" i="144" s="1"/>
  <c r="L206" i="144"/>
  <c r="M251" i="144" s="1"/>
  <c r="J207" i="144"/>
  <c r="K252" i="144" s="1"/>
  <c r="C205" i="144"/>
  <c r="D250" i="144" s="1"/>
  <c r="K198" i="144"/>
  <c r="L243" i="144" s="1"/>
  <c r="J197" i="144"/>
  <c r="K242" i="144" s="1"/>
  <c r="B206" i="144"/>
  <c r="C251" i="144" s="1"/>
  <c r="D207" i="144"/>
  <c r="E252" i="144" s="1"/>
  <c r="M196" i="144"/>
  <c r="N241" i="144" s="1"/>
  <c r="G206" i="144"/>
  <c r="H251" i="144" s="1"/>
  <c r="M203" i="144"/>
  <c r="N248" i="144" s="1"/>
  <c r="J201" i="144"/>
  <c r="K246" i="144" s="1"/>
  <c r="C206" i="144"/>
  <c r="D251" i="144" s="1"/>
  <c r="L196" i="144"/>
  <c r="M241" i="144" s="1"/>
  <c r="K207" i="144"/>
  <c r="L252" i="144" s="1"/>
  <c r="E205" i="144"/>
  <c r="F250" i="144" s="1"/>
  <c r="M198" i="144"/>
  <c r="N243" i="144" s="1"/>
  <c r="F204" i="144"/>
  <c r="G249" i="144" s="1"/>
  <c r="L201" i="144"/>
  <c r="M246" i="144" s="1"/>
  <c r="I206" i="144"/>
  <c r="J251" i="144" s="1"/>
  <c r="K202" i="144"/>
  <c r="L247" i="144" s="1"/>
  <c r="J205" i="144"/>
  <c r="K250" i="144" s="1"/>
  <c r="B207" i="144"/>
  <c r="C252" i="144" s="1"/>
  <c r="J196" i="144"/>
  <c r="K241" i="144" s="1"/>
  <c r="M200" i="144"/>
  <c r="N245" i="144" s="1"/>
  <c r="M207" i="144"/>
  <c r="N252" i="144" s="1"/>
  <c r="C204" i="144"/>
  <c r="D249" i="144" s="1"/>
  <c r="L204" i="144"/>
  <c r="M249" i="144" s="1"/>
  <c r="L199" i="144"/>
  <c r="M244" i="144" s="1"/>
  <c r="G205" i="144"/>
  <c r="H250" i="144" s="1"/>
  <c r="M202" i="144"/>
  <c r="N247" i="144" s="1"/>
  <c r="L200" i="144"/>
  <c r="M245" i="144" s="1"/>
  <c r="H207" i="144"/>
  <c r="I252" i="144" s="1"/>
  <c r="K206" i="144"/>
  <c r="L251" i="144" s="1"/>
  <c r="E204" i="144"/>
  <c r="F249" i="144" s="1"/>
  <c r="G226" i="144"/>
  <c r="N294" i="144" s="1"/>
  <c r="K201" i="144"/>
  <c r="L246" i="144" s="1"/>
  <c r="J204" i="144"/>
  <c r="K249" i="144" s="1"/>
  <c r="M205" i="144"/>
  <c r="N250" i="144" s="1"/>
  <c r="M204" i="144"/>
  <c r="N249" i="144" s="1"/>
  <c r="J198" i="144"/>
  <c r="K243" i="144" s="1"/>
  <c r="I205" i="144"/>
  <c r="J250" i="144" s="1"/>
  <c r="D206" i="144"/>
  <c r="E251" i="144" s="1"/>
  <c r="G204" i="144"/>
  <c r="H249" i="144" s="1"/>
  <c r="F207" i="144"/>
  <c r="G252" i="144" s="1"/>
  <c r="E206" i="144"/>
  <c r="F251" i="144" s="1"/>
  <c r="L203" i="144"/>
  <c r="M248" i="144" s="1"/>
  <c r="M206" i="144"/>
  <c r="N251" i="144" s="1"/>
  <c r="K199" i="144"/>
  <c r="L244" i="144" s="1"/>
  <c r="C207" i="144"/>
  <c r="D252" i="144" s="1"/>
  <c r="K200" i="144"/>
  <c r="L245" i="144" s="1"/>
  <c r="I207" i="144"/>
  <c r="J252" i="144" s="1"/>
  <c r="D205" i="144"/>
  <c r="E250" i="144" s="1"/>
  <c r="L198" i="144"/>
  <c r="M243" i="144" s="1"/>
  <c r="L202" i="144"/>
  <c r="M247" i="144" s="1"/>
  <c r="N257" i="144"/>
  <c r="M257" i="144"/>
  <c r="A269" i="144" s="1"/>
  <c r="A281" i="144" s="1"/>
  <c r="C256" i="144"/>
  <c r="M197" i="144"/>
  <c r="N242" i="144" s="1"/>
  <c r="H206" i="144"/>
  <c r="I251" i="144" s="1"/>
  <c r="J202" i="144"/>
  <c r="K247" i="144" s="1"/>
  <c r="M257" i="2"/>
  <c r="A269" i="2" s="1"/>
  <c r="A281" i="2" s="1"/>
  <c r="N257" i="2"/>
  <c r="J13" i="2"/>
  <c r="E385" i="2" s="1"/>
  <c r="E395" i="2"/>
  <c r="N7" i="2"/>
  <c r="D51" i="2" s="1"/>
  <c r="F59" i="2" s="1"/>
  <c r="N10" i="2"/>
  <c r="J10" i="2"/>
  <c r="C361" i="2" s="1"/>
  <c r="K10" i="2"/>
  <c r="E337" i="2"/>
  <c r="K6" i="2"/>
  <c r="F329" i="2" s="1"/>
  <c r="N6" i="2"/>
  <c r="D369" i="2"/>
  <c r="E401" i="2"/>
  <c r="E369" i="2"/>
  <c r="K13" i="2"/>
  <c r="F385" i="2" s="1"/>
  <c r="F337" i="2"/>
  <c r="E176" i="2"/>
  <c r="E177" i="2"/>
  <c r="E175" i="2"/>
  <c r="D177" i="2"/>
  <c r="J6" i="2"/>
  <c r="E51" i="2"/>
  <c r="G59" i="2" s="1"/>
  <c r="A385" i="2"/>
  <c r="B386" i="2" s="1"/>
  <c r="B177" i="2"/>
  <c r="B175" i="2"/>
  <c r="D175" i="2"/>
  <c r="C177" i="2"/>
  <c r="B178" i="2"/>
  <c r="E178" i="2"/>
  <c r="C178" i="2"/>
  <c r="C175" i="2"/>
  <c r="D178" i="2"/>
  <c r="C176" i="2"/>
  <c r="E400" i="2"/>
  <c r="D176" i="2"/>
  <c r="B176" i="2"/>
  <c r="N12" i="2"/>
  <c r="D156" i="2" s="1"/>
  <c r="N9" i="2"/>
  <c r="K9" i="2"/>
  <c r="J9" i="2"/>
  <c r="E397" i="2"/>
  <c r="K12" i="2"/>
  <c r="D377" i="2" s="1"/>
  <c r="E377" i="2"/>
  <c r="C377" i="2"/>
  <c r="B112" i="2"/>
  <c r="H124" i="2" s="1"/>
  <c r="G228" i="2"/>
  <c r="N296" i="2" s="1"/>
  <c r="A296" i="2" s="1"/>
  <c r="A306" i="2" s="1"/>
  <c r="E433" i="65"/>
  <c r="N14" i="65"/>
  <c r="A416" i="65" s="1"/>
  <c r="J14" i="65"/>
  <c r="E395" i="117"/>
  <c r="C395" i="117"/>
  <c r="B34" i="117"/>
  <c r="C34" i="117"/>
  <c r="C389" i="143"/>
  <c r="E389" i="143"/>
  <c r="C34" i="143"/>
  <c r="F363" i="83"/>
  <c r="G420" i="83" s="1"/>
  <c r="E311" i="107"/>
  <c r="C311" i="107"/>
  <c r="D225" i="71"/>
  <c r="E270" i="71" s="1"/>
  <c r="K292" i="77"/>
  <c r="L343" i="77" s="1"/>
  <c r="K219" i="65"/>
  <c r="L264" i="65" s="1"/>
  <c r="J12" i="37"/>
  <c r="D275" i="141"/>
  <c r="E320" i="141" s="1"/>
  <c r="E478" i="143"/>
  <c r="K6" i="143"/>
  <c r="N6" i="143"/>
  <c r="A389" i="143" s="1"/>
  <c r="L32" i="18"/>
  <c r="M32" i="18"/>
  <c r="E484" i="117"/>
  <c r="N6" i="117"/>
  <c r="A395" i="117" s="1"/>
  <c r="K6" i="117"/>
  <c r="L225" i="111"/>
  <c r="M270" i="111" s="1"/>
  <c r="I155" i="15"/>
  <c r="A163" i="15" s="1"/>
  <c r="A171" i="15" s="1"/>
  <c r="G102" i="5"/>
  <c r="A108" i="5" s="1"/>
  <c r="A114" i="5" s="1"/>
  <c r="D168" i="43"/>
  <c r="E207" i="43" s="1"/>
  <c r="I224" i="61"/>
  <c r="J269" i="61" s="1"/>
  <c r="J159" i="45"/>
  <c r="K198" i="45" s="1"/>
  <c r="F295" i="79"/>
  <c r="G346" i="79" s="1"/>
  <c r="C298" i="79"/>
  <c r="D349" i="79" s="1"/>
  <c r="J294" i="79"/>
  <c r="K345" i="79" s="1"/>
  <c r="I290" i="79"/>
  <c r="J341" i="79" s="1"/>
  <c r="N288" i="73"/>
  <c r="H299" i="97"/>
  <c r="I344" i="97" s="1"/>
  <c r="G108" i="19"/>
  <c r="H141" i="19" s="1"/>
  <c r="C224" i="65"/>
  <c r="D269" i="65" s="1"/>
  <c r="M285" i="73"/>
  <c r="A297" i="73" s="1"/>
  <c r="A309" i="73" s="1"/>
  <c r="L226" i="111"/>
  <c r="M271" i="111" s="1"/>
  <c r="F374" i="83"/>
  <c r="G431" i="83" s="1"/>
  <c r="B368" i="83"/>
  <c r="C425" i="83" s="1"/>
  <c r="J13" i="63"/>
  <c r="C270" i="143"/>
  <c r="D315" i="143" s="1"/>
  <c r="M266" i="141"/>
  <c r="N311" i="141" s="1"/>
  <c r="J8" i="125"/>
  <c r="E427" i="69"/>
  <c r="N8" i="69"/>
  <c r="A368" i="69" s="1"/>
  <c r="J8" i="69"/>
  <c r="M31" i="62"/>
  <c r="L31" i="62"/>
  <c r="J152" i="29"/>
  <c r="A152" i="29" s="1"/>
  <c r="I160" i="29" s="1"/>
  <c r="I152" i="29"/>
  <c r="A160" i="29" s="1"/>
  <c r="A168" i="29" s="1"/>
  <c r="C151" i="29"/>
  <c r="M30" i="50"/>
  <c r="L30" i="50"/>
  <c r="H204" i="3"/>
  <c r="I249" i="3" s="1"/>
  <c r="G107" i="29"/>
  <c r="H140" i="29" s="1"/>
  <c r="D299" i="79"/>
  <c r="E350" i="79" s="1"/>
  <c r="H220" i="71"/>
  <c r="I265" i="71" s="1"/>
  <c r="B229" i="71"/>
  <c r="C274" i="71" s="1"/>
  <c r="I269" i="93"/>
  <c r="J314" i="93" s="1"/>
  <c r="H163" i="37"/>
  <c r="I202" i="37" s="1"/>
  <c r="E300" i="79"/>
  <c r="F351" i="79" s="1"/>
  <c r="I365" i="83"/>
  <c r="J422" i="83" s="1"/>
  <c r="M369" i="83"/>
  <c r="N426" i="83" s="1"/>
  <c r="K375" i="83"/>
  <c r="L432" i="83" s="1"/>
  <c r="J373" i="83"/>
  <c r="K430" i="83" s="1"/>
  <c r="I154" i="21"/>
  <c r="A162" i="21" s="1"/>
  <c r="A170" i="21" s="1"/>
  <c r="D204" i="3"/>
  <c r="E249" i="3" s="1"/>
  <c r="M202" i="3"/>
  <c r="N247" i="3" s="1"/>
  <c r="D114" i="31"/>
  <c r="E147" i="31" s="1"/>
  <c r="H292" i="97"/>
  <c r="I337" i="97" s="1"/>
  <c r="M225" i="61"/>
  <c r="N270" i="61" s="1"/>
  <c r="M207" i="3"/>
  <c r="N252" i="3" s="1"/>
  <c r="I228" i="57"/>
  <c r="J273" i="57" s="1"/>
  <c r="I220" i="71"/>
  <c r="J265" i="71" s="1"/>
  <c r="D230" i="71"/>
  <c r="E275" i="71" s="1"/>
  <c r="K11" i="35"/>
  <c r="D314" i="35" s="1"/>
  <c r="G166" i="37"/>
  <c r="H205" i="37" s="1"/>
  <c r="I163" i="37"/>
  <c r="J202" i="37" s="1"/>
  <c r="B227" i="61"/>
  <c r="C272" i="61" s="1"/>
  <c r="F204" i="3"/>
  <c r="G249" i="3" s="1"/>
  <c r="B269" i="93"/>
  <c r="C314" i="93" s="1"/>
  <c r="I161" i="45"/>
  <c r="J200" i="45" s="1"/>
  <c r="J292" i="77"/>
  <c r="K343" i="77" s="1"/>
  <c r="L214" i="47"/>
  <c r="O296" i="79"/>
  <c r="P347" i="79" s="1"/>
  <c r="L294" i="79"/>
  <c r="M345" i="79" s="1"/>
  <c r="I228" i="63"/>
  <c r="J273" i="63" s="1"/>
  <c r="C292" i="97"/>
  <c r="D337" i="97" s="1"/>
  <c r="M226" i="65"/>
  <c r="N271" i="65" s="1"/>
  <c r="M286" i="73"/>
  <c r="A298" i="73" s="1"/>
  <c r="A310" i="73" s="1"/>
  <c r="E229" i="63"/>
  <c r="F274" i="63" s="1"/>
  <c r="F151" i="105"/>
  <c r="D226" i="111"/>
  <c r="E271" i="111" s="1"/>
  <c r="I172" i="85"/>
  <c r="A180" i="85" s="1"/>
  <c r="A188" i="85" s="1"/>
  <c r="F168" i="49"/>
  <c r="G207" i="49" s="1"/>
  <c r="C275" i="99"/>
  <c r="D320" i="99" s="1"/>
  <c r="G374" i="83"/>
  <c r="H431" i="83" s="1"/>
  <c r="B375" i="83"/>
  <c r="C432" i="83" s="1"/>
  <c r="G266" i="119"/>
  <c r="H311" i="119" s="1"/>
  <c r="J14" i="117"/>
  <c r="F348" i="121"/>
  <c r="I8" i="129"/>
  <c r="K8" i="129"/>
  <c r="E333" i="45"/>
  <c r="N8" i="45"/>
  <c r="A290" i="45" s="1"/>
  <c r="E425" i="69"/>
  <c r="N6" i="69"/>
  <c r="K6" i="69"/>
  <c r="E494" i="131"/>
  <c r="N13" i="131"/>
  <c r="A454" i="131" s="1"/>
  <c r="K13" i="131"/>
  <c r="M206" i="3"/>
  <c r="N251" i="3" s="1"/>
  <c r="I276" i="93"/>
  <c r="J321" i="93" s="1"/>
  <c r="J155" i="15"/>
  <c r="L288" i="79"/>
  <c r="M339" i="79" s="1"/>
  <c r="G288" i="77"/>
  <c r="H339" i="77" s="1"/>
  <c r="K214" i="47"/>
  <c r="A224" i="47" s="1"/>
  <c r="A234" i="47" s="1"/>
  <c r="N288" i="79"/>
  <c r="O339" i="79" s="1"/>
  <c r="C299" i="79"/>
  <c r="D350" i="79" s="1"/>
  <c r="K292" i="79"/>
  <c r="L343" i="79" s="1"/>
  <c r="G296" i="79"/>
  <c r="H347" i="79" s="1"/>
  <c r="B227" i="63"/>
  <c r="C272" i="63" s="1"/>
  <c r="M295" i="97"/>
  <c r="N340" i="97" s="1"/>
  <c r="N288" i="69"/>
  <c r="N286" i="73"/>
  <c r="I154" i="105"/>
  <c r="L219" i="111"/>
  <c r="M264" i="111" s="1"/>
  <c r="H159" i="49"/>
  <c r="I198" i="49" s="1"/>
  <c r="Q374" i="83"/>
  <c r="R431" i="83" s="1"/>
  <c r="Q363" i="83"/>
  <c r="R420" i="83" s="1"/>
  <c r="K12" i="53"/>
  <c r="G187" i="127"/>
  <c r="H226" i="127" s="1"/>
  <c r="E352" i="69"/>
  <c r="C352" i="69"/>
  <c r="F219" i="71"/>
  <c r="G264" i="71" s="1"/>
  <c r="F108" i="23"/>
  <c r="G141" i="23" s="1"/>
  <c r="J14" i="59"/>
  <c r="E416" i="59" s="1"/>
  <c r="I290" i="77"/>
  <c r="J341" i="77" s="1"/>
  <c r="G165" i="37"/>
  <c r="H204" i="37" s="1"/>
  <c r="H230" i="111"/>
  <c r="I275" i="111" s="1"/>
  <c r="G348" i="121"/>
  <c r="I163" i="129"/>
  <c r="J202" i="129" s="1"/>
  <c r="K10" i="133"/>
  <c r="B250" i="139"/>
  <c r="C295" i="139" s="1"/>
  <c r="M29" i="84"/>
  <c r="L29" i="84"/>
  <c r="I12" i="77"/>
  <c r="J12" i="77" s="1"/>
  <c r="L36" i="70"/>
  <c r="M36" i="70"/>
  <c r="M34" i="62"/>
  <c r="L34" i="62"/>
  <c r="J7" i="3"/>
  <c r="E392" i="3"/>
  <c r="N7" i="3"/>
  <c r="K7" i="3"/>
  <c r="J178" i="29"/>
  <c r="A178" i="29" s="1"/>
  <c r="A184" i="29" s="1"/>
  <c r="E229" i="71"/>
  <c r="F274" i="71" s="1"/>
  <c r="B168" i="45"/>
  <c r="C207" i="45" s="1"/>
  <c r="K226" i="69"/>
  <c r="L271" i="69" s="1"/>
  <c r="G219" i="71"/>
  <c r="H264" i="71" s="1"/>
  <c r="C293" i="79"/>
  <c r="D344" i="79" s="1"/>
  <c r="H279" i="69"/>
  <c r="H163" i="39"/>
  <c r="I202" i="39" s="1"/>
  <c r="K12" i="39"/>
  <c r="I298" i="79"/>
  <c r="J349" i="79" s="1"/>
  <c r="B372" i="83"/>
  <c r="C429" i="83" s="1"/>
  <c r="I363" i="83"/>
  <c r="J420" i="83" s="1"/>
  <c r="H376" i="83"/>
  <c r="I433" i="83" s="1"/>
  <c r="H184" i="127"/>
  <c r="I223" i="127" s="1"/>
  <c r="I221" i="111"/>
  <c r="J266" i="111" s="1"/>
  <c r="I164" i="129"/>
  <c r="J203" i="129" s="1"/>
  <c r="I270" i="143"/>
  <c r="J315" i="143" s="1"/>
  <c r="H270" i="143"/>
  <c r="I315" i="143" s="1"/>
  <c r="F272" i="143"/>
  <c r="G317" i="143" s="1"/>
  <c r="C274" i="141"/>
  <c r="D319" i="141" s="1"/>
  <c r="F165" i="129"/>
  <c r="G204" i="129" s="1"/>
  <c r="M33" i="72"/>
  <c r="L33" i="72"/>
  <c r="M29" i="90"/>
  <c r="L29" i="90"/>
  <c r="J8" i="13"/>
  <c r="D168" i="51"/>
  <c r="E207" i="51" s="1"/>
  <c r="D113" i="21"/>
  <c r="E146" i="21" s="1"/>
  <c r="K215" i="47"/>
  <c r="A225" i="47" s="1"/>
  <c r="A235" i="47" s="1"/>
  <c r="K159" i="43"/>
  <c r="L198" i="43" s="1"/>
  <c r="L222" i="71"/>
  <c r="M267" i="71" s="1"/>
  <c r="J160" i="39"/>
  <c r="K199" i="39" s="1"/>
  <c r="C291" i="79"/>
  <c r="D342" i="79" s="1"/>
  <c r="I295" i="79"/>
  <c r="J346" i="79" s="1"/>
  <c r="H227" i="63"/>
  <c r="I272" i="63" s="1"/>
  <c r="H230" i="61"/>
  <c r="I275" i="61" s="1"/>
  <c r="E196" i="3"/>
  <c r="F241" i="3" s="1"/>
  <c r="J220" i="61"/>
  <c r="K265" i="61" s="1"/>
  <c r="H207" i="3"/>
  <c r="I252" i="3" s="1"/>
  <c r="G160" i="37"/>
  <c r="H199" i="37" s="1"/>
  <c r="E226" i="73"/>
  <c r="F271" i="73" s="1"/>
  <c r="I299" i="97"/>
  <c r="J344" i="97" s="1"/>
  <c r="K213" i="37"/>
  <c r="A223" i="37" s="1"/>
  <c r="A233" i="37" s="1"/>
  <c r="M285" i="69"/>
  <c r="A297" i="69" s="1"/>
  <c r="A309" i="69" s="1"/>
  <c r="M220" i="65"/>
  <c r="N265" i="65" s="1"/>
  <c r="J226" i="73"/>
  <c r="K271" i="73" s="1"/>
  <c r="C223" i="57"/>
  <c r="D268" i="57" s="1"/>
  <c r="K224" i="73"/>
  <c r="L269" i="73" s="1"/>
  <c r="M219" i="111"/>
  <c r="N264" i="111" s="1"/>
  <c r="M225" i="111"/>
  <c r="N270" i="111" s="1"/>
  <c r="C165" i="49"/>
  <c r="D204" i="49" s="1"/>
  <c r="B378" i="83"/>
  <c r="C435" i="83" s="1"/>
  <c r="G364" i="83"/>
  <c r="H421" i="83" s="1"/>
  <c r="H164" i="129"/>
  <c r="I203" i="129" s="1"/>
  <c r="I269" i="143"/>
  <c r="J314" i="143" s="1"/>
  <c r="M272" i="143"/>
  <c r="N317" i="143" s="1"/>
  <c r="J8" i="141"/>
  <c r="J243" i="139"/>
  <c r="K288" i="139" s="1"/>
  <c r="L380" i="121"/>
  <c r="A380" i="121" s="1"/>
  <c r="A388" i="121" s="1"/>
  <c r="L382" i="121"/>
  <c r="A382" i="121" s="1"/>
  <c r="A390" i="121" s="1"/>
  <c r="L381" i="121"/>
  <c r="A381" i="121" s="1"/>
  <c r="A389" i="121" s="1"/>
  <c r="M31" i="54"/>
  <c r="L31" i="54"/>
  <c r="M30" i="26"/>
  <c r="L30" i="26"/>
  <c r="M29" i="138"/>
  <c r="L29" i="138"/>
  <c r="J160" i="43"/>
  <c r="K199" i="43" s="1"/>
  <c r="D226" i="71"/>
  <c r="E271" i="71" s="1"/>
  <c r="G159" i="39"/>
  <c r="H198" i="39" s="1"/>
  <c r="B223" i="71"/>
  <c r="C268" i="71" s="1"/>
  <c r="I219" i="71"/>
  <c r="J264" i="71" s="1"/>
  <c r="M220" i="71"/>
  <c r="N265" i="71" s="1"/>
  <c r="F166" i="39"/>
  <c r="G205" i="39" s="1"/>
  <c r="C168" i="41"/>
  <c r="D207" i="41" s="1"/>
  <c r="M201" i="3"/>
  <c r="N246" i="3" s="1"/>
  <c r="D168" i="45"/>
  <c r="E207" i="45" s="1"/>
  <c r="M219" i="65"/>
  <c r="N264" i="65" s="1"/>
  <c r="I153" i="29"/>
  <c r="A161" i="29" s="1"/>
  <c r="A169" i="29" s="1"/>
  <c r="C230" i="111"/>
  <c r="D275" i="111" s="1"/>
  <c r="M222" i="71"/>
  <c r="N267" i="71" s="1"/>
  <c r="L220" i="61"/>
  <c r="M265" i="61" s="1"/>
  <c r="H219" i="73"/>
  <c r="I264" i="73" s="1"/>
  <c r="B294" i="77"/>
  <c r="C345" i="77" s="1"/>
  <c r="H289" i="79"/>
  <c r="I340" i="79" s="1"/>
  <c r="K291" i="79"/>
  <c r="L342" i="79" s="1"/>
  <c r="E299" i="79"/>
  <c r="F350" i="79" s="1"/>
  <c r="I224" i="65"/>
  <c r="J269" i="65" s="1"/>
  <c r="I279" i="69"/>
  <c r="J224" i="111"/>
  <c r="K269" i="111" s="1"/>
  <c r="P363" i="83"/>
  <c r="Q420" i="83" s="1"/>
  <c r="B168" i="43"/>
  <c r="C207" i="43" s="1"/>
  <c r="B163" i="43"/>
  <c r="C202" i="43" s="1"/>
  <c r="C223" i="71"/>
  <c r="D268" i="71" s="1"/>
  <c r="B230" i="71"/>
  <c r="C275" i="71" s="1"/>
  <c r="C227" i="61"/>
  <c r="D272" i="61" s="1"/>
  <c r="F272" i="93"/>
  <c r="G317" i="93" s="1"/>
  <c r="M294" i="97"/>
  <c r="N339" i="97" s="1"/>
  <c r="D197" i="3"/>
  <c r="E242" i="3" s="1"/>
  <c r="I156" i="15"/>
  <c r="A164" i="15" s="1"/>
  <c r="A172" i="15" s="1"/>
  <c r="M221" i="71"/>
  <c r="N266" i="71" s="1"/>
  <c r="H221" i="71"/>
  <c r="I266" i="71" s="1"/>
  <c r="M219" i="71"/>
  <c r="N264" i="71" s="1"/>
  <c r="C226" i="71"/>
  <c r="D271" i="71" s="1"/>
  <c r="G206" i="3"/>
  <c r="H251" i="3" s="1"/>
  <c r="K160" i="39"/>
  <c r="L199" i="39" s="1"/>
  <c r="I163" i="39"/>
  <c r="J202" i="39" s="1"/>
  <c r="B168" i="39"/>
  <c r="C207" i="39" s="1"/>
  <c r="E113" i="27"/>
  <c r="F146" i="27" s="1"/>
  <c r="I109" i="27"/>
  <c r="J142" i="27" s="1"/>
  <c r="H110" i="31"/>
  <c r="I143" i="31" s="1"/>
  <c r="H229" i="61"/>
  <c r="I274" i="61" s="1"/>
  <c r="I219" i="73"/>
  <c r="J264" i="73" s="1"/>
  <c r="E204" i="3"/>
  <c r="F249" i="3" s="1"/>
  <c r="M271" i="93"/>
  <c r="N316" i="93" s="1"/>
  <c r="E168" i="45"/>
  <c r="F207" i="45" s="1"/>
  <c r="J162" i="45"/>
  <c r="K201" i="45" s="1"/>
  <c r="J291" i="77"/>
  <c r="K342" i="77" s="1"/>
  <c r="M220" i="67"/>
  <c r="N265" i="67" s="1"/>
  <c r="J219" i="69"/>
  <c r="K264" i="69" s="1"/>
  <c r="C300" i="79"/>
  <c r="D351" i="79" s="1"/>
  <c r="F296" i="79"/>
  <c r="G347" i="79" s="1"/>
  <c r="N295" i="79"/>
  <c r="O346" i="79" s="1"/>
  <c r="H290" i="79"/>
  <c r="I341" i="79" s="1"/>
  <c r="O288" i="79"/>
  <c r="P339" i="79" s="1"/>
  <c r="F289" i="97"/>
  <c r="G334" i="97" s="1"/>
  <c r="M286" i="69"/>
  <c r="A298" i="69" s="1"/>
  <c r="A310" i="69" s="1"/>
  <c r="J224" i="65"/>
  <c r="K269" i="65" s="1"/>
  <c r="B229" i="73"/>
  <c r="C274" i="73" s="1"/>
  <c r="L220" i="57"/>
  <c r="M265" i="57" s="1"/>
  <c r="D114" i="21"/>
  <c r="E147" i="21" s="1"/>
  <c r="B230" i="63"/>
  <c r="C275" i="63" s="1"/>
  <c r="G265" i="93"/>
  <c r="H310" i="93" s="1"/>
  <c r="I175" i="85"/>
  <c r="A183" i="85" s="1"/>
  <c r="A191" i="85" s="1"/>
  <c r="I229" i="111"/>
  <c r="J274" i="111" s="1"/>
  <c r="H224" i="111"/>
  <c r="I269" i="111" s="1"/>
  <c r="N363" i="83"/>
  <c r="O420" i="83" s="1"/>
  <c r="L369" i="83"/>
  <c r="M426" i="83" s="1"/>
  <c r="I366" i="83"/>
  <c r="J423" i="83" s="1"/>
  <c r="P364" i="83"/>
  <c r="Q421" i="83" s="1"/>
  <c r="J363" i="83"/>
  <c r="K420" i="83" s="1"/>
  <c r="B112" i="109"/>
  <c r="C145" i="109" s="1"/>
  <c r="C269" i="119"/>
  <c r="D314" i="119" s="1"/>
  <c r="H184" i="89"/>
  <c r="I223" i="89" s="1"/>
  <c r="K159" i="129"/>
  <c r="L198" i="129" s="1"/>
  <c r="K8" i="133"/>
  <c r="H270" i="119"/>
  <c r="I315" i="119" s="1"/>
  <c r="L327" i="141"/>
  <c r="A338" i="141" s="1"/>
  <c r="A349" i="141" s="1"/>
  <c r="K349" i="121"/>
  <c r="A359" i="121" s="1"/>
  <c r="A369" i="121" s="1"/>
  <c r="C348" i="121"/>
  <c r="L349" i="121"/>
  <c r="A349" i="121" s="1"/>
  <c r="K359" i="121" s="1"/>
  <c r="M30" i="108"/>
  <c r="L30" i="108"/>
  <c r="K8" i="69"/>
  <c r="C168" i="37"/>
  <c r="D207" i="37" s="1"/>
  <c r="M266" i="143"/>
  <c r="N311" i="143" s="1"/>
  <c r="F265" i="117"/>
  <c r="G310" i="117" s="1"/>
  <c r="E514" i="123"/>
  <c r="N8" i="123"/>
  <c r="A431" i="123" s="1"/>
  <c r="J8" i="123"/>
  <c r="M28" i="44"/>
  <c r="L28" i="44"/>
  <c r="E333" i="49"/>
  <c r="N8" i="49"/>
  <c r="A290" i="49" s="1"/>
  <c r="K8" i="49"/>
  <c r="F160" i="39"/>
  <c r="G199" i="39" s="1"/>
  <c r="M226" i="61"/>
  <c r="N271" i="61" s="1"/>
  <c r="B168" i="37"/>
  <c r="C207" i="37" s="1"/>
  <c r="K293" i="79"/>
  <c r="L344" i="79" s="1"/>
  <c r="L220" i="111"/>
  <c r="M265" i="111" s="1"/>
  <c r="C376" i="83"/>
  <c r="D433" i="83" s="1"/>
  <c r="I375" i="83"/>
  <c r="J432" i="83" s="1"/>
  <c r="D370" i="83"/>
  <c r="E427" i="83" s="1"/>
  <c r="I269" i="119"/>
  <c r="J314" i="119" s="1"/>
  <c r="J11" i="121"/>
  <c r="J9" i="93"/>
  <c r="C275" i="119"/>
  <c r="D320" i="119" s="1"/>
  <c r="C249" i="133"/>
  <c r="D294" i="133" s="1"/>
  <c r="B276" i="143"/>
  <c r="C321" i="143" s="1"/>
  <c r="M295" i="121"/>
  <c r="N340" i="121" s="1"/>
  <c r="K352" i="121"/>
  <c r="A362" i="121" s="1"/>
  <c r="A372" i="121" s="1"/>
  <c r="E290" i="49"/>
  <c r="B64" i="49"/>
  <c r="C290" i="49"/>
  <c r="M35" i="122"/>
  <c r="L35" i="122"/>
  <c r="J226" i="71"/>
  <c r="K271" i="71" s="1"/>
  <c r="J225" i="71"/>
  <c r="K270" i="71" s="1"/>
  <c r="J196" i="3"/>
  <c r="K241" i="3" s="1"/>
  <c r="M272" i="93"/>
  <c r="N317" i="93" s="1"/>
  <c r="K294" i="79"/>
  <c r="L345" i="79" s="1"/>
  <c r="H288" i="79"/>
  <c r="I339" i="79" s="1"/>
  <c r="K18" i="81"/>
  <c r="B140" i="45"/>
  <c r="H163" i="41"/>
  <c r="I202" i="41" s="1"/>
  <c r="K226" i="71"/>
  <c r="L271" i="71" s="1"/>
  <c r="E230" i="71"/>
  <c r="F275" i="71" s="1"/>
  <c r="G207" i="3"/>
  <c r="H252" i="3" s="1"/>
  <c r="M204" i="3"/>
  <c r="N249" i="3" s="1"/>
  <c r="E113" i="21"/>
  <c r="F146" i="21" s="1"/>
  <c r="B163" i="39"/>
  <c r="C202" i="39" s="1"/>
  <c r="K6" i="33"/>
  <c r="D204" i="33" s="1"/>
  <c r="E206" i="3"/>
  <c r="F251" i="3" s="1"/>
  <c r="G205" i="3"/>
  <c r="H250" i="3" s="1"/>
  <c r="K159" i="41"/>
  <c r="L198" i="41" s="1"/>
  <c r="F266" i="93"/>
  <c r="G311" i="93" s="1"/>
  <c r="I162" i="45"/>
  <c r="J201" i="45" s="1"/>
  <c r="C167" i="45"/>
  <c r="D206" i="45" s="1"/>
  <c r="H290" i="77"/>
  <c r="I341" i="77" s="1"/>
  <c r="G288" i="79"/>
  <c r="H339" i="79" s="1"/>
  <c r="L201" i="2"/>
  <c r="M246" i="2" s="1"/>
  <c r="K219" i="69"/>
  <c r="L264" i="69" s="1"/>
  <c r="I220" i="73"/>
  <c r="J265" i="73" s="1"/>
  <c r="M288" i="79"/>
  <c r="N339" i="79" s="1"/>
  <c r="C292" i="79"/>
  <c r="D343" i="79" s="1"/>
  <c r="K300" i="79"/>
  <c r="L351" i="79" s="1"/>
  <c r="G167" i="51"/>
  <c r="H206" i="51" s="1"/>
  <c r="F294" i="97"/>
  <c r="G339" i="97" s="1"/>
  <c r="H224" i="65"/>
  <c r="I269" i="65" s="1"/>
  <c r="M220" i="73"/>
  <c r="N265" i="73" s="1"/>
  <c r="M220" i="57"/>
  <c r="N265" i="57" s="1"/>
  <c r="J224" i="57"/>
  <c r="K269" i="57" s="1"/>
  <c r="C225" i="57"/>
  <c r="D270" i="57" s="1"/>
  <c r="E225" i="57"/>
  <c r="F270" i="57" s="1"/>
  <c r="N287" i="73"/>
  <c r="H108" i="15"/>
  <c r="I141" i="15" s="1"/>
  <c r="N289" i="79"/>
  <c r="O340" i="79" s="1"/>
  <c r="J16" i="75"/>
  <c r="B225" i="73"/>
  <c r="C270" i="73" s="1"/>
  <c r="M370" i="83"/>
  <c r="N427" i="83" s="1"/>
  <c r="H365" i="83"/>
  <c r="I422" i="83" s="1"/>
  <c r="O372" i="83"/>
  <c r="P429" i="83" s="1"/>
  <c r="H250" i="133"/>
  <c r="I295" i="133" s="1"/>
  <c r="K350" i="121"/>
  <c r="A360" i="121" s="1"/>
  <c r="A370" i="121" s="1"/>
  <c r="K14" i="65"/>
  <c r="L28" i="100"/>
  <c r="M28" i="100"/>
  <c r="L30" i="104"/>
  <c r="M30" i="104"/>
  <c r="L31" i="64"/>
  <c r="M31" i="64"/>
  <c r="L33" i="76"/>
  <c r="M33" i="76"/>
  <c r="M30" i="78"/>
  <c r="L30" i="78"/>
  <c r="H275" i="93"/>
  <c r="I320" i="93" s="1"/>
  <c r="H288" i="77"/>
  <c r="I339" i="77" s="1"/>
  <c r="M222" i="69"/>
  <c r="N267" i="69" s="1"/>
  <c r="H219" i="71"/>
  <c r="I264" i="71" s="1"/>
  <c r="L219" i="71"/>
  <c r="M264" i="71" s="1"/>
  <c r="C168" i="39"/>
  <c r="D207" i="39" s="1"/>
  <c r="B167" i="39"/>
  <c r="C206" i="39" s="1"/>
  <c r="H164" i="39"/>
  <c r="I203" i="39" s="1"/>
  <c r="I110" i="27"/>
  <c r="J143" i="27" s="1"/>
  <c r="J159" i="37"/>
  <c r="K198" i="37" s="1"/>
  <c r="I229" i="61"/>
  <c r="J274" i="61" s="1"/>
  <c r="H222" i="73"/>
  <c r="I267" i="73" s="1"/>
  <c r="D205" i="3"/>
  <c r="E250" i="3" s="1"/>
  <c r="D206" i="3"/>
  <c r="E251" i="3" s="1"/>
  <c r="B112" i="29"/>
  <c r="C145" i="29" s="1"/>
  <c r="H161" i="45"/>
  <c r="I200" i="45" s="1"/>
  <c r="C300" i="77"/>
  <c r="D351" i="77" s="1"/>
  <c r="O287" i="79"/>
  <c r="P338" i="79" s="1"/>
  <c r="M294" i="79"/>
  <c r="N345" i="79" s="1"/>
  <c r="B22" i="25"/>
  <c r="B28" i="25" s="1"/>
  <c r="K223" i="111"/>
  <c r="L268" i="111" s="1"/>
  <c r="N370" i="83"/>
  <c r="O427" i="83" s="1"/>
  <c r="G373" i="83"/>
  <c r="H430" i="83" s="1"/>
  <c r="K7" i="99"/>
  <c r="F265" i="119"/>
  <c r="G310" i="119" s="1"/>
  <c r="C184" i="127"/>
  <c r="D223" i="127" s="1"/>
  <c r="J12" i="133"/>
  <c r="D348" i="121"/>
  <c r="M38" i="120"/>
  <c r="L38" i="120"/>
  <c r="M38" i="78"/>
  <c r="L38" i="78"/>
  <c r="C204" i="3"/>
  <c r="D249" i="3" s="1"/>
  <c r="C22" i="25"/>
  <c r="D113" i="25"/>
  <c r="E146" i="25" s="1"/>
  <c r="C294" i="79"/>
  <c r="D345" i="79" s="1"/>
  <c r="M223" i="63"/>
  <c r="N268" i="63" s="1"/>
  <c r="G271" i="93"/>
  <c r="H316" i="93" s="1"/>
  <c r="M244" i="139"/>
  <c r="N289" i="139" s="1"/>
  <c r="L28" i="60"/>
  <c r="M28" i="60"/>
  <c r="L29" i="86"/>
  <c r="M29" i="86"/>
  <c r="G107" i="33"/>
  <c r="H140" i="33" s="1"/>
  <c r="H228" i="69"/>
  <c r="I273" i="69" s="1"/>
  <c r="J292" i="79"/>
  <c r="K343" i="79" s="1"/>
  <c r="F226" i="65"/>
  <c r="G271" i="65" s="1"/>
  <c r="C228" i="65"/>
  <c r="D273" i="65" s="1"/>
  <c r="I224" i="111"/>
  <c r="J269" i="111" s="1"/>
  <c r="J9" i="67"/>
  <c r="F232" i="89"/>
  <c r="C167" i="129"/>
  <c r="D206" i="129" s="1"/>
  <c r="B184" i="127"/>
  <c r="C223" i="127" s="1"/>
  <c r="M265" i="143"/>
  <c r="N310" i="143" s="1"/>
  <c r="L30" i="128"/>
  <c r="M30" i="128"/>
  <c r="E176" i="3"/>
  <c r="C176" i="3"/>
  <c r="B176" i="3"/>
  <c r="E175" i="3"/>
  <c r="D175" i="3"/>
  <c r="B175" i="3"/>
  <c r="C175" i="3"/>
  <c r="E178" i="3"/>
  <c r="D178" i="3"/>
  <c r="C178" i="3"/>
  <c r="B178" i="3"/>
  <c r="E177" i="3"/>
  <c r="D176" i="3"/>
  <c r="A382" i="3"/>
  <c r="B383" i="3" s="1"/>
  <c r="D177" i="3"/>
  <c r="C177" i="3"/>
  <c r="B177" i="3"/>
  <c r="M33" i="74"/>
  <c r="L33" i="74"/>
  <c r="F431" i="123"/>
  <c r="D431" i="123"/>
  <c r="A155" i="17"/>
  <c r="I163" i="17" s="1"/>
  <c r="E150" i="7"/>
  <c r="C150" i="7"/>
  <c r="E322" i="39"/>
  <c r="C322" i="39"/>
  <c r="E322" i="49"/>
  <c r="C322" i="49"/>
  <c r="F298" i="51"/>
  <c r="D298" i="51"/>
  <c r="E212" i="25"/>
  <c r="C212" i="25"/>
  <c r="A156" i="23"/>
  <c r="I164" i="23" s="1"/>
  <c r="C274" i="53"/>
  <c r="E274" i="53"/>
  <c r="F306" i="37"/>
  <c r="D306" i="37"/>
  <c r="D142" i="9"/>
  <c r="F142" i="9"/>
  <c r="E408" i="55"/>
  <c r="C408" i="55"/>
  <c r="C416" i="55"/>
  <c r="E416" i="55"/>
  <c r="C290" i="47"/>
  <c r="E290" i="47"/>
  <c r="E290" i="35"/>
  <c r="C290" i="35"/>
  <c r="L28" i="4"/>
  <c r="M28" i="4"/>
  <c r="E167" i="5"/>
  <c r="N6" i="5"/>
  <c r="A142" i="5" s="1"/>
  <c r="K6" i="5"/>
  <c r="E248" i="17"/>
  <c r="N9" i="17"/>
  <c r="A228" i="17" s="1"/>
  <c r="K9" i="17"/>
  <c r="E245" i="23"/>
  <c r="N6" i="23"/>
  <c r="A204" i="23" s="1"/>
  <c r="E426" i="57"/>
  <c r="N7" i="57"/>
  <c r="A360" i="57" s="1"/>
  <c r="K7" i="57"/>
  <c r="J7" i="57"/>
  <c r="M200" i="3"/>
  <c r="N245" i="3" s="1"/>
  <c r="I206" i="2"/>
  <c r="J251" i="2" s="1"/>
  <c r="L200" i="2"/>
  <c r="M245" i="2" s="1"/>
  <c r="C202" i="2"/>
  <c r="D247" i="2" s="1"/>
  <c r="E428" i="57"/>
  <c r="N9" i="57"/>
  <c r="A376" i="57" s="1"/>
  <c r="J9" i="57"/>
  <c r="K9" i="57"/>
  <c r="E314" i="35"/>
  <c r="C314" i="35"/>
  <c r="A179" i="19"/>
  <c r="A185" i="19" s="1"/>
  <c r="E99" i="13"/>
  <c r="G101" i="13"/>
  <c r="A107" i="13" s="1"/>
  <c r="A113" i="13" s="1"/>
  <c r="D99" i="13"/>
  <c r="C99" i="13"/>
  <c r="H101" i="13"/>
  <c r="H100" i="13"/>
  <c r="H102" i="13"/>
  <c r="G102" i="13"/>
  <c r="A108" i="13" s="1"/>
  <c r="A114" i="13" s="1"/>
  <c r="G100" i="13"/>
  <c r="A106" i="13" s="1"/>
  <c r="A112" i="13" s="1"/>
  <c r="F282" i="45"/>
  <c r="D282" i="45"/>
  <c r="E249" i="25"/>
  <c r="N10" i="25"/>
  <c r="A236" i="25" s="1"/>
  <c r="A152" i="15"/>
  <c r="I160" i="15" s="1"/>
  <c r="F220" i="29"/>
  <c r="D220" i="29"/>
  <c r="M30" i="4"/>
  <c r="L30" i="4"/>
  <c r="F160" i="43"/>
  <c r="G199" i="43" s="1"/>
  <c r="H119" i="13"/>
  <c r="H121" i="13"/>
  <c r="H120" i="13"/>
  <c r="B164" i="43"/>
  <c r="C203" i="43" s="1"/>
  <c r="K10" i="27"/>
  <c r="G160" i="51"/>
  <c r="H199" i="51" s="1"/>
  <c r="L34" i="38"/>
  <c r="M34" i="38"/>
  <c r="F314" i="35"/>
  <c r="J6" i="5"/>
  <c r="J9" i="17"/>
  <c r="J6" i="23"/>
  <c r="I297" i="77"/>
  <c r="J348" i="77" s="1"/>
  <c r="L205" i="2"/>
  <c r="M250" i="2" s="1"/>
  <c r="I156" i="17"/>
  <c r="A164" i="17" s="1"/>
  <c r="A172" i="17" s="1"/>
  <c r="A153" i="29"/>
  <c r="I161" i="29" s="1"/>
  <c r="G220" i="61"/>
  <c r="H265" i="61" s="1"/>
  <c r="C220" i="17"/>
  <c r="C56" i="17"/>
  <c r="B56" i="17"/>
  <c r="E220" i="17"/>
  <c r="K197" i="2"/>
  <c r="L242" i="2" s="1"/>
  <c r="I164" i="37"/>
  <c r="J203" i="37" s="1"/>
  <c r="F236" i="33"/>
  <c r="D236" i="33"/>
  <c r="E336" i="51"/>
  <c r="N11" i="51"/>
  <c r="A314" i="51" s="1"/>
  <c r="K11" i="51"/>
  <c r="I11" i="41"/>
  <c r="G228" i="3"/>
  <c r="E246" i="29"/>
  <c r="J7" i="29"/>
  <c r="N7" i="29"/>
  <c r="A212" i="29" s="1"/>
  <c r="L30" i="36"/>
  <c r="M30" i="36"/>
  <c r="G227" i="3"/>
  <c r="F142" i="7"/>
  <c r="D142" i="7"/>
  <c r="C19" i="7"/>
  <c r="C18" i="7"/>
  <c r="K7" i="29"/>
  <c r="N8" i="21"/>
  <c r="A220" i="21" s="1"/>
  <c r="E247" i="21"/>
  <c r="K8" i="21"/>
  <c r="J8" i="21"/>
  <c r="C358" i="3"/>
  <c r="E358" i="3"/>
  <c r="E306" i="47"/>
  <c r="C306" i="47"/>
  <c r="J160" i="41"/>
  <c r="K199" i="41" s="1"/>
  <c r="D133" i="11"/>
  <c r="D132" i="11"/>
  <c r="D134" i="11"/>
  <c r="K10" i="25"/>
  <c r="L199" i="3"/>
  <c r="M244" i="3" s="1"/>
  <c r="C207" i="3"/>
  <c r="D252" i="3" s="1"/>
  <c r="N285" i="55"/>
  <c r="M280" i="55"/>
  <c r="A292" i="55" s="1"/>
  <c r="A304" i="55" s="1"/>
  <c r="N281" i="55"/>
  <c r="M282" i="55"/>
  <c r="A294" i="55" s="1"/>
  <c r="A306" i="55" s="1"/>
  <c r="C279" i="55"/>
  <c r="N283" i="55"/>
  <c r="M285" i="55"/>
  <c r="A297" i="55" s="1"/>
  <c r="A309" i="55" s="1"/>
  <c r="N282" i="55"/>
  <c r="M281" i="55"/>
  <c r="A293" i="55" s="1"/>
  <c r="A305" i="55" s="1"/>
  <c r="N288" i="55"/>
  <c r="M283" i="55"/>
  <c r="A295" i="55" s="1"/>
  <c r="A307" i="55" s="1"/>
  <c r="M288" i="55"/>
  <c r="A300" i="55" s="1"/>
  <c r="A312" i="55" s="1"/>
  <c r="H279" i="55"/>
  <c r="J279" i="55"/>
  <c r="N287" i="55"/>
  <c r="I279" i="55"/>
  <c r="G279" i="55"/>
  <c r="K279" i="55"/>
  <c r="M287" i="55"/>
  <c r="A299" i="55" s="1"/>
  <c r="A311" i="55" s="1"/>
  <c r="F279" i="55"/>
  <c r="F317" i="55" s="1"/>
  <c r="N284" i="55"/>
  <c r="M284" i="55"/>
  <c r="A296" i="55" s="1"/>
  <c r="A308" i="55" s="1"/>
  <c r="N286" i="55"/>
  <c r="E279" i="55"/>
  <c r="N280" i="55"/>
  <c r="D279" i="55"/>
  <c r="M286" i="55"/>
  <c r="A298" i="55" s="1"/>
  <c r="A310" i="55" s="1"/>
  <c r="G221" i="69"/>
  <c r="H266" i="69" s="1"/>
  <c r="A178" i="19"/>
  <c r="A184" i="19" s="1"/>
  <c r="M198" i="2"/>
  <c r="N243" i="2" s="1"/>
  <c r="K207" i="2"/>
  <c r="L252" i="2" s="1"/>
  <c r="K159" i="47"/>
  <c r="L198" i="47" s="1"/>
  <c r="C224" i="61"/>
  <c r="D269" i="61" s="1"/>
  <c r="E337" i="49"/>
  <c r="N12" i="49"/>
  <c r="A322" i="49" s="1"/>
  <c r="K12" i="49"/>
  <c r="D20" i="7"/>
  <c r="D26" i="7" s="1"/>
  <c r="D18" i="7"/>
  <c r="D196" i="3"/>
  <c r="E241" i="3" s="1"/>
  <c r="E167" i="9"/>
  <c r="N6" i="9"/>
  <c r="A142" i="9" s="1"/>
  <c r="G107" i="23"/>
  <c r="H140" i="23" s="1"/>
  <c r="E247" i="15"/>
  <c r="N8" i="15"/>
  <c r="A220" i="15" s="1"/>
  <c r="K8" i="15"/>
  <c r="E247" i="29"/>
  <c r="J8" i="29"/>
  <c r="N8" i="29"/>
  <c r="A220" i="29" s="1"/>
  <c r="C168" i="43"/>
  <c r="D207" i="43" s="1"/>
  <c r="E226" i="71"/>
  <c r="F271" i="71" s="1"/>
  <c r="C225" i="71"/>
  <c r="D270" i="71" s="1"/>
  <c r="J7" i="31"/>
  <c r="I7" i="31"/>
  <c r="M30" i="28"/>
  <c r="L30" i="28"/>
  <c r="C91" i="21"/>
  <c r="F236" i="21"/>
  <c r="D236" i="21"/>
  <c r="F204" i="33"/>
  <c r="F358" i="3"/>
  <c r="D358" i="3"/>
  <c r="E335" i="47"/>
  <c r="N10" i="47"/>
  <c r="A306" i="47" s="1"/>
  <c r="I164" i="41"/>
  <c r="J203" i="41" s="1"/>
  <c r="F282" i="47"/>
  <c r="D282" i="47"/>
  <c r="F416" i="59"/>
  <c r="D416" i="59"/>
  <c r="K226" i="55"/>
  <c r="L271" i="55" s="1"/>
  <c r="I12" i="43"/>
  <c r="K12" i="43" s="1"/>
  <c r="K14" i="55"/>
  <c r="I204" i="3"/>
  <c r="J249" i="3" s="1"/>
  <c r="N318" i="61"/>
  <c r="N319" i="61"/>
  <c r="N317" i="61"/>
  <c r="C392" i="59"/>
  <c r="E392" i="59"/>
  <c r="I205" i="2"/>
  <c r="J250" i="2" s="1"/>
  <c r="K10" i="47"/>
  <c r="J225" i="69"/>
  <c r="K270" i="69" s="1"/>
  <c r="C352" i="57"/>
  <c r="E352" i="57"/>
  <c r="E446" i="75"/>
  <c r="C446" i="75"/>
  <c r="J13" i="73"/>
  <c r="I13" i="73"/>
  <c r="D158" i="11"/>
  <c r="F158" i="11"/>
  <c r="F177" i="15"/>
  <c r="G177" i="15"/>
  <c r="A177" i="15"/>
  <c r="A183" i="15" s="1"/>
  <c r="C167" i="41"/>
  <c r="D206" i="41" s="1"/>
  <c r="C18" i="9"/>
  <c r="C142" i="9"/>
  <c r="E142" i="9"/>
  <c r="E246" i="25"/>
  <c r="N7" i="25"/>
  <c r="A212" i="25" s="1"/>
  <c r="K7" i="25"/>
  <c r="C39" i="25" s="1"/>
  <c r="E335" i="37"/>
  <c r="J10" i="37"/>
  <c r="N10" i="37"/>
  <c r="A306" i="37" s="1"/>
  <c r="A291" i="3"/>
  <c r="A300" i="3" s="1"/>
  <c r="A102" i="11"/>
  <c r="G108" i="11" s="1"/>
  <c r="C220" i="15"/>
  <c r="E220" i="15"/>
  <c r="E247" i="19"/>
  <c r="N8" i="19"/>
  <c r="A220" i="19" s="1"/>
  <c r="F230" i="3"/>
  <c r="M258" i="3" s="1"/>
  <c r="L257" i="3"/>
  <c r="A268" i="3" s="1"/>
  <c r="A279" i="3" s="1"/>
  <c r="M257" i="3"/>
  <c r="C256" i="3"/>
  <c r="A178" i="15"/>
  <c r="A184" i="15" s="1"/>
  <c r="F178" i="15"/>
  <c r="G178" i="15"/>
  <c r="E331" i="53"/>
  <c r="N6" i="53"/>
  <c r="A274" i="53" s="1"/>
  <c r="K6" i="53"/>
  <c r="C230" i="71"/>
  <c r="D275" i="71" s="1"/>
  <c r="A102" i="5"/>
  <c r="G108" i="5" s="1"/>
  <c r="K7" i="7"/>
  <c r="E169" i="5"/>
  <c r="K8" i="5"/>
  <c r="N8" i="5"/>
  <c r="A158" i="5" s="1"/>
  <c r="J8" i="5"/>
  <c r="F166" i="41"/>
  <c r="G205" i="41" s="1"/>
  <c r="D416" i="63"/>
  <c r="C199" i="63"/>
  <c r="F416" i="63"/>
  <c r="C198" i="63"/>
  <c r="E335" i="41"/>
  <c r="K10" i="41"/>
  <c r="N10" i="41"/>
  <c r="A306" i="41" s="1"/>
  <c r="C203" i="2"/>
  <c r="D248" i="2" s="1"/>
  <c r="H207" i="2"/>
  <c r="I252" i="2" s="1"/>
  <c r="G207" i="2"/>
  <c r="H252" i="2" s="1"/>
  <c r="C306" i="39"/>
  <c r="E306" i="39"/>
  <c r="E204" i="31"/>
  <c r="C204" i="31"/>
  <c r="B113" i="3"/>
  <c r="B119" i="3" s="1"/>
  <c r="C115" i="3"/>
  <c r="C123" i="3" s="1"/>
  <c r="C201" i="3" s="1"/>
  <c r="D246" i="3" s="1"/>
  <c r="E112" i="3"/>
  <c r="G118" i="3" s="1"/>
  <c r="G196" i="3" s="1"/>
  <c r="H241" i="3" s="1"/>
  <c r="B112" i="3"/>
  <c r="B118" i="3" s="1"/>
  <c r="E115" i="3"/>
  <c r="G123" i="3" s="1"/>
  <c r="D112" i="3"/>
  <c r="F118" i="3" s="1"/>
  <c r="F196" i="3" s="1"/>
  <c r="G241" i="3" s="1"/>
  <c r="D115" i="3"/>
  <c r="F123" i="3" s="1"/>
  <c r="C112" i="3"/>
  <c r="C118" i="3" s="1"/>
  <c r="D114" i="3"/>
  <c r="F122" i="3" s="1"/>
  <c r="A358" i="3"/>
  <c r="B115" i="3"/>
  <c r="B123" i="3" s="1"/>
  <c r="B201" i="3" s="1"/>
  <c r="C246" i="3" s="1"/>
  <c r="C114" i="3"/>
  <c r="C122" i="3" s="1"/>
  <c r="C200" i="3" s="1"/>
  <c r="D245" i="3" s="1"/>
  <c r="B114" i="3"/>
  <c r="B122" i="3" s="1"/>
  <c r="B200" i="3" s="1"/>
  <c r="C245" i="3" s="1"/>
  <c r="E114" i="3"/>
  <c r="G122" i="3" s="1"/>
  <c r="E113" i="3"/>
  <c r="G119" i="3" s="1"/>
  <c r="G197" i="3" s="1"/>
  <c r="H242" i="3" s="1"/>
  <c r="D113" i="3"/>
  <c r="F119" i="3" s="1"/>
  <c r="F197" i="3" s="1"/>
  <c r="G242" i="3" s="1"/>
  <c r="C113" i="3"/>
  <c r="C119" i="3" s="1"/>
  <c r="A154" i="23"/>
  <c r="I162" i="23" s="1"/>
  <c r="A101" i="11"/>
  <c r="G107" i="11" s="1"/>
  <c r="E427" i="55"/>
  <c r="N8" i="55"/>
  <c r="A368" i="55" s="1"/>
  <c r="K8" i="55"/>
  <c r="E384" i="73"/>
  <c r="C384" i="73"/>
  <c r="E620" i="81"/>
  <c r="C620" i="81"/>
  <c r="C313" i="81"/>
  <c r="B313" i="81"/>
  <c r="L200" i="3"/>
  <c r="M245" i="3" s="1"/>
  <c r="J203" i="3"/>
  <c r="K248" i="3" s="1"/>
  <c r="M29" i="66"/>
  <c r="L29" i="66"/>
  <c r="L214" i="43"/>
  <c r="E211" i="43"/>
  <c r="I211" i="43"/>
  <c r="K216" i="43"/>
  <c r="A226" i="43" s="1"/>
  <c r="A236" i="43" s="1"/>
  <c r="F211" i="43"/>
  <c r="H211" i="43"/>
  <c r="D211" i="43"/>
  <c r="K214" i="43"/>
  <c r="A224" i="43" s="1"/>
  <c r="A234" i="43" s="1"/>
  <c r="L217" i="43"/>
  <c r="K217" i="43"/>
  <c r="A227" i="43" s="1"/>
  <c r="A237" i="43" s="1"/>
  <c r="K218" i="43"/>
  <c r="A228" i="43" s="1"/>
  <c r="A238" i="43" s="1"/>
  <c r="D260" i="43" s="1"/>
  <c r="L216" i="43"/>
  <c r="L213" i="43"/>
  <c r="K215" i="43"/>
  <c r="A225" i="43" s="1"/>
  <c r="A235" i="43" s="1"/>
  <c r="K213" i="43"/>
  <c r="A223" i="43" s="1"/>
  <c r="A233" i="43" s="1"/>
  <c r="L215" i="43"/>
  <c r="K291" i="77"/>
  <c r="L342" i="77" s="1"/>
  <c r="C306" i="41"/>
  <c r="E306" i="41"/>
  <c r="J201" i="2"/>
  <c r="K246" i="2" s="1"/>
  <c r="I204" i="2"/>
  <c r="J249" i="2" s="1"/>
  <c r="G204" i="2"/>
  <c r="H249" i="2" s="1"/>
  <c r="F298" i="45"/>
  <c r="D298" i="45"/>
  <c r="I163" i="47"/>
  <c r="J202" i="47" s="1"/>
  <c r="F165" i="53"/>
  <c r="G204" i="53" s="1"/>
  <c r="M287" i="71"/>
  <c r="A299" i="71" s="1"/>
  <c r="A311" i="71" s="1"/>
  <c r="M283" i="71"/>
  <c r="A295" i="71" s="1"/>
  <c r="A307" i="71" s="1"/>
  <c r="J279" i="71"/>
  <c r="I279" i="71"/>
  <c r="H279" i="71"/>
  <c r="N288" i="71"/>
  <c r="N284" i="71"/>
  <c r="N280" i="71"/>
  <c r="G279" i="71"/>
  <c r="M288" i="71"/>
  <c r="A300" i="71" s="1"/>
  <c r="A312" i="71" s="1"/>
  <c r="M284" i="71"/>
  <c r="A296" i="71" s="1"/>
  <c r="A308" i="71" s="1"/>
  <c r="M280" i="71"/>
  <c r="A292" i="71" s="1"/>
  <c r="A304" i="71" s="1"/>
  <c r="F279" i="71"/>
  <c r="E279" i="71"/>
  <c r="N285" i="71"/>
  <c r="K279" i="71"/>
  <c r="M285" i="71"/>
  <c r="A297" i="71" s="1"/>
  <c r="A309" i="71" s="1"/>
  <c r="D279" i="71"/>
  <c r="N283" i="71"/>
  <c r="C279" i="71"/>
  <c r="N287" i="71"/>
  <c r="N282" i="71"/>
  <c r="N286" i="71"/>
  <c r="M286" i="71"/>
  <c r="A298" i="71" s="1"/>
  <c r="A310" i="71" s="1"/>
  <c r="M282" i="71"/>
  <c r="A294" i="71" s="1"/>
  <c r="A306" i="71" s="1"/>
  <c r="N281" i="71"/>
  <c r="M281" i="71"/>
  <c r="A293" i="71" s="1"/>
  <c r="A305" i="71" s="1"/>
  <c r="B63" i="81"/>
  <c r="C540" i="81"/>
  <c r="E540" i="81"/>
  <c r="E332" i="49"/>
  <c r="N7" i="49"/>
  <c r="A282" i="49" s="1"/>
  <c r="K7" i="49"/>
  <c r="E368" i="55"/>
  <c r="C368" i="55"/>
  <c r="A214" i="47"/>
  <c r="K224" i="47" s="1"/>
  <c r="A288" i="73"/>
  <c r="M300" i="73" s="1"/>
  <c r="E470" i="93"/>
  <c r="C470" i="93"/>
  <c r="E236" i="33"/>
  <c r="C236" i="33"/>
  <c r="E334" i="39"/>
  <c r="N9" i="39"/>
  <c r="A298" i="39" s="1"/>
  <c r="E334" i="41"/>
  <c r="N9" i="41"/>
  <c r="A298" i="41" s="1"/>
  <c r="K9" i="41"/>
  <c r="D345" i="2"/>
  <c r="F345" i="2"/>
  <c r="F229" i="2"/>
  <c r="D256" i="2" s="1"/>
  <c r="A101" i="5"/>
  <c r="G107" i="5" s="1"/>
  <c r="F236" i="15"/>
  <c r="D236" i="15"/>
  <c r="C91" i="15"/>
  <c r="F366" i="3"/>
  <c r="D366" i="3"/>
  <c r="E40" i="15"/>
  <c r="E42" i="15"/>
  <c r="G50" i="15" s="1"/>
  <c r="C46" i="15"/>
  <c r="F322" i="37"/>
  <c r="D322" i="37"/>
  <c r="E248" i="23"/>
  <c r="K9" i="23"/>
  <c r="N9" i="23"/>
  <c r="A228" i="23" s="1"/>
  <c r="J9" i="23"/>
  <c r="B163" i="41"/>
  <c r="C202" i="41" s="1"/>
  <c r="F236" i="29"/>
  <c r="D236" i="29"/>
  <c r="E151" i="17"/>
  <c r="E177" i="17" s="1"/>
  <c r="C314" i="45"/>
  <c r="E314" i="45"/>
  <c r="M203" i="3"/>
  <c r="N248" i="3" s="1"/>
  <c r="F368" i="67"/>
  <c r="D368" i="67"/>
  <c r="M32" i="92"/>
  <c r="L32" i="92"/>
  <c r="B204" i="2"/>
  <c r="C249" i="2" s="1"/>
  <c r="N319" i="73"/>
  <c r="F108" i="19"/>
  <c r="G141" i="19" s="1"/>
  <c r="F159" i="53"/>
  <c r="G198" i="53" s="1"/>
  <c r="M30" i="56"/>
  <c r="L30" i="56"/>
  <c r="F518" i="75"/>
  <c r="D518" i="75"/>
  <c r="I211" i="37"/>
  <c r="H211" i="37"/>
  <c r="L214" i="37"/>
  <c r="C298" i="39"/>
  <c r="E298" i="39"/>
  <c r="N13" i="55"/>
  <c r="A408" i="55" s="1"/>
  <c r="E432" i="55"/>
  <c r="K13" i="55"/>
  <c r="E168" i="7"/>
  <c r="N7" i="7"/>
  <c r="A150" i="7" s="1"/>
  <c r="M29" i="34"/>
  <c r="L29" i="34"/>
  <c r="C198" i="3"/>
  <c r="D243" i="3" s="1"/>
  <c r="M33" i="50"/>
  <c r="L33" i="50"/>
  <c r="M32" i="46"/>
  <c r="L32" i="46"/>
  <c r="D39" i="17"/>
  <c r="D41" i="17"/>
  <c r="F49" i="17" s="1"/>
  <c r="D47" i="17"/>
  <c r="B112" i="23"/>
  <c r="C145" i="23" s="1"/>
  <c r="J9" i="41"/>
  <c r="I8" i="65"/>
  <c r="E345" i="2"/>
  <c r="C345" i="2"/>
  <c r="C40" i="21"/>
  <c r="F212" i="21"/>
  <c r="D212" i="21"/>
  <c r="I9" i="15"/>
  <c r="J161" i="43"/>
  <c r="K200" i="43" s="1"/>
  <c r="A179" i="21"/>
  <c r="A185" i="21" s="1"/>
  <c r="C366" i="3"/>
  <c r="E366" i="3"/>
  <c r="J179" i="17"/>
  <c r="D236" i="19"/>
  <c r="F236" i="19"/>
  <c r="C91" i="19"/>
  <c r="G151" i="17"/>
  <c r="F228" i="27"/>
  <c r="D228" i="27"/>
  <c r="E368" i="67"/>
  <c r="C368" i="67"/>
  <c r="K162" i="45"/>
  <c r="L201" i="45" s="1"/>
  <c r="L293" i="77"/>
  <c r="M344" i="77" s="1"/>
  <c r="L215" i="37"/>
  <c r="E211" i="47"/>
  <c r="K213" i="47"/>
  <c r="A223" i="47" s="1"/>
  <c r="A233" i="47" s="1"/>
  <c r="D211" i="47"/>
  <c r="H211" i="47"/>
  <c r="L215" i="47"/>
  <c r="L217" i="47"/>
  <c r="L216" i="47"/>
  <c r="L218" i="47"/>
  <c r="K218" i="47"/>
  <c r="A228" i="47" s="1"/>
  <c r="A238" i="47" s="1"/>
  <c r="L212" i="47"/>
  <c r="K212" i="47"/>
  <c r="A222" i="47" s="1"/>
  <c r="A232" i="47" s="1"/>
  <c r="K217" i="47"/>
  <c r="A227" i="47" s="1"/>
  <c r="A237" i="47" s="1"/>
  <c r="K216" i="47"/>
  <c r="A226" i="47" s="1"/>
  <c r="A236" i="47" s="1"/>
  <c r="I211" i="47"/>
  <c r="F211" i="47"/>
  <c r="H197" i="2"/>
  <c r="I242" i="2" s="1"/>
  <c r="B203" i="2"/>
  <c r="C248" i="2" s="1"/>
  <c r="C211" i="47"/>
  <c r="J156" i="19"/>
  <c r="H164" i="37"/>
  <c r="I203" i="37" s="1"/>
  <c r="E604" i="81"/>
  <c r="C604" i="81"/>
  <c r="B56" i="19"/>
  <c r="C220" i="19"/>
  <c r="E220" i="19"/>
  <c r="J7" i="49"/>
  <c r="F400" i="69"/>
  <c r="D400" i="69"/>
  <c r="C157" i="69"/>
  <c r="B198" i="3"/>
  <c r="C243" i="3" s="1"/>
  <c r="A319" i="55"/>
  <c r="A329" i="55" s="1"/>
  <c r="I319" i="55"/>
  <c r="C40" i="19"/>
  <c r="D212" i="19"/>
  <c r="F212" i="19"/>
  <c r="M29" i="48"/>
  <c r="L29" i="48"/>
  <c r="E73" i="2"/>
  <c r="C77" i="2" s="1"/>
  <c r="D70" i="2"/>
  <c r="D80" i="2" s="1"/>
  <c r="D73" i="2"/>
  <c r="B77" i="2" s="1"/>
  <c r="C70" i="2"/>
  <c r="C73" i="2"/>
  <c r="G79" i="2" s="1"/>
  <c r="B70" i="2"/>
  <c r="E72" i="2"/>
  <c r="C76" i="2" s="1"/>
  <c r="B73" i="2"/>
  <c r="F79" i="2" s="1"/>
  <c r="D71" i="2"/>
  <c r="D81" i="2" s="1"/>
  <c r="C71" i="2"/>
  <c r="B71" i="2"/>
  <c r="A345" i="2"/>
  <c r="E70" i="2"/>
  <c r="E80" i="2" s="1"/>
  <c r="D72" i="2"/>
  <c r="B76" i="2" s="1"/>
  <c r="C72" i="2"/>
  <c r="G78" i="2" s="1"/>
  <c r="E71" i="2"/>
  <c r="E81" i="2" s="1"/>
  <c r="B72" i="2"/>
  <c r="F78" i="2" s="1"/>
  <c r="K9" i="39"/>
  <c r="C83" i="39" s="1"/>
  <c r="K212" i="53"/>
  <c r="A222" i="53" s="1"/>
  <c r="A232" i="53" s="1"/>
  <c r="L215" i="53"/>
  <c r="K215" i="53"/>
  <c r="A225" i="53" s="1"/>
  <c r="A235" i="53" s="1"/>
  <c r="L218" i="53"/>
  <c r="K218" i="53"/>
  <c r="A228" i="53" s="1"/>
  <c r="A238" i="53" s="1"/>
  <c r="K216" i="53"/>
  <c r="A226" i="53" s="1"/>
  <c r="A236" i="53" s="1"/>
  <c r="L217" i="53"/>
  <c r="L212" i="53"/>
  <c r="K217" i="53"/>
  <c r="A227" i="53" s="1"/>
  <c r="A237" i="53" s="1"/>
  <c r="L214" i="53"/>
  <c r="I211" i="53"/>
  <c r="D211" i="53"/>
  <c r="E211" i="53"/>
  <c r="C211" i="53"/>
  <c r="K214" i="53"/>
  <c r="A224" i="53" s="1"/>
  <c r="A234" i="53" s="1"/>
  <c r="H211" i="53"/>
  <c r="G211" i="53"/>
  <c r="F211" i="53"/>
  <c r="L216" i="53"/>
  <c r="L213" i="53"/>
  <c r="K213" i="53"/>
  <c r="A223" i="53" s="1"/>
  <c r="A233" i="53" s="1"/>
  <c r="A153" i="15"/>
  <c r="I161" i="15" s="1"/>
  <c r="B226" i="71"/>
  <c r="C271" i="71" s="1"/>
  <c r="J162" i="43"/>
  <c r="K201" i="43" s="1"/>
  <c r="M32" i="24"/>
  <c r="L32" i="24"/>
  <c r="F204" i="21"/>
  <c r="D204" i="21"/>
  <c r="E249" i="17"/>
  <c r="K10" i="17"/>
  <c r="N10" i="17"/>
  <c r="A236" i="17" s="1"/>
  <c r="J10" i="17"/>
  <c r="I156" i="29"/>
  <c r="A164" i="29" s="1"/>
  <c r="A172" i="29" s="1"/>
  <c r="G151" i="29"/>
  <c r="J156" i="29"/>
  <c r="E168" i="43"/>
  <c r="F207" i="43" s="1"/>
  <c r="F220" i="33"/>
  <c r="D220" i="33"/>
  <c r="I155" i="17"/>
  <c r="A163" i="17" s="1"/>
  <c r="A171" i="17" s="1"/>
  <c r="J154" i="17"/>
  <c r="J156" i="17"/>
  <c r="I153" i="17"/>
  <c r="A161" i="17" s="1"/>
  <c r="A169" i="17" s="1"/>
  <c r="F151" i="17"/>
  <c r="J156" i="27"/>
  <c r="J154" i="27"/>
  <c r="J152" i="27"/>
  <c r="G151" i="27"/>
  <c r="J153" i="27"/>
  <c r="F151" i="27"/>
  <c r="I155" i="27"/>
  <c r="A163" i="27" s="1"/>
  <c r="A171" i="27" s="1"/>
  <c r="D151" i="27"/>
  <c r="J155" i="27"/>
  <c r="I153" i="27"/>
  <c r="A161" i="27" s="1"/>
  <c r="A169" i="27" s="1"/>
  <c r="E151" i="27"/>
  <c r="I152" i="27"/>
  <c r="A160" i="27" s="1"/>
  <c r="A168" i="27" s="1"/>
  <c r="I156" i="27"/>
  <c r="A164" i="27" s="1"/>
  <c r="A172" i="27" s="1"/>
  <c r="I154" i="27"/>
  <c r="A162" i="27" s="1"/>
  <c r="A170" i="27" s="1"/>
  <c r="C151" i="27"/>
  <c r="G165" i="41"/>
  <c r="H204" i="41" s="1"/>
  <c r="G108" i="23"/>
  <c r="H141" i="23" s="1"/>
  <c r="J153" i="17"/>
  <c r="A318" i="55"/>
  <c r="A328" i="55" s="1"/>
  <c r="D548" i="83"/>
  <c r="F548" i="83"/>
  <c r="F384" i="73"/>
  <c r="D384" i="73"/>
  <c r="B112" i="33"/>
  <c r="C145" i="33" s="1"/>
  <c r="E400" i="71"/>
  <c r="C400" i="71"/>
  <c r="L202" i="2"/>
  <c r="M247" i="2" s="1"/>
  <c r="J202" i="2"/>
  <c r="K247" i="2" s="1"/>
  <c r="H205" i="2"/>
  <c r="I250" i="2" s="1"/>
  <c r="C274" i="43"/>
  <c r="E274" i="43"/>
  <c r="E227" i="69"/>
  <c r="F272" i="69" s="1"/>
  <c r="L213" i="47"/>
  <c r="K214" i="37"/>
  <c r="A224" i="37" s="1"/>
  <c r="A234" i="37" s="1"/>
  <c r="A220" i="27"/>
  <c r="C57" i="27"/>
  <c r="C56" i="27"/>
  <c r="B56" i="27"/>
  <c r="I223" i="65"/>
  <c r="J268" i="65" s="1"/>
  <c r="H287" i="77"/>
  <c r="I338" i="77" s="1"/>
  <c r="C270" i="93"/>
  <c r="D315" i="93" s="1"/>
  <c r="C204" i="29"/>
  <c r="E204" i="29"/>
  <c r="I206" i="3"/>
  <c r="J251" i="3" s="1"/>
  <c r="M198" i="3"/>
  <c r="N243" i="3" s="1"/>
  <c r="L198" i="3"/>
  <c r="M243" i="3" s="1"/>
  <c r="E333" i="47"/>
  <c r="N8" i="47"/>
  <c r="A290" i="47" s="1"/>
  <c r="K8" i="47"/>
  <c r="F274" i="35"/>
  <c r="D274" i="35"/>
  <c r="L206" i="2"/>
  <c r="M251" i="2" s="1"/>
  <c r="J204" i="2"/>
  <c r="K249" i="2" s="1"/>
  <c r="K161" i="51"/>
  <c r="L200" i="51" s="1"/>
  <c r="A287" i="69"/>
  <c r="M299" i="69" s="1"/>
  <c r="E220" i="31"/>
  <c r="C220" i="31"/>
  <c r="F226" i="61"/>
  <c r="G271" i="61" s="1"/>
  <c r="E334" i="51"/>
  <c r="J9" i="51"/>
  <c r="N9" i="51"/>
  <c r="A298" i="51" s="1"/>
  <c r="B40" i="17"/>
  <c r="E39" i="17"/>
  <c r="E41" i="17"/>
  <c r="G49" i="17" s="1"/>
  <c r="E47" i="17"/>
  <c r="B157" i="57"/>
  <c r="E156" i="57"/>
  <c r="E158" i="57"/>
  <c r="K170" i="57" s="1"/>
  <c r="C162" i="57"/>
  <c r="C236" i="21"/>
  <c r="C90" i="21"/>
  <c r="B90" i="21"/>
  <c r="E236" i="21"/>
  <c r="E433" i="55"/>
  <c r="N14" i="55"/>
  <c r="A416" i="55" s="1"/>
  <c r="A257" i="2"/>
  <c r="M269" i="2" s="1"/>
  <c r="L244" i="53"/>
  <c r="L243" i="53"/>
  <c r="L245" i="53"/>
  <c r="C236" i="27"/>
  <c r="C90" i="27"/>
  <c r="B90" i="27"/>
  <c r="E236" i="27"/>
  <c r="A155" i="15"/>
  <c r="I163" i="15" s="1"/>
  <c r="M28" i="52"/>
  <c r="L28" i="52"/>
  <c r="F150" i="5"/>
  <c r="D150" i="5"/>
  <c r="I110" i="21"/>
  <c r="J143" i="21" s="1"/>
  <c r="E167" i="13"/>
  <c r="N6" i="13"/>
  <c r="A142" i="13" s="1"/>
  <c r="E135" i="3"/>
  <c r="I145" i="3" s="1"/>
  <c r="D135" i="3"/>
  <c r="H145" i="3" s="1"/>
  <c r="E134" i="3"/>
  <c r="I142" i="3" s="1"/>
  <c r="I199" i="3" s="1"/>
  <c r="J244" i="3" s="1"/>
  <c r="C135" i="3"/>
  <c r="E145" i="3" s="1"/>
  <c r="E202" i="3" s="1"/>
  <c r="F247" i="3" s="1"/>
  <c r="B135" i="3"/>
  <c r="D145" i="3" s="1"/>
  <c r="D202" i="3" s="1"/>
  <c r="E247" i="3" s="1"/>
  <c r="D133" i="3"/>
  <c r="H141" i="3" s="1"/>
  <c r="H198" i="3" s="1"/>
  <c r="I243" i="3" s="1"/>
  <c r="C133" i="3"/>
  <c r="E141" i="3" s="1"/>
  <c r="B133" i="3"/>
  <c r="D141" i="3" s="1"/>
  <c r="C136" i="3"/>
  <c r="E146" i="3" s="1"/>
  <c r="E203" i="3" s="1"/>
  <c r="F248" i="3" s="1"/>
  <c r="B136" i="3"/>
  <c r="D146" i="3" s="1"/>
  <c r="D203" i="3" s="1"/>
  <c r="E248" i="3" s="1"/>
  <c r="A366" i="3"/>
  <c r="C134" i="3"/>
  <c r="E142" i="3" s="1"/>
  <c r="B134" i="3"/>
  <c r="D142" i="3" s="1"/>
  <c r="E136" i="3"/>
  <c r="I146" i="3" s="1"/>
  <c r="D136" i="3"/>
  <c r="H146" i="3" s="1"/>
  <c r="D134" i="3"/>
  <c r="H142" i="3" s="1"/>
  <c r="H199" i="3" s="1"/>
  <c r="I244" i="3" s="1"/>
  <c r="E133" i="3"/>
  <c r="I141" i="3" s="1"/>
  <c r="I198" i="3" s="1"/>
  <c r="J243" i="3" s="1"/>
  <c r="A155" i="23"/>
  <c r="I163" i="23" s="1"/>
  <c r="J178" i="27"/>
  <c r="J177" i="27"/>
  <c r="J179" i="27"/>
  <c r="L244" i="39"/>
  <c r="L245" i="39"/>
  <c r="B164" i="41"/>
  <c r="C203" i="41" s="1"/>
  <c r="C228" i="31"/>
  <c r="E228" i="31"/>
  <c r="D306" i="35"/>
  <c r="F306" i="35"/>
  <c r="B24" i="7"/>
  <c r="E249" i="27"/>
  <c r="N10" i="27"/>
  <c r="A236" i="27" s="1"/>
  <c r="G160" i="43"/>
  <c r="H199" i="43" s="1"/>
  <c r="D135" i="5"/>
  <c r="D134" i="5"/>
  <c r="D133" i="5"/>
  <c r="J6" i="13"/>
  <c r="L212" i="39"/>
  <c r="L216" i="39"/>
  <c r="L213" i="39"/>
  <c r="L217" i="39"/>
  <c r="K213" i="39"/>
  <c r="A223" i="39" s="1"/>
  <c r="A233" i="39" s="1"/>
  <c r="I211" i="39"/>
  <c r="I243" i="39" s="1"/>
  <c r="K217" i="39"/>
  <c r="A227" i="39" s="1"/>
  <c r="A237" i="39" s="1"/>
  <c r="L215" i="39"/>
  <c r="F211" i="39"/>
  <c r="K216" i="39"/>
  <c r="A226" i="39" s="1"/>
  <c r="A236" i="39" s="1"/>
  <c r="K218" i="39"/>
  <c r="A228" i="39" s="1"/>
  <c r="A238" i="39" s="1"/>
  <c r="G211" i="39"/>
  <c r="K212" i="39"/>
  <c r="A222" i="39" s="1"/>
  <c r="A232" i="39" s="1"/>
  <c r="L214" i="39"/>
  <c r="E211" i="39"/>
  <c r="E243" i="39" s="1"/>
  <c r="D211" i="39"/>
  <c r="K214" i="39"/>
  <c r="A224" i="39" s="1"/>
  <c r="A234" i="39" s="1"/>
  <c r="C211" i="39"/>
  <c r="H211" i="39"/>
  <c r="H243" i="39" s="1"/>
  <c r="K215" i="39"/>
  <c r="A225" i="39" s="1"/>
  <c r="A235" i="39" s="1"/>
  <c r="L218" i="39"/>
  <c r="D314" i="37"/>
  <c r="F314" i="37"/>
  <c r="L34" i="66"/>
  <c r="M34" i="66"/>
  <c r="C384" i="65"/>
  <c r="E384" i="65"/>
  <c r="E352" i="67"/>
  <c r="C352" i="67"/>
  <c r="D213" i="81"/>
  <c r="D215" i="81"/>
  <c r="J227" i="81" s="1"/>
  <c r="P233" i="81"/>
  <c r="B205" i="3"/>
  <c r="C250" i="3" s="1"/>
  <c r="H205" i="3"/>
  <c r="I250" i="3" s="1"/>
  <c r="F204" i="2"/>
  <c r="G249" i="2" s="1"/>
  <c r="K216" i="37"/>
  <c r="A226" i="37" s="1"/>
  <c r="A236" i="37" s="1"/>
  <c r="E398" i="93"/>
  <c r="C398" i="93"/>
  <c r="E548" i="83"/>
  <c r="C548" i="83"/>
  <c r="M202" i="2"/>
  <c r="N247" i="2" s="1"/>
  <c r="K199" i="2"/>
  <c r="L244" i="2" s="1"/>
  <c r="G168" i="51"/>
  <c r="H207" i="51" s="1"/>
  <c r="A119" i="5"/>
  <c r="A123" i="5" s="1"/>
  <c r="M28" i="34"/>
  <c r="L28" i="34"/>
  <c r="M29" i="52"/>
  <c r="L29" i="52"/>
  <c r="N8" i="37"/>
  <c r="A290" i="37" s="1"/>
  <c r="E333" i="37"/>
  <c r="J153" i="31"/>
  <c r="E151" i="31"/>
  <c r="I156" i="31"/>
  <c r="A164" i="31" s="1"/>
  <c r="A172" i="31" s="1"/>
  <c r="C151" i="31"/>
  <c r="J155" i="31"/>
  <c r="I155" i="31"/>
  <c r="A163" i="31" s="1"/>
  <c r="A171" i="31" s="1"/>
  <c r="J152" i="31"/>
  <c r="I152" i="31"/>
  <c r="A160" i="31" s="1"/>
  <c r="A168" i="31" s="1"/>
  <c r="F151" i="31"/>
  <c r="D151" i="31"/>
  <c r="J154" i="31"/>
  <c r="I154" i="31"/>
  <c r="A162" i="31" s="1"/>
  <c r="A170" i="31" s="1"/>
  <c r="I153" i="31"/>
  <c r="A161" i="31" s="1"/>
  <c r="A169" i="31" s="1"/>
  <c r="G151" i="31"/>
  <c r="J156" i="31"/>
  <c r="G151" i="23"/>
  <c r="I156" i="23"/>
  <c r="A164" i="23" s="1"/>
  <c r="A172" i="23" s="1"/>
  <c r="F159" i="41"/>
  <c r="G198" i="41" s="1"/>
  <c r="C218" i="43"/>
  <c r="A218" i="43"/>
  <c r="K228" i="43" s="1"/>
  <c r="F322" i="39"/>
  <c r="D322" i="39"/>
  <c r="E150" i="13"/>
  <c r="C150" i="13"/>
  <c r="E245" i="15"/>
  <c r="N6" i="15"/>
  <c r="A204" i="15" s="1"/>
  <c r="K6" i="15"/>
  <c r="L29" i="12"/>
  <c r="M29" i="12"/>
  <c r="J155" i="19"/>
  <c r="G151" i="19"/>
  <c r="J154" i="19"/>
  <c r="I154" i="19"/>
  <c r="A162" i="19" s="1"/>
  <c r="A170" i="19" s="1"/>
  <c r="I155" i="19"/>
  <c r="A163" i="19" s="1"/>
  <c r="A171" i="19" s="1"/>
  <c r="E151" i="19"/>
  <c r="D158" i="57"/>
  <c r="J170" i="57" s="1"/>
  <c r="D156" i="57"/>
  <c r="B162" i="57"/>
  <c r="J11" i="51"/>
  <c r="J8" i="37"/>
  <c r="E245" i="27"/>
  <c r="K6" i="27"/>
  <c r="C22" i="27" s="1"/>
  <c r="N6" i="27"/>
  <c r="A204" i="27" s="1"/>
  <c r="E225" i="71"/>
  <c r="F270" i="71" s="1"/>
  <c r="E236" i="15"/>
  <c r="C236" i="15"/>
  <c r="C90" i="15"/>
  <c r="B90" i="15"/>
  <c r="G108" i="29"/>
  <c r="H141" i="29" s="1"/>
  <c r="H110" i="27"/>
  <c r="I143" i="27" s="1"/>
  <c r="C99" i="7"/>
  <c r="H101" i="7"/>
  <c r="G101" i="7"/>
  <c r="A107" i="7" s="1"/>
  <c r="A113" i="7" s="1"/>
  <c r="G100" i="7"/>
  <c r="A106" i="7" s="1"/>
  <c r="A112" i="7" s="1"/>
  <c r="D99" i="7"/>
  <c r="E99" i="7"/>
  <c r="H102" i="7"/>
  <c r="G102" i="7"/>
  <c r="A108" i="7" s="1"/>
  <c r="A114" i="7" s="1"/>
  <c r="H100" i="7"/>
  <c r="M28" i="10"/>
  <c r="L28" i="10"/>
  <c r="I163" i="41"/>
  <c r="J202" i="41" s="1"/>
  <c r="C164" i="41"/>
  <c r="D203" i="41" s="1"/>
  <c r="D314" i="39"/>
  <c r="F314" i="39"/>
  <c r="E205" i="3"/>
  <c r="F250" i="3" s="1"/>
  <c r="F207" i="3"/>
  <c r="G252" i="3" s="1"/>
  <c r="F271" i="93"/>
  <c r="G316" i="93" s="1"/>
  <c r="E529" i="77"/>
  <c r="N8" i="77"/>
  <c r="A454" i="77" s="1"/>
  <c r="J8" i="77"/>
  <c r="K10" i="67"/>
  <c r="I10" i="67"/>
  <c r="E168" i="13"/>
  <c r="N7" i="13"/>
  <c r="A150" i="13" s="1"/>
  <c r="K7" i="13"/>
  <c r="I243" i="47"/>
  <c r="A243" i="47"/>
  <c r="A251" i="47" s="1"/>
  <c r="D204" i="2"/>
  <c r="E249" i="2" s="1"/>
  <c r="F360" i="61"/>
  <c r="D360" i="61"/>
  <c r="G159" i="37"/>
  <c r="H198" i="37" s="1"/>
  <c r="J293" i="77"/>
  <c r="K344" i="77" s="1"/>
  <c r="F220" i="19"/>
  <c r="D220" i="19"/>
  <c r="A292" i="3"/>
  <c r="A301" i="3" s="1"/>
  <c r="D193" i="15"/>
  <c r="D191" i="15"/>
  <c r="D190" i="15"/>
  <c r="A100" i="5"/>
  <c r="G106" i="5" s="1"/>
  <c r="D41" i="15"/>
  <c r="F49" i="15" s="1"/>
  <c r="D39" i="15"/>
  <c r="B45" i="15"/>
  <c r="B103" i="77"/>
  <c r="E462" i="77"/>
  <c r="C462" i="77"/>
  <c r="C103" i="77"/>
  <c r="E337" i="39"/>
  <c r="N12" i="39"/>
  <c r="A322" i="39" s="1"/>
  <c r="B206" i="3"/>
  <c r="C251" i="3" s="1"/>
  <c r="O364" i="75"/>
  <c r="A378" i="75" s="1"/>
  <c r="A392" i="75" s="1"/>
  <c r="O356" i="75"/>
  <c r="A370" i="75" s="1"/>
  <c r="A384" i="75" s="1"/>
  <c r="J355" i="75"/>
  <c r="P365" i="75"/>
  <c r="P357" i="75"/>
  <c r="I355" i="75"/>
  <c r="O365" i="75"/>
  <c r="A379" i="75" s="1"/>
  <c r="A393" i="75" s="1"/>
  <c r="O357" i="75"/>
  <c r="A371" i="75" s="1"/>
  <c r="A385" i="75" s="1"/>
  <c r="H355" i="75"/>
  <c r="P366" i="75"/>
  <c r="P358" i="75"/>
  <c r="G355" i="75"/>
  <c r="O366" i="75"/>
  <c r="A380" i="75" s="1"/>
  <c r="A394" i="75" s="1"/>
  <c r="O358" i="75"/>
  <c r="A372" i="75" s="1"/>
  <c r="A386" i="75" s="1"/>
  <c r="F355" i="75"/>
  <c r="P359" i="75"/>
  <c r="E355" i="75"/>
  <c r="P364" i="75"/>
  <c r="P362" i="75"/>
  <c r="P360" i="75"/>
  <c r="K355" i="75"/>
  <c r="P361" i="75"/>
  <c r="O359" i="75"/>
  <c r="A373" i="75" s="1"/>
  <c r="A387" i="75" s="1"/>
  <c r="P363" i="75"/>
  <c r="O361" i="75"/>
  <c r="A375" i="75" s="1"/>
  <c r="A389" i="75" s="1"/>
  <c r="O363" i="75"/>
  <c r="A377" i="75" s="1"/>
  <c r="A391" i="75" s="1"/>
  <c r="M355" i="75"/>
  <c r="L355" i="75"/>
  <c r="O360" i="75"/>
  <c r="A374" i="75" s="1"/>
  <c r="A388" i="75" s="1"/>
  <c r="O362" i="75"/>
  <c r="A376" i="75" s="1"/>
  <c r="A390" i="75" s="1"/>
  <c r="P356" i="75"/>
  <c r="C355" i="75"/>
  <c r="D355" i="75"/>
  <c r="C199" i="3"/>
  <c r="D244" i="3" s="1"/>
  <c r="C22" i="15"/>
  <c r="E204" i="15"/>
  <c r="C204" i="15"/>
  <c r="K6" i="13"/>
  <c r="C204" i="27"/>
  <c r="E204" i="27"/>
  <c r="L31" i="38"/>
  <c r="M31" i="38"/>
  <c r="M36" i="54"/>
  <c r="L36" i="54"/>
  <c r="J10" i="25"/>
  <c r="A329" i="2"/>
  <c r="E29" i="2"/>
  <c r="C29" i="2"/>
  <c r="C35" i="2" s="1"/>
  <c r="I228" i="71"/>
  <c r="J273" i="71" s="1"/>
  <c r="J178" i="25"/>
  <c r="J179" i="25"/>
  <c r="J177" i="25"/>
  <c r="B167" i="41"/>
  <c r="C206" i="41" s="1"/>
  <c r="E157" i="57"/>
  <c r="E159" i="57"/>
  <c r="K171" i="57" s="1"/>
  <c r="C163" i="57"/>
  <c r="H121" i="7"/>
  <c r="H120" i="7"/>
  <c r="H119" i="7"/>
  <c r="E333" i="35"/>
  <c r="N8" i="35"/>
  <c r="A290" i="35" s="1"/>
  <c r="K8" i="35"/>
  <c r="C64" i="35" s="1"/>
  <c r="C111" i="23"/>
  <c r="D144" i="23" s="1"/>
  <c r="B168" i="41"/>
  <c r="C207" i="41" s="1"/>
  <c r="C360" i="67"/>
  <c r="C51" i="67"/>
  <c r="E360" i="67"/>
  <c r="L28" i="68"/>
  <c r="M28" i="68"/>
  <c r="J197" i="3"/>
  <c r="K242" i="3" s="1"/>
  <c r="D166" i="45"/>
  <c r="E205" i="45" s="1"/>
  <c r="A244" i="47"/>
  <c r="A252" i="47" s="1"/>
  <c r="I207" i="2"/>
  <c r="J252" i="2" s="1"/>
  <c r="J179" i="33"/>
  <c r="F151" i="19"/>
  <c r="K217" i="37"/>
  <c r="A227" i="37" s="1"/>
  <c r="A237" i="37" s="1"/>
  <c r="G211" i="43"/>
  <c r="M35" i="66"/>
  <c r="L35" i="66"/>
  <c r="K159" i="53"/>
  <c r="L198" i="53" s="1"/>
  <c r="E306" i="43"/>
  <c r="C306" i="43"/>
  <c r="E298" i="53"/>
  <c r="C298" i="53"/>
  <c r="C104" i="77"/>
  <c r="F462" i="77"/>
  <c r="D462" i="77"/>
  <c r="L217" i="51"/>
  <c r="K216" i="51"/>
  <c r="A226" i="51" s="1"/>
  <c r="A236" i="51" s="1"/>
  <c r="K217" i="51"/>
  <c r="A227" i="51" s="1"/>
  <c r="A237" i="51" s="1"/>
  <c r="K218" i="51"/>
  <c r="A228" i="51" s="1"/>
  <c r="A238" i="51" s="1"/>
  <c r="L218" i="51"/>
  <c r="I211" i="51"/>
  <c r="H211" i="51"/>
  <c r="H212" i="51" s="1"/>
  <c r="G211" i="51"/>
  <c r="L216" i="51"/>
  <c r="E491" i="93"/>
  <c r="N10" i="93"/>
  <c r="A430" i="93" s="1"/>
  <c r="K10" i="93"/>
  <c r="A121" i="5"/>
  <c r="A125" i="5" s="1"/>
  <c r="A212" i="37"/>
  <c r="K222" i="37" s="1"/>
  <c r="E334" i="45"/>
  <c r="J9" i="45"/>
  <c r="N9" i="45"/>
  <c r="A298" i="45" s="1"/>
  <c r="B167" i="47"/>
  <c r="C206" i="47" s="1"/>
  <c r="C168" i="47"/>
  <c r="D207" i="47" s="1"/>
  <c r="C164" i="47"/>
  <c r="D203" i="47" s="1"/>
  <c r="C112" i="23"/>
  <c r="D145" i="23" s="1"/>
  <c r="E244" i="51"/>
  <c r="A244" i="51"/>
  <c r="A252" i="51" s="1"/>
  <c r="G159" i="53"/>
  <c r="H198" i="53" s="1"/>
  <c r="H163" i="53"/>
  <c r="I202" i="53" s="1"/>
  <c r="J161" i="51"/>
  <c r="K200" i="51" s="1"/>
  <c r="A288" i="69"/>
  <c r="M300" i="69" s="1"/>
  <c r="M284" i="73"/>
  <c r="A296" i="73" s="1"/>
  <c r="A308" i="73" s="1"/>
  <c r="E431" i="65"/>
  <c r="K12" i="65"/>
  <c r="N12" i="65"/>
  <c r="A400" i="65" s="1"/>
  <c r="C282" i="35"/>
  <c r="E282" i="35"/>
  <c r="I110" i="25"/>
  <c r="J143" i="25" s="1"/>
  <c r="E246" i="23"/>
  <c r="N7" i="23"/>
  <c r="A212" i="23" s="1"/>
  <c r="E150" i="5"/>
  <c r="C150" i="5"/>
  <c r="A120" i="11"/>
  <c r="A124" i="11" s="1"/>
  <c r="K7" i="23"/>
  <c r="G230" i="67"/>
  <c r="H275" i="67" s="1"/>
  <c r="J220" i="67"/>
  <c r="K265" i="67" s="1"/>
  <c r="G227" i="61"/>
  <c r="H272" i="61" s="1"/>
  <c r="E408" i="57"/>
  <c r="C408" i="57"/>
  <c r="I220" i="55"/>
  <c r="J265" i="55" s="1"/>
  <c r="B229" i="55"/>
  <c r="C274" i="55" s="1"/>
  <c r="L287" i="77"/>
  <c r="M338" i="77" s="1"/>
  <c r="N289" i="77"/>
  <c r="O340" i="77" s="1"/>
  <c r="J172" i="95"/>
  <c r="I171" i="95"/>
  <c r="A179" i="95" s="1"/>
  <c r="A187" i="95" s="1"/>
  <c r="G170" i="95"/>
  <c r="F170" i="95"/>
  <c r="J171" i="95"/>
  <c r="D170" i="95"/>
  <c r="J175" i="95"/>
  <c r="J174" i="95"/>
  <c r="C170" i="95"/>
  <c r="I174" i="95"/>
  <c r="A182" i="95" s="1"/>
  <c r="A190" i="95" s="1"/>
  <c r="J173" i="95"/>
  <c r="E170" i="95"/>
  <c r="I175" i="95"/>
  <c r="A183" i="95" s="1"/>
  <c r="A191" i="95" s="1"/>
  <c r="I172" i="95"/>
  <c r="A180" i="95" s="1"/>
  <c r="A188" i="95" s="1"/>
  <c r="I173" i="95"/>
  <c r="A181" i="95" s="1"/>
  <c r="A189" i="95" s="1"/>
  <c r="I6" i="107"/>
  <c r="E204" i="17"/>
  <c r="C204" i="17"/>
  <c r="C502" i="77"/>
  <c r="E502" i="77"/>
  <c r="D540" i="83"/>
  <c r="F540" i="83"/>
  <c r="C64" i="83"/>
  <c r="L221" i="69"/>
  <c r="M266" i="69" s="1"/>
  <c r="F349" i="111"/>
  <c r="D349" i="111"/>
  <c r="C348" i="91"/>
  <c r="E348" i="91"/>
  <c r="E426" i="71"/>
  <c r="N7" i="71"/>
  <c r="A360" i="71" s="1"/>
  <c r="K7" i="71"/>
  <c r="A231" i="95"/>
  <c r="C42" i="95"/>
  <c r="I220" i="57"/>
  <c r="J265" i="57" s="1"/>
  <c r="F227" i="57"/>
  <c r="G272" i="57" s="1"/>
  <c r="L31" i="66"/>
  <c r="M31" i="66"/>
  <c r="E336" i="35"/>
  <c r="N11" i="35"/>
  <c r="A314" i="35" s="1"/>
  <c r="C282" i="53"/>
  <c r="E282" i="53"/>
  <c r="C212" i="23"/>
  <c r="E212" i="23"/>
  <c r="C49" i="13"/>
  <c r="B164" i="37"/>
  <c r="C203" i="37" s="1"/>
  <c r="M222" i="67"/>
  <c r="N267" i="67" s="1"/>
  <c r="E298" i="43"/>
  <c r="C298" i="43"/>
  <c r="F227" i="61"/>
  <c r="G272" i="61" s="1"/>
  <c r="B229" i="61"/>
  <c r="C274" i="61" s="1"/>
  <c r="F368" i="71"/>
  <c r="C73" i="71"/>
  <c r="D368" i="71"/>
  <c r="C72" i="71"/>
  <c r="G220" i="55"/>
  <c r="H265" i="55" s="1"/>
  <c r="B230" i="55"/>
  <c r="C275" i="55" s="1"/>
  <c r="G295" i="77"/>
  <c r="H346" i="77" s="1"/>
  <c r="M294" i="77"/>
  <c r="N345" i="77" s="1"/>
  <c r="B275" i="93"/>
  <c r="C320" i="93" s="1"/>
  <c r="J198" i="95"/>
  <c r="J197" i="95"/>
  <c r="F228" i="33"/>
  <c r="D228" i="33"/>
  <c r="D376" i="59"/>
  <c r="F376" i="59"/>
  <c r="N9" i="63"/>
  <c r="A376" i="63" s="1"/>
  <c r="E428" i="63"/>
  <c r="K9" i="63"/>
  <c r="C229" i="57"/>
  <c r="D274" i="57" s="1"/>
  <c r="E429" i="73"/>
  <c r="N10" i="73"/>
  <c r="A384" i="73" s="1"/>
  <c r="E533" i="79"/>
  <c r="N12" i="79"/>
  <c r="A486" i="79" s="1"/>
  <c r="L28" i="70"/>
  <c r="M28" i="70"/>
  <c r="E166" i="45"/>
  <c r="F205" i="45" s="1"/>
  <c r="E350" i="3"/>
  <c r="C350" i="3"/>
  <c r="N6" i="35"/>
  <c r="A274" i="35" s="1"/>
  <c r="E331" i="35"/>
  <c r="B228" i="69"/>
  <c r="C273" i="69" s="1"/>
  <c r="B227" i="69"/>
  <c r="C272" i="69" s="1"/>
  <c r="E639" i="83"/>
  <c r="N8" i="83"/>
  <c r="A548" i="83" s="1"/>
  <c r="A177" i="19"/>
  <c r="A183" i="19" s="1"/>
  <c r="E247" i="25"/>
  <c r="N8" i="25"/>
  <c r="A220" i="25" s="1"/>
  <c r="K8" i="25"/>
  <c r="G205" i="2"/>
  <c r="H250" i="2" s="1"/>
  <c r="H204" i="2"/>
  <c r="I249" i="2" s="1"/>
  <c r="D207" i="2"/>
  <c r="E252" i="2" s="1"/>
  <c r="J198" i="2"/>
  <c r="K243" i="2" s="1"/>
  <c r="B206" i="2"/>
  <c r="C251" i="2" s="1"/>
  <c r="K205" i="2"/>
  <c r="L250" i="2" s="1"/>
  <c r="M196" i="2"/>
  <c r="N241" i="2" s="1"/>
  <c r="J220" i="69"/>
  <c r="K265" i="69" s="1"/>
  <c r="G222" i="69"/>
  <c r="H267" i="69" s="1"/>
  <c r="I296" i="79"/>
  <c r="J347" i="79" s="1"/>
  <c r="I10" i="81"/>
  <c r="J164" i="51"/>
  <c r="K203" i="51" s="1"/>
  <c r="A120" i="5"/>
  <c r="A124" i="5" s="1"/>
  <c r="E211" i="37"/>
  <c r="E247" i="23"/>
  <c r="J8" i="23"/>
  <c r="N8" i="23"/>
  <c r="A220" i="23" s="1"/>
  <c r="E335" i="51"/>
  <c r="J10" i="51"/>
  <c r="N10" i="51"/>
  <c r="A306" i="51" s="1"/>
  <c r="C167" i="53"/>
  <c r="D206" i="53" s="1"/>
  <c r="K216" i="35"/>
  <c r="A226" i="35" s="1"/>
  <c r="A236" i="35" s="1"/>
  <c r="I211" i="35"/>
  <c r="K217" i="35"/>
  <c r="A227" i="35" s="1"/>
  <c r="A237" i="35" s="1"/>
  <c r="L215" i="35"/>
  <c r="F211" i="35"/>
  <c r="H211" i="35"/>
  <c r="D211" i="35"/>
  <c r="C211" i="35"/>
  <c r="L213" i="35"/>
  <c r="L216" i="35"/>
  <c r="K213" i="35"/>
  <c r="A223" i="35" s="1"/>
  <c r="A233" i="35" s="1"/>
  <c r="L218" i="35"/>
  <c r="K215" i="35"/>
  <c r="A225" i="35" s="1"/>
  <c r="A235" i="35" s="1"/>
  <c r="L212" i="35"/>
  <c r="K218" i="35"/>
  <c r="A228" i="35" s="1"/>
  <c r="A238" i="35" s="1"/>
  <c r="K212" i="35"/>
  <c r="A222" i="35" s="1"/>
  <c r="A232" i="35" s="1"/>
  <c r="L217" i="35"/>
  <c r="G211" i="35"/>
  <c r="E211" i="35"/>
  <c r="L214" i="35"/>
  <c r="K214" i="35"/>
  <c r="A224" i="35" s="1"/>
  <c r="A234" i="35" s="1"/>
  <c r="M32" i="40"/>
  <c r="L32" i="40"/>
  <c r="N285" i="73"/>
  <c r="N284" i="73"/>
  <c r="E168" i="11"/>
  <c r="K7" i="11"/>
  <c r="N7" i="11"/>
  <c r="A150" i="11" s="1"/>
  <c r="I109" i="25"/>
  <c r="J142" i="25" s="1"/>
  <c r="E332" i="53"/>
  <c r="N7" i="53"/>
  <c r="A282" i="53" s="1"/>
  <c r="K7" i="53"/>
  <c r="C33" i="9"/>
  <c r="E150" i="9"/>
  <c r="B33" i="9"/>
  <c r="C150" i="9"/>
  <c r="B163" i="37"/>
  <c r="C202" i="37" s="1"/>
  <c r="A178" i="17"/>
  <c r="A184" i="17" s="1"/>
  <c r="C226" i="67"/>
  <c r="D271" i="67" s="1"/>
  <c r="K222" i="67"/>
  <c r="L267" i="67" s="1"/>
  <c r="L220" i="67"/>
  <c r="M265" i="67" s="1"/>
  <c r="G295" i="79"/>
  <c r="H346" i="79" s="1"/>
  <c r="E528" i="79"/>
  <c r="N7" i="79"/>
  <c r="A446" i="79" s="1"/>
  <c r="K7" i="79"/>
  <c r="E334" i="43"/>
  <c r="N9" i="43"/>
  <c r="A298" i="43" s="1"/>
  <c r="K9" i="43"/>
  <c r="C83" i="43" s="1"/>
  <c r="E408" i="59"/>
  <c r="C408" i="59"/>
  <c r="B177" i="59"/>
  <c r="H219" i="55"/>
  <c r="I264" i="55" s="1"/>
  <c r="L219" i="55"/>
  <c r="M264" i="55" s="1"/>
  <c r="C225" i="55"/>
  <c r="D270" i="55" s="1"/>
  <c r="B225" i="55"/>
  <c r="C270" i="55" s="1"/>
  <c r="A171" i="85"/>
  <c r="I179" i="85" s="1"/>
  <c r="J9" i="63"/>
  <c r="C502" i="79"/>
  <c r="E502" i="79"/>
  <c r="E231" i="95"/>
  <c r="C231" i="95"/>
  <c r="C41" i="95"/>
  <c r="B41" i="95"/>
  <c r="A153" i="105"/>
  <c r="H160" i="105" s="1"/>
  <c r="E264" i="79"/>
  <c r="E266" i="79"/>
  <c r="I276" i="79" s="1"/>
  <c r="B265" i="79"/>
  <c r="O282" i="79"/>
  <c r="F212" i="33"/>
  <c r="D212" i="33"/>
  <c r="B166" i="49"/>
  <c r="C205" i="49" s="1"/>
  <c r="B230" i="57"/>
  <c r="C275" i="57" s="1"/>
  <c r="J223" i="65"/>
  <c r="K268" i="65" s="1"/>
  <c r="J177" i="31"/>
  <c r="J179" i="31"/>
  <c r="J178" i="31"/>
  <c r="E39" i="15"/>
  <c r="E41" i="15"/>
  <c r="G49" i="15" s="1"/>
  <c r="B40" i="15"/>
  <c r="G166" i="39"/>
  <c r="H205" i="39" s="1"/>
  <c r="J12" i="79"/>
  <c r="B300" i="77"/>
  <c r="C351" i="77" s="1"/>
  <c r="F350" i="3"/>
  <c r="D350" i="3"/>
  <c r="J6" i="35"/>
  <c r="M31" i="14"/>
  <c r="L31" i="14"/>
  <c r="J8" i="25"/>
  <c r="L197" i="2"/>
  <c r="M242" i="2" s="1"/>
  <c r="H196" i="2"/>
  <c r="I241" i="2" s="1"/>
  <c r="C207" i="2"/>
  <c r="D252" i="2" s="1"/>
  <c r="J199" i="2"/>
  <c r="K244" i="2" s="1"/>
  <c r="L199" i="2"/>
  <c r="M244" i="2" s="1"/>
  <c r="L219" i="69"/>
  <c r="M264" i="69" s="1"/>
  <c r="C227" i="69"/>
  <c r="D272" i="69" s="1"/>
  <c r="F290" i="51"/>
  <c r="D290" i="51"/>
  <c r="E167" i="51"/>
  <c r="F206" i="51" s="1"/>
  <c r="G159" i="51"/>
  <c r="H198" i="51" s="1"/>
  <c r="D167" i="51"/>
  <c r="E206" i="51" s="1"/>
  <c r="L216" i="37"/>
  <c r="L217" i="37"/>
  <c r="K8" i="23"/>
  <c r="F165" i="47"/>
  <c r="G204" i="47" s="1"/>
  <c r="I164" i="47"/>
  <c r="J203" i="47" s="1"/>
  <c r="G165" i="47"/>
  <c r="H204" i="47" s="1"/>
  <c r="A212" i="43"/>
  <c r="K222" i="43" s="1"/>
  <c r="I212" i="43"/>
  <c r="H212" i="43"/>
  <c r="D198" i="63"/>
  <c r="D200" i="63"/>
  <c r="L214" i="63" s="1"/>
  <c r="J212" i="63"/>
  <c r="K10" i="51"/>
  <c r="I163" i="53"/>
  <c r="J202" i="53" s="1"/>
  <c r="G160" i="53"/>
  <c r="H199" i="53" s="1"/>
  <c r="L244" i="35"/>
  <c r="L243" i="35"/>
  <c r="L245" i="35"/>
  <c r="H120" i="9"/>
  <c r="H121" i="9"/>
  <c r="N286" i="69"/>
  <c r="J279" i="69"/>
  <c r="J319" i="69" s="1"/>
  <c r="F219" i="65"/>
  <c r="G264" i="65" s="1"/>
  <c r="K223" i="65"/>
  <c r="L268" i="65" s="1"/>
  <c r="G279" i="73"/>
  <c r="G280" i="73" s="1"/>
  <c r="E277" i="87"/>
  <c r="N11" i="87"/>
  <c r="A263" i="87" s="1"/>
  <c r="C214" i="81"/>
  <c r="D588" i="81"/>
  <c r="F588" i="81"/>
  <c r="J7" i="11"/>
  <c r="E337" i="35"/>
  <c r="K12" i="35"/>
  <c r="N12" i="35"/>
  <c r="A322" i="35" s="1"/>
  <c r="C34" i="9"/>
  <c r="D150" i="9"/>
  <c r="F150" i="9"/>
  <c r="B48" i="13"/>
  <c r="M32" i="56"/>
  <c r="L32" i="56"/>
  <c r="H220" i="67"/>
  <c r="I265" i="67" s="1"/>
  <c r="B230" i="67"/>
  <c r="C275" i="67" s="1"/>
  <c r="M224" i="67"/>
  <c r="N269" i="67" s="1"/>
  <c r="H295" i="79"/>
  <c r="I346" i="79" s="1"/>
  <c r="J7" i="79"/>
  <c r="E432" i="59"/>
  <c r="K13" i="59"/>
  <c r="C177" i="59" s="1"/>
  <c r="N13" i="59"/>
  <c r="A408" i="59" s="1"/>
  <c r="K219" i="61"/>
  <c r="L264" i="61" s="1"/>
  <c r="B230" i="61"/>
  <c r="C275" i="61" s="1"/>
  <c r="F227" i="55"/>
  <c r="G272" i="55" s="1"/>
  <c r="L220" i="55"/>
  <c r="M265" i="55" s="1"/>
  <c r="F220" i="55"/>
  <c r="G265" i="55" s="1"/>
  <c r="F287" i="77"/>
  <c r="G338" i="77" s="1"/>
  <c r="E433" i="73"/>
  <c r="N14" i="73"/>
  <c r="A416" i="73" s="1"/>
  <c r="H270" i="93"/>
  <c r="I315" i="93" s="1"/>
  <c r="L265" i="93"/>
  <c r="M310" i="93" s="1"/>
  <c r="G225" i="65"/>
  <c r="H270" i="65" s="1"/>
  <c r="K14" i="73"/>
  <c r="E535" i="79"/>
  <c r="N14" i="79"/>
  <c r="A502" i="79" s="1"/>
  <c r="K14" i="79"/>
  <c r="C218" i="79" s="1"/>
  <c r="B31" i="65"/>
  <c r="E30" i="65"/>
  <c r="E32" i="65"/>
  <c r="E38" i="65" s="1"/>
  <c r="C36" i="65"/>
  <c r="D230" i="63"/>
  <c r="E275" i="63" s="1"/>
  <c r="B229" i="65"/>
  <c r="C274" i="65" s="1"/>
  <c r="E248" i="31"/>
  <c r="N9" i="31"/>
  <c r="A228" i="31" s="1"/>
  <c r="E317" i="55"/>
  <c r="A317" i="55"/>
  <c r="A327" i="55" s="1"/>
  <c r="E336" i="45"/>
  <c r="N11" i="45"/>
  <c r="A314" i="45" s="1"/>
  <c r="K11" i="45"/>
  <c r="C226" i="55"/>
  <c r="D271" i="55" s="1"/>
  <c r="K12" i="79"/>
  <c r="F107" i="33"/>
  <c r="G140" i="33" s="1"/>
  <c r="N288" i="61"/>
  <c r="N284" i="61"/>
  <c r="N280" i="61"/>
  <c r="G279" i="61"/>
  <c r="M288" i="61"/>
  <c r="A300" i="61" s="1"/>
  <c r="A312" i="61" s="1"/>
  <c r="M284" i="61"/>
  <c r="A296" i="61" s="1"/>
  <c r="A308" i="61" s="1"/>
  <c r="M280" i="61"/>
  <c r="A292" i="61" s="1"/>
  <c r="A304" i="61" s="1"/>
  <c r="F279" i="61"/>
  <c r="E279" i="61"/>
  <c r="D279" i="61"/>
  <c r="N285" i="61"/>
  <c r="N281" i="61"/>
  <c r="C279" i="61"/>
  <c r="N286" i="61"/>
  <c r="N282" i="61"/>
  <c r="M282" i="61"/>
  <c r="A294" i="61" s="1"/>
  <c r="A306" i="61" s="1"/>
  <c r="M286" i="61"/>
  <c r="A298" i="61" s="1"/>
  <c r="A310" i="61" s="1"/>
  <c r="I279" i="61"/>
  <c r="H279" i="61"/>
  <c r="M285" i="61"/>
  <c r="A297" i="61" s="1"/>
  <c r="A309" i="61" s="1"/>
  <c r="M281" i="61"/>
  <c r="A293" i="61" s="1"/>
  <c r="A305" i="61" s="1"/>
  <c r="K279" i="61"/>
  <c r="N287" i="61"/>
  <c r="M287" i="61"/>
  <c r="A299" i="61" s="1"/>
  <c r="A311" i="61" s="1"/>
  <c r="J279" i="61"/>
  <c r="N283" i="61"/>
  <c r="M283" i="61"/>
  <c r="A295" i="61" s="1"/>
  <c r="A307" i="61" s="1"/>
  <c r="E93" i="3"/>
  <c r="C97" i="3" s="1"/>
  <c r="D93" i="3"/>
  <c r="B97" i="3" s="1"/>
  <c r="E92" i="3"/>
  <c r="C104" i="3" s="1"/>
  <c r="C203" i="3" s="1"/>
  <c r="D248" i="3" s="1"/>
  <c r="C93" i="3"/>
  <c r="I97" i="3" s="1"/>
  <c r="I196" i="3" s="1"/>
  <c r="J241" i="3" s="1"/>
  <c r="B93" i="3"/>
  <c r="H97" i="3" s="1"/>
  <c r="H196" i="3" s="1"/>
  <c r="I241" i="3" s="1"/>
  <c r="B91" i="3"/>
  <c r="H103" i="3" s="1"/>
  <c r="D94" i="3"/>
  <c r="B98" i="3" s="1"/>
  <c r="B197" i="3" s="1"/>
  <c r="C242" i="3" s="1"/>
  <c r="E94" i="3"/>
  <c r="C98" i="3" s="1"/>
  <c r="C197" i="3" s="1"/>
  <c r="D242" i="3" s="1"/>
  <c r="D92" i="3"/>
  <c r="B104" i="3" s="1"/>
  <c r="B203" i="3" s="1"/>
  <c r="C248" i="3" s="1"/>
  <c r="A350" i="3"/>
  <c r="C92" i="3"/>
  <c r="I104" i="3" s="1"/>
  <c r="C91" i="3"/>
  <c r="I103" i="3" s="1"/>
  <c r="E91" i="3"/>
  <c r="C103" i="3" s="1"/>
  <c r="C202" i="3" s="1"/>
  <c r="D247" i="3" s="1"/>
  <c r="C94" i="3"/>
  <c r="I98" i="3" s="1"/>
  <c r="I197" i="3" s="1"/>
  <c r="J242" i="3" s="1"/>
  <c r="B94" i="3"/>
  <c r="H98" i="3" s="1"/>
  <c r="H197" i="3" s="1"/>
  <c r="I242" i="3" s="1"/>
  <c r="B92" i="3"/>
  <c r="H104" i="3" s="1"/>
  <c r="D91" i="3"/>
  <c r="B103" i="3" s="1"/>
  <c r="B202" i="3" s="1"/>
  <c r="C247" i="3" s="1"/>
  <c r="E331" i="47"/>
  <c r="N6" i="47"/>
  <c r="A274" i="47" s="1"/>
  <c r="J6" i="47"/>
  <c r="F205" i="2"/>
  <c r="G250" i="2" s="1"/>
  <c r="K198" i="2"/>
  <c r="L243" i="2" s="1"/>
  <c r="K196" i="2"/>
  <c r="L241" i="2" s="1"/>
  <c r="N6" i="43"/>
  <c r="A274" i="43" s="1"/>
  <c r="E331" i="43"/>
  <c r="K6" i="43"/>
  <c r="C228" i="69"/>
  <c r="D273" i="69" s="1"/>
  <c r="C225" i="73"/>
  <c r="D270" i="73" s="1"/>
  <c r="M30" i="82"/>
  <c r="L30" i="82"/>
  <c r="I244" i="43"/>
  <c r="H244" i="43"/>
  <c r="E244" i="43"/>
  <c r="D244" i="43"/>
  <c r="A244" i="43"/>
  <c r="A252" i="43" s="1"/>
  <c r="F211" i="37"/>
  <c r="D282" i="43"/>
  <c r="F282" i="43"/>
  <c r="C46" i="43"/>
  <c r="C45" i="43"/>
  <c r="J160" i="47"/>
  <c r="K199" i="47" s="1"/>
  <c r="C167" i="47"/>
  <c r="D206" i="47" s="1"/>
  <c r="J160" i="53"/>
  <c r="K199" i="53" s="1"/>
  <c r="M34" i="52"/>
  <c r="L34" i="52"/>
  <c r="M31" i="58"/>
  <c r="L31" i="58"/>
  <c r="M282" i="73"/>
  <c r="A294" i="73" s="1"/>
  <c r="A306" i="73" s="1"/>
  <c r="M287" i="73"/>
  <c r="A299" i="73" s="1"/>
  <c r="A311" i="73" s="1"/>
  <c r="J11" i="87"/>
  <c r="B71" i="3"/>
  <c r="F81" i="3" s="1"/>
  <c r="B70" i="3"/>
  <c r="F80" i="3" s="1"/>
  <c r="E70" i="3"/>
  <c r="I80" i="3" s="1"/>
  <c r="I200" i="3" s="1"/>
  <c r="J245" i="3" s="1"/>
  <c r="C73" i="3"/>
  <c r="G83" i="3" s="1"/>
  <c r="G203" i="3" s="1"/>
  <c r="H248" i="3" s="1"/>
  <c r="E73" i="3"/>
  <c r="I83" i="3" s="1"/>
  <c r="I203" i="3" s="1"/>
  <c r="J248" i="3" s="1"/>
  <c r="D70" i="3"/>
  <c r="H80" i="3" s="1"/>
  <c r="H200" i="3" s="1"/>
  <c r="I245" i="3" s="1"/>
  <c r="D73" i="3"/>
  <c r="H83" i="3" s="1"/>
  <c r="H203" i="3" s="1"/>
  <c r="I248" i="3" s="1"/>
  <c r="C70" i="3"/>
  <c r="G80" i="3" s="1"/>
  <c r="D72" i="3"/>
  <c r="H82" i="3" s="1"/>
  <c r="E72" i="3"/>
  <c r="I82" i="3" s="1"/>
  <c r="A342" i="3"/>
  <c r="B73" i="3"/>
  <c r="F83" i="3" s="1"/>
  <c r="F203" i="3" s="1"/>
  <c r="G248" i="3" s="1"/>
  <c r="E71" i="3"/>
  <c r="I81" i="3" s="1"/>
  <c r="I201" i="3" s="1"/>
  <c r="J246" i="3" s="1"/>
  <c r="D71" i="3"/>
  <c r="H81" i="3" s="1"/>
  <c r="H201" i="3" s="1"/>
  <c r="I246" i="3" s="1"/>
  <c r="C72" i="3"/>
  <c r="G82" i="3" s="1"/>
  <c r="G202" i="3" s="1"/>
  <c r="H247" i="3" s="1"/>
  <c r="B72" i="3"/>
  <c r="F82" i="3" s="1"/>
  <c r="F202" i="3" s="1"/>
  <c r="G247" i="3" s="1"/>
  <c r="C71" i="3"/>
  <c r="G81" i="3" s="1"/>
  <c r="E114" i="25"/>
  <c r="F147" i="25" s="1"/>
  <c r="J12" i="35"/>
  <c r="D227" i="67"/>
  <c r="E272" i="67" s="1"/>
  <c r="C297" i="79"/>
  <c r="D348" i="79" s="1"/>
  <c r="C229" i="61"/>
  <c r="D274" i="61" s="1"/>
  <c r="B223" i="55"/>
  <c r="C268" i="55" s="1"/>
  <c r="M220" i="55"/>
  <c r="N265" i="55" s="1"/>
  <c r="J225" i="55"/>
  <c r="K270" i="55" s="1"/>
  <c r="M219" i="55"/>
  <c r="N264" i="55" s="1"/>
  <c r="J14" i="73"/>
  <c r="L271" i="93"/>
  <c r="M316" i="93" s="1"/>
  <c r="A392" i="67"/>
  <c r="B135" i="67"/>
  <c r="C224" i="55"/>
  <c r="D269" i="55" s="1"/>
  <c r="A154" i="105"/>
  <c r="H161" i="105" s="1"/>
  <c r="B229" i="111"/>
  <c r="C274" i="111" s="1"/>
  <c r="F282" i="51"/>
  <c r="D282" i="51"/>
  <c r="F360" i="69"/>
  <c r="D360" i="69"/>
  <c r="N318" i="67"/>
  <c r="N319" i="67"/>
  <c r="N317" i="67"/>
  <c r="C370" i="83"/>
  <c r="D427" i="83" s="1"/>
  <c r="D212" i="27"/>
  <c r="F212" i="27"/>
  <c r="C40" i="27"/>
  <c r="M33" i="58"/>
  <c r="L33" i="58"/>
  <c r="L220" i="69"/>
  <c r="M265" i="69" s="1"/>
  <c r="M199" i="2"/>
  <c r="N244" i="2" s="1"/>
  <c r="K202" i="2"/>
  <c r="L247" i="2" s="1"/>
  <c r="M203" i="2"/>
  <c r="N248" i="2" s="1"/>
  <c r="K204" i="2"/>
  <c r="L249" i="2" s="1"/>
  <c r="M200" i="2"/>
  <c r="N245" i="2" s="1"/>
  <c r="J203" i="2"/>
  <c r="K248" i="2" s="1"/>
  <c r="D228" i="69"/>
  <c r="E273" i="69" s="1"/>
  <c r="B164" i="51"/>
  <c r="C203" i="51" s="1"/>
  <c r="F159" i="51"/>
  <c r="G198" i="51" s="1"/>
  <c r="E331" i="51"/>
  <c r="K6" i="51"/>
  <c r="N6" i="51"/>
  <c r="A274" i="51" s="1"/>
  <c r="H163" i="47"/>
  <c r="I202" i="47" s="1"/>
  <c r="G166" i="47"/>
  <c r="H205" i="47" s="1"/>
  <c r="D258" i="43"/>
  <c r="E337" i="41"/>
  <c r="J12" i="41"/>
  <c r="N12" i="41"/>
  <c r="A322" i="41" s="1"/>
  <c r="E432" i="67"/>
  <c r="N13" i="67"/>
  <c r="A408" i="67" s="1"/>
  <c r="K13" i="67"/>
  <c r="M35" i="60"/>
  <c r="L35" i="60"/>
  <c r="O363" i="77"/>
  <c r="A377" i="77" s="1"/>
  <c r="A391" i="77" s="1"/>
  <c r="L355" i="77"/>
  <c r="O357" i="77"/>
  <c r="A371" i="77" s="1"/>
  <c r="A385" i="77" s="1"/>
  <c r="F355" i="77"/>
  <c r="P363" i="77"/>
  <c r="E355" i="77"/>
  <c r="P358" i="77"/>
  <c r="D355" i="77"/>
  <c r="P364" i="77"/>
  <c r="O358" i="77"/>
  <c r="A372" i="77" s="1"/>
  <c r="A386" i="77" s="1"/>
  <c r="C355" i="77"/>
  <c r="O364" i="77"/>
  <c r="A378" i="77" s="1"/>
  <c r="A392" i="77" s="1"/>
  <c r="P359" i="77"/>
  <c r="H355" i="77"/>
  <c r="O361" i="77"/>
  <c r="A375" i="77" s="1"/>
  <c r="A389" i="77" s="1"/>
  <c r="I355" i="77"/>
  <c r="G355" i="77"/>
  <c r="P360" i="77"/>
  <c r="P356" i="77"/>
  <c r="O360" i="77"/>
  <c r="A374" i="77" s="1"/>
  <c r="A388" i="77" s="1"/>
  <c r="P366" i="77"/>
  <c r="P357" i="77"/>
  <c r="O366" i="77"/>
  <c r="A380" i="77" s="1"/>
  <c r="A394" i="77" s="1"/>
  <c r="O356" i="77"/>
  <c r="A370" i="77" s="1"/>
  <c r="A384" i="77" s="1"/>
  <c r="P362" i="77"/>
  <c r="P361" i="77"/>
  <c r="M355" i="77"/>
  <c r="P365" i="77"/>
  <c r="K355" i="77"/>
  <c r="O365" i="77"/>
  <c r="A379" i="77" s="1"/>
  <c r="A393" i="77" s="1"/>
  <c r="J355" i="77"/>
  <c r="O359" i="77"/>
  <c r="A373" i="77" s="1"/>
  <c r="A387" i="77" s="1"/>
  <c r="O362" i="77"/>
  <c r="A376" i="77" s="1"/>
  <c r="A390" i="77" s="1"/>
  <c r="C236" i="29"/>
  <c r="E236" i="29"/>
  <c r="L32" i="38"/>
  <c r="M32" i="38"/>
  <c r="G166" i="53"/>
  <c r="H205" i="53" s="1"/>
  <c r="G165" i="53"/>
  <c r="H204" i="53" s="1"/>
  <c r="F160" i="51"/>
  <c r="G199" i="51" s="1"/>
  <c r="E334" i="49"/>
  <c r="N9" i="49"/>
  <c r="A298" i="49" s="1"/>
  <c r="C31" i="63"/>
  <c r="D352" i="63"/>
  <c r="F352" i="63"/>
  <c r="C30" i="63"/>
  <c r="E400" i="55"/>
  <c r="C400" i="55"/>
  <c r="E416" i="67"/>
  <c r="C416" i="67"/>
  <c r="F351" i="89"/>
  <c r="D351" i="89"/>
  <c r="N282" i="73"/>
  <c r="E279" i="73"/>
  <c r="E342" i="3"/>
  <c r="C342" i="3"/>
  <c r="E169" i="11"/>
  <c r="N8" i="11"/>
  <c r="A158" i="11" s="1"/>
  <c r="D114" i="25"/>
  <c r="E147" i="25" s="1"/>
  <c r="C228" i="25"/>
  <c r="E228" i="25"/>
  <c r="C48" i="13"/>
  <c r="E248" i="33"/>
  <c r="N9" i="33"/>
  <c r="A228" i="33" s="1"/>
  <c r="D228" i="67"/>
  <c r="E273" i="67" s="1"/>
  <c r="L225" i="61"/>
  <c r="M270" i="61" s="1"/>
  <c r="J224" i="61"/>
  <c r="K269" i="61" s="1"/>
  <c r="J223" i="55"/>
  <c r="K268" i="55" s="1"/>
  <c r="J226" i="55"/>
  <c r="K271" i="55" s="1"/>
  <c r="N296" i="77"/>
  <c r="O347" i="77" s="1"/>
  <c r="C294" i="77"/>
  <c r="D345" i="77" s="1"/>
  <c r="H297" i="77"/>
  <c r="I348" i="77" s="1"/>
  <c r="L294" i="77"/>
  <c r="M345" i="77" s="1"/>
  <c r="K299" i="77"/>
  <c r="L350" i="77" s="1"/>
  <c r="C157" i="63"/>
  <c r="F400" i="63"/>
  <c r="D400" i="63"/>
  <c r="N318" i="65"/>
  <c r="N319" i="65"/>
  <c r="N317" i="65"/>
  <c r="E247" i="87"/>
  <c r="B75" i="87"/>
  <c r="C247" i="87"/>
  <c r="D189" i="105"/>
  <c r="D188" i="105"/>
  <c r="D187" i="105"/>
  <c r="D190" i="105"/>
  <c r="I174" i="85"/>
  <c r="A182" i="85" s="1"/>
  <c r="A190" i="85" s="1"/>
  <c r="H276" i="99"/>
  <c r="I321" i="99" s="1"/>
  <c r="I229" i="65"/>
  <c r="J274" i="65" s="1"/>
  <c r="D612" i="83"/>
  <c r="F612" i="83"/>
  <c r="K225" i="57"/>
  <c r="L270" i="57" s="1"/>
  <c r="F314" i="53"/>
  <c r="D314" i="53"/>
  <c r="J299" i="79"/>
  <c r="K350" i="79" s="1"/>
  <c r="B214" i="81"/>
  <c r="E213" i="81"/>
  <c r="E215" i="81"/>
  <c r="K227" i="81" s="1"/>
  <c r="F221" i="69"/>
  <c r="G266" i="69" s="1"/>
  <c r="E335" i="35"/>
  <c r="N10" i="35"/>
  <c r="A306" i="35" s="1"/>
  <c r="M206" i="2"/>
  <c r="N251" i="2" s="1"/>
  <c r="J206" i="2"/>
  <c r="K251" i="2" s="1"/>
  <c r="E205" i="2"/>
  <c r="F250" i="2" s="1"/>
  <c r="J196" i="2"/>
  <c r="K241" i="2" s="1"/>
  <c r="K200" i="2"/>
  <c r="L245" i="2" s="1"/>
  <c r="F206" i="2"/>
  <c r="G251" i="2" s="1"/>
  <c r="L203" i="2"/>
  <c r="M248" i="2" s="1"/>
  <c r="E433" i="57"/>
  <c r="K14" i="57"/>
  <c r="N14" i="57"/>
  <c r="A416" i="57" s="1"/>
  <c r="B300" i="79"/>
  <c r="C351" i="79" s="1"/>
  <c r="E168" i="51"/>
  <c r="F207" i="51" s="1"/>
  <c r="G211" i="37"/>
  <c r="J6" i="51"/>
  <c r="F166" i="47"/>
  <c r="G205" i="47" s="1"/>
  <c r="M28" i="58"/>
  <c r="L28" i="58"/>
  <c r="E332" i="47"/>
  <c r="N7" i="47"/>
  <c r="A282" i="47" s="1"/>
  <c r="J13" i="67"/>
  <c r="E249" i="29"/>
  <c r="N10" i="29"/>
  <c r="A236" i="29" s="1"/>
  <c r="F107" i="19"/>
  <c r="G140" i="19" s="1"/>
  <c r="B164" i="53"/>
  <c r="C203" i="53" s="1"/>
  <c r="J159" i="53"/>
  <c r="K198" i="53" s="1"/>
  <c r="F166" i="53"/>
  <c r="G205" i="53" s="1"/>
  <c r="K163" i="51"/>
  <c r="L202" i="51" s="1"/>
  <c r="H211" i="49"/>
  <c r="K217" i="49"/>
  <c r="A227" i="49" s="1"/>
  <c r="A237" i="49" s="1"/>
  <c r="D211" i="49"/>
  <c r="G211" i="49"/>
  <c r="L218" i="49"/>
  <c r="F211" i="49"/>
  <c r="K218" i="49"/>
  <c r="A228" i="49" s="1"/>
  <c r="A238" i="49" s="1"/>
  <c r="E211" i="49"/>
  <c r="L216" i="49"/>
  <c r="C211" i="49"/>
  <c r="K216" i="49"/>
  <c r="A226" i="49" s="1"/>
  <c r="A236" i="49" s="1"/>
  <c r="L214" i="49"/>
  <c r="K213" i="49"/>
  <c r="A223" i="49" s="1"/>
  <c r="A233" i="49" s="1"/>
  <c r="L215" i="49"/>
  <c r="L212" i="49"/>
  <c r="K215" i="49"/>
  <c r="A225" i="49" s="1"/>
  <c r="A235" i="49" s="1"/>
  <c r="K212" i="49"/>
  <c r="A222" i="49" s="1"/>
  <c r="A232" i="49" s="1"/>
  <c r="I211" i="49"/>
  <c r="L213" i="49"/>
  <c r="K214" i="49"/>
  <c r="A224" i="49" s="1"/>
  <c r="A234" i="49" s="1"/>
  <c r="L217" i="49"/>
  <c r="J9" i="49"/>
  <c r="E431" i="55"/>
  <c r="K12" i="55"/>
  <c r="N12" i="55"/>
  <c r="A400" i="55" s="1"/>
  <c r="N285" i="69"/>
  <c r="K279" i="69"/>
  <c r="K280" i="69" s="1"/>
  <c r="G226" i="65"/>
  <c r="H271" i="65" s="1"/>
  <c r="F225" i="65"/>
  <c r="G270" i="65" s="1"/>
  <c r="B228" i="65"/>
  <c r="C273" i="65" s="1"/>
  <c r="E433" i="67"/>
  <c r="K14" i="67"/>
  <c r="C198" i="67" s="1"/>
  <c r="N14" i="67"/>
  <c r="A416" i="67" s="1"/>
  <c r="M283" i="73"/>
  <c r="A295" i="73" s="1"/>
  <c r="A307" i="73" s="1"/>
  <c r="M29" i="92"/>
  <c r="L29" i="92"/>
  <c r="D342" i="3"/>
  <c r="F342" i="3"/>
  <c r="J8" i="11"/>
  <c r="E248" i="25"/>
  <c r="K9" i="25"/>
  <c r="N9" i="25"/>
  <c r="A228" i="25" s="1"/>
  <c r="C164" i="37"/>
  <c r="D203" i="37" s="1"/>
  <c r="E333" i="43"/>
  <c r="N8" i="43"/>
  <c r="A290" i="43" s="1"/>
  <c r="K8" i="43"/>
  <c r="J9" i="33"/>
  <c r="E228" i="67"/>
  <c r="F273" i="67" s="1"/>
  <c r="C230" i="67"/>
  <c r="D275" i="67" s="1"/>
  <c r="E229" i="67"/>
  <c r="F274" i="67" s="1"/>
  <c r="I9" i="79"/>
  <c r="K9" i="79" s="1"/>
  <c r="I287" i="79"/>
  <c r="J338" i="79" s="1"/>
  <c r="F219" i="55"/>
  <c r="G264" i="55" s="1"/>
  <c r="H221" i="55"/>
  <c r="I266" i="55" s="1"/>
  <c r="H296" i="77"/>
  <c r="I347" i="77" s="1"/>
  <c r="O290" i="77"/>
  <c r="P341" i="77" s="1"/>
  <c r="O295" i="77"/>
  <c r="P346" i="77" s="1"/>
  <c r="G272" i="93"/>
  <c r="H317" i="93" s="1"/>
  <c r="I279" i="65"/>
  <c r="N286" i="65"/>
  <c r="J279" i="65"/>
  <c r="M286" i="65"/>
  <c r="A298" i="65" s="1"/>
  <c r="A310" i="65" s="1"/>
  <c r="H279" i="65"/>
  <c r="N283" i="65"/>
  <c r="G279" i="65"/>
  <c r="M283" i="65"/>
  <c r="A295" i="65" s="1"/>
  <c r="A307" i="65" s="1"/>
  <c r="N280" i="65"/>
  <c r="F279" i="65"/>
  <c r="M280" i="65"/>
  <c r="A292" i="65" s="1"/>
  <c r="A304" i="65" s="1"/>
  <c r="E279" i="65"/>
  <c r="N281" i="65"/>
  <c r="N285" i="65"/>
  <c r="N287" i="65"/>
  <c r="M285" i="65"/>
  <c r="A297" i="65" s="1"/>
  <c r="A309" i="65" s="1"/>
  <c r="M287" i="65"/>
  <c r="A299" i="65" s="1"/>
  <c r="A311" i="65" s="1"/>
  <c r="K279" i="65"/>
  <c r="D279" i="65"/>
  <c r="N284" i="65"/>
  <c r="C279" i="65"/>
  <c r="M284" i="65"/>
  <c r="A296" i="65" s="1"/>
  <c r="A308" i="65" s="1"/>
  <c r="N282" i="65"/>
  <c r="M281" i="65"/>
  <c r="A293" i="65" s="1"/>
  <c r="A305" i="65" s="1"/>
  <c r="M288" i="65"/>
  <c r="A300" i="65" s="1"/>
  <c r="A312" i="65" s="1"/>
  <c r="N288" i="65"/>
  <c r="M282" i="65"/>
  <c r="A294" i="65" s="1"/>
  <c r="A306" i="65" s="1"/>
  <c r="B93" i="65"/>
  <c r="E376" i="65"/>
  <c r="C376" i="65"/>
  <c r="C93" i="65"/>
  <c r="E275" i="87"/>
  <c r="N9" i="87"/>
  <c r="A247" i="87" s="1"/>
  <c r="M28" i="106"/>
  <c r="L28" i="106"/>
  <c r="F177" i="105"/>
  <c r="E177" i="105"/>
  <c r="A177" i="105"/>
  <c r="A182" i="105" s="1"/>
  <c r="I14" i="111"/>
  <c r="J14" i="111" s="1"/>
  <c r="F314" i="47"/>
  <c r="D314" i="47"/>
  <c r="C122" i="47"/>
  <c r="L219" i="63"/>
  <c r="M264" i="63" s="1"/>
  <c r="D229" i="63"/>
  <c r="E274" i="63" s="1"/>
  <c r="J219" i="63"/>
  <c r="K264" i="63" s="1"/>
  <c r="E376" i="67"/>
  <c r="C376" i="67"/>
  <c r="C377" i="83"/>
  <c r="D434" i="83" s="1"/>
  <c r="P374" i="83"/>
  <c r="Q431" i="83" s="1"/>
  <c r="E314" i="53"/>
  <c r="C314" i="53"/>
  <c r="E478" i="93"/>
  <c r="C478" i="93"/>
  <c r="F158" i="7"/>
  <c r="D158" i="7"/>
  <c r="C49" i="7"/>
  <c r="D322" i="45"/>
  <c r="C141" i="45"/>
  <c r="F322" i="45"/>
  <c r="C140" i="45"/>
  <c r="B111" i="33"/>
  <c r="C144" i="33" s="1"/>
  <c r="F108" i="33"/>
  <c r="G141" i="33" s="1"/>
  <c r="M36" i="58"/>
  <c r="L36" i="58"/>
  <c r="F510" i="75"/>
  <c r="D510" i="75"/>
  <c r="D167" i="45"/>
  <c r="E206" i="45" s="1"/>
  <c r="C293" i="77"/>
  <c r="D344" i="77" s="1"/>
  <c r="D177" i="23"/>
  <c r="E177" i="23"/>
  <c r="A177" i="23"/>
  <c r="A183" i="23" s="1"/>
  <c r="F222" i="69"/>
  <c r="G267" i="69" s="1"/>
  <c r="E306" i="35"/>
  <c r="C306" i="35"/>
  <c r="C102" i="35"/>
  <c r="M207" i="2"/>
  <c r="N252" i="2" s="1"/>
  <c r="E207" i="2"/>
  <c r="F252" i="2" s="1"/>
  <c r="L198" i="2"/>
  <c r="M243" i="2" s="1"/>
  <c r="C206" i="2"/>
  <c r="D251" i="2" s="1"/>
  <c r="J207" i="2"/>
  <c r="K252" i="2" s="1"/>
  <c r="D205" i="2"/>
  <c r="E250" i="2" s="1"/>
  <c r="A178" i="33"/>
  <c r="A184" i="33" s="1"/>
  <c r="H227" i="69"/>
  <c r="I272" i="69" s="1"/>
  <c r="E478" i="75"/>
  <c r="C478" i="75"/>
  <c r="C416" i="57"/>
  <c r="C198" i="57"/>
  <c r="E416" i="57"/>
  <c r="E528" i="75"/>
  <c r="N7" i="75"/>
  <c r="A446" i="75" s="1"/>
  <c r="K7" i="75"/>
  <c r="K162" i="51"/>
  <c r="L201" i="51" s="1"/>
  <c r="F168" i="51"/>
  <c r="G207" i="51" s="1"/>
  <c r="B163" i="47"/>
  <c r="C202" i="47" s="1"/>
  <c r="K160" i="47"/>
  <c r="L199" i="47" s="1"/>
  <c r="J159" i="47"/>
  <c r="K198" i="47" s="1"/>
  <c r="C45" i="47"/>
  <c r="E282" i="47"/>
  <c r="C282" i="47"/>
  <c r="A102" i="9"/>
  <c r="G108" i="9" s="1"/>
  <c r="P399" i="77"/>
  <c r="P400" i="77"/>
  <c r="P401" i="77"/>
  <c r="M32" i="96"/>
  <c r="L32" i="96"/>
  <c r="D24" i="25"/>
  <c r="D30" i="25" s="1"/>
  <c r="D22" i="25"/>
  <c r="C164" i="53"/>
  <c r="D203" i="53" s="1"/>
  <c r="B168" i="53"/>
  <c r="C207" i="53" s="1"/>
  <c r="L243" i="49"/>
  <c r="L245" i="49"/>
  <c r="L244" i="49"/>
  <c r="A283" i="69"/>
  <c r="M295" i="69" s="1"/>
  <c r="H279" i="73"/>
  <c r="F279" i="73"/>
  <c r="I12" i="97"/>
  <c r="E248" i="19"/>
  <c r="N9" i="19"/>
  <c r="A228" i="19" s="1"/>
  <c r="K9" i="19"/>
  <c r="K12" i="41"/>
  <c r="E290" i="43"/>
  <c r="C290" i="43"/>
  <c r="B64" i="43"/>
  <c r="C64" i="43"/>
  <c r="I220" i="67"/>
  <c r="J265" i="67" s="1"/>
  <c r="B228" i="67"/>
  <c r="C273" i="67" s="1"/>
  <c r="E306" i="53"/>
  <c r="C306" i="53"/>
  <c r="J219" i="61"/>
  <c r="K264" i="61" s="1"/>
  <c r="G219" i="55"/>
  <c r="H264" i="55" s="1"/>
  <c r="I222" i="55"/>
  <c r="J267" i="55" s="1"/>
  <c r="C229" i="55"/>
  <c r="D274" i="55" s="1"/>
  <c r="C298" i="77"/>
  <c r="D349" i="77" s="1"/>
  <c r="J300" i="77"/>
  <c r="K351" i="77" s="1"/>
  <c r="E299" i="77"/>
  <c r="F350" i="77" s="1"/>
  <c r="I287" i="77"/>
  <c r="J338" i="77" s="1"/>
  <c r="C269" i="93"/>
  <c r="D314" i="93" s="1"/>
  <c r="F376" i="65"/>
  <c r="D376" i="65"/>
  <c r="C94" i="65"/>
  <c r="E536" i="79"/>
  <c r="N15" i="79"/>
  <c r="A510" i="79" s="1"/>
  <c r="K15" i="79"/>
  <c r="C384" i="55"/>
  <c r="E384" i="55"/>
  <c r="C223" i="73"/>
  <c r="D268" i="73" s="1"/>
  <c r="E352" i="61"/>
  <c r="C352" i="61"/>
  <c r="B30" i="61"/>
  <c r="C30" i="61"/>
  <c r="J225" i="63"/>
  <c r="K270" i="63" s="1"/>
  <c r="J226" i="63"/>
  <c r="K271" i="63" s="1"/>
  <c r="F376" i="67"/>
  <c r="D376" i="67"/>
  <c r="O364" i="83"/>
  <c r="P421" i="83" s="1"/>
  <c r="K367" i="83"/>
  <c r="L424" i="83" s="1"/>
  <c r="A154" i="15"/>
  <c r="I162" i="15" s="1"/>
  <c r="C19" i="11"/>
  <c r="D142" i="11"/>
  <c r="F142" i="11"/>
  <c r="E332" i="39"/>
  <c r="N7" i="39"/>
  <c r="A282" i="39" s="1"/>
  <c r="K7" i="39"/>
  <c r="F204" i="31"/>
  <c r="D204" i="31"/>
  <c r="E248" i="27"/>
  <c r="N9" i="27"/>
  <c r="A228" i="27" s="1"/>
  <c r="A152" i="23"/>
  <c r="I160" i="23" s="1"/>
  <c r="E167" i="11"/>
  <c r="N6" i="11"/>
  <c r="A142" i="11" s="1"/>
  <c r="K8" i="37"/>
  <c r="A152" i="17"/>
  <c r="I160" i="17" s="1"/>
  <c r="E59" i="17"/>
  <c r="I69" i="17" s="1"/>
  <c r="E57" i="17"/>
  <c r="C63" i="17"/>
  <c r="C111" i="33"/>
  <c r="D144" i="33" s="1"/>
  <c r="C112" i="33"/>
  <c r="D145" i="33" s="1"/>
  <c r="J161" i="45"/>
  <c r="K200" i="45" s="1"/>
  <c r="F158" i="9"/>
  <c r="D158" i="9"/>
  <c r="L245" i="37"/>
  <c r="A179" i="23"/>
  <c r="A185" i="23" s="1"/>
  <c r="K221" i="69"/>
  <c r="L266" i="69" s="1"/>
  <c r="K206" i="2"/>
  <c r="L251" i="2" s="1"/>
  <c r="L196" i="2"/>
  <c r="M241" i="2" s="1"/>
  <c r="M204" i="2"/>
  <c r="N249" i="2" s="1"/>
  <c r="H206" i="2"/>
  <c r="I251" i="2" s="1"/>
  <c r="J222" i="69"/>
  <c r="K267" i="69" s="1"/>
  <c r="E532" i="75"/>
  <c r="N11" i="75"/>
  <c r="A478" i="75" s="1"/>
  <c r="K164" i="51"/>
  <c r="L203" i="51" s="1"/>
  <c r="F167" i="51"/>
  <c r="G206" i="51" s="1"/>
  <c r="K218" i="37"/>
  <c r="A228" i="37" s="1"/>
  <c r="A238" i="37" s="1"/>
  <c r="E40" i="17"/>
  <c r="E42" i="17"/>
  <c r="G50" i="17" s="1"/>
  <c r="E48" i="17"/>
  <c r="K9" i="85"/>
  <c r="I9" i="85"/>
  <c r="E249" i="31"/>
  <c r="K10" i="31"/>
  <c r="N10" i="31"/>
  <c r="A236" i="31" s="1"/>
  <c r="E24" i="25"/>
  <c r="E30" i="25" s="1"/>
  <c r="E22" i="25"/>
  <c r="B23" i="25"/>
  <c r="B163" i="53"/>
  <c r="C202" i="53" s="1"/>
  <c r="C220" i="33"/>
  <c r="E220" i="33"/>
  <c r="J163" i="51"/>
  <c r="K202" i="51" s="1"/>
  <c r="L36" i="76"/>
  <c r="M36" i="76"/>
  <c r="A281" i="69"/>
  <c r="M293" i="69" s="1"/>
  <c r="C230" i="65"/>
  <c r="D275" i="65" s="1"/>
  <c r="I279" i="73"/>
  <c r="A280" i="73"/>
  <c r="M292" i="73" s="1"/>
  <c r="E236" i="23"/>
  <c r="C236" i="23"/>
  <c r="G107" i="19"/>
  <c r="H140" i="19" s="1"/>
  <c r="J9" i="19"/>
  <c r="F166" i="37"/>
  <c r="G205" i="37" s="1"/>
  <c r="J160" i="37"/>
  <c r="K199" i="37" s="1"/>
  <c r="K221" i="67"/>
  <c r="L266" i="67" s="1"/>
  <c r="G229" i="67"/>
  <c r="H274" i="67" s="1"/>
  <c r="E335" i="53"/>
  <c r="N10" i="53"/>
  <c r="A306" i="53" s="1"/>
  <c r="K10" i="53"/>
  <c r="L219" i="61"/>
  <c r="M264" i="61" s="1"/>
  <c r="D225" i="55"/>
  <c r="E270" i="55" s="1"/>
  <c r="D226" i="55"/>
  <c r="E271" i="55" s="1"/>
  <c r="I221" i="55"/>
  <c r="J266" i="55" s="1"/>
  <c r="M288" i="77"/>
  <c r="N339" i="77" s="1"/>
  <c r="E230" i="69"/>
  <c r="F275" i="69" s="1"/>
  <c r="E428" i="71"/>
  <c r="N9" i="71"/>
  <c r="A376" i="71" s="1"/>
  <c r="K9" i="71"/>
  <c r="H439" i="83"/>
  <c r="G439" i="83"/>
  <c r="F439" i="83"/>
  <c r="E439" i="83"/>
  <c r="D439" i="83"/>
  <c r="Q445" i="83"/>
  <c r="A461" i="83" s="1"/>
  <c r="A477" i="83" s="1"/>
  <c r="J439" i="83"/>
  <c r="R448" i="83"/>
  <c r="R440" i="83"/>
  <c r="I439" i="83"/>
  <c r="Q448" i="83"/>
  <c r="A464" i="83" s="1"/>
  <c r="A480" i="83" s="1"/>
  <c r="Q440" i="83"/>
  <c r="A456" i="83" s="1"/>
  <c r="A472" i="83" s="1"/>
  <c r="C439" i="83"/>
  <c r="R451" i="83"/>
  <c r="R443" i="83"/>
  <c r="Q451" i="83"/>
  <c r="A467" i="83" s="1"/>
  <c r="A483" i="83" s="1"/>
  <c r="Q443" i="83"/>
  <c r="A459" i="83" s="1"/>
  <c r="A475" i="83" s="1"/>
  <c r="Q449" i="83"/>
  <c r="A465" i="83" s="1"/>
  <c r="A481" i="83" s="1"/>
  <c r="Q441" i="83"/>
  <c r="A457" i="83" s="1"/>
  <c r="A473" i="83" s="1"/>
  <c r="R450" i="83"/>
  <c r="R445" i="83"/>
  <c r="Q442" i="83"/>
  <c r="A458" i="83" s="1"/>
  <c r="A474" i="83" s="1"/>
  <c r="N439" i="83"/>
  <c r="M439" i="83"/>
  <c r="L439" i="83"/>
  <c r="R447" i="83"/>
  <c r="R444" i="83"/>
  <c r="K439" i="83"/>
  <c r="Q450" i="83"/>
  <c r="A466" i="83" s="1"/>
  <c r="A482" i="83" s="1"/>
  <c r="Q447" i="83"/>
  <c r="A463" i="83" s="1"/>
  <c r="A479" i="83" s="1"/>
  <c r="Q444" i="83"/>
  <c r="A460" i="83" s="1"/>
  <c r="A476" i="83" s="1"/>
  <c r="R441" i="83"/>
  <c r="R449" i="83"/>
  <c r="Q446" i="83"/>
  <c r="A462" i="83" s="1"/>
  <c r="A478" i="83" s="1"/>
  <c r="R452" i="83"/>
  <c r="Q452" i="83"/>
  <c r="A468" i="83" s="1"/>
  <c r="A484" i="83" s="1"/>
  <c r="R442" i="83"/>
  <c r="O439" i="83"/>
  <c r="R446" i="83"/>
  <c r="E430" i="55"/>
  <c r="N11" i="55"/>
  <c r="A392" i="55" s="1"/>
  <c r="K11" i="55"/>
  <c r="J15" i="79"/>
  <c r="J172" i="85"/>
  <c r="F170" i="85"/>
  <c r="G170" i="85"/>
  <c r="E170" i="85"/>
  <c r="D170" i="85"/>
  <c r="J175" i="85"/>
  <c r="J173" i="85"/>
  <c r="J174" i="85"/>
  <c r="I173" i="85"/>
  <c r="A181" i="85" s="1"/>
  <c r="A189" i="85" s="1"/>
  <c r="E429" i="55"/>
  <c r="N10" i="55"/>
  <c r="A384" i="55" s="1"/>
  <c r="K10" i="55"/>
  <c r="K11" i="87"/>
  <c r="M30" i="30"/>
  <c r="L30" i="30"/>
  <c r="E245" i="29"/>
  <c r="N6" i="29"/>
  <c r="A204" i="29" s="1"/>
  <c r="A156" i="15"/>
  <c r="I164" i="15" s="1"/>
  <c r="H228" i="71"/>
  <c r="I273" i="71" s="1"/>
  <c r="B224" i="71"/>
  <c r="C269" i="71" s="1"/>
  <c r="H227" i="71"/>
  <c r="I272" i="71" s="1"/>
  <c r="B225" i="71"/>
  <c r="C270" i="71" s="1"/>
  <c r="H222" i="71"/>
  <c r="I267" i="71" s="1"/>
  <c r="I9" i="29"/>
  <c r="J7" i="39"/>
  <c r="F151" i="25"/>
  <c r="G151" i="25"/>
  <c r="J153" i="25"/>
  <c r="I152" i="25"/>
  <c r="A160" i="25" s="1"/>
  <c r="A168" i="25" s="1"/>
  <c r="J152" i="25"/>
  <c r="J156" i="25"/>
  <c r="J155" i="25"/>
  <c r="E151" i="25"/>
  <c r="I155" i="25"/>
  <c r="A163" i="25" s="1"/>
  <c r="A171" i="25" s="1"/>
  <c r="I156" i="25"/>
  <c r="A164" i="25" s="1"/>
  <c r="A172" i="25" s="1"/>
  <c r="D151" i="25"/>
  <c r="J154" i="25"/>
  <c r="I154" i="25"/>
  <c r="A162" i="25" s="1"/>
  <c r="A170" i="25" s="1"/>
  <c r="I153" i="25"/>
  <c r="A161" i="25" s="1"/>
  <c r="A169" i="25" s="1"/>
  <c r="C151" i="25"/>
  <c r="G165" i="39"/>
  <c r="H204" i="39" s="1"/>
  <c r="J9" i="27"/>
  <c r="D113" i="27"/>
  <c r="E146" i="27" s="1"/>
  <c r="D191" i="23"/>
  <c r="D192" i="23"/>
  <c r="D190" i="23"/>
  <c r="B111" i="23"/>
  <c r="C144" i="23" s="1"/>
  <c r="J6" i="11"/>
  <c r="E426" i="67"/>
  <c r="N7" i="67"/>
  <c r="A360" i="67" s="1"/>
  <c r="K7" i="67"/>
  <c r="M33" i="88"/>
  <c r="L33" i="88"/>
  <c r="D178" i="23"/>
  <c r="E178" i="23"/>
  <c r="A178" i="23"/>
  <c r="A184" i="23" s="1"/>
  <c r="C229" i="69"/>
  <c r="D274" i="69" s="1"/>
  <c r="E204" i="2"/>
  <c r="F249" i="2" s="1"/>
  <c r="I197" i="2"/>
  <c r="J242" i="2" s="1"/>
  <c r="J200" i="2"/>
  <c r="K245" i="2" s="1"/>
  <c r="C204" i="2"/>
  <c r="D249" i="2" s="1"/>
  <c r="E206" i="2"/>
  <c r="F251" i="2" s="1"/>
  <c r="L207" i="2"/>
  <c r="M252" i="2" s="1"/>
  <c r="E335" i="39"/>
  <c r="N10" i="39"/>
  <c r="A306" i="39" s="1"/>
  <c r="K10" i="39"/>
  <c r="L222" i="69"/>
  <c r="M267" i="69" s="1"/>
  <c r="A152" i="19"/>
  <c r="I160" i="19" s="1"/>
  <c r="C163" i="51"/>
  <c r="D202" i="51" s="1"/>
  <c r="L218" i="37"/>
  <c r="C163" i="47"/>
  <c r="D202" i="47" s="1"/>
  <c r="B168" i="47"/>
  <c r="C207" i="47" s="1"/>
  <c r="G160" i="47"/>
  <c r="H199" i="47" s="1"/>
  <c r="C39" i="19"/>
  <c r="B39" i="19"/>
  <c r="C212" i="19"/>
  <c r="E212" i="19"/>
  <c r="K218" i="45"/>
  <c r="A228" i="45" s="1"/>
  <c r="A238" i="45" s="1"/>
  <c r="L218" i="45"/>
  <c r="L216" i="45"/>
  <c r="H211" i="45"/>
  <c r="K216" i="45"/>
  <c r="A226" i="45" s="1"/>
  <c r="A236" i="45" s="1"/>
  <c r="G211" i="45"/>
  <c r="F211" i="45"/>
  <c r="L214" i="45"/>
  <c r="K212" i="45"/>
  <c r="A222" i="45" s="1"/>
  <c r="A232" i="45" s="1"/>
  <c r="K214" i="45"/>
  <c r="A224" i="45" s="1"/>
  <c r="A234" i="45" s="1"/>
  <c r="L213" i="45"/>
  <c r="D211" i="45"/>
  <c r="L217" i="45"/>
  <c r="K217" i="45"/>
  <c r="A227" i="45" s="1"/>
  <c r="A237" i="45" s="1"/>
  <c r="I211" i="45"/>
  <c r="E211" i="45"/>
  <c r="C211" i="45"/>
  <c r="L215" i="45"/>
  <c r="K213" i="45"/>
  <c r="A223" i="45" s="1"/>
  <c r="A233" i="45" s="1"/>
  <c r="K215" i="45"/>
  <c r="A225" i="45" s="1"/>
  <c r="A235" i="45" s="1"/>
  <c r="L212" i="45"/>
  <c r="J10" i="31"/>
  <c r="B167" i="53"/>
  <c r="C206" i="53" s="1"/>
  <c r="H164" i="53"/>
  <c r="I203" i="53" s="1"/>
  <c r="E247" i="33"/>
  <c r="N8" i="33"/>
  <c r="A220" i="33" s="1"/>
  <c r="F236" i="23"/>
  <c r="D236" i="23"/>
  <c r="H230" i="65"/>
  <c r="I275" i="65" s="1"/>
  <c r="J279" i="73"/>
  <c r="K279" i="73"/>
  <c r="I297" i="79"/>
  <c r="J348" i="79" s="1"/>
  <c r="E249" i="23"/>
  <c r="N10" i="23"/>
  <c r="A236" i="23" s="1"/>
  <c r="C111" i="19"/>
  <c r="D144" i="19" s="1"/>
  <c r="F160" i="37"/>
  <c r="G199" i="37" s="1"/>
  <c r="K220" i="67"/>
  <c r="L265" i="67" s="1"/>
  <c r="K299" i="79"/>
  <c r="L350" i="79" s="1"/>
  <c r="K224" i="61"/>
  <c r="L269" i="61" s="1"/>
  <c r="E226" i="55"/>
  <c r="F271" i="55" s="1"/>
  <c r="B224" i="55"/>
  <c r="C269" i="55" s="1"/>
  <c r="M287" i="77"/>
  <c r="N338" i="77" s="1"/>
  <c r="K294" i="77"/>
  <c r="L345" i="77" s="1"/>
  <c r="C376" i="71"/>
  <c r="E376" i="71"/>
  <c r="E496" i="93"/>
  <c r="N15" i="93"/>
  <c r="A470" i="93" s="1"/>
  <c r="K15" i="93"/>
  <c r="R491" i="83"/>
  <c r="R489" i="83"/>
  <c r="R490" i="83"/>
  <c r="C392" i="55"/>
  <c r="E392" i="55"/>
  <c r="A198" i="85"/>
  <c r="A204" i="85" s="1"/>
  <c r="C230" i="55"/>
  <c r="D275" i="55" s="1"/>
  <c r="J223" i="73"/>
  <c r="K268" i="73" s="1"/>
  <c r="N8" i="53"/>
  <c r="A290" i="53" s="1"/>
  <c r="E333" i="53"/>
  <c r="J8" i="53"/>
  <c r="K8" i="53"/>
  <c r="J220" i="63"/>
  <c r="K265" i="63" s="1"/>
  <c r="K363" i="83"/>
  <c r="L420" i="83" s="1"/>
  <c r="E282" i="45"/>
  <c r="C282" i="45"/>
  <c r="F159" i="47"/>
  <c r="G198" i="47" s="1"/>
  <c r="E332" i="37"/>
  <c r="K7" i="37"/>
  <c r="N7" i="37"/>
  <c r="A282" i="37" s="1"/>
  <c r="L244" i="45"/>
  <c r="L245" i="45"/>
  <c r="L243" i="45"/>
  <c r="F376" i="55"/>
  <c r="C94" i="55"/>
  <c r="D376" i="55"/>
  <c r="E426" i="61"/>
  <c r="N7" i="61"/>
  <c r="A360" i="61" s="1"/>
  <c r="E487" i="93"/>
  <c r="K6" i="93"/>
  <c r="C34" i="93" s="1"/>
  <c r="N6" i="93"/>
  <c r="A398" i="93" s="1"/>
  <c r="D337" i="69"/>
  <c r="D335" i="69"/>
  <c r="D334" i="69"/>
  <c r="M29" i="72"/>
  <c r="L29" i="72"/>
  <c r="A283" i="73"/>
  <c r="M295" i="73" s="1"/>
  <c r="M30" i="38"/>
  <c r="L30" i="38"/>
  <c r="E230" i="67"/>
  <c r="F275" i="67" s="1"/>
  <c r="B226" i="67"/>
  <c r="C271" i="67" s="1"/>
  <c r="B227" i="67"/>
  <c r="C272" i="67" s="1"/>
  <c r="L224" i="67"/>
  <c r="M269" i="67" s="1"/>
  <c r="H287" i="79"/>
  <c r="I338" i="79" s="1"/>
  <c r="L225" i="65"/>
  <c r="M270" i="65" s="1"/>
  <c r="H222" i="55"/>
  <c r="I267" i="55" s="1"/>
  <c r="F228" i="55"/>
  <c r="G273" i="55" s="1"/>
  <c r="N287" i="77"/>
  <c r="O338" i="77" s="1"/>
  <c r="I296" i="77"/>
  <c r="J347" i="77" s="1"/>
  <c r="B293" i="77"/>
  <c r="C344" i="77" s="1"/>
  <c r="N290" i="77"/>
  <c r="O341" i="77" s="1"/>
  <c r="N295" i="77"/>
  <c r="O346" i="77" s="1"/>
  <c r="E537" i="75"/>
  <c r="N16" i="75"/>
  <c r="A518" i="75" s="1"/>
  <c r="E646" i="81"/>
  <c r="N15" i="81"/>
  <c r="A604" i="81" s="1"/>
  <c r="K15" i="81"/>
  <c r="E416" i="61"/>
  <c r="C416" i="61"/>
  <c r="C198" i="61"/>
  <c r="B198" i="61"/>
  <c r="H223" i="61"/>
  <c r="I268" i="61" s="1"/>
  <c r="B229" i="63"/>
  <c r="C274" i="63" s="1"/>
  <c r="D372" i="91"/>
  <c r="F372" i="91"/>
  <c r="C164" i="91"/>
  <c r="M35" i="56"/>
  <c r="L35" i="56"/>
  <c r="E224" i="69"/>
  <c r="F269" i="69" s="1"/>
  <c r="N6" i="57"/>
  <c r="A352" i="57" s="1"/>
  <c r="E425" i="57"/>
  <c r="K6" i="57"/>
  <c r="C164" i="51"/>
  <c r="D203" i="51" s="1"/>
  <c r="D195" i="19"/>
  <c r="D191" i="19"/>
  <c r="D190" i="19"/>
  <c r="E245" i="31"/>
  <c r="N6" i="31"/>
  <c r="A204" i="31" s="1"/>
  <c r="F160" i="47"/>
  <c r="G199" i="47" s="1"/>
  <c r="B164" i="47"/>
  <c r="C203" i="47" s="1"/>
  <c r="J7" i="37"/>
  <c r="C51" i="61"/>
  <c r="E360" i="61"/>
  <c r="C360" i="61"/>
  <c r="E247" i="31"/>
  <c r="K8" i="31"/>
  <c r="N8" i="31"/>
  <c r="A220" i="31" s="1"/>
  <c r="N317" i="71"/>
  <c r="N318" i="71"/>
  <c r="N319" i="71"/>
  <c r="A287" i="73"/>
  <c r="M299" i="73" s="1"/>
  <c r="F376" i="61"/>
  <c r="D376" i="61"/>
  <c r="C94" i="61"/>
  <c r="C236" i="19"/>
  <c r="C90" i="19"/>
  <c r="B90" i="19"/>
  <c r="E236" i="19"/>
  <c r="F298" i="49"/>
  <c r="D298" i="49"/>
  <c r="B112" i="19"/>
  <c r="C145" i="19" s="1"/>
  <c r="K6" i="29"/>
  <c r="D400" i="67"/>
  <c r="F400" i="67"/>
  <c r="M223" i="67"/>
  <c r="N268" i="67" s="1"/>
  <c r="I219" i="67"/>
  <c r="J264" i="67" s="1"/>
  <c r="L221" i="67"/>
  <c r="M266" i="67" s="1"/>
  <c r="C229" i="67"/>
  <c r="D274" i="67" s="1"/>
  <c r="E335" i="43"/>
  <c r="N10" i="43"/>
  <c r="A306" i="43" s="1"/>
  <c r="K10" i="43"/>
  <c r="C102" i="43" s="1"/>
  <c r="E334" i="53"/>
  <c r="N9" i="53"/>
  <c r="A298" i="53" s="1"/>
  <c r="K9" i="53"/>
  <c r="G226" i="61"/>
  <c r="H271" i="61" s="1"/>
  <c r="I223" i="61"/>
  <c r="J268" i="61" s="1"/>
  <c r="I219" i="55"/>
  <c r="J264" i="55" s="1"/>
  <c r="E300" i="77"/>
  <c r="F351" i="77" s="1"/>
  <c r="C292" i="77"/>
  <c r="D343" i="77" s="1"/>
  <c r="E518" i="75"/>
  <c r="C518" i="75"/>
  <c r="C264" i="75"/>
  <c r="B264" i="75"/>
  <c r="L266" i="93"/>
  <c r="M311" i="93" s="1"/>
  <c r="H276" i="93"/>
  <c r="I321" i="93" s="1"/>
  <c r="A628" i="83"/>
  <c r="C339" i="83"/>
  <c r="I13" i="93"/>
  <c r="N6" i="89"/>
  <c r="A295" i="89" s="1"/>
  <c r="E360" i="89"/>
  <c r="D416" i="61"/>
  <c r="C199" i="61"/>
  <c r="F416" i="61"/>
  <c r="D93" i="55"/>
  <c r="D95" i="55"/>
  <c r="L109" i="55" s="1"/>
  <c r="H220" i="55"/>
  <c r="I265" i="55" s="1"/>
  <c r="L220" i="73"/>
  <c r="M265" i="73" s="1"/>
  <c r="E522" i="97"/>
  <c r="N10" i="97"/>
  <c r="A453" i="97" s="1"/>
  <c r="K10" i="97"/>
  <c r="M288" i="57"/>
  <c r="A300" i="57" s="1"/>
  <c r="A312" i="57" s="1"/>
  <c r="K279" i="57"/>
  <c r="N286" i="57"/>
  <c r="J279" i="57"/>
  <c r="M286" i="57"/>
  <c r="A298" i="57" s="1"/>
  <c r="A310" i="57" s="1"/>
  <c r="D341" i="57" s="1"/>
  <c r="I279" i="57"/>
  <c r="H279" i="57"/>
  <c r="H284" i="57" s="1"/>
  <c r="M287" i="57"/>
  <c r="A299" i="57" s="1"/>
  <c r="A311" i="57" s="1"/>
  <c r="N287" i="57"/>
  <c r="N288" i="57"/>
  <c r="N285" i="57"/>
  <c r="M285" i="57"/>
  <c r="A297" i="57" s="1"/>
  <c r="A309" i="57" s="1"/>
  <c r="D335" i="57" s="1"/>
  <c r="E430" i="57"/>
  <c r="N11" i="57"/>
  <c r="A392" i="57" s="1"/>
  <c r="K11" i="57"/>
  <c r="C49" i="91"/>
  <c r="B49" i="91"/>
  <c r="E324" i="91"/>
  <c r="C324" i="91"/>
  <c r="E349" i="111"/>
  <c r="C349" i="111"/>
  <c r="D462" i="99"/>
  <c r="F462" i="99"/>
  <c r="G220" i="57"/>
  <c r="H265" i="57" s="1"/>
  <c r="A243" i="39"/>
  <c r="A251" i="39" s="1"/>
  <c r="M31" i="42"/>
  <c r="L31" i="42"/>
  <c r="C65" i="45"/>
  <c r="F290" i="45"/>
  <c r="D290" i="45"/>
  <c r="G219" i="65"/>
  <c r="H264" i="65" s="1"/>
  <c r="E286" i="73"/>
  <c r="A286" i="73"/>
  <c r="M298" i="73" s="1"/>
  <c r="E638" i="81"/>
  <c r="N7" i="81"/>
  <c r="A540" i="81" s="1"/>
  <c r="K7" i="81"/>
  <c r="H110" i="25"/>
  <c r="I143" i="25" s="1"/>
  <c r="C225" i="67"/>
  <c r="D270" i="67" s="1"/>
  <c r="F470" i="75"/>
  <c r="D470" i="75"/>
  <c r="J224" i="55"/>
  <c r="K269" i="55" s="1"/>
  <c r="K223" i="55"/>
  <c r="L268" i="55" s="1"/>
  <c r="M265" i="93"/>
  <c r="N310" i="93" s="1"/>
  <c r="L272" i="93"/>
  <c r="M317" i="93" s="1"/>
  <c r="E628" i="83"/>
  <c r="C628" i="83"/>
  <c r="C338" i="83"/>
  <c r="B338" i="83"/>
  <c r="J6" i="89"/>
  <c r="K10" i="111"/>
  <c r="I10" i="111"/>
  <c r="C93" i="55"/>
  <c r="J10" i="97"/>
  <c r="D437" i="97"/>
  <c r="F437" i="97"/>
  <c r="D405" i="111"/>
  <c r="F405" i="111"/>
  <c r="D319" i="57"/>
  <c r="A319" i="57"/>
  <c r="A329" i="57" s="1"/>
  <c r="J11" i="57"/>
  <c r="N388" i="97"/>
  <c r="N7" i="113"/>
  <c r="A228" i="113" s="1"/>
  <c r="E270" i="113"/>
  <c r="J7" i="113"/>
  <c r="C230" i="63"/>
  <c r="D275" i="63" s="1"/>
  <c r="L221" i="63"/>
  <c r="M266" i="63" s="1"/>
  <c r="M34" i="70"/>
  <c r="L34" i="70"/>
  <c r="M201" i="2"/>
  <c r="N246" i="2" s="1"/>
  <c r="B207" i="2"/>
  <c r="C252" i="2" s="1"/>
  <c r="J205" i="2"/>
  <c r="K250" i="2" s="1"/>
  <c r="M205" i="2"/>
  <c r="N250" i="2" s="1"/>
  <c r="K203" i="2"/>
  <c r="L248" i="2" s="1"/>
  <c r="I155" i="33"/>
  <c r="A163" i="33" s="1"/>
  <c r="A171" i="33" s="1"/>
  <c r="J156" i="33"/>
  <c r="J155" i="33"/>
  <c r="I153" i="33"/>
  <c r="A161" i="33" s="1"/>
  <c r="A169" i="33" s="1"/>
  <c r="C151" i="33"/>
  <c r="G151" i="33"/>
  <c r="J154" i="33"/>
  <c r="I156" i="33"/>
  <c r="A164" i="33" s="1"/>
  <c r="A172" i="33" s="1"/>
  <c r="F151" i="33"/>
  <c r="D151" i="33"/>
  <c r="I152" i="33"/>
  <c r="A160" i="33" s="1"/>
  <c r="A168" i="33" s="1"/>
  <c r="I154" i="33"/>
  <c r="A162" i="33" s="1"/>
  <c r="A170" i="33" s="1"/>
  <c r="E151" i="33"/>
  <c r="J152" i="33"/>
  <c r="J153" i="33"/>
  <c r="C27" i="47"/>
  <c r="D274" i="47"/>
  <c r="F274" i="47"/>
  <c r="K225" i="69"/>
  <c r="L270" i="69" s="1"/>
  <c r="B163" i="51"/>
  <c r="C202" i="51" s="1"/>
  <c r="A153" i="19"/>
  <c r="I161" i="19" s="1"/>
  <c r="L213" i="37"/>
  <c r="D204" i="25"/>
  <c r="C23" i="25"/>
  <c r="F204" i="25"/>
  <c r="M288" i="73"/>
  <c r="A300" i="73" s="1"/>
  <c r="A312" i="73" s="1"/>
  <c r="F207" i="109"/>
  <c r="D207" i="109"/>
  <c r="B111" i="19"/>
  <c r="C144" i="19" s="1"/>
  <c r="E113" i="25"/>
  <c r="F146" i="25" s="1"/>
  <c r="H109" i="25"/>
  <c r="I142" i="25" s="1"/>
  <c r="M33" i="34"/>
  <c r="L33" i="34"/>
  <c r="E334" i="35"/>
  <c r="N9" i="35"/>
  <c r="A298" i="35" s="1"/>
  <c r="J9" i="35"/>
  <c r="F290" i="39"/>
  <c r="D290" i="39"/>
  <c r="M29" i="56"/>
  <c r="L29" i="56"/>
  <c r="E227" i="67"/>
  <c r="F272" i="67" s="1"/>
  <c r="K219" i="67"/>
  <c r="L264" i="67" s="1"/>
  <c r="M219" i="67"/>
  <c r="N264" i="67" s="1"/>
  <c r="J222" i="67"/>
  <c r="K267" i="67" s="1"/>
  <c r="D229" i="67"/>
  <c r="E274" i="67" s="1"/>
  <c r="E337" i="51"/>
  <c r="N12" i="51"/>
  <c r="A322" i="51" s="1"/>
  <c r="J12" i="51"/>
  <c r="D294" i="79"/>
  <c r="E345" i="79" s="1"/>
  <c r="I227" i="55"/>
  <c r="J272" i="55" s="1"/>
  <c r="J294" i="77"/>
  <c r="K345" i="77" s="1"/>
  <c r="O289" i="77"/>
  <c r="P340" i="77" s="1"/>
  <c r="H269" i="93"/>
  <c r="I314" i="93" s="1"/>
  <c r="B98" i="99"/>
  <c r="E99" i="99"/>
  <c r="M113" i="99" s="1"/>
  <c r="E97" i="99"/>
  <c r="K111" i="99"/>
  <c r="E225" i="55"/>
  <c r="F270" i="55" s="1"/>
  <c r="C437" i="97"/>
  <c r="E437" i="97"/>
  <c r="E158" i="9"/>
  <c r="C158" i="9"/>
  <c r="C229" i="63"/>
  <c r="D274" i="63" s="1"/>
  <c r="L220" i="63"/>
  <c r="M265" i="63" s="1"/>
  <c r="E230" i="63"/>
  <c r="F275" i="63" s="1"/>
  <c r="E425" i="67"/>
  <c r="K6" i="67"/>
  <c r="N6" i="67"/>
  <c r="D478" i="77"/>
  <c r="F478" i="77"/>
  <c r="G108" i="33"/>
  <c r="H141" i="33" s="1"/>
  <c r="K161" i="45"/>
  <c r="L200" i="45" s="1"/>
  <c r="P400" i="75"/>
  <c r="P401" i="75"/>
  <c r="P399" i="75"/>
  <c r="L28" i="26"/>
  <c r="M28" i="26"/>
  <c r="F245" i="47"/>
  <c r="A245" i="47"/>
  <c r="A253" i="47" s="1"/>
  <c r="D596" i="83"/>
  <c r="F596" i="83"/>
  <c r="K222" i="69"/>
  <c r="L267" i="69" s="1"/>
  <c r="B202" i="2"/>
  <c r="C247" i="2" s="1"/>
  <c r="J197" i="2"/>
  <c r="K242" i="2" s="1"/>
  <c r="I196" i="2"/>
  <c r="J241" i="2" s="1"/>
  <c r="L204" i="2"/>
  <c r="M249" i="2" s="1"/>
  <c r="B205" i="2"/>
  <c r="C250" i="2" s="1"/>
  <c r="C205" i="2"/>
  <c r="D250" i="2" s="1"/>
  <c r="C384" i="61"/>
  <c r="B114" i="61"/>
  <c r="E384" i="61"/>
  <c r="C114" i="61"/>
  <c r="M30" i="66"/>
  <c r="L30" i="66"/>
  <c r="D227" i="69"/>
  <c r="E272" i="69" s="1"/>
  <c r="I222" i="73"/>
  <c r="J267" i="73" s="1"/>
  <c r="F572" i="83"/>
  <c r="D572" i="83"/>
  <c r="A179" i="29"/>
  <c r="A185" i="29" s="1"/>
  <c r="K215" i="37"/>
  <c r="A225" i="37" s="1"/>
  <c r="A235" i="37" s="1"/>
  <c r="G159" i="47"/>
  <c r="H198" i="47" s="1"/>
  <c r="H164" i="47"/>
  <c r="I203" i="47" s="1"/>
  <c r="E425" i="59"/>
  <c r="N6" i="59"/>
  <c r="A352" i="59" s="1"/>
  <c r="K6" i="59"/>
  <c r="E431" i="61"/>
  <c r="N12" i="61"/>
  <c r="A400" i="61" s="1"/>
  <c r="K12" i="61"/>
  <c r="A243" i="51"/>
  <c r="A251" i="51" s="1"/>
  <c r="E243" i="51"/>
  <c r="H297" i="79"/>
  <c r="I348" i="79" s="1"/>
  <c r="C64" i="41"/>
  <c r="B64" i="41"/>
  <c r="C290" i="41"/>
  <c r="E290" i="41"/>
  <c r="F151" i="29"/>
  <c r="J155" i="29"/>
  <c r="D151" i="29"/>
  <c r="I155" i="29"/>
  <c r="A163" i="29" s="1"/>
  <c r="A171" i="29" s="1"/>
  <c r="E151" i="29"/>
  <c r="C168" i="53"/>
  <c r="D207" i="53" s="1"/>
  <c r="C163" i="53"/>
  <c r="D202" i="53" s="1"/>
  <c r="E331" i="45"/>
  <c r="N6" i="45"/>
  <c r="A274" i="45" s="1"/>
  <c r="K6" i="45"/>
  <c r="E274" i="37"/>
  <c r="C274" i="37"/>
  <c r="K9" i="31"/>
  <c r="E336" i="43"/>
  <c r="N11" i="43"/>
  <c r="A314" i="43" s="1"/>
  <c r="K11" i="43"/>
  <c r="A282" i="69"/>
  <c r="M294" i="69" s="1"/>
  <c r="E280" i="69"/>
  <c r="D280" i="69"/>
  <c r="A280" i="69"/>
  <c r="M292" i="69" s="1"/>
  <c r="F227" i="65"/>
  <c r="G272" i="65" s="1"/>
  <c r="I6" i="81"/>
  <c r="J6" i="81" s="1"/>
  <c r="C45" i="15"/>
  <c r="N11" i="37"/>
  <c r="A314" i="37" s="1"/>
  <c r="E336" i="37"/>
  <c r="K9" i="35"/>
  <c r="A119" i="11"/>
  <c r="A123" i="11" s="1"/>
  <c r="E431" i="67"/>
  <c r="N12" i="67"/>
  <c r="A400" i="67" s="1"/>
  <c r="L222" i="67"/>
  <c r="M267" i="67" s="1"/>
  <c r="M221" i="67"/>
  <c r="N266" i="67" s="1"/>
  <c r="K12" i="51"/>
  <c r="E294" i="79"/>
  <c r="F345" i="79" s="1"/>
  <c r="E336" i="49"/>
  <c r="N11" i="49"/>
  <c r="A314" i="49" s="1"/>
  <c r="K11" i="49"/>
  <c r="K225" i="63"/>
  <c r="L270" i="63" s="1"/>
  <c r="F228" i="61"/>
  <c r="G273" i="61" s="1"/>
  <c r="I230" i="61"/>
  <c r="J275" i="61" s="1"/>
  <c r="G228" i="55"/>
  <c r="H273" i="55" s="1"/>
  <c r="N7" i="63"/>
  <c r="A360" i="63" s="1"/>
  <c r="E426" i="63"/>
  <c r="K7" i="63"/>
  <c r="F239" i="95"/>
  <c r="D239" i="95"/>
  <c r="E535" i="75"/>
  <c r="N14" i="75"/>
  <c r="A502" i="75" s="1"/>
  <c r="J14" i="75"/>
  <c r="K11" i="75"/>
  <c r="A152" i="105"/>
  <c r="H159" i="105" s="1"/>
  <c r="E276" i="85"/>
  <c r="N10" i="85"/>
  <c r="A255" i="85" s="1"/>
  <c r="K10" i="85"/>
  <c r="F322" i="47"/>
  <c r="D322" i="47"/>
  <c r="H275" i="99"/>
  <c r="I320" i="99" s="1"/>
  <c r="B226" i="55"/>
  <c r="C271" i="55" s="1"/>
  <c r="F244" i="113"/>
  <c r="D244" i="113"/>
  <c r="A179" i="15"/>
  <c r="A185" i="15" s="1"/>
  <c r="E249" i="33"/>
  <c r="N10" i="33"/>
  <c r="A236" i="33" s="1"/>
  <c r="C224" i="71"/>
  <c r="D269" i="71" s="1"/>
  <c r="I7" i="41"/>
  <c r="J7" i="41" s="1"/>
  <c r="B39" i="21"/>
  <c r="C212" i="21"/>
  <c r="C39" i="21"/>
  <c r="E212" i="21"/>
  <c r="A153" i="23"/>
  <c r="I161" i="23" s="1"/>
  <c r="E433" i="59"/>
  <c r="N14" i="59"/>
  <c r="A416" i="59" s="1"/>
  <c r="N10" i="65"/>
  <c r="A384" i="65" s="1"/>
  <c r="E429" i="65"/>
  <c r="K10" i="65"/>
  <c r="C114" i="65" s="1"/>
  <c r="K8" i="87"/>
  <c r="I8" i="87"/>
  <c r="E427" i="67"/>
  <c r="N8" i="67"/>
  <c r="A368" i="67" s="1"/>
  <c r="K8" i="77"/>
  <c r="K160" i="45"/>
  <c r="L199" i="45" s="1"/>
  <c r="E430" i="59"/>
  <c r="N11" i="59"/>
  <c r="K11" i="59"/>
  <c r="N12" i="71"/>
  <c r="A400" i="71" s="1"/>
  <c r="E431" i="71"/>
  <c r="K12" i="71"/>
  <c r="K6" i="23"/>
  <c r="F207" i="2"/>
  <c r="G252" i="2" s="1"/>
  <c r="M197" i="2"/>
  <c r="N242" i="2" s="1"/>
  <c r="K201" i="2"/>
  <c r="L246" i="2" s="1"/>
  <c r="D206" i="2"/>
  <c r="E251" i="2" s="1"/>
  <c r="G206" i="2"/>
  <c r="H251" i="2" s="1"/>
  <c r="J10" i="93"/>
  <c r="M293" i="79"/>
  <c r="N344" i="79" s="1"/>
  <c r="D274" i="37"/>
  <c r="F274" i="37"/>
  <c r="J6" i="59"/>
  <c r="J12" i="61"/>
  <c r="A245" i="51"/>
  <c r="A253" i="51" s="1"/>
  <c r="H245" i="51"/>
  <c r="I245" i="51"/>
  <c r="F438" i="75"/>
  <c r="D438" i="75"/>
  <c r="F290" i="41"/>
  <c r="D290" i="41"/>
  <c r="C65" i="41"/>
  <c r="F160" i="53"/>
  <c r="G199" i="53" s="1"/>
  <c r="K160" i="53"/>
  <c r="L199" i="53" s="1"/>
  <c r="I164" i="53"/>
  <c r="J203" i="53" s="1"/>
  <c r="D133" i="9"/>
  <c r="D135" i="9"/>
  <c r="D134" i="9"/>
  <c r="J6" i="45"/>
  <c r="N6" i="37"/>
  <c r="A274" i="37" s="1"/>
  <c r="E331" i="37"/>
  <c r="J11" i="43"/>
  <c r="I284" i="69"/>
  <c r="A284" i="69"/>
  <c r="M296" i="69" s="1"/>
  <c r="F228" i="65"/>
  <c r="G273" i="65" s="1"/>
  <c r="A281" i="73"/>
  <c r="M293" i="73" s="1"/>
  <c r="J12" i="65"/>
  <c r="E332" i="35"/>
  <c r="N7" i="35"/>
  <c r="A282" i="35" s="1"/>
  <c r="K7" i="35"/>
  <c r="C28" i="25"/>
  <c r="J11" i="37"/>
  <c r="K159" i="37"/>
  <c r="L198" i="37" s="1"/>
  <c r="E168" i="5"/>
  <c r="N7" i="5"/>
  <c r="A150" i="5" s="1"/>
  <c r="A121" i="11"/>
  <c r="A125" i="11" s="1"/>
  <c r="J12" i="67"/>
  <c r="L219" i="67"/>
  <c r="M264" i="67" s="1"/>
  <c r="C227" i="67"/>
  <c r="D272" i="67" s="1"/>
  <c r="F229" i="67"/>
  <c r="G274" i="67" s="1"/>
  <c r="G287" i="79"/>
  <c r="H338" i="79" s="1"/>
  <c r="J154" i="29"/>
  <c r="J11" i="49"/>
  <c r="C228" i="61"/>
  <c r="D273" i="61" s="1"/>
  <c r="G228" i="61"/>
  <c r="H273" i="61" s="1"/>
  <c r="N13" i="57"/>
  <c r="A408" i="57" s="1"/>
  <c r="E432" i="57"/>
  <c r="K13" i="57"/>
  <c r="C223" i="55"/>
  <c r="D268" i="55" s="1"/>
  <c r="J7" i="63"/>
  <c r="I295" i="77"/>
  <c r="J346" i="77" s="1"/>
  <c r="B297" i="77"/>
  <c r="C348" i="77" s="1"/>
  <c r="M266" i="93"/>
  <c r="N311" i="93" s="1"/>
  <c r="D99" i="99"/>
  <c r="L113" i="99" s="1"/>
  <c r="D97" i="99"/>
  <c r="J111" i="99"/>
  <c r="E245" i="17"/>
  <c r="N6" i="17"/>
  <c r="A204" i="17" s="1"/>
  <c r="K6" i="17"/>
  <c r="E535" i="77"/>
  <c r="N14" i="77"/>
  <c r="A502" i="77" s="1"/>
  <c r="K14" i="77"/>
  <c r="K14" i="75"/>
  <c r="H227" i="55"/>
  <c r="I272" i="55" s="1"/>
  <c r="J10" i="85"/>
  <c r="E393" i="91"/>
  <c r="N10" i="91"/>
  <c r="A348" i="91" s="1"/>
  <c r="K10" i="91"/>
  <c r="J7" i="71"/>
  <c r="M221" i="63"/>
  <c r="N266" i="63" s="1"/>
  <c r="J366" i="83"/>
  <c r="K423" i="83" s="1"/>
  <c r="C335" i="89"/>
  <c r="E335" i="89"/>
  <c r="F220" i="57"/>
  <c r="G265" i="57" s="1"/>
  <c r="C327" i="89"/>
  <c r="E327" i="89"/>
  <c r="E536" i="75"/>
  <c r="N15" i="75"/>
  <c r="A510" i="75" s="1"/>
  <c r="I8" i="63"/>
  <c r="E528" i="97"/>
  <c r="N16" i="97"/>
  <c r="A501" i="97" s="1"/>
  <c r="K16" i="97"/>
  <c r="E384" i="69"/>
  <c r="C384" i="69"/>
  <c r="B114" i="69"/>
  <c r="C371" i="83"/>
  <c r="D428" i="83" s="1"/>
  <c r="C375" i="83"/>
  <c r="D432" i="83" s="1"/>
  <c r="N371" i="83"/>
  <c r="O428" i="83" s="1"/>
  <c r="C368" i="83"/>
  <c r="D425" i="83" s="1"/>
  <c r="E369" i="83"/>
  <c r="F426" i="83" s="1"/>
  <c r="C596" i="83"/>
  <c r="E596" i="83"/>
  <c r="E223" i="109"/>
  <c r="C223" i="109"/>
  <c r="L213" i="41"/>
  <c r="L216" i="41"/>
  <c r="K216" i="41"/>
  <c r="A226" i="41" s="1"/>
  <c r="A236" i="41" s="1"/>
  <c r="I211" i="41"/>
  <c r="C211" i="41"/>
  <c r="L214" i="41"/>
  <c r="L212" i="41"/>
  <c r="K218" i="41"/>
  <c r="A228" i="41" s="1"/>
  <c r="A238" i="41" s="1"/>
  <c r="E211" i="41"/>
  <c r="K217" i="41"/>
  <c r="A227" i="41" s="1"/>
  <c r="A237" i="41" s="1"/>
  <c r="K213" i="41"/>
  <c r="A223" i="41" s="1"/>
  <c r="A233" i="41" s="1"/>
  <c r="L217" i="41"/>
  <c r="K212" i="41"/>
  <c r="A222" i="41" s="1"/>
  <c r="A232" i="41" s="1"/>
  <c r="H211" i="41"/>
  <c r="G211" i="41"/>
  <c r="D211" i="41"/>
  <c r="F211" i="41"/>
  <c r="L218" i="41"/>
  <c r="K214" i="41"/>
  <c r="A224" i="41" s="1"/>
  <c r="A234" i="41" s="1"/>
  <c r="L215" i="41"/>
  <c r="K215" i="41"/>
  <c r="A225" i="41" s="1"/>
  <c r="A235" i="41" s="1"/>
  <c r="C212" i="27"/>
  <c r="E212" i="27"/>
  <c r="C39" i="27"/>
  <c r="B39" i="27"/>
  <c r="E322" i="53"/>
  <c r="B140" i="53"/>
  <c r="C322" i="53"/>
  <c r="M29" i="96"/>
  <c r="L29" i="96"/>
  <c r="E432" i="71"/>
  <c r="J13" i="71"/>
  <c r="N13" i="71"/>
  <c r="A408" i="71" s="1"/>
  <c r="F352" i="73"/>
  <c r="D352" i="73"/>
  <c r="H221" i="57"/>
  <c r="I266" i="57" s="1"/>
  <c r="I221" i="73"/>
  <c r="J266" i="73" s="1"/>
  <c r="D30" i="63"/>
  <c r="D32" i="63"/>
  <c r="D38" i="63" s="1"/>
  <c r="B36" i="63"/>
  <c r="H279" i="59"/>
  <c r="N288" i="59"/>
  <c r="N284" i="59"/>
  <c r="N280" i="59"/>
  <c r="G279" i="59"/>
  <c r="M288" i="59"/>
  <c r="A300" i="59" s="1"/>
  <c r="A312" i="59" s="1"/>
  <c r="E279" i="59"/>
  <c r="D279" i="59"/>
  <c r="M284" i="59"/>
  <c r="A296" i="59" s="1"/>
  <c r="A308" i="59" s="1"/>
  <c r="M282" i="59"/>
  <c r="A294" i="59" s="1"/>
  <c r="A306" i="59" s="1"/>
  <c r="M280" i="59"/>
  <c r="A292" i="59" s="1"/>
  <c r="A304" i="59" s="1"/>
  <c r="M287" i="59"/>
  <c r="A299" i="59" s="1"/>
  <c r="A311" i="59" s="1"/>
  <c r="N283" i="59"/>
  <c r="M281" i="59"/>
  <c r="A293" i="59" s="1"/>
  <c r="A305" i="59" s="1"/>
  <c r="C279" i="59"/>
  <c r="N281" i="59"/>
  <c r="N287" i="59"/>
  <c r="M285" i="59"/>
  <c r="A297" i="59" s="1"/>
  <c r="A309" i="59" s="1"/>
  <c r="M283" i="59"/>
  <c r="A295" i="59" s="1"/>
  <c r="A307" i="59" s="1"/>
  <c r="J279" i="59"/>
  <c r="N282" i="59"/>
  <c r="N286" i="59"/>
  <c r="F279" i="59"/>
  <c r="M286" i="59"/>
  <c r="A298" i="59" s="1"/>
  <c r="A310" i="59" s="1"/>
  <c r="N285" i="59"/>
  <c r="K279" i="59"/>
  <c r="I279" i="59"/>
  <c r="E478" i="79"/>
  <c r="C478" i="79"/>
  <c r="D114" i="105"/>
  <c r="E147" i="105" s="1"/>
  <c r="C230" i="69"/>
  <c r="D275" i="69" s="1"/>
  <c r="I153" i="21"/>
  <c r="A161" i="21" s="1"/>
  <c r="A169" i="21" s="1"/>
  <c r="D193" i="21" s="1"/>
  <c r="D230" i="59"/>
  <c r="E275" i="59" s="1"/>
  <c r="L221" i="59"/>
  <c r="M266" i="59" s="1"/>
  <c r="K225" i="59"/>
  <c r="L270" i="59" s="1"/>
  <c r="E537" i="77"/>
  <c r="N16" i="77"/>
  <c r="A518" i="77" s="1"/>
  <c r="K16" i="77"/>
  <c r="E366" i="89"/>
  <c r="N12" i="89"/>
  <c r="A343" i="89" s="1"/>
  <c r="K12" i="89"/>
  <c r="J12" i="89"/>
  <c r="C263" i="85"/>
  <c r="E263" i="85"/>
  <c r="N9" i="95"/>
  <c r="A247" i="95" s="1"/>
  <c r="E275" i="95"/>
  <c r="K9" i="95"/>
  <c r="J9" i="95"/>
  <c r="E340" i="91"/>
  <c r="C340" i="91"/>
  <c r="C378" i="81"/>
  <c r="D435" i="81" s="1"/>
  <c r="C375" i="81"/>
  <c r="D432" i="81" s="1"/>
  <c r="L288" i="77"/>
  <c r="M339" i="77" s="1"/>
  <c r="E556" i="81"/>
  <c r="B113" i="81"/>
  <c r="C556" i="81"/>
  <c r="C372" i="91"/>
  <c r="C163" i="91"/>
  <c r="B163" i="91"/>
  <c r="E372" i="91"/>
  <c r="B246" i="97"/>
  <c r="C501" i="97"/>
  <c r="E501" i="97"/>
  <c r="E169" i="9"/>
  <c r="N8" i="9"/>
  <c r="B377" i="83"/>
  <c r="C434" i="83" s="1"/>
  <c r="D369" i="83"/>
  <c r="E426" i="83" s="1"/>
  <c r="L372" i="83"/>
  <c r="M429" i="83" s="1"/>
  <c r="F319" i="89"/>
  <c r="D319" i="89"/>
  <c r="L243" i="41"/>
  <c r="L245" i="41"/>
  <c r="L244" i="41"/>
  <c r="G280" i="57"/>
  <c r="A280" i="57"/>
  <c r="M292" i="57" s="1"/>
  <c r="E361" i="89"/>
  <c r="K7" i="89"/>
  <c r="N7" i="89"/>
  <c r="A303" i="89" s="1"/>
  <c r="M31" i="78"/>
  <c r="L31" i="78"/>
  <c r="C178" i="71"/>
  <c r="F408" i="71"/>
  <c r="D408" i="71"/>
  <c r="K224" i="57"/>
  <c r="L269" i="57" s="1"/>
  <c r="K223" i="57"/>
  <c r="L268" i="57" s="1"/>
  <c r="D225" i="73"/>
  <c r="E270" i="73" s="1"/>
  <c r="N318" i="59"/>
  <c r="N319" i="59"/>
  <c r="N317" i="59"/>
  <c r="F368" i="57"/>
  <c r="D368" i="57"/>
  <c r="F392" i="69"/>
  <c r="C136" i="69"/>
  <c r="D392" i="69"/>
  <c r="B110" i="95"/>
  <c r="E111" i="95"/>
  <c r="I121" i="95" s="1"/>
  <c r="E109" i="95"/>
  <c r="K220" i="69"/>
  <c r="L265" i="69" s="1"/>
  <c r="J153" i="21"/>
  <c r="D225" i="59"/>
  <c r="E270" i="59" s="1"/>
  <c r="H220" i="59"/>
  <c r="I265" i="59" s="1"/>
  <c r="K159" i="35"/>
  <c r="L198" i="35" s="1"/>
  <c r="I164" i="35"/>
  <c r="J203" i="35" s="1"/>
  <c r="G165" i="35"/>
  <c r="H204" i="35" s="1"/>
  <c r="E533" i="75"/>
  <c r="K12" i="75"/>
  <c r="N12" i="75"/>
  <c r="A486" i="75" s="1"/>
  <c r="C518" i="77"/>
  <c r="B264" i="77"/>
  <c r="E518" i="77"/>
  <c r="F263" i="85"/>
  <c r="D263" i="85"/>
  <c r="E428" i="59"/>
  <c r="N9" i="59"/>
  <c r="A376" i="59" s="1"/>
  <c r="D430" i="99"/>
  <c r="F430" i="99"/>
  <c r="K238" i="89"/>
  <c r="A248" i="89" s="1"/>
  <c r="A258" i="89" s="1"/>
  <c r="F207" i="91"/>
  <c r="G246" i="91" s="1"/>
  <c r="B378" i="81"/>
  <c r="C435" i="81" s="1"/>
  <c r="P365" i="81"/>
  <c r="Q422" i="81" s="1"/>
  <c r="B299" i="77"/>
  <c r="C350" i="77" s="1"/>
  <c r="M332" i="119"/>
  <c r="G325" i="119"/>
  <c r="L326" i="119"/>
  <c r="A337" i="119" s="1"/>
  <c r="A348" i="119" s="1"/>
  <c r="D325" i="119"/>
  <c r="C325" i="119"/>
  <c r="L327" i="119"/>
  <c r="A338" i="119" s="1"/>
  <c r="A349" i="119" s="1"/>
  <c r="L329" i="119"/>
  <c r="A340" i="119" s="1"/>
  <c r="A351" i="119" s="1"/>
  <c r="J325" i="119"/>
  <c r="I325" i="119"/>
  <c r="H325" i="119"/>
  <c r="F325" i="119"/>
  <c r="M331" i="119"/>
  <c r="L328" i="119"/>
  <c r="A339" i="119" s="1"/>
  <c r="A350" i="119" s="1"/>
  <c r="L331" i="119"/>
  <c r="A342" i="119" s="1"/>
  <c r="A353" i="119" s="1"/>
  <c r="M330" i="119"/>
  <c r="E325" i="119"/>
  <c r="L333" i="119"/>
  <c r="A344" i="119" s="1"/>
  <c r="A355" i="119" s="1"/>
  <c r="L332" i="119"/>
  <c r="A343" i="119" s="1"/>
  <c r="A354" i="119" s="1"/>
  <c r="M328" i="119"/>
  <c r="M327" i="119"/>
  <c r="M326" i="119"/>
  <c r="M333" i="119"/>
  <c r="L330" i="119"/>
  <c r="A341" i="119" s="1"/>
  <c r="A352" i="119" s="1"/>
  <c r="M329" i="119"/>
  <c r="L31" i="86"/>
  <c r="M31" i="86"/>
  <c r="M224" i="63"/>
  <c r="N269" i="63" s="1"/>
  <c r="K368" i="83"/>
  <c r="L425" i="83" s="1"/>
  <c r="M372" i="83"/>
  <c r="N429" i="83" s="1"/>
  <c r="L378" i="83"/>
  <c r="M435" i="83" s="1"/>
  <c r="H375" i="83"/>
  <c r="I432" i="83" s="1"/>
  <c r="E370" i="83"/>
  <c r="F427" i="83" s="1"/>
  <c r="G371" i="83"/>
  <c r="H428" i="83" s="1"/>
  <c r="J374" i="83"/>
  <c r="K431" i="83" s="1"/>
  <c r="M28" i="114"/>
  <c r="L28" i="114"/>
  <c r="E245" i="21"/>
  <c r="N6" i="21"/>
  <c r="A204" i="21" s="1"/>
  <c r="E337" i="37"/>
  <c r="N12" i="37"/>
  <c r="A322" i="37" s="1"/>
  <c r="E430" i="73"/>
  <c r="J11" i="73"/>
  <c r="N11" i="73"/>
  <c r="A392" i="73" s="1"/>
  <c r="J7" i="89"/>
  <c r="E431" i="59"/>
  <c r="N12" i="59"/>
  <c r="A400" i="59" s="1"/>
  <c r="I9" i="83"/>
  <c r="K9" i="83" s="1"/>
  <c r="B229" i="67"/>
  <c r="C274" i="67" s="1"/>
  <c r="B225" i="67"/>
  <c r="C270" i="67" s="1"/>
  <c r="E531" i="79"/>
  <c r="N10" i="79"/>
  <c r="J154" i="21"/>
  <c r="K226" i="59"/>
  <c r="L271" i="59" s="1"/>
  <c r="I228" i="59"/>
  <c r="J273" i="59" s="1"/>
  <c r="F165" i="35"/>
  <c r="G204" i="35" s="1"/>
  <c r="C163" i="35"/>
  <c r="D202" i="35" s="1"/>
  <c r="C167" i="35"/>
  <c r="D206" i="35" s="1"/>
  <c r="J12" i="75"/>
  <c r="J9" i="59"/>
  <c r="F494" i="77"/>
  <c r="D494" i="77"/>
  <c r="C377" i="81"/>
  <c r="D434" i="81" s="1"/>
  <c r="J8" i="103"/>
  <c r="I8" i="103"/>
  <c r="E225" i="111"/>
  <c r="F270" i="111" s="1"/>
  <c r="H269" i="119"/>
  <c r="I314" i="119" s="1"/>
  <c r="D518" i="79"/>
  <c r="F518" i="79"/>
  <c r="C265" i="79"/>
  <c r="B45" i="43"/>
  <c r="H363" i="83"/>
  <c r="I420" i="83" s="1"/>
  <c r="L367" i="83"/>
  <c r="M424" i="83" s="1"/>
  <c r="F364" i="83"/>
  <c r="G421" i="83" s="1"/>
  <c r="D377" i="83"/>
  <c r="E434" i="83" s="1"/>
  <c r="K373" i="83"/>
  <c r="L430" i="83" s="1"/>
  <c r="J375" i="83"/>
  <c r="K432" i="83" s="1"/>
  <c r="L34" i="82"/>
  <c r="M34" i="82"/>
  <c r="E204" i="21"/>
  <c r="C204" i="21"/>
  <c r="C140" i="37"/>
  <c r="E322" i="37"/>
  <c r="C322" i="37"/>
  <c r="F392" i="73"/>
  <c r="D392" i="73"/>
  <c r="E229" i="69"/>
  <c r="F274" i="69" s="1"/>
  <c r="A386" i="97"/>
  <c r="A396" i="97" s="1"/>
  <c r="B112" i="17"/>
  <c r="C145" i="17" s="1"/>
  <c r="L31" i="46"/>
  <c r="M31" i="46"/>
  <c r="I221" i="57"/>
  <c r="J266" i="57" s="1"/>
  <c r="H219" i="57"/>
  <c r="I264" i="57" s="1"/>
  <c r="D226" i="57"/>
  <c r="E271" i="57" s="1"/>
  <c r="D215" i="83"/>
  <c r="J227" i="83" s="1"/>
  <c r="D213" i="83"/>
  <c r="C400" i="59"/>
  <c r="E400" i="59"/>
  <c r="C111" i="109"/>
  <c r="D144" i="109" s="1"/>
  <c r="N8" i="75"/>
  <c r="A454" i="75" s="1"/>
  <c r="E529" i="75"/>
  <c r="F470" i="79"/>
  <c r="D470" i="79"/>
  <c r="E414" i="93"/>
  <c r="C414" i="93"/>
  <c r="E325" i="99"/>
  <c r="M333" i="99"/>
  <c r="A345" i="99" s="1"/>
  <c r="A357" i="99" s="1"/>
  <c r="C325" i="99"/>
  <c r="N330" i="99"/>
  <c r="M334" i="99"/>
  <c r="A346" i="99" s="1"/>
  <c r="A358" i="99" s="1"/>
  <c r="N331" i="99"/>
  <c r="N333" i="99"/>
  <c r="N326" i="99"/>
  <c r="M331" i="99"/>
  <c r="A343" i="99" s="1"/>
  <c r="A355" i="99" s="1"/>
  <c r="M326" i="99"/>
  <c r="A338" i="99" s="1"/>
  <c r="A350" i="99" s="1"/>
  <c r="N329" i="99"/>
  <c r="M329" i="99"/>
  <c r="A341" i="99" s="1"/>
  <c r="A353" i="99" s="1"/>
  <c r="N327" i="99"/>
  <c r="N328" i="99"/>
  <c r="K325" i="99"/>
  <c r="M328" i="99"/>
  <c r="A340" i="99" s="1"/>
  <c r="A352" i="99" s="1"/>
  <c r="J325" i="99"/>
  <c r="I325" i="99"/>
  <c r="H325" i="99"/>
  <c r="D325" i="99"/>
  <c r="N332" i="99"/>
  <c r="M332" i="99"/>
  <c r="A344" i="99" s="1"/>
  <c r="A356" i="99" s="1"/>
  <c r="M327" i="99"/>
  <c r="A339" i="99" s="1"/>
  <c r="A351" i="99" s="1"/>
  <c r="N334" i="99"/>
  <c r="M330" i="99"/>
  <c r="A342" i="99" s="1"/>
  <c r="A354" i="99" s="1"/>
  <c r="G325" i="99"/>
  <c r="F325" i="99"/>
  <c r="J10" i="79"/>
  <c r="M221" i="69"/>
  <c r="N266" i="69" s="1"/>
  <c r="F151" i="21"/>
  <c r="F152" i="21" s="1"/>
  <c r="B230" i="59"/>
  <c r="C275" i="59" s="1"/>
  <c r="E425" i="55"/>
  <c r="J6" i="55"/>
  <c r="N6" i="55"/>
  <c r="A352" i="55" s="1"/>
  <c r="M30" i="106"/>
  <c r="L30" i="106"/>
  <c r="F160" i="35"/>
  <c r="G199" i="35" s="1"/>
  <c r="C58" i="85"/>
  <c r="B58" i="85"/>
  <c r="C239" i="85"/>
  <c r="E239" i="85"/>
  <c r="E367" i="89"/>
  <c r="N13" i="89"/>
  <c r="A351" i="89" s="1"/>
  <c r="J13" i="89"/>
  <c r="M293" i="77"/>
  <c r="N344" i="77" s="1"/>
  <c r="J197" i="87"/>
  <c r="J196" i="87"/>
  <c r="J198" i="87"/>
  <c r="M220" i="63"/>
  <c r="N265" i="63" s="1"/>
  <c r="P373" i="83"/>
  <c r="Q430" i="83" s="1"/>
  <c r="M368" i="83"/>
  <c r="N425" i="83" s="1"/>
  <c r="P365" i="83"/>
  <c r="Q422" i="83" s="1"/>
  <c r="H364" i="83"/>
  <c r="I421" i="83" s="1"/>
  <c r="I373" i="83"/>
  <c r="J430" i="83" s="1"/>
  <c r="J376" i="83"/>
  <c r="K433" i="83" s="1"/>
  <c r="B165" i="49"/>
  <c r="C204" i="49" s="1"/>
  <c r="D230" i="69"/>
  <c r="E275" i="69" s="1"/>
  <c r="J225" i="57"/>
  <c r="K270" i="57" s="1"/>
  <c r="E534" i="79"/>
  <c r="K13" i="79"/>
  <c r="N13" i="79"/>
  <c r="A494" i="79" s="1"/>
  <c r="E215" i="83"/>
  <c r="K227" i="83" s="1"/>
  <c r="B214" i="83"/>
  <c r="E213" i="83"/>
  <c r="A368" i="71"/>
  <c r="B72" i="71"/>
  <c r="J8" i="75"/>
  <c r="G227" i="55"/>
  <c r="H272" i="55" s="1"/>
  <c r="N8" i="93"/>
  <c r="A414" i="93" s="1"/>
  <c r="E489" i="93"/>
  <c r="N363" i="99"/>
  <c r="N364" i="99"/>
  <c r="N365" i="99"/>
  <c r="E245" i="19"/>
  <c r="N6" i="19"/>
  <c r="A204" i="19" s="1"/>
  <c r="J6" i="19"/>
  <c r="I6" i="39"/>
  <c r="D229" i="69"/>
  <c r="E274" i="69" s="1"/>
  <c r="I155" i="21"/>
  <c r="A163" i="21" s="1"/>
  <c r="A171" i="21" s="1"/>
  <c r="L220" i="65"/>
  <c r="M265" i="65" s="1"/>
  <c r="E230" i="59"/>
  <c r="F275" i="59" s="1"/>
  <c r="B229" i="59"/>
  <c r="C274" i="59" s="1"/>
  <c r="M219" i="59"/>
  <c r="N264" i="59" s="1"/>
  <c r="C31" i="55"/>
  <c r="F352" i="55"/>
  <c r="D352" i="55"/>
  <c r="D226" i="73"/>
  <c r="E271" i="73" s="1"/>
  <c r="D612" i="81"/>
  <c r="F612" i="81"/>
  <c r="D34" i="99"/>
  <c r="D36" i="99"/>
  <c r="D42" i="99" s="1"/>
  <c r="B40" i="99"/>
  <c r="A234" i="89"/>
  <c r="K244" i="89" s="1"/>
  <c r="C92" i="87"/>
  <c r="E255" i="87"/>
  <c r="B92" i="87"/>
  <c r="C255" i="87"/>
  <c r="K8" i="93"/>
  <c r="F202" i="91"/>
  <c r="G241" i="91" s="1"/>
  <c r="O363" i="81"/>
  <c r="P420" i="81" s="1"/>
  <c r="G372" i="81"/>
  <c r="H429" i="81" s="1"/>
  <c r="G373" i="81"/>
  <c r="H430" i="81" s="1"/>
  <c r="E493" i="117"/>
  <c r="N15" i="117"/>
  <c r="A467" i="117" s="1"/>
  <c r="J15" i="117"/>
  <c r="K225" i="55"/>
  <c r="L270" i="55" s="1"/>
  <c r="A175" i="105"/>
  <c r="A180" i="105" s="1"/>
  <c r="J175" i="87"/>
  <c r="J173" i="87"/>
  <c r="J171" i="87"/>
  <c r="I175" i="87"/>
  <c r="A183" i="87" s="1"/>
  <c r="A191" i="87" s="1"/>
  <c r="I173" i="87"/>
  <c r="A181" i="87" s="1"/>
  <c r="A189" i="87" s="1"/>
  <c r="I171" i="87"/>
  <c r="A179" i="87" s="1"/>
  <c r="A187" i="87" s="1"/>
  <c r="G170" i="87"/>
  <c r="F170" i="87"/>
  <c r="E170" i="87"/>
  <c r="D170" i="87"/>
  <c r="I172" i="87"/>
  <c r="A180" i="87" s="1"/>
  <c r="A188" i="87" s="1"/>
  <c r="I174" i="87"/>
  <c r="A182" i="87" s="1"/>
  <c r="A190" i="87" s="1"/>
  <c r="J172" i="87"/>
  <c r="J174" i="87"/>
  <c r="C170" i="87"/>
  <c r="L29" i="32"/>
  <c r="M29" i="32"/>
  <c r="K220" i="63"/>
  <c r="L265" i="63" s="1"/>
  <c r="N12" i="81"/>
  <c r="A580" i="81" s="1"/>
  <c r="E643" i="81"/>
  <c r="H374" i="83"/>
  <c r="I431" i="83" s="1"/>
  <c r="D371" i="83"/>
  <c r="E428" i="83" s="1"/>
  <c r="H366" i="83"/>
  <c r="I423" i="83" s="1"/>
  <c r="C372" i="83"/>
  <c r="D429" i="83" s="1"/>
  <c r="H373" i="83"/>
  <c r="I430" i="83" s="1"/>
  <c r="K374" i="83"/>
  <c r="L431" i="83" s="1"/>
  <c r="E248" i="21"/>
  <c r="N9" i="21"/>
  <c r="A228" i="21" s="1"/>
  <c r="K9" i="21"/>
  <c r="A282" i="57"/>
  <c r="M294" i="57" s="1"/>
  <c r="H227" i="73"/>
  <c r="I272" i="73" s="1"/>
  <c r="A387" i="97"/>
  <c r="A397" i="97" s="1"/>
  <c r="I227" i="57"/>
  <c r="J272" i="57" s="1"/>
  <c r="C224" i="57"/>
  <c r="D269" i="57" s="1"/>
  <c r="E225" i="73"/>
  <c r="F270" i="73" s="1"/>
  <c r="J13" i="79"/>
  <c r="H228" i="55"/>
  <c r="I273" i="55" s="1"/>
  <c r="K6" i="19"/>
  <c r="F360" i="73"/>
  <c r="D360" i="73"/>
  <c r="B229" i="69"/>
  <c r="C274" i="69" s="1"/>
  <c r="G151" i="21"/>
  <c r="G227" i="65"/>
  <c r="H272" i="65" s="1"/>
  <c r="L220" i="59"/>
  <c r="M265" i="59" s="1"/>
  <c r="I220" i="59"/>
  <c r="J265" i="59" s="1"/>
  <c r="H219" i="59"/>
  <c r="I264" i="59" s="1"/>
  <c r="F219" i="59"/>
  <c r="G264" i="59" s="1"/>
  <c r="F220" i="59"/>
  <c r="G265" i="59" s="1"/>
  <c r="E332" i="51"/>
  <c r="N7" i="51"/>
  <c r="A282" i="51" s="1"/>
  <c r="E35" i="99"/>
  <c r="E37" i="99"/>
  <c r="E43" i="99" s="1"/>
  <c r="C41" i="99"/>
  <c r="C59" i="85"/>
  <c r="F239" i="85"/>
  <c r="D239" i="85"/>
  <c r="F166" i="35"/>
  <c r="G205" i="35" s="1"/>
  <c r="J160" i="35"/>
  <c r="K199" i="35" s="1"/>
  <c r="E34" i="99"/>
  <c r="E36" i="99"/>
  <c r="E42" i="99" s="1"/>
  <c r="B35" i="99"/>
  <c r="C40" i="99"/>
  <c r="K279" i="63"/>
  <c r="N280" i="63"/>
  <c r="N287" i="63"/>
  <c r="C279" i="63"/>
  <c r="M285" i="63"/>
  <c r="A297" i="63" s="1"/>
  <c r="A309" i="63" s="1"/>
  <c r="M281" i="63"/>
  <c r="A293" i="63" s="1"/>
  <c r="A305" i="63" s="1"/>
  <c r="M286" i="63"/>
  <c r="A298" i="63" s="1"/>
  <c r="A310" i="63" s="1"/>
  <c r="M287" i="63"/>
  <c r="A299" i="63" s="1"/>
  <c r="A311" i="63" s="1"/>
  <c r="H279" i="63"/>
  <c r="M284" i="63"/>
  <c r="A296" i="63" s="1"/>
  <c r="A308" i="63" s="1"/>
  <c r="N286" i="63"/>
  <c r="N281" i="63"/>
  <c r="N285" i="63"/>
  <c r="M282" i="63"/>
  <c r="A294" i="63" s="1"/>
  <c r="A306" i="63" s="1"/>
  <c r="N282" i="63"/>
  <c r="N288" i="63"/>
  <c r="N283" i="63"/>
  <c r="G279" i="63"/>
  <c r="I279" i="63"/>
  <c r="M280" i="63"/>
  <c r="A292" i="63" s="1"/>
  <c r="A304" i="63" s="1"/>
  <c r="D279" i="63"/>
  <c r="M288" i="63"/>
  <c r="A300" i="63" s="1"/>
  <c r="A312" i="63" s="1"/>
  <c r="F279" i="63"/>
  <c r="F319" i="63" s="1"/>
  <c r="E279" i="63"/>
  <c r="N284" i="63"/>
  <c r="M283" i="63"/>
  <c r="A295" i="63" s="1"/>
  <c r="A307" i="63" s="1"/>
  <c r="J279" i="63"/>
  <c r="J319" i="63" s="1"/>
  <c r="A233" i="89"/>
  <c r="K243" i="89" s="1"/>
  <c r="K239" i="89"/>
  <c r="A249" i="89" s="1"/>
  <c r="A259" i="89" s="1"/>
  <c r="E527" i="75"/>
  <c r="N6" i="75"/>
  <c r="A438" i="75" s="1"/>
  <c r="J6" i="75"/>
  <c r="L272" i="119"/>
  <c r="M317" i="119" s="1"/>
  <c r="A155" i="105"/>
  <c r="H162" i="105" s="1"/>
  <c r="M226" i="111"/>
  <c r="N271" i="111" s="1"/>
  <c r="K6" i="89"/>
  <c r="A174" i="105"/>
  <c r="A179" i="105" s="1"/>
  <c r="D446" i="93"/>
  <c r="F446" i="93"/>
  <c r="E290" i="45"/>
  <c r="C290" i="45"/>
  <c r="B64" i="45"/>
  <c r="C64" i="45"/>
  <c r="J12" i="81"/>
  <c r="N364" i="83"/>
  <c r="O421" i="83" s="1"/>
  <c r="E372" i="83"/>
  <c r="F429" i="83" s="1"/>
  <c r="P366" i="83"/>
  <c r="Q423" i="83" s="1"/>
  <c r="N369" i="83"/>
  <c r="O426" i="83" s="1"/>
  <c r="I374" i="83"/>
  <c r="J431" i="83" s="1"/>
  <c r="J9" i="21"/>
  <c r="C112" i="17"/>
  <c r="D145" i="17" s="1"/>
  <c r="I228" i="55"/>
  <c r="J273" i="55" s="1"/>
  <c r="A215" i="51"/>
  <c r="K225" i="51" s="1"/>
  <c r="E649" i="81"/>
  <c r="N18" i="81"/>
  <c r="A628" i="81" s="1"/>
  <c r="J155" i="21"/>
  <c r="C225" i="59"/>
  <c r="D270" i="59" s="1"/>
  <c r="E225" i="59"/>
  <c r="F270" i="59" s="1"/>
  <c r="M221" i="59"/>
  <c r="N266" i="59" s="1"/>
  <c r="I222" i="59"/>
  <c r="J267" i="59" s="1"/>
  <c r="J7" i="51"/>
  <c r="E122" i="107"/>
  <c r="E124" i="107"/>
  <c r="K136" i="107" s="1"/>
  <c r="E130" i="107"/>
  <c r="A319" i="63"/>
  <c r="A329" i="63" s="1"/>
  <c r="H232" i="89"/>
  <c r="L239" i="89"/>
  <c r="G117" i="101"/>
  <c r="G118" i="101"/>
  <c r="G116" i="101"/>
  <c r="G119" i="101"/>
  <c r="B371" i="81"/>
  <c r="C428" i="81" s="1"/>
  <c r="D377" i="81"/>
  <c r="E434" i="81" s="1"/>
  <c r="L377" i="81"/>
  <c r="M434" i="81" s="1"/>
  <c r="C89" i="81"/>
  <c r="F548" i="81"/>
  <c r="D548" i="81"/>
  <c r="B230" i="73"/>
  <c r="C275" i="73" s="1"/>
  <c r="E427" i="59"/>
  <c r="N8" i="59"/>
  <c r="A368" i="59" s="1"/>
  <c r="K8" i="59"/>
  <c r="J8" i="59"/>
  <c r="M355" i="97"/>
  <c r="A367" i="97" s="1"/>
  <c r="A379" i="97" s="1"/>
  <c r="G226" i="111"/>
  <c r="H271" i="111" s="1"/>
  <c r="M30" i="84"/>
  <c r="L30" i="84"/>
  <c r="M28" i="38"/>
  <c r="L28" i="38"/>
  <c r="E628" i="81"/>
  <c r="C338" i="81"/>
  <c r="B338" i="81"/>
  <c r="C628" i="81"/>
  <c r="D255" i="95"/>
  <c r="C93" i="95"/>
  <c r="F255" i="95"/>
  <c r="C92" i="95"/>
  <c r="J226" i="69"/>
  <c r="K271" i="69" s="1"/>
  <c r="M220" i="59"/>
  <c r="N265" i="59" s="1"/>
  <c r="C226" i="59"/>
  <c r="D271" i="59" s="1"/>
  <c r="B224" i="59"/>
  <c r="C269" i="59" s="1"/>
  <c r="B223" i="59"/>
  <c r="C268" i="59" s="1"/>
  <c r="M33" i="56"/>
  <c r="L33" i="56"/>
  <c r="F159" i="35"/>
  <c r="G198" i="35" s="1"/>
  <c r="B164" i="35"/>
  <c r="C203" i="35" s="1"/>
  <c r="E115" i="61"/>
  <c r="E117" i="61"/>
  <c r="M131" i="61" s="1"/>
  <c r="K129" i="61"/>
  <c r="E527" i="79"/>
  <c r="N6" i="79"/>
  <c r="A438" i="79" s="1"/>
  <c r="J6" i="79"/>
  <c r="L31" i="94"/>
  <c r="M31" i="94"/>
  <c r="D378" i="81"/>
  <c r="E435" i="81" s="1"/>
  <c r="L378" i="81"/>
  <c r="M435" i="81" s="1"/>
  <c r="A421" i="135"/>
  <c r="B36" i="135"/>
  <c r="C37" i="135"/>
  <c r="C36" i="135"/>
  <c r="E478" i="99"/>
  <c r="C478" i="99"/>
  <c r="E430" i="65"/>
  <c r="N11" i="65"/>
  <c r="A392" i="65" s="1"/>
  <c r="K11" i="65"/>
  <c r="I227" i="69"/>
  <c r="J272" i="69" s="1"/>
  <c r="A176" i="105"/>
  <c r="A181" i="105" s="1"/>
  <c r="F176" i="105"/>
  <c r="E176" i="105"/>
  <c r="I6" i="115"/>
  <c r="J6" i="115"/>
  <c r="H220" i="73"/>
  <c r="I265" i="73" s="1"/>
  <c r="I376" i="83"/>
  <c r="J433" i="83" s="1"/>
  <c r="C378" i="83"/>
  <c r="D435" i="83" s="1"/>
  <c r="N372" i="83"/>
  <c r="O429" i="83" s="1"/>
  <c r="F373" i="83"/>
  <c r="G430" i="83" s="1"/>
  <c r="O371" i="83"/>
  <c r="P428" i="83" s="1"/>
  <c r="E371" i="83"/>
  <c r="F428" i="83" s="1"/>
  <c r="J364" i="83"/>
  <c r="K421" i="83" s="1"/>
  <c r="D604" i="83"/>
  <c r="F604" i="83"/>
  <c r="C264" i="83"/>
  <c r="M33" i="106"/>
  <c r="L33" i="106"/>
  <c r="E212" i="33"/>
  <c r="C212" i="33"/>
  <c r="K224" i="55"/>
  <c r="L269" i="55" s="1"/>
  <c r="I283" i="57"/>
  <c r="A283" i="57"/>
  <c r="M295" i="57" s="1"/>
  <c r="E244" i="77"/>
  <c r="G252" i="77" s="1"/>
  <c r="E242" i="77"/>
  <c r="O260" i="77"/>
  <c r="E495" i="99"/>
  <c r="N14" i="99"/>
  <c r="A462" i="99" s="1"/>
  <c r="J223" i="57"/>
  <c r="K268" i="57" s="1"/>
  <c r="H228" i="73"/>
  <c r="I273" i="73" s="1"/>
  <c r="A213" i="51"/>
  <c r="K223" i="51" s="1"/>
  <c r="I213" i="51"/>
  <c r="E273" i="87"/>
  <c r="N7" i="87"/>
  <c r="A231" i="87" s="1"/>
  <c r="K7" i="87"/>
  <c r="J7" i="87"/>
  <c r="E52" i="91"/>
  <c r="G60" i="91" s="1"/>
  <c r="E50" i="91"/>
  <c r="E58" i="91"/>
  <c r="B230" i="69"/>
  <c r="C275" i="69" s="1"/>
  <c r="D151" i="21"/>
  <c r="B225" i="59"/>
  <c r="C270" i="59" s="1"/>
  <c r="G166" i="35"/>
  <c r="H205" i="35" s="1"/>
  <c r="G160" i="35"/>
  <c r="H199" i="35" s="1"/>
  <c r="K6" i="79"/>
  <c r="E429" i="59"/>
  <c r="J10" i="59"/>
  <c r="N10" i="59"/>
  <c r="A384" i="59" s="1"/>
  <c r="E392" i="71"/>
  <c r="C392" i="71"/>
  <c r="B135" i="71"/>
  <c r="D140" i="103"/>
  <c r="F140" i="103"/>
  <c r="E454" i="79"/>
  <c r="C454" i="79"/>
  <c r="H205" i="91"/>
  <c r="I244" i="91" s="1"/>
  <c r="B367" i="81"/>
  <c r="C424" i="81" s="1"/>
  <c r="E371" i="81"/>
  <c r="F428" i="81" s="1"/>
  <c r="E429" i="97"/>
  <c r="C429" i="97"/>
  <c r="E362" i="115"/>
  <c r="N11" i="115"/>
  <c r="A332" i="115" s="1"/>
  <c r="J11" i="115"/>
  <c r="L34" i="132"/>
  <c r="M34" i="132"/>
  <c r="E520" i="97"/>
  <c r="N8" i="97"/>
  <c r="A437" i="97" s="1"/>
  <c r="E337" i="47"/>
  <c r="N12" i="47"/>
  <c r="A322" i="47" s="1"/>
  <c r="J12" i="47"/>
  <c r="J11" i="65"/>
  <c r="F348" i="97"/>
  <c r="M354" i="97"/>
  <c r="A366" i="97" s="1"/>
  <c r="A378" i="97" s="1"/>
  <c r="N349" i="97"/>
  <c r="N351" i="97"/>
  <c r="N357" i="97"/>
  <c r="N353" i="97"/>
  <c r="M353" i="97"/>
  <c r="A365" i="97" s="1"/>
  <c r="A377" i="97" s="1"/>
  <c r="D348" i="97"/>
  <c r="M350" i="97"/>
  <c r="A362" i="97" s="1"/>
  <c r="A374" i="97" s="1"/>
  <c r="N354" i="97"/>
  <c r="M349" i="97"/>
  <c r="A361" i="97" s="1"/>
  <c r="A373" i="97" s="1"/>
  <c r="N350" i="97"/>
  <c r="N352" i="97"/>
  <c r="N355" i="97"/>
  <c r="M357" i="97"/>
  <c r="A369" i="97" s="1"/>
  <c r="A381" i="97" s="1"/>
  <c r="N356" i="97"/>
  <c r="M352" i="97"/>
  <c r="A364" i="97" s="1"/>
  <c r="A376" i="97" s="1"/>
  <c r="I348" i="97"/>
  <c r="M356" i="97"/>
  <c r="A368" i="97" s="1"/>
  <c r="A380" i="97" s="1"/>
  <c r="M351" i="97"/>
  <c r="A363" i="97" s="1"/>
  <c r="A375" i="97" s="1"/>
  <c r="H348" i="97"/>
  <c r="G348" i="97"/>
  <c r="E348" i="97"/>
  <c r="E386" i="97" s="1"/>
  <c r="K348" i="97"/>
  <c r="J348" i="97"/>
  <c r="C31" i="65"/>
  <c r="D352" i="65"/>
  <c r="F352" i="65"/>
  <c r="I221" i="63"/>
  <c r="J266" i="63" s="1"/>
  <c r="L370" i="83"/>
  <c r="M427" i="83" s="1"/>
  <c r="O370" i="83"/>
  <c r="P427" i="83" s="1"/>
  <c r="M377" i="83"/>
  <c r="N434" i="83" s="1"/>
  <c r="J365" i="83"/>
  <c r="K422" i="83" s="1"/>
  <c r="E365" i="89"/>
  <c r="N11" i="89"/>
  <c r="A335" i="89" s="1"/>
  <c r="K11" i="89"/>
  <c r="C123" i="89" s="1"/>
  <c r="I12" i="107"/>
  <c r="F461" i="97"/>
  <c r="D461" i="97"/>
  <c r="C142" i="97"/>
  <c r="E246" i="33"/>
  <c r="N7" i="33"/>
  <c r="A212" i="33" s="1"/>
  <c r="E336" i="39"/>
  <c r="N11" i="39"/>
  <c r="A314" i="39" s="1"/>
  <c r="J14" i="99"/>
  <c r="E272" i="87"/>
  <c r="N6" i="87"/>
  <c r="A223" i="87" s="1"/>
  <c r="B111" i="17"/>
  <c r="C144" i="17" s="1"/>
  <c r="J9" i="69"/>
  <c r="I9" i="69"/>
  <c r="H222" i="57"/>
  <c r="I267" i="57" s="1"/>
  <c r="G108" i="109"/>
  <c r="H141" i="109" s="1"/>
  <c r="E336" i="53"/>
  <c r="N11" i="53"/>
  <c r="E151" i="21"/>
  <c r="L219" i="65"/>
  <c r="M264" i="65" s="1"/>
  <c r="J225" i="59"/>
  <c r="K270" i="59" s="1"/>
  <c r="E332" i="45"/>
  <c r="N7" i="45"/>
  <c r="A282" i="45" s="1"/>
  <c r="F462" i="75"/>
  <c r="D462" i="75"/>
  <c r="C104" i="75"/>
  <c r="K10" i="59"/>
  <c r="G232" i="89"/>
  <c r="K236" i="89"/>
  <c r="A246" i="89" s="1"/>
  <c r="A256" i="89" s="1"/>
  <c r="D280" i="89" s="1"/>
  <c r="L237" i="89"/>
  <c r="E430" i="71"/>
  <c r="K11" i="71"/>
  <c r="N11" i="71"/>
  <c r="A392" i="71" s="1"/>
  <c r="N6" i="97"/>
  <c r="A421" i="97" s="1"/>
  <c r="E518" i="97"/>
  <c r="K6" i="97"/>
  <c r="C36" i="97" s="1"/>
  <c r="L238" i="89"/>
  <c r="C140" i="103"/>
  <c r="E140" i="103"/>
  <c r="F233" i="105"/>
  <c r="D233" i="105"/>
  <c r="O371" i="81"/>
  <c r="P428" i="81" s="1"/>
  <c r="H364" i="81"/>
  <c r="I421" i="81" s="1"/>
  <c r="I364" i="81"/>
  <c r="J421" i="81" s="1"/>
  <c r="J364" i="81"/>
  <c r="K421" i="81" s="1"/>
  <c r="K364" i="81"/>
  <c r="L421" i="81" s="1"/>
  <c r="B291" i="77"/>
  <c r="C342" i="77" s="1"/>
  <c r="G265" i="119"/>
  <c r="H310" i="119" s="1"/>
  <c r="E314" i="39"/>
  <c r="B121" i="39"/>
  <c r="C314" i="39"/>
  <c r="C121" i="39"/>
  <c r="N10" i="49"/>
  <c r="A306" i="49" s="1"/>
  <c r="E335" i="49"/>
  <c r="K10" i="49"/>
  <c r="C223" i="87"/>
  <c r="E223" i="87"/>
  <c r="C136" i="67"/>
  <c r="D392" i="67"/>
  <c r="F392" i="67"/>
  <c r="C135" i="67"/>
  <c r="I219" i="57"/>
  <c r="J264" i="57" s="1"/>
  <c r="E426" i="69"/>
  <c r="N7" i="69"/>
  <c r="A360" i="69" s="1"/>
  <c r="J7" i="69"/>
  <c r="D376" i="73"/>
  <c r="F376" i="73"/>
  <c r="C94" i="73"/>
  <c r="C339" i="81"/>
  <c r="F628" i="81"/>
  <c r="D628" i="81"/>
  <c r="B226" i="59"/>
  <c r="C271" i="59" s="1"/>
  <c r="H228" i="59"/>
  <c r="I273" i="59" s="1"/>
  <c r="B167" i="35"/>
  <c r="C206" i="35" s="1"/>
  <c r="B168" i="35"/>
  <c r="C207" i="35" s="1"/>
  <c r="D141" i="101"/>
  <c r="C19" i="101"/>
  <c r="F141" i="101"/>
  <c r="M334" i="93"/>
  <c r="A346" i="93" s="1"/>
  <c r="A358" i="93" s="1"/>
  <c r="M330" i="93"/>
  <c r="A342" i="93" s="1"/>
  <c r="A354" i="93" s="1"/>
  <c r="M326" i="93"/>
  <c r="A338" i="93" s="1"/>
  <c r="A350" i="93" s="1"/>
  <c r="F325" i="93"/>
  <c r="N328" i="93"/>
  <c r="M328" i="93"/>
  <c r="A340" i="93" s="1"/>
  <c r="A352" i="93" s="1"/>
  <c r="K325" i="93"/>
  <c r="N332" i="93"/>
  <c r="J325" i="93"/>
  <c r="M332" i="93"/>
  <c r="A344" i="93" s="1"/>
  <c r="A356" i="93" s="1"/>
  <c r="I325" i="93"/>
  <c r="N333" i="93"/>
  <c r="D325" i="93"/>
  <c r="N330" i="93"/>
  <c r="M329" i="93"/>
  <c r="A341" i="93" s="1"/>
  <c r="A353" i="93" s="1"/>
  <c r="C325" i="93"/>
  <c r="G325" i="93"/>
  <c r="E325" i="93"/>
  <c r="N326" i="93"/>
  <c r="N329" i="93"/>
  <c r="N334" i="93"/>
  <c r="N327" i="93"/>
  <c r="M327" i="93"/>
  <c r="A339" i="93" s="1"/>
  <c r="A351" i="93" s="1"/>
  <c r="M333" i="93"/>
  <c r="A345" i="93" s="1"/>
  <c r="A357" i="93" s="1"/>
  <c r="N331" i="93"/>
  <c r="M331" i="93"/>
  <c r="A343" i="93" s="1"/>
  <c r="A355" i="93" s="1"/>
  <c r="H325" i="93"/>
  <c r="E400" i="69"/>
  <c r="C400" i="69"/>
  <c r="B156" i="69"/>
  <c r="C156" i="69"/>
  <c r="E408" i="65"/>
  <c r="C408" i="65"/>
  <c r="C177" i="65"/>
  <c r="B177" i="65"/>
  <c r="E421" i="97"/>
  <c r="C421" i="97"/>
  <c r="B39" i="109"/>
  <c r="C207" i="109"/>
  <c r="E207" i="109"/>
  <c r="E497" i="93"/>
  <c r="N16" i="93"/>
  <c r="A478" i="93" s="1"/>
  <c r="K16" i="93"/>
  <c r="E372" i="81"/>
  <c r="F429" i="81" s="1"/>
  <c r="P373" i="81"/>
  <c r="Q430" i="81" s="1"/>
  <c r="B184" i="115"/>
  <c r="C223" i="115" s="1"/>
  <c r="E311" i="89"/>
  <c r="C311" i="89"/>
  <c r="C435" i="119"/>
  <c r="E435" i="119"/>
  <c r="G228" i="73"/>
  <c r="E428" i="67"/>
  <c r="N9" i="67"/>
  <c r="A376" i="67" s="1"/>
  <c r="M33" i="78"/>
  <c r="L33" i="78"/>
  <c r="Q373" i="83"/>
  <c r="R430" i="83" s="1"/>
  <c r="D372" i="83"/>
  <c r="E429" i="83" s="1"/>
  <c r="C369" i="83"/>
  <c r="D426" i="83" s="1"/>
  <c r="M378" i="83"/>
  <c r="N435" i="83" s="1"/>
  <c r="E377" i="83"/>
  <c r="F434" i="83" s="1"/>
  <c r="J367" i="83"/>
  <c r="K424" i="83" s="1"/>
  <c r="J10" i="49"/>
  <c r="G281" i="57"/>
  <c r="A281" i="57"/>
  <c r="M293" i="57" s="1"/>
  <c r="M34" i="80"/>
  <c r="L34" i="80"/>
  <c r="E647" i="83"/>
  <c r="N16" i="83"/>
  <c r="A612" i="83" s="1"/>
  <c r="E430" i="61"/>
  <c r="N11" i="61"/>
  <c r="A392" i="61" s="1"/>
  <c r="K11" i="61"/>
  <c r="F227" i="73"/>
  <c r="G272" i="73" s="1"/>
  <c r="M40" i="80"/>
  <c r="L40" i="80"/>
  <c r="C178" i="69"/>
  <c r="F408" i="69"/>
  <c r="D408" i="69"/>
  <c r="M29" i="60"/>
  <c r="L29" i="60"/>
  <c r="I214" i="51"/>
  <c r="H214" i="51"/>
  <c r="A214" i="51"/>
  <c r="K224" i="51" s="1"/>
  <c r="A212" i="51"/>
  <c r="K222" i="51" s="1"/>
  <c r="I212" i="51"/>
  <c r="C540" i="83"/>
  <c r="E540" i="83"/>
  <c r="B63" i="83"/>
  <c r="C63" i="83"/>
  <c r="R489" i="81"/>
  <c r="R490" i="81"/>
  <c r="R491" i="81"/>
  <c r="D223" i="69"/>
  <c r="E268" i="69" s="1"/>
  <c r="D140" i="45"/>
  <c r="D142" i="45"/>
  <c r="J154" i="45" s="1"/>
  <c r="F150" i="45"/>
  <c r="G220" i="65"/>
  <c r="H265" i="65" s="1"/>
  <c r="D241" i="77"/>
  <c r="D243" i="77"/>
  <c r="F251" i="77" s="1"/>
  <c r="N259" i="77"/>
  <c r="H221" i="59"/>
  <c r="I266" i="59" s="1"/>
  <c r="J226" i="59"/>
  <c r="K271" i="59" s="1"/>
  <c r="I219" i="59"/>
  <c r="J264" i="59" s="1"/>
  <c r="E229" i="59"/>
  <c r="F274" i="59" s="1"/>
  <c r="G159" i="35"/>
  <c r="H198" i="35" s="1"/>
  <c r="I163" i="35"/>
  <c r="J202" i="35" s="1"/>
  <c r="F100" i="103"/>
  <c r="E100" i="103"/>
  <c r="A104" i="103" s="1"/>
  <c r="A108" i="103" s="1"/>
  <c r="C99" i="103"/>
  <c r="D406" i="99"/>
  <c r="F406" i="99"/>
  <c r="P374" i="81"/>
  <c r="Q431" i="81" s="1"/>
  <c r="O364" i="81"/>
  <c r="P421" i="81" s="1"/>
  <c r="B376" i="81"/>
  <c r="C433" i="81" s="1"/>
  <c r="C164" i="81"/>
  <c r="F572" i="81"/>
  <c r="D572" i="81"/>
  <c r="C163" i="81"/>
  <c r="E422" i="111"/>
  <c r="N6" i="111"/>
  <c r="B121" i="47"/>
  <c r="C314" i="47"/>
  <c r="C121" i="47"/>
  <c r="E314" i="47"/>
  <c r="M219" i="61"/>
  <c r="N264" i="61" s="1"/>
  <c r="K226" i="63"/>
  <c r="L271" i="63" s="1"/>
  <c r="L28" i="80"/>
  <c r="M28" i="80"/>
  <c r="L377" i="83"/>
  <c r="M434" i="83" s="1"/>
  <c r="K366" i="83"/>
  <c r="L423" i="83" s="1"/>
  <c r="K376" i="83"/>
  <c r="L433" i="83" s="1"/>
  <c r="F372" i="83"/>
  <c r="G429" i="83" s="1"/>
  <c r="Q366" i="83"/>
  <c r="R423" i="83" s="1"/>
  <c r="M367" i="83"/>
  <c r="N424" i="83" s="1"/>
  <c r="K364" i="83"/>
  <c r="L421" i="83" s="1"/>
  <c r="E378" i="83"/>
  <c r="F435" i="83" s="1"/>
  <c r="O363" i="83"/>
  <c r="P420" i="83" s="1"/>
  <c r="Q364" i="83"/>
  <c r="R421" i="83" s="1"/>
  <c r="J368" i="83"/>
  <c r="K425" i="83" s="1"/>
  <c r="J16" i="83"/>
  <c r="B227" i="65"/>
  <c r="C272" i="65" s="1"/>
  <c r="J11" i="61"/>
  <c r="B229" i="57"/>
  <c r="C274" i="57" s="1"/>
  <c r="C226" i="73"/>
  <c r="D271" i="73" s="1"/>
  <c r="E397" i="91"/>
  <c r="N14" i="91"/>
  <c r="A380" i="91" s="1"/>
  <c r="K14" i="91"/>
  <c r="Q233" i="83"/>
  <c r="E376" i="73"/>
  <c r="C376" i="73"/>
  <c r="C93" i="73"/>
  <c r="B93" i="73"/>
  <c r="D224" i="69"/>
  <c r="E269" i="69" s="1"/>
  <c r="E228" i="69"/>
  <c r="F273" i="69" s="1"/>
  <c r="J156" i="21"/>
  <c r="B242" i="77"/>
  <c r="E241" i="77"/>
  <c r="E243" i="77"/>
  <c r="G251" i="77" s="1"/>
  <c r="O259" i="77"/>
  <c r="D229" i="59"/>
  <c r="E274" i="59" s="1"/>
  <c r="H227" i="59"/>
  <c r="I272" i="59" s="1"/>
  <c r="C230" i="59"/>
  <c r="D275" i="59" s="1"/>
  <c r="D226" i="59"/>
  <c r="E271" i="59" s="1"/>
  <c r="L219" i="59"/>
  <c r="M264" i="59" s="1"/>
  <c r="K6" i="87"/>
  <c r="L236" i="89"/>
  <c r="C184" i="89"/>
  <c r="D223" i="89" s="1"/>
  <c r="G180" i="89"/>
  <c r="H219" i="89" s="1"/>
  <c r="B377" i="81"/>
  <c r="C434" i="81" s="1"/>
  <c r="G371" i="81"/>
  <c r="H428" i="81" s="1"/>
  <c r="M36" i="90"/>
  <c r="L36" i="90"/>
  <c r="I223" i="111"/>
  <c r="J268" i="111" s="1"/>
  <c r="D284" i="57"/>
  <c r="C284" i="57"/>
  <c r="A284" i="57"/>
  <c r="M296" i="57" s="1"/>
  <c r="I284" i="57"/>
  <c r="E532" i="77"/>
  <c r="N11" i="77"/>
  <c r="C111" i="17"/>
  <c r="D144" i="17" s="1"/>
  <c r="E331" i="41"/>
  <c r="J6" i="41"/>
  <c r="N6" i="41"/>
  <c r="A274" i="41" s="1"/>
  <c r="J224" i="73"/>
  <c r="K269" i="73" s="1"/>
  <c r="C226" i="57"/>
  <c r="D271" i="57" s="1"/>
  <c r="M219" i="73"/>
  <c r="N264" i="73" s="1"/>
  <c r="E380" i="91"/>
  <c r="C182" i="91"/>
  <c r="C380" i="91"/>
  <c r="N7" i="59"/>
  <c r="A360" i="59" s="1"/>
  <c r="E426" i="59"/>
  <c r="J7" i="59"/>
  <c r="E334" i="47"/>
  <c r="J9" i="47"/>
  <c r="N9" i="47"/>
  <c r="A298" i="47" s="1"/>
  <c r="N7" i="55"/>
  <c r="A360" i="55" s="1"/>
  <c r="E426" i="55"/>
  <c r="K7" i="55"/>
  <c r="J7" i="55"/>
  <c r="J221" i="69"/>
  <c r="K266" i="69" s="1"/>
  <c r="I156" i="21"/>
  <c r="A164" i="21" s="1"/>
  <c r="A172" i="21" s="1"/>
  <c r="I221" i="59"/>
  <c r="J266" i="59" s="1"/>
  <c r="G220" i="59"/>
  <c r="H265" i="59" s="1"/>
  <c r="E316" i="81"/>
  <c r="Q334" i="81" s="1"/>
  <c r="E314" i="81"/>
  <c r="G324" i="81"/>
  <c r="E408" i="69"/>
  <c r="C408" i="69"/>
  <c r="C177" i="69"/>
  <c r="B177" i="69"/>
  <c r="H163" i="35"/>
  <c r="I202" i="35" s="1"/>
  <c r="E427" i="57"/>
  <c r="N8" i="57"/>
  <c r="A368" i="57" s="1"/>
  <c r="E637" i="83"/>
  <c r="N6" i="83"/>
  <c r="A532" i="83" s="1"/>
  <c r="K6" i="83"/>
  <c r="C206" i="91"/>
  <c r="D245" i="91" s="1"/>
  <c r="G201" i="91"/>
  <c r="H240" i="91" s="1"/>
  <c r="B375" i="81"/>
  <c r="C432" i="81" s="1"/>
  <c r="P366" i="81"/>
  <c r="Q423" i="81" s="1"/>
  <c r="J368" i="81"/>
  <c r="K425" i="81" s="1"/>
  <c r="K368" i="81"/>
  <c r="L425" i="81" s="1"/>
  <c r="L368" i="81"/>
  <c r="M425" i="81" s="1"/>
  <c r="K7" i="113"/>
  <c r="L256" i="91"/>
  <c r="H253" i="91"/>
  <c r="L260" i="91"/>
  <c r="K260" i="91"/>
  <c r="A270" i="91" s="1"/>
  <c r="A280" i="91" s="1"/>
  <c r="L254" i="91"/>
  <c r="K259" i="91"/>
  <c r="A269" i="91" s="1"/>
  <c r="A279" i="91" s="1"/>
  <c r="K254" i="91"/>
  <c r="A264" i="91" s="1"/>
  <c r="A274" i="91" s="1"/>
  <c r="G253" i="91"/>
  <c r="F253" i="91"/>
  <c r="D253" i="91"/>
  <c r="L257" i="91"/>
  <c r="K257" i="91"/>
  <c r="A267" i="91" s="1"/>
  <c r="A277" i="91" s="1"/>
  <c r="L255" i="91"/>
  <c r="K255" i="91"/>
  <c r="A265" i="91" s="1"/>
  <c r="A275" i="91" s="1"/>
  <c r="L258" i="91"/>
  <c r="C253" i="91"/>
  <c r="L259" i="91"/>
  <c r="K258" i="91"/>
  <c r="A268" i="91" s="1"/>
  <c r="A278" i="91" s="1"/>
  <c r="I253" i="91"/>
  <c r="E253" i="91"/>
  <c r="K256" i="91"/>
  <c r="A266" i="91" s="1"/>
  <c r="A276" i="91" s="1"/>
  <c r="F422" i="93"/>
  <c r="D422" i="93"/>
  <c r="C98" i="93"/>
  <c r="F352" i="61"/>
  <c r="D352" i="61"/>
  <c r="C31" i="61"/>
  <c r="H279" i="67"/>
  <c r="N286" i="67"/>
  <c r="J279" i="67"/>
  <c r="M286" i="67"/>
  <c r="A298" i="67" s="1"/>
  <c r="A310" i="67" s="1"/>
  <c r="I279" i="67"/>
  <c r="N283" i="67"/>
  <c r="G279" i="67"/>
  <c r="M283" i="67"/>
  <c r="A295" i="67" s="1"/>
  <c r="A307" i="67" s="1"/>
  <c r="N280" i="67"/>
  <c r="F279" i="67"/>
  <c r="M280" i="67"/>
  <c r="A292" i="67" s="1"/>
  <c r="A304" i="67" s="1"/>
  <c r="E279" i="67"/>
  <c r="N281" i="67"/>
  <c r="C279" i="67"/>
  <c r="N285" i="67"/>
  <c r="N287" i="67"/>
  <c r="M285" i="67"/>
  <c r="A297" i="67" s="1"/>
  <c r="A309" i="67" s="1"/>
  <c r="M287" i="67"/>
  <c r="A299" i="67" s="1"/>
  <c r="A311" i="67" s="1"/>
  <c r="N284" i="67"/>
  <c r="N282" i="67"/>
  <c r="M288" i="67"/>
  <c r="A300" i="67" s="1"/>
  <c r="A312" i="67" s="1"/>
  <c r="M284" i="67"/>
  <c r="A296" i="67" s="1"/>
  <c r="A308" i="67" s="1"/>
  <c r="M281" i="67"/>
  <c r="A293" i="67" s="1"/>
  <c r="A305" i="67" s="1"/>
  <c r="K279" i="67"/>
  <c r="D279" i="67"/>
  <c r="N288" i="67"/>
  <c r="M282" i="67"/>
  <c r="A294" i="67" s="1"/>
  <c r="A306" i="67" s="1"/>
  <c r="K365" i="83"/>
  <c r="L422" i="83" s="1"/>
  <c r="D378" i="83"/>
  <c r="E435" i="83" s="1"/>
  <c r="L371" i="83"/>
  <c r="M428" i="83" s="1"/>
  <c r="Q365" i="83"/>
  <c r="R422" i="83" s="1"/>
  <c r="C367" i="83"/>
  <c r="D424" i="83" s="1"/>
  <c r="C93" i="87"/>
  <c r="F255" i="87"/>
  <c r="D255" i="87"/>
  <c r="J11" i="77"/>
  <c r="C141" i="53"/>
  <c r="F322" i="53"/>
  <c r="D322" i="53"/>
  <c r="K6" i="41"/>
  <c r="J226" i="57"/>
  <c r="K271" i="57" s="1"/>
  <c r="K7" i="59"/>
  <c r="D408" i="61"/>
  <c r="F408" i="61"/>
  <c r="K9" i="47"/>
  <c r="K12" i="81"/>
  <c r="D260" i="51"/>
  <c r="D259" i="51"/>
  <c r="D258" i="51"/>
  <c r="E223" i="69"/>
  <c r="F268" i="69" s="1"/>
  <c r="D111" i="95"/>
  <c r="H121" i="95" s="1"/>
  <c r="D109" i="95"/>
  <c r="E462" i="93"/>
  <c r="C462" i="93"/>
  <c r="C202" i="93"/>
  <c r="I227" i="59"/>
  <c r="J272" i="59" s="1"/>
  <c r="L222" i="59"/>
  <c r="M267" i="59" s="1"/>
  <c r="K12" i="59"/>
  <c r="C164" i="35"/>
  <c r="D203" i="35" s="1"/>
  <c r="B163" i="35"/>
  <c r="C202" i="35" s="1"/>
  <c r="C168" i="35"/>
  <c r="D207" i="35" s="1"/>
  <c r="M36" i="98"/>
  <c r="L36" i="98"/>
  <c r="J8" i="57"/>
  <c r="J6" i="83"/>
  <c r="I232" i="89"/>
  <c r="K8" i="75"/>
  <c r="F230" i="67"/>
  <c r="G275" i="67" s="1"/>
  <c r="E370" i="81"/>
  <c r="F427" i="81" s="1"/>
  <c r="C367" i="81"/>
  <c r="D424" i="81" s="1"/>
  <c r="C97" i="93"/>
  <c r="E422" i="93"/>
  <c r="C422" i="93"/>
  <c r="C384" i="63"/>
  <c r="E384" i="63"/>
  <c r="G272" i="119"/>
  <c r="H317" i="119" s="1"/>
  <c r="N10" i="89"/>
  <c r="A327" i="89" s="1"/>
  <c r="E364" i="89"/>
  <c r="K10" i="89"/>
  <c r="J15" i="75"/>
  <c r="K9" i="87"/>
  <c r="L271" i="99"/>
  <c r="M316" i="99" s="1"/>
  <c r="C228" i="63"/>
  <c r="D273" i="63" s="1"/>
  <c r="E429" i="69"/>
  <c r="N10" i="69"/>
  <c r="A384" i="69" s="1"/>
  <c r="K10" i="69"/>
  <c r="C114" i="69" s="1"/>
  <c r="G363" i="83"/>
  <c r="H420" i="83" s="1"/>
  <c r="L368" i="83"/>
  <c r="M425" i="83" s="1"/>
  <c r="B376" i="83"/>
  <c r="C433" i="83" s="1"/>
  <c r="O369" i="83"/>
  <c r="P426" i="83" s="1"/>
  <c r="B367" i="83"/>
  <c r="C424" i="83" s="1"/>
  <c r="E645" i="83"/>
  <c r="N14" i="83"/>
  <c r="E243" i="109"/>
  <c r="N9" i="109"/>
  <c r="K9" i="109"/>
  <c r="E337" i="53"/>
  <c r="N12" i="53"/>
  <c r="A322" i="53" s="1"/>
  <c r="G225" i="61"/>
  <c r="H270" i="61" s="1"/>
  <c r="L219" i="73"/>
  <c r="M264" i="73" s="1"/>
  <c r="K226" i="57"/>
  <c r="L271" i="57" s="1"/>
  <c r="K223" i="73"/>
  <c r="L268" i="73" s="1"/>
  <c r="F470" i="77"/>
  <c r="D470" i="77"/>
  <c r="E532" i="79"/>
  <c r="K11" i="79"/>
  <c r="N11" i="79"/>
  <c r="P233" i="83"/>
  <c r="E495" i="93"/>
  <c r="N14" i="93"/>
  <c r="A462" i="93" s="1"/>
  <c r="K14" i="93"/>
  <c r="K225" i="73"/>
  <c r="L270" i="73" s="1"/>
  <c r="A152" i="21"/>
  <c r="I160" i="21" s="1"/>
  <c r="G152" i="21"/>
  <c r="G219" i="59"/>
  <c r="H264" i="59" s="1"/>
  <c r="H222" i="59"/>
  <c r="I267" i="59" s="1"/>
  <c r="E216" i="83"/>
  <c r="K228" i="83" s="1"/>
  <c r="E214" i="83"/>
  <c r="E426" i="73"/>
  <c r="N7" i="73"/>
  <c r="J7" i="73"/>
  <c r="J159" i="35"/>
  <c r="K198" i="35" s="1"/>
  <c r="N11" i="85"/>
  <c r="E277" i="85"/>
  <c r="M28" i="102"/>
  <c r="L28" i="102"/>
  <c r="F223" i="85"/>
  <c r="D223" i="85"/>
  <c r="E391" i="91"/>
  <c r="N8" i="91"/>
  <c r="A332" i="91" s="1"/>
  <c r="K8" i="91"/>
  <c r="J8" i="91"/>
  <c r="C371" i="81"/>
  <c r="D428" i="81" s="1"/>
  <c r="B30" i="65"/>
  <c r="E319" i="127"/>
  <c r="C319" i="127"/>
  <c r="E272" i="113"/>
  <c r="N9" i="113"/>
  <c r="I6" i="119"/>
  <c r="J6" i="119" s="1"/>
  <c r="E429" i="71"/>
  <c r="N10" i="71"/>
  <c r="A384" i="71" s="1"/>
  <c r="J10" i="71"/>
  <c r="A318" i="69"/>
  <c r="A328" i="69" s="1"/>
  <c r="J318" i="69"/>
  <c r="I318" i="69"/>
  <c r="E514" i="121"/>
  <c r="N8" i="121"/>
  <c r="A431" i="121" s="1"/>
  <c r="K8" i="121"/>
  <c r="H174" i="125"/>
  <c r="A181" i="125" s="1"/>
  <c r="A188" i="125" s="1"/>
  <c r="I174" i="125"/>
  <c r="I171" i="125"/>
  <c r="H171" i="125"/>
  <c r="A178" i="125" s="1"/>
  <c r="A185" i="125" s="1"/>
  <c r="H173" i="125"/>
  <c r="A180" i="125" s="1"/>
  <c r="A187" i="125" s="1"/>
  <c r="D170" i="125"/>
  <c r="C170" i="125"/>
  <c r="I173" i="125"/>
  <c r="I172" i="125"/>
  <c r="H172" i="125"/>
  <c r="A179" i="125" s="1"/>
  <c r="A186" i="125" s="1"/>
  <c r="E170" i="125"/>
  <c r="F170" i="125"/>
  <c r="E416" i="71"/>
  <c r="C416" i="71"/>
  <c r="B198" i="71"/>
  <c r="E360" i="115"/>
  <c r="N9" i="115"/>
  <c r="A316" i="115" s="1"/>
  <c r="K9" i="115"/>
  <c r="M271" i="99"/>
  <c r="N316" i="99" s="1"/>
  <c r="G266" i="99"/>
  <c r="H311" i="99" s="1"/>
  <c r="E239" i="95"/>
  <c r="C239" i="95"/>
  <c r="D295" i="107"/>
  <c r="F295" i="107"/>
  <c r="I250" i="133"/>
  <c r="J295" i="133" s="1"/>
  <c r="E485" i="141"/>
  <c r="N7" i="141"/>
  <c r="A403" i="141" s="1"/>
  <c r="K7" i="141"/>
  <c r="J7" i="141"/>
  <c r="M32" i="88"/>
  <c r="L32" i="88"/>
  <c r="F493" i="135"/>
  <c r="D493" i="135"/>
  <c r="C276" i="119"/>
  <c r="D321" i="119" s="1"/>
  <c r="M272" i="117"/>
  <c r="N317" i="117" s="1"/>
  <c r="H232" i="127"/>
  <c r="L329" i="141"/>
  <c r="A340" i="141" s="1"/>
  <c r="A351" i="141" s="1"/>
  <c r="G266" i="117"/>
  <c r="H311" i="117" s="1"/>
  <c r="G181" i="89"/>
  <c r="H220" i="89" s="1"/>
  <c r="J219" i="67"/>
  <c r="K264" i="67" s="1"/>
  <c r="P363" i="81"/>
  <c r="Q420" i="81" s="1"/>
  <c r="C369" i="81"/>
  <c r="D426" i="81" s="1"/>
  <c r="O372" i="81"/>
  <c r="P429" i="81" s="1"/>
  <c r="C368" i="81"/>
  <c r="D425" i="81" s="1"/>
  <c r="D369" i="81"/>
  <c r="E426" i="81" s="1"/>
  <c r="L369" i="81"/>
  <c r="M426" i="81" s="1"/>
  <c r="F295" i="77"/>
  <c r="G346" i="77" s="1"/>
  <c r="J9" i="113"/>
  <c r="F351" i="127"/>
  <c r="D351" i="127"/>
  <c r="F186" i="127"/>
  <c r="G225" i="127" s="1"/>
  <c r="I317" i="69"/>
  <c r="A317" i="69"/>
  <c r="A327" i="69" s="1"/>
  <c r="H317" i="69"/>
  <c r="F219" i="111"/>
  <c r="G264" i="111" s="1"/>
  <c r="E496" i="99"/>
  <c r="K15" i="99"/>
  <c r="N15" i="99"/>
  <c r="A470" i="99" s="1"/>
  <c r="E433" i="71"/>
  <c r="N14" i="71"/>
  <c r="A416" i="71" s="1"/>
  <c r="K14" i="71"/>
  <c r="C198" i="71" s="1"/>
  <c r="J9" i="115"/>
  <c r="G160" i="129"/>
  <c r="H199" i="129" s="1"/>
  <c r="C164" i="129"/>
  <c r="D203" i="129" s="1"/>
  <c r="D377" i="133"/>
  <c r="C54" i="133"/>
  <c r="F377" i="133"/>
  <c r="E487" i="119"/>
  <c r="N9" i="119"/>
  <c r="A419" i="119" s="1"/>
  <c r="J9" i="119"/>
  <c r="K353" i="121"/>
  <c r="A363" i="121" s="1"/>
  <c r="A373" i="121" s="1"/>
  <c r="D251" i="139"/>
  <c r="E296" i="139" s="1"/>
  <c r="L295" i="135"/>
  <c r="M340" i="135" s="1"/>
  <c r="E642" i="83"/>
  <c r="N11" i="83"/>
  <c r="A572" i="83" s="1"/>
  <c r="J11" i="83"/>
  <c r="E458" i="139"/>
  <c r="N11" i="139"/>
  <c r="A412" i="139" s="1"/>
  <c r="K11" i="139"/>
  <c r="J11" i="139"/>
  <c r="E489" i="119"/>
  <c r="N11" i="119"/>
  <c r="C140" i="119" s="1"/>
  <c r="J6" i="139"/>
  <c r="I6" i="139"/>
  <c r="M329" i="141"/>
  <c r="E272" i="141"/>
  <c r="F317" i="141" s="1"/>
  <c r="C411" i="141"/>
  <c r="E411" i="141"/>
  <c r="I205" i="91"/>
  <c r="J244" i="91" s="1"/>
  <c r="F181" i="89"/>
  <c r="H185" i="89"/>
  <c r="I224" i="89" s="1"/>
  <c r="G186" i="89"/>
  <c r="H225" i="89" s="1"/>
  <c r="G364" i="81"/>
  <c r="H421" i="81" s="1"/>
  <c r="N364" i="81"/>
  <c r="O421" i="81" s="1"/>
  <c r="F374" i="81"/>
  <c r="G431" i="81" s="1"/>
  <c r="O369" i="81"/>
  <c r="P426" i="81" s="1"/>
  <c r="D370" i="81"/>
  <c r="E427" i="81" s="1"/>
  <c r="L370" i="81"/>
  <c r="M427" i="81" s="1"/>
  <c r="E331" i="49"/>
  <c r="N6" i="49"/>
  <c r="A274" i="49" s="1"/>
  <c r="K6" i="49"/>
  <c r="C26" i="49" s="1"/>
  <c r="O288" i="77"/>
  <c r="P339" i="77" s="1"/>
  <c r="I298" i="77"/>
  <c r="J349" i="77" s="1"/>
  <c r="F454" i="79"/>
  <c r="D454" i="79"/>
  <c r="E427" i="73"/>
  <c r="N8" i="73"/>
  <c r="A368" i="73" s="1"/>
  <c r="L272" i="99"/>
  <c r="M317" i="99" s="1"/>
  <c r="D303" i="129"/>
  <c r="F303" i="129"/>
  <c r="C103" i="129"/>
  <c r="J15" i="99"/>
  <c r="N7" i="105"/>
  <c r="A209" i="105" s="1"/>
  <c r="E243" i="105"/>
  <c r="I270" i="117"/>
  <c r="J315" i="117" s="1"/>
  <c r="F272" i="99"/>
  <c r="G317" i="99" s="1"/>
  <c r="I15" i="133"/>
  <c r="K15" i="133" s="1"/>
  <c r="F406" i="93"/>
  <c r="D406" i="93"/>
  <c r="A152" i="109"/>
  <c r="F157" i="109" s="1"/>
  <c r="F451" i="117"/>
  <c r="D451" i="117"/>
  <c r="C182" i="117"/>
  <c r="F181" i="115"/>
  <c r="G220" i="115" s="1"/>
  <c r="B292" i="135"/>
  <c r="C337" i="135" s="1"/>
  <c r="E488" i="143"/>
  <c r="N16" i="143"/>
  <c r="A469" i="143" s="1"/>
  <c r="K16" i="143"/>
  <c r="M30" i="138"/>
  <c r="L30" i="138"/>
  <c r="E98" i="99"/>
  <c r="E100" i="99"/>
  <c r="M114" i="99" s="1"/>
  <c r="K112" i="99"/>
  <c r="H276" i="119"/>
  <c r="I321" i="119" s="1"/>
  <c r="E241" i="109"/>
  <c r="N7" i="109"/>
  <c r="A207" i="109" s="1"/>
  <c r="F187" i="89"/>
  <c r="G226" i="89" s="1"/>
  <c r="I184" i="89"/>
  <c r="J223" i="89" s="1"/>
  <c r="C73" i="73"/>
  <c r="F368" i="73"/>
  <c r="D368" i="73"/>
  <c r="M368" i="81"/>
  <c r="N425" i="81" s="1"/>
  <c r="Q363" i="81"/>
  <c r="R420" i="81" s="1"/>
  <c r="F371" i="81"/>
  <c r="G428" i="81" s="1"/>
  <c r="E274" i="49"/>
  <c r="C274" i="49"/>
  <c r="E430" i="63"/>
  <c r="N11" i="63"/>
  <c r="B135" i="63" s="1"/>
  <c r="C368" i="73"/>
  <c r="E368" i="73"/>
  <c r="L265" i="99"/>
  <c r="M310" i="99" s="1"/>
  <c r="F217" i="105"/>
  <c r="D217" i="105"/>
  <c r="E512" i="121"/>
  <c r="K6" i="121"/>
  <c r="N6" i="121"/>
  <c r="A415" i="121" s="1"/>
  <c r="J6" i="121"/>
  <c r="C48" i="101"/>
  <c r="E157" i="101"/>
  <c r="B48" i="101"/>
  <c r="C157" i="101"/>
  <c r="I275" i="119"/>
  <c r="J320" i="119" s="1"/>
  <c r="E406" i="131"/>
  <c r="C406" i="131"/>
  <c r="E209" i="105"/>
  <c r="C209" i="105"/>
  <c r="E215" i="109"/>
  <c r="C215" i="109"/>
  <c r="E245" i="105"/>
  <c r="N9" i="105"/>
  <c r="K9" i="105"/>
  <c r="M265" i="117"/>
  <c r="N310" i="117" s="1"/>
  <c r="I276" i="99"/>
  <c r="J321" i="99" s="1"/>
  <c r="F478" i="99"/>
  <c r="D478" i="99"/>
  <c r="G159" i="129"/>
  <c r="H198" i="129" s="1"/>
  <c r="M34" i="138"/>
  <c r="L34" i="138"/>
  <c r="L330" i="141"/>
  <c r="A341" i="141" s="1"/>
  <c r="A352" i="141" s="1"/>
  <c r="L333" i="141"/>
  <c r="A344" i="141" s="1"/>
  <c r="A355" i="141" s="1"/>
  <c r="I325" i="141"/>
  <c r="G325" i="141"/>
  <c r="L331" i="141"/>
  <c r="A342" i="141" s="1"/>
  <c r="A353" i="141" s="1"/>
  <c r="C325" i="141"/>
  <c r="E325" i="141"/>
  <c r="M331" i="141"/>
  <c r="L332" i="141"/>
  <c r="A343" i="141" s="1"/>
  <c r="A354" i="141" s="1"/>
  <c r="M327" i="141"/>
  <c r="M330" i="141"/>
  <c r="M328" i="141"/>
  <c r="M332" i="141"/>
  <c r="J325" i="141"/>
  <c r="J360" i="141" s="1"/>
  <c r="M333" i="141"/>
  <c r="F325" i="141"/>
  <c r="M326" i="141"/>
  <c r="E521" i="97"/>
  <c r="N9" i="97"/>
  <c r="A445" i="97" s="1"/>
  <c r="K9" i="97"/>
  <c r="J9" i="97"/>
  <c r="D188" i="109"/>
  <c r="D187" i="109"/>
  <c r="D190" i="109"/>
  <c r="D189" i="109"/>
  <c r="D186" i="109"/>
  <c r="D185" i="109"/>
  <c r="E405" i="111"/>
  <c r="C405" i="111"/>
  <c r="F324" i="115"/>
  <c r="D324" i="115"/>
  <c r="C105" i="115"/>
  <c r="M33" i="120"/>
  <c r="L33" i="120"/>
  <c r="K242" i="139"/>
  <c r="L287" i="139" s="1"/>
  <c r="J242" i="139"/>
  <c r="K287" i="139" s="1"/>
  <c r="C293" i="135"/>
  <c r="D338" i="135" s="1"/>
  <c r="C244" i="143"/>
  <c r="C469" i="143"/>
  <c r="E469" i="143"/>
  <c r="E497" i="99"/>
  <c r="N16" i="99"/>
  <c r="C244" i="99" s="1"/>
  <c r="B270" i="119"/>
  <c r="C315" i="119" s="1"/>
  <c r="L271" i="117"/>
  <c r="M316" i="117" s="1"/>
  <c r="A194" i="137"/>
  <c r="A199" i="137" s="1"/>
  <c r="A235" i="127"/>
  <c r="K245" i="127" s="1"/>
  <c r="D325" i="141"/>
  <c r="C275" i="141"/>
  <c r="D320" i="141" s="1"/>
  <c r="E415" i="123"/>
  <c r="C415" i="123"/>
  <c r="K7" i="105"/>
  <c r="C39" i="105" s="1"/>
  <c r="H163" i="129"/>
  <c r="I202" i="129" s="1"/>
  <c r="G166" i="129"/>
  <c r="H205" i="129" s="1"/>
  <c r="B206" i="91"/>
  <c r="C245" i="91" s="1"/>
  <c r="H206" i="91"/>
  <c r="I245" i="91" s="1"/>
  <c r="B184" i="89"/>
  <c r="C223" i="89" s="1"/>
  <c r="M377" i="81"/>
  <c r="N434" i="81" s="1"/>
  <c r="D372" i="81"/>
  <c r="E429" i="81" s="1"/>
  <c r="L372" i="81"/>
  <c r="M429" i="81" s="1"/>
  <c r="E427" i="61"/>
  <c r="N8" i="61"/>
  <c r="A368" i="61" s="1"/>
  <c r="J8" i="61"/>
  <c r="E392" i="63"/>
  <c r="C392" i="63"/>
  <c r="E647" i="81"/>
  <c r="N16" i="81"/>
  <c r="J16" i="81"/>
  <c r="E429" i="57"/>
  <c r="K10" i="57"/>
  <c r="N10" i="57"/>
  <c r="A384" i="57" s="1"/>
  <c r="J10" i="57"/>
  <c r="D494" i="75"/>
  <c r="F494" i="75"/>
  <c r="I230" i="111"/>
  <c r="J275" i="111" s="1"/>
  <c r="C319" i="89"/>
  <c r="E319" i="89"/>
  <c r="E333" i="51"/>
  <c r="N8" i="51"/>
  <c r="C503" i="121"/>
  <c r="E503" i="121"/>
  <c r="C267" i="121"/>
  <c r="B267" i="121"/>
  <c r="M266" i="117"/>
  <c r="N311" i="117" s="1"/>
  <c r="C225" i="105"/>
  <c r="E225" i="105"/>
  <c r="G271" i="117"/>
  <c r="H316" i="117" s="1"/>
  <c r="M272" i="99"/>
  <c r="N317" i="99" s="1"/>
  <c r="E455" i="133"/>
  <c r="N11" i="133"/>
  <c r="A409" i="133" s="1"/>
  <c r="K11" i="133"/>
  <c r="J11" i="133"/>
  <c r="F159" i="129"/>
  <c r="G198" i="129" s="1"/>
  <c r="E328" i="129"/>
  <c r="K6" i="129"/>
  <c r="N6" i="129"/>
  <c r="A271" i="129" s="1"/>
  <c r="J6" i="129"/>
  <c r="A363" i="141"/>
  <c r="A372" i="141" s="1"/>
  <c r="F363" i="141"/>
  <c r="E273" i="125"/>
  <c r="N10" i="125"/>
  <c r="A252" i="125" s="1"/>
  <c r="K10" i="125"/>
  <c r="J10" i="125"/>
  <c r="E202" i="141"/>
  <c r="B203" i="141"/>
  <c r="E204" i="141"/>
  <c r="M218" i="141" s="1"/>
  <c r="K216" i="141"/>
  <c r="L244" i="139"/>
  <c r="M289" i="139" s="1"/>
  <c r="C463" i="121"/>
  <c r="B162" i="121"/>
  <c r="E463" i="121"/>
  <c r="C162" i="121"/>
  <c r="K291" i="75"/>
  <c r="L342" i="75" s="1"/>
  <c r="L239" i="127"/>
  <c r="L326" i="141"/>
  <c r="A337" i="141" s="1"/>
  <c r="A348" i="141" s="1"/>
  <c r="G180" i="127"/>
  <c r="H219" i="127" s="1"/>
  <c r="K160" i="129"/>
  <c r="L199" i="129" s="1"/>
  <c r="C168" i="129"/>
  <c r="D207" i="129" s="1"/>
  <c r="L30" i="92"/>
  <c r="M30" i="92"/>
  <c r="F208" i="91"/>
  <c r="G247" i="91" s="1"/>
  <c r="I185" i="89"/>
  <c r="J224" i="89" s="1"/>
  <c r="E392" i="91"/>
  <c r="K9" i="91"/>
  <c r="N9" i="91"/>
  <c r="P364" i="81"/>
  <c r="Q421" i="81" s="1"/>
  <c r="K8" i="61"/>
  <c r="E493" i="119"/>
  <c r="N15" i="119"/>
  <c r="A467" i="119" s="1"/>
  <c r="K15" i="119"/>
  <c r="C223" i="119" s="1"/>
  <c r="E364" i="115"/>
  <c r="N13" i="115"/>
  <c r="A348" i="115" s="1"/>
  <c r="K13" i="115"/>
  <c r="J8" i="51"/>
  <c r="E358" i="115"/>
  <c r="N7" i="115"/>
  <c r="A300" i="115" s="1"/>
  <c r="F236" i="125"/>
  <c r="D236" i="125"/>
  <c r="B276" i="99"/>
  <c r="C321" i="99" s="1"/>
  <c r="K9" i="119"/>
  <c r="M266" i="119"/>
  <c r="N311" i="119" s="1"/>
  <c r="H275" i="143"/>
  <c r="I320" i="143" s="1"/>
  <c r="E403" i="119"/>
  <c r="C403" i="119"/>
  <c r="H270" i="117"/>
  <c r="I315" i="117" s="1"/>
  <c r="L238" i="127"/>
  <c r="G265" i="143"/>
  <c r="H310" i="143" s="1"/>
  <c r="E220" i="125"/>
  <c r="C220" i="125"/>
  <c r="J248" i="139"/>
  <c r="K293" i="139" s="1"/>
  <c r="H299" i="123"/>
  <c r="I344" i="123" s="1"/>
  <c r="F429" i="97"/>
  <c r="D429" i="97"/>
  <c r="E335" i="45"/>
  <c r="N10" i="45"/>
  <c r="A306" i="45" s="1"/>
  <c r="K10" i="45"/>
  <c r="P399" i="79"/>
  <c r="P401" i="79"/>
  <c r="P400" i="79"/>
  <c r="A318" i="57"/>
  <c r="A328" i="57" s="1"/>
  <c r="K318" i="57"/>
  <c r="G318" i="57"/>
  <c r="F318" i="57"/>
  <c r="J318" i="57"/>
  <c r="E640" i="81"/>
  <c r="K9" i="81"/>
  <c r="N9" i="81"/>
  <c r="A556" i="81" s="1"/>
  <c r="E423" i="111"/>
  <c r="J7" i="111"/>
  <c r="N7" i="111"/>
  <c r="A357" i="111" s="1"/>
  <c r="D430" i="131"/>
  <c r="F430" i="131"/>
  <c r="E516" i="121"/>
  <c r="N10" i="121"/>
  <c r="A447" i="121" s="1"/>
  <c r="J10" i="121"/>
  <c r="K10" i="121"/>
  <c r="E467" i="119"/>
  <c r="C467" i="119"/>
  <c r="C161" i="115"/>
  <c r="E348" i="115"/>
  <c r="C348" i="115"/>
  <c r="F300" i="115"/>
  <c r="D300" i="115"/>
  <c r="F443" i="117"/>
  <c r="D443" i="117"/>
  <c r="E300" i="115"/>
  <c r="B47" i="115"/>
  <c r="C300" i="115"/>
  <c r="L349" i="123"/>
  <c r="I348" i="123"/>
  <c r="K352" i="123"/>
  <c r="A362" i="123" s="1"/>
  <c r="A372" i="123" s="1"/>
  <c r="K354" i="123"/>
  <c r="A364" i="123" s="1"/>
  <c r="A374" i="123" s="1"/>
  <c r="K349" i="123"/>
  <c r="A359" i="123" s="1"/>
  <c r="A369" i="123" s="1"/>
  <c r="E348" i="123"/>
  <c r="D348" i="123"/>
  <c r="L355" i="123"/>
  <c r="K353" i="123"/>
  <c r="A363" i="123" s="1"/>
  <c r="A373" i="123" s="1"/>
  <c r="G348" i="123"/>
  <c r="K355" i="123"/>
  <c r="A365" i="123" s="1"/>
  <c r="A375" i="123" s="1"/>
  <c r="F348" i="123"/>
  <c r="L351" i="123"/>
  <c r="K351" i="123"/>
  <c r="A361" i="123" s="1"/>
  <c r="A371" i="123" s="1"/>
  <c r="C348" i="123"/>
  <c r="K350" i="123"/>
  <c r="A360" i="123" s="1"/>
  <c r="A370" i="123" s="1"/>
  <c r="L353" i="123"/>
  <c r="L354" i="123"/>
  <c r="L352" i="123"/>
  <c r="H348" i="123"/>
  <c r="L350" i="123"/>
  <c r="I11" i="135"/>
  <c r="C451" i="119"/>
  <c r="E451" i="119"/>
  <c r="E509" i="97"/>
  <c r="C509" i="97"/>
  <c r="E250" i="139"/>
  <c r="F295" i="139" s="1"/>
  <c r="E330" i="107"/>
  <c r="N8" i="107"/>
  <c r="A287" i="107" s="1"/>
  <c r="J8" i="107"/>
  <c r="L236" i="127"/>
  <c r="K266" i="141"/>
  <c r="L311" i="141" s="1"/>
  <c r="F408" i="63"/>
  <c r="D408" i="63"/>
  <c r="D99" i="101"/>
  <c r="G101" i="101"/>
  <c r="F101" i="101"/>
  <c r="A106" i="101" s="1"/>
  <c r="A111" i="101" s="1"/>
  <c r="G100" i="101"/>
  <c r="F100" i="101"/>
  <c r="A105" i="101" s="1"/>
  <c r="A110" i="101" s="1"/>
  <c r="C99" i="101"/>
  <c r="E400" i="73"/>
  <c r="C400" i="73"/>
  <c r="J221" i="67"/>
  <c r="K266" i="67" s="1"/>
  <c r="M372" i="81"/>
  <c r="N429" i="81" s="1"/>
  <c r="E377" i="81"/>
  <c r="F434" i="81" s="1"/>
  <c r="Q365" i="81"/>
  <c r="R422" i="81" s="1"/>
  <c r="H375" i="81"/>
  <c r="I432" i="81" s="1"/>
  <c r="I375" i="81"/>
  <c r="J432" i="81" s="1"/>
  <c r="J375" i="81"/>
  <c r="K432" i="81" s="1"/>
  <c r="K375" i="81"/>
  <c r="L432" i="81" s="1"/>
  <c r="D266" i="79"/>
  <c r="H276" i="79" s="1"/>
  <c r="D264" i="79"/>
  <c r="D293" i="77"/>
  <c r="E344" i="77" s="1"/>
  <c r="H289" i="77"/>
  <c r="I340" i="77" s="1"/>
  <c r="J10" i="45"/>
  <c r="P362" i="79"/>
  <c r="O362" i="79"/>
  <c r="A376" i="79" s="1"/>
  <c r="A390" i="79" s="1"/>
  <c r="P363" i="79"/>
  <c r="M355" i="79"/>
  <c r="O363" i="79"/>
  <c r="A377" i="79" s="1"/>
  <c r="A391" i="79" s="1"/>
  <c r="L355" i="79"/>
  <c r="P364" i="79"/>
  <c r="P356" i="79"/>
  <c r="K355" i="79"/>
  <c r="P366" i="79"/>
  <c r="P358" i="79"/>
  <c r="G355" i="79"/>
  <c r="P361" i="79"/>
  <c r="P359" i="79"/>
  <c r="O361" i="79"/>
  <c r="A375" i="79" s="1"/>
  <c r="A389" i="79" s="1"/>
  <c r="O359" i="79"/>
  <c r="A373" i="79" s="1"/>
  <c r="A387" i="79" s="1"/>
  <c r="P357" i="79"/>
  <c r="O357" i="79"/>
  <c r="A371" i="79" s="1"/>
  <c r="A385" i="79" s="1"/>
  <c r="P365" i="79"/>
  <c r="O365" i="79"/>
  <c r="A379" i="79" s="1"/>
  <c r="A393" i="79" s="1"/>
  <c r="O356" i="79"/>
  <c r="A370" i="79" s="1"/>
  <c r="A384" i="79" s="1"/>
  <c r="H355" i="79"/>
  <c r="O364" i="79"/>
  <c r="A378" i="79" s="1"/>
  <c r="A392" i="79" s="1"/>
  <c r="J355" i="79"/>
  <c r="P360" i="79"/>
  <c r="I355" i="79"/>
  <c r="O360" i="79"/>
  <c r="A374" i="79" s="1"/>
  <c r="A388" i="79" s="1"/>
  <c r="F355" i="79"/>
  <c r="E355" i="79"/>
  <c r="D355" i="79"/>
  <c r="O366" i="79"/>
  <c r="A380" i="79" s="1"/>
  <c r="A394" i="79" s="1"/>
  <c r="O358" i="79"/>
  <c r="A372" i="79" s="1"/>
  <c r="A386" i="79" s="1"/>
  <c r="C355" i="79"/>
  <c r="E432" i="61"/>
  <c r="N13" i="61"/>
  <c r="K7" i="111"/>
  <c r="E521" i="121"/>
  <c r="N15" i="121"/>
  <c r="A487" i="121" s="1"/>
  <c r="K15" i="121"/>
  <c r="E515" i="123"/>
  <c r="N9" i="123"/>
  <c r="A439" i="123" s="1"/>
  <c r="K9" i="123"/>
  <c r="M31" i="122"/>
  <c r="L31" i="122"/>
  <c r="D385" i="133"/>
  <c r="F385" i="133"/>
  <c r="D340" i="115"/>
  <c r="C143" i="115"/>
  <c r="F340" i="115"/>
  <c r="I8" i="115"/>
  <c r="K8" i="115" s="1"/>
  <c r="E121" i="107"/>
  <c r="B122" i="107"/>
  <c r="E123" i="107"/>
  <c r="K135" i="107" s="1"/>
  <c r="E129" i="107"/>
  <c r="L384" i="123"/>
  <c r="L383" i="123"/>
  <c r="L382" i="123"/>
  <c r="L381" i="123"/>
  <c r="M31" i="126"/>
  <c r="L31" i="126"/>
  <c r="E491" i="119"/>
  <c r="N13" i="119"/>
  <c r="C181" i="119" s="1"/>
  <c r="K13" i="119"/>
  <c r="E491" i="131"/>
  <c r="N10" i="131"/>
  <c r="A430" i="131" s="1"/>
  <c r="J10" i="131"/>
  <c r="F421" i="143"/>
  <c r="D421" i="143"/>
  <c r="E529" i="97"/>
  <c r="K17" i="97"/>
  <c r="N17" i="97"/>
  <c r="I348" i="121"/>
  <c r="I350" i="121" s="1"/>
  <c r="M271" i="119"/>
  <c r="N316" i="119" s="1"/>
  <c r="J249" i="139"/>
  <c r="K294" i="139" s="1"/>
  <c r="B251" i="139"/>
  <c r="C296" i="139" s="1"/>
  <c r="M242" i="139"/>
  <c r="N287" i="139" s="1"/>
  <c r="I298" i="135"/>
  <c r="J343" i="135" s="1"/>
  <c r="D435" i="119"/>
  <c r="F435" i="119"/>
  <c r="B163" i="81"/>
  <c r="K248" i="133"/>
  <c r="L293" i="133" s="1"/>
  <c r="E515" i="121"/>
  <c r="N9" i="121"/>
  <c r="A439" i="121" s="1"/>
  <c r="K9" i="121"/>
  <c r="C99" i="121" s="1"/>
  <c r="I251" i="139"/>
  <c r="J296" i="139" s="1"/>
  <c r="F180" i="89"/>
  <c r="B185" i="89"/>
  <c r="C224" i="89" s="1"/>
  <c r="B370" i="81"/>
  <c r="C427" i="81" s="1"/>
  <c r="N369" i="81"/>
  <c r="O426" i="81" s="1"/>
  <c r="G363" i="81"/>
  <c r="H420" i="81" s="1"/>
  <c r="H376" i="81"/>
  <c r="I433" i="81" s="1"/>
  <c r="I376" i="81"/>
  <c r="J433" i="81" s="1"/>
  <c r="J376" i="81"/>
  <c r="K433" i="81" s="1"/>
  <c r="K376" i="81"/>
  <c r="L433" i="81" s="1"/>
  <c r="E204" i="33"/>
  <c r="C204" i="33"/>
  <c r="E519" i="97"/>
  <c r="N7" i="97"/>
  <c r="H295" i="77"/>
  <c r="I346" i="77" s="1"/>
  <c r="J13" i="61"/>
  <c r="L286" i="91"/>
  <c r="L287" i="91"/>
  <c r="J15" i="121"/>
  <c r="J9" i="123"/>
  <c r="I195" i="113"/>
  <c r="I194" i="113"/>
  <c r="I193" i="113"/>
  <c r="I196" i="113"/>
  <c r="E531" i="75"/>
  <c r="N10" i="75"/>
  <c r="K224" i="111"/>
  <c r="L269" i="111" s="1"/>
  <c r="M265" i="119"/>
  <c r="N310" i="119" s="1"/>
  <c r="E140" i="99"/>
  <c r="E142" i="99"/>
  <c r="K154" i="99" s="1"/>
  <c r="E148" i="99"/>
  <c r="N7" i="85"/>
  <c r="A231" i="85" s="1"/>
  <c r="E273" i="85"/>
  <c r="K7" i="85"/>
  <c r="E526" i="97"/>
  <c r="N14" i="97"/>
  <c r="A485" i="97" s="1"/>
  <c r="K14" i="97"/>
  <c r="D423" i="123"/>
  <c r="F423" i="123"/>
  <c r="L28" i="122"/>
  <c r="M28" i="122"/>
  <c r="C58" i="77"/>
  <c r="F446" i="77"/>
  <c r="D446" i="77"/>
  <c r="F160" i="129"/>
  <c r="G199" i="129" s="1"/>
  <c r="E424" i="111"/>
  <c r="K8" i="111"/>
  <c r="N8" i="111"/>
  <c r="A365" i="111" s="1"/>
  <c r="J8" i="111"/>
  <c r="E251" i="139"/>
  <c r="F296" i="139" s="1"/>
  <c r="H292" i="135"/>
  <c r="I337" i="135" s="1"/>
  <c r="E244" i="109"/>
  <c r="N10" i="109"/>
  <c r="A231" i="109" s="1"/>
  <c r="J10" i="109"/>
  <c r="K10" i="109"/>
  <c r="E365" i="127"/>
  <c r="N11" i="127"/>
  <c r="A335" i="127" s="1"/>
  <c r="K11" i="127"/>
  <c r="E451" i="117"/>
  <c r="C451" i="117"/>
  <c r="B181" i="117"/>
  <c r="C181" i="117"/>
  <c r="I275" i="117"/>
  <c r="J320" i="117" s="1"/>
  <c r="L266" i="117"/>
  <c r="M311" i="117" s="1"/>
  <c r="I16" i="119"/>
  <c r="K16" i="119" s="1"/>
  <c r="C439" i="121"/>
  <c r="E439" i="121"/>
  <c r="B99" i="121"/>
  <c r="B163" i="129"/>
  <c r="C202" i="129" s="1"/>
  <c r="F455" i="123"/>
  <c r="C142" i="123"/>
  <c r="D455" i="123"/>
  <c r="C141" i="123"/>
  <c r="I12" i="131"/>
  <c r="K12" i="131" s="1"/>
  <c r="D393" i="133"/>
  <c r="F393" i="133"/>
  <c r="E470" i="75"/>
  <c r="B126" i="75"/>
  <c r="C470" i="75"/>
  <c r="C126" i="75"/>
  <c r="E490" i="93"/>
  <c r="N9" i="93"/>
  <c r="A422" i="93" s="1"/>
  <c r="I269" i="117"/>
  <c r="J314" i="117" s="1"/>
  <c r="M28" i="136"/>
  <c r="L28" i="136"/>
  <c r="E231" i="85"/>
  <c r="C231" i="85"/>
  <c r="B204" i="97"/>
  <c r="E485" i="97"/>
  <c r="C485" i="97"/>
  <c r="C275" i="117"/>
  <c r="D320" i="117" s="1"/>
  <c r="F265" i="99"/>
  <c r="G310" i="99" s="1"/>
  <c r="E272" i="95"/>
  <c r="J6" i="95"/>
  <c r="N6" i="95"/>
  <c r="A223" i="95" s="1"/>
  <c r="C270" i="99"/>
  <c r="D315" i="99" s="1"/>
  <c r="M266" i="99"/>
  <c r="N311" i="99" s="1"/>
  <c r="E529" i="135"/>
  <c r="N17" i="135"/>
  <c r="A509" i="135" s="1"/>
  <c r="K17" i="135"/>
  <c r="L38" i="98"/>
  <c r="M38" i="98"/>
  <c r="L243" i="139"/>
  <c r="M288" i="139" s="1"/>
  <c r="C335" i="127"/>
  <c r="E335" i="127"/>
  <c r="D102" i="129"/>
  <c r="D104" i="129"/>
  <c r="J116" i="129" s="1"/>
  <c r="H114" i="129"/>
  <c r="A360" i="141"/>
  <c r="A369" i="141" s="1"/>
  <c r="H250" i="139"/>
  <c r="I295" i="139" s="1"/>
  <c r="I232" i="127"/>
  <c r="E480" i="143"/>
  <c r="N8" i="143"/>
  <c r="A405" i="143" s="1"/>
  <c r="J8" i="143"/>
  <c r="E488" i="117"/>
  <c r="K10" i="117"/>
  <c r="N10" i="117"/>
  <c r="A427" i="117" s="1"/>
  <c r="J10" i="117"/>
  <c r="K6" i="95"/>
  <c r="C269" i="99"/>
  <c r="D314" i="99" s="1"/>
  <c r="E485" i="117"/>
  <c r="N7" i="117"/>
  <c r="A403" i="117" s="1"/>
  <c r="K7" i="117"/>
  <c r="F479" i="121"/>
  <c r="D479" i="121"/>
  <c r="J17" i="135"/>
  <c r="C279" i="111"/>
  <c r="M287" i="111"/>
  <c r="L287" i="111"/>
  <c r="A298" i="111" s="1"/>
  <c r="A309" i="111" s="1"/>
  <c r="M284" i="111"/>
  <c r="L281" i="111"/>
  <c r="A292" i="111" s="1"/>
  <c r="A303" i="111" s="1"/>
  <c r="L283" i="111"/>
  <c r="A294" i="111" s="1"/>
  <c r="A305" i="111" s="1"/>
  <c r="I279" i="111"/>
  <c r="E279" i="111"/>
  <c r="L284" i="111"/>
  <c r="A295" i="111" s="1"/>
  <c r="A306" i="111" s="1"/>
  <c r="L282" i="111"/>
  <c r="A293" i="111" s="1"/>
  <c r="A304" i="111" s="1"/>
  <c r="M280" i="111"/>
  <c r="M286" i="111"/>
  <c r="J279" i="111"/>
  <c r="L286" i="111"/>
  <c r="A297" i="111" s="1"/>
  <c r="A308" i="111" s="1"/>
  <c r="H279" i="111"/>
  <c r="M283" i="111"/>
  <c r="M282" i="111"/>
  <c r="M285" i="111"/>
  <c r="M281" i="111"/>
  <c r="L285" i="111"/>
  <c r="A296" i="111" s="1"/>
  <c r="A307" i="111" s="1"/>
  <c r="L280" i="111"/>
  <c r="A291" i="111" s="1"/>
  <c r="A302" i="111" s="1"/>
  <c r="F279" i="111"/>
  <c r="D279" i="111"/>
  <c r="G279" i="111"/>
  <c r="M31" i="128"/>
  <c r="L31" i="128"/>
  <c r="L294" i="123"/>
  <c r="M339" i="123" s="1"/>
  <c r="I15" i="131"/>
  <c r="J15" i="131" s="1"/>
  <c r="F294" i="135"/>
  <c r="G339" i="135" s="1"/>
  <c r="C102" i="129"/>
  <c r="M362" i="141"/>
  <c r="D148" i="103"/>
  <c r="C34" i="103"/>
  <c r="F148" i="103"/>
  <c r="C269" i="117"/>
  <c r="D314" i="117" s="1"/>
  <c r="C443" i="141"/>
  <c r="E443" i="141"/>
  <c r="B270" i="117"/>
  <c r="C315" i="117" s="1"/>
  <c r="C276" i="117"/>
  <c r="D321" i="117" s="1"/>
  <c r="B274" i="141"/>
  <c r="C319" i="141" s="1"/>
  <c r="C397" i="143"/>
  <c r="B55" i="143"/>
  <c r="E397" i="143"/>
  <c r="M272" i="119"/>
  <c r="N317" i="119" s="1"/>
  <c r="F272" i="119"/>
  <c r="G317" i="119" s="1"/>
  <c r="G208" i="91"/>
  <c r="H247" i="91" s="1"/>
  <c r="M370" i="81"/>
  <c r="N427" i="81" s="1"/>
  <c r="N371" i="81"/>
  <c r="O428" i="81" s="1"/>
  <c r="B369" i="81"/>
  <c r="C426" i="81" s="1"/>
  <c r="F364" i="81"/>
  <c r="G421" i="81" s="1"/>
  <c r="G374" i="81"/>
  <c r="H431" i="81" s="1"/>
  <c r="H363" i="81"/>
  <c r="I420" i="81" s="1"/>
  <c r="I363" i="81"/>
  <c r="J420" i="81" s="1"/>
  <c r="J363" i="81"/>
  <c r="K420" i="81" s="1"/>
  <c r="K363" i="81"/>
  <c r="L420" i="81" s="1"/>
  <c r="K293" i="77"/>
  <c r="L344" i="77" s="1"/>
  <c r="O287" i="77"/>
  <c r="P338" i="77" s="1"/>
  <c r="I12" i="83"/>
  <c r="H221" i="111"/>
  <c r="I266" i="111" s="1"/>
  <c r="F225" i="111"/>
  <c r="G270" i="111" s="1"/>
  <c r="F271" i="117"/>
  <c r="G316" i="117" s="1"/>
  <c r="M360" i="119"/>
  <c r="M363" i="119"/>
  <c r="M362" i="119"/>
  <c r="M361" i="119"/>
  <c r="E526" i="135"/>
  <c r="N14" i="135"/>
  <c r="A485" i="135" s="1"/>
  <c r="J14" i="135"/>
  <c r="K10" i="71"/>
  <c r="J7" i="117"/>
  <c r="M35" i="134"/>
  <c r="L35" i="134"/>
  <c r="F266" i="117"/>
  <c r="G311" i="117" s="1"/>
  <c r="L295" i="123"/>
  <c r="M340" i="123" s="1"/>
  <c r="I270" i="119"/>
  <c r="J315" i="119" s="1"/>
  <c r="I292" i="135"/>
  <c r="J337" i="135" s="1"/>
  <c r="C292" i="135"/>
  <c r="D337" i="135" s="1"/>
  <c r="F272" i="117"/>
  <c r="G317" i="117" s="1"/>
  <c r="C467" i="141"/>
  <c r="E467" i="141"/>
  <c r="K241" i="129"/>
  <c r="K243" i="129"/>
  <c r="K242" i="129"/>
  <c r="K240" i="129"/>
  <c r="E199" i="109"/>
  <c r="C199" i="109"/>
  <c r="F392" i="63"/>
  <c r="D392" i="63"/>
  <c r="N10" i="107"/>
  <c r="E332" i="107"/>
  <c r="K10" i="107"/>
  <c r="C102" i="107" s="1"/>
  <c r="E527" i="77"/>
  <c r="N6" i="77"/>
  <c r="A438" i="77" s="1"/>
  <c r="K6" i="77"/>
  <c r="L28" i="74"/>
  <c r="M28" i="74"/>
  <c r="M31" i="108"/>
  <c r="L31" i="108"/>
  <c r="C229" i="111"/>
  <c r="D274" i="111" s="1"/>
  <c r="M36" i="118"/>
  <c r="L36" i="118"/>
  <c r="E362" i="89"/>
  <c r="K8" i="89"/>
  <c r="N8" i="89"/>
  <c r="C66" i="89" s="1"/>
  <c r="C157" i="111"/>
  <c r="F397" i="111"/>
  <c r="D397" i="111"/>
  <c r="F417" i="133"/>
  <c r="D417" i="133"/>
  <c r="E429" i="63"/>
  <c r="N10" i="63"/>
  <c r="K10" i="63"/>
  <c r="E494" i="75"/>
  <c r="C494" i="75"/>
  <c r="C195" i="75"/>
  <c r="I270" i="99"/>
  <c r="J315" i="99" s="1"/>
  <c r="C279" i="129"/>
  <c r="E279" i="129"/>
  <c r="E274" i="113"/>
  <c r="N11" i="113"/>
  <c r="K11" i="113"/>
  <c r="C109" i="113" s="1"/>
  <c r="E513" i="121"/>
  <c r="N7" i="121"/>
  <c r="A423" i="121" s="1"/>
  <c r="J7" i="121"/>
  <c r="K7" i="121"/>
  <c r="B293" i="135"/>
  <c r="C338" i="135" s="1"/>
  <c r="G294" i="135"/>
  <c r="H339" i="135" s="1"/>
  <c r="L294" i="135"/>
  <c r="M339" i="135" s="1"/>
  <c r="I293" i="135"/>
  <c r="J338" i="135" s="1"/>
  <c r="D397" i="143"/>
  <c r="F397" i="143"/>
  <c r="B298" i="123"/>
  <c r="C343" i="123" s="1"/>
  <c r="H269" i="117"/>
  <c r="I314" i="117" s="1"/>
  <c r="G266" i="131"/>
  <c r="H311" i="131" s="1"/>
  <c r="J159" i="129"/>
  <c r="K198" i="129" s="1"/>
  <c r="E303" i="107"/>
  <c r="C303" i="107"/>
  <c r="J6" i="77"/>
  <c r="E491" i="99"/>
  <c r="N10" i="99"/>
  <c r="E455" i="121"/>
  <c r="C455" i="121"/>
  <c r="N7" i="65"/>
  <c r="A360" i="65" s="1"/>
  <c r="E426" i="65"/>
  <c r="K7" i="65"/>
  <c r="J7" i="65"/>
  <c r="K11" i="115"/>
  <c r="E459" i="139"/>
  <c r="N12" i="139"/>
  <c r="A420" i="139" s="1"/>
  <c r="J12" i="139"/>
  <c r="C408" i="63"/>
  <c r="E408" i="63"/>
  <c r="M38" i="82"/>
  <c r="L38" i="82"/>
  <c r="E220" i="137"/>
  <c r="C220" i="137"/>
  <c r="E492" i="119"/>
  <c r="N14" i="119"/>
  <c r="A459" i="119" s="1"/>
  <c r="K14" i="119"/>
  <c r="C454" i="131"/>
  <c r="C181" i="131"/>
  <c r="E454" i="131"/>
  <c r="B181" i="131"/>
  <c r="E534" i="75"/>
  <c r="N13" i="75"/>
  <c r="A494" i="75" s="1"/>
  <c r="H269" i="99"/>
  <c r="I314" i="99" s="1"/>
  <c r="L266" i="99"/>
  <c r="M311" i="99" s="1"/>
  <c r="H270" i="99"/>
  <c r="I315" i="99" s="1"/>
  <c r="C276" i="99"/>
  <c r="D321" i="99" s="1"/>
  <c r="L33" i="126"/>
  <c r="M33" i="126"/>
  <c r="G186" i="115"/>
  <c r="H225" i="115" s="1"/>
  <c r="E260" i="113"/>
  <c r="C260" i="113"/>
  <c r="I274" i="131"/>
  <c r="J319" i="131" s="1"/>
  <c r="F266" i="119"/>
  <c r="G311" i="119" s="1"/>
  <c r="F295" i="135"/>
  <c r="G340" i="135" s="1"/>
  <c r="M295" i="135"/>
  <c r="N340" i="135" s="1"/>
  <c r="C478" i="131"/>
  <c r="E478" i="131"/>
  <c r="D447" i="123"/>
  <c r="F447" i="123"/>
  <c r="F446" i="99"/>
  <c r="D446" i="99"/>
  <c r="H211" i="107"/>
  <c r="K212" i="107"/>
  <c r="G211" i="107"/>
  <c r="C211" i="107"/>
  <c r="K213" i="107"/>
  <c r="J213" i="107"/>
  <c r="A222" i="107" s="1"/>
  <c r="A231" i="107" s="1"/>
  <c r="J217" i="107"/>
  <c r="A226" i="107" s="1"/>
  <c r="A235" i="107" s="1"/>
  <c r="F211" i="107"/>
  <c r="J215" i="107"/>
  <c r="A224" i="107" s="1"/>
  <c r="A233" i="107" s="1"/>
  <c r="E211" i="107"/>
  <c r="J212" i="107"/>
  <c r="A221" i="107" s="1"/>
  <c r="A230" i="107" s="1"/>
  <c r="K216" i="107"/>
  <c r="J214" i="107"/>
  <c r="A223" i="107" s="1"/>
  <c r="A232" i="107" s="1"/>
  <c r="J216" i="107"/>
  <c r="A225" i="107" s="1"/>
  <c r="A234" i="107" s="1"/>
  <c r="D211" i="107"/>
  <c r="K214" i="107"/>
  <c r="K217" i="107"/>
  <c r="K215" i="107"/>
  <c r="G207" i="91"/>
  <c r="H246" i="91" s="1"/>
  <c r="C205" i="91"/>
  <c r="D244" i="91" s="1"/>
  <c r="C185" i="89"/>
  <c r="D224" i="89" s="1"/>
  <c r="C228" i="67"/>
  <c r="D273" i="67" s="1"/>
  <c r="E378" i="81"/>
  <c r="F435" i="81" s="1"/>
  <c r="F373" i="81"/>
  <c r="G430" i="81" s="1"/>
  <c r="C372" i="81"/>
  <c r="D429" i="81" s="1"/>
  <c r="H366" i="81"/>
  <c r="I423" i="81" s="1"/>
  <c r="I366" i="81"/>
  <c r="J423" i="81" s="1"/>
  <c r="J366" i="81"/>
  <c r="K423" i="81" s="1"/>
  <c r="K366" i="81"/>
  <c r="L423" i="81" s="1"/>
  <c r="J10" i="99"/>
  <c r="D36" i="117"/>
  <c r="D42" i="117" s="1"/>
  <c r="D34" i="117"/>
  <c r="B40" i="117"/>
  <c r="E244" i="105"/>
  <c r="N8" i="105"/>
  <c r="F187" i="127"/>
  <c r="G226" i="127" s="1"/>
  <c r="E461" i="97"/>
  <c r="C461" i="97"/>
  <c r="C141" i="97"/>
  <c r="B141" i="97"/>
  <c r="B223" i="111"/>
  <c r="C268" i="111" s="1"/>
  <c r="F149" i="101"/>
  <c r="D149" i="101"/>
  <c r="I7" i="125"/>
  <c r="K7" i="125" s="1"/>
  <c r="J14" i="119"/>
  <c r="L355" i="121"/>
  <c r="K354" i="121"/>
  <c r="A364" i="121" s="1"/>
  <c r="A374" i="121" s="1"/>
  <c r="H348" i="121"/>
  <c r="M39" i="120"/>
  <c r="L39" i="120"/>
  <c r="F316" i="91"/>
  <c r="C31" i="91"/>
  <c r="D316" i="91"/>
  <c r="M271" i="117"/>
  <c r="N316" i="117" s="1"/>
  <c r="F459" i="117"/>
  <c r="D459" i="117"/>
  <c r="L271" i="119"/>
  <c r="M316" i="119" s="1"/>
  <c r="B269" i="119"/>
  <c r="C314" i="119" s="1"/>
  <c r="F289" i="135"/>
  <c r="G334" i="135" s="1"/>
  <c r="K239" i="127"/>
  <c r="A249" i="127" s="1"/>
  <c r="A259" i="127" s="1"/>
  <c r="F170" i="137"/>
  <c r="H174" i="137"/>
  <c r="A181" i="137" s="1"/>
  <c r="A188" i="137" s="1"/>
  <c r="D209" i="137" s="1"/>
  <c r="I174" i="137"/>
  <c r="M33" i="84"/>
  <c r="L33" i="84"/>
  <c r="M309" i="139"/>
  <c r="H325" i="141"/>
  <c r="F455" i="121"/>
  <c r="D455" i="121"/>
  <c r="E385" i="133"/>
  <c r="C385" i="133"/>
  <c r="F201" i="91"/>
  <c r="G240" i="91" s="1"/>
  <c r="I206" i="91"/>
  <c r="J245" i="91" s="1"/>
  <c r="G187" i="89"/>
  <c r="H226" i="89" s="1"/>
  <c r="O370" i="81"/>
  <c r="P427" i="81" s="1"/>
  <c r="N370" i="81"/>
  <c r="O427" i="81" s="1"/>
  <c r="Q364" i="81"/>
  <c r="R421" i="81" s="1"/>
  <c r="J367" i="81"/>
  <c r="K424" i="81" s="1"/>
  <c r="K367" i="81"/>
  <c r="L424" i="81" s="1"/>
  <c r="L367" i="81"/>
  <c r="M424" i="81" s="1"/>
  <c r="K15" i="117"/>
  <c r="C30" i="73"/>
  <c r="C352" i="73"/>
  <c r="E352" i="73"/>
  <c r="J8" i="105"/>
  <c r="E457" i="133"/>
  <c r="N13" i="133"/>
  <c r="A425" i="133" s="1"/>
  <c r="K13" i="133"/>
  <c r="J13" i="133"/>
  <c r="E319" i="69"/>
  <c r="D319" i="69"/>
  <c r="A319" i="69"/>
  <c r="A329" i="69" s="1"/>
  <c r="I319" i="69"/>
  <c r="K319" i="69"/>
  <c r="H222" i="111"/>
  <c r="I267" i="111" s="1"/>
  <c r="F199" i="109"/>
  <c r="D199" i="109"/>
  <c r="H275" i="119"/>
  <c r="I320" i="119" s="1"/>
  <c r="J8" i="121"/>
  <c r="D405" i="143"/>
  <c r="F405" i="143"/>
  <c r="C77" i="143"/>
  <c r="G302" i="139"/>
  <c r="G338" i="139" s="1"/>
  <c r="F302" i="139"/>
  <c r="M307" i="139"/>
  <c r="L304" i="139"/>
  <c r="A315" i="139" s="1"/>
  <c r="A326" i="139" s="1"/>
  <c r="M310" i="139"/>
  <c r="M303" i="139"/>
  <c r="L306" i="139"/>
  <c r="A317" i="139" s="1"/>
  <c r="A328" i="139" s="1"/>
  <c r="J302" i="139"/>
  <c r="I194" i="125"/>
  <c r="I193" i="125"/>
  <c r="I196" i="125"/>
  <c r="I195" i="125"/>
  <c r="E493" i="93"/>
  <c r="N12" i="93"/>
  <c r="J12" i="93"/>
  <c r="E531" i="77"/>
  <c r="N10" i="77"/>
  <c r="A470" i="77" s="1"/>
  <c r="J10" i="77"/>
  <c r="E492" i="93"/>
  <c r="N11" i="93"/>
  <c r="A438" i="93" s="1"/>
  <c r="J11" i="93"/>
  <c r="K11" i="93"/>
  <c r="I13" i="141"/>
  <c r="E274" i="95"/>
  <c r="N8" i="95"/>
  <c r="E459" i="117"/>
  <c r="C459" i="117"/>
  <c r="C233" i="105"/>
  <c r="E233" i="105"/>
  <c r="E363" i="127"/>
  <c r="N9" i="127"/>
  <c r="A319" i="127" s="1"/>
  <c r="K9" i="127"/>
  <c r="I276" i="117"/>
  <c r="J321" i="117" s="1"/>
  <c r="I268" i="131"/>
  <c r="J313" i="131" s="1"/>
  <c r="L328" i="141"/>
  <c r="A339" i="141" s="1"/>
  <c r="A350" i="141" s="1"/>
  <c r="M267" i="141"/>
  <c r="N312" i="141" s="1"/>
  <c r="E490" i="131"/>
  <c r="K9" i="131"/>
  <c r="N9" i="131"/>
  <c r="A422" i="131" s="1"/>
  <c r="J9" i="131"/>
  <c r="I292" i="121"/>
  <c r="J337" i="121" s="1"/>
  <c r="F289" i="121"/>
  <c r="G334" i="121" s="1"/>
  <c r="F415" i="123"/>
  <c r="D415" i="123"/>
  <c r="E462" i="139"/>
  <c r="N15" i="139"/>
  <c r="J15" i="139"/>
  <c r="C364" i="91"/>
  <c r="E364" i="91"/>
  <c r="E489" i="117"/>
  <c r="K11" i="117"/>
  <c r="C139" i="117" s="1"/>
  <c r="N11" i="117"/>
  <c r="A435" i="117" s="1"/>
  <c r="E519" i="123"/>
  <c r="N13" i="123"/>
  <c r="A471" i="123" s="1"/>
  <c r="C250" i="139"/>
  <c r="D295" i="139" s="1"/>
  <c r="B248" i="133"/>
  <c r="C293" i="133" s="1"/>
  <c r="F187" i="115"/>
  <c r="G226" i="115" s="1"/>
  <c r="E443" i="117"/>
  <c r="C443" i="117"/>
  <c r="E271" i="137"/>
  <c r="N8" i="137"/>
  <c r="A236" i="137" s="1"/>
  <c r="K8" i="137"/>
  <c r="G287" i="75"/>
  <c r="H338" i="75" s="1"/>
  <c r="E406" i="93"/>
  <c r="C406" i="93"/>
  <c r="E165" i="121"/>
  <c r="M179" i="121" s="1"/>
  <c r="E163" i="121"/>
  <c r="G173" i="121"/>
  <c r="E493" i="99"/>
  <c r="N12" i="99"/>
  <c r="A446" i="99" s="1"/>
  <c r="G294" i="121"/>
  <c r="H339" i="121" s="1"/>
  <c r="D444" i="139"/>
  <c r="F444" i="139"/>
  <c r="A350" i="121"/>
  <c r="K360" i="121" s="1"/>
  <c r="E435" i="117"/>
  <c r="C435" i="117"/>
  <c r="E471" i="123"/>
  <c r="C471" i="123"/>
  <c r="I276" i="143"/>
  <c r="J321" i="143" s="1"/>
  <c r="B247" i="133"/>
  <c r="C292" i="133" s="1"/>
  <c r="E534" i="77"/>
  <c r="N13" i="77"/>
  <c r="F288" i="75"/>
  <c r="G339" i="75" s="1"/>
  <c r="N365" i="131"/>
  <c r="N363" i="131"/>
  <c r="N364" i="131"/>
  <c r="E373" i="111"/>
  <c r="C373" i="111"/>
  <c r="J12" i="99"/>
  <c r="I250" i="139"/>
  <c r="J295" i="139" s="1"/>
  <c r="D94" i="95"/>
  <c r="H104" i="95" s="1"/>
  <c r="D92" i="95"/>
  <c r="D100" i="95"/>
  <c r="C30" i="91"/>
  <c r="B30" i="91"/>
  <c r="E316" i="91"/>
  <c r="C316" i="91"/>
  <c r="E519" i="121"/>
  <c r="J13" i="121"/>
  <c r="N13" i="121"/>
  <c r="A471" i="121" s="1"/>
  <c r="E520" i="123"/>
  <c r="N14" i="123"/>
  <c r="A479" i="123" s="1"/>
  <c r="K14" i="123"/>
  <c r="M271" i="143"/>
  <c r="N316" i="143" s="1"/>
  <c r="G271" i="143"/>
  <c r="H316" i="143" s="1"/>
  <c r="J13" i="77"/>
  <c r="E329" i="107"/>
  <c r="K7" i="107"/>
  <c r="N7" i="107"/>
  <c r="A279" i="107" s="1"/>
  <c r="E425" i="71"/>
  <c r="N6" i="71"/>
  <c r="A352" i="71" s="1"/>
  <c r="J6" i="71"/>
  <c r="E484" i="141"/>
  <c r="K6" i="141"/>
  <c r="N6" i="141"/>
  <c r="A395" i="141" s="1"/>
  <c r="J6" i="141"/>
  <c r="H299" i="135"/>
  <c r="I344" i="135" s="1"/>
  <c r="F265" i="143"/>
  <c r="G310" i="143" s="1"/>
  <c r="C427" i="119"/>
  <c r="E427" i="119"/>
  <c r="C118" i="119"/>
  <c r="B118" i="119"/>
  <c r="E487" i="131"/>
  <c r="N6" i="131"/>
  <c r="A398" i="131" s="1"/>
  <c r="J6" i="131"/>
  <c r="K6" i="131"/>
  <c r="H276" i="117"/>
  <c r="I321" i="117" s="1"/>
  <c r="A234" i="127"/>
  <c r="K244" i="127" s="1"/>
  <c r="A233" i="127"/>
  <c r="K243" i="127" s="1"/>
  <c r="H267" i="141"/>
  <c r="I312" i="141" s="1"/>
  <c r="L265" i="141"/>
  <c r="M310" i="141" s="1"/>
  <c r="J215" i="129"/>
  <c r="A224" i="129" s="1"/>
  <c r="A233" i="129" s="1"/>
  <c r="E211" i="129"/>
  <c r="D211" i="129"/>
  <c r="K215" i="129"/>
  <c r="C211" i="129"/>
  <c r="J216" i="129"/>
  <c r="A225" i="129" s="1"/>
  <c r="A234" i="129" s="1"/>
  <c r="K213" i="129"/>
  <c r="J213" i="129"/>
  <c r="A222" i="129" s="1"/>
  <c r="A231" i="129" s="1"/>
  <c r="J217" i="129"/>
  <c r="A226" i="129" s="1"/>
  <c r="A235" i="129" s="1"/>
  <c r="J212" i="129"/>
  <c r="A221" i="129" s="1"/>
  <c r="A230" i="129" s="1"/>
  <c r="K216" i="129"/>
  <c r="F211" i="129"/>
  <c r="K212" i="129"/>
  <c r="H211" i="129"/>
  <c r="G211" i="129"/>
  <c r="J214" i="129"/>
  <c r="A223" i="129" s="1"/>
  <c r="A232" i="129" s="1"/>
  <c r="K217" i="129"/>
  <c r="K214" i="129"/>
  <c r="N334" i="131"/>
  <c r="M327" i="131"/>
  <c r="A339" i="131" s="1"/>
  <c r="A351" i="131" s="1"/>
  <c r="N331" i="131"/>
  <c r="M328" i="131"/>
  <c r="A340" i="131" s="1"/>
  <c r="A352" i="131" s="1"/>
  <c r="J325" i="131"/>
  <c r="M329" i="131"/>
  <c r="A341" i="131" s="1"/>
  <c r="A353" i="131" s="1"/>
  <c r="M334" i="131"/>
  <c r="A346" i="131" s="1"/>
  <c r="A358" i="131" s="1"/>
  <c r="N327" i="131"/>
  <c r="N332" i="131"/>
  <c r="M332" i="131"/>
  <c r="A344" i="131" s="1"/>
  <c r="A356" i="131" s="1"/>
  <c r="K325" i="131"/>
  <c r="N328" i="131"/>
  <c r="F325" i="131"/>
  <c r="M331" i="131"/>
  <c r="A343" i="131" s="1"/>
  <c r="A355" i="131" s="1"/>
  <c r="I325" i="131"/>
  <c r="H325" i="131"/>
  <c r="N333" i="131"/>
  <c r="G325" i="131"/>
  <c r="M330" i="131"/>
  <c r="A342" i="131" s="1"/>
  <c r="A354" i="131" s="1"/>
  <c r="N326" i="131"/>
  <c r="M326" i="131"/>
  <c r="A338" i="131" s="1"/>
  <c r="A350" i="131" s="1"/>
  <c r="E325" i="131"/>
  <c r="D325" i="131"/>
  <c r="N329" i="131"/>
  <c r="M333" i="131"/>
  <c r="A345" i="131" s="1"/>
  <c r="A357" i="131" s="1"/>
  <c r="N330" i="131"/>
  <c r="C325" i="131"/>
  <c r="E425" i="111"/>
  <c r="N9" i="111"/>
  <c r="E519" i="135"/>
  <c r="J7" i="135"/>
  <c r="N7" i="135"/>
  <c r="A429" i="135" s="1"/>
  <c r="K13" i="121"/>
  <c r="I15" i="123"/>
  <c r="J14" i="123"/>
  <c r="E489" i="131"/>
  <c r="N8" i="131"/>
  <c r="F242" i="133"/>
  <c r="G287" i="133" s="1"/>
  <c r="E522" i="123"/>
  <c r="N16" i="123"/>
  <c r="A495" i="123" s="1"/>
  <c r="J16" i="123"/>
  <c r="D246" i="121"/>
  <c r="D248" i="121"/>
  <c r="F256" i="121" s="1"/>
  <c r="J260" i="121"/>
  <c r="M30" i="136"/>
  <c r="L30" i="136"/>
  <c r="J7" i="107"/>
  <c r="M288" i="75"/>
  <c r="N339" i="75" s="1"/>
  <c r="M287" i="75"/>
  <c r="N338" i="75" s="1"/>
  <c r="J291" i="75"/>
  <c r="K342" i="75" s="1"/>
  <c r="D396" i="139"/>
  <c r="F396" i="139"/>
  <c r="E479" i="143"/>
  <c r="N7" i="143"/>
  <c r="J272" i="131"/>
  <c r="K317" i="131" s="1"/>
  <c r="H266" i="131"/>
  <c r="I311" i="131" s="1"/>
  <c r="E497" i="131"/>
  <c r="N16" i="131"/>
  <c r="A478" i="131" s="1"/>
  <c r="B292" i="121"/>
  <c r="C337" i="121" s="1"/>
  <c r="F429" i="135"/>
  <c r="D429" i="135"/>
  <c r="C58" i="135"/>
  <c r="K9" i="111"/>
  <c r="E469" i="135"/>
  <c r="B162" i="135"/>
  <c r="C469" i="135"/>
  <c r="B76" i="119"/>
  <c r="C411" i="119"/>
  <c r="E411" i="119"/>
  <c r="C76" i="119"/>
  <c r="B292" i="123"/>
  <c r="C337" i="123" s="1"/>
  <c r="H298" i="123"/>
  <c r="I343" i="123" s="1"/>
  <c r="F288" i="123"/>
  <c r="G333" i="123" s="1"/>
  <c r="E414" i="131"/>
  <c r="C414" i="131"/>
  <c r="C185" i="115"/>
  <c r="D224" i="115" s="1"/>
  <c r="B247" i="121"/>
  <c r="E246" i="121"/>
  <c r="E248" i="121"/>
  <c r="G256" i="121" s="1"/>
  <c r="K260" i="121"/>
  <c r="E367" i="127"/>
  <c r="N13" i="127"/>
  <c r="J13" i="127"/>
  <c r="J292" i="75"/>
  <c r="K343" i="75" s="1"/>
  <c r="E270" i="137"/>
  <c r="N7" i="137"/>
  <c r="A228" i="137" s="1"/>
  <c r="J7" i="137"/>
  <c r="K7" i="137"/>
  <c r="E487" i="141"/>
  <c r="K9" i="141"/>
  <c r="N9" i="141"/>
  <c r="A419" i="141" s="1"/>
  <c r="E527" i="135"/>
  <c r="N15" i="135"/>
  <c r="A493" i="135" s="1"/>
  <c r="C300" i="75"/>
  <c r="D351" i="75" s="1"/>
  <c r="N13" i="99"/>
  <c r="A454" i="99" s="1"/>
  <c r="E494" i="99"/>
  <c r="J13" i="99"/>
  <c r="B299" i="123"/>
  <c r="C344" i="123" s="1"/>
  <c r="K235" i="127"/>
  <c r="A245" i="127" s="1"/>
  <c r="A255" i="127" s="1"/>
  <c r="M265" i="141"/>
  <c r="N310" i="141" s="1"/>
  <c r="L268" i="141"/>
  <c r="M313" i="141" s="1"/>
  <c r="I267" i="141"/>
  <c r="J312" i="141" s="1"/>
  <c r="E527" i="97"/>
  <c r="J15" i="97"/>
  <c r="N15" i="97"/>
  <c r="A493" i="97" s="1"/>
  <c r="L295" i="121"/>
  <c r="M340" i="121" s="1"/>
  <c r="E438" i="131"/>
  <c r="C438" i="131"/>
  <c r="E524" i="135"/>
  <c r="K12" i="135"/>
  <c r="C162" i="135" s="1"/>
  <c r="N12" i="135"/>
  <c r="A469" i="135" s="1"/>
  <c r="E333" i="39"/>
  <c r="N8" i="39"/>
  <c r="A290" i="39" s="1"/>
  <c r="B270" i="143"/>
  <c r="C315" i="143" s="1"/>
  <c r="D477" i="135"/>
  <c r="F477" i="135"/>
  <c r="M289" i="123"/>
  <c r="N334" i="123" s="1"/>
  <c r="E518" i="123"/>
  <c r="N12" i="123"/>
  <c r="A463" i="123" s="1"/>
  <c r="J12" i="123"/>
  <c r="H325" i="117"/>
  <c r="L332" i="117"/>
  <c r="A343" i="117" s="1"/>
  <c r="A354" i="117" s="1"/>
  <c r="M329" i="117"/>
  <c r="F325" i="117"/>
  <c r="L329" i="117"/>
  <c r="A340" i="117" s="1"/>
  <c r="A351" i="117" s="1"/>
  <c r="L327" i="117"/>
  <c r="A338" i="117" s="1"/>
  <c r="A349" i="117" s="1"/>
  <c r="M332" i="117"/>
  <c r="I325" i="117"/>
  <c r="M327" i="117"/>
  <c r="G325" i="117"/>
  <c r="E325" i="117"/>
  <c r="D325" i="117"/>
  <c r="C325" i="117"/>
  <c r="M328" i="117"/>
  <c r="L331" i="117"/>
  <c r="A342" i="117" s="1"/>
  <c r="A353" i="117" s="1"/>
  <c r="M330" i="117"/>
  <c r="L326" i="117"/>
  <c r="A337" i="117" s="1"/>
  <c r="A348" i="117" s="1"/>
  <c r="J325" i="117"/>
  <c r="M333" i="117"/>
  <c r="L333" i="117"/>
  <c r="A344" i="117" s="1"/>
  <c r="A355" i="117" s="1"/>
  <c r="L330" i="117"/>
  <c r="A341" i="117" s="1"/>
  <c r="A352" i="117" s="1"/>
  <c r="L328" i="117"/>
  <c r="A339" i="117" s="1"/>
  <c r="A350" i="117" s="1"/>
  <c r="M331" i="117"/>
  <c r="M326" i="117"/>
  <c r="J331" i="143"/>
  <c r="A340" i="143" s="1"/>
  <c r="A349" i="143" s="1"/>
  <c r="K329" i="143"/>
  <c r="J329" i="143"/>
  <c r="A338" i="143" s="1"/>
  <c r="A347" i="143" s="1"/>
  <c r="H325" i="143"/>
  <c r="K327" i="143"/>
  <c r="G325" i="143"/>
  <c r="D325" i="143"/>
  <c r="K328" i="143"/>
  <c r="F325" i="143"/>
  <c r="K330" i="143"/>
  <c r="K331" i="143"/>
  <c r="C325" i="143"/>
  <c r="J326" i="143"/>
  <c r="A335" i="143" s="1"/>
  <c r="A344" i="143" s="1"/>
  <c r="E325" i="143"/>
  <c r="J330" i="143"/>
  <c r="A339" i="143" s="1"/>
  <c r="A348" i="143" s="1"/>
  <c r="J327" i="143"/>
  <c r="A336" i="143" s="1"/>
  <c r="A345" i="143" s="1"/>
  <c r="J328" i="143"/>
  <c r="A337" i="143" s="1"/>
  <c r="A346" i="143" s="1"/>
  <c r="K326" i="143"/>
  <c r="L288" i="75"/>
  <c r="M339" i="75" s="1"/>
  <c r="L287" i="75"/>
  <c r="M338" i="75" s="1"/>
  <c r="J294" i="75"/>
  <c r="K345" i="75" s="1"/>
  <c r="R449" i="81"/>
  <c r="Q448" i="81"/>
  <c r="A464" i="81" s="1"/>
  <c r="A480" i="81" s="1"/>
  <c r="E439" i="81"/>
  <c r="R450" i="81"/>
  <c r="Q449" i="81"/>
  <c r="A465" i="81" s="1"/>
  <c r="A481" i="81" s="1"/>
  <c r="D439" i="81"/>
  <c r="R451" i="81"/>
  <c r="Q450" i="81"/>
  <c r="A466" i="81" s="1"/>
  <c r="A482" i="81" s="1"/>
  <c r="C439" i="81"/>
  <c r="R452" i="81"/>
  <c r="Q451" i="81"/>
  <c r="A467" i="81" s="1"/>
  <c r="A483" i="81" s="1"/>
  <c r="Q452" i="81"/>
  <c r="A468" i="81" s="1"/>
  <c r="A484" i="81" s="1"/>
  <c r="R441" i="81"/>
  <c r="Q440" i="81"/>
  <c r="A456" i="81" s="1"/>
  <c r="A472" i="81" s="1"/>
  <c r="M439" i="81"/>
  <c r="R446" i="81"/>
  <c r="O439" i="81"/>
  <c r="Q446" i="81"/>
  <c r="A462" i="81" s="1"/>
  <c r="A478" i="81" s="1"/>
  <c r="N439" i="81"/>
  <c r="R444" i="81"/>
  <c r="L439" i="81"/>
  <c r="Q444" i="81"/>
  <c r="A460" i="81" s="1"/>
  <c r="A476" i="81" s="1"/>
  <c r="K439" i="81"/>
  <c r="R442" i="81"/>
  <c r="J439" i="81"/>
  <c r="Q442" i="81"/>
  <c r="A458" i="81" s="1"/>
  <c r="A474" i="81" s="1"/>
  <c r="I439" i="81"/>
  <c r="R448" i="81"/>
  <c r="Q445" i="81"/>
  <c r="A461" i="81" s="1"/>
  <c r="A477" i="81" s="1"/>
  <c r="R447" i="81"/>
  <c r="Q447" i="81"/>
  <c r="A463" i="81" s="1"/>
  <c r="A479" i="81" s="1"/>
  <c r="H439" i="81"/>
  <c r="R443" i="81"/>
  <c r="R440" i="81"/>
  <c r="R445" i="81"/>
  <c r="F439" i="81"/>
  <c r="Q443" i="81"/>
  <c r="A459" i="81" s="1"/>
  <c r="A475" i="81" s="1"/>
  <c r="Q441" i="81"/>
  <c r="A457" i="81" s="1"/>
  <c r="A473" i="81" s="1"/>
  <c r="G439" i="81"/>
  <c r="M220" i="69"/>
  <c r="N265" i="69" s="1"/>
  <c r="C223" i="59"/>
  <c r="D268" i="59" s="1"/>
  <c r="M222" i="59"/>
  <c r="N267" i="59" s="1"/>
  <c r="E226" i="59"/>
  <c r="F271" i="59" s="1"/>
  <c r="C224" i="59"/>
  <c r="D269" i="59" s="1"/>
  <c r="K160" i="35"/>
  <c r="L199" i="35" s="1"/>
  <c r="E165" i="103"/>
  <c r="N6" i="103"/>
  <c r="A140" i="103" s="1"/>
  <c r="B205" i="91"/>
  <c r="C244" i="91" s="1"/>
  <c r="G202" i="91"/>
  <c r="H241" i="91" s="1"/>
  <c r="L223" i="67"/>
  <c r="M268" i="67" s="1"/>
  <c r="Q366" i="81"/>
  <c r="R423" i="81" s="1"/>
  <c r="Q374" i="81"/>
  <c r="R431" i="81" s="1"/>
  <c r="M369" i="81"/>
  <c r="N426" i="81" s="1"/>
  <c r="F363" i="81"/>
  <c r="G420" i="81" s="1"/>
  <c r="H365" i="81"/>
  <c r="I422" i="81" s="1"/>
  <c r="I365" i="81"/>
  <c r="J422" i="81" s="1"/>
  <c r="J365" i="81"/>
  <c r="K422" i="81" s="1"/>
  <c r="K365" i="81"/>
  <c r="L422" i="81" s="1"/>
  <c r="J299" i="77"/>
  <c r="K350" i="77" s="1"/>
  <c r="C93" i="61"/>
  <c r="B93" i="61"/>
  <c r="C376" i="61"/>
  <c r="E376" i="61"/>
  <c r="E425" i="73"/>
  <c r="N6" i="73"/>
  <c r="B275" i="117"/>
  <c r="C320" i="117" s="1"/>
  <c r="E517" i="121"/>
  <c r="N11" i="121"/>
  <c r="A455" i="121" s="1"/>
  <c r="D327" i="127"/>
  <c r="F327" i="127"/>
  <c r="C105" i="127"/>
  <c r="E432" i="63"/>
  <c r="N13" i="63"/>
  <c r="E269" i="137"/>
  <c r="N6" i="137"/>
  <c r="A220" i="137" s="1"/>
  <c r="K6" i="137"/>
  <c r="E428" i="111"/>
  <c r="J12" i="111"/>
  <c r="N12" i="111"/>
  <c r="A397" i="111" s="1"/>
  <c r="B25" i="113"/>
  <c r="E26" i="113"/>
  <c r="E32" i="113" s="1"/>
  <c r="E24" i="113"/>
  <c r="C30" i="113"/>
  <c r="G265" i="99"/>
  <c r="H310" i="99" s="1"/>
  <c r="B270" i="99"/>
  <c r="C315" i="99" s="1"/>
  <c r="E641" i="83"/>
  <c r="N10" i="83"/>
  <c r="A564" i="83" s="1"/>
  <c r="K10" i="83"/>
  <c r="C138" i="83" s="1"/>
  <c r="K6" i="71"/>
  <c r="I265" i="131"/>
  <c r="J310" i="131" s="1"/>
  <c r="D204" i="141"/>
  <c r="L218" i="141" s="1"/>
  <c r="D202" i="141"/>
  <c r="C251" i="139"/>
  <c r="D296" i="139" s="1"/>
  <c r="D250" i="139"/>
  <c r="E295" i="139" s="1"/>
  <c r="H298" i="135"/>
  <c r="I343" i="135" s="1"/>
  <c r="M294" i="135"/>
  <c r="N339" i="135" s="1"/>
  <c r="C275" i="143"/>
  <c r="D320" i="143" s="1"/>
  <c r="J9" i="141"/>
  <c r="J15" i="135"/>
  <c r="D244" i="125"/>
  <c r="F244" i="125"/>
  <c r="C76" i="125"/>
  <c r="J248" i="133"/>
  <c r="K293" i="133" s="1"/>
  <c r="D252" i="139"/>
  <c r="E297" i="139" s="1"/>
  <c r="K13" i="99"/>
  <c r="L272" i="117"/>
  <c r="M317" i="117" s="1"/>
  <c r="K237" i="127"/>
  <c r="A247" i="127" s="1"/>
  <c r="A257" i="127" s="1"/>
  <c r="B275" i="141"/>
  <c r="C320" i="141" s="1"/>
  <c r="M268" i="141"/>
  <c r="N313" i="141" s="1"/>
  <c r="L243" i="133"/>
  <c r="M288" i="133" s="1"/>
  <c r="L271" i="143"/>
  <c r="M316" i="143" s="1"/>
  <c r="B270" i="131"/>
  <c r="C315" i="131" s="1"/>
  <c r="I273" i="131"/>
  <c r="J318" i="131" s="1"/>
  <c r="K15" i="97"/>
  <c r="E456" i="139"/>
  <c r="J9" i="139"/>
  <c r="N9" i="139"/>
  <c r="A396" i="139" s="1"/>
  <c r="G289" i="121"/>
  <c r="H334" i="121" s="1"/>
  <c r="I299" i="121"/>
  <c r="J344" i="121" s="1"/>
  <c r="K16" i="123"/>
  <c r="E492" i="131"/>
  <c r="N11" i="131"/>
  <c r="C252" i="139"/>
  <c r="D297" i="139" s="1"/>
  <c r="J8" i="39"/>
  <c r="E454" i="139"/>
  <c r="N7" i="139"/>
  <c r="A380" i="139" s="1"/>
  <c r="C236" i="125"/>
  <c r="E236" i="125"/>
  <c r="G181" i="115"/>
  <c r="H220" i="115" s="1"/>
  <c r="M361" i="117"/>
  <c r="M360" i="117"/>
  <c r="M363" i="117"/>
  <c r="M362" i="117"/>
  <c r="E486" i="117"/>
  <c r="K8" i="117"/>
  <c r="N8" i="117"/>
  <c r="A411" i="117" s="1"/>
  <c r="J8" i="117"/>
  <c r="C164" i="107"/>
  <c r="D203" i="107" s="1"/>
  <c r="H164" i="107"/>
  <c r="I203" i="107" s="1"/>
  <c r="D26" i="113"/>
  <c r="D32" i="113" s="1"/>
  <c r="D24" i="113"/>
  <c r="B30" i="113"/>
  <c r="F271" i="99"/>
  <c r="G316" i="99" s="1"/>
  <c r="I275" i="99"/>
  <c r="J320" i="99" s="1"/>
  <c r="B35" i="117"/>
  <c r="E36" i="117"/>
  <c r="E42" i="117" s="1"/>
  <c r="E34" i="117"/>
  <c r="E329" i="129"/>
  <c r="K7" i="129"/>
  <c r="C45" i="129" s="1"/>
  <c r="N7" i="129"/>
  <c r="A279" i="129" s="1"/>
  <c r="D459" i="141"/>
  <c r="C203" i="141"/>
  <c r="F459" i="141"/>
  <c r="E564" i="83"/>
  <c r="C564" i="83"/>
  <c r="F389" i="111"/>
  <c r="C136" i="111"/>
  <c r="D389" i="111"/>
  <c r="B269" i="117"/>
  <c r="C314" i="117" s="1"/>
  <c r="A153" i="109"/>
  <c r="F158" i="109" s="1"/>
  <c r="B275" i="119"/>
  <c r="C320" i="119" s="1"/>
  <c r="C253" i="139"/>
  <c r="D298" i="139" s="1"/>
  <c r="L242" i="139"/>
  <c r="M287" i="139" s="1"/>
  <c r="G289" i="135"/>
  <c r="H334" i="135" s="1"/>
  <c r="B269" i="143"/>
  <c r="C314" i="143" s="1"/>
  <c r="G272" i="143"/>
  <c r="H317" i="143" s="1"/>
  <c r="H251" i="139"/>
  <c r="I296" i="139" s="1"/>
  <c r="H185" i="127"/>
  <c r="I224" i="127" s="1"/>
  <c r="F232" i="127"/>
  <c r="F235" i="127" s="1"/>
  <c r="D401" i="133"/>
  <c r="F401" i="133"/>
  <c r="I243" i="133"/>
  <c r="J288" i="133" s="1"/>
  <c r="L307" i="139"/>
  <c r="A318" i="139" s="1"/>
  <c r="A329" i="139" s="1"/>
  <c r="D302" i="139"/>
  <c r="L310" i="139"/>
  <c r="A321" i="139" s="1"/>
  <c r="A332" i="139" s="1"/>
  <c r="B276" i="141"/>
  <c r="C321" i="141" s="1"/>
  <c r="L37" i="142"/>
  <c r="M37" i="142"/>
  <c r="H251" i="133"/>
  <c r="I296" i="133" s="1"/>
  <c r="K309" i="133"/>
  <c r="A319" i="133" s="1"/>
  <c r="A329" i="133" s="1"/>
  <c r="K308" i="133"/>
  <c r="A318" i="133" s="1"/>
  <c r="A328" i="133" s="1"/>
  <c r="L304" i="133"/>
  <c r="L307" i="133"/>
  <c r="H302" i="133"/>
  <c r="L306" i="133"/>
  <c r="K304" i="133"/>
  <c r="A314" i="133" s="1"/>
  <c r="A324" i="133" s="1"/>
  <c r="I302" i="133"/>
  <c r="L308" i="133"/>
  <c r="K306" i="133"/>
  <c r="A316" i="133" s="1"/>
  <c r="A326" i="133" s="1"/>
  <c r="G302" i="133"/>
  <c r="C302" i="133"/>
  <c r="L309" i="133"/>
  <c r="L305" i="133"/>
  <c r="F302" i="133"/>
  <c r="K305" i="133"/>
  <c r="A315" i="133" s="1"/>
  <c r="A325" i="133" s="1"/>
  <c r="E302" i="133"/>
  <c r="K307" i="133"/>
  <c r="A317" i="133" s="1"/>
  <c r="A327" i="133" s="1"/>
  <c r="L303" i="133"/>
  <c r="D302" i="133"/>
  <c r="K303" i="133"/>
  <c r="A313" i="133" s="1"/>
  <c r="A323" i="133" s="1"/>
  <c r="C93" i="113"/>
  <c r="D252" i="113"/>
  <c r="F252" i="113"/>
  <c r="M295" i="123"/>
  <c r="N340" i="123" s="1"/>
  <c r="N6" i="125"/>
  <c r="A220" i="125" s="1"/>
  <c r="E269" i="125"/>
  <c r="K6" i="125"/>
  <c r="B252" i="139"/>
  <c r="C297" i="139" s="1"/>
  <c r="E645" i="81"/>
  <c r="K14" i="81"/>
  <c r="N14" i="81"/>
  <c r="A596" i="81" s="1"/>
  <c r="E460" i="139"/>
  <c r="K13" i="139"/>
  <c r="N13" i="139"/>
  <c r="A428" i="139" s="1"/>
  <c r="C292" i="121"/>
  <c r="D337" i="121" s="1"/>
  <c r="L294" i="121"/>
  <c r="H298" i="121"/>
  <c r="I343" i="121" s="1"/>
  <c r="E302" i="139"/>
  <c r="B164" i="129"/>
  <c r="C203" i="129" s="1"/>
  <c r="M288" i="123"/>
  <c r="N333" i="123" s="1"/>
  <c r="E452" i="133"/>
  <c r="N8" i="133"/>
  <c r="A385" i="133" s="1"/>
  <c r="G181" i="127"/>
  <c r="H220" i="127" s="1"/>
  <c r="E380" i="139"/>
  <c r="C380" i="139"/>
  <c r="B53" i="139"/>
  <c r="C247" i="133"/>
  <c r="D292" i="133" s="1"/>
  <c r="C148" i="103"/>
  <c r="C33" i="103"/>
  <c r="E148" i="103"/>
  <c r="B33" i="103"/>
  <c r="A338" i="139"/>
  <c r="A347" i="139" s="1"/>
  <c r="C453" i="143"/>
  <c r="E453" i="143"/>
  <c r="C269" i="143"/>
  <c r="D314" i="143" s="1"/>
  <c r="E253" i="139"/>
  <c r="F298" i="139" s="1"/>
  <c r="F437" i="135"/>
  <c r="D437" i="135"/>
  <c r="K16" i="131"/>
  <c r="L237" i="127"/>
  <c r="A340" i="139"/>
  <c r="A349" i="139" s="1"/>
  <c r="J340" i="139"/>
  <c r="C276" i="141"/>
  <c r="D321" i="141" s="1"/>
  <c r="E275" i="141"/>
  <c r="F320" i="141" s="1"/>
  <c r="J265" i="141"/>
  <c r="K310" i="141" s="1"/>
  <c r="E455" i="139"/>
  <c r="J8" i="139"/>
  <c r="N8" i="139"/>
  <c r="A388" i="139" s="1"/>
  <c r="J271" i="131"/>
  <c r="K316" i="131" s="1"/>
  <c r="E271" i="131"/>
  <c r="F316" i="131" s="1"/>
  <c r="E648" i="83"/>
  <c r="N17" i="83"/>
  <c r="A620" i="83" s="1"/>
  <c r="K17" i="83"/>
  <c r="E596" i="81"/>
  <c r="C596" i="81"/>
  <c r="C238" i="81"/>
  <c r="E428" i="139"/>
  <c r="C428" i="139"/>
  <c r="F288" i="121"/>
  <c r="G333" i="121" s="1"/>
  <c r="F416" i="69"/>
  <c r="D416" i="69"/>
  <c r="I16" i="117"/>
  <c r="G288" i="123"/>
  <c r="H333" i="123" s="1"/>
  <c r="C299" i="123"/>
  <c r="D344" i="123" s="1"/>
  <c r="D248" i="133"/>
  <c r="E293" i="133" s="1"/>
  <c r="J249" i="133"/>
  <c r="K294" i="133" s="1"/>
  <c r="H185" i="115"/>
  <c r="I224" i="115" s="1"/>
  <c r="E362" i="127"/>
  <c r="N8" i="127"/>
  <c r="A311" i="127" s="1"/>
  <c r="K8" i="127"/>
  <c r="J8" i="127"/>
  <c r="C260" i="125"/>
  <c r="E260" i="125"/>
  <c r="D206" i="137"/>
  <c r="D208" i="137"/>
  <c r="D207" i="137"/>
  <c r="E299" i="75"/>
  <c r="F350" i="75" s="1"/>
  <c r="L294" i="75"/>
  <c r="M345" i="75" s="1"/>
  <c r="L266" i="143"/>
  <c r="M311" i="143" s="1"/>
  <c r="C445" i="143"/>
  <c r="E445" i="143"/>
  <c r="I299" i="135"/>
  <c r="J344" i="135" s="1"/>
  <c r="M243" i="133"/>
  <c r="N288" i="133" s="1"/>
  <c r="E521" i="135"/>
  <c r="J9" i="135"/>
  <c r="N9" i="135"/>
  <c r="A445" i="135" s="1"/>
  <c r="E401" i="133"/>
  <c r="C401" i="133"/>
  <c r="C377" i="133"/>
  <c r="B53" i="133"/>
  <c r="E377" i="133"/>
  <c r="C53" i="133"/>
  <c r="E232" i="127"/>
  <c r="B252" i="133"/>
  <c r="C297" i="133" s="1"/>
  <c r="H268" i="141"/>
  <c r="I313" i="141" s="1"/>
  <c r="F388" i="139"/>
  <c r="D388" i="139"/>
  <c r="C75" i="139"/>
  <c r="L36" i="122"/>
  <c r="M36" i="122"/>
  <c r="B272" i="131"/>
  <c r="C317" i="131" s="1"/>
  <c r="C269" i="131"/>
  <c r="D314" i="131" s="1"/>
  <c r="L334" i="133"/>
  <c r="L335" i="133"/>
  <c r="L336" i="133"/>
  <c r="L338" i="133"/>
  <c r="L337" i="133"/>
  <c r="E620" i="83"/>
  <c r="C620" i="83"/>
  <c r="B313" i="83"/>
  <c r="E34" i="143"/>
  <c r="E36" i="143"/>
  <c r="E42" i="143" s="1"/>
  <c r="B35" i="143"/>
  <c r="C40" i="143"/>
  <c r="N10" i="123"/>
  <c r="A447" i="123" s="1"/>
  <c r="E516" i="123"/>
  <c r="F411" i="141"/>
  <c r="D411" i="141"/>
  <c r="E201" i="105"/>
  <c r="C201" i="105"/>
  <c r="C22" i="105"/>
  <c r="B22" i="105"/>
  <c r="B104" i="115"/>
  <c r="E324" i="115"/>
  <c r="C104" i="115"/>
  <c r="C324" i="115"/>
  <c r="E443" i="119"/>
  <c r="C443" i="119"/>
  <c r="M294" i="123"/>
  <c r="N339" i="123" s="1"/>
  <c r="I184" i="127"/>
  <c r="F343" i="127"/>
  <c r="D343" i="127"/>
  <c r="K249" i="133"/>
  <c r="L294" i="133" s="1"/>
  <c r="E522" i="135"/>
  <c r="N10" i="135"/>
  <c r="A453" i="135" s="1"/>
  <c r="G187" i="115"/>
  <c r="H226" i="115" s="1"/>
  <c r="E274" i="125"/>
  <c r="K11" i="125"/>
  <c r="C109" i="125" s="1"/>
  <c r="N11" i="125"/>
  <c r="A260" i="125" s="1"/>
  <c r="K300" i="75"/>
  <c r="L351" i="75" s="1"/>
  <c r="A352" i="121"/>
  <c r="K362" i="121" s="1"/>
  <c r="C293" i="123"/>
  <c r="D338" i="123" s="1"/>
  <c r="K9" i="135"/>
  <c r="N10" i="133"/>
  <c r="A401" i="133" s="1"/>
  <c r="E454" i="133"/>
  <c r="A195" i="137"/>
  <c r="A200" i="137" s="1"/>
  <c r="L28" i="128"/>
  <c r="M28" i="128"/>
  <c r="I268" i="141"/>
  <c r="J313" i="141" s="1"/>
  <c r="I11" i="143"/>
  <c r="K11" i="143" s="1"/>
  <c r="F266" i="131"/>
  <c r="G311" i="131" s="1"/>
  <c r="E244" i="137"/>
  <c r="C244" i="137"/>
  <c r="J10" i="123"/>
  <c r="I293" i="121"/>
  <c r="J338" i="121" s="1"/>
  <c r="G288" i="121"/>
  <c r="H333" i="121" s="1"/>
  <c r="B293" i="121"/>
  <c r="C338" i="121" s="1"/>
  <c r="F252" i="137"/>
  <c r="D252" i="137"/>
  <c r="L308" i="139"/>
  <c r="A319" i="139" s="1"/>
  <c r="A330" i="139" s="1"/>
  <c r="M304" i="139"/>
  <c r="C406" i="99"/>
  <c r="E406" i="99"/>
  <c r="E490" i="119"/>
  <c r="N12" i="119"/>
  <c r="A443" i="119" s="1"/>
  <c r="C248" i="133"/>
  <c r="D293" i="133" s="1"/>
  <c r="D260" i="137"/>
  <c r="C110" i="137"/>
  <c r="F260" i="137"/>
  <c r="C109" i="137"/>
  <c r="E272" i="131"/>
  <c r="F317" i="131" s="1"/>
  <c r="C185" i="127"/>
  <c r="D224" i="127" s="1"/>
  <c r="I298" i="123"/>
  <c r="J343" i="123" s="1"/>
  <c r="B253" i="139"/>
  <c r="C298" i="139" s="1"/>
  <c r="C303" i="127"/>
  <c r="E303" i="127"/>
  <c r="J10" i="135"/>
  <c r="I267" i="131"/>
  <c r="J312" i="131" s="1"/>
  <c r="D276" i="141"/>
  <c r="E321" i="141" s="1"/>
  <c r="J266" i="141"/>
  <c r="K311" i="141" s="1"/>
  <c r="D271" i="141"/>
  <c r="E316" i="141" s="1"/>
  <c r="L272" i="143"/>
  <c r="M317" i="143" s="1"/>
  <c r="E481" i="143"/>
  <c r="N9" i="143"/>
  <c r="A413" i="143" s="1"/>
  <c r="I266" i="131"/>
  <c r="J311" i="131" s="1"/>
  <c r="B269" i="131"/>
  <c r="C314" i="131" s="1"/>
  <c r="F266" i="89"/>
  <c r="G266" i="89"/>
  <c r="A266" i="89"/>
  <c r="A274" i="89" s="1"/>
  <c r="M36" i="130"/>
  <c r="L36" i="130"/>
  <c r="E272" i="137"/>
  <c r="N9" i="137"/>
  <c r="A244" i="137" s="1"/>
  <c r="K9" i="137"/>
  <c r="E520" i="135"/>
  <c r="N8" i="135"/>
  <c r="A437" i="135" s="1"/>
  <c r="L31" i="142"/>
  <c r="M31" i="142"/>
  <c r="H293" i="121"/>
  <c r="I338" i="121" s="1"/>
  <c r="F294" i="121"/>
  <c r="G339" i="121" s="1"/>
  <c r="K8" i="131"/>
  <c r="C76" i="131" s="1"/>
  <c r="C252" i="137"/>
  <c r="E252" i="137"/>
  <c r="F201" i="105"/>
  <c r="D201" i="105"/>
  <c r="C23" i="105"/>
  <c r="M308" i="139"/>
  <c r="C302" i="139"/>
  <c r="E528" i="135"/>
  <c r="N16" i="135"/>
  <c r="A501" i="135" s="1"/>
  <c r="I185" i="127"/>
  <c r="J224" i="127" s="1"/>
  <c r="I245" i="133"/>
  <c r="J290" i="133" s="1"/>
  <c r="I251" i="133"/>
  <c r="J296" i="133" s="1"/>
  <c r="A173" i="137"/>
  <c r="H180" i="137" s="1"/>
  <c r="C48" i="7"/>
  <c r="E158" i="7"/>
  <c r="B48" i="7"/>
  <c r="C158" i="7"/>
  <c r="M29" i="98"/>
  <c r="L29" i="98"/>
  <c r="I228" i="69"/>
  <c r="J273" i="69" s="1"/>
  <c r="M219" i="69"/>
  <c r="N264" i="69" s="1"/>
  <c r="I230" i="65"/>
  <c r="J275" i="65" s="1"/>
  <c r="C229" i="59"/>
  <c r="D274" i="59" s="1"/>
  <c r="H164" i="35"/>
  <c r="I203" i="35" s="1"/>
  <c r="E462" i="75"/>
  <c r="C462" i="75"/>
  <c r="B103" i="75"/>
  <c r="C103" i="75"/>
  <c r="E400" i="63"/>
  <c r="C156" i="63"/>
  <c r="C400" i="63"/>
  <c r="B156" i="63"/>
  <c r="N364" i="93"/>
  <c r="N363" i="93"/>
  <c r="N365" i="93"/>
  <c r="F116" i="103"/>
  <c r="F115" i="103"/>
  <c r="F114" i="103"/>
  <c r="F113" i="103"/>
  <c r="F117" i="103"/>
  <c r="D284" i="89"/>
  <c r="D279" i="89"/>
  <c r="E529" i="79"/>
  <c r="N8" i="79"/>
  <c r="E431" i="73"/>
  <c r="N12" i="73"/>
  <c r="K12" i="73"/>
  <c r="H219" i="67"/>
  <c r="I264" i="67" s="1"/>
  <c r="C370" i="81"/>
  <c r="D427" i="81" s="1"/>
  <c r="Q373" i="81"/>
  <c r="R430" i="81" s="1"/>
  <c r="D371" i="81"/>
  <c r="E428" i="81" s="1"/>
  <c r="L371" i="81"/>
  <c r="M428" i="81" s="1"/>
  <c r="E245" i="33"/>
  <c r="N6" i="33"/>
  <c r="G287" i="77"/>
  <c r="H338" i="77" s="1"/>
  <c r="G296" i="77"/>
  <c r="H347" i="77" s="1"/>
  <c r="M32" i="82"/>
  <c r="L32" i="82"/>
  <c r="F170" i="113"/>
  <c r="I174" i="113"/>
  <c r="H174" i="113"/>
  <c r="A181" i="113" s="1"/>
  <c r="A188" i="113" s="1"/>
  <c r="I171" i="113"/>
  <c r="H171" i="113"/>
  <c r="A178" i="113" s="1"/>
  <c r="A185" i="113" s="1"/>
  <c r="E170" i="113"/>
  <c r="D170" i="113"/>
  <c r="C170" i="113"/>
  <c r="I172" i="113"/>
  <c r="I173" i="113"/>
  <c r="H173" i="113"/>
  <c r="A180" i="113" s="1"/>
  <c r="A187" i="113" s="1"/>
  <c r="H172" i="113"/>
  <c r="A179" i="113" s="1"/>
  <c r="A186" i="113" s="1"/>
  <c r="E363" i="89"/>
  <c r="N9" i="89"/>
  <c r="C86" i="89" s="1"/>
  <c r="E488" i="131"/>
  <c r="N7" i="131"/>
  <c r="A406" i="131" s="1"/>
  <c r="K7" i="131"/>
  <c r="A384" i="121"/>
  <c r="A392" i="121" s="1"/>
  <c r="M28" i="120"/>
  <c r="L28" i="120"/>
  <c r="C270" i="117"/>
  <c r="D315" i="117" s="1"/>
  <c r="F503" i="121"/>
  <c r="D503" i="121"/>
  <c r="C268" i="121"/>
  <c r="M38" i="96"/>
  <c r="L38" i="96"/>
  <c r="B142" i="115"/>
  <c r="C142" i="115"/>
  <c r="E340" i="115"/>
  <c r="C340" i="115"/>
  <c r="C40" i="117"/>
  <c r="G265" i="117"/>
  <c r="H310" i="117" s="1"/>
  <c r="B275" i="99"/>
  <c r="C320" i="99" s="1"/>
  <c r="H275" i="117"/>
  <c r="I320" i="117" s="1"/>
  <c r="I12" i="143"/>
  <c r="K12" i="143" s="1"/>
  <c r="B276" i="119"/>
  <c r="C321" i="119" s="1"/>
  <c r="K245" i="139"/>
  <c r="L290" i="139" s="1"/>
  <c r="G295" i="135"/>
  <c r="H340" i="135" s="1"/>
  <c r="G288" i="135"/>
  <c r="H333" i="135" s="1"/>
  <c r="F445" i="143"/>
  <c r="D445" i="143"/>
  <c r="A193" i="137"/>
  <c r="A198" i="137" s="1"/>
  <c r="M28" i="90"/>
  <c r="L28" i="90"/>
  <c r="I14" i="131"/>
  <c r="J14" i="131" s="1"/>
  <c r="K236" i="127"/>
  <c r="A246" i="127" s="1"/>
  <c r="A256" i="127" s="1"/>
  <c r="J245" i="139"/>
  <c r="K290" i="139" s="1"/>
  <c r="D272" i="141"/>
  <c r="E317" i="141" s="1"/>
  <c r="B273" i="141"/>
  <c r="C318" i="141" s="1"/>
  <c r="F380" i="139"/>
  <c r="D380" i="139"/>
  <c r="J9" i="143"/>
  <c r="D433" i="133"/>
  <c r="F433" i="133"/>
  <c r="C201" i="133"/>
  <c r="J244" i="139"/>
  <c r="K289" i="139" s="1"/>
  <c r="H268" i="131"/>
  <c r="I313" i="131" s="1"/>
  <c r="B271" i="131"/>
  <c r="C316" i="131" s="1"/>
  <c r="H298" i="75"/>
  <c r="I349" i="75" s="1"/>
  <c r="J238" i="115"/>
  <c r="A247" i="115" s="1"/>
  <c r="A256" i="115" s="1"/>
  <c r="J236" i="115"/>
  <c r="A245" i="115" s="1"/>
  <c r="A254" i="115" s="1"/>
  <c r="K234" i="115"/>
  <c r="H232" i="115"/>
  <c r="J233" i="115"/>
  <c r="A242" i="115" s="1"/>
  <c r="A251" i="115" s="1"/>
  <c r="K235" i="115"/>
  <c r="J235" i="115"/>
  <c r="A244" i="115" s="1"/>
  <c r="A253" i="115" s="1"/>
  <c r="K237" i="115"/>
  <c r="J237" i="115"/>
  <c r="A246" i="115" s="1"/>
  <c r="A255" i="115" s="1"/>
  <c r="K238" i="115"/>
  <c r="J234" i="115"/>
  <c r="A243" i="115" s="1"/>
  <c r="A252" i="115" s="1"/>
  <c r="G232" i="115"/>
  <c r="F232" i="115"/>
  <c r="E232" i="115"/>
  <c r="K236" i="115"/>
  <c r="D232" i="115"/>
  <c r="C232" i="115"/>
  <c r="K233" i="115"/>
  <c r="E437" i="135"/>
  <c r="C437" i="135"/>
  <c r="E461" i="143"/>
  <c r="C461" i="143"/>
  <c r="I275" i="143"/>
  <c r="J320" i="143" s="1"/>
  <c r="L309" i="139"/>
  <c r="A320" i="139" s="1"/>
  <c r="A331" i="139" s="1"/>
  <c r="L303" i="139"/>
  <c r="A314" i="139" s="1"/>
  <c r="A325" i="139" s="1"/>
  <c r="E501" i="135"/>
  <c r="C501" i="135"/>
  <c r="L288" i="123"/>
  <c r="M333" i="123" s="1"/>
  <c r="F289" i="123"/>
  <c r="G334" i="123" s="1"/>
  <c r="D253" i="139"/>
  <c r="E298" i="139" s="1"/>
  <c r="H243" i="133"/>
  <c r="I288" i="133" s="1"/>
  <c r="E112" i="95"/>
  <c r="I122" i="95" s="1"/>
  <c r="E110" i="95"/>
  <c r="B140" i="99"/>
  <c r="E141" i="99"/>
  <c r="K153" i="99" s="1"/>
  <c r="E139" i="99"/>
  <c r="E242" i="109"/>
  <c r="N8" i="109"/>
  <c r="A215" i="109" s="1"/>
  <c r="K8" i="109"/>
  <c r="G272" i="117"/>
  <c r="H317" i="117" s="1"/>
  <c r="E479" i="121"/>
  <c r="B204" i="121"/>
  <c r="C479" i="121"/>
  <c r="F501" i="135"/>
  <c r="D501" i="135"/>
  <c r="C247" i="135"/>
  <c r="L36" i="96"/>
  <c r="M36" i="96"/>
  <c r="F443" i="119"/>
  <c r="D443" i="119"/>
  <c r="E49" i="101"/>
  <c r="E51" i="101"/>
  <c r="C55" i="101" s="1"/>
  <c r="G59" i="101"/>
  <c r="M29" i="126"/>
  <c r="L29" i="126"/>
  <c r="D121" i="107"/>
  <c r="D123" i="107"/>
  <c r="J135" i="107" s="1"/>
  <c r="D129" i="107"/>
  <c r="E429" i="111"/>
  <c r="N13" i="111"/>
  <c r="B177" i="111" s="1"/>
  <c r="E246" i="105"/>
  <c r="N10" i="105"/>
  <c r="F295" i="129"/>
  <c r="D295" i="129"/>
  <c r="C270" i="119"/>
  <c r="D315" i="119" s="1"/>
  <c r="M245" i="139"/>
  <c r="N290" i="139" s="1"/>
  <c r="L265" i="143"/>
  <c r="M310" i="143" s="1"/>
  <c r="H276" i="143"/>
  <c r="I321" i="143" s="1"/>
  <c r="C268" i="123"/>
  <c r="D503" i="123"/>
  <c r="F503" i="123"/>
  <c r="A265" i="127"/>
  <c r="A273" i="127" s="1"/>
  <c r="A196" i="137"/>
  <c r="A201" i="137" s="1"/>
  <c r="C271" i="131"/>
  <c r="D316" i="131" s="1"/>
  <c r="C232" i="127"/>
  <c r="B246" i="133"/>
  <c r="C291" i="133" s="1"/>
  <c r="E276" i="141"/>
  <c r="F321" i="141" s="1"/>
  <c r="L266" i="141"/>
  <c r="M311" i="141" s="1"/>
  <c r="L267" i="141"/>
  <c r="M312" i="141" s="1"/>
  <c r="K12" i="123"/>
  <c r="H273" i="131"/>
  <c r="I318" i="131" s="1"/>
  <c r="K272" i="131"/>
  <c r="L317" i="131" s="1"/>
  <c r="K262" i="115"/>
  <c r="K264" i="115"/>
  <c r="K263" i="115"/>
  <c r="K261" i="115"/>
  <c r="K271" i="131"/>
  <c r="L316" i="131" s="1"/>
  <c r="E487" i="143"/>
  <c r="N15" i="143"/>
  <c r="K15" i="143"/>
  <c r="M294" i="121"/>
  <c r="N339" i="121" s="1"/>
  <c r="H299" i="121"/>
  <c r="I344" i="121" s="1"/>
  <c r="H302" i="139"/>
  <c r="H340" i="139" s="1"/>
  <c r="M306" i="139"/>
  <c r="G289" i="123"/>
  <c r="H334" i="123" s="1"/>
  <c r="I242" i="133"/>
  <c r="J287" i="133" s="1"/>
  <c r="C184" i="115"/>
  <c r="D223" i="115" s="1"/>
  <c r="K11" i="131"/>
  <c r="C139" i="131" s="1"/>
  <c r="E25" i="113"/>
  <c r="E27" i="113"/>
  <c r="E33" i="113" s="1"/>
  <c r="C31" i="113"/>
  <c r="C295" i="129"/>
  <c r="E295" i="129"/>
  <c r="K8" i="107"/>
  <c r="K242" i="107"/>
  <c r="K243" i="107"/>
  <c r="F186" i="89"/>
  <c r="G225" i="89" s="1"/>
  <c r="D230" i="67"/>
  <c r="E275" i="67" s="1"/>
  <c r="M378" i="81"/>
  <c r="N435" i="81" s="1"/>
  <c r="N363" i="81"/>
  <c r="O420" i="81" s="1"/>
  <c r="E369" i="81"/>
  <c r="F426" i="81" s="1"/>
  <c r="N372" i="81"/>
  <c r="O429" i="81" s="1"/>
  <c r="C376" i="81"/>
  <c r="D433" i="81" s="1"/>
  <c r="H373" i="81"/>
  <c r="I430" i="81" s="1"/>
  <c r="I373" i="81"/>
  <c r="J430" i="81" s="1"/>
  <c r="J373" i="81"/>
  <c r="K430" i="81" s="1"/>
  <c r="K373" i="81"/>
  <c r="L430" i="81" s="1"/>
  <c r="N9" i="37"/>
  <c r="A298" i="37" s="1"/>
  <c r="E334" i="37"/>
  <c r="K9" i="37"/>
  <c r="H298" i="77"/>
  <c r="I349" i="77" s="1"/>
  <c r="C604" i="83"/>
  <c r="C263" i="83"/>
  <c r="B263" i="83"/>
  <c r="E604" i="83"/>
  <c r="J223" i="111"/>
  <c r="K268" i="111" s="1"/>
  <c r="I6" i="127"/>
  <c r="J6" i="127" s="1"/>
  <c r="E348" i="121"/>
  <c r="E383" i="121" s="1"/>
  <c r="K355" i="121"/>
  <c r="A365" i="121" s="1"/>
  <c r="A375" i="121" s="1"/>
  <c r="L353" i="121"/>
  <c r="L354" i="121"/>
  <c r="K14" i="135"/>
  <c r="E520" i="121"/>
  <c r="N14" i="121"/>
  <c r="A479" i="121" s="1"/>
  <c r="C417" i="133"/>
  <c r="E417" i="133"/>
  <c r="E369" i="133"/>
  <c r="C369" i="133"/>
  <c r="I269" i="99"/>
  <c r="J314" i="99" s="1"/>
  <c r="E271" i="113"/>
  <c r="N8" i="113"/>
  <c r="A236" i="113" s="1"/>
  <c r="K8" i="113"/>
  <c r="N7" i="123"/>
  <c r="A423" i="123" s="1"/>
  <c r="E513" i="123"/>
  <c r="C247" i="121"/>
  <c r="D495" i="121"/>
  <c r="F495" i="121"/>
  <c r="D436" i="139"/>
  <c r="F436" i="139"/>
  <c r="E252" i="139"/>
  <c r="F297" i="139" s="1"/>
  <c r="L245" i="139"/>
  <c r="M290" i="139" s="1"/>
  <c r="H269" i="143"/>
  <c r="I314" i="143" s="1"/>
  <c r="D269" i="123"/>
  <c r="F277" i="123" s="1"/>
  <c r="H279" i="123"/>
  <c r="D267" i="123"/>
  <c r="G361" i="141"/>
  <c r="I361" i="141"/>
  <c r="J361" i="141"/>
  <c r="H361" i="141"/>
  <c r="A361" i="141"/>
  <c r="A370" i="141" s="1"/>
  <c r="E272" i="85"/>
  <c r="N6" i="85"/>
  <c r="A223" i="85" s="1"/>
  <c r="B276" i="117"/>
  <c r="C321" i="117" s="1"/>
  <c r="G266" i="127"/>
  <c r="F266" i="127"/>
  <c r="A266" i="127"/>
  <c r="A274" i="127" s="1"/>
  <c r="E477" i="97"/>
  <c r="C183" i="97"/>
  <c r="B183" i="97"/>
  <c r="C477" i="97"/>
  <c r="F265" i="131"/>
  <c r="G310" i="131" s="1"/>
  <c r="L351" i="121"/>
  <c r="K238" i="127"/>
  <c r="A248" i="127" s="1"/>
  <c r="A258" i="127" s="1"/>
  <c r="M242" i="133"/>
  <c r="N287" i="133" s="1"/>
  <c r="K248" i="139"/>
  <c r="L293" i="139" s="1"/>
  <c r="C273" i="141"/>
  <c r="D318" i="141" s="1"/>
  <c r="K243" i="139"/>
  <c r="L288" i="139" s="1"/>
  <c r="E493" i="141"/>
  <c r="K15" i="141"/>
  <c r="N15" i="141"/>
  <c r="A467" i="141" s="1"/>
  <c r="H242" i="133"/>
  <c r="I287" i="133" s="1"/>
  <c r="A383" i="121"/>
  <c r="A391" i="121" s="1"/>
  <c r="A260" i="137"/>
  <c r="B109" i="137"/>
  <c r="L305" i="139"/>
  <c r="A316" i="139" s="1"/>
  <c r="A327" i="139" s="1"/>
  <c r="I302" i="139"/>
  <c r="I338" i="139" s="1"/>
  <c r="B167" i="129"/>
  <c r="C206" i="129" s="1"/>
  <c r="E240" i="109"/>
  <c r="N6" i="109"/>
  <c r="B22" i="109" s="1"/>
  <c r="L242" i="133"/>
  <c r="M287" i="133" s="1"/>
  <c r="C141" i="101"/>
  <c r="C18" i="101"/>
  <c r="B18" i="101"/>
  <c r="E141" i="101"/>
  <c r="F408" i="65"/>
  <c r="D408" i="65"/>
  <c r="C178" i="65"/>
  <c r="A235" i="89"/>
  <c r="K245" i="89" s="1"/>
  <c r="F235" i="89"/>
  <c r="F414" i="99"/>
  <c r="D414" i="99"/>
  <c r="F372" i="81"/>
  <c r="G429" i="81" s="1"/>
  <c r="M367" i="81"/>
  <c r="N424" i="81" s="1"/>
  <c r="B372" i="81"/>
  <c r="C429" i="81" s="1"/>
  <c r="B368" i="81"/>
  <c r="C425" i="81" s="1"/>
  <c r="M371" i="81"/>
  <c r="N428" i="81" s="1"/>
  <c r="H374" i="81"/>
  <c r="I431" i="81" s="1"/>
  <c r="I374" i="81"/>
  <c r="J431" i="81" s="1"/>
  <c r="J374" i="81"/>
  <c r="K431" i="81" s="1"/>
  <c r="K374" i="81"/>
  <c r="L431" i="81" s="1"/>
  <c r="E548" i="81"/>
  <c r="C548" i="81"/>
  <c r="C88" i="81"/>
  <c r="B88" i="81"/>
  <c r="J9" i="37"/>
  <c r="K317" i="57"/>
  <c r="J317" i="57"/>
  <c r="F317" i="57"/>
  <c r="G317" i="57"/>
  <c r="E317" i="57"/>
  <c r="A317" i="57"/>
  <c r="A327" i="57" s="1"/>
  <c r="K12" i="139"/>
  <c r="E392" i="69"/>
  <c r="C392" i="69"/>
  <c r="C135" i="69"/>
  <c r="B135" i="69"/>
  <c r="K10" i="135"/>
  <c r="B57" i="77"/>
  <c r="C57" i="77"/>
  <c r="E446" i="77"/>
  <c r="C446" i="77"/>
  <c r="L35" i="114"/>
  <c r="M35" i="114"/>
  <c r="E456" i="133"/>
  <c r="N12" i="133"/>
  <c r="A417" i="133" s="1"/>
  <c r="E450" i="133"/>
  <c r="N6" i="133"/>
  <c r="A369" i="133" s="1"/>
  <c r="K6" i="133"/>
  <c r="K6" i="115"/>
  <c r="F266" i="99"/>
  <c r="G311" i="99" s="1"/>
  <c r="G271" i="99"/>
  <c r="H316" i="99" s="1"/>
  <c r="M265" i="99"/>
  <c r="N310" i="99" s="1"/>
  <c r="B269" i="99"/>
  <c r="C314" i="99" s="1"/>
  <c r="G272" i="99"/>
  <c r="H317" i="99" s="1"/>
  <c r="J8" i="113"/>
  <c r="M34" i="118"/>
  <c r="L34" i="118"/>
  <c r="J7" i="123"/>
  <c r="K13" i="123"/>
  <c r="C183" i="123" s="1"/>
  <c r="E492" i="117"/>
  <c r="N14" i="117"/>
  <c r="C203" i="117" s="1"/>
  <c r="M314" i="111"/>
  <c r="M315" i="111"/>
  <c r="M317" i="111"/>
  <c r="M316" i="111"/>
  <c r="M29" i="134"/>
  <c r="L29" i="134"/>
  <c r="F413" i="143"/>
  <c r="D413" i="143"/>
  <c r="H293" i="135"/>
  <c r="I338" i="135" s="1"/>
  <c r="F288" i="135"/>
  <c r="G333" i="135" s="1"/>
  <c r="E267" i="123"/>
  <c r="E269" i="123"/>
  <c r="G277" i="123" s="1"/>
  <c r="B268" i="123"/>
  <c r="I279" i="123"/>
  <c r="C252" i="133"/>
  <c r="D297" i="133" s="1"/>
  <c r="B24" i="85"/>
  <c r="E223" i="85"/>
  <c r="C223" i="85"/>
  <c r="E485" i="119"/>
  <c r="K7" i="119"/>
  <c r="N7" i="119"/>
  <c r="A264" i="127"/>
  <c r="A272" i="127" s="1"/>
  <c r="F404" i="139"/>
  <c r="D404" i="139"/>
  <c r="C117" i="139"/>
  <c r="E490" i="141"/>
  <c r="K12" i="141"/>
  <c r="N12" i="141"/>
  <c r="A443" i="141" s="1"/>
  <c r="C184" i="97"/>
  <c r="F477" i="97"/>
  <c r="D477" i="97"/>
  <c r="E252" i="113"/>
  <c r="B92" i="113"/>
  <c r="C92" i="113"/>
  <c r="C252" i="113"/>
  <c r="E271" i="141"/>
  <c r="F316" i="141" s="1"/>
  <c r="K265" i="141"/>
  <c r="L310" i="141" s="1"/>
  <c r="E486" i="141"/>
  <c r="N8" i="141"/>
  <c r="C77" i="141" s="1"/>
  <c r="D303" i="127"/>
  <c r="F303" i="127"/>
  <c r="G265" i="131"/>
  <c r="H310" i="131" s="1"/>
  <c r="H265" i="131"/>
  <c r="I310" i="131" s="1"/>
  <c r="C270" i="131"/>
  <c r="D315" i="131" s="1"/>
  <c r="E512" i="123"/>
  <c r="N6" i="123"/>
  <c r="C36" i="123" s="1"/>
  <c r="J11" i="129"/>
  <c r="I11" i="129"/>
  <c r="K244" i="139"/>
  <c r="L289" i="139" s="1"/>
  <c r="C276" i="143"/>
  <c r="D321" i="143" s="1"/>
  <c r="E389" i="111"/>
  <c r="C389" i="111"/>
  <c r="G295" i="121"/>
  <c r="H340" i="121" s="1"/>
  <c r="H292" i="121"/>
  <c r="I337" i="121" s="1"/>
  <c r="E395" i="91"/>
  <c r="N12" i="91"/>
  <c r="A364" i="91" s="1"/>
  <c r="K12" i="91"/>
  <c r="M305" i="139"/>
  <c r="E490" i="117"/>
  <c r="N12" i="117"/>
  <c r="A443" i="117" s="1"/>
  <c r="J8" i="137"/>
  <c r="D271" i="131"/>
  <c r="E316" i="131" s="1"/>
  <c r="B164" i="107"/>
  <c r="C203" i="107" s="1"/>
  <c r="F166" i="107"/>
  <c r="G205" i="107" s="1"/>
  <c r="D272" i="131"/>
  <c r="E317" i="131" s="1"/>
  <c r="A173" i="109"/>
  <c r="A180" i="109" s="1"/>
  <c r="D299" i="75"/>
  <c r="E350" i="75" s="1"/>
  <c r="H290" i="75"/>
  <c r="I341" i="75" s="1"/>
  <c r="I290" i="75"/>
  <c r="J341" i="75" s="1"/>
  <c r="F296" i="75"/>
  <c r="G347" i="75" s="1"/>
  <c r="N295" i="75"/>
  <c r="O346" i="75" s="1"/>
  <c r="E331" i="107"/>
  <c r="N9" i="107"/>
  <c r="I11" i="141"/>
  <c r="E457" i="139"/>
  <c r="N10" i="139"/>
  <c r="A404" i="139" s="1"/>
  <c r="E525" i="135"/>
  <c r="J13" i="135"/>
  <c r="N13" i="135"/>
  <c r="A477" i="135" s="1"/>
  <c r="I299" i="123"/>
  <c r="J344" i="123" s="1"/>
  <c r="E248" i="133"/>
  <c r="F293" i="133" s="1"/>
  <c r="C246" i="133"/>
  <c r="D291" i="133" s="1"/>
  <c r="F186" i="115"/>
  <c r="G225" i="115" s="1"/>
  <c r="C167" i="107"/>
  <c r="D206" i="107" s="1"/>
  <c r="C168" i="107"/>
  <c r="D207" i="107" s="1"/>
  <c r="A171" i="109"/>
  <c r="A178" i="109" s="1"/>
  <c r="B297" i="75"/>
  <c r="C348" i="75" s="1"/>
  <c r="H289" i="75"/>
  <c r="I340" i="75" s="1"/>
  <c r="O295" i="75"/>
  <c r="P346" i="75" s="1"/>
  <c r="F356" i="91"/>
  <c r="D356" i="91"/>
  <c r="C126" i="91"/>
  <c r="J9" i="107"/>
  <c r="B275" i="143"/>
  <c r="C320" i="143" s="1"/>
  <c r="K348" i="135"/>
  <c r="J348" i="135"/>
  <c r="I348" i="135"/>
  <c r="G348" i="135"/>
  <c r="M354" i="135"/>
  <c r="A366" i="135" s="1"/>
  <c r="A378" i="135" s="1"/>
  <c r="F348" i="135"/>
  <c r="M350" i="135"/>
  <c r="A362" i="135" s="1"/>
  <c r="A374" i="135" s="1"/>
  <c r="N352" i="135"/>
  <c r="M357" i="135"/>
  <c r="A369" i="135" s="1"/>
  <c r="A381" i="135" s="1"/>
  <c r="N349" i="135"/>
  <c r="N356" i="135"/>
  <c r="D348" i="135"/>
  <c r="N353" i="135"/>
  <c r="M351" i="135"/>
  <c r="A363" i="135" s="1"/>
  <c r="A375" i="135" s="1"/>
  <c r="M353" i="135"/>
  <c r="A365" i="135" s="1"/>
  <c r="A377" i="135" s="1"/>
  <c r="N357" i="135"/>
  <c r="C348" i="135"/>
  <c r="H348" i="135"/>
  <c r="N354" i="135"/>
  <c r="M356" i="135"/>
  <c r="A368" i="135" s="1"/>
  <c r="A380" i="135" s="1"/>
  <c r="N355" i="135"/>
  <c r="N351" i="135"/>
  <c r="N350" i="135"/>
  <c r="M352" i="135"/>
  <c r="A364" i="135" s="1"/>
  <c r="A376" i="135" s="1"/>
  <c r="E348" i="135"/>
  <c r="E386" i="135" s="1"/>
  <c r="M355" i="135"/>
  <c r="A367" i="135" s="1"/>
  <c r="A379" i="135" s="1"/>
  <c r="M349" i="135"/>
  <c r="A361" i="135" s="1"/>
  <c r="A373" i="135" s="1"/>
  <c r="N10" i="141"/>
  <c r="A427" i="141" s="1"/>
  <c r="E488" i="141"/>
  <c r="K10" i="141"/>
  <c r="J160" i="107"/>
  <c r="K199" i="107" s="1"/>
  <c r="A172" i="109"/>
  <c r="A179" i="109" s="1"/>
  <c r="B299" i="75"/>
  <c r="C350" i="75" s="1"/>
  <c r="G295" i="75"/>
  <c r="H346" i="75" s="1"/>
  <c r="D293" i="75"/>
  <c r="E344" i="75" s="1"/>
  <c r="G296" i="75"/>
  <c r="H347" i="75" s="1"/>
  <c r="M293" i="75"/>
  <c r="N344" i="75" s="1"/>
  <c r="C125" i="91"/>
  <c r="C356" i="91"/>
  <c r="B125" i="91"/>
  <c r="E356" i="91"/>
  <c r="F266" i="143"/>
  <c r="G311" i="143" s="1"/>
  <c r="N387" i="135"/>
  <c r="N388" i="135"/>
  <c r="E427" i="141"/>
  <c r="C427" i="141"/>
  <c r="O287" i="75"/>
  <c r="P338" i="75" s="1"/>
  <c r="I295" i="75"/>
  <c r="J346" i="75" s="1"/>
  <c r="M294" i="75"/>
  <c r="N345" i="75" s="1"/>
  <c r="E433" i="133"/>
  <c r="C433" i="133"/>
  <c r="B200" i="133"/>
  <c r="C200" i="133"/>
  <c r="I163" i="107"/>
  <c r="J202" i="107" s="1"/>
  <c r="C163" i="107"/>
  <c r="D202" i="107" s="1"/>
  <c r="A171" i="137"/>
  <c r="H178" i="137" s="1"/>
  <c r="E300" i="75"/>
  <c r="F351" i="75" s="1"/>
  <c r="O296" i="75"/>
  <c r="P347" i="75" s="1"/>
  <c r="B291" i="75"/>
  <c r="C342" i="75" s="1"/>
  <c r="F295" i="75"/>
  <c r="G346" i="75" s="1"/>
  <c r="L293" i="75"/>
  <c r="M344" i="75" s="1"/>
  <c r="C299" i="75"/>
  <c r="D350" i="75" s="1"/>
  <c r="B300" i="75"/>
  <c r="C351" i="75" s="1"/>
  <c r="F319" i="129"/>
  <c r="D319" i="129"/>
  <c r="E486" i="143"/>
  <c r="N14" i="143"/>
  <c r="A453" i="143" s="1"/>
  <c r="E461" i="139"/>
  <c r="N14" i="139"/>
  <c r="A436" i="139" s="1"/>
  <c r="H267" i="131"/>
  <c r="I312" i="131" s="1"/>
  <c r="I298" i="121"/>
  <c r="J343" i="121" s="1"/>
  <c r="E273" i="137"/>
  <c r="N10" i="137"/>
  <c r="A252" i="137" s="1"/>
  <c r="I244" i="133"/>
  <c r="J289" i="133" s="1"/>
  <c r="B185" i="127"/>
  <c r="C224" i="127" s="1"/>
  <c r="M243" i="139"/>
  <c r="N288" i="139" s="1"/>
  <c r="E361" i="127"/>
  <c r="N7" i="127"/>
  <c r="B47" i="127" s="1"/>
  <c r="G243" i="133"/>
  <c r="H288" i="133" s="1"/>
  <c r="B185" i="115"/>
  <c r="C224" i="115" s="1"/>
  <c r="I184" i="115"/>
  <c r="J223" i="115" s="1"/>
  <c r="K359" i="143"/>
  <c r="K354" i="143"/>
  <c r="K358" i="143"/>
  <c r="K357" i="143"/>
  <c r="K356" i="143"/>
  <c r="K355" i="143"/>
  <c r="D141" i="99"/>
  <c r="J153" i="99" s="1"/>
  <c r="D139" i="99"/>
  <c r="F159" i="107"/>
  <c r="G198" i="107" s="1"/>
  <c r="G166" i="107"/>
  <c r="H205" i="107" s="1"/>
  <c r="C119" i="119"/>
  <c r="E294" i="75"/>
  <c r="F345" i="75" s="1"/>
  <c r="C293" i="75"/>
  <c r="D344" i="75" s="1"/>
  <c r="H295" i="75"/>
  <c r="I346" i="75" s="1"/>
  <c r="I288" i="75"/>
  <c r="J339" i="75" s="1"/>
  <c r="E293" i="75"/>
  <c r="F344" i="75" s="1"/>
  <c r="J299" i="75"/>
  <c r="K350" i="75" s="1"/>
  <c r="C272" i="131"/>
  <c r="D317" i="131" s="1"/>
  <c r="J14" i="139"/>
  <c r="N290" i="75"/>
  <c r="O341" i="75" s="1"/>
  <c r="G288" i="75"/>
  <c r="H339" i="75" s="1"/>
  <c r="K294" i="75"/>
  <c r="L345" i="75" s="1"/>
  <c r="B298" i="75"/>
  <c r="C349" i="75" s="1"/>
  <c r="O289" i="75"/>
  <c r="P340" i="75" s="1"/>
  <c r="E488" i="93"/>
  <c r="N7" i="93"/>
  <c r="C298" i="123"/>
  <c r="D343" i="123" s="1"/>
  <c r="B293" i="123"/>
  <c r="C338" i="123" s="1"/>
  <c r="H244" i="133"/>
  <c r="I289" i="133" s="1"/>
  <c r="C253" i="133"/>
  <c r="D298" i="133" s="1"/>
  <c r="H184" i="115"/>
  <c r="I223" i="115" s="1"/>
  <c r="G180" i="115"/>
  <c r="H219" i="115" s="1"/>
  <c r="F165" i="107"/>
  <c r="G204" i="107" s="1"/>
  <c r="A172" i="137"/>
  <c r="H179" i="137" s="1"/>
  <c r="J300" i="75"/>
  <c r="K351" i="75" s="1"/>
  <c r="H288" i="75"/>
  <c r="I339" i="75" s="1"/>
  <c r="O290" i="75"/>
  <c r="P341" i="75" s="1"/>
  <c r="I287" i="75"/>
  <c r="J338" i="75" s="1"/>
  <c r="E334" i="129"/>
  <c r="N12" i="129"/>
  <c r="A319" i="129" s="1"/>
  <c r="J12" i="129"/>
  <c r="E485" i="143"/>
  <c r="N13" i="143"/>
  <c r="A445" i="143" s="1"/>
  <c r="J339" i="139"/>
  <c r="G339" i="139"/>
  <c r="A339" i="139"/>
  <c r="A348" i="139" s="1"/>
  <c r="D141" i="123"/>
  <c r="D149" i="123"/>
  <c r="D143" i="123"/>
  <c r="J155" i="123" s="1"/>
  <c r="M31" i="120"/>
  <c r="L31" i="120"/>
  <c r="F181" i="127"/>
  <c r="G220" i="127" s="1"/>
  <c r="E249" i="133"/>
  <c r="F294" i="133" s="1"/>
  <c r="C292" i="123"/>
  <c r="D337" i="123" s="1"/>
  <c r="F271" i="143"/>
  <c r="G316" i="143" s="1"/>
  <c r="D249" i="133"/>
  <c r="E294" i="133" s="1"/>
  <c r="I185" i="115"/>
  <c r="J224" i="115" s="1"/>
  <c r="B168" i="107"/>
  <c r="C207" i="107" s="1"/>
  <c r="C75" i="125"/>
  <c r="B75" i="125"/>
  <c r="C244" i="125"/>
  <c r="E244" i="125"/>
  <c r="I289" i="75"/>
  <c r="J340" i="75" s="1"/>
  <c r="K292" i="75"/>
  <c r="L343" i="75" s="1"/>
  <c r="C291" i="75"/>
  <c r="D342" i="75" s="1"/>
  <c r="N289" i="75"/>
  <c r="O340" i="75" s="1"/>
  <c r="N287" i="75"/>
  <c r="O338" i="75" s="1"/>
  <c r="I337" i="139"/>
  <c r="J337" i="139"/>
  <c r="A337" i="139"/>
  <c r="A346" i="139" s="1"/>
  <c r="N14" i="69"/>
  <c r="A416" i="69" s="1"/>
  <c r="J14" i="69"/>
  <c r="E433" i="69"/>
  <c r="F180" i="127"/>
  <c r="G219" i="127" s="1"/>
  <c r="H245" i="133"/>
  <c r="I290" i="133" s="1"/>
  <c r="E271" i="125"/>
  <c r="N8" i="125"/>
  <c r="A236" i="125" s="1"/>
  <c r="G242" i="133"/>
  <c r="H287" i="133" s="1"/>
  <c r="G165" i="107"/>
  <c r="H204" i="107" s="1"/>
  <c r="J159" i="107"/>
  <c r="K198" i="107" s="1"/>
  <c r="G159" i="107"/>
  <c r="H198" i="107" s="1"/>
  <c r="E453" i="133"/>
  <c r="N9" i="133"/>
  <c r="A393" i="133" s="1"/>
  <c r="C294" i="75"/>
  <c r="D345" i="75" s="1"/>
  <c r="D300" i="75"/>
  <c r="E351" i="75" s="1"/>
  <c r="B292" i="75"/>
  <c r="C343" i="75" s="1"/>
  <c r="H297" i="75"/>
  <c r="I348" i="75" s="1"/>
  <c r="J293" i="75"/>
  <c r="K344" i="75" s="1"/>
  <c r="B249" i="133"/>
  <c r="C294" i="133" s="1"/>
  <c r="C104" i="127"/>
  <c r="E327" i="127"/>
  <c r="B104" i="127"/>
  <c r="C327" i="127"/>
  <c r="F160" i="107"/>
  <c r="G199" i="107" s="1"/>
  <c r="H163" i="107"/>
  <c r="I202" i="107" s="1"/>
  <c r="B167" i="107"/>
  <c r="C206" i="107" s="1"/>
  <c r="J9" i="133"/>
  <c r="A168" i="109"/>
  <c r="A175" i="109" s="1"/>
  <c r="I296" i="75"/>
  <c r="J347" i="75" s="1"/>
  <c r="C298" i="75"/>
  <c r="D349" i="75" s="1"/>
  <c r="B293" i="75"/>
  <c r="C344" i="75" s="1"/>
  <c r="N296" i="75"/>
  <c r="O347" i="75" s="1"/>
  <c r="B294" i="75"/>
  <c r="C345" i="75" s="1"/>
  <c r="N8" i="99"/>
  <c r="A414" i="99" s="1"/>
  <c r="E489" i="99"/>
  <c r="E331" i="129"/>
  <c r="N9" i="129"/>
  <c r="A295" i="129" s="1"/>
  <c r="G160" i="107"/>
  <c r="H199" i="107" s="1"/>
  <c r="K159" i="107"/>
  <c r="L198" i="107" s="1"/>
  <c r="B163" i="107"/>
  <c r="C202" i="107" s="1"/>
  <c r="E167" i="101"/>
  <c r="N7" i="101"/>
  <c r="A149" i="101" s="1"/>
  <c r="C419" i="117"/>
  <c r="E419" i="117"/>
  <c r="A169" i="109"/>
  <c r="A176" i="109" s="1"/>
  <c r="E475" i="141"/>
  <c r="B244" i="141"/>
  <c r="C475" i="141"/>
  <c r="N288" i="75"/>
  <c r="O339" i="75" s="1"/>
  <c r="F287" i="75"/>
  <c r="G338" i="75" s="1"/>
  <c r="I297" i="75"/>
  <c r="J348" i="75" s="1"/>
  <c r="D294" i="75"/>
  <c r="E345" i="75" s="1"/>
  <c r="H296" i="75"/>
  <c r="I347" i="75" s="1"/>
  <c r="H287" i="75"/>
  <c r="I338" i="75" s="1"/>
  <c r="K299" i="75"/>
  <c r="L350" i="75" s="1"/>
  <c r="E482" i="143"/>
  <c r="N10" i="143"/>
  <c r="E414" i="99"/>
  <c r="C414" i="99"/>
  <c r="E427" i="111"/>
  <c r="N11" i="111"/>
  <c r="A389" i="111" s="1"/>
  <c r="F295" i="121"/>
  <c r="G340" i="121" s="1"/>
  <c r="C293" i="121"/>
  <c r="D338" i="121" s="1"/>
  <c r="G266" i="143"/>
  <c r="H311" i="143" s="1"/>
  <c r="E488" i="99"/>
  <c r="N7" i="99"/>
  <c r="C77" i="119"/>
  <c r="F411" i="119"/>
  <c r="D411" i="119"/>
  <c r="H274" i="131"/>
  <c r="I319" i="131" s="1"/>
  <c r="L289" i="123"/>
  <c r="M334" i="123" s="1"/>
  <c r="E366" i="127"/>
  <c r="N12" i="127"/>
  <c r="A343" i="127" s="1"/>
  <c r="J12" i="127"/>
  <c r="F243" i="133"/>
  <c r="G288" i="133" s="1"/>
  <c r="B253" i="133"/>
  <c r="C298" i="133" s="1"/>
  <c r="K160" i="107"/>
  <c r="L199" i="107" s="1"/>
  <c r="I164" i="107"/>
  <c r="J203" i="107" s="1"/>
  <c r="J7" i="101"/>
  <c r="E487" i="117"/>
  <c r="N9" i="117"/>
  <c r="A419" i="117" s="1"/>
  <c r="K9" i="117"/>
  <c r="A170" i="109"/>
  <c r="A177" i="109" s="1"/>
  <c r="E494" i="141"/>
  <c r="K16" i="141"/>
  <c r="N16" i="141"/>
  <c r="A475" i="141" s="1"/>
  <c r="I298" i="75"/>
  <c r="J349" i="75" s="1"/>
  <c r="O288" i="75"/>
  <c r="P339" i="75" s="1"/>
  <c r="C297" i="75"/>
  <c r="D348" i="75" s="1"/>
  <c r="C292" i="75"/>
  <c r="D343" i="75" s="1"/>
  <c r="K293" i="75"/>
  <c r="L344" i="75" s="1"/>
  <c r="F180" i="115"/>
  <c r="G219" i="115" s="1"/>
  <c r="J10" i="143"/>
  <c r="J10" i="139"/>
  <c r="K14" i="143"/>
  <c r="C202" i="143" s="1"/>
  <c r="C196" i="146" l="1"/>
  <c r="D241" i="146" s="1"/>
  <c r="N294" i="146"/>
  <c r="A294" i="146" s="1"/>
  <c r="A304" i="146" s="1"/>
  <c r="G230" i="146"/>
  <c r="G231" i="146" s="1"/>
  <c r="N295" i="146" s="1"/>
  <c r="F200" i="146"/>
  <c r="G245" i="146" s="1"/>
  <c r="M258" i="146"/>
  <c r="A270" i="146" s="1"/>
  <c r="A282" i="146" s="1"/>
  <c r="B197" i="146"/>
  <c r="C242" i="146" s="1"/>
  <c r="M257" i="146"/>
  <c r="A269" i="146" s="1"/>
  <c r="A281" i="146" s="1"/>
  <c r="C197" i="146"/>
  <c r="D242" i="146" s="1"/>
  <c r="I202" i="146"/>
  <c r="J247" i="146" s="1"/>
  <c r="H203" i="146"/>
  <c r="I248" i="146" s="1"/>
  <c r="G200" i="146"/>
  <c r="H245" i="146" s="1"/>
  <c r="I203" i="146"/>
  <c r="J248" i="146" s="1"/>
  <c r="H202" i="146"/>
  <c r="I247" i="146" s="1"/>
  <c r="D198" i="146"/>
  <c r="E243" i="146" s="1"/>
  <c r="B196" i="146"/>
  <c r="C241" i="146" s="1"/>
  <c r="A295" i="146"/>
  <c r="A305" i="146" s="1"/>
  <c r="C295" i="146"/>
  <c r="D199" i="146"/>
  <c r="E244" i="146" s="1"/>
  <c r="G232" i="146"/>
  <c r="N296" i="146" s="1"/>
  <c r="E198" i="146"/>
  <c r="F243" i="146" s="1"/>
  <c r="A257" i="146"/>
  <c r="M269" i="146" s="1"/>
  <c r="E199" i="146"/>
  <c r="F244" i="146" s="1"/>
  <c r="G201" i="146"/>
  <c r="H246" i="146" s="1"/>
  <c r="F229" i="146"/>
  <c r="I104" i="145"/>
  <c r="E100" i="145"/>
  <c r="H103" i="145"/>
  <c r="D99" i="145"/>
  <c r="C103" i="145"/>
  <c r="C99" i="145"/>
  <c r="H104" i="145"/>
  <c r="D100" i="145"/>
  <c r="I103" i="145"/>
  <c r="E99" i="145"/>
  <c r="B103" i="145"/>
  <c r="B99" i="145"/>
  <c r="H97" i="145"/>
  <c r="D97" i="145"/>
  <c r="I97" i="145"/>
  <c r="E97" i="145"/>
  <c r="B104" i="145"/>
  <c r="B100" i="145"/>
  <c r="C104" i="145"/>
  <c r="C100" i="145"/>
  <c r="H98" i="145"/>
  <c r="D98" i="145"/>
  <c r="I98" i="145"/>
  <c r="E98" i="145"/>
  <c r="G230" i="145"/>
  <c r="N294" i="145" s="1"/>
  <c r="A294" i="145" s="1"/>
  <c r="A304" i="145" s="1"/>
  <c r="D52" i="145"/>
  <c r="F60" i="145" s="1"/>
  <c r="D51" i="145"/>
  <c r="F59" i="145" s="1"/>
  <c r="D49" i="145"/>
  <c r="C49" i="145"/>
  <c r="A337" i="145"/>
  <c r="E52" i="145"/>
  <c r="G60" i="145" s="1"/>
  <c r="E49" i="145"/>
  <c r="D337" i="145"/>
  <c r="B51" i="145"/>
  <c r="C51" i="145"/>
  <c r="E51" i="145"/>
  <c r="G59" i="145" s="1"/>
  <c r="D50" i="145"/>
  <c r="B50" i="145"/>
  <c r="C50" i="145"/>
  <c r="E50" i="145"/>
  <c r="E72" i="145"/>
  <c r="I82" i="145" s="1"/>
  <c r="E70" i="145"/>
  <c r="D70" i="145"/>
  <c r="C70" i="145"/>
  <c r="B70" i="145"/>
  <c r="B73" i="145"/>
  <c r="D73" i="145"/>
  <c r="H83" i="145" s="1"/>
  <c r="B71" i="145"/>
  <c r="E73" i="145"/>
  <c r="I83" i="145" s="1"/>
  <c r="A345" i="145"/>
  <c r="C73" i="145"/>
  <c r="E71" i="145"/>
  <c r="C71" i="145"/>
  <c r="D72" i="145"/>
  <c r="H82" i="145" s="1"/>
  <c r="C72" i="145"/>
  <c r="B72" i="145"/>
  <c r="D71" i="145"/>
  <c r="D345" i="145"/>
  <c r="F345" i="145"/>
  <c r="B52" i="145"/>
  <c r="C345" i="145"/>
  <c r="E345" i="145"/>
  <c r="B49" i="145"/>
  <c r="C52" i="145"/>
  <c r="B28" i="145"/>
  <c r="E29" i="145"/>
  <c r="D28" i="145"/>
  <c r="C29" i="145"/>
  <c r="E30" i="145"/>
  <c r="E36" i="145" s="1"/>
  <c r="B31" i="145"/>
  <c r="D30" i="145"/>
  <c r="D36" i="145" s="1"/>
  <c r="E28" i="145"/>
  <c r="C30" i="145"/>
  <c r="B30" i="145"/>
  <c r="B29" i="145"/>
  <c r="A329" i="145"/>
  <c r="E31" i="145"/>
  <c r="E37" i="145" s="1"/>
  <c r="C31" i="145"/>
  <c r="D29" i="145"/>
  <c r="D31" i="145"/>
  <c r="D37" i="145" s="1"/>
  <c r="C28" i="145"/>
  <c r="E329" i="145"/>
  <c r="C329" i="145"/>
  <c r="F329" i="145"/>
  <c r="D329" i="145"/>
  <c r="E377" i="145"/>
  <c r="C377" i="145"/>
  <c r="F377" i="145"/>
  <c r="D377" i="145"/>
  <c r="D361" i="145"/>
  <c r="F361" i="145"/>
  <c r="B115" i="145"/>
  <c r="D113" i="145"/>
  <c r="E114" i="145"/>
  <c r="D114" i="145"/>
  <c r="C113" i="145"/>
  <c r="E121" i="145" s="1"/>
  <c r="B113" i="145"/>
  <c r="D121" i="145" s="1"/>
  <c r="C112" i="145"/>
  <c r="E120" i="145" s="1"/>
  <c r="E113" i="145"/>
  <c r="D115" i="145"/>
  <c r="A361" i="145"/>
  <c r="B112" i="145"/>
  <c r="D120" i="145" s="1"/>
  <c r="E112" i="145"/>
  <c r="E115" i="145"/>
  <c r="D112" i="145"/>
  <c r="C114" i="145"/>
  <c r="B114" i="145"/>
  <c r="C115" i="145"/>
  <c r="C361" i="145"/>
  <c r="E361" i="145"/>
  <c r="A377" i="145"/>
  <c r="B378" i="145" s="1"/>
  <c r="C154" i="145"/>
  <c r="D155" i="145"/>
  <c r="B154" i="145"/>
  <c r="E157" i="145"/>
  <c r="D157" i="145"/>
  <c r="B156" i="145"/>
  <c r="D156" i="145"/>
  <c r="E155" i="145"/>
  <c r="C155" i="145"/>
  <c r="B155" i="145"/>
  <c r="B157" i="145"/>
  <c r="D154" i="145"/>
  <c r="E156" i="145"/>
  <c r="C157" i="145"/>
  <c r="E154" i="145"/>
  <c r="C156" i="145"/>
  <c r="F231" i="145"/>
  <c r="F232" i="145"/>
  <c r="C156" i="144"/>
  <c r="E155" i="144"/>
  <c r="A377" i="144"/>
  <c r="B378" i="144" s="1"/>
  <c r="D155" i="144"/>
  <c r="E156" i="144"/>
  <c r="D154" i="144"/>
  <c r="B156" i="144"/>
  <c r="B157" i="144"/>
  <c r="B154" i="144"/>
  <c r="D156" i="144"/>
  <c r="D361" i="144"/>
  <c r="C377" i="144"/>
  <c r="C157" i="144"/>
  <c r="E154" i="144"/>
  <c r="D157" i="144"/>
  <c r="B155" i="144"/>
  <c r="F103" i="144"/>
  <c r="H97" i="144"/>
  <c r="H196" i="144" s="1"/>
  <c r="I241" i="144" s="1"/>
  <c r="I102" i="144"/>
  <c r="C104" i="144"/>
  <c r="C203" i="144" s="1"/>
  <c r="D248" i="144" s="1"/>
  <c r="G103" i="144"/>
  <c r="I97" i="144"/>
  <c r="I196" i="144" s="1"/>
  <c r="J241" i="144" s="1"/>
  <c r="H102" i="144"/>
  <c r="B104" i="144"/>
  <c r="B203" i="144" s="1"/>
  <c r="C248" i="144" s="1"/>
  <c r="H101" i="144"/>
  <c r="B103" i="144"/>
  <c r="B202" i="144" s="1"/>
  <c r="C247" i="144" s="1"/>
  <c r="H103" i="144"/>
  <c r="B97" i="144"/>
  <c r="G104" i="144"/>
  <c r="I98" i="144"/>
  <c r="I197" i="144" s="1"/>
  <c r="J242" i="144" s="1"/>
  <c r="I101" i="144"/>
  <c r="C103" i="144"/>
  <c r="C202" i="144" s="1"/>
  <c r="D247" i="144" s="1"/>
  <c r="H104" i="144"/>
  <c r="B98" i="144"/>
  <c r="F104" i="144"/>
  <c r="H98" i="144"/>
  <c r="H197" i="144" s="1"/>
  <c r="I242" i="144" s="1"/>
  <c r="I103" i="144"/>
  <c r="C97" i="144"/>
  <c r="I104" i="144"/>
  <c r="C55" i="144"/>
  <c r="E57" i="144"/>
  <c r="B55" i="144"/>
  <c r="D57" i="144"/>
  <c r="G55" i="144"/>
  <c r="G196" i="144" s="1"/>
  <c r="H241" i="144" s="1"/>
  <c r="G57" i="144"/>
  <c r="F55" i="144"/>
  <c r="F196" i="144" s="1"/>
  <c r="G241" i="144" s="1"/>
  <c r="F57" i="144"/>
  <c r="C56" i="144"/>
  <c r="C197" i="144" s="1"/>
  <c r="D242" i="144" s="1"/>
  <c r="E58" i="144"/>
  <c r="G56" i="144"/>
  <c r="G197" i="144" s="1"/>
  <c r="H242" i="144" s="1"/>
  <c r="G58" i="144"/>
  <c r="B56" i="144"/>
  <c r="D58" i="144"/>
  <c r="B60" i="144"/>
  <c r="B201" i="144" s="1"/>
  <c r="C246" i="144" s="1"/>
  <c r="D60" i="144"/>
  <c r="C59" i="144"/>
  <c r="C200" i="144" s="1"/>
  <c r="D245" i="144" s="1"/>
  <c r="E59" i="144"/>
  <c r="B59" i="144"/>
  <c r="B200" i="144" s="1"/>
  <c r="C245" i="144" s="1"/>
  <c r="D59" i="144"/>
  <c r="F56" i="144"/>
  <c r="F197" i="144" s="1"/>
  <c r="G242" i="144" s="1"/>
  <c r="F58" i="144"/>
  <c r="C60" i="144"/>
  <c r="C201" i="144" s="1"/>
  <c r="D246" i="144" s="1"/>
  <c r="E60" i="144"/>
  <c r="C112" i="144"/>
  <c r="C361" i="144"/>
  <c r="D113" i="144"/>
  <c r="E113" i="144"/>
  <c r="D114" i="144"/>
  <c r="B112" i="144"/>
  <c r="E114" i="144"/>
  <c r="E115" i="144"/>
  <c r="B115" i="144"/>
  <c r="C115" i="144"/>
  <c r="D115" i="144"/>
  <c r="M258" i="144"/>
  <c r="A270" i="144" s="1"/>
  <c r="A282" i="144" s="1"/>
  <c r="D112" i="144"/>
  <c r="E112" i="144"/>
  <c r="E124" i="144" s="1"/>
  <c r="E202" i="144" s="1"/>
  <c r="F247" i="144" s="1"/>
  <c r="B113" i="144"/>
  <c r="A361" i="144"/>
  <c r="B114" i="144"/>
  <c r="C114" i="144"/>
  <c r="C113" i="144"/>
  <c r="G227" i="144"/>
  <c r="G228" i="144" s="1"/>
  <c r="N296" i="144" s="1"/>
  <c r="C296" i="144" s="1"/>
  <c r="C345" i="144"/>
  <c r="E345" i="144"/>
  <c r="A345" i="144"/>
  <c r="B70" i="144"/>
  <c r="F80" i="144" s="1"/>
  <c r="F200" i="144" s="1"/>
  <c r="G245" i="144" s="1"/>
  <c r="E70" i="144"/>
  <c r="B73" i="144"/>
  <c r="E72" i="144"/>
  <c r="D72" i="144"/>
  <c r="C72" i="144"/>
  <c r="B72" i="144"/>
  <c r="B71" i="144"/>
  <c r="F81" i="144" s="1"/>
  <c r="F201" i="144" s="1"/>
  <c r="G246" i="144" s="1"/>
  <c r="D71" i="144"/>
  <c r="D73" i="144"/>
  <c r="E73" i="144"/>
  <c r="C73" i="144"/>
  <c r="D70" i="144"/>
  <c r="E71" i="144"/>
  <c r="C71" i="144"/>
  <c r="G81" i="144" s="1"/>
  <c r="G201" i="144" s="1"/>
  <c r="H246" i="144" s="1"/>
  <c r="C70" i="144"/>
  <c r="G80" i="144" s="1"/>
  <c r="G200" i="144" s="1"/>
  <c r="H245" i="144" s="1"/>
  <c r="D345" i="144"/>
  <c r="F345" i="144"/>
  <c r="M259" i="144"/>
  <c r="A271" i="144" s="1"/>
  <c r="A283" i="144" s="1"/>
  <c r="A294" i="144"/>
  <c r="A304" i="144" s="1"/>
  <c r="N258" i="144"/>
  <c r="N259" i="144"/>
  <c r="E256" i="144"/>
  <c r="F231" i="144"/>
  <c r="M260" i="144" s="1"/>
  <c r="A272" i="144" s="1"/>
  <c r="A284" i="144" s="1"/>
  <c r="D256" i="144"/>
  <c r="A257" i="144"/>
  <c r="M269" i="144" s="1"/>
  <c r="E31" i="2"/>
  <c r="E52" i="2"/>
  <c r="G60" i="2" s="1"/>
  <c r="B51" i="2"/>
  <c r="E114" i="2"/>
  <c r="E120" i="2" s="1"/>
  <c r="E115" i="2"/>
  <c r="E121" i="2" s="1"/>
  <c r="E50" i="2"/>
  <c r="G56" i="2" s="1"/>
  <c r="C385" i="2"/>
  <c r="B49" i="2"/>
  <c r="B55" i="2" s="1"/>
  <c r="D49" i="2"/>
  <c r="C52" i="2"/>
  <c r="D113" i="2"/>
  <c r="D125" i="2" s="1"/>
  <c r="D203" i="2" s="1"/>
  <c r="E248" i="2" s="1"/>
  <c r="E112" i="2"/>
  <c r="E124" i="2" s="1"/>
  <c r="E202" i="2" s="1"/>
  <c r="F247" i="2" s="1"/>
  <c r="B50" i="2"/>
  <c r="B56" i="2" s="1"/>
  <c r="D50" i="2"/>
  <c r="F56" i="2" s="1"/>
  <c r="D52" i="2"/>
  <c r="F60" i="2" s="1"/>
  <c r="C50" i="2"/>
  <c r="C56" i="2" s="1"/>
  <c r="C197" i="2" s="1"/>
  <c r="D242" i="2" s="1"/>
  <c r="C51" i="2"/>
  <c r="C59" i="2" s="1"/>
  <c r="E49" i="2"/>
  <c r="G55" i="2" s="1"/>
  <c r="A337" i="2"/>
  <c r="B114" i="2"/>
  <c r="H120" i="2" s="1"/>
  <c r="H198" i="2" s="1"/>
  <c r="I243" i="2" s="1"/>
  <c r="A361" i="2"/>
  <c r="E113" i="2"/>
  <c r="E125" i="2" s="1"/>
  <c r="E203" i="2" s="1"/>
  <c r="F248" i="2" s="1"/>
  <c r="D114" i="2"/>
  <c r="D120" i="2" s="1"/>
  <c r="D115" i="2"/>
  <c r="D121" i="2" s="1"/>
  <c r="B113" i="2"/>
  <c r="H125" i="2" s="1"/>
  <c r="C112" i="2"/>
  <c r="I124" i="2" s="1"/>
  <c r="B115" i="2"/>
  <c r="H121" i="2" s="1"/>
  <c r="H199" i="2" s="1"/>
  <c r="I244" i="2" s="1"/>
  <c r="D385" i="2"/>
  <c r="E361" i="2"/>
  <c r="B52" i="2"/>
  <c r="B60" i="2" s="1"/>
  <c r="C49" i="2"/>
  <c r="C55" i="2" s="1"/>
  <c r="C114" i="2"/>
  <c r="I120" i="2" s="1"/>
  <c r="I198" i="2" s="1"/>
  <c r="J243" i="2" s="1"/>
  <c r="D112" i="2"/>
  <c r="D124" i="2" s="1"/>
  <c r="D202" i="2" s="1"/>
  <c r="E247" i="2" s="1"/>
  <c r="F361" i="2"/>
  <c r="D361" i="2"/>
  <c r="C115" i="2"/>
  <c r="I121" i="2" s="1"/>
  <c r="I199" i="2" s="1"/>
  <c r="J244" i="2" s="1"/>
  <c r="C113" i="2"/>
  <c r="I125" i="2" s="1"/>
  <c r="D76" i="2"/>
  <c r="F76" i="2"/>
  <c r="E77" i="2"/>
  <c r="G77" i="2"/>
  <c r="C79" i="2"/>
  <c r="C81" i="2"/>
  <c r="E76" i="2"/>
  <c r="G76" i="2"/>
  <c r="D78" i="2"/>
  <c r="F80" i="2"/>
  <c r="C78" i="2"/>
  <c r="C80" i="2"/>
  <c r="E78" i="2"/>
  <c r="G80" i="2"/>
  <c r="D79" i="2"/>
  <c r="F81" i="2"/>
  <c r="E79" i="2"/>
  <c r="G81" i="2"/>
  <c r="B79" i="2"/>
  <c r="B81" i="2"/>
  <c r="B78" i="2"/>
  <c r="B80" i="2"/>
  <c r="D77" i="2"/>
  <c r="F77" i="2"/>
  <c r="D59" i="2"/>
  <c r="D200" i="2" s="1"/>
  <c r="E245" i="2" s="1"/>
  <c r="B59" i="2"/>
  <c r="E58" i="2"/>
  <c r="G58" i="2"/>
  <c r="G199" i="2" s="1"/>
  <c r="H244" i="2" s="1"/>
  <c r="D60" i="2"/>
  <c r="D201" i="2" s="1"/>
  <c r="E246" i="2" s="1"/>
  <c r="E57" i="2"/>
  <c r="G57" i="2"/>
  <c r="G198" i="2" s="1"/>
  <c r="H243" i="2" s="1"/>
  <c r="E59" i="2"/>
  <c r="E200" i="2" s="1"/>
  <c r="F245" i="2" s="1"/>
  <c r="D57" i="2"/>
  <c r="F57" i="2"/>
  <c r="F198" i="2" s="1"/>
  <c r="G243" i="2" s="1"/>
  <c r="F55" i="2"/>
  <c r="E60" i="2"/>
  <c r="E201" i="2" s="1"/>
  <c r="F246" i="2" s="1"/>
  <c r="C60" i="2"/>
  <c r="D58" i="2"/>
  <c r="F58" i="2"/>
  <c r="F199" i="2" s="1"/>
  <c r="G244" i="2" s="1"/>
  <c r="G39" i="2"/>
  <c r="E37" i="2"/>
  <c r="G35" i="2"/>
  <c r="E35" i="2"/>
  <c r="C31" i="2"/>
  <c r="D329" i="2"/>
  <c r="E28" i="2"/>
  <c r="B28" i="2"/>
  <c r="B34" i="2" s="1"/>
  <c r="C28" i="2"/>
  <c r="C34" i="2" s="1"/>
  <c r="B31" i="2"/>
  <c r="D31" i="2"/>
  <c r="E30" i="2"/>
  <c r="D28" i="2"/>
  <c r="D29" i="2"/>
  <c r="B29" i="2"/>
  <c r="B35" i="2" s="1"/>
  <c r="B30" i="2"/>
  <c r="C329" i="2"/>
  <c r="C30" i="2"/>
  <c r="E329" i="2"/>
  <c r="D30" i="2"/>
  <c r="C156" i="2"/>
  <c r="F377" i="2"/>
  <c r="N294" i="2"/>
  <c r="A294" i="2" s="1"/>
  <c r="A304" i="2" s="1"/>
  <c r="N295" i="2"/>
  <c r="A295" i="2" s="1"/>
  <c r="A305" i="2" s="1"/>
  <c r="E154" i="2"/>
  <c r="C154" i="2"/>
  <c r="B155" i="2"/>
  <c r="E156" i="2"/>
  <c r="E157" i="2"/>
  <c r="B156" i="2"/>
  <c r="D154" i="2"/>
  <c r="C155" i="2"/>
  <c r="D157" i="2"/>
  <c r="B157" i="2"/>
  <c r="B154" i="2"/>
  <c r="E155" i="2"/>
  <c r="D155" i="2"/>
  <c r="C157" i="2"/>
  <c r="E353" i="2"/>
  <c r="C353" i="2"/>
  <c r="D353" i="2"/>
  <c r="F353" i="2"/>
  <c r="A377" i="2"/>
  <c r="B378" i="2" s="1"/>
  <c r="C93" i="2"/>
  <c r="G103" i="2" s="1"/>
  <c r="G202" i="2" s="1"/>
  <c r="H247" i="2" s="1"/>
  <c r="E92" i="2"/>
  <c r="I102" i="2" s="1"/>
  <c r="I201" i="2" s="1"/>
  <c r="J246" i="2" s="1"/>
  <c r="D92" i="2"/>
  <c r="H102" i="2" s="1"/>
  <c r="H201" i="2" s="1"/>
  <c r="I246" i="2" s="1"/>
  <c r="E91" i="2"/>
  <c r="I101" i="2" s="1"/>
  <c r="I200" i="2" s="1"/>
  <c r="J245" i="2" s="1"/>
  <c r="B94" i="2"/>
  <c r="F104" i="2" s="1"/>
  <c r="F203" i="2" s="1"/>
  <c r="G248" i="2" s="1"/>
  <c r="D91" i="2"/>
  <c r="H101" i="2" s="1"/>
  <c r="H200" i="2" s="1"/>
  <c r="I245" i="2" s="1"/>
  <c r="B91" i="2"/>
  <c r="F101" i="2" s="1"/>
  <c r="E94" i="2"/>
  <c r="I104" i="2" s="1"/>
  <c r="I203" i="2" s="1"/>
  <c r="J248" i="2" s="1"/>
  <c r="A353" i="2"/>
  <c r="C94" i="2"/>
  <c r="G104" i="2" s="1"/>
  <c r="G203" i="2" s="1"/>
  <c r="H248" i="2" s="1"/>
  <c r="B93" i="2"/>
  <c r="F103" i="2" s="1"/>
  <c r="F202" i="2" s="1"/>
  <c r="G247" i="2" s="1"/>
  <c r="E93" i="2"/>
  <c r="I103" i="2" s="1"/>
  <c r="D93" i="2"/>
  <c r="H103" i="2" s="1"/>
  <c r="H202" i="2" s="1"/>
  <c r="I247" i="2" s="1"/>
  <c r="C92" i="2"/>
  <c r="G102" i="2" s="1"/>
  <c r="B92" i="2"/>
  <c r="F102" i="2" s="1"/>
  <c r="D94" i="2"/>
  <c r="H104" i="2" s="1"/>
  <c r="H203" i="2" s="1"/>
  <c r="I248" i="2" s="1"/>
  <c r="C91" i="2"/>
  <c r="G101" i="2" s="1"/>
  <c r="M258" i="2"/>
  <c r="A270" i="2" s="1"/>
  <c r="A282" i="2" s="1"/>
  <c r="E486" i="77"/>
  <c r="C486" i="77"/>
  <c r="C65" i="39"/>
  <c r="B73" i="31"/>
  <c r="C245" i="99"/>
  <c r="B39" i="33"/>
  <c r="C89" i="83"/>
  <c r="C334" i="3"/>
  <c r="E334" i="3"/>
  <c r="C97" i="117"/>
  <c r="E97" i="117" s="1"/>
  <c r="B118" i="141"/>
  <c r="D120" i="141" s="1"/>
  <c r="F128" i="141" s="1"/>
  <c r="C24" i="85"/>
  <c r="D398" i="121"/>
  <c r="C161" i="119"/>
  <c r="B181" i="143"/>
  <c r="B123" i="127"/>
  <c r="H135" i="127" s="1"/>
  <c r="B24" i="125"/>
  <c r="J317" i="69"/>
  <c r="H213" i="51"/>
  <c r="C56" i="19"/>
  <c r="B83" i="39"/>
  <c r="C118" i="141"/>
  <c r="G337" i="139"/>
  <c r="B75" i="137"/>
  <c r="C313" i="83"/>
  <c r="E313" i="83" s="1"/>
  <c r="C204" i="97"/>
  <c r="B205" i="97" s="1"/>
  <c r="C267" i="97"/>
  <c r="C273" i="97" s="1"/>
  <c r="E318" i="57"/>
  <c r="C45" i="53"/>
  <c r="B22" i="15"/>
  <c r="C199" i="65"/>
  <c r="F416" i="65"/>
  <c r="D416" i="65"/>
  <c r="D287" i="129"/>
  <c r="F287" i="129"/>
  <c r="B156" i="59"/>
  <c r="B45" i="47"/>
  <c r="G201" i="3"/>
  <c r="H246" i="3" s="1"/>
  <c r="B56" i="15"/>
  <c r="F368" i="69"/>
  <c r="C73" i="69"/>
  <c r="D368" i="69"/>
  <c r="E158" i="13"/>
  <c r="C158" i="13"/>
  <c r="E330" i="129"/>
  <c r="J8" i="129"/>
  <c r="N8" i="129"/>
  <c r="A287" i="129" s="1"/>
  <c r="H337" i="139"/>
  <c r="D280" i="127"/>
  <c r="C93" i="111"/>
  <c r="E93" i="111" s="1"/>
  <c r="C123" i="127"/>
  <c r="C119" i="131"/>
  <c r="B244" i="143"/>
  <c r="E363" i="141"/>
  <c r="C226" i="135"/>
  <c r="C156" i="71"/>
  <c r="C90" i="23"/>
  <c r="J9" i="79"/>
  <c r="D259" i="43"/>
  <c r="B45" i="35"/>
  <c r="B196" i="3"/>
  <c r="C241" i="3" s="1"/>
  <c r="C35" i="117"/>
  <c r="F395" i="117"/>
  <c r="D395" i="117"/>
  <c r="B74" i="133"/>
  <c r="C149" i="79"/>
  <c r="C27" i="37"/>
  <c r="C26" i="37"/>
  <c r="B93" i="71"/>
  <c r="H283" i="69"/>
  <c r="C26" i="53"/>
  <c r="J318" i="55"/>
  <c r="B34" i="143"/>
  <c r="C79" i="123"/>
  <c r="B70" i="49"/>
  <c r="D66" i="49"/>
  <c r="J78" i="49" s="1"/>
  <c r="D64" i="49"/>
  <c r="E533" i="77"/>
  <c r="N12" i="77"/>
  <c r="A486" i="77" s="1"/>
  <c r="K12" i="77"/>
  <c r="C57" i="19"/>
  <c r="B33" i="13"/>
  <c r="C198" i="55"/>
  <c r="M294" i="3"/>
  <c r="C294" i="3" s="1"/>
  <c r="B26" i="53"/>
  <c r="C98" i="143"/>
  <c r="G235" i="89"/>
  <c r="C223" i="143"/>
  <c r="C116" i="133"/>
  <c r="C58" i="125"/>
  <c r="B195" i="75"/>
  <c r="J363" i="141"/>
  <c r="C244" i="93"/>
  <c r="E246" i="93" s="1"/>
  <c r="G254" i="93" s="1"/>
  <c r="C263" i="81"/>
  <c r="B264" i="81" s="1"/>
  <c r="C242" i="75"/>
  <c r="E244" i="47"/>
  <c r="C141" i="39"/>
  <c r="B57" i="75"/>
  <c r="F290" i="49"/>
  <c r="D290" i="49"/>
  <c r="C65" i="49"/>
  <c r="C64" i="49"/>
  <c r="C48" i="127"/>
  <c r="B138" i="83"/>
  <c r="B135" i="111"/>
  <c r="B109" i="125"/>
  <c r="H319" i="69"/>
  <c r="C48" i="115"/>
  <c r="D191" i="21"/>
  <c r="D334" i="57"/>
  <c r="C45" i="35"/>
  <c r="E47" i="35" s="1"/>
  <c r="G55" i="35" s="1"/>
  <c r="E177" i="33"/>
  <c r="B198" i="67"/>
  <c r="D195" i="17"/>
  <c r="B72" i="55"/>
  <c r="B116" i="133"/>
  <c r="B39" i="105"/>
  <c r="C72" i="73"/>
  <c r="D190" i="21"/>
  <c r="C19" i="103"/>
  <c r="B104" i="89"/>
  <c r="I280" i="69"/>
  <c r="C22" i="29"/>
  <c r="C94" i="67"/>
  <c r="I202" i="3"/>
  <c r="J247" i="3" s="1"/>
  <c r="C196" i="3"/>
  <c r="D241" i="3" s="1"/>
  <c r="C39" i="23"/>
  <c r="E178" i="19"/>
  <c r="F454" i="131"/>
  <c r="C182" i="131"/>
  <c r="D454" i="131"/>
  <c r="F389" i="143"/>
  <c r="D389" i="143"/>
  <c r="C35" i="143"/>
  <c r="C199" i="69"/>
  <c r="B246" i="135"/>
  <c r="C75" i="133"/>
  <c r="B161" i="115"/>
  <c r="B72" i="73"/>
  <c r="H318" i="69"/>
  <c r="E285" i="91"/>
  <c r="B18" i="103"/>
  <c r="C40" i="109"/>
  <c r="H202" i="3"/>
  <c r="I247" i="3" s="1"/>
  <c r="E178" i="17"/>
  <c r="C416" i="59"/>
  <c r="F231" i="3"/>
  <c r="C368" i="69"/>
  <c r="B72" i="69"/>
  <c r="E368" i="69"/>
  <c r="C72" i="69"/>
  <c r="C246" i="135"/>
  <c r="B202" i="93"/>
  <c r="H283" i="57"/>
  <c r="C22" i="17"/>
  <c r="B23" i="17" s="1"/>
  <c r="C57" i="75"/>
  <c r="G200" i="3"/>
  <c r="H245" i="3" s="1"/>
  <c r="E199" i="3"/>
  <c r="F244" i="3" s="1"/>
  <c r="C198" i="65"/>
  <c r="B198" i="65"/>
  <c r="E416" i="65"/>
  <c r="C416" i="65"/>
  <c r="E431" i="123"/>
  <c r="C431" i="123"/>
  <c r="C78" i="123"/>
  <c r="B78" i="123"/>
  <c r="C50" i="3"/>
  <c r="E58" i="3" s="1"/>
  <c r="F334" i="3"/>
  <c r="D334" i="3"/>
  <c r="F352" i="69"/>
  <c r="D352" i="69"/>
  <c r="C30" i="69"/>
  <c r="C31" i="69"/>
  <c r="C32" i="133"/>
  <c r="B33" i="133" s="1"/>
  <c r="C54" i="139"/>
  <c r="B160" i="119"/>
  <c r="C53" i="139"/>
  <c r="B139" i="117"/>
  <c r="B51" i="61"/>
  <c r="B135" i="55"/>
  <c r="C56" i="33"/>
  <c r="B102" i="35"/>
  <c r="C73" i="25"/>
  <c r="B33" i="5"/>
  <c r="B49" i="3"/>
  <c r="D57" i="3" s="1"/>
  <c r="D198" i="3" s="1"/>
  <c r="E243" i="3" s="1"/>
  <c r="A334" i="3"/>
  <c r="D51" i="3"/>
  <c r="F59" i="3" s="1"/>
  <c r="F200" i="3" s="1"/>
  <c r="B51" i="3"/>
  <c r="D59" i="3" s="1"/>
  <c r="D200" i="3" s="1"/>
  <c r="E245" i="3" s="1"/>
  <c r="B52" i="3"/>
  <c r="D60" i="3" s="1"/>
  <c r="D201" i="3" s="1"/>
  <c r="E246" i="3" s="1"/>
  <c r="D49" i="3"/>
  <c r="F57" i="3" s="1"/>
  <c r="F198" i="3" s="1"/>
  <c r="G243" i="3" s="1"/>
  <c r="C51" i="3"/>
  <c r="E59" i="3" s="1"/>
  <c r="E200" i="3" s="1"/>
  <c r="F245" i="3" s="1"/>
  <c r="E50" i="3"/>
  <c r="G58" i="3" s="1"/>
  <c r="G199" i="3" s="1"/>
  <c r="H244" i="3" s="1"/>
  <c r="E52" i="3"/>
  <c r="G60" i="3" s="1"/>
  <c r="C52" i="3"/>
  <c r="E60" i="3" s="1"/>
  <c r="E201" i="3" s="1"/>
  <c r="F246" i="3" s="1"/>
  <c r="D52" i="3"/>
  <c r="F60" i="3" s="1"/>
  <c r="F201" i="3" s="1"/>
  <c r="G246" i="3" s="1"/>
  <c r="B50" i="3"/>
  <c r="D58" i="3" s="1"/>
  <c r="D199" i="3" s="1"/>
  <c r="E244" i="3" s="1"/>
  <c r="E49" i="3"/>
  <c r="G57" i="3" s="1"/>
  <c r="G198" i="3" s="1"/>
  <c r="H243" i="3" s="1"/>
  <c r="E51" i="3"/>
  <c r="G59" i="3" s="1"/>
  <c r="D50" i="3"/>
  <c r="F58" i="3" s="1"/>
  <c r="F199" i="3" s="1"/>
  <c r="G244" i="3" s="1"/>
  <c r="C49" i="3"/>
  <c r="E57" i="3" s="1"/>
  <c r="E198" i="3" s="1"/>
  <c r="F243" i="3" s="1"/>
  <c r="A352" i="69"/>
  <c r="B30" i="69"/>
  <c r="D179" i="111"/>
  <c r="J191" i="111" s="1"/>
  <c r="D177" i="111"/>
  <c r="B183" i="111"/>
  <c r="E41" i="105"/>
  <c r="G49" i="105" s="1"/>
  <c r="B40" i="105"/>
  <c r="E39" i="105"/>
  <c r="E47" i="105"/>
  <c r="B224" i="119"/>
  <c r="E223" i="119"/>
  <c r="E225" i="119"/>
  <c r="M239" i="119" s="1"/>
  <c r="E231" i="119"/>
  <c r="E200" i="71"/>
  <c r="G208" i="71" s="1"/>
  <c r="B199" i="71"/>
  <c r="E198" i="71"/>
  <c r="K212" i="71"/>
  <c r="D22" i="109"/>
  <c r="D24" i="109"/>
  <c r="D30" i="109" s="1"/>
  <c r="B28" i="109"/>
  <c r="E77" i="141"/>
  <c r="E79" i="141"/>
  <c r="K91" i="141" s="1"/>
  <c r="E85" i="141"/>
  <c r="E223" i="143"/>
  <c r="B224" i="143"/>
  <c r="E225" i="143"/>
  <c r="M239" i="143" s="1"/>
  <c r="E231" i="143"/>
  <c r="E88" i="89"/>
  <c r="E94" i="89" s="1"/>
  <c r="E86" i="89"/>
  <c r="I98" i="89"/>
  <c r="D135" i="63"/>
  <c r="D137" i="63"/>
  <c r="F145" i="63" s="1"/>
  <c r="B141" i="63"/>
  <c r="B27" i="49"/>
  <c r="E26" i="49"/>
  <c r="E28" i="49"/>
  <c r="E34" i="49" s="1"/>
  <c r="C32" i="49"/>
  <c r="B98" i="117"/>
  <c r="E99" i="117"/>
  <c r="M113" i="117" s="1"/>
  <c r="E34" i="133"/>
  <c r="E40" i="133" s="1"/>
  <c r="E32" i="133"/>
  <c r="E76" i="131"/>
  <c r="B77" i="131"/>
  <c r="E78" i="131"/>
  <c r="I88" i="131" s="1"/>
  <c r="G86" i="131"/>
  <c r="E164" i="135"/>
  <c r="M178" i="135" s="1"/>
  <c r="B163" i="135"/>
  <c r="E162" i="135"/>
  <c r="G172" i="135"/>
  <c r="E470" i="131"/>
  <c r="C470" i="131"/>
  <c r="E38" i="123"/>
  <c r="E44" i="123" s="1"/>
  <c r="B37" i="123"/>
  <c r="E36" i="123"/>
  <c r="C42" i="123"/>
  <c r="G416" i="121"/>
  <c r="G504" i="121"/>
  <c r="G472" i="121"/>
  <c r="G448" i="121"/>
  <c r="E139" i="131"/>
  <c r="E141" i="131"/>
  <c r="E147" i="131" s="1"/>
  <c r="B140" i="131"/>
  <c r="K153" i="131"/>
  <c r="E109" i="113"/>
  <c r="B110" i="113"/>
  <c r="E111" i="113"/>
  <c r="I121" i="113" s="1"/>
  <c r="E117" i="113"/>
  <c r="E102" i="107"/>
  <c r="B103" i="107"/>
  <c r="E104" i="107"/>
  <c r="K116" i="107" s="1"/>
  <c r="I114" i="107"/>
  <c r="E246" i="99"/>
  <c r="G254" i="99" s="1"/>
  <c r="B245" i="99"/>
  <c r="E244" i="99"/>
  <c r="K258" i="99"/>
  <c r="E204" i="143"/>
  <c r="E210" i="143" s="1"/>
  <c r="B203" i="143"/>
  <c r="E202" i="143"/>
  <c r="I214" i="143"/>
  <c r="E203" i="117"/>
  <c r="E205" i="117"/>
  <c r="E211" i="117" s="1"/>
  <c r="I215" i="117"/>
  <c r="B314" i="83"/>
  <c r="G323" i="83"/>
  <c r="E267" i="97"/>
  <c r="E269" i="97"/>
  <c r="M283" i="97" s="1"/>
  <c r="B268" i="97"/>
  <c r="E101" i="121"/>
  <c r="M115" i="121" s="1"/>
  <c r="B100" i="121"/>
  <c r="E99" i="121"/>
  <c r="K113" i="121"/>
  <c r="E183" i="123"/>
  <c r="E185" i="123"/>
  <c r="K197" i="123" s="1"/>
  <c r="B184" i="123"/>
  <c r="C189" i="123"/>
  <c r="E68" i="89"/>
  <c r="I78" i="89" s="1"/>
  <c r="B67" i="89"/>
  <c r="E66" i="89"/>
  <c r="C72" i="89"/>
  <c r="G312" i="127"/>
  <c r="G296" i="127"/>
  <c r="G352" i="127"/>
  <c r="B94" i="111"/>
  <c r="K107" i="111"/>
  <c r="B150" i="79"/>
  <c r="E149" i="79"/>
  <c r="E151" i="79"/>
  <c r="M165" i="79" s="1"/>
  <c r="K163" i="79"/>
  <c r="D428" i="139"/>
  <c r="F428" i="139"/>
  <c r="C180" i="139"/>
  <c r="D475" i="141"/>
  <c r="C245" i="141"/>
  <c r="F475" i="141"/>
  <c r="A303" i="127"/>
  <c r="C47" i="127"/>
  <c r="C295" i="107"/>
  <c r="C83" i="107"/>
  <c r="B83" i="107"/>
  <c r="E295" i="107"/>
  <c r="C83" i="129"/>
  <c r="D77" i="137"/>
  <c r="B81" i="137" s="1"/>
  <c r="D75" i="137"/>
  <c r="H87" i="137"/>
  <c r="F260" i="125"/>
  <c r="D260" i="125"/>
  <c r="C110" i="125"/>
  <c r="D22" i="105"/>
  <c r="D24" i="105"/>
  <c r="D30" i="105" s="1"/>
  <c r="B28" i="105"/>
  <c r="G222" i="137"/>
  <c r="G228" i="137"/>
  <c r="G260" i="137"/>
  <c r="B34" i="103"/>
  <c r="E33" i="103"/>
  <c r="E35" i="103"/>
  <c r="G43" i="103" s="1"/>
  <c r="E41" i="103"/>
  <c r="E290" i="39"/>
  <c r="C290" i="39"/>
  <c r="C64" i="39"/>
  <c r="B64" i="39"/>
  <c r="C26" i="113"/>
  <c r="C32" i="113" s="1"/>
  <c r="C128" i="113" s="1"/>
  <c r="D161" i="113" s="1"/>
  <c r="E30" i="113"/>
  <c r="E126" i="113" s="1"/>
  <c r="F159" i="113" s="1"/>
  <c r="C493" i="97"/>
  <c r="E493" i="97"/>
  <c r="B225" i="97"/>
  <c r="C225" i="97"/>
  <c r="E416" i="69"/>
  <c r="B198" i="69"/>
  <c r="C416" i="69"/>
  <c r="C198" i="69"/>
  <c r="H355" i="143"/>
  <c r="G355" i="143"/>
  <c r="A355" i="143"/>
  <c r="A362" i="143" s="1"/>
  <c r="A295" i="107"/>
  <c r="C84" i="107"/>
  <c r="F443" i="141"/>
  <c r="C161" i="141"/>
  <c r="D443" i="141"/>
  <c r="C160" i="141"/>
  <c r="F403" i="119"/>
  <c r="C56" i="119"/>
  <c r="D403" i="119"/>
  <c r="C55" i="119"/>
  <c r="E178" i="65"/>
  <c r="E180" i="65"/>
  <c r="K192" i="65" s="1"/>
  <c r="E186" i="65"/>
  <c r="C201" i="139"/>
  <c r="A353" i="121"/>
  <c r="K363" i="121" s="1"/>
  <c r="B83" i="129"/>
  <c r="A461" i="143"/>
  <c r="B223" i="143"/>
  <c r="E268" i="123"/>
  <c r="E270" i="123"/>
  <c r="G278" i="123" s="1"/>
  <c r="I280" i="123"/>
  <c r="E307" i="133"/>
  <c r="A307" i="133"/>
  <c r="K317" i="133" s="1"/>
  <c r="A438" i="131"/>
  <c r="B139" i="131"/>
  <c r="D25" i="113"/>
  <c r="D27" i="113"/>
  <c r="D33" i="113" s="1"/>
  <c r="B31" i="113"/>
  <c r="C451" i="81"/>
  <c r="A451" i="81"/>
  <c r="Q467" i="81" s="1"/>
  <c r="K451" i="81"/>
  <c r="J451" i="81"/>
  <c r="D451" i="81"/>
  <c r="D279" i="127"/>
  <c r="E76" i="119"/>
  <c r="B77" i="119"/>
  <c r="E78" i="119"/>
  <c r="K90" i="119" s="1"/>
  <c r="I88" i="119"/>
  <c r="A212" i="129"/>
  <c r="J221" i="129" s="1"/>
  <c r="C46" i="107"/>
  <c r="F279" i="107"/>
  <c r="D279" i="107"/>
  <c r="A196" i="125"/>
  <c r="A201" i="125" s="1"/>
  <c r="E355" i="121"/>
  <c r="D355" i="121"/>
  <c r="A355" i="121"/>
  <c r="K365" i="121" s="1"/>
  <c r="B141" i="121"/>
  <c r="C136" i="63"/>
  <c r="E34" i="103"/>
  <c r="E36" i="103"/>
  <c r="G44" i="103" s="1"/>
  <c r="E42" i="103"/>
  <c r="E405" i="143"/>
  <c r="C405" i="143"/>
  <c r="B76" i="143"/>
  <c r="C76" i="143"/>
  <c r="E128" i="75"/>
  <c r="E134" i="75" s="1"/>
  <c r="E126" i="75"/>
  <c r="K140" i="75"/>
  <c r="B127" i="75"/>
  <c r="D99" i="121"/>
  <c r="D101" i="121"/>
  <c r="L115" i="121" s="1"/>
  <c r="J113" i="121"/>
  <c r="C430" i="131"/>
  <c r="C118" i="131"/>
  <c r="E430" i="131"/>
  <c r="B118" i="131"/>
  <c r="C100" i="123"/>
  <c r="D439" i="123"/>
  <c r="F439" i="123"/>
  <c r="D366" i="79"/>
  <c r="C366" i="79"/>
  <c r="H366" i="79"/>
  <c r="A366" i="79"/>
  <c r="O380" i="79" s="1"/>
  <c r="I366" i="79"/>
  <c r="A353" i="123"/>
  <c r="K363" i="123" s="1"/>
  <c r="A349" i="123"/>
  <c r="K359" i="123" s="1"/>
  <c r="C88" i="91"/>
  <c r="F340" i="91"/>
  <c r="D340" i="91"/>
  <c r="C87" i="91"/>
  <c r="A612" i="81"/>
  <c r="C289" i="81"/>
  <c r="A263" i="85"/>
  <c r="C110" i="85"/>
  <c r="C109" i="85"/>
  <c r="B109" i="85"/>
  <c r="C29" i="89"/>
  <c r="F295" i="89"/>
  <c r="D295" i="89"/>
  <c r="E376" i="59"/>
  <c r="C376" i="59"/>
  <c r="C93" i="59"/>
  <c r="B93" i="59"/>
  <c r="C47" i="89"/>
  <c r="B47" i="89"/>
  <c r="E303" i="89"/>
  <c r="C303" i="89"/>
  <c r="D140" i="53"/>
  <c r="D142" i="53"/>
  <c r="F150" i="53" s="1"/>
  <c r="J154" i="53"/>
  <c r="G158" i="9"/>
  <c r="G152" i="9"/>
  <c r="F298" i="35"/>
  <c r="C84" i="35"/>
  <c r="D298" i="35"/>
  <c r="D263" i="37"/>
  <c r="D258" i="37"/>
  <c r="D259" i="37"/>
  <c r="E42" i="109"/>
  <c r="G50" i="109" s="1"/>
  <c r="E40" i="109"/>
  <c r="E48" i="109"/>
  <c r="E319" i="129"/>
  <c r="C319" i="129"/>
  <c r="C140" i="129"/>
  <c r="B140" i="129"/>
  <c r="A314" i="111"/>
  <c r="A323" i="111" s="1"/>
  <c r="J314" i="111"/>
  <c r="I314" i="111"/>
  <c r="D314" i="111"/>
  <c r="F234" i="115"/>
  <c r="A234" i="115"/>
  <c r="J243" i="115" s="1"/>
  <c r="E234" i="115"/>
  <c r="A115" i="103"/>
  <c r="A121" i="103" s="1"/>
  <c r="A236" i="115"/>
  <c r="J245" i="115" s="1"/>
  <c r="D236" i="115"/>
  <c r="D437" i="143"/>
  <c r="F437" i="143"/>
  <c r="I339" i="139"/>
  <c r="A356" i="143"/>
  <c r="A363" i="143" s="1"/>
  <c r="C141" i="129"/>
  <c r="E118" i="141"/>
  <c r="E120" i="141"/>
  <c r="G128" i="141" s="1"/>
  <c r="B119" i="141"/>
  <c r="K132" i="141"/>
  <c r="D408" i="135"/>
  <c r="D404" i="135"/>
  <c r="D403" i="135"/>
  <c r="A356" i="135"/>
  <c r="M368" i="135" s="1"/>
  <c r="F356" i="135"/>
  <c r="G356" i="135"/>
  <c r="I351" i="121"/>
  <c r="A351" i="121"/>
  <c r="K361" i="121" s="1"/>
  <c r="H351" i="121"/>
  <c r="D248" i="135"/>
  <c r="F256" i="135" s="1"/>
  <c r="D246" i="135"/>
  <c r="J260" i="135"/>
  <c r="A238" i="115"/>
  <c r="J247" i="115" s="1"/>
  <c r="F400" i="73"/>
  <c r="C157" i="73"/>
  <c r="D400" i="73"/>
  <c r="C156" i="73"/>
  <c r="B104" i="75"/>
  <c r="E105" i="75"/>
  <c r="K117" i="75" s="1"/>
  <c r="E103" i="75"/>
  <c r="C109" i="75"/>
  <c r="J223" i="127"/>
  <c r="G235" i="127"/>
  <c r="E303" i="133"/>
  <c r="A303" i="133"/>
  <c r="K313" i="133" s="1"/>
  <c r="A304" i="133"/>
  <c r="K314" i="133" s="1"/>
  <c r="J361" i="117"/>
  <c r="I361" i="117"/>
  <c r="A361" i="117"/>
  <c r="A370" i="117" s="1"/>
  <c r="A352" i="73"/>
  <c r="C31" i="73"/>
  <c r="A327" i="117"/>
  <c r="L338" i="117" s="1"/>
  <c r="B57" i="135"/>
  <c r="C429" i="135"/>
  <c r="C57" i="135"/>
  <c r="E429" i="135"/>
  <c r="F435" i="117"/>
  <c r="C140" i="117"/>
  <c r="D435" i="117"/>
  <c r="A193" i="125"/>
  <c r="A198" i="125" s="1"/>
  <c r="C459" i="119"/>
  <c r="C202" i="119"/>
  <c r="B202" i="119"/>
  <c r="E459" i="119"/>
  <c r="A216" i="107"/>
  <c r="J225" i="107" s="1"/>
  <c r="C121" i="123"/>
  <c r="C141" i="121"/>
  <c r="G219" i="89"/>
  <c r="E264" i="89"/>
  <c r="K360" i="79"/>
  <c r="J360" i="79"/>
  <c r="I360" i="79"/>
  <c r="H360" i="79"/>
  <c r="C360" i="79"/>
  <c r="D360" i="79"/>
  <c r="A360" i="79"/>
  <c r="O374" i="79" s="1"/>
  <c r="A100" i="101"/>
  <c r="F105" i="101" s="1"/>
  <c r="B223" i="119"/>
  <c r="D401" i="79"/>
  <c r="C401" i="79"/>
  <c r="A401" i="79"/>
  <c r="A413" i="79" s="1"/>
  <c r="K401" i="79"/>
  <c r="J401" i="79"/>
  <c r="I401" i="79"/>
  <c r="H401" i="79"/>
  <c r="C204" i="141"/>
  <c r="K218" i="141" s="1"/>
  <c r="K275" i="141" s="1"/>
  <c r="L320" i="141" s="1"/>
  <c r="M216" i="141"/>
  <c r="M273" i="141" s="1"/>
  <c r="N318" i="141" s="1"/>
  <c r="A329" i="141"/>
  <c r="L340" i="141" s="1"/>
  <c r="D403" i="141"/>
  <c r="C56" i="141"/>
  <c r="F403" i="141"/>
  <c r="C384" i="71"/>
  <c r="E384" i="71"/>
  <c r="C114" i="71"/>
  <c r="B114" i="71"/>
  <c r="C286" i="67"/>
  <c r="A286" i="67"/>
  <c r="M298" i="67" s="1"/>
  <c r="B178" i="69"/>
  <c r="E177" i="69"/>
  <c r="E179" i="69"/>
  <c r="M193" i="69" s="1"/>
  <c r="K191" i="69"/>
  <c r="A478" i="77"/>
  <c r="C150" i="77"/>
  <c r="A314" i="53"/>
  <c r="C122" i="53"/>
  <c r="B121" i="53"/>
  <c r="C121" i="53"/>
  <c r="A119" i="101"/>
  <c r="A124" i="101" s="1"/>
  <c r="E116" i="65"/>
  <c r="M130" i="65" s="1"/>
  <c r="E114" i="65"/>
  <c r="B115" i="65"/>
  <c r="K128" i="65"/>
  <c r="E66" i="35"/>
  <c r="I76" i="35" s="1"/>
  <c r="E64" i="35"/>
  <c r="B65" i="35"/>
  <c r="C70" i="35"/>
  <c r="B199" i="55"/>
  <c r="E198" i="55"/>
  <c r="E200" i="55"/>
  <c r="I210" i="55" s="1"/>
  <c r="M214" i="55"/>
  <c r="A294" i="3"/>
  <c r="A303" i="3" s="1"/>
  <c r="E77" i="139"/>
  <c r="I87" i="139" s="1"/>
  <c r="E75" i="139"/>
  <c r="E83" i="139"/>
  <c r="J132" i="141"/>
  <c r="A349" i="135"/>
  <c r="M361" i="135" s="1"/>
  <c r="E117" i="139"/>
  <c r="E119" i="139"/>
  <c r="I129" i="139" s="1"/>
  <c r="C123" i="139"/>
  <c r="B58" i="77"/>
  <c r="E57" i="77"/>
  <c r="E59" i="77"/>
  <c r="G67" i="77" s="1"/>
  <c r="E65" i="77"/>
  <c r="F467" i="141"/>
  <c r="C224" i="141"/>
  <c r="D467" i="141"/>
  <c r="D397" i="121"/>
  <c r="E247" i="135"/>
  <c r="E249" i="135"/>
  <c r="G257" i="135" s="1"/>
  <c r="K261" i="135"/>
  <c r="E246" i="135"/>
  <c r="E248" i="135"/>
  <c r="G256" i="135" s="1"/>
  <c r="B247" i="135"/>
  <c r="K260" i="135"/>
  <c r="D384" i="121"/>
  <c r="A173" i="113"/>
  <c r="H180" i="113" s="1"/>
  <c r="A204" i="33"/>
  <c r="B22" i="33"/>
  <c r="C23" i="33"/>
  <c r="A400" i="73"/>
  <c r="B156" i="73"/>
  <c r="G346" i="89"/>
  <c r="G306" i="89"/>
  <c r="D103" i="75"/>
  <c r="D105" i="75"/>
  <c r="J117" i="75" s="1"/>
  <c r="B109" i="75"/>
  <c r="C120" i="135"/>
  <c r="E453" i="135"/>
  <c r="B120" i="135"/>
  <c r="C453" i="135"/>
  <c r="E109" i="137"/>
  <c r="E111" i="137"/>
  <c r="I121" i="137" s="1"/>
  <c r="B110" i="137"/>
  <c r="E117" i="137"/>
  <c r="D37" i="143"/>
  <c r="D43" i="143" s="1"/>
  <c r="D35" i="143"/>
  <c r="B41" i="143"/>
  <c r="B54" i="133"/>
  <c r="E55" i="133"/>
  <c r="G63" i="133" s="1"/>
  <c r="E53" i="133"/>
  <c r="E61" i="133"/>
  <c r="B238" i="81"/>
  <c r="C388" i="139"/>
  <c r="B74" i="139"/>
  <c r="E388" i="139"/>
  <c r="C74" i="139"/>
  <c r="E237" i="127"/>
  <c r="A237" i="127"/>
  <c r="K247" i="127" s="1"/>
  <c r="B202" i="143"/>
  <c r="F596" i="81"/>
  <c r="D596" i="81"/>
  <c r="C239" i="81"/>
  <c r="C247" i="123"/>
  <c r="D495" i="123"/>
  <c r="F495" i="123"/>
  <c r="F493" i="97"/>
  <c r="D493" i="97"/>
  <c r="C226" i="97"/>
  <c r="F564" i="83"/>
  <c r="D564" i="83"/>
  <c r="C139" i="83"/>
  <c r="E397" i="111"/>
  <c r="B156" i="111"/>
  <c r="C156" i="111"/>
  <c r="C397" i="111"/>
  <c r="A326" i="117"/>
  <c r="L337" i="117" s="1"/>
  <c r="B181" i="99"/>
  <c r="E454" i="99"/>
  <c r="C454" i="99"/>
  <c r="C181" i="99"/>
  <c r="G326" i="131"/>
  <c r="A326" i="131"/>
  <c r="M338" i="131" s="1"/>
  <c r="A216" i="129"/>
  <c r="J225" i="129" s="1"/>
  <c r="B160" i="117"/>
  <c r="D74" i="133"/>
  <c r="F84" i="133"/>
  <c r="D76" i="133"/>
  <c r="H86" i="133" s="1"/>
  <c r="A174" i="137"/>
  <c r="H181" i="137" s="1"/>
  <c r="D255" i="107"/>
  <c r="D260" i="107"/>
  <c r="D256" i="107"/>
  <c r="D258" i="107"/>
  <c r="C115" i="63"/>
  <c r="D384" i="63"/>
  <c r="F384" i="63"/>
  <c r="C114" i="63"/>
  <c r="I362" i="141"/>
  <c r="A362" i="141"/>
  <c r="A371" i="141" s="1"/>
  <c r="J362" i="141"/>
  <c r="F362" i="141"/>
  <c r="E362" i="141"/>
  <c r="B104" i="129"/>
  <c r="H116" i="129" s="1"/>
  <c r="H167" i="129" s="1"/>
  <c r="I206" i="129" s="1"/>
  <c r="J114" i="129"/>
  <c r="J165" i="129" s="1"/>
  <c r="K204" i="129" s="1"/>
  <c r="D128" i="75"/>
  <c r="D134" i="75" s="1"/>
  <c r="D126" i="75"/>
  <c r="J140" i="75"/>
  <c r="C22" i="33"/>
  <c r="D284" i="127"/>
  <c r="A356" i="79"/>
  <c r="O370" i="79" s="1"/>
  <c r="G356" i="79"/>
  <c r="M356" i="79"/>
  <c r="L356" i="79"/>
  <c r="F556" i="81"/>
  <c r="C114" i="81"/>
  <c r="D556" i="81"/>
  <c r="C113" i="81"/>
  <c r="A399" i="79"/>
  <c r="A411" i="79" s="1"/>
  <c r="J399" i="79"/>
  <c r="M399" i="79"/>
  <c r="L399" i="79"/>
  <c r="F399" i="79"/>
  <c r="G399" i="79"/>
  <c r="E399" i="79"/>
  <c r="K399" i="79"/>
  <c r="D467" i="119"/>
  <c r="C224" i="119"/>
  <c r="F467" i="119"/>
  <c r="B163" i="121"/>
  <c r="E162" i="121"/>
  <c r="E164" i="121"/>
  <c r="M178" i="121" s="1"/>
  <c r="G172" i="121"/>
  <c r="E252" i="125"/>
  <c r="B92" i="125"/>
  <c r="C252" i="125"/>
  <c r="C92" i="125"/>
  <c r="E409" i="133"/>
  <c r="C409" i="133"/>
  <c r="C137" i="133"/>
  <c r="B137" i="133"/>
  <c r="A290" i="51"/>
  <c r="C65" i="51"/>
  <c r="B56" i="109"/>
  <c r="B36" i="121"/>
  <c r="E415" i="121"/>
  <c r="C415" i="121"/>
  <c r="C36" i="121"/>
  <c r="E453" i="139"/>
  <c r="N6" i="139"/>
  <c r="A372" i="139" s="1"/>
  <c r="K6" i="139"/>
  <c r="C32" i="139" s="1"/>
  <c r="B75" i="113"/>
  <c r="E244" i="113"/>
  <c r="C244" i="113"/>
  <c r="C75" i="113"/>
  <c r="D208" i="125"/>
  <c r="D207" i="125"/>
  <c r="D206" i="125"/>
  <c r="D209" i="125"/>
  <c r="C332" i="115"/>
  <c r="E332" i="115"/>
  <c r="C123" i="115"/>
  <c r="B123" i="115"/>
  <c r="J364" i="99"/>
  <c r="E364" i="99"/>
  <c r="A364" i="99"/>
  <c r="A374" i="99" s="1"/>
  <c r="K364" i="99"/>
  <c r="C135" i="73"/>
  <c r="B135" i="73"/>
  <c r="E392" i="73"/>
  <c r="C392" i="73"/>
  <c r="C319" i="59"/>
  <c r="A319" i="59"/>
  <c r="A329" i="59" s="1"/>
  <c r="I319" i="59"/>
  <c r="H319" i="59"/>
  <c r="D319" i="59"/>
  <c r="E22" i="17"/>
  <c r="E24" i="17"/>
  <c r="E30" i="17" s="1"/>
  <c r="C28" i="17"/>
  <c r="B46" i="35"/>
  <c r="E53" i="35"/>
  <c r="E158" i="71"/>
  <c r="K170" i="71" s="1"/>
  <c r="B157" i="71"/>
  <c r="E156" i="71"/>
  <c r="E164" i="71"/>
  <c r="A352" i="67"/>
  <c r="B30" i="67"/>
  <c r="E265" i="81"/>
  <c r="O281" i="81" s="1"/>
  <c r="E271" i="81"/>
  <c r="E295" i="127"/>
  <c r="C295" i="127"/>
  <c r="A237" i="115"/>
  <c r="J246" i="115" s="1"/>
  <c r="E384" i="121"/>
  <c r="A172" i="113"/>
  <c r="H179" i="113" s="1"/>
  <c r="C93" i="137"/>
  <c r="E240" i="81"/>
  <c r="E246" i="81" s="1"/>
  <c r="E238" i="81"/>
  <c r="B239" i="81"/>
  <c r="M254" i="81"/>
  <c r="D478" i="131"/>
  <c r="C245" i="131"/>
  <c r="F478" i="131"/>
  <c r="C244" i="131"/>
  <c r="C36" i="117"/>
  <c r="C42" i="117" s="1"/>
  <c r="C267" i="117" s="1"/>
  <c r="D312" i="117" s="1"/>
  <c r="E40" i="117"/>
  <c r="E265" i="117" s="1"/>
  <c r="F310" i="117" s="1"/>
  <c r="C182" i="99"/>
  <c r="F454" i="99"/>
  <c r="D454" i="99"/>
  <c r="C444" i="81"/>
  <c r="L444" i="81"/>
  <c r="K444" i="81"/>
  <c r="J444" i="81"/>
  <c r="D444" i="81"/>
  <c r="M444" i="81"/>
  <c r="A444" i="81"/>
  <c r="Q460" i="81" s="1"/>
  <c r="G450" i="81"/>
  <c r="A450" i="81"/>
  <c r="Q466" i="81" s="1"/>
  <c r="I450" i="81"/>
  <c r="H450" i="81"/>
  <c r="A331" i="117"/>
  <c r="L342" i="117" s="1"/>
  <c r="F332" i="117"/>
  <c r="A332" i="117"/>
  <c r="L343" i="117" s="1"/>
  <c r="E332" i="117"/>
  <c r="G331" i="131"/>
  <c r="A331" i="131"/>
  <c r="M343" i="131" s="1"/>
  <c r="D258" i="129"/>
  <c r="D260" i="129"/>
  <c r="D256" i="129"/>
  <c r="D255" i="129"/>
  <c r="C160" i="117"/>
  <c r="C97" i="131"/>
  <c r="B97" i="131"/>
  <c r="E422" i="131"/>
  <c r="C422" i="131"/>
  <c r="F319" i="127"/>
  <c r="C86" i="127"/>
  <c r="D319" i="127"/>
  <c r="G261" i="137"/>
  <c r="G229" i="137"/>
  <c r="G223" i="137"/>
  <c r="F228" i="125"/>
  <c r="D228" i="125"/>
  <c r="F260" i="113"/>
  <c r="D260" i="113"/>
  <c r="C110" i="113"/>
  <c r="A384" i="63"/>
  <c r="B114" i="63"/>
  <c r="D123" i="127"/>
  <c r="D125" i="127"/>
  <c r="D131" i="127" s="1"/>
  <c r="E204" i="97"/>
  <c r="E206" i="97"/>
  <c r="E212" i="97" s="1"/>
  <c r="I216" i="97"/>
  <c r="A193" i="113"/>
  <c r="A198" i="113" s="1"/>
  <c r="F451" i="119"/>
  <c r="D451" i="119"/>
  <c r="C182" i="119"/>
  <c r="D122" i="107"/>
  <c r="D124" i="107"/>
  <c r="J136" i="107" s="1"/>
  <c r="D130" i="107"/>
  <c r="F487" i="121"/>
  <c r="C226" i="121"/>
  <c r="D487" i="121"/>
  <c r="A364" i="79"/>
  <c r="O378" i="79" s="1"/>
  <c r="G364" i="79"/>
  <c r="A101" i="101"/>
  <c r="F106" i="101" s="1"/>
  <c r="D47" i="115"/>
  <c r="D49" i="115"/>
  <c r="F57" i="115" s="1"/>
  <c r="F184" i="115" s="1"/>
  <c r="G223" i="115" s="1"/>
  <c r="D55" i="115"/>
  <c r="F306" i="45"/>
  <c r="D306" i="45"/>
  <c r="C103" i="45"/>
  <c r="F409" i="133"/>
  <c r="D409" i="133"/>
  <c r="C138" i="133"/>
  <c r="G215" i="109"/>
  <c r="G199" i="109"/>
  <c r="H332" i="141"/>
  <c r="A332" i="141"/>
  <c r="L343" i="141" s="1"/>
  <c r="C372" i="139"/>
  <c r="E372" i="139"/>
  <c r="C86" i="115"/>
  <c r="F316" i="115"/>
  <c r="D316" i="115"/>
  <c r="D223" i="87"/>
  <c r="F223" i="87"/>
  <c r="C25" i="87"/>
  <c r="E123" i="47"/>
  <c r="I133" i="47" s="1"/>
  <c r="B122" i="47"/>
  <c r="E121" i="47"/>
  <c r="E129" i="47"/>
  <c r="E334" i="107"/>
  <c r="N12" i="107"/>
  <c r="A319" i="107" s="1"/>
  <c r="J12" i="107"/>
  <c r="K12" i="107"/>
  <c r="E502" i="75"/>
  <c r="C502" i="75"/>
  <c r="C218" i="75"/>
  <c r="B218" i="75"/>
  <c r="C164" i="83"/>
  <c r="E65" i="39"/>
  <c r="E67" i="39"/>
  <c r="I77" i="39" s="1"/>
  <c r="C71" i="39"/>
  <c r="G215" i="17"/>
  <c r="G229" i="17"/>
  <c r="D263" i="83"/>
  <c r="D271" i="83"/>
  <c r="D265" i="83"/>
  <c r="N281" i="83" s="1"/>
  <c r="E462" i="131"/>
  <c r="C462" i="131"/>
  <c r="D142" i="115"/>
  <c r="D144" i="115"/>
  <c r="F152" i="115" s="1"/>
  <c r="J156" i="115"/>
  <c r="D49" i="127"/>
  <c r="F57" i="127" s="1"/>
  <c r="F184" i="127" s="1"/>
  <c r="G223" i="127" s="1"/>
  <c r="D47" i="127"/>
  <c r="D55" i="127"/>
  <c r="E118" i="133"/>
  <c r="K130" i="133" s="1"/>
  <c r="B117" i="133"/>
  <c r="E116" i="133"/>
  <c r="C122" i="133"/>
  <c r="A408" i="63"/>
  <c r="C178" i="63"/>
  <c r="E77" i="119"/>
  <c r="E79" i="119"/>
  <c r="K91" i="119" s="1"/>
  <c r="I89" i="119"/>
  <c r="D106" i="127"/>
  <c r="F114" i="127" s="1"/>
  <c r="D104" i="127"/>
  <c r="J118" i="127"/>
  <c r="C358" i="143"/>
  <c r="D358" i="143"/>
  <c r="A358" i="143"/>
  <c r="A365" i="143" s="1"/>
  <c r="C244" i="141"/>
  <c r="G354" i="143"/>
  <c r="A354" i="143"/>
  <c r="A361" i="143" s="1"/>
  <c r="H354" i="143"/>
  <c r="K352" i="135"/>
  <c r="A352" i="135"/>
  <c r="M364" i="135" s="1"/>
  <c r="J352" i="135"/>
  <c r="E352" i="135"/>
  <c r="C135" i="111"/>
  <c r="F453" i="135"/>
  <c r="D453" i="135"/>
  <c r="C121" i="135"/>
  <c r="D18" i="101"/>
  <c r="B24" i="101"/>
  <c r="D20" i="101"/>
  <c r="D26" i="101" s="1"/>
  <c r="D185" i="97"/>
  <c r="J197" i="97" s="1"/>
  <c r="D183" i="97"/>
  <c r="B189" i="97"/>
  <c r="E360" i="127"/>
  <c r="N6" i="127"/>
  <c r="A295" i="127" s="1"/>
  <c r="K6" i="127"/>
  <c r="C28" i="127" s="1"/>
  <c r="C112" i="95"/>
  <c r="G122" i="95" s="1"/>
  <c r="G133" i="95" s="1"/>
  <c r="H166" i="95" s="1"/>
  <c r="I120" i="95"/>
  <c r="I131" i="95" s="1"/>
  <c r="J164" i="95" s="1"/>
  <c r="B78" i="135"/>
  <c r="E201" i="133"/>
  <c r="E203" i="133"/>
  <c r="I213" i="133" s="1"/>
  <c r="M217" i="133"/>
  <c r="C182" i="143"/>
  <c r="E112" i="137"/>
  <c r="I122" i="137" s="1"/>
  <c r="E110" i="137"/>
  <c r="E118" i="137"/>
  <c r="C160" i="119"/>
  <c r="C36" i="143"/>
  <c r="C42" i="143" s="1"/>
  <c r="C267" i="143" s="1"/>
  <c r="D312" i="143" s="1"/>
  <c r="E40" i="143"/>
  <c r="E265" i="143" s="1"/>
  <c r="F310" i="143" s="1"/>
  <c r="D53" i="133"/>
  <c r="D55" i="133"/>
  <c r="F63" i="133" s="1"/>
  <c r="D61" i="133"/>
  <c r="J338" i="139"/>
  <c r="C445" i="81"/>
  <c r="M445" i="81"/>
  <c r="L445" i="81"/>
  <c r="K445" i="81"/>
  <c r="J445" i="81"/>
  <c r="D445" i="81"/>
  <c r="A445" i="81"/>
  <c r="Q461" i="81" s="1"/>
  <c r="D373" i="143"/>
  <c r="D376" i="143"/>
  <c r="D375" i="143"/>
  <c r="D371" i="143"/>
  <c r="D372" i="143"/>
  <c r="D374" i="143"/>
  <c r="E32" i="91"/>
  <c r="E38" i="91" s="1"/>
  <c r="E30" i="91"/>
  <c r="B31" i="91"/>
  <c r="C36" i="91"/>
  <c r="A494" i="77"/>
  <c r="C196" i="77"/>
  <c r="D141" i="117"/>
  <c r="J153" i="117" s="1"/>
  <c r="D139" i="117"/>
  <c r="D147" i="117"/>
  <c r="B144" i="91"/>
  <c r="D438" i="93"/>
  <c r="F438" i="93"/>
  <c r="C140" i="93"/>
  <c r="C34" i="101"/>
  <c r="B177" i="63"/>
  <c r="A260" i="113"/>
  <c r="B109" i="113"/>
  <c r="D55" i="143"/>
  <c r="D57" i="143"/>
  <c r="F65" i="143" s="1"/>
  <c r="D63" i="143"/>
  <c r="C268" i="135"/>
  <c r="D509" i="135"/>
  <c r="F509" i="135"/>
  <c r="C96" i="133"/>
  <c r="F231" i="85"/>
  <c r="D231" i="85"/>
  <c r="C42" i="85"/>
  <c r="C41" i="85"/>
  <c r="A194" i="113"/>
  <c r="A199" i="113" s="1"/>
  <c r="A451" i="119"/>
  <c r="B181" i="119"/>
  <c r="C123" i="107"/>
  <c r="E135" i="107" s="1"/>
  <c r="E167" i="107" s="1"/>
  <c r="F206" i="107" s="1"/>
  <c r="K129" i="107"/>
  <c r="K161" i="107" s="1"/>
  <c r="L200" i="107" s="1"/>
  <c r="D162" i="121"/>
  <c r="D164" i="121"/>
  <c r="L178" i="121" s="1"/>
  <c r="F172" i="121"/>
  <c r="E244" i="143"/>
  <c r="B245" i="143"/>
  <c r="E246" i="143"/>
  <c r="G254" i="143" s="1"/>
  <c r="K258" i="143"/>
  <c r="G216" i="109"/>
  <c r="G200" i="109"/>
  <c r="A328" i="141"/>
  <c r="L339" i="141" s="1"/>
  <c r="F415" i="121"/>
  <c r="D415" i="121"/>
  <c r="C37" i="121"/>
  <c r="E184" i="117"/>
  <c r="K196" i="117" s="1"/>
  <c r="E182" i="117"/>
  <c r="C188" i="117"/>
  <c r="A435" i="119"/>
  <c r="C139" i="119"/>
  <c r="B139" i="119"/>
  <c r="A360" i="73"/>
  <c r="C52" i="73"/>
  <c r="E123" i="89"/>
  <c r="E125" i="89"/>
  <c r="K137" i="89" s="1"/>
  <c r="B124" i="89"/>
  <c r="E131" i="89"/>
  <c r="C368" i="59"/>
  <c r="C72" i="59"/>
  <c r="B72" i="59"/>
  <c r="E368" i="59"/>
  <c r="G319" i="63"/>
  <c r="E243" i="41"/>
  <c r="H243" i="41"/>
  <c r="A243" i="41"/>
  <c r="A251" i="41" s="1"/>
  <c r="I243" i="41"/>
  <c r="C532" i="81"/>
  <c r="E532" i="81"/>
  <c r="E24" i="29"/>
  <c r="E30" i="29" s="1"/>
  <c r="B23" i="29"/>
  <c r="E22" i="29"/>
  <c r="C28" i="29"/>
  <c r="B40" i="23"/>
  <c r="E39" i="23"/>
  <c r="E41" i="23"/>
  <c r="G49" i="23" s="1"/>
  <c r="E47" i="23"/>
  <c r="E41" i="25"/>
  <c r="G49" i="25" s="1"/>
  <c r="B40" i="25"/>
  <c r="E39" i="25"/>
  <c r="E47" i="25"/>
  <c r="E111" i="125"/>
  <c r="I121" i="125" s="1"/>
  <c r="B110" i="125"/>
  <c r="E109" i="125"/>
  <c r="E117" i="125"/>
  <c r="B59" i="125"/>
  <c r="E58" i="125"/>
  <c r="E60" i="125"/>
  <c r="I70" i="125" s="1"/>
  <c r="G68" i="125"/>
  <c r="F213" i="107"/>
  <c r="E213" i="107"/>
  <c r="A213" i="107"/>
  <c r="J222" i="107" s="1"/>
  <c r="A357" i="143"/>
  <c r="A364" i="143" s="1"/>
  <c r="D135" i="111"/>
  <c r="D137" i="111"/>
  <c r="J149" i="111" s="1"/>
  <c r="D143" i="111"/>
  <c r="D57" i="77"/>
  <c r="D59" i="77"/>
  <c r="F67" i="77" s="1"/>
  <c r="D65" i="77"/>
  <c r="A199" i="109"/>
  <c r="C23" i="109"/>
  <c r="A406" i="99"/>
  <c r="C56" i="99"/>
  <c r="A406" i="93"/>
  <c r="C55" i="93"/>
  <c r="C56" i="93"/>
  <c r="B142" i="127"/>
  <c r="E343" i="127"/>
  <c r="C343" i="127"/>
  <c r="C142" i="127"/>
  <c r="B76" i="99"/>
  <c r="E106" i="127"/>
  <c r="G114" i="127" s="1"/>
  <c r="B105" i="127"/>
  <c r="E104" i="127"/>
  <c r="K118" i="127"/>
  <c r="H339" i="139"/>
  <c r="D359" i="143"/>
  <c r="C359" i="143"/>
  <c r="A359" i="143"/>
  <c r="A366" i="143" s="1"/>
  <c r="A388" i="135"/>
  <c r="A398" i="135" s="1"/>
  <c r="G388" i="135"/>
  <c r="F388" i="135"/>
  <c r="A350" i="135"/>
  <c r="M362" i="135" s="1"/>
  <c r="H305" i="139"/>
  <c r="A305" i="139"/>
  <c r="L316" i="139" s="1"/>
  <c r="G305" i="139"/>
  <c r="D24" i="85"/>
  <c r="D26" i="85"/>
  <c r="D32" i="85" s="1"/>
  <c r="B30" i="85"/>
  <c r="F316" i="111"/>
  <c r="A316" i="111"/>
  <c r="A325" i="111" s="1"/>
  <c r="E316" i="111"/>
  <c r="D135" i="69"/>
  <c r="D137" i="69"/>
  <c r="J149" i="69" s="1"/>
  <c r="F145" i="69"/>
  <c r="C77" i="99"/>
  <c r="E20" i="101"/>
  <c r="E26" i="101" s="1"/>
  <c r="E18" i="101"/>
  <c r="B19" i="101"/>
  <c r="C24" i="101"/>
  <c r="D383" i="121"/>
  <c r="E183" i="97"/>
  <c r="E185" i="97"/>
  <c r="K197" i="97" s="1"/>
  <c r="B184" i="97"/>
  <c r="C189" i="97"/>
  <c r="E249" i="121"/>
  <c r="G257" i="121" s="1"/>
  <c r="E247" i="121"/>
  <c r="K261" i="121"/>
  <c r="B32" i="133"/>
  <c r="C140" i="131"/>
  <c r="F438" i="131"/>
  <c r="D438" i="131"/>
  <c r="A261" i="115"/>
  <c r="A268" i="115" s="1"/>
  <c r="D261" i="115"/>
  <c r="E265" i="127"/>
  <c r="C78" i="135"/>
  <c r="D235" i="115"/>
  <c r="A235" i="115"/>
  <c r="J244" i="115" s="1"/>
  <c r="A117" i="103"/>
  <c r="A123" i="103" s="1"/>
  <c r="F308" i="139"/>
  <c r="E308" i="139"/>
  <c r="A308" i="139"/>
  <c r="L319" i="139" s="1"/>
  <c r="C79" i="135"/>
  <c r="F220" i="125"/>
  <c r="D220" i="125"/>
  <c r="C25" i="125"/>
  <c r="D35" i="117"/>
  <c r="D37" i="117"/>
  <c r="D43" i="117" s="1"/>
  <c r="B41" i="117"/>
  <c r="D93" i="61"/>
  <c r="D95" i="61"/>
  <c r="J107" i="61" s="1"/>
  <c r="H105" i="61"/>
  <c r="C184" i="135"/>
  <c r="A333" i="131"/>
  <c r="M345" i="131" s="1"/>
  <c r="A334" i="131"/>
  <c r="M346" i="131" s="1"/>
  <c r="C398" i="131"/>
  <c r="B34" i="131"/>
  <c r="E398" i="131"/>
  <c r="C34" i="131"/>
  <c r="B140" i="117"/>
  <c r="E139" i="117"/>
  <c r="E141" i="117"/>
  <c r="K153" i="117" s="1"/>
  <c r="E147" i="117"/>
  <c r="C98" i="131"/>
  <c r="D422" i="131"/>
  <c r="F422" i="131"/>
  <c r="C438" i="93"/>
  <c r="E438" i="93"/>
  <c r="C139" i="93"/>
  <c r="B139" i="93"/>
  <c r="B244" i="131"/>
  <c r="B182" i="131"/>
  <c r="E183" i="131"/>
  <c r="G191" i="131" s="1"/>
  <c r="E181" i="131"/>
  <c r="M197" i="131"/>
  <c r="C177" i="63"/>
  <c r="A430" i="99"/>
  <c r="C119" i="99"/>
  <c r="C22" i="109"/>
  <c r="D284" i="111"/>
  <c r="A284" i="111"/>
  <c r="L295" i="111" s="1"/>
  <c r="E427" i="117"/>
  <c r="C427" i="117"/>
  <c r="C118" i="117"/>
  <c r="B118" i="117"/>
  <c r="A195" i="113"/>
  <c r="A200" i="113" s="1"/>
  <c r="D425" i="79"/>
  <c r="D419" i="79"/>
  <c r="D418" i="79"/>
  <c r="C161" i="117"/>
  <c r="C368" i="61"/>
  <c r="B72" i="61"/>
  <c r="E368" i="61"/>
  <c r="C72" i="61"/>
  <c r="G209" i="109"/>
  <c r="G231" i="109"/>
  <c r="J330" i="141"/>
  <c r="A330" i="141"/>
  <c r="L341" i="141" s="1"/>
  <c r="D41" i="105"/>
  <c r="F49" i="105" s="1"/>
  <c r="D39" i="105"/>
  <c r="D47" i="105"/>
  <c r="E116" i="69"/>
  <c r="I126" i="69" s="1"/>
  <c r="B115" i="69"/>
  <c r="E114" i="69"/>
  <c r="C120" i="69"/>
  <c r="D95" i="73"/>
  <c r="L109" i="73" s="1"/>
  <c r="D93" i="73"/>
  <c r="J107" i="73"/>
  <c r="E438" i="75"/>
  <c r="C438" i="75"/>
  <c r="C34" i="75"/>
  <c r="B34" i="75"/>
  <c r="K319" i="63"/>
  <c r="D210" i="87"/>
  <c r="D209" i="87"/>
  <c r="D212" i="87"/>
  <c r="D113" i="81"/>
  <c r="D115" i="81"/>
  <c r="J127" i="81" s="1"/>
  <c r="J371" i="81" s="1"/>
  <c r="K428" i="81" s="1"/>
  <c r="H125" i="81"/>
  <c r="C58" i="137"/>
  <c r="E236" i="137"/>
  <c r="B58" i="137"/>
  <c r="C236" i="137"/>
  <c r="F369" i="133"/>
  <c r="D369" i="133"/>
  <c r="C33" i="133"/>
  <c r="A233" i="105"/>
  <c r="C91" i="105"/>
  <c r="B90" i="105"/>
  <c r="F419" i="117"/>
  <c r="C98" i="117"/>
  <c r="D419" i="117"/>
  <c r="C33" i="101"/>
  <c r="B33" i="101"/>
  <c r="E149" i="101"/>
  <c r="C149" i="101"/>
  <c r="D246" i="141"/>
  <c r="L260" i="141" s="1"/>
  <c r="D244" i="141"/>
  <c r="F254" i="141"/>
  <c r="B200" i="139"/>
  <c r="C200" i="139"/>
  <c r="C436" i="139"/>
  <c r="E436" i="139"/>
  <c r="E24" i="85"/>
  <c r="B25" i="85"/>
  <c r="E26" i="85"/>
  <c r="E32" i="85" s="1"/>
  <c r="C30" i="85"/>
  <c r="D355" i="139"/>
  <c r="D354" i="139"/>
  <c r="D357" i="139"/>
  <c r="D356" i="139"/>
  <c r="D277" i="115"/>
  <c r="D281" i="115"/>
  <c r="D276" i="115"/>
  <c r="D279" i="115"/>
  <c r="A113" i="103"/>
  <c r="A119" i="103" s="1"/>
  <c r="E23" i="105"/>
  <c r="E25" i="105"/>
  <c r="E31" i="105" s="1"/>
  <c r="C29" i="105"/>
  <c r="E136" i="111"/>
  <c r="E138" i="111"/>
  <c r="K150" i="111" s="1"/>
  <c r="E144" i="111"/>
  <c r="E78" i="125"/>
  <c r="C82" i="125" s="1"/>
  <c r="E76" i="125"/>
  <c r="I88" i="125"/>
  <c r="E93" i="61"/>
  <c r="E95" i="61"/>
  <c r="K107" i="61" s="1"/>
  <c r="B94" i="61"/>
  <c r="I105" i="61"/>
  <c r="K443" i="81"/>
  <c r="J443" i="81"/>
  <c r="I443" i="81"/>
  <c r="A443" i="81"/>
  <c r="Q459" i="81" s="1"/>
  <c r="I449" i="81"/>
  <c r="H449" i="81"/>
  <c r="G449" i="81"/>
  <c r="A449" i="81"/>
  <c r="Q465" i="81" s="1"/>
  <c r="C331" i="143"/>
  <c r="A331" i="143"/>
  <c r="J340" i="143" s="1"/>
  <c r="D331" i="143"/>
  <c r="D162" i="135"/>
  <c r="D164" i="135"/>
  <c r="L178" i="135" s="1"/>
  <c r="F172" i="135"/>
  <c r="A414" i="131"/>
  <c r="B76" i="131"/>
  <c r="F213" i="129"/>
  <c r="A213" i="129"/>
  <c r="J222" i="129" s="1"/>
  <c r="E213" i="129"/>
  <c r="C444" i="139"/>
  <c r="E444" i="139"/>
  <c r="C221" i="139"/>
  <c r="B221" i="139"/>
  <c r="A310" i="139"/>
  <c r="L321" i="139" s="1"/>
  <c r="C142" i="121"/>
  <c r="C159" i="133"/>
  <c r="F384" i="71"/>
  <c r="D384" i="71"/>
  <c r="C115" i="71"/>
  <c r="N12" i="83"/>
  <c r="A580" i="83" s="1"/>
  <c r="E643" i="83"/>
  <c r="J12" i="83"/>
  <c r="F281" i="111"/>
  <c r="E281" i="111"/>
  <c r="A281" i="111"/>
  <c r="L292" i="111" s="1"/>
  <c r="H281" i="111"/>
  <c r="G281" i="111"/>
  <c r="B124" i="127"/>
  <c r="E125" i="127"/>
  <c r="E131" i="127" s="1"/>
  <c r="E123" i="127"/>
  <c r="I135" i="127"/>
  <c r="D204" i="97"/>
  <c r="D206" i="97"/>
  <c r="D212" i="97" s="1"/>
  <c r="H216" i="97"/>
  <c r="C439" i="123"/>
  <c r="C99" i="123"/>
  <c r="B99" i="123"/>
  <c r="E439" i="123"/>
  <c r="F308" i="115"/>
  <c r="D308" i="115"/>
  <c r="F357" i="111"/>
  <c r="D357" i="111"/>
  <c r="C52" i="111"/>
  <c r="G232" i="109"/>
  <c r="G210" i="109"/>
  <c r="A327" i="141"/>
  <c r="L338" i="141" s="1"/>
  <c r="E412" i="139"/>
  <c r="C137" i="139"/>
  <c r="B137" i="139"/>
  <c r="C412" i="139"/>
  <c r="F431" i="121"/>
  <c r="D431" i="121"/>
  <c r="C79" i="121"/>
  <c r="A244" i="113"/>
  <c r="C76" i="113"/>
  <c r="C68" i="91"/>
  <c r="E332" i="91"/>
  <c r="C332" i="91"/>
  <c r="B68" i="91"/>
  <c r="C216" i="83"/>
  <c r="Q228" i="83" s="1"/>
  <c r="Q372" i="83" s="1"/>
  <c r="R429" i="83" s="1"/>
  <c r="K234" i="83"/>
  <c r="K378" i="83" s="1"/>
  <c r="L435" i="83" s="1"/>
  <c r="C27" i="41"/>
  <c r="F274" i="41"/>
  <c r="D274" i="41"/>
  <c r="E100" i="93"/>
  <c r="M114" i="93" s="1"/>
  <c r="E98" i="93"/>
  <c r="K112" i="93"/>
  <c r="E95" i="73"/>
  <c r="M109" i="73" s="1"/>
  <c r="E93" i="73"/>
  <c r="K107" i="73"/>
  <c r="B94" i="73"/>
  <c r="A349" i="111"/>
  <c r="C31" i="111"/>
  <c r="C30" i="111"/>
  <c r="B30" i="111"/>
  <c r="H273" i="73"/>
  <c r="F286" i="73"/>
  <c r="B37" i="97"/>
  <c r="E36" i="97"/>
  <c r="E38" i="97"/>
  <c r="E44" i="97" s="1"/>
  <c r="C42" i="97"/>
  <c r="C24" i="87"/>
  <c r="E104" i="75"/>
  <c r="E106" i="75"/>
  <c r="K118" i="75" s="1"/>
  <c r="C110" i="75"/>
  <c r="C376" i="69"/>
  <c r="E376" i="69"/>
  <c r="C77" i="93"/>
  <c r="D414" i="93"/>
  <c r="F414" i="93"/>
  <c r="C76" i="93"/>
  <c r="E58" i="85"/>
  <c r="B59" i="85"/>
  <c r="E60" i="85"/>
  <c r="I70" i="85" s="1"/>
  <c r="G68" i="85"/>
  <c r="E265" i="79"/>
  <c r="E267" i="79"/>
  <c r="I277" i="79" s="1"/>
  <c r="O283" i="79"/>
  <c r="A392" i="59"/>
  <c r="B135" i="59"/>
  <c r="H280" i="69"/>
  <c r="A213" i="37"/>
  <c r="K223" i="37" s="1"/>
  <c r="B58" i="75"/>
  <c r="E57" i="75"/>
  <c r="E59" i="75"/>
  <c r="G67" i="75" s="1"/>
  <c r="E65" i="75"/>
  <c r="C76" i="99"/>
  <c r="E387" i="135"/>
  <c r="A387" i="135"/>
  <c r="A397" i="135" s="1"/>
  <c r="G351" i="135"/>
  <c r="F351" i="135"/>
  <c r="A351" i="135"/>
  <c r="M363" i="135" s="1"/>
  <c r="F317" i="111"/>
  <c r="A317" i="111"/>
  <c r="A326" i="111" s="1"/>
  <c r="G317" i="111"/>
  <c r="E317" i="111"/>
  <c r="H317" i="111"/>
  <c r="B136" i="69"/>
  <c r="E135" i="69"/>
  <c r="G145" i="69"/>
  <c r="E137" i="69"/>
  <c r="K149" i="69" s="1"/>
  <c r="K227" i="69" s="1"/>
  <c r="L272" i="69" s="1"/>
  <c r="A263" i="115"/>
  <c r="A270" i="115" s="1"/>
  <c r="D204" i="121"/>
  <c r="D206" i="121"/>
  <c r="D212" i="121" s="1"/>
  <c r="H216" i="121"/>
  <c r="D160" i="119"/>
  <c r="D162" i="119"/>
  <c r="L176" i="119" s="1"/>
  <c r="F170" i="119"/>
  <c r="D118" i="133"/>
  <c r="J130" i="133" s="1"/>
  <c r="B122" i="133"/>
  <c r="D116" i="133"/>
  <c r="C181" i="143"/>
  <c r="D111" i="125"/>
  <c r="H121" i="125" s="1"/>
  <c r="D109" i="125"/>
  <c r="D117" i="125"/>
  <c r="B58" i="125"/>
  <c r="A421" i="143"/>
  <c r="C119" i="143"/>
  <c r="A355" i="135"/>
  <c r="M367" i="135" s="1"/>
  <c r="C145" i="91"/>
  <c r="F364" i="91"/>
  <c r="D364" i="91"/>
  <c r="C144" i="91"/>
  <c r="E264" i="127"/>
  <c r="D315" i="111"/>
  <c r="A315" i="111"/>
  <c r="A324" i="111" s="1"/>
  <c r="J315" i="111"/>
  <c r="I315" i="111"/>
  <c r="F292" i="115"/>
  <c r="D292" i="115"/>
  <c r="E264" i="115"/>
  <c r="A264" i="115"/>
  <c r="A271" i="115" s="1"/>
  <c r="F264" i="115"/>
  <c r="C84" i="129"/>
  <c r="C204" i="121"/>
  <c r="E495" i="131"/>
  <c r="N14" i="131"/>
  <c r="A462" i="131" s="1"/>
  <c r="K14" i="131"/>
  <c r="D209" i="113"/>
  <c r="D208" i="113"/>
  <c r="D207" i="113"/>
  <c r="D206" i="113"/>
  <c r="A114" i="103"/>
  <c r="A120" i="103" s="1"/>
  <c r="D48" i="7"/>
  <c r="D50" i="7"/>
  <c r="B54" i="7" s="1"/>
  <c r="F58" i="7"/>
  <c r="M339" i="121"/>
  <c r="H350" i="121"/>
  <c r="A309" i="133"/>
  <c r="K319" i="133" s="1"/>
  <c r="C117" i="133"/>
  <c r="C446" i="81"/>
  <c r="M446" i="81"/>
  <c r="L446" i="81"/>
  <c r="K446" i="81"/>
  <c r="J446" i="81"/>
  <c r="F446" i="81"/>
  <c r="I446" i="81"/>
  <c r="E446" i="81"/>
  <c r="D446" i="81"/>
  <c r="A446" i="81"/>
  <c r="Q462" i="81" s="1"/>
  <c r="A330" i="143"/>
  <c r="J339" i="143" s="1"/>
  <c r="D330" i="143"/>
  <c r="C330" i="143"/>
  <c r="A333" i="117"/>
  <c r="L344" i="117" s="1"/>
  <c r="F333" i="117"/>
  <c r="E333" i="117"/>
  <c r="J329" i="117"/>
  <c r="I329" i="117"/>
  <c r="A329" i="117"/>
  <c r="L340" i="117" s="1"/>
  <c r="C279" i="107"/>
  <c r="E279" i="107"/>
  <c r="B45" i="107"/>
  <c r="C45" i="107"/>
  <c r="E395" i="141"/>
  <c r="C395" i="141"/>
  <c r="B34" i="141"/>
  <c r="C34" i="141"/>
  <c r="A444" i="139"/>
  <c r="C222" i="139"/>
  <c r="C90" i="105"/>
  <c r="B30" i="73"/>
  <c r="D459" i="119"/>
  <c r="F459" i="119"/>
  <c r="C203" i="119"/>
  <c r="B158" i="139"/>
  <c r="E420" i="139"/>
  <c r="C420" i="139"/>
  <c r="C158" i="139"/>
  <c r="B34" i="77"/>
  <c r="C34" i="77"/>
  <c r="E438" i="77"/>
  <c r="C438" i="77"/>
  <c r="E47" i="129"/>
  <c r="G55" i="129" s="1"/>
  <c r="E45" i="129"/>
  <c r="B46" i="129"/>
  <c r="E53" i="129"/>
  <c r="K12" i="83"/>
  <c r="D427" i="117"/>
  <c r="F427" i="117"/>
  <c r="C119" i="117"/>
  <c r="B41" i="85"/>
  <c r="E493" i="131"/>
  <c r="N12" i="131"/>
  <c r="A446" i="131" s="1"/>
  <c r="J12" i="131"/>
  <c r="D439" i="121"/>
  <c r="C100" i="121"/>
  <c r="F439" i="121"/>
  <c r="A408" i="61"/>
  <c r="C178" i="61"/>
  <c r="D365" i="79"/>
  <c r="C365" i="79"/>
  <c r="A365" i="79"/>
  <c r="O379" i="79" s="1"/>
  <c r="I365" i="79"/>
  <c r="H365" i="79"/>
  <c r="G363" i="79"/>
  <c r="A363" i="79"/>
  <c r="O377" i="79" s="1"/>
  <c r="I363" i="141"/>
  <c r="D274" i="49"/>
  <c r="C27" i="49"/>
  <c r="F274" i="49"/>
  <c r="F412" i="139"/>
  <c r="C138" i="139"/>
  <c r="D412" i="139"/>
  <c r="C85" i="115"/>
  <c r="C316" i="115"/>
  <c r="E316" i="115"/>
  <c r="B85" i="115"/>
  <c r="C69" i="91"/>
  <c r="F332" i="91"/>
  <c r="D332" i="91"/>
  <c r="D400" i="59"/>
  <c r="F400" i="59"/>
  <c r="C157" i="59"/>
  <c r="C156" i="59"/>
  <c r="G334" i="93"/>
  <c r="F334" i="93"/>
  <c r="A334" i="93"/>
  <c r="M346" i="93" s="1"/>
  <c r="G328" i="93"/>
  <c r="F328" i="93"/>
  <c r="A328" i="93"/>
  <c r="M340" i="93" s="1"/>
  <c r="A154" i="33"/>
  <c r="I162" i="33" s="1"/>
  <c r="G276" i="43"/>
  <c r="G282" i="43"/>
  <c r="G306" i="43"/>
  <c r="A331" i="141"/>
  <c r="L342" i="141" s="1"/>
  <c r="E419" i="119"/>
  <c r="C419" i="119"/>
  <c r="C97" i="119"/>
  <c r="B97" i="119"/>
  <c r="C199" i="71"/>
  <c r="F416" i="71"/>
  <c r="D416" i="71"/>
  <c r="E228" i="135"/>
  <c r="M242" i="135" s="1"/>
  <c r="E226" i="135"/>
  <c r="E234" i="135"/>
  <c r="A478" i="79"/>
  <c r="B149" i="79"/>
  <c r="A223" i="109"/>
  <c r="B73" i="109"/>
  <c r="F532" i="83"/>
  <c r="C39" i="83"/>
  <c r="D532" i="83"/>
  <c r="E96" i="73"/>
  <c r="M110" i="73" s="1"/>
  <c r="E94" i="73"/>
  <c r="K108" i="73"/>
  <c r="D20" i="103"/>
  <c r="D26" i="103" s="1"/>
  <c r="D18" i="103"/>
  <c r="B24" i="103"/>
  <c r="B74" i="25"/>
  <c r="E75" i="25"/>
  <c r="C79" i="25" s="1"/>
  <c r="E73" i="25"/>
  <c r="I85" i="25"/>
  <c r="B94" i="95"/>
  <c r="D104" i="95" s="1"/>
  <c r="D132" i="95" s="1"/>
  <c r="E165" i="95" s="1"/>
  <c r="H100" i="95"/>
  <c r="H128" i="95" s="1"/>
  <c r="I161" i="95" s="1"/>
  <c r="C165" i="121"/>
  <c r="G179" i="121" s="1"/>
  <c r="G299" i="121" s="1"/>
  <c r="H344" i="121" s="1"/>
  <c r="M173" i="121"/>
  <c r="M293" i="121" s="1"/>
  <c r="F307" i="139"/>
  <c r="E307" i="139"/>
  <c r="A307" i="139"/>
  <c r="L318" i="139" s="1"/>
  <c r="D143" i="97"/>
  <c r="J155" i="97" s="1"/>
  <c r="D141" i="97"/>
  <c r="D149" i="97"/>
  <c r="E485" i="135"/>
  <c r="C485" i="135"/>
  <c r="C204" i="135"/>
  <c r="B204" i="135"/>
  <c r="D446" i="131"/>
  <c r="F446" i="131"/>
  <c r="D163" i="81"/>
  <c r="D165" i="81"/>
  <c r="N181" i="81" s="1"/>
  <c r="L179" i="81"/>
  <c r="E143" i="115"/>
  <c r="E145" i="115"/>
  <c r="G153" i="115" s="1"/>
  <c r="K157" i="115"/>
  <c r="B182" i="119"/>
  <c r="E181" i="119"/>
  <c r="E183" i="119"/>
  <c r="K195" i="119" s="1"/>
  <c r="C187" i="119"/>
  <c r="D77" i="125"/>
  <c r="B81" i="125" s="1"/>
  <c r="D75" i="125"/>
  <c r="H87" i="125"/>
  <c r="A354" i="135"/>
  <c r="M366" i="135" s="1"/>
  <c r="B183" i="135"/>
  <c r="E477" i="135"/>
  <c r="C477" i="135"/>
  <c r="C183" i="135"/>
  <c r="E50" i="127"/>
  <c r="G58" i="127" s="1"/>
  <c r="G185" i="127" s="1"/>
  <c r="H224" i="127" s="1"/>
  <c r="E48" i="127"/>
  <c r="E56" i="127"/>
  <c r="E92" i="113"/>
  <c r="E94" i="113"/>
  <c r="G102" i="113" s="1"/>
  <c r="B93" i="113"/>
  <c r="C98" i="113"/>
  <c r="A459" i="117"/>
  <c r="B202" i="117"/>
  <c r="C202" i="117"/>
  <c r="F420" i="139"/>
  <c r="D420" i="139"/>
  <c r="C159" i="139"/>
  <c r="E298" i="37"/>
  <c r="C83" i="37"/>
  <c r="B83" i="37"/>
  <c r="C298" i="37"/>
  <c r="B158" i="133"/>
  <c r="B264" i="83"/>
  <c r="E263" i="83"/>
  <c r="E265" i="83"/>
  <c r="O281" i="83" s="1"/>
  <c r="E271" i="83"/>
  <c r="A233" i="115"/>
  <c r="J242" i="115" s="1"/>
  <c r="E54" i="139"/>
  <c r="E56" i="139"/>
  <c r="G64" i="139" s="1"/>
  <c r="C60" i="139"/>
  <c r="C56" i="131"/>
  <c r="F406" i="131"/>
  <c r="D406" i="131"/>
  <c r="C55" i="131"/>
  <c r="A116" i="103"/>
  <c r="A122" i="103" s="1"/>
  <c r="E48" i="7"/>
  <c r="B49" i="7"/>
  <c r="E50" i="7"/>
  <c r="C54" i="7" s="1"/>
  <c r="G58" i="7"/>
  <c r="E483" i="143"/>
  <c r="J11" i="143"/>
  <c r="N11" i="143"/>
  <c r="A429" i="143" s="1"/>
  <c r="E494" i="117"/>
  <c r="N16" i="117"/>
  <c r="A475" i="117" s="1"/>
  <c r="K16" i="117"/>
  <c r="J16" i="117"/>
  <c r="H338" i="139"/>
  <c r="O447" i="81"/>
  <c r="N447" i="81"/>
  <c r="G447" i="81"/>
  <c r="E447" i="81"/>
  <c r="I447" i="81"/>
  <c r="H447" i="81"/>
  <c r="F447" i="81"/>
  <c r="A447" i="81"/>
  <c r="Q463" i="81" s="1"/>
  <c r="D511" i="81"/>
  <c r="D510" i="81"/>
  <c r="D519" i="81"/>
  <c r="A328" i="143"/>
  <c r="J337" i="143" s="1"/>
  <c r="D378" i="117"/>
  <c r="D377" i="117"/>
  <c r="D382" i="117"/>
  <c r="D381" i="117"/>
  <c r="A351" i="127"/>
  <c r="C162" i="127"/>
  <c r="A373" i="111"/>
  <c r="B93" i="111"/>
  <c r="E118" i="119"/>
  <c r="E120" i="119"/>
  <c r="I130" i="119" s="1"/>
  <c r="B119" i="119"/>
  <c r="C124" i="119"/>
  <c r="F395" i="141"/>
  <c r="D395" i="141"/>
  <c r="C35" i="141"/>
  <c r="F364" i="131"/>
  <c r="G364" i="131"/>
  <c r="A364" i="131"/>
  <c r="A374" i="131" s="1"/>
  <c r="E364" i="131"/>
  <c r="C37" i="123"/>
  <c r="B31" i="73"/>
  <c r="E30" i="73"/>
  <c r="E32" i="73"/>
  <c r="E38" i="73" s="1"/>
  <c r="C36" i="73"/>
  <c r="E31" i="91"/>
  <c r="E33" i="91"/>
  <c r="E39" i="91" s="1"/>
  <c r="C37" i="91"/>
  <c r="E141" i="97"/>
  <c r="B142" i="97"/>
  <c r="E143" i="97"/>
  <c r="K155" i="97" s="1"/>
  <c r="E149" i="97"/>
  <c r="B45" i="129"/>
  <c r="G360" i="141"/>
  <c r="E141" i="123"/>
  <c r="B142" i="123"/>
  <c r="E149" i="123"/>
  <c r="E143" i="123"/>
  <c r="K155" i="123" s="1"/>
  <c r="G287" i="91"/>
  <c r="F287" i="91"/>
  <c r="A287" i="91"/>
  <c r="A295" i="91" s="1"/>
  <c r="C59" i="125"/>
  <c r="G202" i="109"/>
  <c r="G208" i="109"/>
  <c r="G224" i="109"/>
  <c r="E245" i="99"/>
  <c r="E247" i="99"/>
  <c r="G255" i="99" s="1"/>
  <c r="K259" i="99"/>
  <c r="G220" i="89"/>
  <c r="E265" i="89"/>
  <c r="C85" i="127"/>
  <c r="E288" i="67"/>
  <c r="D288" i="67"/>
  <c r="C288" i="67"/>
  <c r="A288" i="67"/>
  <c r="M300" i="67" s="1"/>
  <c r="A254" i="91"/>
  <c r="K264" i="91" s="1"/>
  <c r="A470" i="79"/>
  <c r="C127" i="79"/>
  <c r="A258" i="3"/>
  <c r="L269" i="3" s="1"/>
  <c r="E119" i="119"/>
  <c r="E121" i="119"/>
  <c r="I131" i="119" s="1"/>
  <c r="C125" i="119"/>
  <c r="E413" i="143"/>
  <c r="B97" i="143"/>
  <c r="C97" i="143"/>
  <c r="C413" i="143"/>
  <c r="D315" i="83"/>
  <c r="P333" i="83" s="1"/>
  <c r="D313" i="83"/>
  <c r="F323" i="83"/>
  <c r="D268" i="123"/>
  <c r="D270" i="123"/>
  <c r="F278" i="123" s="1"/>
  <c r="H280" i="123"/>
  <c r="D90" i="81"/>
  <c r="H100" i="81" s="1"/>
  <c r="D88" i="81"/>
  <c r="F98" i="81"/>
  <c r="C158" i="133"/>
  <c r="E243" i="107"/>
  <c r="A243" i="107"/>
  <c r="A250" i="107" s="1"/>
  <c r="F243" i="107"/>
  <c r="A405" i="111"/>
  <c r="C177" i="111"/>
  <c r="C178" i="111"/>
  <c r="D215" i="109"/>
  <c r="F215" i="109"/>
  <c r="C57" i="109"/>
  <c r="C56" i="109"/>
  <c r="A454" i="79"/>
  <c r="B80" i="79"/>
  <c r="C81" i="79"/>
  <c r="G365" i="93"/>
  <c r="F365" i="93"/>
  <c r="A365" i="93"/>
  <c r="A375" i="93" s="1"/>
  <c r="C92" i="137"/>
  <c r="F429" i="143"/>
  <c r="D429" i="143"/>
  <c r="C143" i="127"/>
  <c r="D311" i="127"/>
  <c r="C67" i="127"/>
  <c r="F311" i="127"/>
  <c r="D620" i="83"/>
  <c r="F620" i="83"/>
  <c r="C314" i="83"/>
  <c r="E53" i="139"/>
  <c r="E55" i="139"/>
  <c r="G63" i="139" s="1"/>
  <c r="B54" i="139"/>
  <c r="C59" i="139"/>
  <c r="B76" i="117"/>
  <c r="C76" i="117"/>
  <c r="E411" i="117"/>
  <c r="C411" i="117"/>
  <c r="E107" i="127"/>
  <c r="G115" i="127" s="1"/>
  <c r="E105" i="127"/>
  <c r="K119" i="127"/>
  <c r="I441" i="81"/>
  <c r="H441" i="81"/>
  <c r="G441" i="81"/>
  <c r="N441" i="81"/>
  <c r="O441" i="81"/>
  <c r="A441" i="81"/>
  <c r="Q457" i="81" s="1"/>
  <c r="A330" i="117"/>
  <c r="L341" i="117" s="1"/>
  <c r="B204" i="123"/>
  <c r="C204" i="123"/>
  <c r="C479" i="123"/>
  <c r="E479" i="123"/>
  <c r="A328" i="131"/>
  <c r="M340" i="131" s="1"/>
  <c r="G340" i="139"/>
  <c r="C224" i="117"/>
  <c r="F467" i="117"/>
  <c r="D467" i="117"/>
  <c r="C124" i="115"/>
  <c r="F332" i="115"/>
  <c r="D332" i="115"/>
  <c r="B160" i="141"/>
  <c r="E183" i="117"/>
  <c r="K195" i="117" s="1"/>
  <c r="E181" i="117"/>
  <c r="B182" i="117"/>
  <c r="C187" i="117"/>
  <c r="E58" i="77"/>
  <c r="E60" i="77"/>
  <c r="G68" i="77" s="1"/>
  <c r="E66" i="77"/>
  <c r="E286" i="91"/>
  <c r="A286" i="91"/>
  <c r="A294" i="91" s="1"/>
  <c r="E142" i="119"/>
  <c r="K154" i="119" s="1"/>
  <c r="E140" i="119"/>
  <c r="E148" i="119"/>
  <c r="E236" i="127"/>
  <c r="A236" i="127"/>
  <c r="K246" i="127" s="1"/>
  <c r="N11" i="135"/>
  <c r="A461" i="135" s="1"/>
  <c r="E523" i="135"/>
  <c r="J11" i="135"/>
  <c r="K11" i="135"/>
  <c r="E50" i="115"/>
  <c r="G58" i="115" s="1"/>
  <c r="G185" i="115" s="1"/>
  <c r="H224" i="115" s="1"/>
  <c r="E48" i="115"/>
  <c r="E56" i="115"/>
  <c r="E119" i="131"/>
  <c r="E121" i="131"/>
  <c r="K133" i="131" s="1"/>
  <c r="C125" i="131"/>
  <c r="E73" i="73"/>
  <c r="E75" i="73"/>
  <c r="I85" i="73" s="1"/>
  <c r="G83" i="73"/>
  <c r="A596" i="83"/>
  <c r="C239" i="83"/>
  <c r="C238" i="83"/>
  <c r="B238" i="83"/>
  <c r="F247" i="87"/>
  <c r="D247" i="87"/>
  <c r="C76" i="87"/>
  <c r="C75" i="87"/>
  <c r="E180" i="69"/>
  <c r="M194" i="69" s="1"/>
  <c r="E178" i="69"/>
  <c r="K192" i="69"/>
  <c r="E123" i="39"/>
  <c r="E129" i="39" s="1"/>
  <c r="B122" i="39"/>
  <c r="E121" i="39"/>
  <c r="I133" i="39"/>
  <c r="C80" i="79"/>
  <c r="A281" i="63"/>
  <c r="M293" i="63" s="1"/>
  <c r="K281" i="63"/>
  <c r="J281" i="63"/>
  <c r="K330" i="99"/>
  <c r="E330" i="99"/>
  <c r="A330" i="99"/>
  <c r="M342" i="99" s="1"/>
  <c r="J330" i="99"/>
  <c r="A282" i="59"/>
  <c r="M294" i="59" s="1"/>
  <c r="E177" i="29"/>
  <c r="E178" i="29"/>
  <c r="B97" i="117"/>
  <c r="B143" i="123"/>
  <c r="D155" i="123" s="1"/>
  <c r="D296" i="123" s="1"/>
  <c r="E341" i="123" s="1"/>
  <c r="J149" i="123"/>
  <c r="J290" i="123" s="1"/>
  <c r="K335" i="123" s="1"/>
  <c r="E333" i="129"/>
  <c r="N11" i="129"/>
  <c r="A311" i="129" s="1"/>
  <c r="K11" i="129"/>
  <c r="A411" i="141"/>
  <c r="B76" i="141"/>
  <c r="E98" i="143"/>
  <c r="E100" i="143"/>
  <c r="M114" i="143" s="1"/>
  <c r="K112" i="143"/>
  <c r="C184" i="123"/>
  <c r="D471" i="123"/>
  <c r="F471" i="123"/>
  <c r="E90" i="81"/>
  <c r="I100" i="81" s="1"/>
  <c r="B89" i="81"/>
  <c r="E88" i="81"/>
  <c r="G98" i="81"/>
  <c r="A242" i="107"/>
  <c r="A249" i="107" s="1"/>
  <c r="C51" i="101"/>
  <c r="G55" i="101" s="1"/>
  <c r="G64" i="101" s="1"/>
  <c r="H91" i="101" s="1"/>
  <c r="C59" i="101"/>
  <c r="C68" i="101" s="1"/>
  <c r="D95" i="101" s="1"/>
  <c r="K363" i="93"/>
  <c r="J363" i="93"/>
  <c r="E363" i="93"/>
  <c r="A363" i="93"/>
  <c r="A373" i="93" s="1"/>
  <c r="B92" i="137"/>
  <c r="C55" i="99"/>
  <c r="D104" i="115"/>
  <c r="D106" i="115"/>
  <c r="J118" i="115" s="1"/>
  <c r="H116" i="115"/>
  <c r="I340" i="139"/>
  <c r="D55" i="139"/>
  <c r="F63" i="139" s="1"/>
  <c r="D53" i="139"/>
  <c r="B59" i="139"/>
  <c r="E93" i="113"/>
  <c r="E95" i="113"/>
  <c r="G103" i="113" s="1"/>
  <c r="C99" i="113"/>
  <c r="A308" i="133"/>
  <c r="K318" i="133" s="1"/>
  <c r="E140" i="83"/>
  <c r="M154" i="83" s="1"/>
  <c r="B139" i="83"/>
  <c r="E138" i="83"/>
  <c r="C144" i="83"/>
  <c r="B225" i="135"/>
  <c r="C225" i="135"/>
  <c r="C493" i="135"/>
  <c r="E493" i="135"/>
  <c r="B204" i="141"/>
  <c r="J218" i="141" s="1"/>
  <c r="J275" i="141" s="1"/>
  <c r="K320" i="141" s="1"/>
  <c r="L216" i="141"/>
  <c r="L273" i="141" s="1"/>
  <c r="M318" i="141" s="1"/>
  <c r="C163" i="135"/>
  <c r="F469" i="135"/>
  <c r="D469" i="135"/>
  <c r="E58" i="135"/>
  <c r="E60" i="135"/>
  <c r="G68" i="135" s="1"/>
  <c r="E66" i="135"/>
  <c r="A214" i="129"/>
  <c r="J223" i="129" s="1"/>
  <c r="G214" i="129"/>
  <c r="D214" i="129"/>
  <c r="C205" i="123"/>
  <c r="F479" i="123"/>
  <c r="D479" i="123"/>
  <c r="B183" i="123"/>
  <c r="E79" i="143"/>
  <c r="K91" i="143" s="1"/>
  <c r="E77" i="143"/>
  <c r="I89" i="143"/>
  <c r="B24" i="137"/>
  <c r="C51" i="65"/>
  <c r="C360" i="65"/>
  <c r="B51" i="65"/>
  <c r="E360" i="65"/>
  <c r="E159" i="111"/>
  <c r="M173" i="111" s="1"/>
  <c r="E157" i="111"/>
  <c r="G167" i="111"/>
  <c r="A242" i="129"/>
  <c r="A249" i="129" s="1"/>
  <c r="E144" i="123"/>
  <c r="K156" i="123" s="1"/>
  <c r="E142" i="123"/>
  <c r="E150" i="123"/>
  <c r="D183" i="117"/>
  <c r="J195" i="117" s="1"/>
  <c r="D181" i="117"/>
  <c r="B187" i="117"/>
  <c r="C408" i="61"/>
  <c r="C177" i="61"/>
  <c r="B177" i="61"/>
  <c r="E408" i="61"/>
  <c r="A509" i="97"/>
  <c r="B267" i="97"/>
  <c r="B114" i="57"/>
  <c r="C384" i="57"/>
  <c r="C114" i="57"/>
  <c r="E384" i="57"/>
  <c r="D209" i="105"/>
  <c r="F209" i="105"/>
  <c r="C40" i="105"/>
  <c r="D74" i="73"/>
  <c r="H84" i="73" s="1"/>
  <c r="D72" i="73"/>
  <c r="F82" i="73"/>
  <c r="K317" i="69"/>
  <c r="C25" i="85"/>
  <c r="E510" i="75"/>
  <c r="C241" i="75"/>
  <c r="C510" i="75"/>
  <c r="B241" i="75"/>
  <c r="G213" i="21"/>
  <c r="G237" i="21"/>
  <c r="G205" i="21"/>
  <c r="G275" i="51"/>
  <c r="G309" i="51"/>
  <c r="G315" i="51"/>
  <c r="C462" i="99"/>
  <c r="C202" i="99"/>
  <c r="B202" i="99"/>
  <c r="E462" i="99"/>
  <c r="E352" i="97"/>
  <c r="A352" i="97"/>
  <c r="M364" i="97" s="1"/>
  <c r="K352" i="97"/>
  <c r="J352" i="97"/>
  <c r="E292" i="115"/>
  <c r="C292" i="115"/>
  <c r="E340" i="81"/>
  <c r="I350" i="81" s="1"/>
  <c r="E338" i="81"/>
  <c r="B339" i="81"/>
  <c r="Q358" i="81"/>
  <c r="E327" i="119"/>
  <c r="A327" i="119"/>
  <c r="L338" i="119" s="1"/>
  <c r="F327" i="119"/>
  <c r="A158" i="9"/>
  <c r="C49" i="9"/>
  <c r="C48" i="9"/>
  <c r="B48" i="9"/>
  <c r="B103" i="43"/>
  <c r="E102" i="43"/>
  <c r="E104" i="43"/>
  <c r="I114" i="43" s="1"/>
  <c r="E110" i="43"/>
  <c r="E85" i="43"/>
  <c r="C89" i="43" s="1"/>
  <c r="E83" i="43"/>
  <c r="B84" i="43"/>
  <c r="I95" i="43"/>
  <c r="D109" i="137"/>
  <c r="D111" i="137"/>
  <c r="H121" i="137" s="1"/>
  <c r="D117" i="137"/>
  <c r="D262" i="115"/>
  <c r="A262" i="115"/>
  <c r="A269" i="115" s="1"/>
  <c r="A171" i="113"/>
  <c r="H178" i="113" s="1"/>
  <c r="D140" i="83"/>
  <c r="L154" i="83" s="1"/>
  <c r="D138" i="83"/>
  <c r="B144" i="83"/>
  <c r="D282" i="111"/>
  <c r="C282" i="111"/>
  <c r="A282" i="111"/>
  <c r="L293" i="111" s="1"/>
  <c r="I282" i="111"/>
  <c r="J282" i="111"/>
  <c r="D94" i="113"/>
  <c r="F102" i="113" s="1"/>
  <c r="D92" i="113"/>
  <c r="B98" i="113"/>
  <c r="C393" i="133"/>
  <c r="C95" i="133"/>
  <c r="B95" i="133"/>
  <c r="E393" i="133"/>
  <c r="B57" i="123"/>
  <c r="E423" i="123"/>
  <c r="C423" i="123"/>
  <c r="C57" i="123"/>
  <c r="F287" i="107"/>
  <c r="D287" i="107"/>
  <c r="C65" i="107"/>
  <c r="E163" i="119"/>
  <c r="M177" i="119" s="1"/>
  <c r="E161" i="119"/>
  <c r="G171" i="119"/>
  <c r="E447" i="123"/>
  <c r="C447" i="123"/>
  <c r="B120" i="123"/>
  <c r="C120" i="123"/>
  <c r="G327" i="143"/>
  <c r="H327" i="143"/>
  <c r="A327" i="143"/>
  <c r="J336" i="143" s="1"/>
  <c r="I328" i="117"/>
  <c r="A328" i="117"/>
  <c r="L339" i="117" s="1"/>
  <c r="J328" i="117"/>
  <c r="D419" i="141"/>
  <c r="F419" i="141"/>
  <c r="C98" i="141"/>
  <c r="B248" i="121"/>
  <c r="J256" i="121" s="1"/>
  <c r="J292" i="121" s="1"/>
  <c r="F260" i="121"/>
  <c r="F296" i="121" s="1"/>
  <c r="G341" i="121" s="1"/>
  <c r="E521" i="123"/>
  <c r="N15" i="123"/>
  <c r="A487" i="123" s="1"/>
  <c r="J15" i="123"/>
  <c r="K15" i="123"/>
  <c r="H330" i="131"/>
  <c r="I330" i="131"/>
  <c r="D330" i="131"/>
  <c r="C330" i="131"/>
  <c r="A330" i="131"/>
  <c r="M342" i="131" s="1"/>
  <c r="A217" i="129"/>
  <c r="J226" i="129" s="1"/>
  <c r="C30" i="71"/>
  <c r="B30" i="71"/>
  <c r="E352" i="71"/>
  <c r="C352" i="71"/>
  <c r="B55" i="93"/>
  <c r="A239" i="95"/>
  <c r="C59" i="95"/>
  <c r="C58" i="95"/>
  <c r="B58" i="95"/>
  <c r="E446" i="93"/>
  <c r="C446" i="93"/>
  <c r="C160" i="93"/>
  <c r="B160" i="93"/>
  <c r="A217" i="107"/>
  <c r="J226" i="107" s="1"/>
  <c r="H241" i="107"/>
  <c r="H240" i="107"/>
  <c r="C24" i="137"/>
  <c r="D360" i="65"/>
  <c r="C52" i="65"/>
  <c r="F360" i="65"/>
  <c r="A311" i="89"/>
  <c r="B66" i="89"/>
  <c r="F303" i="107"/>
  <c r="C103" i="107"/>
  <c r="D303" i="107"/>
  <c r="I361" i="119"/>
  <c r="J361" i="119"/>
  <c r="D361" i="119"/>
  <c r="A361" i="119"/>
  <c r="A370" i="119" s="1"/>
  <c r="E496" i="131"/>
  <c r="N15" i="131"/>
  <c r="A470" i="131" s="1"/>
  <c r="K15" i="131"/>
  <c r="C205" i="121"/>
  <c r="H360" i="141"/>
  <c r="D509" i="97"/>
  <c r="C268" i="97"/>
  <c r="F509" i="97"/>
  <c r="H381" i="123"/>
  <c r="I381" i="123"/>
  <c r="A381" i="123"/>
  <c r="A389" i="123" s="1"/>
  <c r="D163" i="115"/>
  <c r="J175" i="115" s="1"/>
  <c r="D161" i="115"/>
  <c r="B167" i="115"/>
  <c r="C24" i="125"/>
  <c r="D441" i="133"/>
  <c r="F441" i="133"/>
  <c r="C163" i="83"/>
  <c r="B163" i="83"/>
  <c r="E572" i="83"/>
  <c r="C572" i="83"/>
  <c r="K318" i="69"/>
  <c r="C127" i="77"/>
  <c r="C81" i="75"/>
  <c r="F454" i="75"/>
  <c r="D454" i="75"/>
  <c r="G282" i="51"/>
  <c r="G276" i="51"/>
  <c r="G322" i="51"/>
  <c r="A196" i="87"/>
  <c r="A202" i="87" s="1"/>
  <c r="E247" i="95"/>
  <c r="C75" i="95"/>
  <c r="B75" i="95"/>
  <c r="C247" i="95"/>
  <c r="I284" i="59"/>
  <c r="H284" i="59"/>
  <c r="D284" i="59"/>
  <c r="C284" i="59"/>
  <c r="A284" i="59"/>
  <c r="M296" i="59" s="1"/>
  <c r="C73" i="109"/>
  <c r="E47" i="53"/>
  <c r="G55" i="53" s="1"/>
  <c r="B46" i="53"/>
  <c r="E45" i="53"/>
  <c r="E53" i="53"/>
  <c r="A415" i="123"/>
  <c r="B36" i="123"/>
  <c r="B269" i="123"/>
  <c r="H277" i="123" s="1"/>
  <c r="H292" i="123" s="1"/>
  <c r="I337" i="123" s="1"/>
  <c r="F279" i="123"/>
  <c r="F294" i="123" s="1"/>
  <c r="G339" i="123" s="1"/>
  <c r="C84" i="37"/>
  <c r="F298" i="37"/>
  <c r="D298" i="37"/>
  <c r="A319" i="89"/>
  <c r="C85" i="89"/>
  <c r="B85" i="89"/>
  <c r="G295" i="89"/>
  <c r="G311" i="89"/>
  <c r="G351" i="89"/>
  <c r="D156" i="63"/>
  <c r="D158" i="63"/>
  <c r="F166" i="63" s="1"/>
  <c r="D164" i="63"/>
  <c r="F414" i="131"/>
  <c r="D414" i="131"/>
  <c r="C77" i="131"/>
  <c r="C338" i="133"/>
  <c r="G338" i="133"/>
  <c r="F338" i="133"/>
  <c r="A338" i="133"/>
  <c r="A346" i="133" s="1"/>
  <c r="G247" i="137"/>
  <c r="G221" i="137"/>
  <c r="G253" i="137"/>
  <c r="B179" i="139"/>
  <c r="B95" i="139"/>
  <c r="E396" i="139"/>
  <c r="C95" i="139"/>
  <c r="C396" i="139"/>
  <c r="C419" i="141"/>
  <c r="B97" i="141"/>
  <c r="E419" i="141"/>
  <c r="C97" i="141"/>
  <c r="C452" i="81"/>
  <c r="D452" i="81"/>
  <c r="A452" i="81"/>
  <c r="Q468" i="81" s="1"/>
  <c r="J452" i="81"/>
  <c r="K452" i="81"/>
  <c r="A397" i="143"/>
  <c r="C55" i="143"/>
  <c r="C56" i="143"/>
  <c r="E495" i="123"/>
  <c r="C246" i="123"/>
  <c r="B246" i="123"/>
  <c r="C495" i="123"/>
  <c r="D471" i="121"/>
  <c r="C184" i="121"/>
  <c r="F471" i="121"/>
  <c r="G332" i="131"/>
  <c r="A332" i="131"/>
  <c r="M344" i="131" s="1"/>
  <c r="A446" i="93"/>
  <c r="C161" i="93"/>
  <c r="A309" i="139"/>
  <c r="L320" i="139" s="1"/>
  <c r="A214" i="107"/>
  <c r="J223" i="107" s="1"/>
  <c r="D214" i="107"/>
  <c r="G241" i="129"/>
  <c r="H241" i="129"/>
  <c r="D241" i="129"/>
  <c r="A241" i="129"/>
  <c r="A248" i="129" s="1"/>
  <c r="A362" i="119"/>
  <c r="A371" i="119" s="1"/>
  <c r="F286" i="111"/>
  <c r="A286" i="111"/>
  <c r="L297" i="111" s="1"/>
  <c r="E286" i="111"/>
  <c r="I360" i="141"/>
  <c r="M361" i="79"/>
  <c r="L361" i="79"/>
  <c r="E361" i="79"/>
  <c r="F361" i="79"/>
  <c r="A361" i="79"/>
  <c r="O375" i="79" s="1"/>
  <c r="G361" i="79"/>
  <c r="B266" i="79"/>
  <c r="N276" i="79" s="1"/>
  <c r="N293" i="79" s="1"/>
  <c r="O344" i="79" s="1"/>
  <c r="H282" i="79"/>
  <c r="H299" i="79" s="1"/>
  <c r="I350" i="79" s="1"/>
  <c r="H380" i="123"/>
  <c r="F475" i="119"/>
  <c r="D475" i="119"/>
  <c r="D26" i="125"/>
  <c r="D32" i="125" s="1"/>
  <c r="D24" i="125"/>
  <c r="B30" i="125"/>
  <c r="C115" i="57"/>
  <c r="D384" i="57"/>
  <c r="F384" i="57"/>
  <c r="C76" i="141"/>
  <c r="E56" i="133"/>
  <c r="G64" i="133" s="1"/>
  <c r="E54" i="133"/>
  <c r="E62" i="133"/>
  <c r="A172" i="125"/>
  <c r="H179" i="125" s="1"/>
  <c r="A283" i="67"/>
  <c r="M295" i="67" s="1"/>
  <c r="F556" i="83"/>
  <c r="D556" i="83"/>
  <c r="N8" i="63"/>
  <c r="A368" i="63" s="1"/>
  <c r="E427" i="63"/>
  <c r="K8" i="63"/>
  <c r="J8" i="63"/>
  <c r="F408" i="57"/>
  <c r="D408" i="57"/>
  <c r="C178" i="57"/>
  <c r="C177" i="57"/>
  <c r="E36" i="93"/>
  <c r="E42" i="93" s="1"/>
  <c r="E34" i="93"/>
  <c r="B35" i="93"/>
  <c r="C40" i="93"/>
  <c r="D125" i="91"/>
  <c r="D127" i="91"/>
  <c r="J139" i="91" s="1"/>
  <c r="B131" i="91"/>
  <c r="G296" i="89"/>
  <c r="G312" i="89"/>
  <c r="G352" i="89"/>
  <c r="A364" i="93"/>
  <c r="A374" i="93" s="1"/>
  <c r="K364" i="93"/>
  <c r="J364" i="93"/>
  <c r="E364" i="93"/>
  <c r="D244" i="137"/>
  <c r="C76" i="137"/>
  <c r="F244" i="137"/>
  <c r="E202" i="133"/>
  <c r="I212" i="133" s="1"/>
  <c r="M216" i="133"/>
  <c r="B201" i="133"/>
  <c r="E200" i="133"/>
  <c r="E489" i="141"/>
  <c r="K11" i="141"/>
  <c r="N11" i="141"/>
  <c r="A435" i="141" s="1"/>
  <c r="E184" i="97"/>
  <c r="E186" i="97"/>
  <c r="K198" i="97" s="1"/>
  <c r="C190" i="97"/>
  <c r="F485" i="135"/>
  <c r="D485" i="135"/>
  <c r="C205" i="135"/>
  <c r="B55" i="99"/>
  <c r="F445" i="135"/>
  <c r="C100" i="135"/>
  <c r="D445" i="135"/>
  <c r="E336" i="133"/>
  <c r="A336" i="133"/>
  <c r="A344" i="133" s="1"/>
  <c r="C179" i="139"/>
  <c r="E205" i="141"/>
  <c r="M219" i="141" s="1"/>
  <c r="E203" i="141"/>
  <c r="K217" i="141"/>
  <c r="A362" i="117"/>
  <c r="A371" i="117" s="1"/>
  <c r="F362" i="117"/>
  <c r="E362" i="117"/>
  <c r="A329" i="131"/>
  <c r="M341" i="131" s="1"/>
  <c r="G327" i="131"/>
  <c r="A327" i="131"/>
  <c r="M339" i="131" s="1"/>
  <c r="E491" i="141"/>
  <c r="N13" i="141"/>
  <c r="A451" i="141" s="1"/>
  <c r="J13" i="141"/>
  <c r="B78" i="121"/>
  <c r="E431" i="121"/>
  <c r="C78" i="121"/>
  <c r="C431" i="121"/>
  <c r="A217" i="105"/>
  <c r="C57" i="105"/>
  <c r="E197" i="75"/>
  <c r="G205" i="75" s="1"/>
  <c r="B196" i="75"/>
  <c r="E195" i="75"/>
  <c r="M211" i="75"/>
  <c r="A303" i="107"/>
  <c r="B102" i="107"/>
  <c r="B223" i="141"/>
  <c r="A363" i="119"/>
  <c r="A372" i="119" s="1"/>
  <c r="F363" i="119"/>
  <c r="E363" i="119"/>
  <c r="F280" i="111"/>
  <c r="A280" i="111"/>
  <c r="L291" i="111" s="1"/>
  <c r="E280" i="111"/>
  <c r="F403" i="117"/>
  <c r="D403" i="117"/>
  <c r="C56" i="117"/>
  <c r="D335" i="127"/>
  <c r="F335" i="127"/>
  <c r="C124" i="127"/>
  <c r="C72" i="111"/>
  <c r="E365" i="111"/>
  <c r="C365" i="111"/>
  <c r="B72" i="111"/>
  <c r="A383" i="123"/>
  <c r="A391" i="123" s="1"/>
  <c r="E161" i="115"/>
  <c r="B162" i="115"/>
  <c r="E163" i="115"/>
  <c r="K175" i="115" s="1"/>
  <c r="C167" i="115"/>
  <c r="D379" i="141"/>
  <c r="D380" i="141"/>
  <c r="D378" i="141"/>
  <c r="D377" i="141"/>
  <c r="D269" i="121"/>
  <c r="L283" i="121" s="1"/>
  <c r="D267" i="121"/>
  <c r="B273" i="121"/>
  <c r="A225" i="105"/>
  <c r="C73" i="105"/>
  <c r="B73" i="105"/>
  <c r="B49" i="101"/>
  <c r="E48" i="101"/>
  <c r="E50" i="101"/>
  <c r="C54" i="101" s="1"/>
  <c r="G58" i="101"/>
  <c r="A392" i="63"/>
  <c r="C135" i="63"/>
  <c r="A173" i="125"/>
  <c r="H180" i="125" s="1"/>
  <c r="D228" i="113"/>
  <c r="C42" i="113"/>
  <c r="F228" i="113"/>
  <c r="B73" i="21"/>
  <c r="C73" i="21"/>
  <c r="E228" i="21"/>
  <c r="C228" i="21"/>
  <c r="B36" i="99"/>
  <c r="B42" i="99" s="1"/>
  <c r="B267" i="99" s="1"/>
  <c r="C312" i="99" s="1"/>
  <c r="D40" i="99"/>
  <c r="D265" i="99" s="1"/>
  <c r="E310" i="99" s="1"/>
  <c r="C196" i="79"/>
  <c r="F494" i="79"/>
  <c r="D494" i="79"/>
  <c r="G353" i="57"/>
  <c r="G401" i="57"/>
  <c r="C122" i="43"/>
  <c r="D314" i="43"/>
  <c r="F314" i="43"/>
  <c r="A388" i="97"/>
  <c r="A398" i="97" s="1"/>
  <c r="G388" i="97"/>
  <c r="F388" i="97"/>
  <c r="C59" i="113"/>
  <c r="D236" i="113"/>
  <c r="F236" i="113"/>
  <c r="D183" i="143"/>
  <c r="J195" i="143" s="1"/>
  <c r="D181" i="143"/>
  <c r="B187" i="143"/>
  <c r="B161" i="127"/>
  <c r="E351" i="127"/>
  <c r="C161" i="127"/>
  <c r="C351" i="127"/>
  <c r="E77" i="125"/>
  <c r="C81" i="125" s="1"/>
  <c r="E75" i="125"/>
  <c r="B76" i="125"/>
  <c r="I87" i="125"/>
  <c r="B126" i="91"/>
  <c r="E125" i="91"/>
  <c r="E127" i="91"/>
  <c r="K139" i="91" s="1"/>
  <c r="C131" i="91"/>
  <c r="G357" i="135"/>
  <c r="A357" i="135"/>
  <c r="M369" i="135" s="1"/>
  <c r="F357" i="135"/>
  <c r="E311" i="129"/>
  <c r="C311" i="129"/>
  <c r="C121" i="129"/>
  <c r="B121" i="129"/>
  <c r="C269" i="123"/>
  <c r="I277" i="123" s="1"/>
  <c r="I292" i="123" s="1"/>
  <c r="J337" i="123" s="1"/>
  <c r="G279" i="123"/>
  <c r="G294" i="123" s="1"/>
  <c r="H339" i="123" s="1"/>
  <c r="B99" i="135"/>
  <c r="C445" i="135"/>
  <c r="C99" i="135"/>
  <c r="E445" i="135"/>
  <c r="E201" i="69"/>
  <c r="M215" i="69" s="1"/>
  <c r="E199" i="69"/>
  <c r="G209" i="69"/>
  <c r="D453" i="143"/>
  <c r="C203" i="143"/>
  <c r="F453" i="143"/>
  <c r="E404" i="139"/>
  <c r="C404" i="139"/>
  <c r="B116" i="139"/>
  <c r="C116" i="139"/>
  <c r="B141" i="99"/>
  <c r="D153" i="99" s="1"/>
  <c r="D273" i="99" s="1"/>
  <c r="E318" i="99" s="1"/>
  <c r="J147" i="99"/>
  <c r="J267" i="99" s="1"/>
  <c r="K312" i="99" s="1"/>
  <c r="F427" i="141"/>
  <c r="C119" i="141"/>
  <c r="D427" i="141"/>
  <c r="B123" i="107"/>
  <c r="D135" i="107" s="1"/>
  <c r="D167" i="107" s="1"/>
  <c r="E206" i="107" s="1"/>
  <c r="J129" i="107"/>
  <c r="J161" i="107" s="1"/>
  <c r="K200" i="107" s="1"/>
  <c r="C141" i="99"/>
  <c r="E153" i="99" s="1"/>
  <c r="E273" i="99" s="1"/>
  <c r="F318" i="99" s="1"/>
  <c r="K147" i="99"/>
  <c r="K267" i="99" s="1"/>
  <c r="L312" i="99" s="1"/>
  <c r="E306" i="133"/>
  <c r="A306" i="133"/>
  <c r="K316" i="133" s="1"/>
  <c r="C248" i="121"/>
  <c r="K256" i="121" s="1"/>
  <c r="K292" i="121" s="1"/>
  <c r="G260" i="121"/>
  <c r="G296" i="121" s="1"/>
  <c r="H341" i="121" s="1"/>
  <c r="E421" i="143"/>
  <c r="B118" i="143"/>
  <c r="C421" i="143"/>
  <c r="C118" i="143"/>
  <c r="L216" i="133"/>
  <c r="D200" i="133"/>
  <c r="D202" i="133"/>
  <c r="H212" i="133" s="1"/>
  <c r="E353" i="135"/>
  <c r="K353" i="135"/>
  <c r="A353" i="135"/>
  <c r="M365" i="135" s="1"/>
  <c r="J353" i="135"/>
  <c r="E128" i="91"/>
  <c r="K140" i="91" s="1"/>
  <c r="E126" i="91"/>
  <c r="C132" i="91"/>
  <c r="J11" i="141"/>
  <c r="A403" i="119"/>
  <c r="B55" i="119"/>
  <c r="C236" i="113"/>
  <c r="C58" i="113"/>
  <c r="B58" i="113"/>
  <c r="E236" i="113"/>
  <c r="A354" i="121"/>
  <c r="K364" i="121" s="1"/>
  <c r="E354" i="121"/>
  <c r="D354" i="121"/>
  <c r="D461" i="143"/>
  <c r="F461" i="143"/>
  <c r="C224" i="143"/>
  <c r="F463" i="123"/>
  <c r="C163" i="123"/>
  <c r="D463" i="123"/>
  <c r="B157" i="63"/>
  <c r="E156" i="63"/>
  <c r="E158" i="63"/>
  <c r="G166" i="63" s="1"/>
  <c r="E164" i="63"/>
  <c r="A304" i="139"/>
  <c r="L315" i="139" s="1"/>
  <c r="C75" i="137"/>
  <c r="E335" i="133"/>
  <c r="I335" i="133"/>
  <c r="H335" i="133"/>
  <c r="D335" i="133"/>
  <c r="A335" i="133"/>
  <c r="A343" i="133" s="1"/>
  <c r="G220" i="137"/>
  <c r="G252" i="137"/>
  <c r="G246" i="137"/>
  <c r="D358" i="133"/>
  <c r="D356" i="133"/>
  <c r="D354" i="133"/>
  <c r="D352" i="133"/>
  <c r="D351" i="133"/>
  <c r="A363" i="117"/>
  <c r="A372" i="117" s="1"/>
  <c r="E363" i="117"/>
  <c r="F363" i="117"/>
  <c r="F352" i="71"/>
  <c r="D352" i="71"/>
  <c r="C31" i="71"/>
  <c r="E463" i="123"/>
  <c r="C162" i="123"/>
  <c r="B162" i="123"/>
  <c r="C463" i="123"/>
  <c r="E228" i="137"/>
  <c r="C228" i="137"/>
  <c r="C41" i="137"/>
  <c r="B41" i="137"/>
  <c r="D249" i="121"/>
  <c r="F257" i="121" s="1"/>
  <c r="D247" i="121"/>
  <c r="J261" i="121"/>
  <c r="C96" i="139"/>
  <c r="C471" i="121"/>
  <c r="B183" i="121"/>
  <c r="E471" i="121"/>
  <c r="C183" i="121"/>
  <c r="F236" i="137"/>
  <c r="C59" i="137"/>
  <c r="D236" i="137"/>
  <c r="K13" i="141"/>
  <c r="A195" i="125"/>
  <c r="A200" i="125" s="1"/>
  <c r="D402" i="121"/>
  <c r="C58" i="121"/>
  <c r="F423" i="121"/>
  <c r="D423" i="121"/>
  <c r="C223" i="141"/>
  <c r="C223" i="95"/>
  <c r="C24" i="95"/>
  <c r="E223" i="95"/>
  <c r="B24" i="95"/>
  <c r="C58" i="123"/>
  <c r="A470" i="75"/>
  <c r="C127" i="75"/>
  <c r="A429" i="97"/>
  <c r="C57" i="97"/>
  <c r="B57" i="97"/>
  <c r="C58" i="97"/>
  <c r="I358" i="79"/>
  <c r="H358" i="79"/>
  <c r="A358" i="79"/>
  <c r="O372" i="79" s="1"/>
  <c r="E354" i="123"/>
  <c r="A354" i="123"/>
  <c r="K364" i="123" s="1"/>
  <c r="D354" i="123"/>
  <c r="I380" i="123"/>
  <c r="C51" i="111"/>
  <c r="B51" i="111"/>
  <c r="E357" i="111"/>
  <c r="C357" i="111"/>
  <c r="C98" i="119"/>
  <c r="D419" i="119"/>
  <c r="F419" i="119"/>
  <c r="F348" i="115"/>
  <c r="D348" i="115"/>
  <c r="C162" i="115"/>
  <c r="A340" i="91"/>
  <c r="B87" i="91"/>
  <c r="E267" i="121"/>
  <c r="E269" i="121"/>
  <c r="M283" i="121" s="1"/>
  <c r="B268" i="121"/>
  <c r="C273" i="121"/>
  <c r="C612" i="81"/>
  <c r="C288" i="81"/>
  <c r="E612" i="81"/>
  <c r="B288" i="81"/>
  <c r="A478" i="99"/>
  <c r="B244" i="99"/>
  <c r="D470" i="99"/>
  <c r="F470" i="99"/>
  <c r="C224" i="99"/>
  <c r="C135" i="61"/>
  <c r="B135" i="61"/>
  <c r="E392" i="61"/>
  <c r="C392" i="61"/>
  <c r="C173" i="75"/>
  <c r="F486" i="75"/>
  <c r="D486" i="75"/>
  <c r="A217" i="41"/>
  <c r="K227" i="41" s="1"/>
  <c r="F502" i="77"/>
  <c r="D502" i="77"/>
  <c r="C219" i="77"/>
  <c r="C218" i="77"/>
  <c r="B26" i="45"/>
  <c r="E274" i="45"/>
  <c r="C274" i="45"/>
  <c r="C26" i="45"/>
  <c r="E28" i="53"/>
  <c r="E34" i="53" s="1"/>
  <c r="B27" i="53"/>
  <c r="E26" i="53"/>
  <c r="C32" i="53"/>
  <c r="C38" i="83"/>
  <c r="B38" i="83"/>
  <c r="E532" i="83"/>
  <c r="C532" i="83"/>
  <c r="C287" i="67"/>
  <c r="E287" i="67"/>
  <c r="D287" i="67"/>
  <c r="A287" i="67"/>
  <c r="M299" i="67" s="1"/>
  <c r="E31" i="61"/>
  <c r="C37" i="61"/>
  <c r="E33" i="61"/>
  <c r="E39" i="61" s="1"/>
  <c r="E274" i="41"/>
  <c r="C274" i="41"/>
  <c r="B26" i="41"/>
  <c r="C26" i="41"/>
  <c r="E166" i="81"/>
  <c r="O182" i="81" s="1"/>
  <c r="E164" i="81"/>
  <c r="M180" i="81"/>
  <c r="D130" i="103"/>
  <c r="D128" i="103"/>
  <c r="D132" i="103"/>
  <c r="D131" i="103"/>
  <c r="D133" i="103"/>
  <c r="D39" i="109"/>
  <c r="D41" i="109"/>
  <c r="F49" i="109" s="1"/>
  <c r="D47" i="109"/>
  <c r="E138" i="67"/>
  <c r="I148" i="67" s="1"/>
  <c r="E136" i="67"/>
  <c r="G146" i="67"/>
  <c r="A349" i="97"/>
  <c r="M361" i="97" s="1"/>
  <c r="B114" i="59"/>
  <c r="C384" i="59"/>
  <c r="E384" i="59"/>
  <c r="C114" i="59"/>
  <c r="C52" i="91"/>
  <c r="E60" i="91" s="1"/>
  <c r="E206" i="91" s="1"/>
  <c r="F245" i="91" s="1"/>
  <c r="G58" i="91"/>
  <c r="G204" i="91" s="1"/>
  <c r="H243" i="91" s="1"/>
  <c r="D39" i="33"/>
  <c r="D47" i="33"/>
  <c r="D41" i="33"/>
  <c r="F49" i="33" s="1"/>
  <c r="D38" i="135"/>
  <c r="D44" i="135" s="1"/>
  <c r="D36" i="135"/>
  <c r="B42" i="135"/>
  <c r="E95" i="95"/>
  <c r="I105" i="95" s="1"/>
  <c r="E93" i="95"/>
  <c r="E101" i="95"/>
  <c r="D288" i="63"/>
  <c r="E288" i="63"/>
  <c r="C288" i="63"/>
  <c r="A288" i="63"/>
  <c r="M300" i="63" s="1"/>
  <c r="F204" i="19"/>
  <c r="D204" i="19"/>
  <c r="C23" i="19"/>
  <c r="E331" i="39"/>
  <c r="N6" i="39"/>
  <c r="A274" i="39" s="1"/>
  <c r="K6" i="39"/>
  <c r="D74" i="71"/>
  <c r="H84" i="71" s="1"/>
  <c r="D72" i="71"/>
  <c r="F82" i="71"/>
  <c r="E351" i="89"/>
  <c r="C161" i="89"/>
  <c r="C351" i="89"/>
  <c r="B161" i="89"/>
  <c r="G334" i="99"/>
  <c r="F334" i="99"/>
  <c r="A334" i="99"/>
  <c r="M346" i="99" s="1"/>
  <c r="I326" i="99"/>
  <c r="H326" i="99"/>
  <c r="A326" i="99"/>
  <c r="M338" i="99" s="1"/>
  <c r="C156" i="103"/>
  <c r="E156" i="103"/>
  <c r="J329" i="119"/>
  <c r="I329" i="119"/>
  <c r="A329" i="119"/>
  <c r="L340" i="119" s="1"/>
  <c r="D329" i="119"/>
  <c r="D264" i="77"/>
  <c r="D266" i="77"/>
  <c r="H276" i="77" s="1"/>
  <c r="N282" i="77"/>
  <c r="C265" i="77"/>
  <c r="D518" i="77"/>
  <c r="F518" i="77"/>
  <c r="A285" i="59"/>
  <c r="M297" i="59" s="1"/>
  <c r="G285" i="59"/>
  <c r="A218" i="41"/>
  <c r="K228" i="41" s="1"/>
  <c r="A216" i="41"/>
  <c r="K226" i="41" s="1"/>
  <c r="E216" i="41"/>
  <c r="D501" i="97"/>
  <c r="C247" i="97"/>
  <c r="F501" i="97"/>
  <c r="C51" i="63"/>
  <c r="B51" i="63"/>
  <c r="E360" i="63"/>
  <c r="C360" i="63"/>
  <c r="E67" i="41"/>
  <c r="I77" i="41" s="1"/>
  <c r="E65" i="41"/>
  <c r="C71" i="41"/>
  <c r="E114" i="61"/>
  <c r="B115" i="61"/>
  <c r="E116" i="61"/>
  <c r="M130" i="61" s="1"/>
  <c r="K128" i="61"/>
  <c r="D338" i="83"/>
  <c r="D340" i="83"/>
  <c r="H350" i="83" s="1"/>
  <c r="P358" i="83"/>
  <c r="E494" i="93"/>
  <c r="N13" i="93"/>
  <c r="A454" i="93" s="1"/>
  <c r="K13" i="93"/>
  <c r="G220" i="19"/>
  <c r="G204" i="19"/>
  <c r="K491" i="83"/>
  <c r="J491" i="83"/>
  <c r="C491" i="83"/>
  <c r="O491" i="83"/>
  <c r="M491" i="83"/>
  <c r="D491" i="83"/>
  <c r="F491" i="83"/>
  <c r="A491" i="83"/>
  <c r="A505" i="83" s="1"/>
  <c r="L491" i="83"/>
  <c r="E491" i="83"/>
  <c r="I450" i="83"/>
  <c r="H450" i="83"/>
  <c r="G450" i="83"/>
  <c r="A450" i="83"/>
  <c r="Q466" i="83" s="1"/>
  <c r="E19" i="11"/>
  <c r="E21" i="11"/>
  <c r="E27" i="11" s="1"/>
  <c r="C25" i="11"/>
  <c r="E524" i="97"/>
  <c r="N12" i="97"/>
  <c r="A469" i="97" s="1"/>
  <c r="I245" i="49"/>
  <c r="A245" i="49"/>
  <c r="A253" i="49" s="1"/>
  <c r="H245" i="49"/>
  <c r="M399" i="77"/>
  <c r="L399" i="77"/>
  <c r="K399" i="77"/>
  <c r="J399" i="77"/>
  <c r="A399" i="77"/>
  <c r="A411" i="77" s="1"/>
  <c r="G399" i="77"/>
  <c r="F399" i="77"/>
  <c r="E399" i="77"/>
  <c r="B199" i="57"/>
  <c r="E198" i="57"/>
  <c r="E200" i="57"/>
  <c r="M214" i="57" s="1"/>
  <c r="E206" i="57"/>
  <c r="A284" i="65"/>
  <c r="M296" i="65" s="1"/>
  <c r="K284" i="65"/>
  <c r="J284" i="65"/>
  <c r="E284" i="65"/>
  <c r="C73" i="33"/>
  <c r="E228" i="33"/>
  <c r="B73" i="33"/>
  <c r="C228" i="33"/>
  <c r="A213" i="49"/>
  <c r="K223" i="49" s="1"/>
  <c r="B31" i="63"/>
  <c r="E32" i="63"/>
  <c r="E38" i="63" s="1"/>
  <c r="E30" i="63"/>
  <c r="C36" i="63"/>
  <c r="D366" i="77"/>
  <c r="H366" i="77"/>
  <c r="C366" i="77"/>
  <c r="A366" i="77"/>
  <c r="O380" i="77" s="1"/>
  <c r="I366" i="77"/>
  <c r="G363" i="77"/>
  <c r="A363" i="77"/>
  <c r="O377" i="77" s="1"/>
  <c r="G275" i="43"/>
  <c r="G301" i="43"/>
  <c r="A281" i="61"/>
  <c r="M293" i="61" s="1"/>
  <c r="G317" i="55"/>
  <c r="A120" i="9"/>
  <c r="A124" i="9" s="1"/>
  <c r="D40" i="15"/>
  <c r="D42" i="15"/>
  <c r="F50" i="15" s="1"/>
  <c r="B46" i="15"/>
  <c r="D43" i="95"/>
  <c r="F51" i="95" s="1"/>
  <c r="D41" i="95"/>
  <c r="D49" i="95"/>
  <c r="G214" i="35"/>
  <c r="F214" i="35"/>
  <c r="A214" i="35"/>
  <c r="K224" i="35" s="1"/>
  <c r="E215" i="35"/>
  <c r="A215" i="35"/>
  <c r="K225" i="35" s="1"/>
  <c r="E175" i="95"/>
  <c r="A175" i="95"/>
  <c r="I183" i="95" s="1"/>
  <c r="B102" i="43"/>
  <c r="A179" i="33"/>
  <c r="A185" i="33" s="1"/>
  <c r="A120" i="7"/>
  <c r="A124" i="7" s="1"/>
  <c r="A178" i="25"/>
  <c r="A184" i="25" s="1"/>
  <c r="D142" i="13"/>
  <c r="F142" i="13"/>
  <c r="C19" i="13"/>
  <c r="E243" i="47"/>
  <c r="A155" i="19"/>
  <c r="I163" i="19" s="1"/>
  <c r="B114" i="65"/>
  <c r="A216" i="39"/>
  <c r="K226" i="39" s="1"/>
  <c r="E216" i="39"/>
  <c r="G153" i="5"/>
  <c r="G159" i="5"/>
  <c r="D73" i="31"/>
  <c r="D75" i="31"/>
  <c r="F83" i="31" s="1"/>
  <c r="H85" i="31"/>
  <c r="C158" i="57"/>
  <c r="C170" i="57" s="1"/>
  <c r="C227" i="57" s="1"/>
  <c r="D272" i="57" s="1"/>
  <c r="K162" i="57"/>
  <c r="K219" i="57" s="1"/>
  <c r="B57" i="27"/>
  <c r="E56" i="27"/>
  <c r="E58" i="27"/>
  <c r="I68" i="27" s="1"/>
  <c r="G66" i="27"/>
  <c r="E89" i="83"/>
  <c r="E91" i="83"/>
  <c r="I101" i="83" s="1"/>
  <c r="G99" i="83"/>
  <c r="C156" i="27"/>
  <c r="A156" i="27"/>
  <c r="I164" i="27" s="1"/>
  <c r="E282" i="49"/>
  <c r="C45" i="49"/>
  <c r="B45" i="49"/>
  <c r="C282" i="49"/>
  <c r="D259" i="47"/>
  <c r="D258" i="47"/>
  <c r="D263" i="47"/>
  <c r="F408" i="55"/>
  <c r="D408" i="55"/>
  <c r="C178" i="55"/>
  <c r="G286" i="71"/>
  <c r="A286" i="71"/>
  <c r="M298" i="71" s="1"/>
  <c r="C284" i="71"/>
  <c r="A284" i="71"/>
  <c r="M296" i="71" s="1"/>
  <c r="D284" i="71"/>
  <c r="I284" i="71"/>
  <c r="H284" i="71"/>
  <c r="C73" i="55"/>
  <c r="F368" i="55"/>
  <c r="D368" i="55"/>
  <c r="C22" i="31"/>
  <c r="B198" i="59"/>
  <c r="F322" i="43"/>
  <c r="D322" i="43"/>
  <c r="D220" i="21"/>
  <c r="C57" i="21"/>
  <c r="F220" i="21"/>
  <c r="E18" i="7"/>
  <c r="E20" i="7"/>
  <c r="E26" i="7" s="1"/>
  <c r="B19" i="7"/>
  <c r="C24" i="7"/>
  <c r="C63" i="7" s="1"/>
  <c r="D90" i="7" s="1"/>
  <c r="A120" i="13"/>
  <c r="A124" i="13" s="1"/>
  <c r="B121" i="35"/>
  <c r="B64" i="35"/>
  <c r="B39" i="25"/>
  <c r="C27" i="113"/>
  <c r="C33" i="113" s="1"/>
  <c r="C129" i="113" s="1"/>
  <c r="D162" i="113" s="1"/>
  <c r="E31" i="113"/>
  <c r="E127" i="113" s="1"/>
  <c r="F160" i="113" s="1"/>
  <c r="H306" i="139"/>
  <c r="G306" i="139"/>
  <c r="A306" i="139"/>
  <c r="L317" i="139" s="1"/>
  <c r="D140" i="99"/>
  <c r="D142" i="99"/>
  <c r="J154" i="99" s="1"/>
  <c r="D148" i="99"/>
  <c r="E484" i="143"/>
  <c r="N12" i="143"/>
  <c r="A437" i="143" s="1"/>
  <c r="J12" i="143"/>
  <c r="E268" i="121"/>
  <c r="E270" i="121"/>
  <c r="M284" i="121" s="1"/>
  <c r="C274" i="121"/>
  <c r="A174" i="113"/>
  <c r="H181" i="113" s="1"/>
  <c r="D334" i="133"/>
  <c r="H334" i="133"/>
  <c r="A334" i="133"/>
  <c r="A342" i="133" s="1"/>
  <c r="E334" i="133"/>
  <c r="I334" i="133"/>
  <c r="D35" i="103"/>
  <c r="F43" i="103" s="1"/>
  <c r="D33" i="103"/>
  <c r="D41" i="103"/>
  <c r="A305" i="133"/>
  <c r="K315" i="133" s="1"/>
  <c r="C305" i="133"/>
  <c r="F305" i="133"/>
  <c r="G305" i="133"/>
  <c r="C46" i="129"/>
  <c r="F279" i="129"/>
  <c r="D279" i="129"/>
  <c r="B26" i="113"/>
  <c r="B32" i="113" s="1"/>
  <c r="B128" i="113" s="1"/>
  <c r="C161" i="113" s="1"/>
  <c r="D30" i="113"/>
  <c r="D126" i="113" s="1"/>
  <c r="E159" i="113" s="1"/>
  <c r="D360" i="117"/>
  <c r="A360" i="117"/>
  <c r="A369" i="117" s="1"/>
  <c r="I360" i="117"/>
  <c r="J360" i="117"/>
  <c r="C25" i="137"/>
  <c r="F220" i="137"/>
  <c r="D220" i="137"/>
  <c r="J442" i="81"/>
  <c r="I442" i="81"/>
  <c r="K442" i="81"/>
  <c r="A442" i="81"/>
  <c r="Q458" i="81" s="1"/>
  <c r="A326" i="143"/>
  <c r="J335" i="143" s="1"/>
  <c r="G326" i="143"/>
  <c r="H326" i="143"/>
  <c r="A329" i="143"/>
  <c r="J338" i="143" s="1"/>
  <c r="D76" i="119"/>
  <c r="D78" i="119"/>
  <c r="J90" i="119" s="1"/>
  <c r="H88" i="119"/>
  <c r="D215" i="129"/>
  <c r="A215" i="129"/>
  <c r="J224" i="129" s="1"/>
  <c r="C35" i="131"/>
  <c r="F398" i="131"/>
  <c r="D398" i="131"/>
  <c r="G363" i="131"/>
  <c r="F363" i="131"/>
  <c r="E363" i="131"/>
  <c r="A363" i="131"/>
  <c r="A373" i="131" s="1"/>
  <c r="A194" i="125"/>
  <c r="A199" i="125" s="1"/>
  <c r="C179" i="133"/>
  <c r="B179" i="133"/>
  <c r="E425" i="133"/>
  <c r="C425" i="133"/>
  <c r="G241" i="107"/>
  <c r="G240" i="107"/>
  <c r="C35" i="77"/>
  <c r="F438" i="77"/>
  <c r="D438" i="77"/>
  <c r="C55" i="117"/>
  <c r="B55" i="117"/>
  <c r="E403" i="117"/>
  <c r="C403" i="117"/>
  <c r="D360" i="119"/>
  <c r="A360" i="119"/>
  <c r="A369" i="119" s="1"/>
  <c r="J360" i="119"/>
  <c r="I360" i="119"/>
  <c r="C91" i="109"/>
  <c r="D231" i="109"/>
  <c r="F231" i="109"/>
  <c r="D368" i="61"/>
  <c r="C73" i="61"/>
  <c r="F368" i="61"/>
  <c r="E107" i="115"/>
  <c r="K119" i="115" s="1"/>
  <c r="E105" i="115"/>
  <c r="I117" i="115"/>
  <c r="C99" i="97"/>
  <c r="B99" i="97"/>
  <c r="E445" i="97"/>
  <c r="C445" i="97"/>
  <c r="B55" i="131"/>
  <c r="B26" i="49"/>
  <c r="D469" i="143"/>
  <c r="C245" i="143"/>
  <c r="F469" i="143"/>
  <c r="D400" i="121"/>
  <c r="A171" i="125"/>
  <c r="H178" i="125" s="1"/>
  <c r="F462" i="93"/>
  <c r="D462" i="93"/>
  <c r="C203" i="93"/>
  <c r="E368" i="57"/>
  <c r="B72" i="57"/>
  <c r="C72" i="57"/>
  <c r="C368" i="57"/>
  <c r="E478" i="77"/>
  <c r="C478" i="77"/>
  <c r="C149" i="77"/>
  <c r="B149" i="77"/>
  <c r="A285" i="67"/>
  <c r="M297" i="67" s="1"/>
  <c r="C285" i="67"/>
  <c r="A255" i="91"/>
  <c r="K265" i="91" s="1"/>
  <c r="C83" i="47"/>
  <c r="C298" i="47"/>
  <c r="B83" i="47"/>
  <c r="E298" i="47"/>
  <c r="A100" i="103"/>
  <c r="E104" i="103" s="1"/>
  <c r="C39" i="109"/>
  <c r="C244" i="77"/>
  <c r="O252" i="77" s="1"/>
  <c r="O292" i="77" s="1"/>
  <c r="P343" i="77" s="1"/>
  <c r="G260" i="77"/>
  <c r="G300" i="77" s="1"/>
  <c r="H351" i="77" s="1"/>
  <c r="A282" i="63"/>
  <c r="M294" i="63" s="1"/>
  <c r="K282" i="63"/>
  <c r="J282" i="63"/>
  <c r="D35" i="99"/>
  <c r="D37" i="99"/>
  <c r="D43" i="99" s="1"/>
  <c r="B41" i="99"/>
  <c r="H282" i="57"/>
  <c r="J6" i="39"/>
  <c r="G333" i="99"/>
  <c r="F333" i="99"/>
  <c r="A333" i="99"/>
  <c r="M345" i="99" s="1"/>
  <c r="D47" i="43"/>
  <c r="F55" i="43" s="1"/>
  <c r="D45" i="43"/>
  <c r="D53" i="43"/>
  <c r="C264" i="77"/>
  <c r="A213" i="41"/>
  <c r="K223" i="41" s="1"/>
  <c r="B123" i="89"/>
  <c r="C314" i="37"/>
  <c r="B121" i="37"/>
  <c r="C121" i="37"/>
  <c r="E314" i="37"/>
  <c r="C314" i="43"/>
  <c r="E314" i="43"/>
  <c r="C121" i="43"/>
  <c r="B121" i="43"/>
  <c r="C141" i="47"/>
  <c r="B41" i="113"/>
  <c r="C41" i="113"/>
  <c r="C228" i="113"/>
  <c r="E228" i="113"/>
  <c r="E338" i="83"/>
  <c r="E340" i="83"/>
  <c r="I350" i="83" s="1"/>
  <c r="B339" i="83"/>
  <c r="Q358" i="83"/>
  <c r="D540" i="81"/>
  <c r="C64" i="81"/>
  <c r="F540" i="81"/>
  <c r="C203" i="99"/>
  <c r="J13" i="93"/>
  <c r="F220" i="31"/>
  <c r="D220" i="31"/>
  <c r="C57" i="31"/>
  <c r="H283" i="73"/>
  <c r="I243" i="45"/>
  <c r="H243" i="45"/>
  <c r="A243" i="45"/>
  <c r="A251" i="45" s="1"/>
  <c r="C224" i="93"/>
  <c r="F470" i="93"/>
  <c r="D470" i="93"/>
  <c r="C90" i="31"/>
  <c r="B90" i="31"/>
  <c r="E236" i="31"/>
  <c r="C236" i="31"/>
  <c r="A218" i="37"/>
  <c r="K228" i="37" s="1"/>
  <c r="C142" i="11"/>
  <c r="B18" i="11"/>
  <c r="E142" i="11"/>
  <c r="C18" i="11"/>
  <c r="J452" i="83"/>
  <c r="A452" i="83"/>
  <c r="Q468" i="83" s="1"/>
  <c r="D452" i="83"/>
  <c r="C452" i="83"/>
  <c r="K452" i="83"/>
  <c r="C42" i="17"/>
  <c r="E50" i="17" s="1"/>
  <c r="E112" i="17" s="1"/>
  <c r="F145" i="17" s="1"/>
  <c r="G48" i="17"/>
  <c r="G110" i="17" s="1"/>
  <c r="H143" i="17" s="1"/>
  <c r="F290" i="37"/>
  <c r="D290" i="37"/>
  <c r="C65" i="37"/>
  <c r="E96" i="65"/>
  <c r="K108" i="65" s="1"/>
  <c r="E94" i="65"/>
  <c r="I106" i="65"/>
  <c r="J12" i="97"/>
  <c r="G243" i="49"/>
  <c r="A243" i="49"/>
  <c r="A251" i="49" s="1"/>
  <c r="E243" i="49"/>
  <c r="F243" i="49"/>
  <c r="B198" i="57"/>
  <c r="B141" i="45"/>
  <c r="E140" i="45"/>
  <c r="E142" i="45"/>
  <c r="K154" i="45" s="1"/>
  <c r="G150" i="45"/>
  <c r="F290" i="43"/>
  <c r="D290" i="43"/>
  <c r="C65" i="43"/>
  <c r="K317" i="65"/>
  <c r="J317" i="65"/>
  <c r="I317" i="65"/>
  <c r="H317" i="65"/>
  <c r="E317" i="65"/>
  <c r="A317" i="65"/>
  <c r="A327" i="65" s="1"/>
  <c r="E40" i="27"/>
  <c r="E42" i="27"/>
  <c r="G50" i="27" s="1"/>
  <c r="E48" i="27"/>
  <c r="E285" i="61"/>
  <c r="A285" i="61"/>
  <c r="M297" i="61" s="1"/>
  <c r="C32" i="65"/>
  <c r="C38" i="65" s="1"/>
  <c r="C221" i="65" s="1"/>
  <c r="D266" i="65" s="1"/>
  <c r="E36" i="65"/>
  <c r="E219" i="65" s="1"/>
  <c r="F264" i="65" s="1"/>
  <c r="A245" i="35"/>
  <c r="A253" i="35" s="1"/>
  <c r="G245" i="35"/>
  <c r="F245" i="35"/>
  <c r="B42" i="95"/>
  <c r="E43" i="95"/>
  <c r="G51" i="95" s="1"/>
  <c r="E41" i="95"/>
  <c r="E49" i="95"/>
  <c r="D446" i="79"/>
  <c r="F446" i="79"/>
  <c r="C58" i="79"/>
  <c r="B218" i="77"/>
  <c r="C83" i="45"/>
  <c r="B83" i="45"/>
  <c r="C298" i="45"/>
  <c r="E298" i="45"/>
  <c r="E218" i="51"/>
  <c r="D218" i="51"/>
  <c r="C218" i="51"/>
  <c r="A218" i="51"/>
  <c r="K228" i="51" s="1"/>
  <c r="A121" i="7"/>
  <c r="A125" i="7" s="1"/>
  <c r="A358" i="75"/>
  <c r="O372" i="75" s="1"/>
  <c r="H358" i="75"/>
  <c r="I358" i="75"/>
  <c r="A100" i="7"/>
  <c r="G106" i="7" s="1"/>
  <c r="F204" i="27"/>
  <c r="C23" i="27"/>
  <c r="D204" i="27"/>
  <c r="A153" i="31"/>
  <c r="I161" i="31" s="1"/>
  <c r="C88" i="83"/>
  <c r="A212" i="39"/>
  <c r="K222" i="39" s="1"/>
  <c r="D157" i="57"/>
  <c r="D159" i="57"/>
  <c r="J171" i="57" s="1"/>
  <c r="B163" i="57"/>
  <c r="B56" i="31"/>
  <c r="E57" i="27"/>
  <c r="E59" i="27"/>
  <c r="I69" i="27" s="1"/>
  <c r="G67" i="27"/>
  <c r="D298" i="39"/>
  <c r="F298" i="39"/>
  <c r="C84" i="39"/>
  <c r="A212" i="47"/>
  <c r="K222" i="47" s="1"/>
  <c r="B72" i="67"/>
  <c r="B223" i="93"/>
  <c r="C46" i="49"/>
  <c r="D282" i="49"/>
  <c r="F282" i="49"/>
  <c r="A282" i="71"/>
  <c r="M294" i="71" s="1"/>
  <c r="D288" i="71"/>
  <c r="C288" i="71"/>
  <c r="A288" i="71"/>
  <c r="M300" i="71" s="1"/>
  <c r="C103" i="41"/>
  <c r="D306" i="41"/>
  <c r="F306" i="41"/>
  <c r="D306" i="47"/>
  <c r="F306" i="47"/>
  <c r="C103" i="47"/>
  <c r="E19" i="7"/>
  <c r="E21" i="7"/>
  <c r="E27" i="7" s="1"/>
  <c r="C25" i="7"/>
  <c r="A121" i="13"/>
  <c r="A125" i="13" s="1"/>
  <c r="C121" i="35"/>
  <c r="D365" i="131"/>
  <c r="C365" i="131"/>
  <c r="I365" i="131"/>
  <c r="H365" i="131"/>
  <c r="A365" i="131"/>
  <c r="A375" i="131" s="1"/>
  <c r="C180" i="133"/>
  <c r="F425" i="133"/>
  <c r="D425" i="133"/>
  <c r="E270" i="125"/>
  <c r="N7" i="125"/>
  <c r="A228" i="125" s="1"/>
  <c r="J7" i="125"/>
  <c r="A215" i="107"/>
  <c r="J224" i="107" s="1"/>
  <c r="D215" i="107"/>
  <c r="H212" i="107"/>
  <c r="G212" i="107"/>
  <c r="A212" i="107"/>
  <c r="J221" i="107" s="1"/>
  <c r="D183" i="131"/>
  <c r="F191" i="131" s="1"/>
  <c r="D181" i="131"/>
  <c r="L197" i="131"/>
  <c r="D336" i="111"/>
  <c r="D334" i="111"/>
  <c r="D332" i="111"/>
  <c r="D331" i="111"/>
  <c r="D223" i="95"/>
  <c r="F223" i="95"/>
  <c r="C25" i="95"/>
  <c r="E494" i="119"/>
  <c r="N16" i="119"/>
  <c r="A475" i="119" s="1"/>
  <c r="J16" i="119"/>
  <c r="E231" i="109"/>
  <c r="C231" i="109"/>
  <c r="C90" i="109"/>
  <c r="B90" i="109"/>
  <c r="F365" i="111"/>
  <c r="D365" i="111"/>
  <c r="C73" i="111"/>
  <c r="A357" i="79"/>
  <c r="O371" i="79" s="1"/>
  <c r="M357" i="79"/>
  <c r="G357" i="79"/>
  <c r="L357" i="79"/>
  <c r="M362" i="79"/>
  <c r="L362" i="79"/>
  <c r="G362" i="79"/>
  <c r="A362" i="79"/>
  <c r="O376" i="79" s="1"/>
  <c r="E362" i="79"/>
  <c r="F362" i="79"/>
  <c r="D355" i="123"/>
  <c r="E355" i="123"/>
  <c r="A355" i="123"/>
  <c r="K365" i="123" s="1"/>
  <c r="F447" i="121"/>
  <c r="D447" i="121"/>
  <c r="C121" i="121"/>
  <c r="A239" i="127"/>
  <c r="K249" i="127" s="1"/>
  <c r="F445" i="97"/>
  <c r="D445" i="97"/>
  <c r="C100" i="97"/>
  <c r="C223" i="99"/>
  <c r="E470" i="99"/>
  <c r="C470" i="99"/>
  <c r="B223" i="99"/>
  <c r="D401" i="121"/>
  <c r="A174" i="125"/>
  <c r="H181" i="125" s="1"/>
  <c r="D380" i="91"/>
  <c r="F380" i="91"/>
  <c r="C183" i="91"/>
  <c r="A331" i="93"/>
  <c r="M343" i="93" s="1"/>
  <c r="E341" i="81"/>
  <c r="I351" i="81" s="1"/>
  <c r="E339" i="81"/>
  <c r="Q359" i="81"/>
  <c r="D384" i="59"/>
  <c r="C115" i="59"/>
  <c r="F384" i="59"/>
  <c r="E142" i="97"/>
  <c r="E144" i="97"/>
  <c r="K156" i="97" s="1"/>
  <c r="E150" i="97"/>
  <c r="C35" i="79"/>
  <c r="F438" i="79"/>
  <c r="D438" i="79"/>
  <c r="C41" i="87"/>
  <c r="B41" i="87"/>
  <c r="C231" i="87"/>
  <c r="E231" i="87"/>
  <c r="C438" i="79"/>
  <c r="C34" i="79"/>
  <c r="E438" i="79"/>
  <c r="B34" i="79"/>
  <c r="E387" i="97"/>
  <c r="I282" i="57"/>
  <c r="E31" i="55"/>
  <c r="E33" i="55"/>
  <c r="E39" i="55" s="1"/>
  <c r="C37" i="55"/>
  <c r="C22" i="19"/>
  <c r="B22" i="19"/>
  <c r="C204" i="19"/>
  <c r="E204" i="19"/>
  <c r="C215" i="83"/>
  <c r="Q227" i="83" s="1"/>
  <c r="Q371" i="83" s="1"/>
  <c r="R428" i="83" s="1"/>
  <c r="K233" i="83"/>
  <c r="K377" i="83" s="1"/>
  <c r="L434" i="83" s="1"/>
  <c r="A331" i="99"/>
  <c r="M343" i="99" s="1"/>
  <c r="K331" i="99"/>
  <c r="D331" i="99"/>
  <c r="C331" i="99"/>
  <c r="C136" i="73"/>
  <c r="F333" i="119"/>
  <c r="E333" i="119"/>
  <c r="A333" i="119"/>
  <c r="L344" i="119" s="1"/>
  <c r="A153" i="21"/>
  <c r="I161" i="21" s="1"/>
  <c r="A244" i="41"/>
  <c r="A252" i="41" s="1"/>
  <c r="H244" i="41"/>
  <c r="E244" i="41"/>
  <c r="I244" i="41"/>
  <c r="E274" i="87"/>
  <c r="N8" i="87"/>
  <c r="A239" i="87" s="1"/>
  <c r="J8" i="87"/>
  <c r="D478" i="75"/>
  <c r="F478" i="75"/>
  <c r="C150" i="75"/>
  <c r="D243" i="51"/>
  <c r="D116" i="61"/>
  <c r="L130" i="61" s="1"/>
  <c r="D114" i="61"/>
  <c r="J128" i="61"/>
  <c r="D195" i="33"/>
  <c r="D191" i="33"/>
  <c r="D190" i="33"/>
  <c r="G285" i="57"/>
  <c r="F285" i="57"/>
  <c r="A285" i="57"/>
  <c r="M297" i="57" s="1"/>
  <c r="E285" i="57"/>
  <c r="D453" i="97"/>
  <c r="C121" i="97"/>
  <c r="F453" i="97"/>
  <c r="E341" i="83"/>
  <c r="I351" i="83" s="1"/>
  <c r="E339" i="83"/>
  <c r="Q359" i="83"/>
  <c r="I283" i="73"/>
  <c r="A245" i="45"/>
  <c r="A253" i="45" s="1"/>
  <c r="H245" i="45"/>
  <c r="G245" i="45"/>
  <c r="I245" i="45"/>
  <c r="F245" i="45"/>
  <c r="C91" i="23"/>
  <c r="F212" i="45"/>
  <c r="A212" i="45"/>
  <c r="K222" i="45" s="1"/>
  <c r="I212" i="45"/>
  <c r="H212" i="45"/>
  <c r="G212" i="45"/>
  <c r="D263" i="87"/>
  <c r="F263" i="87"/>
  <c r="C110" i="87"/>
  <c r="C281" i="69"/>
  <c r="D322" i="41"/>
  <c r="F322" i="41"/>
  <c r="C141" i="41"/>
  <c r="F317" i="73"/>
  <c r="F318" i="73"/>
  <c r="E124" i="47"/>
  <c r="I134" i="47" s="1"/>
  <c r="E122" i="47"/>
  <c r="E130" i="47"/>
  <c r="A286" i="65"/>
  <c r="M298" i="65" s="1"/>
  <c r="E286" i="65"/>
  <c r="F416" i="67"/>
  <c r="C199" i="67"/>
  <c r="D416" i="67"/>
  <c r="D258" i="49"/>
  <c r="D263" i="49"/>
  <c r="D259" i="49"/>
  <c r="A319" i="65"/>
  <c r="A329" i="65" s="1"/>
  <c r="I319" i="65"/>
  <c r="H319" i="65"/>
  <c r="G319" i="65"/>
  <c r="F319" i="65"/>
  <c r="B90" i="29"/>
  <c r="G356" i="77"/>
  <c r="M356" i="77"/>
  <c r="A356" i="77"/>
  <c r="O370" i="77" s="1"/>
  <c r="L356" i="77"/>
  <c r="D135" i="67"/>
  <c r="D137" i="67"/>
  <c r="H147" i="67" s="1"/>
  <c r="F145" i="67"/>
  <c r="E283" i="61"/>
  <c r="A283" i="61"/>
  <c r="M295" i="61" s="1"/>
  <c r="K283" i="61"/>
  <c r="J283" i="61"/>
  <c r="D31" i="65"/>
  <c r="D33" i="65"/>
  <c r="D39" i="65" s="1"/>
  <c r="B37" i="65"/>
  <c r="D48" i="13"/>
  <c r="D50" i="13"/>
  <c r="B54" i="13" s="1"/>
  <c r="F58" i="13"/>
  <c r="E216" i="81"/>
  <c r="K228" i="81" s="1"/>
  <c r="E214" i="81"/>
  <c r="Q234" i="81"/>
  <c r="E243" i="35"/>
  <c r="A243" i="35"/>
  <c r="A251" i="35" s="1"/>
  <c r="I243" i="35"/>
  <c r="H243" i="35"/>
  <c r="C41" i="15"/>
  <c r="C49" i="15" s="1"/>
  <c r="C111" i="15" s="1"/>
  <c r="D144" i="15" s="1"/>
  <c r="G45" i="15"/>
  <c r="G107" i="15" s="1"/>
  <c r="A171" i="95"/>
  <c r="I179" i="95" s="1"/>
  <c r="F171" i="95"/>
  <c r="A366" i="75"/>
  <c r="O380" i="75" s="1"/>
  <c r="I366" i="75"/>
  <c r="D366" i="75"/>
  <c r="C366" i="75"/>
  <c r="H366" i="75"/>
  <c r="H243" i="47"/>
  <c r="B88" i="83"/>
  <c r="C56" i="31"/>
  <c r="B156" i="71"/>
  <c r="C72" i="67"/>
  <c r="B41" i="17"/>
  <c r="D49" i="17" s="1"/>
  <c r="D111" i="17" s="1"/>
  <c r="E144" i="17" s="1"/>
  <c r="F47" i="17"/>
  <c r="F109" i="17" s="1"/>
  <c r="C91" i="29"/>
  <c r="C223" i="93"/>
  <c r="G214" i="47"/>
  <c r="C287" i="71"/>
  <c r="D287" i="71"/>
  <c r="A287" i="71"/>
  <c r="M299" i="71" s="1"/>
  <c r="A213" i="43"/>
  <c r="K223" i="43" s="1"/>
  <c r="F150" i="7"/>
  <c r="D150" i="7"/>
  <c r="C34" i="7"/>
  <c r="E246" i="31"/>
  <c r="N7" i="31"/>
  <c r="A212" i="31" s="1"/>
  <c r="K7" i="31"/>
  <c r="B20" i="7"/>
  <c r="B26" i="7" s="1"/>
  <c r="B65" i="7" s="1"/>
  <c r="C92" i="7" s="1"/>
  <c r="D24" i="7"/>
  <c r="D63" i="7" s="1"/>
  <c r="E90" i="7" s="1"/>
  <c r="D236" i="25"/>
  <c r="C91" i="25"/>
  <c r="F236" i="25"/>
  <c r="B102" i="47"/>
  <c r="D209" i="85"/>
  <c r="A119" i="13"/>
  <c r="A123" i="13" s="1"/>
  <c r="M293" i="3"/>
  <c r="F376" i="57"/>
  <c r="D376" i="57"/>
  <c r="C94" i="57"/>
  <c r="D228" i="17"/>
  <c r="C74" i="17"/>
  <c r="F228" i="17"/>
  <c r="B198" i="55"/>
  <c r="B33" i="7"/>
  <c r="E77" i="133"/>
  <c r="I87" i="133" s="1"/>
  <c r="I249" i="133" s="1"/>
  <c r="J294" i="133" s="1"/>
  <c r="E75" i="133"/>
  <c r="G85" i="133"/>
  <c r="C102" i="45"/>
  <c r="B102" i="45"/>
  <c r="E306" i="45"/>
  <c r="C306" i="45"/>
  <c r="E447" i="121"/>
  <c r="B120" i="121"/>
  <c r="C447" i="121"/>
  <c r="C120" i="121"/>
  <c r="A238" i="127"/>
  <c r="K248" i="127" s="1"/>
  <c r="D203" i="141"/>
  <c r="D205" i="141"/>
  <c r="L219" i="141" s="1"/>
  <c r="J217" i="141"/>
  <c r="C26" i="129"/>
  <c r="B26" i="129"/>
  <c r="E271" i="129"/>
  <c r="C271" i="129"/>
  <c r="D246" i="143"/>
  <c r="F254" i="143" s="1"/>
  <c r="D244" i="143"/>
  <c r="J258" i="143"/>
  <c r="E105" i="129"/>
  <c r="K117" i="129" s="1"/>
  <c r="E103" i="129"/>
  <c r="I115" i="129"/>
  <c r="F360" i="59"/>
  <c r="D360" i="59"/>
  <c r="C52" i="59"/>
  <c r="A281" i="67"/>
  <c r="M293" i="67" s="1"/>
  <c r="J281" i="67"/>
  <c r="K281" i="67"/>
  <c r="E257" i="91"/>
  <c r="A257" i="91"/>
  <c r="K267" i="91" s="1"/>
  <c r="C51" i="59"/>
  <c r="B51" i="59"/>
  <c r="E360" i="59"/>
  <c r="C360" i="59"/>
  <c r="E236" i="89"/>
  <c r="A236" i="89"/>
  <c r="K246" i="89" s="1"/>
  <c r="B243" i="77"/>
  <c r="N251" i="77" s="1"/>
  <c r="N291" i="77" s="1"/>
  <c r="O342" i="77" s="1"/>
  <c r="F259" i="77"/>
  <c r="F299" i="77" s="1"/>
  <c r="G350" i="77" s="1"/>
  <c r="B102" i="49"/>
  <c r="C102" i="49"/>
  <c r="E306" i="49"/>
  <c r="C306" i="49"/>
  <c r="A332" i="93"/>
  <c r="M344" i="93" s="1"/>
  <c r="B24" i="87"/>
  <c r="E428" i="69"/>
  <c r="N9" i="69"/>
  <c r="A376" i="69" s="1"/>
  <c r="K9" i="69"/>
  <c r="C93" i="69" s="1"/>
  <c r="F356" i="97"/>
  <c r="G356" i="97"/>
  <c r="A356" i="97"/>
  <c r="M368" i="97" s="1"/>
  <c r="D231" i="87"/>
  <c r="F231" i="87"/>
  <c r="C42" i="87"/>
  <c r="D340" i="81"/>
  <c r="H350" i="81" s="1"/>
  <c r="D338" i="81"/>
  <c r="P358" i="81"/>
  <c r="G285" i="63"/>
  <c r="F285" i="63"/>
  <c r="A285" i="63"/>
  <c r="M297" i="63" s="1"/>
  <c r="C36" i="99"/>
  <c r="C42" i="99" s="1"/>
  <c r="C267" i="99" s="1"/>
  <c r="D312" i="99" s="1"/>
  <c r="E40" i="99"/>
  <c r="E265" i="99" s="1"/>
  <c r="F310" i="99" s="1"/>
  <c r="D216" i="83"/>
  <c r="J228" i="83" s="1"/>
  <c r="D214" i="83"/>
  <c r="P234" i="83"/>
  <c r="A198" i="87"/>
  <c r="A204" i="87" s="1"/>
  <c r="A332" i="99"/>
  <c r="M344" i="99" s="1"/>
  <c r="A154" i="21"/>
  <c r="I162" i="21" s="1"/>
  <c r="A326" i="119"/>
  <c r="L337" i="119" s="1"/>
  <c r="K317" i="59"/>
  <c r="J317" i="59"/>
  <c r="G317" i="59"/>
  <c r="F317" i="59"/>
  <c r="E317" i="59"/>
  <c r="A317" i="59"/>
  <c r="A327" i="59" s="1"/>
  <c r="A245" i="41"/>
  <c r="A253" i="41" s="1"/>
  <c r="G245" i="41"/>
  <c r="F245" i="41"/>
  <c r="A286" i="59"/>
  <c r="M298" i="59" s="1"/>
  <c r="G286" i="59"/>
  <c r="E408" i="71"/>
  <c r="C177" i="71"/>
  <c r="B177" i="71"/>
  <c r="C408" i="71"/>
  <c r="D502" i="75"/>
  <c r="C219" i="75"/>
  <c r="F502" i="75"/>
  <c r="C35" i="75"/>
  <c r="C136" i="59"/>
  <c r="F392" i="59"/>
  <c r="D392" i="59"/>
  <c r="F239" i="87"/>
  <c r="D239" i="87"/>
  <c r="F322" i="51"/>
  <c r="D322" i="51"/>
  <c r="C141" i="51"/>
  <c r="C99" i="99"/>
  <c r="K113" i="99" s="1"/>
  <c r="K275" i="99" s="1"/>
  <c r="L320" i="99" s="1"/>
  <c r="M111" i="99"/>
  <c r="M273" i="99" s="1"/>
  <c r="N318" i="99" s="1"/>
  <c r="A288" i="57"/>
  <c r="M300" i="57" s="1"/>
  <c r="C84" i="49"/>
  <c r="I244" i="45"/>
  <c r="H244" i="45"/>
  <c r="A244" i="45"/>
  <c r="A252" i="45" s="1"/>
  <c r="E228" i="27"/>
  <c r="C228" i="27"/>
  <c r="B73" i="27"/>
  <c r="C73" i="27"/>
  <c r="A155" i="25"/>
  <c r="I163" i="25" s="1"/>
  <c r="C155" i="25"/>
  <c r="C115" i="55"/>
  <c r="D384" i="55"/>
  <c r="F384" i="55"/>
  <c r="A172" i="85"/>
  <c r="I180" i="85" s="1"/>
  <c r="I449" i="83"/>
  <c r="H449" i="83"/>
  <c r="G449" i="83"/>
  <c r="A449" i="83"/>
  <c r="Q465" i="83" s="1"/>
  <c r="F306" i="53"/>
  <c r="D306" i="53"/>
  <c r="C103" i="53"/>
  <c r="B149" i="75"/>
  <c r="E143" i="45"/>
  <c r="K155" i="45" s="1"/>
  <c r="E141" i="45"/>
  <c r="G151" i="45"/>
  <c r="D190" i="29"/>
  <c r="C289" i="83"/>
  <c r="H318" i="65"/>
  <c r="J318" i="65"/>
  <c r="K318" i="65"/>
  <c r="E318" i="65"/>
  <c r="A318" i="65"/>
  <c r="A328" i="65" s="1"/>
  <c r="I318" i="65"/>
  <c r="E317" i="73"/>
  <c r="E318" i="73"/>
  <c r="E31" i="63"/>
  <c r="E33" i="63"/>
  <c r="E39" i="63" s="1"/>
  <c r="C37" i="63"/>
  <c r="C90" i="29"/>
  <c r="H360" i="77"/>
  <c r="D360" i="77"/>
  <c r="C360" i="77"/>
  <c r="A360" i="77"/>
  <c r="O374" i="77" s="1"/>
  <c r="K360" i="77"/>
  <c r="J360" i="77"/>
  <c r="I360" i="77"/>
  <c r="C46" i="51"/>
  <c r="D408" i="59"/>
  <c r="C178" i="59"/>
  <c r="F408" i="59"/>
  <c r="A244" i="35"/>
  <c r="A252" i="35" s="1"/>
  <c r="E244" i="35"/>
  <c r="I244" i="35"/>
  <c r="H244" i="35"/>
  <c r="F306" i="51"/>
  <c r="D306" i="51"/>
  <c r="C103" i="51"/>
  <c r="B172" i="79"/>
  <c r="C172" i="79"/>
  <c r="E486" i="79"/>
  <c r="C486" i="79"/>
  <c r="A178" i="31"/>
  <c r="A184" i="31" s="1"/>
  <c r="A217" i="35"/>
  <c r="K227" i="35" s="1"/>
  <c r="B56" i="23"/>
  <c r="C220" i="23"/>
  <c r="E220" i="23"/>
  <c r="C56" i="23"/>
  <c r="C94" i="59"/>
  <c r="E105" i="77"/>
  <c r="K117" i="77" s="1"/>
  <c r="E103" i="77"/>
  <c r="B104" i="77"/>
  <c r="C109" i="77"/>
  <c r="A102" i="7"/>
  <c r="G108" i="7" s="1"/>
  <c r="D90" i="15"/>
  <c r="D92" i="15"/>
  <c r="D98" i="15" s="1"/>
  <c r="H102" i="15"/>
  <c r="C64" i="37"/>
  <c r="B64" i="37"/>
  <c r="E290" i="37"/>
  <c r="C290" i="37"/>
  <c r="C156" i="31"/>
  <c r="A156" i="31"/>
  <c r="I164" i="31" s="1"/>
  <c r="A156" i="17"/>
  <c r="I164" i="17" s="1"/>
  <c r="C319" i="55"/>
  <c r="A218" i="47"/>
  <c r="K228" i="47" s="1"/>
  <c r="C265" i="75"/>
  <c r="N258" i="2"/>
  <c r="F230" i="2"/>
  <c r="A216" i="43"/>
  <c r="K226" i="43" s="1"/>
  <c r="E256" i="3"/>
  <c r="E294" i="3" s="1"/>
  <c r="C212" i="31"/>
  <c r="E212" i="31"/>
  <c r="A288" i="55"/>
  <c r="M300" i="55" s="1"/>
  <c r="C102" i="47"/>
  <c r="D210" i="85"/>
  <c r="B93" i="57"/>
  <c r="E376" i="57"/>
  <c r="C93" i="57"/>
  <c r="C376" i="57"/>
  <c r="C103" i="37"/>
  <c r="E67" i="45"/>
  <c r="G75" i="45" s="1"/>
  <c r="E65" i="45"/>
  <c r="E73" i="45"/>
  <c r="A287" i="57"/>
  <c r="M299" i="57" s="1"/>
  <c r="C216" i="45"/>
  <c r="A216" i="45"/>
  <c r="K226" i="45" s="1"/>
  <c r="C156" i="25"/>
  <c r="A156" i="25"/>
  <c r="I164" i="25" s="1"/>
  <c r="I441" i="83"/>
  <c r="H441" i="83"/>
  <c r="G441" i="83"/>
  <c r="A441" i="83"/>
  <c r="Q457" i="83" s="1"/>
  <c r="O441" i="83"/>
  <c r="N441" i="83"/>
  <c r="B102" i="53"/>
  <c r="C149" i="75"/>
  <c r="D335" i="73"/>
  <c r="A212" i="49"/>
  <c r="K222" i="49" s="1"/>
  <c r="B49" i="13"/>
  <c r="E48" i="13"/>
  <c r="E50" i="13"/>
  <c r="C54" i="13" s="1"/>
  <c r="G58" i="13"/>
  <c r="I282" i="73"/>
  <c r="A282" i="73"/>
  <c r="M294" i="73" s="1"/>
  <c r="H282" i="73"/>
  <c r="F179" i="31"/>
  <c r="G179" i="31"/>
  <c r="A179" i="31"/>
  <c r="A185" i="31" s="1"/>
  <c r="D259" i="35"/>
  <c r="D258" i="35"/>
  <c r="D263" i="35"/>
  <c r="E74" i="71"/>
  <c r="I84" i="71" s="1"/>
  <c r="B73" i="71"/>
  <c r="E72" i="71"/>
  <c r="G82" i="71"/>
  <c r="B45" i="53"/>
  <c r="B22" i="17"/>
  <c r="B177" i="57"/>
  <c r="G363" i="75"/>
  <c r="A363" i="75"/>
  <c r="O377" i="75" s="1"/>
  <c r="C292" i="3"/>
  <c r="F150" i="13"/>
  <c r="C34" i="13"/>
  <c r="D150" i="13"/>
  <c r="E90" i="15"/>
  <c r="E92" i="15"/>
  <c r="E98" i="15" s="1"/>
  <c r="B91" i="15"/>
  <c r="I102" i="15"/>
  <c r="C314" i="51"/>
  <c r="C121" i="51"/>
  <c r="B121" i="51"/>
  <c r="E314" i="51"/>
  <c r="D204" i="15"/>
  <c r="F204" i="15"/>
  <c r="C23" i="15"/>
  <c r="A214" i="39"/>
  <c r="K224" i="39" s="1"/>
  <c r="F214" i="39"/>
  <c r="G214" i="39"/>
  <c r="G245" i="39"/>
  <c r="F245" i="39"/>
  <c r="A245" i="39"/>
  <c r="A253" i="39" s="1"/>
  <c r="C41" i="17"/>
  <c r="E49" i="17" s="1"/>
  <c r="E111" i="17" s="1"/>
  <c r="F144" i="17" s="1"/>
  <c r="G47" i="17"/>
  <c r="G109" i="17" s="1"/>
  <c r="H142" i="17" s="1"/>
  <c r="C287" i="69"/>
  <c r="E318" i="55"/>
  <c r="A154" i="17"/>
  <c r="I162" i="17" s="1"/>
  <c r="D154" i="17"/>
  <c r="E236" i="17"/>
  <c r="C236" i="17"/>
  <c r="C90" i="17"/>
  <c r="B90" i="17"/>
  <c r="H319" i="55"/>
  <c r="A216" i="47"/>
  <c r="K226" i="47" s="1"/>
  <c r="E216" i="47"/>
  <c r="E248" i="15"/>
  <c r="N9" i="15"/>
  <c r="A228" i="15" s="1"/>
  <c r="K9" i="15"/>
  <c r="F298" i="41"/>
  <c r="D298" i="41"/>
  <c r="C84" i="41"/>
  <c r="F214" i="47"/>
  <c r="A283" i="71"/>
  <c r="M295" i="71" s="1"/>
  <c r="A257" i="3"/>
  <c r="L268" i="3" s="1"/>
  <c r="C199" i="59"/>
  <c r="G280" i="55"/>
  <c r="A280" i="55"/>
  <c r="M292" i="55" s="1"/>
  <c r="E336" i="41"/>
  <c r="N11" i="41"/>
  <c r="A314" i="41" s="1"/>
  <c r="J11" i="41"/>
  <c r="D212" i="85"/>
  <c r="C46" i="45"/>
  <c r="D120" i="119"/>
  <c r="H130" i="119" s="1"/>
  <c r="D118" i="119"/>
  <c r="B124" i="119"/>
  <c r="C195" i="77"/>
  <c r="B195" i="77"/>
  <c r="E494" i="77"/>
  <c r="C494" i="77"/>
  <c r="A303" i="139"/>
  <c r="L314" i="139" s="1"/>
  <c r="C56" i="105"/>
  <c r="B56" i="105"/>
  <c r="E217" i="105"/>
  <c r="C217" i="105"/>
  <c r="B36" i="117"/>
  <c r="B42" i="117" s="1"/>
  <c r="B267" i="117" s="1"/>
  <c r="C312" i="117" s="1"/>
  <c r="D40" i="117"/>
  <c r="D265" i="117" s="1"/>
  <c r="E310" i="117" s="1"/>
  <c r="D241" i="107"/>
  <c r="D240" i="107"/>
  <c r="C161" i="99"/>
  <c r="B57" i="121"/>
  <c r="E423" i="121"/>
  <c r="C57" i="121"/>
  <c r="C423" i="121"/>
  <c r="F311" i="89"/>
  <c r="C67" i="89"/>
  <c r="D311" i="89"/>
  <c r="A240" i="129"/>
  <c r="A247" i="129" s="1"/>
  <c r="G240" i="129"/>
  <c r="D240" i="129"/>
  <c r="H240" i="129"/>
  <c r="A285" i="111"/>
  <c r="L296" i="111" s="1"/>
  <c r="D285" i="111"/>
  <c r="A287" i="111"/>
  <c r="L298" i="111" s="1"/>
  <c r="E287" i="111"/>
  <c r="F287" i="111"/>
  <c r="D485" i="97"/>
  <c r="F485" i="97"/>
  <c r="C205" i="97"/>
  <c r="A382" i="123"/>
  <c r="A390" i="123" s="1"/>
  <c r="I359" i="79"/>
  <c r="H359" i="79"/>
  <c r="A359" i="79"/>
  <c r="O373" i="79" s="1"/>
  <c r="A350" i="123"/>
  <c r="K360" i="123" s="1"/>
  <c r="I350" i="123"/>
  <c r="H350" i="123"/>
  <c r="D398" i="123"/>
  <c r="D400" i="123"/>
  <c r="D402" i="123"/>
  <c r="D401" i="123"/>
  <c r="D397" i="123"/>
  <c r="E290" i="51"/>
  <c r="C290" i="51"/>
  <c r="C64" i="51"/>
  <c r="B64" i="51"/>
  <c r="F271" i="129"/>
  <c r="C27" i="129"/>
  <c r="D271" i="129"/>
  <c r="A326" i="141"/>
  <c r="L337" i="141" s="1"/>
  <c r="F225" i="105"/>
  <c r="D225" i="105"/>
  <c r="C74" i="105"/>
  <c r="D200" i="71"/>
  <c r="F208" i="71" s="1"/>
  <c r="D198" i="71"/>
  <c r="J212" i="71"/>
  <c r="B36" i="65"/>
  <c r="D32" i="65"/>
  <c r="D38" i="65" s="1"/>
  <c r="D30" i="65"/>
  <c r="G204" i="21"/>
  <c r="G212" i="21"/>
  <c r="G236" i="21"/>
  <c r="D336" i="67"/>
  <c r="D335" i="67"/>
  <c r="D334" i="67"/>
  <c r="A156" i="21"/>
  <c r="I164" i="21" s="1"/>
  <c r="C156" i="21"/>
  <c r="A327" i="93"/>
  <c r="M339" i="93" s="1"/>
  <c r="C18" i="103"/>
  <c r="A355" i="97"/>
  <c r="M367" i="97" s="1"/>
  <c r="E264" i="83"/>
  <c r="E266" i="83"/>
  <c r="O282" i="83" s="1"/>
  <c r="E272" i="83"/>
  <c r="D392" i="65"/>
  <c r="C136" i="65"/>
  <c r="F392" i="65"/>
  <c r="C580" i="81"/>
  <c r="E580" i="81"/>
  <c r="B188" i="81"/>
  <c r="C188" i="81"/>
  <c r="J318" i="63"/>
  <c r="J317" i="63"/>
  <c r="A286" i="63"/>
  <c r="M298" i="63" s="1"/>
  <c r="G286" i="63"/>
  <c r="F286" i="63"/>
  <c r="E494" i="79"/>
  <c r="C494" i="79"/>
  <c r="C195" i="79"/>
  <c r="B195" i="79"/>
  <c r="C74" i="21"/>
  <c r="D228" i="21"/>
  <c r="F228" i="21"/>
  <c r="G365" i="99"/>
  <c r="F365" i="99"/>
  <c r="A365" i="99"/>
  <c r="A375" i="99" s="1"/>
  <c r="A197" i="87"/>
  <c r="A203" i="87" s="1"/>
  <c r="D58" i="85"/>
  <c r="D60" i="85"/>
  <c r="H70" i="85" s="1"/>
  <c r="F68" i="85"/>
  <c r="D328" i="119"/>
  <c r="J328" i="119"/>
  <c r="I328" i="119"/>
  <c r="A328" i="119"/>
  <c r="L339" i="119" s="1"/>
  <c r="D382" i="119"/>
  <c r="D378" i="119"/>
  <c r="D380" i="119"/>
  <c r="D377" i="119"/>
  <c r="C111" i="95"/>
  <c r="G121" i="95" s="1"/>
  <c r="G132" i="95" s="1"/>
  <c r="H165" i="95" s="1"/>
  <c r="I119" i="95"/>
  <c r="I130" i="95" s="1"/>
  <c r="J163" i="95" s="1"/>
  <c r="K318" i="59"/>
  <c r="G318" i="59"/>
  <c r="E318" i="59"/>
  <c r="A318" i="59"/>
  <c r="A328" i="59" s="1"/>
  <c r="J318" i="59"/>
  <c r="F318" i="59"/>
  <c r="C48" i="89"/>
  <c r="F303" i="89"/>
  <c r="D303" i="89"/>
  <c r="F247" i="95"/>
  <c r="C76" i="95"/>
  <c r="D247" i="95"/>
  <c r="K280" i="59"/>
  <c r="J280" i="59"/>
  <c r="G280" i="59"/>
  <c r="A280" i="59"/>
  <c r="M292" i="59" s="1"/>
  <c r="D263" i="41"/>
  <c r="D259" i="41"/>
  <c r="D258" i="41"/>
  <c r="E27" i="37"/>
  <c r="E29" i="37"/>
  <c r="E35" i="37" s="1"/>
  <c r="C33" i="37"/>
  <c r="G245" i="47"/>
  <c r="D98" i="99"/>
  <c r="D100" i="99"/>
  <c r="L114" i="99" s="1"/>
  <c r="J112" i="99"/>
  <c r="B135" i="57"/>
  <c r="E392" i="57"/>
  <c r="C135" i="57"/>
  <c r="C392" i="57"/>
  <c r="C79" i="97"/>
  <c r="D51" i="61"/>
  <c r="D53" i="61"/>
  <c r="F61" i="61" s="1"/>
  <c r="D59" i="61"/>
  <c r="G205" i="19"/>
  <c r="G221" i="19"/>
  <c r="D352" i="57"/>
  <c r="C31" i="57"/>
  <c r="F352" i="57"/>
  <c r="F282" i="37"/>
  <c r="D282" i="37"/>
  <c r="C46" i="37"/>
  <c r="C215" i="45"/>
  <c r="A215" i="45"/>
  <c r="K225" i="45" s="1"/>
  <c r="C218" i="45"/>
  <c r="A218" i="45"/>
  <c r="K228" i="45" s="1"/>
  <c r="A152" i="25"/>
  <c r="I160" i="25" s="1"/>
  <c r="G152" i="25"/>
  <c r="F152" i="25"/>
  <c r="J443" i="83"/>
  <c r="I443" i="83"/>
  <c r="A443" i="83"/>
  <c r="Q459" i="83" s="1"/>
  <c r="K443" i="83"/>
  <c r="B114" i="55"/>
  <c r="C102" i="53"/>
  <c r="E51" i="7"/>
  <c r="C55" i="7" s="1"/>
  <c r="E49" i="7"/>
  <c r="G59" i="7"/>
  <c r="E430" i="111"/>
  <c r="N14" i="111"/>
  <c r="K14" i="111"/>
  <c r="B94" i="65"/>
  <c r="E95" i="65"/>
  <c r="K107" i="65" s="1"/>
  <c r="E93" i="65"/>
  <c r="I105" i="65"/>
  <c r="G287" i="65"/>
  <c r="F287" i="65"/>
  <c r="A287" i="65"/>
  <c r="M299" i="65" s="1"/>
  <c r="A215" i="49"/>
  <c r="K225" i="49" s="1"/>
  <c r="G204" i="105"/>
  <c r="G210" i="105"/>
  <c r="C162" i="89"/>
  <c r="C263" i="87"/>
  <c r="C109" i="87"/>
  <c r="B109" i="87"/>
  <c r="E263" i="87"/>
  <c r="G287" i="61"/>
  <c r="F287" i="61"/>
  <c r="A287" i="61"/>
  <c r="M299" i="61" s="1"/>
  <c r="D339" i="61"/>
  <c r="D335" i="61"/>
  <c r="D334" i="61"/>
  <c r="F314" i="45"/>
  <c r="D314" i="45"/>
  <c r="C122" i="45"/>
  <c r="E446" i="79"/>
  <c r="C57" i="79"/>
  <c r="B57" i="79"/>
  <c r="C446" i="79"/>
  <c r="C57" i="23"/>
  <c r="F220" i="23"/>
  <c r="D220" i="23"/>
  <c r="A177" i="31"/>
  <c r="A183" i="31" s="1"/>
  <c r="B218" i="79"/>
  <c r="E244" i="37"/>
  <c r="E243" i="37"/>
  <c r="D210" i="95"/>
  <c r="D209" i="95"/>
  <c r="D212" i="95"/>
  <c r="E217" i="51"/>
  <c r="A217" i="51"/>
  <c r="K227" i="51" s="1"/>
  <c r="D217" i="51"/>
  <c r="C217" i="51"/>
  <c r="B51" i="67"/>
  <c r="E236" i="25"/>
  <c r="C236" i="25"/>
  <c r="C90" i="25"/>
  <c r="B90" i="25"/>
  <c r="C52" i="61"/>
  <c r="C122" i="39"/>
  <c r="D263" i="39"/>
  <c r="D259" i="39"/>
  <c r="D258" i="39"/>
  <c r="I244" i="39"/>
  <c r="H244" i="39"/>
  <c r="E244" i="39"/>
  <c r="A244" i="39"/>
  <c r="A252" i="39" s="1"/>
  <c r="D40" i="17"/>
  <c r="D42" i="17"/>
  <c r="F50" i="17" s="1"/>
  <c r="D48" i="17"/>
  <c r="K12" i="97"/>
  <c r="D191" i="27"/>
  <c r="D190" i="27"/>
  <c r="D193" i="27"/>
  <c r="A156" i="19"/>
  <c r="I164" i="19" s="1"/>
  <c r="A217" i="47"/>
  <c r="K227" i="47" s="1"/>
  <c r="J9" i="15"/>
  <c r="E93" i="15"/>
  <c r="E99" i="15" s="1"/>
  <c r="E91" i="15"/>
  <c r="I103" i="15"/>
  <c r="D256" i="3"/>
  <c r="D294" i="3" s="1"/>
  <c r="C291" i="3"/>
  <c r="B18" i="9"/>
  <c r="A282" i="55"/>
  <c r="M294" i="55" s="1"/>
  <c r="I282" i="55"/>
  <c r="H282" i="55"/>
  <c r="K11" i="41"/>
  <c r="C57" i="29"/>
  <c r="E51" i="61"/>
  <c r="E53" i="61"/>
  <c r="G61" i="61" s="1"/>
  <c r="B52" i="61"/>
  <c r="E59" i="61"/>
  <c r="G215" i="19"/>
  <c r="G231" i="19"/>
  <c r="D93" i="71"/>
  <c r="D95" i="71"/>
  <c r="J107" i="71" s="1"/>
  <c r="B99" i="71"/>
  <c r="D190" i="25"/>
  <c r="D192" i="25"/>
  <c r="D191" i="25"/>
  <c r="C510" i="79"/>
  <c r="C241" i="79"/>
  <c r="B241" i="79"/>
  <c r="E510" i="79"/>
  <c r="J451" i="83"/>
  <c r="A451" i="83"/>
  <c r="Q467" i="83" s="1"/>
  <c r="K451" i="83"/>
  <c r="D451" i="83"/>
  <c r="C451" i="83"/>
  <c r="C94" i="71"/>
  <c r="D376" i="71"/>
  <c r="F376" i="71"/>
  <c r="D25" i="25"/>
  <c r="D31" i="25" s="1"/>
  <c r="D23" i="25"/>
  <c r="B29" i="25"/>
  <c r="E96" i="67"/>
  <c r="I106" i="67" s="1"/>
  <c r="E94" i="67"/>
  <c r="E102" i="67"/>
  <c r="D45" i="47"/>
  <c r="D47" i="47"/>
  <c r="F55" i="47" s="1"/>
  <c r="D53" i="47"/>
  <c r="C413" i="111"/>
  <c r="E413" i="111"/>
  <c r="E285" i="65"/>
  <c r="A285" i="65"/>
  <c r="M297" i="65" s="1"/>
  <c r="C74" i="25"/>
  <c r="F228" i="25"/>
  <c r="D228" i="25"/>
  <c r="E36" i="9"/>
  <c r="G44" i="9" s="1"/>
  <c r="E34" i="9"/>
  <c r="E42" i="9"/>
  <c r="G317" i="73"/>
  <c r="G318" i="73"/>
  <c r="B200" i="63"/>
  <c r="J214" i="63" s="1"/>
  <c r="J229" i="63" s="1"/>
  <c r="K274" i="63" s="1"/>
  <c r="L212" i="63"/>
  <c r="L227" i="63" s="1"/>
  <c r="A217" i="37"/>
  <c r="K227" i="37" s="1"/>
  <c r="C56" i="25"/>
  <c r="B56" i="25"/>
  <c r="E220" i="25"/>
  <c r="C220" i="25"/>
  <c r="D265" i="79"/>
  <c r="D267" i="79"/>
  <c r="H277" i="79" s="1"/>
  <c r="N283" i="79"/>
  <c r="E218" i="79"/>
  <c r="E220" i="79"/>
  <c r="O236" i="79" s="1"/>
  <c r="B219" i="79"/>
  <c r="M234" i="79"/>
  <c r="A212" i="35"/>
  <c r="K222" i="35" s="1"/>
  <c r="E641" i="81"/>
  <c r="N10" i="81"/>
  <c r="A564" i="81" s="1"/>
  <c r="K10" i="81"/>
  <c r="E73" i="71"/>
  <c r="E75" i="71"/>
  <c r="I85" i="71" s="1"/>
  <c r="G83" i="71"/>
  <c r="E328" i="107"/>
  <c r="N6" i="107"/>
  <c r="A271" i="107" s="1"/>
  <c r="K6" i="107"/>
  <c r="G172" i="95"/>
  <c r="A172" i="95"/>
  <c r="I180" i="95" s="1"/>
  <c r="D35" i="5"/>
  <c r="F43" i="5" s="1"/>
  <c r="D33" i="5"/>
  <c r="D41" i="5"/>
  <c r="D45" i="35"/>
  <c r="D47" i="35"/>
  <c r="F55" i="35" s="1"/>
  <c r="D53" i="35"/>
  <c r="C119" i="93"/>
  <c r="D430" i="93"/>
  <c r="F430" i="93"/>
  <c r="E51" i="67"/>
  <c r="B52" i="67"/>
  <c r="E53" i="67"/>
  <c r="G61" i="67" s="1"/>
  <c r="C57" i="67"/>
  <c r="C159" i="57"/>
  <c r="C171" i="57" s="1"/>
  <c r="C228" i="57" s="1"/>
  <c r="D273" i="57" s="1"/>
  <c r="K163" i="57"/>
  <c r="K220" i="57" s="1"/>
  <c r="G361" i="75"/>
  <c r="F361" i="75"/>
  <c r="E361" i="75"/>
  <c r="M361" i="75"/>
  <c r="L361" i="75"/>
  <c r="A361" i="75"/>
  <c r="O375" i="75" s="1"/>
  <c r="D105" i="77"/>
  <c r="J117" i="77" s="1"/>
  <c r="D103" i="77"/>
  <c r="B109" i="77"/>
  <c r="D131" i="7"/>
  <c r="D130" i="7"/>
  <c r="D133" i="7"/>
  <c r="B158" i="57"/>
  <c r="B170" i="57" s="1"/>
  <c r="B227" i="57" s="1"/>
  <c r="C272" i="57" s="1"/>
  <c r="J162" i="57"/>
  <c r="J219" i="57" s="1"/>
  <c r="B34" i="93"/>
  <c r="C122" i="37"/>
  <c r="A179" i="27"/>
  <c r="A185" i="27" s="1"/>
  <c r="G179" i="27"/>
  <c r="F179" i="27"/>
  <c r="D236" i="17"/>
  <c r="F236" i="17"/>
  <c r="C91" i="17"/>
  <c r="F214" i="53"/>
  <c r="A214" i="53"/>
  <c r="K224" i="53" s="1"/>
  <c r="G214" i="53"/>
  <c r="D56" i="19"/>
  <c r="D58" i="19"/>
  <c r="H68" i="19" s="1"/>
  <c r="B62" i="19"/>
  <c r="E215" i="47"/>
  <c r="A215" i="47"/>
  <c r="K225" i="47" s="1"/>
  <c r="D83" i="39"/>
  <c r="D85" i="39"/>
  <c r="J97" i="39" s="1"/>
  <c r="H95" i="39"/>
  <c r="C73" i="67"/>
  <c r="C228" i="23"/>
  <c r="E228" i="23"/>
  <c r="B73" i="23"/>
  <c r="C73" i="23"/>
  <c r="D63" i="81"/>
  <c r="D65" i="81"/>
  <c r="F73" i="81" s="1"/>
  <c r="D71" i="81"/>
  <c r="A217" i="43"/>
  <c r="K227" i="43" s="1"/>
  <c r="C217" i="43"/>
  <c r="E20" i="9"/>
  <c r="E26" i="9" s="1"/>
  <c r="C24" i="9"/>
  <c r="B19" i="9"/>
  <c r="E18" i="9"/>
  <c r="D57" i="75"/>
  <c r="D59" i="75"/>
  <c r="F67" i="75" s="1"/>
  <c r="D65" i="75"/>
  <c r="D220" i="15"/>
  <c r="C57" i="15"/>
  <c r="F220" i="15"/>
  <c r="C141" i="49"/>
  <c r="F322" i="49"/>
  <c r="D322" i="49"/>
  <c r="A286" i="55"/>
  <c r="M298" i="55" s="1"/>
  <c r="G286" i="55"/>
  <c r="F286" i="55"/>
  <c r="E286" i="55"/>
  <c r="B22" i="23"/>
  <c r="E204" i="23"/>
  <c r="C204" i="23"/>
  <c r="C22" i="23"/>
  <c r="D134" i="13"/>
  <c r="D133" i="13"/>
  <c r="D135" i="13"/>
  <c r="D28" i="53"/>
  <c r="D34" i="53" s="1"/>
  <c r="D26" i="53"/>
  <c r="B32" i="53"/>
  <c r="C140" i="39"/>
  <c r="B105" i="115"/>
  <c r="E104" i="115"/>
  <c r="E106" i="115"/>
  <c r="K118" i="115" s="1"/>
  <c r="I116" i="115"/>
  <c r="H440" i="81"/>
  <c r="G440" i="81"/>
  <c r="I440" i="81"/>
  <c r="A440" i="81"/>
  <c r="Q456" i="81" s="1"/>
  <c r="O440" i="81"/>
  <c r="N440" i="81"/>
  <c r="F228" i="137"/>
  <c r="D228" i="137"/>
  <c r="C42" i="137"/>
  <c r="C94" i="111"/>
  <c r="F373" i="111"/>
  <c r="D373" i="111"/>
  <c r="D381" i="131"/>
  <c r="D387" i="131"/>
  <c r="D380" i="131"/>
  <c r="D30" i="91"/>
  <c r="D32" i="91"/>
  <c r="D38" i="91" s="1"/>
  <c r="B36" i="91"/>
  <c r="C446" i="99"/>
  <c r="E446" i="99"/>
  <c r="C160" i="99"/>
  <c r="B160" i="99"/>
  <c r="B126" i="77"/>
  <c r="C470" i="77"/>
  <c r="E470" i="77"/>
  <c r="C126" i="77"/>
  <c r="C74" i="133"/>
  <c r="C430" i="99"/>
  <c r="B118" i="99"/>
  <c r="E430" i="99"/>
  <c r="C118" i="99"/>
  <c r="D197" i="75"/>
  <c r="F205" i="75" s="1"/>
  <c r="D195" i="75"/>
  <c r="L211" i="75"/>
  <c r="E243" i="129"/>
  <c r="F243" i="129"/>
  <c r="A243" i="129"/>
  <c r="A250" i="129" s="1"/>
  <c r="I283" i="111"/>
  <c r="A283" i="111"/>
  <c r="L294" i="111" s="1"/>
  <c r="C283" i="111"/>
  <c r="J283" i="111"/>
  <c r="D283" i="111"/>
  <c r="B267" i="135"/>
  <c r="C267" i="135"/>
  <c r="C509" i="135"/>
  <c r="E509" i="135"/>
  <c r="A196" i="113"/>
  <c r="A201" i="113" s="1"/>
  <c r="A384" i="123"/>
  <c r="A392" i="123" s="1"/>
  <c r="C352" i="123"/>
  <c r="A352" i="123"/>
  <c r="K362" i="123" s="1"/>
  <c r="D252" i="125"/>
  <c r="F252" i="125"/>
  <c r="C93" i="125"/>
  <c r="C196" i="75"/>
  <c r="A333" i="141"/>
  <c r="L344" i="141" s="1"/>
  <c r="D48" i="101"/>
  <c r="D50" i="101"/>
  <c r="B54" i="101" s="1"/>
  <c r="F58" i="101"/>
  <c r="E459" i="133"/>
  <c r="J15" i="133"/>
  <c r="N15" i="133"/>
  <c r="E484" i="119"/>
  <c r="N6" i="119"/>
  <c r="A395" i="119" s="1"/>
  <c r="K6" i="119"/>
  <c r="C150" i="79"/>
  <c r="D478" i="79"/>
  <c r="F478" i="79"/>
  <c r="B97" i="93"/>
  <c r="G231" i="21"/>
  <c r="G207" i="21"/>
  <c r="E95" i="87"/>
  <c r="G103" i="87" s="1"/>
  <c r="E93" i="87"/>
  <c r="C99" i="87"/>
  <c r="H280" i="67"/>
  <c r="K280" i="67"/>
  <c r="J280" i="67"/>
  <c r="I280" i="67"/>
  <c r="A280" i="67"/>
  <c r="M292" i="67" s="1"/>
  <c r="D305" i="91"/>
  <c r="D301" i="91"/>
  <c r="D300" i="91"/>
  <c r="B182" i="91"/>
  <c r="B142" i="45"/>
  <c r="F154" i="45" s="1"/>
  <c r="F167" i="45" s="1"/>
  <c r="G206" i="45" s="1"/>
  <c r="J150" i="45"/>
  <c r="J163" i="45" s="1"/>
  <c r="K202" i="45" s="1"/>
  <c r="B36" i="97"/>
  <c r="J329" i="93"/>
  <c r="A329" i="93"/>
  <c r="M341" i="93" s="1"/>
  <c r="E329" i="93"/>
  <c r="K329" i="93"/>
  <c r="E360" i="69"/>
  <c r="C360" i="69"/>
  <c r="C51" i="69"/>
  <c r="B51" i="69"/>
  <c r="C103" i="49"/>
  <c r="D306" i="49"/>
  <c r="F306" i="49"/>
  <c r="D335" i="89"/>
  <c r="C124" i="89"/>
  <c r="F335" i="89"/>
  <c r="A350" i="97"/>
  <c r="M362" i="97" s="1"/>
  <c r="C135" i="65"/>
  <c r="C392" i="65"/>
  <c r="E392" i="65"/>
  <c r="B135" i="65"/>
  <c r="C117" i="61"/>
  <c r="K131" i="61" s="1"/>
  <c r="K230" i="61" s="1"/>
  <c r="L275" i="61" s="1"/>
  <c r="M129" i="61"/>
  <c r="M228" i="61" s="1"/>
  <c r="N273" i="61" s="1"/>
  <c r="C73" i="59"/>
  <c r="F368" i="59"/>
  <c r="D368" i="59"/>
  <c r="B65" i="45"/>
  <c r="E64" i="45"/>
  <c r="E66" i="45"/>
  <c r="G74" i="45" s="1"/>
  <c r="E72" i="45"/>
  <c r="I284" i="63"/>
  <c r="H284" i="63"/>
  <c r="A284" i="63"/>
  <c r="M296" i="63" s="1"/>
  <c r="C284" i="63"/>
  <c r="H317" i="63"/>
  <c r="H318" i="63"/>
  <c r="E363" i="99"/>
  <c r="D363" i="99"/>
  <c r="K363" i="99"/>
  <c r="J363" i="99"/>
  <c r="C363" i="99"/>
  <c r="A363" i="99"/>
  <c r="A373" i="99" s="1"/>
  <c r="D158" i="59"/>
  <c r="D164" i="59" s="1"/>
  <c r="D156" i="59"/>
  <c r="J170" i="59"/>
  <c r="B140" i="37"/>
  <c r="F332" i="119"/>
  <c r="E332" i="119"/>
  <c r="A332" i="119"/>
  <c r="L343" i="119" s="1"/>
  <c r="D112" i="95"/>
  <c r="H122" i="95" s="1"/>
  <c r="D110" i="95"/>
  <c r="F120" i="95"/>
  <c r="C246" i="97"/>
  <c r="D288" i="59"/>
  <c r="C288" i="59"/>
  <c r="A288" i="59"/>
  <c r="M300" i="59" s="1"/>
  <c r="C140" i="53"/>
  <c r="F204" i="17"/>
  <c r="C23" i="17"/>
  <c r="D204" i="17"/>
  <c r="B156" i="67"/>
  <c r="C156" i="67"/>
  <c r="E400" i="67"/>
  <c r="C400" i="67"/>
  <c r="C46" i="35"/>
  <c r="F282" i="35"/>
  <c r="D282" i="35"/>
  <c r="G159" i="9"/>
  <c r="G153" i="9"/>
  <c r="J280" i="69"/>
  <c r="C31" i="67"/>
  <c r="F352" i="67"/>
  <c r="D352" i="67"/>
  <c r="E322" i="51"/>
  <c r="C140" i="51"/>
  <c r="B140" i="51"/>
  <c r="C322" i="51"/>
  <c r="C83" i="35"/>
  <c r="B83" i="35"/>
  <c r="E298" i="35"/>
  <c r="C298" i="35"/>
  <c r="H319" i="57"/>
  <c r="C157" i="67"/>
  <c r="D90" i="19"/>
  <c r="D92" i="19"/>
  <c r="H102" i="19" s="1"/>
  <c r="D98" i="19"/>
  <c r="E282" i="37"/>
  <c r="C282" i="37"/>
  <c r="C45" i="37"/>
  <c r="B45" i="37"/>
  <c r="G360" i="69"/>
  <c r="G384" i="69"/>
  <c r="G352" i="69"/>
  <c r="D290" i="53"/>
  <c r="C65" i="53"/>
  <c r="F290" i="53"/>
  <c r="D306" i="39"/>
  <c r="C103" i="39"/>
  <c r="F306" i="39"/>
  <c r="A153" i="25"/>
  <c r="I161" i="25" s="1"/>
  <c r="C228" i="19"/>
  <c r="C73" i="19"/>
  <c r="B73" i="19"/>
  <c r="E228" i="19"/>
  <c r="D191" i="29"/>
  <c r="C24" i="25"/>
  <c r="C30" i="25" s="1"/>
  <c r="C109" i="25" s="1"/>
  <c r="D142" i="25" s="1"/>
  <c r="E28" i="25"/>
  <c r="E107" i="25" s="1"/>
  <c r="F140" i="25" s="1"/>
  <c r="C59" i="17"/>
  <c r="C69" i="17" s="1"/>
  <c r="C114" i="17" s="1"/>
  <c r="D147" i="17" s="1"/>
  <c r="I63" i="17"/>
  <c r="I108" i="17" s="1"/>
  <c r="C114" i="55"/>
  <c r="A281" i="65"/>
  <c r="M293" i="65" s="1"/>
  <c r="H214" i="49"/>
  <c r="I214" i="49"/>
  <c r="A214" i="49"/>
  <c r="K224" i="49" s="1"/>
  <c r="E157" i="63"/>
  <c r="E159" i="63"/>
  <c r="G167" i="63" s="1"/>
  <c r="E165" i="63"/>
  <c r="B73" i="25"/>
  <c r="F408" i="67"/>
  <c r="D408" i="67"/>
  <c r="C178" i="67"/>
  <c r="E416" i="73"/>
  <c r="C416" i="73"/>
  <c r="C198" i="73"/>
  <c r="B198" i="73"/>
  <c r="C26" i="47"/>
  <c r="E274" i="47"/>
  <c r="C274" i="47"/>
  <c r="B26" i="47"/>
  <c r="E216" i="37"/>
  <c r="A216" i="37"/>
  <c r="K226" i="37" s="1"/>
  <c r="D150" i="11"/>
  <c r="F150" i="11"/>
  <c r="C34" i="11"/>
  <c r="J10" i="81"/>
  <c r="C74" i="33"/>
  <c r="E44" i="95"/>
  <c r="G52" i="95" s="1"/>
  <c r="E42" i="95"/>
  <c r="E50" i="95"/>
  <c r="J6" i="107"/>
  <c r="C33" i="5"/>
  <c r="M357" i="75"/>
  <c r="L357" i="75"/>
  <c r="G357" i="75"/>
  <c r="A357" i="75"/>
  <c r="O371" i="75" s="1"/>
  <c r="A154" i="31"/>
  <c r="I162" i="31" s="1"/>
  <c r="E142" i="13"/>
  <c r="C142" i="13"/>
  <c r="C18" i="13"/>
  <c r="B18" i="13"/>
  <c r="A177" i="27"/>
  <c r="A183" i="27" s="1"/>
  <c r="C298" i="51"/>
  <c r="E298" i="51"/>
  <c r="C83" i="51"/>
  <c r="B83" i="51"/>
  <c r="F318" i="55"/>
  <c r="C57" i="33"/>
  <c r="E58" i="19"/>
  <c r="I68" i="19" s="1"/>
  <c r="E56" i="19"/>
  <c r="B57" i="19"/>
  <c r="C62" i="19"/>
  <c r="E83" i="39"/>
  <c r="B84" i="39"/>
  <c r="E85" i="39"/>
  <c r="K97" i="39" s="1"/>
  <c r="I95" i="39"/>
  <c r="C63" i="81"/>
  <c r="C102" i="41"/>
  <c r="D190" i="17"/>
  <c r="B102" i="39"/>
  <c r="B199" i="63"/>
  <c r="E198" i="63"/>
  <c r="E200" i="63"/>
  <c r="M214" i="63" s="1"/>
  <c r="K212" i="63"/>
  <c r="C135" i="59"/>
  <c r="C46" i="47"/>
  <c r="I283" i="55"/>
  <c r="H283" i="55"/>
  <c r="A283" i="55"/>
  <c r="M295" i="55" s="1"/>
  <c r="D314" i="51"/>
  <c r="C122" i="51"/>
  <c r="F314" i="51"/>
  <c r="C228" i="17"/>
  <c r="C73" i="17"/>
  <c r="E228" i="17"/>
  <c r="B73" i="17"/>
  <c r="C84" i="51"/>
  <c r="B140" i="39"/>
  <c r="B73" i="73"/>
  <c r="E72" i="73"/>
  <c r="E74" i="73"/>
  <c r="I84" i="73" s="1"/>
  <c r="G82" i="73"/>
  <c r="C100" i="99"/>
  <c r="K114" i="99" s="1"/>
  <c r="K276" i="99" s="1"/>
  <c r="L321" i="99" s="1"/>
  <c r="M112" i="99"/>
  <c r="M274" i="99" s="1"/>
  <c r="N319" i="99" s="1"/>
  <c r="C403" i="141"/>
  <c r="E403" i="141"/>
  <c r="C55" i="141"/>
  <c r="B55" i="141"/>
  <c r="C34" i="119"/>
  <c r="E395" i="119"/>
  <c r="C395" i="119"/>
  <c r="B34" i="119"/>
  <c r="C74" i="109"/>
  <c r="F223" i="109"/>
  <c r="D223" i="109"/>
  <c r="E97" i="93"/>
  <c r="E99" i="93"/>
  <c r="M113" i="93" s="1"/>
  <c r="B98" i="93"/>
  <c r="K111" i="93"/>
  <c r="G314" i="51"/>
  <c r="G308" i="51"/>
  <c r="G274" i="51"/>
  <c r="D177" i="69"/>
  <c r="D179" i="69"/>
  <c r="L193" i="69" s="1"/>
  <c r="J191" i="69"/>
  <c r="E184" i="91"/>
  <c r="G192" i="91" s="1"/>
  <c r="B183" i="91"/>
  <c r="E182" i="91"/>
  <c r="K196" i="91"/>
  <c r="D121" i="47"/>
  <c r="D123" i="47"/>
  <c r="H133" i="47" s="1"/>
  <c r="D129" i="47"/>
  <c r="D177" i="65"/>
  <c r="D179" i="65"/>
  <c r="J191" i="65" s="1"/>
  <c r="D185" i="65"/>
  <c r="A326" i="93"/>
  <c r="M338" i="93" s="1"/>
  <c r="D381" i="93"/>
  <c r="D380" i="93"/>
  <c r="D385" i="93"/>
  <c r="A238" i="89"/>
  <c r="K248" i="89" s="1"/>
  <c r="D408" i="97"/>
  <c r="D404" i="97"/>
  <c r="D403" i="97"/>
  <c r="E322" i="47"/>
  <c r="C140" i="47"/>
  <c r="B140" i="47"/>
  <c r="C322" i="47"/>
  <c r="D64" i="45"/>
  <c r="D66" i="45"/>
  <c r="F74" i="45" s="1"/>
  <c r="D72" i="45"/>
  <c r="C467" i="117"/>
  <c r="C223" i="117"/>
  <c r="E467" i="117"/>
  <c r="B223" i="117"/>
  <c r="D92" i="87"/>
  <c r="D94" i="87"/>
  <c r="F102" i="87" s="1"/>
  <c r="B98" i="87"/>
  <c r="B76" i="93"/>
  <c r="E142" i="37"/>
  <c r="K154" i="37" s="1"/>
  <c r="B141" i="37"/>
  <c r="E140" i="37"/>
  <c r="E148" i="37"/>
  <c r="C486" i="75"/>
  <c r="E486" i="75"/>
  <c r="B172" i="75"/>
  <c r="C172" i="75"/>
  <c r="A287" i="59"/>
  <c r="M299" i="59" s="1"/>
  <c r="D287" i="59"/>
  <c r="C287" i="59"/>
  <c r="C51" i="71"/>
  <c r="C360" i="71"/>
  <c r="B51" i="71"/>
  <c r="E360" i="71"/>
  <c r="E332" i="41"/>
  <c r="N7" i="41"/>
  <c r="A282" i="41" s="1"/>
  <c r="K7" i="41"/>
  <c r="D177" i="29"/>
  <c r="D178" i="29"/>
  <c r="I319" i="57"/>
  <c r="D298" i="53"/>
  <c r="C84" i="53"/>
  <c r="F298" i="53"/>
  <c r="E92" i="19"/>
  <c r="I102" i="19" s="1"/>
  <c r="B91" i="19"/>
  <c r="E90" i="19"/>
  <c r="E98" i="19"/>
  <c r="G361" i="69"/>
  <c r="G353" i="69"/>
  <c r="G385" i="69"/>
  <c r="C290" i="53"/>
  <c r="E290" i="53"/>
  <c r="C64" i="53"/>
  <c r="B64" i="53"/>
  <c r="C93" i="71"/>
  <c r="D510" i="83"/>
  <c r="D519" i="83"/>
  <c r="D511" i="83"/>
  <c r="E109" i="25"/>
  <c r="F142" i="25" s="1"/>
  <c r="C23" i="31"/>
  <c r="D104" i="35"/>
  <c r="J116" i="35" s="1"/>
  <c r="D102" i="35"/>
  <c r="H114" i="35"/>
  <c r="D95" i="65"/>
  <c r="J107" i="65" s="1"/>
  <c r="D93" i="65"/>
  <c r="H105" i="65"/>
  <c r="E530" i="79"/>
  <c r="N9" i="79"/>
  <c r="A462" i="79" s="1"/>
  <c r="D334" i="73"/>
  <c r="C215" i="81"/>
  <c r="Q227" i="81" s="1"/>
  <c r="Q371" i="81" s="1"/>
  <c r="R428" i="81" s="1"/>
  <c r="K233" i="81"/>
  <c r="K377" i="81" s="1"/>
  <c r="L434" i="81" s="1"/>
  <c r="A359" i="77"/>
  <c r="O373" i="77" s="1"/>
  <c r="H359" i="77"/>
  <c r="I359" i="77"/>
  <c r="M359" i="77"/>
  <c r="C266" i="79"/>
  <c r="O276" i="79" s="1"/>
  <c r="O293" i="79" s="1"/>
  <c r="P344" i="79" s="1"/>
  <c r="I282" i="79"/>
  <c r="I299" i="79" s="1"/>
  <c r="J350" i="79" s="1"/>
  <c r="C93" i="63"/>
  <c r="B93" i="63"/>
  <c r="E376" i="63"/>
  <c r="C376" i="63"/>
  <c r="A218" i="35"/>
  <c r="K228" i="35" s="1"/>
  <c r="D220" i="25"/>
  <c r="C57" i="25"/>
  <c r="F220" i="25"/>
  <c r="A197" i="95"/>
  <c r="A203" i="95" s="1"/>
  <c r="C157" i="65"/>
  <c r="F400" i="65"/>
  <c r="D400" i="65"/>
  <c r="E104" i="77"/>
  <c r="E106" i="77"/>
  <c r="K118" i="77" s="1"/>
  <c r="C110" i="77"/>
  <c r="I244" i="47"/>
  <c r="D193" i="29"/>
  <c r="D22" i="15"/>
  <c r="D24" i="15"/>
  <c r="D30" i="15" s="1"/>
  <c r="D109" i="15" s="1"/>
  <c r="B28" i="15"/>
  <c r="B107" i="15" s="1"/>
  <c r="C140" i="15" s="1"/>
  <c r="D360" i="75"/>
  <c r="C360" i="75"/>
  <c r="A360" i="75"/>
  <c r="O374" i="75" s="1"/>
  <c r="K360" i="75"/>
  <c r="I360" i="75"/>
  <c r="J360" i="75"/>
  <c r="H360" i="75"/>
  <c r="I365" i="75"/>
  <c r="H365" i="75"/>
  <c r="C365" i="75"/>
  <c r="A365" i="75"/>
  <c r="O379" i="75" s="1"/>
  <c r="D365" i="75"/>
  <c r="G204" i="15"/>
  <c r="G212" i="15"/>
  <c r="E429" i="67"/>
  <c r="N10" i="67"/>
  <c r="A384" i="67" s="1"/>
  <c r="J10" i="67"/>
  <c r="A101" i="7"/>
  <c r="G107" i="7" s="1"/>
  <c r="A178" i="27"/>
  <c r="A184" i="27" s="1"/>
  <c r="D90" i="27"/>
  <c r="D92" i="27"/>
  <c r="F100" i="27" s="1"/>
  <c r="B96" i="27"/>
  <c r="C27" i="35"/>
  <c r="B22" i="29"/>
  <c r="A213" i="47"/>
  <c r="K223" i="47" s="1"/>
  <c r="G318" i="55"/>
  <c r="C155" i="27"/>
  <c r="A155" i="27"/>
  <c r="I163" i="27" s="1"/>
  <c r="A212" i="53"/>
  <c r="K222" i="53" s="1"/>
  <c r="D179" i="17"/>
  <c r="A179" i="17"/>
  <c r="A185" i="17" s="1"/>
  <c r="D228" i="23"/>
  <c r="C74" i="23"/>
  <c r="F228" i="23"/>
  <c r="A285" i="71"/>
  <c r="M297" i="71" s="1"/>
  <c r="G285" i="71"/>
  <c r="B102" i="41"/>
  <c r="D243" i="43"/>
  <c r="D313" i="81"/>
  <c r="D315" i="81"/>
  <c r="P333" i="81" s="1"/>
  <c r="F323" i="81"/>
  <c r="D191" i="17"/>
  <c r="C102" i="39"/>
  <c r="D56" i="15"/>
  <c r="F66" i="15"/>
  <c r="D58" i="15"/>
  <c r="D64" i="15" s="1"/>
  <c r="I284" i="55"/>
  <c r="H284" i="55"/>
  <c r="C284" i="55"/>
  <c r="D284" i="55"/>
  <c r="A284" i="55"/>
  <c r="M296" i="55" s="1"/>
  <c r="G158" i="11"/>
  <c r="G152" i="11"/>
  <c r="A102" i="13"/>
  <c r="G108" i="13" s="1"/>
  <c r="B178" i="65"/>
  <c r="E177" i="65"/>
  <c r="E179" i="65"/>
  <c r="K191" i="65" s="1"/>
  <c r="E185" i="65"/>
  <c r="F421" i="97"/>
  <c r="D421" i="97"/>
  <c r="C37" i="97"/>
  <c r="E31" i="65"/>
  <c r="E33" i="65"/>
  <c r="E39" i="65" s="1"/>
  <c r="C37" i="65"/>
  <c r="A354" i="97"/>
  <c r="M366" i="97" s="1"/>
  <c r="E21" i="103"/>
  <c r="E27" i="103" s="1"/>
  <c r="E66" i="103" s="1"/>
  <c r="F93" i="103" s="1"/>
  <c r="E19" i="103"/>
  <c r="C25" i="103"/>
  <c r="A155" i="21"/>
  <c r="I163" i="21" s="1"/>
  <c r="C155" i="21"/>
  <c r="A171" i="87"/>
  <c r="I179" i="87" s="1"/>
  <c r="B215" i="83"/>
  <c r="P227" i="83" s="1"/>
  <c r="P371" i="83" s="1"/>
  <c r="Q428" i="83" s="1"/>
  <c r="J233" i="83"/>
  <c r="J377" i="83" s="1"/>
  <c r="K434" i="83" s="1"/>
  <c r="A330" i="119"/>
  <c r="L341" i="119" s="1"/>
  <c r="E138" i="69"/>
  <c r="K150" i="69" s="1"/>
  <c r="K228" i="69" s="1"/>
  <c r="L273" i="69" s="1"/>
  <c r="E136" i="69"/>
  <c r="G146" i="69"/>
  <c r="D246" i="97"/>
  <c r="D248" i="97"/>
  <c r="F256" i="97" s="1"/>
  <c r="J260" i="97"/>
  <c r="A281" i="59"/>
  <c r="M293" i="59" s="1"/>
  <c r="J281" i="59"/>
  <c r="K281" i="59"/>
  <c r="G281" i="59"/>
  <c r="D41" i="27"/>
  <c r="F49" i="27" s="1"/>
  <c r="D39" i="27"/>
  <c r="D47" i="27"/>
  <c r="G145" i="9"/>
  <c r="G151" i="9"/>
  <c r="E430" i="93"/>
  <c r="C430" i="93"/>
  <c r="C118" i="93"/>
  <c r="B118" i="93"/>
  <c r="F384" i="65"/>
  <c r="C115" i="65"/>
  <c r="D384" i="65"/>
  <c r="C45" i="41"/>
  <c r="C282" i="41"/>
  <c r="E282" i="41"/>
  <c r="B45" i="41"/>
  <c r="D228" i="31"/>
  <c r="C74" i="31"/>
  <c r="F228" i="31"/>
  <c r="A155" i="29"/>
  <c r="I163" i="29" s="1"/>
  <c r="C157" i="61"/>
  <c r="F400" i="61"/>
  <c r="D400" i="61"/>
  <c r="E25" i="25"/>
  <c r="E31" i="25" s="1"/>
  <c r="E23" i="25"/>
  <c r="C29" i="25"/>
  <c r="B95" i="55"/>
  <c r="J109" i="55" s="1"/>
  <c r="J229" i="55" s="1"/>
  <c r="K274" i="55" s="1"/>
  <c r="L107" i="55"/>
  <c r="L227" i="55" s="1"/>
  <c r="M272" i="55" s="1"/>
  <c r="D319" i="71"/>
  <c r="C319" i="71"/>
  <c r="A319" i="71"/>
  <c r="A329" i="71" s="1"/>
  <c r="I319" i="71"/>
  <c r="H319" i="71"/>
  <c r="G230" i="23"/>
  <c r="G204" i="23"/>
  <c r="J444" i="83"/>
  <c r="A444" i="83"/>
  <c r="Q460" i="83" s="1"/>
  <c r="D444" i="83"/>
  <c r="C444" i="83"/>
  <c r="M444" i="83"/>
  <c r="L444" i="83"/>
  <c r="K444" i="83"/>
  <c r="B57" i="33"/>
  <c r="E56" i="33"/>
  <c r="E58" i="33"/>
  <c r="I68" i="33" s="1"/>
  <c r="G66" i="33"/>
  <c r="A245" i="37"/>
  <c r="A253" i="37" s="1"/>
  <c r="G245" i="37"/>
  <c r="F245" i="37"/>
  <c r="E47" i="47"/>
  <c r="G55" i="47" s="1"/>
  <c r="E45" i="47"/>
  <c r="B46" i="47"/>
  <c r="E53" i="47"/>
  <c r="B103" i="35"/>
  <c r="E102" i="35"/>
  <c r="E104" i="35"/>
  <c r="K116" i="35" s="1"/>
  <c r="I114" i="35"/>
  <c r="D339" i="65"/>
  <c r="D334" i="65"/>
  <c r="D335" i="65"/>
  <c r="E462" i="79"/>
  <c r="C462" i="79"/>
  <c r="B103" i="79"/>
  <c r="C285" i="69"/>
  <c r="A285" i="69"/>
  <c r="M297" i="69" s="1"/>
  <c r="I285" i="69"/>
  <c r="G285" i="69"/>
  <c r="F285" i="69"/>
  <c r="D214" i="81"/>
  <c r="D216" i="81"/>
  <c r="J228" i="81" s="1"/>
  <c r="P234" i="81"/>
  <c r="G227" i="105"/>
  <c r="G201" i="105"/>
  <c r="G233" i="105"/>
  <c r="A365" i="77"/>
  <c r="O379" i="77" s="1"/>
  <c r="D365" i="77"/>
  <c r="C365" i="77"/>
  <c r="I365" i="77"/>
  <c r="H365" i="77"/>
  <c r="K317" i="67"/>
  <c r="J317" i="67"/>
  <c r="I317" i="67"/>
  <c r="H317" i="67"/>
  <c r="G317" i="67"/>
  <c r="F317" i="67"/>
  <c r="A317" i="67"/>
  <c r="A327" i="67" s="1"/>
  <c r="A280" i="61"/>
  <c r="M292" i="61" s="1"/>
  <c r="F502" i="79"/>
  <c r="D502" i="79"/>
  <c r="C219" i="79"/>
  <c r="E274" i="35"/>
  <c r="C274" i="35"/>
  <c r="C26" i="35"/>
  <c r="B26" i="35"/>
  <c r="D179" i="59"/>
  <c r="F187" i="59" s="1"/>
  <c r="D177" i="59"/>
  <c r="L193" i="59"/>
  <c r="H284" i="73"/>
  <c r="D284" i="73"/>
  <c r="I284" i="73"/>
  <c r="C284" i="73"/>
  <c r="A284" i="73"/>
  <c r="M296" i="73" s="1"/>
  <c r="A198" i="95"/>
  <c r="A204" i="95" s="1"/>
  <c r="E51" i="13"/>
  <c r="C55" i="13" s="1"/>
  <c r="E49" i="13"/>
  <c r="G59" i="13"/>
  <c r="C52" i="71"/>
  <c r="F360" i="71"/>
  <c r="D360" i="71"/>
  <c r="H244" i="47"/>
  <c r="E22" i="15"/>
  <c r="E24" i="15"/>
  <c r="E30" i="15" s="1"/>
  <c r="B23" i="15"/>
  <c r="C28" i="15"/>
  <c r="C107" i="15" s="1"/>
  <c r="D140" i="15" s="1"/>
  <c r="G362" i="75"/>
  <c r="F362" i="75"/>
  <c r="E362" i="75"/>
  <c r="A362" i="75"/>
  <c r="O376" i="75" s="1"/>
  <c r="L362" i="75"/>
  <c r="M362" i="75"/>
  <c r="G205" i="15"/>
  <c r="G213" i="15"/>
  <c r="F384" i="67"/>
  <c r="D384" i="67"/>
  <c r="B63" i="7"/>
  <c r="C90" i="7" s="1"/>
  <c r="B91" i="27"/>
  <c r="E90" i="27"/>
  <c r="E92" i="27"/>
  <c r="G100" i="27" s="1"/>
  <c r="C96" i="27"/>
  <c r="A217" i="53"/>
  <c r="K227" i="53" s="1"/>
  <c r="B263" i="81"/>
  <c r="C74" i="27"/>
  <c r="E40" i="21"/>
  <c r="E42" i="21"/>
  <c r="I52" i="21" s="1"/>
  <c r="C46" i="21"/>
  <c r="A214" i="37"/>
  <c r="K224" i="37" s="1"/>
  <c r="G214" i="37"/>
  <c r="F214" i="37"/>
  <c r="H243" i="43"/>
  <c r="H245" i="43"/>
  <c r="B314" i="81"/>
  <c r="E313" i="81"/>
  <c r="E315" i="81"/>
  <c r="Q333" i="81" s="1"/>
  <c r="G323" i="81"/>
  <c r="E199" i="63"/>
  <c r="E201" i="63"/>
  <c r="M215" i="63" s="1"/>
  <c r="K213" i="63"/>
  <c r="C158" i="5"/>
  <c r="E158" i="5"/>
  <c r="C48" i="5"/>
  <c r="B48" i="5"/>
  <c r="C56" i="15"/>
  <c r="J317" i="61"/>
  <c r="I317" i="61"/>
  <c r="H317" i="61"/>
  <c r="A317" i="61"/>
  <c r="A327" i="61" s="1"/>
  <c r="K317" i="61"/>
  <c r="E317" i="61"/>
  <c r="G150" i="11"/>
  <c r="G144" i="11"/>
  <c r="A100" i="13"/>
  <c r="G106" i="13" s="1"/>
  <c r="B177" i="55"/>
  <c r="F232" i="3"/>
  <c r="J256" i="3" s="1"/>
  <c r="A173" i="87"/>
  <c r="I181" i="87" s="1"/>
  <c r="B93" i="87"/>
  <c r="E92" i="87"/>
  <c r="E94" i="87"/>
  <c r="G102" i="87" s="1"/>
  <c r="C98" i="87"/>
  <c r="A328" i="99"/>
  <c r="M340" i="99" s="1"/>
  <c r="G328" i="99"/>
  <c r="F328" i="99"/>
  <c r="E640" i="83"/>
  <c r="N9" i="83"/>
  <c r="A556" i="83" s="1"/>
  <c r="E39" i="27"/>
  <c r="E41" i="27"/>
  <c r="G49" i="27" s="1"/>
  <c r="B40" i="27"/>
  <c r="E47" i="27"/>
  <c r="D116" i="69"/>
  <c r="H126" i="69" s="1"/>
  <c r="D114" i="69"/>
  <c r="B120" i="69"/>
  <c r="D106" i="89"/>
  <c r="J118" i="89" s="1"/>
  <c r="D104" i="89"/>
  <c r="H116" i="89"/>
  <c r="D348" i="91"/>
  <c r="F348" i="91"/>
  <c r="C107" i="91"/>
  <c r="E400" i="65"/>
  <c r="B156" i="65"/>
  <c r="C156" i="65"/>
  <c r="C400" i="65"/>
  <c r="F255" i="85"/>
  <c r="D255" i="85"/>
  <c r="C93" i="85"/>
  <c r="M399" i="75"/>
  <c r="L399" i="75"/>
  <c r="K399" i="75"/>
  <c r="J399" i="75"/>
  <c r="F399" i="75"/>
  <c r="G399" i="75"/>
  <c r="E399" i="75"/>
  <c r="A399" i="75"/>
  <c r="A411" i="75" s="1"/>
  <c r="A155" i="33"/>
  <c r="I163" i="33" s="1"/>
  <c r="G286" i="57"/>
  <c r="A286" i="57"/>
  <c r="M298" i="57" s="1"/>
  <c r="F286" i="57"/>
  <c r="E286" i="57"/>
  <c r="D264" i="75"/>
  <c r="D266" i="75"/>
  <c r="H276" i="75" s="1"/>
  <c r="N282" i="75"/>
  <c r="E96" i="61"/>
  <c r="K108" i="61" s="1"/>
  <c r="E94" i="61"/>
  <c r="I106" i="61"/>
  <c r="K318" i="71"/>
  <c r="J318" i="71"/>
  <c r="G318" i="71"/>
  <c r="A318" i="71"/>
  <c r="A328" i="71" s="1"/>
  <c r="F318" i="71"/>
  <c r="E318" i="71"/>
  <c r="G355" i="69"/>
  <c r="G369" i="69"/>
  <c r="F398" i="93"/>
  <c r="D398" i="93"/>
  <c r="C35" i="93"/>
  <c r="D217" i="45"/>
  <c r="C217" i="45"/>
  <c r="A217" i="45"/>
  <c r="K227" i="45" s="1"/>
  <c r="D39" i="19"/>
  <c r="D41" i="19"/>
  <c r="F49" i="19" s="1"/>
  <c r="D47" i="19"/>
  <c r="G236" i="23"/>
  <c r="G212" i="23"/>
  <c r="G206" i="23"/>
  <c r="B45" i="39"/>
  <c r="E282" i="39"/>
  <c r="C282" i="39"/>
  <c r="C45" i="39"/>
  <c r="F392" i="55"/>
  <c r="D392" i="55"/>
  <c r="C136" i="55"/>
  <c r="I447" i="83"/>
  <c r="H447" i="83"/>
  <c r="G447" i="83"/>
  <c r="F447" i="83"/>
  <c r="A447" i="83"/>
  <c r="Q463" i="83" s="1"/>
  <c r="E447" i="83"/>
  <c r="O447" i="83"/>
  <c r="N447" i="83"/>
  <c r="E92" i="23"/>
  <c r="I102" i="23" s="1"/>
  <c r="B91" i="23"/>
  <c r="E90" i="23"/>
  <c r="E98" i="23"/>
  <c r="D236" i="31"/>
  <c r="F236" i="31"/>
  <c r="C91" i="31"/>
  <c r="B24" i="25"/>
  <c r="B30" i="25" s="1"/>
  <c r="B109" i="25" s="1"/>
  <c r="C142" i="25" s="1"/>
  <c r="D28" i="25"/>
  <c r="D107" i="25" s="1"/>
  <c r="E140" i="25" s="1"/>
  <c r="E244" i="75"/>
  <c r="G252" i="75" s="1"/>
  <c r="E242" i="75"/>
  <c r="O260" i="75"/>
  <c r="F288" i="65"/>
  <c r="A288" i="65"/>
  <c r="M300" i="65" s="1"/>
  <c r="G288" i="65"/>
  <c r="A216" i="49"/>
  <c r="K226" i="49" s="1"/>
  <c r="G234" i="105"/>
  <c r="G228" i="105"/>
  <c r="G202" i="105"/>
  <c r="D200" i="67"/>
  <c r="J212" i="67" s="1"/>
  <c r="H210" i="67"/>
  <c r="D198" i="67"/>
  <c r="A319" i="67"/>
  <c r="A329" i="67" s="1"/>
  <c r="K319" i="67"/>
  <c r="J319" i="67"/>
  <c r="H319" i="67"/>
  <c r="I319" i="67"/>
  <c r="K284" i="61"/>
  <c r="J284" i="61"/>
  <c r="E284" i="61"/>
  <c r="A284" i="61"/>
  <c r="M296" i="61" s="1"/>
  <c r="E177" i="59"/>
  <c r="B178" i="59"/>
  <c r="E179" i="59"/>
  <c r="G187" i="59" s="1"/>
  <c r="M193" i="59"/>
  <c r="D33" i="9"/>
  <c r="D35" i="9"/>
  <c r="F43" i="9" s="1"/>
  <c r="D41" i="9"/>
  <c r="E285" i="73"/>
  <c r="A285" i="73"/>
  <c r="M297" i="73" s="1"/>
  <c r="G285" i="73"/>
  <c r="F285" i="73"/>
  <c r="E216" i="35"/>
  <c r="A216" i="35"/>
  <c r="K226" i="35" s="1"/>
  <c r="C306" i="51"/>
  <c r="C102" i="51"/>
  <c r="B102" i="51"/>
  <c r="E306" i="51"/>
  <c r="B83" i="53"/>
  <c r="A364" i="75"/>
  <c r="O378" i="75" s="1"/>
  <c r="G364" i="75"/>
  <c r="D419" i="75"/>
  <c r="D418" i="75"/>
  <c r="D425" i="75"/>
  <c r="B80" i="77"/>
  <c r="E454" i="77"/>
  <c r="C454" i="77"/>
  <c r="C80" i="77"/>
  <c r="D33" i="13"/>
  <c r="D35" i="13"/>
  <c r="F43" i="13" s="1"/>
  <c r="F67" i="13" s="1"/>
  <c r="G94" i="13" s="1"/>
  <c r="D41" i="13"/>
  <c r="D191" i="31"/>
  <c r="D190" i="31"/>
  <c r="D193" i="31"/>
  <c r="B215" i="81"/>
  <c r="P227" i="81" s="1"/>
  <c r="P371" i="81" s="1"/>
  <c r="Q428" i="81" s="1"/>
  <c r="J233" i="81"/>
  <c r="J377" i="81" s="1"/>
  <c r="E215" i="39"/>
  <c r="A215" i="39"/>
  <c r="K225" i="39" s="1"/>
  <c r="C23" i="21"/>
  <c r="E40" i="19"/>
  <c r="E42" i="19"/>
  <c r="G50" i="19" s="1"/>
  <c r="E48" i="19"/>
  <c r="F179" i="21"/>
  <c r="H244" i="37"/>
  <c r="H243" i="37"/>
  <c r="A319" i="73"/>
  <c r="A329" i="73" s="1"/>
  <c r="I319" i="73"/>
  <c r="H319" i="73"/>
  <c r="D319" i="73"/>
  <c r="C319" i="73"/>
  <c r="C141" i="37"/>
  <c r="L263" i="3"/>
  <c r="A274" i="3" s="1"/>
  <c r="A285" i="3" s="1"/>
  <c r="A319" i="61"/>
  <c r="A329" i="61" s="1"/>
  <c r="G319" i="61"/>
  <c r="I319" i="61"/>
  <c r="F319" i="61"/>
  <c r="H319" i="61"/>
  <c r="G281" i="55"/>
  <c r="A281" i="55"/>
  <c r="M293" i="55" s="1"/>
  <c r="D212" i="29"/>
  <c r="C40" i="29"/>
  <c r="F212" i="29"/>
  <c r="C18" i="5"/>
  <c r="E142" i="5"/>
  <c r="C142" i="5"/>
  <c r="B18" i="5"/>
  <c r="A101" i="13"/>
  <c r="G107" i="13" s="1"/>
  <c r="C19" i="5"/>
  <c r="F142" i="5"/>
  <c r="D142" i="5"/>
  <c r="C177" i="55"/>
  <c r="C105" i="89"/>
  <c r="D327" i="89"/>
  <c r="F327" i="89"/>
  <c r="D204" i="93"/>
  <c r="D210" i="93" s="1"/>
  <c r="D202" i="93"/>
  <c r="H214" i="93"/>
  <c r="A260" i="91"/>
  <c r="K270" i="91" s="1"/>
  <c r="D491" i="81"/>
  <c r="F491" i="81"/>
  <c r="E491" i="81"/>
  <c r="C491" i="81"/>
  <c r="A491" i="81"/>
  <c r="A505" i="81" s="1"/>
  <c r="M491" i="81"/>
  <c r="K491" i="81"/>
  <c r="J491" i="81"/>
  <c r="L491" i="81"/>
  <c r="F478" i="93"/>
  <c r="D478" i="93"/>
  <c r="C245" i="93"/>
  <c r="D135" i="71"/>
  <c r="D137" i="71"/>
  <c r="H147" i="71" s="1"/>
  <c r="L151" i="71"/>
  <c r="E357" i="115"/>
  <c r="N6" i="115"/>
  <c r="A292" i="115" s="1"/>
  <c r="A116" i="101"/>
  <c r="A121" i="101" s="1"/>
  <c r="E61" i="85"/>
  <c r="I71" i="85" s="1"/>
  <c r="E59" i="85"/>
  <c r="G69" i="85"/>
  <c r="A175" i="87"/>
  <c r="I183" i="87" s="1"/>
  <c r="E454" i="75"/>
  <c r="C454" i="75"/>
  <c r="B80" i="75"/>
  <c r="C80" i="75"/>
  <c r="A327" i="99"/>
  <c r="M339" i="99" s="1"/>
  <c r="B22" i="21"/>
  <c r="J9" i="83"/>
  <c r="B32" i="63"/>
  <c r="B38" i="63" s="1"/>
  <c r="B221" i="63" s="1"/>
  <c r="C266" i="63" s="1"/>
  <c r="D36" i="63"/>
  <c r="D219" i="63" s="1"/>
  <c r="E264" i="63" s="1"/>
  <c r="G400" i="57"/>
  <c r="G352" i="57"/>
  <c r="A212" i="41"/>
  <c r="K222" i="41" s="1"/>
  <c r="C104" i="89"/>
  <c r="B99" i="99"/>
  <c r="J113" i="99" s="1"/>
  <c r="J275" i="99" s="1"/>
  <c r="L111" i="99"/>
  <c r="L273" i="99" s="1"/>
  <c r="M318" i="99" s="1"/>
  <c r="H284" i="69"/>
  <c r="B26" i="37"/>
  <c r="J401" i="75"/>
  <c r="I401" i="75"/>
  <c r="H401" i="75"/>
  <c r="D401" i="75"/>
  <c r="K401" i="75"/>
  <c r="C401" i="75"/>
  <c r="A401" i="75"/>
  <c r="A413" i="75" s="1"/>
  <c r="C78" i="97"/>
  <c r="A156" i="33"/>
  <c r="I164" i="33" s="1"/>
  <c r="C319" i="57"/>
  <c r="B120" i="97"/>
  <c r="E453" i="97"/>
  <c r="C453" i="97"/>
  <c r="C120" i="97"/>
  <c r="G286" i="73"/>
  <c r="D49" i="91"/>
  <c r="D51" i="91"/>
  <c r="F59" i="91" s="1"/>
  <c r="D57" i="91"/>
  <c r="B265" i="75"/>
  <c r="E264" i="75"/>
  <c r="E266" i="75"/>
  <c r="I276" i="75" s="1"/>
  <c r="O282" i="75"/>
  <c r="K317" i="71"/>
  <c r="J317" i="71"/>
  <c r="A317" i="71"/>
  <c r="A327" i="71" s="1"/>
  <c r="F317" i="71"/>
  <c r="G317" i="71"/>
  <c r="E317" i="71"/>
  <c r="D198" i="61"/>
  <c r="D200" i="61"/>
  <c r="L214" i="61" s="1"/>
  <c r="D206" i="61"/>
  <c r="D135" i="55"/>
  <c r="D137" i="55"/>
  <c r="D143" i="55" s="1"/>
  <c r="J149" i="55"/>
  <c r="B40" i="19"/>
  <c r="E39" i="19"/>
  <c r="E41" i="19"/>
  <c r="G49" i="19" s="1"/>
  <c r="E47" i="19"/>
  <c r="E248" i="29"/>
  <c r="N9" i="29"/>
  <c r="A228" i="29" s="1"/>
  <c r="J9" i="29"/>
  <c r="I440" i="83"/>
  <c r="H440" i="83"/>
  <c r="G440" i="83"/>
  <c r="A440" i="83"/>
  <c r="Q456" i="83" s="1"/>
  <c r="O440" i="83"/>
  <c r="N440" i="83"/>
  <c r="B56" i="33"/>
  <c r="D282" i="39"/>
  <c r="C46" i="39"/>
  <c r="F282" i="39"/>
  <c r="C74" i="19"/>
  <c r="F228" i="19"/>
  <c r="D228" i="19"/>
  <c r="F446" i="75"/>
  <c r="D446" i="75"/>
  <c r="C58" i="75"/>
  <c r="A280" i="65"/>
  <c r="M292" i="65" s="1"/>
  <c r="C157" i="55"/>
  <c r="F400" i="55"/>
  <c r="D400" i="55"/>
  <c r="E274" i="51"/>
  <c r="C274" i="51"/>
  <c r="C26" i="51"/>
  <c r="B26" i="51"/>
  <c r="G203" i="105"/>
  <c r="G209" i="105"/>
  <c r="E200" i="67"/>
  <c r="K212" i="67" s="1"/>
  <c r="B199" i="67"/>
  <c r="E198" i="67"/>
  <c r="I210" i="67"/>
  <c r="G361" i="77"/>
  <c r="F361" i="77"/>
  <c r="E361" i="77"/>
  <c r="M361" i="77"/>
  <c r="L361" i="77"/>
  <c r="A361" i="77"/>
  <c r="O375" i="77" s="1"/>
  <c r="C322" i="41"/>
  <c r="C140" i="41"/>
  <c r="E322" i="41"/>
  <c r="B140" i="41"/>
  <c r="H318" i="67"/>
  <c r="A318" i="67"/>
  <c r="A328" i="67" s="1"/>
  <c r="K318" i="67"/>
  <c r="F318" i="67"/>
  <c r="J318" i="67"/>
  <c r="I318" i="67"/>
  <c r="G318" i="67"/>
  <c r="B46" i="43"/>
  <c r="E47" i="43"/>
  <c r="G55" i="43" s="1"/>
  <c r="E45" i="43"/>
  <c r="E53" i="43"/>
  <c r="F274" i="43"/>
  <c r="D274" i="43"/>
  <c r="C27" i="43"/>
  <c r="I288" i="61"/>
  <c r="G288" i="61"/>
  <c r="A288" i="61"/>
  <c r="M300" i="61" s="1"/>
  <c r="F288" i="61"/>
  <c r="J317" i="55"/>
  <c r="F322" i="35"/>
  <c r="D322" i="35"/>
  <c r="C141" i="35"/>
  <c r="G286" i="69"/>
  <c r="F286" i="69"/>
  <c r="C286" i="69"/>
  <c r="A286" i="69"/>
  <c r="M298" i="69" s="1"/>
  <c r="A213" i="35"/>
  <c r="K223" i="35" s="1"/>
  <c r="E66" i="83"/>
  <c r="G74" i="83" s="1"/>
  <c r="E64" i="83"/>
  <c r="E72" i="83"/>
  <c r="C83" i="53"/>
  <c r="C33" i="13"/>
  <c r="F152" i="31"/>
  <c r="G152" i="31"/>
  <c r="A152" i="31"/>
  <c r="I160" i="31" s="1"/>
  <c r="F245" i="53"/>
  <c r="A245" i="53"/>
  <c r="A253" i="53" s="1"/>
  <c r="G245" i="53"/>
  <c r="D92" i="21"/>
  <c r="F100" i="21" s="1"/>
  <c r="D90" i="21"/>
  <c r="B96" i="21"/>
  <c r="A215" i="37"/>
  <c r="K225" i="37" s="1"/>
  <c r="E215" i="37"/>
  <c r="G179" i="21"/>
  <c r="I244" i="37"/>
  <c r="I243" i="37"/>
  <c r="B90" i="33"/>
  <c r="D341" i="71"/>
  <c r="D335" i="71"/>
  <c r="D334" i="71"/>
  <c r="F158" i="5"/>
  <c r="D158" i="5"/>
  <c r="C49" i="5"/>
  <c r="M262" i="3"/>
  <c r="L259" i="3"/>
  <c r="A270" i="3" s="1"/>
  <c r="A281" i="3" s="1"/>
  <c r="C49" i="11"/>
  <c r="K318" i="61"/>
  <c r="J318" i="61"/>
  <c r="E318" i="61"/>
  <c r="A318" i="61"/>
  <c r="A328" i="61" s="1"/>
  <c r="I318" i="61"/>
  <c r="H318" i="61"/>
  <c r="D335" i="55"/>
  <c r="D341" i="55"/>
  <c r="D334" i="55"/>
  <c r="G151" i="11"/>
  <c r="G145" i="11"/>
  <c r="C122" i="35"/>
  <c r="B51" i="57"/>
  <c r="E360" i="57"/>
  <c r="C360" i="57"/>
  <c r="C51" i="57"/>
  <c r="C140" i="49"/>
  <c r="D384" i="69"/>
  <c r="F384" i="69"/>
  <c r="C115" i="69"/>
  <c r="E202" i="93"/>
  <c r="E204" i="93"/>
  <c r="E210" i="93" s="1"/>
  <c r="B203" i="93"/>
  <c r="I214" i="93"/>
  <c r="C189" i="81"/>
  <c r="F580" i="81"/>
  <c r="D580" i="81"/>
  <c r="E143" i="53"/>
  <c r="G151" i="53" s="1"/>
  <c r="E141" i="53"/>
  <c r="K155" i="53"/>
  <c r="J282" i="67"/>
  <c r="A282" i="67"/>
  <c r="M294" i="67" s="1"/>
  <c r="K282" i="67"/>
  <c r="C51" i="55"/>
  <c r="B51" i="55"/>
  <c r="E360" i="55"/>
  <c r="C360" i="55"/>
  <c r="E490" i="81"/>
  <c r="A490" i="81"/>
  <c r="A504" i="81" s="1"/>
  <c r="M490" i="81"/>
  <c r="O490" i="81"/>
  <c r="N490" i="81"/>
  <c r="L490" i="81"/>
  <c r="I490" i="81"/>
  <c r="H490" i="81"/>
  <c r="G490" i="81"/>
  <c r="F490" i="81"/>
  <c r="F392" i="61"/>
  <c r="C136" i="61"/>
  <c r="D392" i="61"/>
  <c r="E158" i="69"/>
  <c r="M172" i="69" s="1"/>
  <c r="E156" i="69"/>
  <c r="B157" i="69"/>
  <c r="I168" i="69"/>
  <c r="E21" i="101"/>
  <c r="E27" i="101" s="1"/>
  <c r="C25" i="101"/>
  <c r="C64" i="101" s="1"/>
  <c r="D91" i="101" s="1"/>
  <c r="E19" i="101"/>
  <c r="D123" i="39"/>
  <c r="D129" i="39" s="1"/>
  <c r="D121" i="39"/>
  <c r="H133" i="39"/>
  <c r="C135" i="71"/>
  <c r="A118" i="101"/>
  <c r="A123" i="101" s="1"/>
  <c r="D336" i="63"/>
  <c r="D335" i="63"/>
  <c r="D334" i="63"/>
  <c r="C126" i="79"/>
  <c r="B126" i="79"/>
  <c r="E470" i="79"/>
  <c r="C470" i="79"/>
  <c r="C22" i="21"/>
  <c r="A331" i="119"/>
  <c r="L342" i="119" s="1"/>
  <c r="E343" i="89"/>
  <c r="C343" i="89"/>
  <c r="C142" i="89"/>
  <c r="B142" i="89"/>
  <c r="A283" i="59"/>
  <c r="M295" i="59" s="1"/>
  <c r="F214" i="41"/>
  <c r="A214" i="41"/>
  <c r="K224" i="41" s="1"/>
  <c r="G214" i="41"/>
  <c r="G281" i="73"/>
  <c r="E28" i="37"/>
  <c r="E34" i="37" s="1"/>
  <c r="B27" i="37"/>
  <c r="E26" i="37"/>
  <c r="C32" i="37"/>
  <c r="F352" i="59"/>
  <c r="D352" i="59"/>
  <c r="C31" i="59"/>
  <c r="M400" i="75"/>
  <c r="L400" i="75"/>
  <c r="K400" i="75"/>
  <c r="J400" i="75"/>
  <c r="E400" i="75"/>
  <c r="A400" i="75"/>
  <c r="A412" i="75" s="1"/>
  <c r="F400" i="75"/>
  <c r="G400" i="75"/>
  <c r="B78" i="97"/>
  <c r="E95" i="55"/>
  <c r="M109" i="55" s="1"/>
  <c r="B94" i="55"/>
  <c r="E93" i="55"/>
  <c r="K107" i="55"/>
  <c r="B50" i="91"/>
  <c r="E49" i="91"/>
  <c r="E51" i="91"/>
  <c r="G59" i="91" s="1"/>
  <c r="E57" i="91"/>
  <c r="E199" i="61"/>
  <c r="E201" i="61"/>
  <c r="M215" i="61" s="1"/>
  <c r="E207" i="61"/>
  <c r="F306" i="43"/>
  <c r="D306" i="43"/>
  <c r="C103" i="43"/>
  <c r="E198" i="61"/>
  <c r="E200" i="61"/>
  <c r="M214" i="61" s="1"/>
  <c r="B199" i="61"/>
  <c r="E206" i="61"/>
  <c r="C135" i="55"/>
  <c r="H213" i="45"/>
  <c r="A213" i="45"/>
  <c r="K223" i="45" s="1"/>
  <c r="D360" i="67"/>
  <c r="C52" i="67"/>
  <c r="F360" i="67"/>
  <c r="K9" i="29"/>
  <c r="A174" i="85"/>
  <c r="I182" i="85" s="1"/>
  <c r="I448" i="83"/>
  <c r="H448" i="83"/>
  <c r="G448" i="83"/>
  <c r="F448" i="83"/>
  <c r="A448" i="83"/>
  <c r="Q464" i="83" s="1"/>
  <c r="O448" i="83"/>
  <c r="N448" i="83"/>
  <c r="E448" i="83"/>
  <c r="F462" i="79"/>
  <c r="D462" i="79"/>
  <c r="C104" i="79"/>
  <c r="E30" i="61"/>
  <c r="E32" i="61"/>
  <c r="E38" i="61" s="1"/>
  <c r="C36" i="61"/>
  <c r="B31" i="61"/>
  <c r="I283" i="69"/>
  <c r="B244" i="93"/>
  <c r="C93" i="67"/>
  <c r="B156" i="55"/>
  <c r="L362" i="77"/>
  <c r="M362" i="77"/>
  <c r="G362" i="77"/>
  <c r="F362" i="77"/>
  <c r="E362" i="77"/>
  <c r="A362" i="77"/>
  <c r="O376" i="77" s="1"/>
  <c r="A364" i="77"/>
  <c r="O378" i="77" s="1"/>
  <c r="G364" i="77"/>
  <c r="E46" i="43"/>
  <c r="E48" i="43"/>
  <c r="G56" i="43" s="1"/>
  <c r="E54" i="43"/>
  <c r="K317" i="55"/>
  <c r="C199" i="73"/>
  <c r="F416" i="73"/>
  <c r="D416" i="73"/>
  <c r="B34" i="9"/>
  <c r="E33" i="9"/>
  <c r="E35" i="9"/>
  <c r="G43" i="9" s="1"/>
  <c r="E41" i="9"/>
  <c r="G173" i="95"/>
  <c r="A173" i="95"/>
  <c r="I181" i="95" s="1"/>
  <c r="C65" i="35"/>
  <c r="F290" i="35"/>
  <c r="D290" i="35"/>
  <c r="B22" i="27"/>
  <c r="A359" i="75"/>
  <c r="O373" i="75" s="1"/>
  <c r="I359" i="75"/>
  <c r="H359" i="75"/>
  <c r="G223" i="15"/>
  <c r="G239" i="15"/>
  <c r="G207" i="15"/>
  <c r="C103" i="35"/>
  <c r="C34" i="5"/>
  <c r="E243" i="53"/>
  <c r="A243" i="53"/>
  <c r="A251" i="53" s="1"/>
  <c r="I243" i="53"/>
  <c r="H243" i="53"/>
  <c r="E92" i="21"/>
  <c r="G100" i="21" s="1"/>
  <c r="B91" i="21"/>
  <c r="E90" i="21"/>
  <c r="C96" i="21"/>
  <c r="C65" i="47"/>
  <c r="D290" i="47"/>
  <c r="F290" i="47"/>
  <c r="B26" i="43"/>
  <c r="C115" i="73"/>
  <c r="A153" i="27"/>
  <c r="I161" i="27" s="1"/>
  <c r="A213" i="53"/>
  <c r="K223" i="53" s="1"/>
  <c r="A218" i="53"/>
  <c r="K228" i="53" s="1"/>
  <c r="E427" i="65"/>
  <c r="N8" i="65"/>
  <c r="A368" i="65" s="1"/>
  <c r="K8" i="65"/>
  <c r="B121" i="45"/>
  <c r="C90" i="33"/>
  <c r="I245" i="43"/>
  <c r="I243" i="43"/>
  <c r="C114" i="73"/>
  <c r="L258" i="3"/>
  <c r="A269" i="3" s="1"/>
  <c r="A280" i="3" s="1"/>
  <c r="M259" i="3"/>
  <c r="C102" i="37"/>
  <c r="B102" i="37"/>
  <c r="E306" i="37"/>
  <c r="C306" i="37"/>
  <c r="C30" i="57"/>
  <c r="G285" i="55"/>
  <c r="J285" i="55"/>
  <c r="F285" i="55"/>
  <c r="E285" i="55"/>
  <c r="A285" i="55"/>
  <c r="M297" i="55" s="1"/>
  <c r="F360" i="57"/>
  <c r="D360" i="57"/>
  <c r="C52" i="57"/>
  <c r="E144" i="115"/>
  <c r="G152" i="115" s="1"/>
  <c r="E142" i="115"/>
  <c r="B143" i="115"/>
  <c r="K156" i="115"/>
  <c r="E22" i="105"/>
  <c r="E24" i="105"/>
  <c r="E30" i="105" s="1"/>
  <c r="E109" i="105" s="1"/>
  <c r="F142" i="105" s="1"/>
  <c r="B23" i="105"/>
  <c r="C28" i="105"/>
  <c r="A337" i="133"/>
  <c r="A345" i="133" s="1"/>
  <c r="C311" i="127"/>
  <c r="E311" i="127"/>
  <c r="C66" i="127"/>
  <c r="B66" i="127"/>
  <c r="F411" i="117"/>
  <c r="D411" i="117"/>
  <c r="C77" i="117"/>
  <c r="O448" i="81"/>
  <c r="N448" i="81"/>
  <c r="H448" i="81"/>
  <c r="I448" i="81"/>
  <c r="G448" i="81"/>
  <c r="F448" i="81"/>
  <c r="E448" i="81"/>
  <c r="A448" i="81"/>
  <c r="Q464" i="81" s="1"/>
  <c r="B103" i="129"/>
  <c r="E104" i="129"/>
  <c r="K116" i="129" s="1"/>
  <c r="E102" i="129"/>
  <c r="I114" i="129"/>
  <c r="C142" i="99"/>
  <c r="E154" i="99" s="1"/>
  <c r="E274" i="99" s="1"/>
  <c r="F319" i="99" s="1"/>
  <c r="K148" i="99"/>
  <c r="K268" i="99" s="1"/>
  <c r="L313" i="99" s="1"/>
  <c r="E487" i="121"/>
  <c r="C487" i="121"/>
  <c r="C225" i="121"/>
  <c r="B225" i="121"/>
  <c r="E359" i="115"/>
  <c r="N8" i="115"/>
  <c r="J8" i="115"/>
  <c r="D131" i="101"/>
  <c r="D134" i="101"/>
  <c r="D133" i="101"/>
  <c r="D132" i="101"/>
  <c r="E287" i="107"/>
  <c r="B64" i="107"/>
  <c r="C64" i="107"/>
  <c r="C287" i="107"/>
  <c r="I351" i="123"/>
  <c r="H351" i="123"/>
  <c r="A351" i="123"/>
  <c r="K361" i="123" s="1"/>
  <c r="C47" i="115"/>
  <c r="A400" i="79"/>
  <c r="A412" i="79" s="1"/>
  <c r="L400" i="79"/>
  <c r="G400" i="79"/>
  <c r="F400" i="79"/>
  <c r="E400" i="79"/>
  <c r="M400" i="79"/>
  <c r="K400" i="79"/>
  <c r="J400" i="79"/>
  <c r="G223" i="109"/>
  <c r="G207" i="109"/>
  <c r="G201" i="109"/>
  <c r="B200" i="109" s="1"/>
  <c r="B85" i="127"/>
  <c r="C360" i="73"/>
  <c r="E360" i="73"/>
  <c r="B51" i="73"/>
  <c r="C51" i="73"/>
  <c r="A284" i="67"/>
  <c r="M296" i="67" s="1"/>
  <c r="A259" i="91"/>
  <c r="K269" i="91" s="1"/>
  <c r="G256" i="91"/>
  <c r="F256" i="91"/>
  <c r="A256" i="91"/>
  <c r="K266" i="91" s="1"/>
  <c r="C316" i="81"/>
  <c r="G334" i="81" s="1"/>
  <c r="G378" i="81" s="1"/>
  <c r="H435" i="81" s="1"/>
  <c r="Q324" i="81"/>
  <c r="Q368" i="81" s="1"/>
  <c r="R425" i="81" s="1"/>
  <c r="D360" i="55"/>
  <c r="C52" i="55"/>
  <c r="F360" i="55"/>
  <c r="B164" i="81"/>
  <c r="E163" i="81"/>
  <c r="E165" i="81"/>
  <c r="O181" i="81" s="1"/>
  <c r="M179" i="81"/>
  <c r="A489" i="81"/>
  <c r="A503" i="81" s="1"/>
  <c r="L489" i="81"/>
  <c r="I489" i="81"/>
  <c r="H489" i="81"/>
  <c r="G489" i="81"/>
  <c r="F489" i="81"/>
  <c r="E489" i="81"/>
  <c r="N489" i="81"/>
  <c r="M489" i="81"/>
  <c r="O489" i="81"/>
  <c r="D158" i="69"/>
  <c r="L172" i="69" s="1"/>
  <c r="D156" i="69"/>
  <c r="H168" i="69"/>
  <c r="E330" i="93"/>
  <c r="A330" i="93"/>
  <c r="M342" i="93" s="1"/>
  <c r="K330" i="93"/>
  <c r="J330" i="93"/>
  <c r="B136" i="67"/>
  <c r="E135" i="67"/>
  <c r="E137" i="67"/>
  <c r="I147" i="67" s="1"/>
  <c r="G145" i="67"/>
  <c r="F392" i="71"/>
  <c r="C136" i="71"/>
  <c r="D392" i="71"/>
  <c r="J353" i="97"/>
  <c r="E353" i="97"/>
  <c r="K353" i="97"/>
  <c r="A353" i="97"/>
  <c r="M365" i="97" s="1"/>
  <c r="A117" i="101"/>
  <c r="A122" i="101" s="1"/>
  <c r="C124" i="107"/>
  <c r="E136" i="107" s="1"/>
  <c r="E168" i="107" s="1"/>
  <c r="F207" i="107" s="1"/>
  <c r="K130" i="107"/>
  <c r="K162" i="107" s="1"/>
  <c r="L201" i="107" s="1"/>
  <c r="I318" i="63"/>
  <c r="I317" i="63"/>
  <c r="E287" i="63"/>
  <c r="D287" i="63"/>
  <c r="C287" i="63"/>
  <c r="A287" i="63"/>
  <c r="M299" i="63" s="1"/>
  <c r="A329" i="99"/>
  <c r="M341" i="99" s="1"/>
  <c r="J329" i="99"/>
  <c r="E329" i="99"/>
  <c r="K329" i="99"/>
  <c r="C73" i="57"/>
  <c r="D165" i="91"/>
  <c r="J177" i="91" s="1"/>
  <c r="D163" i="91"/>
  <c r="D171" i="91"/>
  <c r="D343" i="89"/>
  <c r="C143" i="89"/>
  <c r="F343" i="89"/>
  <c r="C121" i="49"/>
  <c r="B121" i="49"/>
  <c r="E314" i="49"/>
  <c r="C314" i="49"/>
  <c r="C81" i="77"/>
  <c r="F454" i="77"/>
  <c r="D454" i="77"/>
  <c r="B40" i="21"/>
  <c r="E41" i="21"/>
  <c r="I51" i="21" s="1"/>
  <c r="E39" i="21"/>
  <c r="C45" i="21"/>
  <c r="E29" i="47"/>
  <c r="E35" i="47" s="1"/>
  <c r="E27" i="47"/>
  <c r="C33" i="47"/>
  <c r="E426" i="111"/>
  <c r="N10" i="111"/>
  <c r="A381" i="111" s="1"/>
  <c r="J10" i="111"/>
  <c r="F392" i="57"/>
  <c r="D392" i="57"/>
  <c r="C136" i="57"/>
  <c r="F204" i="29"/>
  <c r="C23" i="29"/>
  <c r="D204" i="29"/>
  <c r="E166" i="91"/>
  <c r="K178" i="91" s="1"/>
  <c r="E164" i="91"/>
  <c r="E172" i="91"/>
  <c r="B45" i="45"/>
  <c r="G231" i="23"/>
  <c r="G205" i="23"/>
  <c r="A173" i="85"/>
  <c r="I181" i="85" s="1"/>
  <c r="J446" i="83"/>
  <c r="F446" i="83"/>
  <c r="A446" i="83"/>
  <c r="Q462" i="83" s="1"/>
  <c r="N446" i="83"/>
  <c r="K446" i="83"/>
  <c r="D446" i="83"/>
  <c r="C446" i="83"/>
  <c r="O446" i="83"/>
  <c r="M446" i="83"/>
  <c r="L446" i="83"/>
  <c r="E446" i="83"/>
  <c r="B90" i="23"/>
  <c r="E275" i="85"/>
  <c r="N9" i="85"/>
  <c r="A247" i="85" s="1"/>
  <c r="J9" i="85"/>
  <c r="D32" i="61"/>
  <c r="D38" i="61" s="1"/>
  <c r="D30" i="61"/>
  <c r="B36" i="61"/>
  <c r="G282" i="65"/>
  <c r="I282" i="65"/>
  <c r="H282" i="65"/>
  <c r="F282" i="65"/>
  <c r="A282" i="65"/>
  <c r="M294" i="65" s="1"/>
  <c r="E158" i="11"/>
  <c r="B48" i="11"/>
  <c r="C158" i="11"/>
  <c r="C48" i="11"/>
  <c r="D341" i="73"/>
  <c r="E298" i="49"/>
  <c r="C298" i="49"/>
  <c r="C83" i="49"/>
  <c r="B83" i="49"/>
  <c r="D425" i="77"/>
  <c r="D419" i="77"/>
  <c r="D418" i="77"/>
  <c r="C52" i="69"/>
  <c r="A282" i="61"/>
  <c r="M294" i="61" s="1"/>
  <c r="F282" i="61"/>
  <c r="I282" i="61"/>
  <c r="H282" i="61"/>
  <c r="G282" i="61"/>
  <c r="E177" i="19"/>
  <c r="B39" i="23"/>
  <c r="C288" i="69"/>
  <c r="D244" i="51"/>
  <c r="A216" i="51"/>
  <c r="K226" i="51" s="1"/>
  <c r="M356" i="75"/>
  <c r="L356" i="75"/>
  <c r="A356" i="75"/>
  <c r="O370" i="75" s="1"/>
  <c r="G356" i="75"/>
  <c r="E59" i="19"/>
  <c r="I69" i="19" s="1"/>
  <c r="E57" i="19"/>
  <c r="C63" i="19"/>
  <c r="C155" i="31"/>
  <c r="A155" i="31"/>
  <c r="I163" i="31" s="1"/>
  <c r="A218" i="39"/>
  <c r="K228" i="39" s="1"/>
  <c r="G151" i="5"/>
  <c r="G145" i="5"/>
  <c r="I244" i="53"/>
  <c r="H244" i="53"/>
  <c r="E244" i="53"/>
  <c r="A244" i="53"/>
  <c r="A252" i="53" s="1"/>
  <c r="C26" i="43"/>
  <c r="K318" i="55"/>
  <c r="A156" i="29"/>
  <c r="I164" i="29" s="1"/>
  <c r="A216" i="53"/>
  <c r="K226" i="53" s="1"/>
  <c r="E216" i="53"/>
  <c r="E159" i="69"/>
  <c r="M173" i="69" s="1"/>
  <c r="M230" i="69" s="1"/>
  <c r="E157" i="69"/>
  <c r="I169" i="69"/>
  <c r="J8" i="65"/>
  <c r="C121" i="45"/>
  <c r="D72" i="55"/>
  <c r="D74" i="55"/>
  <c r="H84" i="55" s="1"/>
  <c r="F82" i="55"/>
  <c r="A281" i="71"/>
  <c r="M293" i="71" s="1"/>
  <c r="K281" i="71"/>
  <c r="J281" i="71"/>
  <c r="G281" i="71"/>
  <c r="C84" i="45"/>
  <c r="E243" i="43"/>
  <c r="C27" i="53"/>
  <c r="F274" i="53"/>
  <c r="D274" i="53"/>
  <c r="C19" i="9"/>
  <c r="B140" i="49"/>
  <c r="C243" i="77"/>
  <c r="O251" i="77" s="1"/>
  <c r="O291" i="77" s="1"/>
  <c r="P342" i="77" s="1"/>
  <c r="G259" i="77"/>
  <c r="G299" i="77" s="1"/>
  <c r="H350" i="77" s="1"/>
  <c r="E65" i="83"/>
  <c r="G73" i="83" s="1"/>
  <c r="B64" i="83"/>
  <c r="E63" i="83"/>
  <c r="E71" i="83"/>
  <c r="A357" i="97"/>
  <c r="M369" i="97" s="1"/>
  <c r="G357" i="97"/>
  <c r="F357" i="97"/>
  <c r="E36" i="135"/>
  <c r="E38" i="135"/>
  <c r="E44" i="135" s="1"/>
  <c r="B37" i="135"/>
  <c r="C42" i="135"/>
  <c r="E94" i="95"/>
  <c r="I104" i="95" s="1"/>
  <c r="E92" i="95"/>
  <c r="B93" i="95"/>
  <c r="E100" i="95"/>
  <c r="A239" i="89"/>
  <c r="K249" i="89" s="1"/>
  <c r="K280" i="63"/>
  <c r="J280" i="63"/>
  <c r="A280" i="63"/>
  <c r="M292" i="63" s="1"/>
  <c r="G280" i="63"/>
  <c r="F280" i="63"/>
  <c r="A174" i="87"/>
  <c r="I182" i="87" s="1"/>
  <c r="C352" i="55"/>
  <c r="C30" i="55"/>
  <c r="B30" i="55"/>
  <c r="E352" i="55"/>
  <c r="D385" i="99"/>
  <c r="D380" i="99"/>
  <c r="D381" i="99"/>
  <c r="E165" i="91"/>
  <c r="K177" i="91" s="1"/>
  <c r="B164" i="91"/>
  <c r="E163" i="91"/>
  <c r="E171" i="91"/>
  <c r="D341" i="59"/>
  <c r="D334" i="59"/>
  <c r="D335" i="59"/>
  <c r="G409" i="57"/>
  <c r="G371" i="57"/>
  <c r="E215" i="41"/>
  <c r="A215" i="41"/>
  <c r="K225" i="41" s="1"/>
  <c r="C92" i="85"/>
  <c r="B92" i="85"/>
  <c r="E255" i="85"/>
  <c r="C255" i="85"/>
  <c r="A154" i="29"/>
  <c r="I162" i="29" s="1"/>
  <c r="C400" i="61"/>
  <c r="C156" i="61"/>
  <c r="B156" i="61"/>
  <c r="E400" i="61"/>
  <c r="D204" i="23"/>
  <c r="C23" i="23"/>
  <c r="F204" i="23"/>
  <c r="F314" i="49"/>
  <c r="D314" i="49"/>
  <c r="C122" i="49"/>
  <c r="D274" i="45"/>
  <c r="F274" i="45"/>
  <c r="C27" i="45"/>
  <c r="D66" i="41"/>
  <c r="H76" i="41" s="1"/>
  <c r="D64" i="41"/>
  <c r="B70" i="41"/>
  <c r="A153" i="33"/>
  <c r="I161" i="33" s="1"/>
  <c r="D381" i="111"/>
  <c r="F381" i="111"/>
  <c r="C45" i="45"/>
  <c r="I490" i="83"/>
  <c r="H490" i="83"/>
  <c r="G490" i="83"/>
  <c r="F490" i="83"/>
  <c r="E490" i="83"/>
  <c r="A490" i="83"/>
  <c r="A504" i="83" s="1"/>
  <c r="O490" i="83"/>
  <c r="N490" i="83"/>
  <c r="M490" i="83"/>
  <c r="L490" i="83"/>
  <c r="K317" i="73"/>
  <c r="K318" i="73"/>
  <c r="D259" i="45"/>
  <c r="D258" i="45"/>
  <c r="D261" i="45"/>
  <c r="A154" i="25"/>
  <c r="I162" i="25" s="1"/>
  <c r="A175" i="85"/>
  <c r="I183" i="85" s="1"/>
  <c r="D247" i="85"/>
  <c r="C76" i="85"/>
  <c r="F247" i="85"/>
  <c r="D510" i="79"/>
  <c r="C242" i="79"/>
  <c r="F510" i="79"/>
  <c r="E66" i="43"/>
  <c r="I76" i="43" s="1"/>
  <c r="E64" i="43"/>
  <c r="B65" i="43"/>
  <c r="G74" i="43"/>
  <c r="C401" i="77"/>
  <c r="D401" i="77"/>
  <c r="A401" i="77"/>
  <c r="A413" i="77" s="1"/>
  <c r="H401" i="77"/>
  <c r="K401" i="77"/>
  <c r="J401" i="77"/>
  <c r="I401" i="77"/>
  <c r="E178" i="33"/>
  <c r="B93" i="67"/>
  <c r="K283" i="65"/>
  <c r="J283" i="65"/>
  <c r="E283" i="65"/>
  <c r="A283" i="65"/>
  <c r="M295" i="65" s="1"/>
  <c r="A217" i="49"/>
  <c r="K227" i="49" s="1"/>
  <c r="E217" i="49"/>
  <c r="E218" i="49"/>
  <c r="A218" i="49"/>
  <c r="K228" i="49" s="1"/>
  <c r="D416" i="57"/>
  <c r="C199" i="57"/>
  <c r="F416" i="57"/>
  <c r="D77" i="87"/>
  <c r="B81" i="87" s="1"/>
  <c r="D75" i="87"/>
  <c r="H87" i="87"/>
  <c r="L358" i="77"/>
  <c r="A358" i="77"/>
  <c r="O372" i="77" s="1"/>
  <c r="H358" i="77"/>
  <c r="I358" i="77"/>
  <c r="C140" i="35"/>
  <c r="C322" i="35"/>
  <c r="E322" i="35"/>
  <c r="B140" i="35"/>
  <c r="E286" i="61"/>
  <c r="A286" i="61"/>
  <c r="M298" i="61" s="1"/>
  <c r="K286" i="61"/>
  <c r="F298" i="43"/>
  <c r="D298" i="43"/>
  <c r="C84" i="43"/>
  <c r="B83" i="43"/>
  <c r="B106" i="91"/>
  <c r="C177" i="25"/>
  <c r="A177" i="25"/>
  <c r="A183" i="25" s="1"/>
  <c r="B41" i="15"/>
  <c r="B49" i="15" s="1"/>
  <c r="B111" i="15" s="1"/>
  <c r="C144" i="15" s="1"/>
  <c r="F45" i="15"/>
  <c r="F107" i="15" s="1"/>
  <c r="A154" i="19"/>
  <c r="I162" i="19" s="1"/>
  <c r="C30" i="67"/>
  <c r="A217" i="39"/>
  <c r="K227" i="39" s="1"/>
  <c r="G152" i="5"/>
  <c r="G158" i="5"/>
  <c r="A153" i="17"/>
  <c r="I161" i="17" s="1"/>
  <c r="A152" i="27"/>
  <c r="I160" i="27" s="1"/>
  <c r="G152" i="27"/>
  <c r="F152" i="27"/>
  <c r="E215" i="53"/>
  <c r="A215" i="53"/>
  <c r="K225" i="53" s="1"/>
  <c r="C83" i="41"/>
  <c r="E298" i="41"/>
  <c r="C298" i="41"/>
  <c r="B83" i="41"/>
  <c r="C72" i="55"/>
  <c r="A214" i="43"/>
  <c r="K224" i="43" s="1"/>
  <c r="B114" i="73"/>
  <c r="B22" i="31"/>
  <c r="F212" i="25"/>
  <c r="C40" i="25"/>
  <c r="D212" i="25"/>
  <c r="E432" i="73"/>
  <c r="N13" i="73"/>
  <c r="A408" i="73" s="1"/>
  <c r="K13" i="73"/>
  <c r="B30" i="57"/>
  <c r="C199" i="55"/>
  <c r="F416" i="55"/>
  <c r="D416" i="55"/>
  <c r="A287" i="55"/>
  <c r="M299" i="55" s="1"/>
  <c r="E212" i="29"/>
  <c r="C212" i="29"/>
  <c r="C39" i="29"/>
  <c r="B39" i="29"/>
  <c r="C91" i="33"/>
  <c r="D56" i="17"/>
  <c r="D58" i="17"/>
  <c r="H68" i="17" s="1"/>
  <c r="B62" i="17"/>
  <c r="F236" i="27"/>
  <c r="D236" i="27"/>
  <c r="C91" i="27"/>
  <c r="C64" i="47"/>
  <c r="B111" i="95"/>
  <c r="F121" i="95" s="1"/>
  <c r="F132" i="95" s="1"/>
  <c r="G165" i="95" s="1"/>
  <c r="H119" i="95"/>
  <c r="H130" i="95" s="1"/>
  <c r="C84" i="47"/>
  <c r="F298" i="47"/>
  <c r="D298" i="47"/>
  <c r="E258" i="91"/>
  <c r="A258" i="91"/>
  <c r="K268" i="91" s="1"/>
  <c r="D244" i="77"/>
  <c r="F252" i="77" s="1"/>
  <c r="D242" i="77"/>
  <c r="N260" i="77"/>
  <c r="C612" i="83"/>
  <c r="C288" i="83"/>
  <c r="B288" i="83"/>
  <c r="E612" i="83"/>
  <c r="D65" i="83"/>
  <c r="F73" i="83" s="1"/>
  <c r="D71" i="83"/>
  <c r="D63" i="83"/>
  <c r="B208" i="109"/>
  <c r="A333" i="93"/>
  <c r="M345" i="93" s="1"/>
  <c r="G333" i="93"/>
  <c r="F333" i="93"/>
  <c r="E237" i="89"/>
  <c r="A237" i="89"/>
  <c r="K247" i="89" s="1"/>
  <c r="A351" i="97"/>
  <c r="M363" i="97" s="1"/>
  <c r="F351" i="97"/>
  <c r="G351" i="97"/>
  <c r="C39" i="33"/>
  <c r="E37" i="135"/>
  <c r="E39" i="135"/>
  <c r="E45" i="135" s="1"/>
  <c r="C43" i="135"/>
  <c r="E89" i="81"/>
  <c r="E91" i="81"/>
  <c r="I101" i="81" s="1"/>
  <c r="G99" i="81"/>
  <c r="E282" i="51"/>
  <c r="C45" i="51"/>
  <c r="B45" i="51"/>
  <c r="C282" i="51"/>
  <c r="H283" i="63"/>
  <c r="I283" i="63"/>
  <c r="C283" i="63"/>
  <c r="A283" i="63"/>
  <c r="M295" i="63" s="1"/>
  <c r="K318" i="63"/>
  <c r="K317" i="63"/>
  <c r="C37" i="99"/>
  <c r="C43" i="99" s="1"/>
  <c r="C268" i="99" s="1"/>
  <c r="D313" i="99" s="1"/>
  <c r="E41" i="99"/>
  <c r="E266" i="99" s="1"/>
  <c r="F311" i="99" s="1"/>
  <c r="A172" i="87"/>
  <c r="I180" i="87" s="1"/>
  <c r="E167" i="103"/>
  <c r="N8" i="103"/>
  <c r="K8" i="103"/>
  <c r="E180" i="71"/>
  <c r="M194" i="71" s="1"/>
  <c r="E178" i="71"/>
  <c r="G188" i="71"/>
  <c r="C30" i="59"/>
  <c r="B30" i="59"/>
  <c r="E352" i="59"/>
  <c r="C352" i="59"/>
  <c r="F400" i="71"/>
  <c r="D400" i="71"/>
  <c r="C157" i="71"/>
  <c r="D39" i="21"/>
  <c r="D41" i="21"/>
  <c r="H51" i="21" s="1"/>
  <c r="B45" i="21"/>
  <c r="C52" i="63"/>
  <c r="F360" i="63"/>
  <c r="D360" i="63"/>
  <c r="E637" i="81"/>
  <c r="N6" i="81"/>
  <c r="A532" i="81" s="1"/>
  <c r="K6" i="81"/>
  <c r="C282" i="69"/>
  <c r="E66" i="41"/>
  <c r="I76" i="41" s="1"/>
  <c r="B65" i="41"/>
  <c r="E64" i="41"/>
  <c r="C70" i="41"/>
  <c r="A152" i="33"/>
  <c r="I160" i="33" s="1"/>
  <c r="C28" i="89"/>
  <c r="B28" i="89"/>
  <c r="E295" i="89"/>
  <c r="C295" i="89"/>
  <c r="C264" i="81"/>
  <c r="F604" i="81"/>
  <c r="D604" i="81"/>
  <c r="E96" i="55"/>
  <c r="M110" i="55" s="1"/>
  <c r="E94" i="55"/>
  <c r="K108" i="55"/>
  <c r="I489" i="83"/>
  <c r="H489" i="83"/>
  <c r="G489" i="83"/>
  <c r="M489" i="83"/>
  <c r="A489" i="83"/>
  <c r="A503" i="83" s="1"/>
  <c r="O489" i="83"/>
  <c r="N489" i="83"/>
  <c r="L489" i="83"/>
  <c r="F489" i="83"/>
  <c r="E489" i="83"/>
  <c r="J317" i="73"/>
  <c r="J318" i="73"/>
  <c r="A214" i="45"/>
  <c r="K224" i="45" s="1"/>
  <c r="J442" i="83"/>
  <c r="I442" i="83"/>
  <c r="A442" i="83"/>
  <c r="Q458" i="83" s="1"/>
  <c r="K442" i="83"/>
  <c r="J445" i="83"/>
  <c r="A445" i="83"/>
  <c r="Q461" i="83" s="1"/>
  <c r="M445" i="83"/>
  <c r="L445" i="83"/>
  <c r="C445" i="83"/>
  <c r="K445" i="83"/>
  <c r="D445" i="83"/>
  <c r="D66" i="43"/>
  <c r="H76" i="43" s="1"/>
  <c r="D64" i="43"/>
  <c r="F74" i="43"/>
  <c r="E244" i="49"/>
  <c r="A244" i="49"/>
  <c r="A252" i="49" s="1"/>
  <c r="F244" i="49"/>
  <c r="G244" i="49"/>
  <c r="M400" i="77"/>
  <c r="L400" i="77"/>
  <c r="K400" i="77"/>
  <c r="G400" i="77"/>
  <c r="F400" i="77"/>
  <c r="E400" i="77"/>
  <c r="J400" i="77"/>
  <c r="A400" i="77"/>
  <c r="A412" i="77" s="1"/>
  <c r="E408" i="67"/>
  <c r="C177" i="67"/>
  <c r="B177" i="67"/>
  <c r="C408" i="67"/>
  <c r="C156" i="55"/>
  <c r="A357" i="77"/>
  <c r="O371" i="77" s="1"/>
  <c r="M357" i="77"/>
  <c r="L357" i="77"/>
  <c r="G357" i="77"/>
  <c r="G274" i="43"/>
  <c r="G300" i="43"/>
  <c r="D274" i="51"/>
  <c r="F274" i="51"/>
  <c r="C27" i="51"/>
  <c r="D486" i="79"/>
  <c r="C173" i="79"/>
  <c r="F486" i="79"/>
  <c r="C150" i="11"/>
  <c r="B33" i="11"/>
  <c r="E150" i="11"/>
  <c r="C33" i="11"/>
  <c r="A121" i="9"/>
  <c r="A125" i="9" s="1"/>
  <c r="C40" i="33"/>
  <c r="D282" i="53"/>
  <c r="F282" i="53"/>
  <c r="C46" i="53"/>
  <c r="D376" i="63"/>
  <c r="F376" i="63"/>
  <c r="C94" i="63"/>
  <c r="C106" i="91"/>
  <c r="A174" i="95"/>
  <c r="I182" i="95" s="1"/>
  <c r="C174" i="95"/>
  <c r="E174" i="95"/>
  <c r="C40" i="23"/>
  <c r="F212" i="23"/>
  <c r="D212" i="23"/>
  <c r="A119" i="7"/>
  <c r="A123" i="7" s="1"/>
  <c r="C179" i="25"/>
  <c r="A179" i="25"/>
  <c r="A185" i="25" s="1"/>
  <c r="G179" i="25"/>
  <c r="F179" i="25"/>
  <c r="E24" i="27"/>
  <c r="E30" i="27" s="1"/>
  <c r="E109" i="27" s="1"/>
  <c r="F142" i="27" s="1"/>
  <c r="B23" i="27"/>
  <c r="E22" i="27"/>
  <c r="C28" i="27"/>
  <c r="E143" i="39"/>
  <c r="G151" i="39" s="1"/>
  <c r="E141" i="39"/>
  <c r="K155" i="39"/>
  <c r="A213" i="39"/>
  <c r="K223" i="39" s="1"/>
  <c r="C73" i="31"/>
  <c r="D56" i="27"/>
  <c r="D58" i="27"/>
  <c r="H68" i="27" s="1"/>
  <c r="F66" i="27"/>
  <c r="A154" i="27"/>
  <c r="I162" i="27" s="1"/>
  <c r="D263" i="53"/>
  <c r="D259" i="53"/>
  <c r="D258" i="53"/>
  <c r="D319" i="55"/>
  <c r="E93" i="19"/>
  <c r="I103" i="19" s="1"/>
  <c r="E91" i="19"/>
  <c r="E99" i="19"/>
  <c r="C42" i="15"/>
  <c r="C50" i="15" s="1"/>
  <c r="C112" i="15" s="1"/>
  <c r="D145" i="15" s="1"/>
  <c r="G46" i="15"/>
  <c r="G108" i="15" s="1"/>
  <c r="K280" i="71"/>
  <c r="J280" i="71"/>
  <c r="G280" i="71"/>
  <c r="A280" i="71"/>
  <c r="M292" i="71" s="1"/>
  <c r="A215" i="43"/>
  <c r="K225" i="43" s="1"/>
  <c r="C198" i="59"/>
  <c r="E408" i="73"/>
  <c r="C408" i="73"/>
  <c r="E337" i="43"/>
  <c r="N12" i="43"/>
  <c r="J12" i="43"/>
  <c r="E91" i="21"/>
  <c r="E93" i="21"/>
  <c r="G101" i="21" s="1"/>
  <c r="C97" i="21"/>
  <c r="E220" i="29"/>
  <c r="C56" i="29"/>
  <c r="C220" i="29"/>
  <c r="B56" i="29"/>
  <c r="C56" i="21"/>
  <c r="B56" i="21"/>
  <c r="E220" i="21"/>
  <c r="C220" i="21"/>
  <c r="E56" i="17"/>
  <c r="B57" i="17"/>
  <c r="C62" i="17"/>
  <c r="E58" i="17"/>
  <c r="I68" i="17" s="1"/>
  <c r="B64" i="47"/>
  <c r="C33" i="7"/>
  <c r="C257" i="146" l="1"/>
  <c r="C294" i="146"/>
  <c r="F230" i="146"/>
  <c r="N258" i="146"/>
  <c r="E256" i="146"/>
  <c r="M260" i="146"/>
  <c r="A272" i="146" s="1"/>
  <c r="A284" i="146" s="1"/>
  <c r="D256" i="146"/>
  <c r="D259" i="146" s="1"/>
  <c r="F231" i="146"/>
  <c r="N259" i="146"/>
  <c r="M259" i="146"/>
  <c r="A271" i="146" s="1"/>
  <c r="A283" i="146" s="1"/>
  <c r="E259" i="146"/>
  <c r="D258" i="146"/>
  <c r="E296" i="146"/>
  <c r="D296" i="146"/>
  <c r="C296" i="146"/>
  <c r="A296" i="146"/>
  <c r="A306" i="146" s="1"/>
  <c r="H121" i="145"/>
  <c r="H199" i="145" s="1"/>
  <c r="I244" i="145" s="1"/>
  <c r="B121" i="145"/>
  <c r="E125" i="145"/>
  <c r="E203" i="145" s="1"/>
  <c r="F248" i="145" s="1"/>
  <c r="E119" i="145"/>
  <c r="D125" i="145"/>
  <c r="D203" i="145" s="1"/>
  <c r="E248" i="145" s="1"/>
  <c r="D119" i="145"/>
  <c r="D124" i="145"/>
  <c r="D202" i="145" s="1"/>
  <c r="E247" i="145" s="1"/>
  <c r="D118" i="145"/>
  <c r="E124" i="145"/>
  <c r="E202" i="145" s="1"/>
  <c r="F247" i="145" s="1"/>
  <c r="E118" i="145"/>
  <c r="H120" i="145"/>
  <c r="H198" i="145" s="1"/>
  <c r="I243" i="145" s="1"/>
  <c r="B120" i="145"/>
  <c r="I125" i="145"/>
  <c r="C119" i="145"/>
  <c r="I120" i="145"/>
  <c r="I198" i="145" s="1"/>
  <c r="J243" i="145" s="1"/>
  <c r="C120" i="145"/>
  <c r="H124" i="145"/>
  <c r="B118" i="145"/>
  <c r="I124" i="145"/>
  <c r="I202" i="145" s="1"/>
  <c r="J247" i="145" s="1"/>
  <c r="C118" i="145"/>
  <c r="H125" i="145"/>
  <c r="B119" i="145"/>
  <c r="I121" i="145"/>
  <c r="I199" i="145" s="1"/>
  <c r="J244" i="145" s="1"/>
  <c r="C121" i="145"/>
  <c r="F81" i="145"/>
  <c r="B77" i="145"/>
  <c r="F83" i="145"/>
  <c r="B83" i="145"/>
  <c r="B203" i="145" s="1"/>
  <c r="C248" i="145" s="1"/>
  <c r="F80" i="145"/>
  <c r="B76" i="145"/>
  <c r="G80" i="145"/>
  <c r="C76" i="145"/>
  <c r="I80" i="145"/>
  <c r="I200" i="145" s="1"/>
  <c r="J245" i="145" s="1"/>
  <c r="I76" i="145"/>
  <c r="I196" i="145" s="1"/>
  <c r="J241" i="145" s="1"/>
  <c r="H81" i="145"/>
  <c r="H201" i="145" s="1"/>
  <c r="I246" i="145" s="1"/>
  <c r="H77" i="145"/>
  <c r="H197" i="145" s="1"/>
  <c r="I242" i="145" s="1"/>
  <c r="F82" i="145"/>
  <c r="B82" i="145"/>
  <c r="B202" i="145" s="1"/>
  <c r="C247" i="145" s="1"/>
  <c r="G82" i="145"/>
  <c r="G202" i="145" s="1"/>
  <c r="H247" i="145" s="1"/>
  <c r="C82" i="145"/>
  <c r="C202" i="145" s="1"/>
  <c r="D247" i="145" s="1"/>
  <c r="H80" i="145"/>
  <c r="H76" i="145"/>
  <c r="H196" i="145" s="1"/>
  <c r="I241" i="145" s="1"/>
  <c r="G81" i="145"/>
  <c r="G201" i="145" s="1"/>
  <c r="H246" i="145" s="1"/>
  <c r="C77" i="145"/>
  <c r="I81" i="145"/>
  <c r="I77" i="145"/>
  <c r="I197" i="145" s="1"/>
  <c r="J242" i="145" s="1"/>
  <c r="G83" i="145"/>
  <c r="C83" i="145"/>
  <c r="C203" i="145" s="1"/>
  <c r="D248" i="145" s="1"/>
  <c r="G58" i="145"/>
  <c r="G62" i="145"/>
  <c r="D59" i="145"/>
  <c r="H59" i="145"/>
  <c r="E60" i="145"/>
  <c r="I60" i="145"/>
  <c r="I201" i="145" s="1"/>
  <c r="J246" i="145" s="1"/>
  <c r="G57" i="145"/>
  <c r="G61" i="145"/>
  <c r="D57" i="145"/>
  <c r="D198" i="145" s="1"/>
  <c r="E243" i="145" s="1"/>
  <c r="H61" i="145"/>
  <c r="H202" i="145" s="1"/>
  <c r="I247" i="145" s="1"/>
  <c r="E58" i="145"/>
  <c r="E199" i="145" s="1"/>
  <c r="F244" i="145" s="1"/>
  <c r="I62" i="145"/>
  <c r="E57" i="145"/>
  <c r="I61" i="145"/>
  <c r="G203" i="145"/>
  <c r="H248" i="145" s="1"/>
  <c r="D60" i="145"/>
  <c r="H60" i="145"/>
  <c r="F57" i="145"/>
  <c r="F61" i="145"/>
  <c r="E59" i="145"/>
  <c r="I59" i="145"/>
  <c r="H200" i="145"/>
  <c r="I245" i="145" s="1"/>
  <c r="D58" i="145"/>
  <c r="D199" i="145" s="1"/>
  <c r="E244" i="145" s="1"/>
  <c r="H62" i="145"/>
  <c r="H203" i="145" s="1"/>
  <c r="I248" i="145" s="1"/>
  <c r="F58" i="145"/>
  <c r="F199" i="145" s="1"/>
  <c r="G244" i="145" s="1"/>
  <c r="F62" i="145"/>
  <c r="F203" i="145" s="1"/>
  <c r="G248" i="145" s="1"/>
  <c r="B37" i="145"/>
  <c r="F37" i="145"/>
  <c r="C35" i="145"/>
  <c r="G39" i="145"/>
  <c r="D34" i="145"/>
  <c r="D196" i="145" s="1"/>
  <c r="E241" i="145" s="1"/>
  <c r="D38" i="145"/>
  <c r="E35" i="145"/>
  <c r="E39" i="145"/>
  <c r="E201" i="145" s="1"/>
  <c r="F246" i="145" s="1"/>
  <c r="D200" i="145"/>
  <c r="E245" i="145" s="1"/>
  <c r="C34" i="145"/>
  <c r="C196" i="145" s="1"/>
  <c r="D241" i="145" s="1"/>
  <c r="G38" i="145"/>
  <c r="G200" i="145" s="1"/>
  <c r="H245" i="145" s="1"/>
  <c r="B34" i="145"/>
  <c r="F38" i="145"/>
  <c r="F200" i="145" s="1"/>
  <c r="G245" i="145" s="1"/>
  <c r="D35" i="145"/>
  <c r="D39" i="145"/>
  <c r="C37" i="145"/>
  <c r="C199" i="145" s="1"/>
  <c r="D244" i="145" s="1"/>
  <c r="G37" i="145"/>
  <c r="G199" i="145" s="1"/>
  <c r="H244" i="145" s="1"/>
  <c r="D201" i="145"/>
  <c r="E246" i="145" s="1"/>
  <c r="B35" i="145"/>
  <c r="B197" i="145" s="1"/>
  <c r="C242" i="145" s="1"/>
  <c r="F39" i="145"/>
  <c r="F201" i="145" s="1"/>
  <c r="G246" i="145" s="1"/>
  <c r="B36" i="145"/>
  <c r="B198" i="145" s="1"/>
  <c r="C243" i="145" s="1"/>
  <c r="F36" i="145"/>
  <c r="E34" i="145"/>
  <c r="E38" i="145"/>
  <c r="E200" i="145" s="1"/>
  <c r="F245" i="145" s="1"/>
  <c r="C36" i="145"/>
  <c r="G36" i="145"/>
  <c r="G198" i="145" s="1"/>
  <c r="H243" i="145" s="1"/>
  <c r="G231" i="145"/>
  <c r="G232" i="145"/>
  <c r="E198" i="145"/>
  <c r="F243" i="145" s="1"/>
  <c r="M257" i="145"/>
  <c r="A269" i="145" s="1"/>
  <c r="A281" i="145" s="1"/>
  <c r="D256" i="145"/>
  <c r="N265" i="145"/>
  <c r="A265" i="145" s="1"/>
  <c r="M277" i="145" s="1"/>
  <c r="G256" i="145"/>
  <c r="F256" i="145"/>
  <c r="M258" i="145"/>
  <c r="A270" i="145" s="1"/>
  <c r="A282" i="145" s="1"/>
  <c r="C256" i="145"/>
  <c r="E256" i="145"/>
  <c r="N259" i="145"/>
  <c r="A259" i="145" s="1"/>
  <c r="M271" i="145" s="1"/>
  <c r="N258" i="145"/>
  <c r="N257" i="145"/>
  <c r="M259" i="145"/>
  <c r="A271" i="145" s="1"/>
  <c r="A283" i="145" s="1"/>
  <c r="I256" i="145"/>
  <c r="J256" i="145"/>
  <c r="N264" i="145"/>
  <c r="M262" i="145"/>
  <c r="A274" i="145" s="1"/>
  <c r="A286" i="145" s="1"/>
  <c r="N260" i="145"/>
  <c r="K256" i="145"/>
  <c r="N261" i="145"/>
  <c r="M264" i="145"/>
  <c r="A276" i="145" s="1"/>
  <c r="A288" i="145" s="1"/>
  <c r="M260" i="145"/>
  <c r="A272" i="145" s="1"/>
  <c r="A284" i="145" s="1"/>
  <c r="N262" i="145"/>
  <c r="H256" i="145"/>
  <c r="N263" i="145"/>
  <c r="M265" i="145"/>
  <c r="A277" i="145" s="1"/>
  <c r="A289" i="145" s="1"/>
  <c r="M263" i="145"/>
  <c r="A275" i="145" s="1"/>
  <c r="A287" i="145" s="1"/>
  <c r="M261" i="145"/>
  <c r="A273" i="145" s="1"/>
  <c r="A285" i="145" s="1"/>
  <c r="B197" i="144"/>
  <c r="C242" i="144" s="1"/>
  <c r="H125" i="144"/>
  <c r="C196" i="144"/>
  <c r="D241" i="144" s="1"/>
  <c r="D124" i="144"/>
  <c r="D202" i="144" s="1"/>
  <c r="E247" i="144" s="1"/>
  <c r="H124" i="144"/>
  <c r="E125" i="144"/>
  <c r="E203" i="144" s="1"/>
  <c r="F248" i="144" s="1"/>
  <c r="I125" i="144"/>
  <c r="D125" i="144"/>
  <c r="D203" i="144" s="1"/>
  <c r="E248" i="144" s="1"/>
  <c r="I124" i="144"/>
  <c r="I121" i="144"/>
  <c r="I199" i="144" s="1"/>
  <c r="J244" i="144" s="1"/>
  <c r="H121" i="144"/>
  <c r="H199" i="144" s="1"/>
  <c r="I244" i="144" s="1"/>
  <c r="E121" i="144"/>
  <c r="D120" i="144"/>
  <c r="I120" i="144"/>
  <c r="I198" i="144" s="1"/>
  <c r="J243" i="144" s="1"/>
  <c r="H120" i="144"/>
  <c r="H198" i="144" s="1"/>
  <c r="I243" i="144" s="1"/>
  <c r="D121" i="144"/>
  <c r="E120" i="144"/>
  <c r="B196" i="144"/>
  <c r="C241" i="144" s="1"/>
  <c r="F78" i="144"/>
  <c r="F198" i="144" s="1"/>
  <c r="G243" i="144" s="1"/>
  <c r="F82" i="144"/>
  <c r="F202" i="144" s="1"/>
  <c r="G247" i="144" s="1"/>
  <c r="G78" i="144"/>
  <c r="G198" i="144" s="1"/>
  <c r="G82" i="144"/>
  <c r="G202" i="144" s="1"/>
  <c r="H247" i="144" s="1"/>
  <c r="D78" i="144"/>
  <c r="H82" i="144"/>
  <c r="E80" i="144"/>
  <c r="E200" i="144" s="1"/>
  <c r="F245" i="144" s="1"/>
  <c r="I80" i="144"/>
  <c r="I200" i="144" s="1"/>
  <c r="J245" i="144" s="1"/>
  <c r="D81" i="144"/>
  <c r="D201" i="144" s="1"/>
  <c r="E246" i="144" s="1"/>
  <c r="H81" i="144"/>
  <c r="H201" i="144" s="1"/>
  <c r="I246" i="144" s="1"/>
  <c r="E78" i="144"/>
  <c r="I82" i="144"/>
  <c r="F79" i="144"/>
  <c r="F199" i="144" s="1"/>
  <c r="F83" i="144"/>
  <c r="F203" i="144" s="1"/>
  <c r="G248" i="144" s="1"/>
  <c r="E81" i="144"/>
  <c r="E201" i="144" s="1"/>
  <c r="F246" i="144" s="1"/>
  <c r="I81" i="144"/>
  <c r="I201" i="144" s="1"/>
  <c r="J246" i="144" s="1"/>
  <c r="D80" i="144"/>
  <c r="D200" i="144" s="1"/>
  <c r="E245" i="144" s="1"/>
  <c r="H80" i="144"/>
  <c r="H200" i="144" s="1"/>
  <c r="I245" i="144" s="1"/>
  <c r="G79" i="144"/>
  <c r="G199" i="144" s="1"/>
  <c r="H244" i="144" s="1"/>
  <c r="G83" i="144"/>
  <c r="G203" i="144" s="1"/>
  <c r="H248" i="144" s="1"/>
  <c r="E79" i="144"/>
  <c r="I83" i="144"/>
  <c r="D79" i="144"/>
  <c r="H83" i="144"/>
  <c r="C294" i="144"/>
  <c r="N295" i="144"/>
  <c r="A295" i="144" s="1"/>
  <c r="A305" i="144" s="1"/>
  <c r="N260" i="144"/>
  <c r="A260" i="144" s="1"/>
  <c r="M272" i="144" s="1"/>
  <c r="D294" i="144"/>
  <c r="A296" i="144"/>
  <c r="A306" i="144" s="1"/>
  <c r="F232" i="144"/>
  <c r="J256" i="144" s="1"/>
  <c r="E259" i="144"/>
  <c r="D259" i="144"/>
  <c r="A259" i="144"/>
  <c r="M271" i="144" s="1"/>
  <c r="E294" i="144"/>
  <c r="E258" i="144"/>
  <c r="D258" i="144"/>
  <c r="A258" i="144"/>
  <c r="M270" i="144" s="1"/>
  <c r="F256" i="144"/>
  <c r="I202" i="2"/>
  <c r="J247" i="2" s="1"/>
  <c r="B197" i="2"/>
  <c r="B196" i="2"/>
  <c r="C241" i="2" s="1"/>
  <c r="C196" i="2"/>
  <c r="D241" i="2" s="1"/>
  <c r="E199" i="2"/>
  <c r="F244" i="2" s="1"/>
  <c r="G201" i="2"/>
  <c r="H246" i="2" s="1"/>
  <c r="D296" i="2"/>
  <c r="E197" i="2"/>
  <c r="F242" i="2" s="1"/>
  <c r="G197" i="2"/>
  <c r="H242" i="2" s="1"/>
  <c r="F38" i="2"/>
  <c r="F200" i="2" s="1"/>
  <c r="G245" i="2" s="1"/>
  <c r="D36" i="2"/>
  <c r="D198" i="2" s="1"/>
  <c r="E243" i="2" s="1"/>
  <c r="G34" i="2"/>
  <c r="G196" i="2" s="1"/>
  <c r="H241" i="2" s="1"/>
  <c r="E34" i="2"/>
  <c r="E196" i="2" s="1"/>
  <c r="F241" i="2" s="1"/>
  <c r="C38" i="2"/>
  <c r="C200" i="2" s="1"/>
  <c r="D245" i="2" s="1"/>
  <c r="C36" i="2"/>
  <c r="C198" i="2" s="1"/>
  <c r="D243" i="2" s="1"/>
  <c r="C39" i="2"/>
  <c r="C201" i="2" s="1"/>
  <c r="D246" i="2" s="1"/>
  <c r="C37" i="2"/>
  <c r="C199" i="2" s="1"/>
  <c r="D244" i="2" s="1"/>
  <c r="F35" i="2"/>
  <c r="F197" i="2" s="1"/>
  <c r="D35" i="2"/>
  <c r="D197" i="2" s="1"/>
  <c r="E242" i="2" s="1"/>
  <c r="F34" i="2"/>
  <c r="F196" i="2" s="1"/>
  <c r="G241" i="2" s="1"/>
  <c r="D34" i="2"/>
  <c r="D196" i="2" s="1"/>
  <c r="E241" i="2" s="1"/>
  <c r="G38" i="2"/>
  <c r="G200" i="2" s="1"/>
  <c r="H245" i="2" s="1"/>
  <c r="E36" i="2"/>
  <c r="E198" i="2" s="1"/>
  <c r="F243" i="2" s="1"/>
  <c r="F39" i="2"/>
  <c r="F201" i="2" s="1"/>
  <c r="G246" i="2" s="1"/>
  <c r="D37" i="2"/>
  <c r="D199" i="2" s="1"/>
  <c r="E244" i="2" s="1"/>
  <c r="B39" i="2"/>
  <c r="B201" i="2" s="1"/>
  <c r="C246" i="2" s="1"/>
  <c r="B37" i="2"/>
  <c r="B199" i="2" s="1"/>
  <c r="C244" i="2" s="1"/>
  <c r="B38" i="2"/>
  <c r="B200" i="2" s="1"/>
  <c r="C245" i="2" s="1"/>
  <c r="B36" i="2"/>
  <c r="B198" i="2" s="1"/>
  <c r="C243" i="2" s="1"/>
  <c r="F231" i="2"/>
  <c r="F232" i="2" s="1"/>
  <c r="G245" i="3"/>
  <c r="C257" i="3"/>
  <c r="C258" i="3"/>
  <c r="E45" i="35"/>
  <c r="D118" i="141"/>
  <c r="K258" i="93"/>
  <c r="E95" i="111"/>
  <c r="M109" i="111" s="1"/>
  <c r="D80" i="123"/>
  <c r="J92" i="123" s="1"/>
  <c r="D78" i="123"/>
  <c r="H90" i="123"/>
  <c r="E81" i="69"/>
  <c r="E75" i="69"/>
  <c r="I85" i="69" s="1"/>
  <c r="E73" i="69"/>
  <c r="B177" i="73"/>
  <c r="D177" i="73" s="1"/>
  <c r="C154" i="17"/>
  <c r="B221" i="137"/>
  <c r="B245" i="93"/>
  <c r="C38" i="133"/>
  <c r="E80" i="123"/>
  <c r="K92" i="123" s="1"/>
  <c r="B79" i="123"/>
  <c r="I90" i="123"/>
  <c r="E78" i="123"/>
  <c r="D80" i="69"/>
  <c r="D74" i="69"/>
  <c r="H84" i="69" s="1"/>
  <c r="D72" i="69"/>
  <c r="E35" i="143"/>
  <c r="E37" i="143"/>
  <c r="E43" i="143" s="1"/>
  <c r="C41" i="143"/>
  <c r="C177" i="73"/>
  <c r="C39" i="31"/>
  <c r="B40" i="31" s="1"/>
  <c r="C140" i="143"/>
  <c r="E244" i="93"/>
  <c r="B65" i="49"/>
  <c r="E64" i="49"/>
  <c r="E66" i="49"/>
  <c r="K78" i="49" s="1"/>
  <c r="C70" i="49"/>
  <c r="J331" i="99"/>
  <c r="E65" i="49"/>
  <c r="E67" i="49"/>
  <c r="K79" i="49" s="1"/>
  <c r="C71" i="49"/>
  <c r="H287" i="55"/>
  <c r="G205" i="91"/>
  <c r="H244" i="91" s="1"/>
  <c r="E263" i="81"/>
  <c r="E315" i="83"/>
  <c r="Q333" i="83" s="1"/>
  <c r="K111" i="117"/>
  <c r="M198" i="131"/>
  <c r="E182" i="131"/>
  <c r="E184" i="131"/>
  <c r="G192" i="131" s="1"/>
  <c r="J256" i="2"/>
  <c r="J294" i="2" s="1"/>
  <c r="D200" i="65"/>
  <c r="L214" i="65" s="1"/>
  <c r="D198" i="65"/>
  <c r="D206" i="65"/>
  <c r="E200" i="65"/>
  <c r="M214" i="65" s="1"/>
  <c r="B199" i="65"/>
  <c r="E198" i="65"/>
  <c r="E206" i="65"/>
  <c r="C119" i="7"/>
  <c r="G111" i="27"/>
  <c r="F486" i="77"/>
  <c r="D486" i="77"/>
  <c r="C173" i="77"/>
  <c r="C65" i="129"/>
  <c r="K332" i="99"/>
  <c r="C159" i="49"/>
  <c r="D198" i="49" s="1"/>
  <c r="E33" i="69"/>
  <c r="E39" i="69" s="1"/>
  <c r="E222" i="69" s="1"/>
  <c r="F267" i="69" s="1"/>
  <c r="E31" i="69"/>
  <c r="C37" i="69"/>
  <c r="C36" i="69"/>
  <c r="E32" i="69"/>
  <c r="E38" i="69" s="1"/>
  <c r="B31" i="69"/>
  <c r="E30" i="69"/>
  <c r="B66" i="49"/>
  <c r="B78" i="49" s="1"/>
  <c r="B167" i="49" s="1"/>
  <c r="C206" i="49" s="1"/>
  <c r="J70" i="49"/>
  <c r="J159" i="49" s="1"/>
  <c r="C41" i="117"/>
  <c r="E35" i="117"/>
  <c r="E37" i="117"/>
  <c r="E43" i="117" s="1"/>
  <c r="C64" i="129"/>
  <c r="B64" i="129"/>
  <c r="E287" i="129"/>
  <c r="C287" i="129"/>
  <c r="D32" i="69"/>
  <c r="D38" i="69" s="1"/>
  <c r="D221" i="69" s="1"/>
  <c r="D30" i="69"/>
  <c r="B36" i="69"/>
  <c r="E199" i="65"/>
  <c r="E201" i="65"/>
  <c r="M215" i="65" s="1"/>
  <c r="E207" i="65"/>
  <c r="C172" i="77"/>
  <c r="C115" i="111"/>
  <c r="C115" i="67"/>
  <c r="E257" i="3"/>
  <c r="E383" i="123"/>
  <c r="I91" i="123"/>
  <c r="E79" i="123"/>
  <c r="E81" i="123"/>
  <c r="K93" i="123" s="1"/>
  <c r="N259" i="2"/>
  <c r="A259" i="2" s="1"/>
  <c r="M271" i="2" s="1"/>
  <c r="E80" i="69"/>
  <c r="E72" i="69"/>
  <c r="E74" i="69"/>
  <c r="I84" i="69" s="1"/>
  <c r="B73" i="69"/>
  <c r="B40" i="143"/>
  <c r="D36" i="143"/>
  <c r="D42" i="143" s="1"/>
  <c r="D34" i="143"/>
  <c r="B172" i="77"/>
  <c r="D262" i="3"/>
  <c r="C262" i="3"/>
  <c r="A262" i="3"/>
  <c r="L273" i="3" s="1"/>
  <c r="J262" i="3"/>
  <c r="E262" i="3"/>
  <c r="E35" i="13"/>
  <c r="G43" i="13" s="1"/>
  <c r="G67" i="13" s="1"/>
  <c r="H94" i="13" s="1"/>
  <c r="B34" i="13"/>
  <c r="E33" i="13"/>
  <c r="E41" i="13"/>
  <c r="B46" i="41"/>
  <c r="E45" i="41"/>
  <c r="E47" i="41"/>
  <c r="G55" i="41" s="1"/>
  <c r="E53" i="41"/>
  <c r="B179" i="69"/>
  <c r="J193" i="69" s="1"/>
  <c r="J229" i="69" s="1"/>
  <c r="L191" i="69"/>
  <c r="L227" i="69" s="1"/>
  <c r="E34" i="119"/>
  <c r="E36" i="119"/>
  <c r="E42" i="119" s="1"/>
  <c r="B35" i="119"/>
  <c r="C40" i="119"/>
  <c r="C265" i="119" s="1"/>
  <c r="D310" i="119" s="1"/>
  <c r="E30" i="127"/>
  <c r="E36" i="127" s="1"/>
  <c r="B29" i="127"/>
  <c r="E28" i="127"/>
  <c r="C34" i="127"/>
  <c r="D39" i="29"/>
  <c r="D41" i="29"/>
  <c r="F49" i="29" s="1"/>
  <c r="D47" i="29"/>
  <c r="E29" i="45"/>
  <c r="E35" i="45" s="1"/>
  <c r="E162" i="45" s="1"/>
  <c r="F201" i="45" s="1"/>
  <c r="E27" i="45"/>
  <c r="C33" i="45"/>
  <c r="C94" i="95"/>
  <c r="E104" i="95" s="1"/>
  <c r="E132" i="95" s="1"/>
  <c r="F165" i="95" s="1"/>
  <c r="I100" i="95"/>
  <c r="I128" i="95" s="1"/>
  <c r="D41" i="23"/>
  <c r="F49" i="23" s="1"/>
  <c r="D39" i="23"/>
  <c r="D47" i="23"/>
  <c r="E136" i="57"/>
  <c r="E138" i="57"/>
  <c r="M152" i="57" s="1"/>
  <c r="G146" i="57"/>
  <c r="G368" i="63"/>
  <c r="G354" i="63"/>
  <c r="G400" i="63"/>
  <c r="D26" i="35"/>
  <c r="D28" i="35"/>
  <c r="D34" i="35" s="1"/>
  <c r="B32" i="35"/>
  <c r="D55" i="141"/>
  <c r="B61" i="141"/>
  <c r="D57" i="141"/>
  <c r="H67" i="141" s="1"/>
  <c r="E24" i="23"/>
  <c r="E30" i="23" s="1"/>
  <c r="E109" i="23" s="1"/>
  <c r="B23" i="23"/>
  <c r="E22" i="23"/>
  <c r="C28" i="23"/>
  <c r="E93" i="69"/>
  <c r="B94" i="69"/>
  <c r="E95" i="69"/>
  <c r="I105" i="69" s="1"/>
  <c r="I225" i="69" s="1"/>
  <c r="G103" i="69"/>
  <c r="B40" i="29"/>
  <c r="E39" i="29"/>
  <c r="E41" i="29"/>
  <c r="G49" i="29" s="1"/>
  <c r="E47" i="29"/>
  <c r="E42" i="25"/>
  <c r="G50" i="25" s="1"/>
  <c r="E40" i="25"/>
  <c r="E48" i="25"/>
  <c r="E110" i="25" s="1"/>
  <c r="G395" i="59"/>
  <c r="G371" i="59"/>
  <c r="C144" i="115"/>
  <c r="K152" i="115" s="1"/>
  <c r="K184" i="115" s="1"/>
  <c r="G156" i="115"/>
  <c r="G188" i="115" s="1"/>
  <c r="H227" i="115" s="1"/>
  <c r="D267" i="75"/>
  <c r="H277" i="75" s="1"/>
  <c r="D265" i="75"/>
  <c r="N283" i="75"/>
  <c r="C220" i="79"/>
  <c r="M236" i="79" s="1"/>
  <c r="M299" i="79" s="1"/>
  <c r="O234" i="79"/>
  <c r="O297" i="79" s="1"/>
  <c r="G230" i="25"/>
  <c r="G236" i="25"/>
  <c r="G204" i="25"/>
  <c r="A413" i="111"/>
  <c r="C198" i="111"/>
  <c r="B198" i="111"/>
  <c r="E77" i="117"/>
  <c r="E79" i="117"/>
  <c r="K91" i="117" s="1"/>
  <c r="I89" i="117"/>
  <c r="E189" i="81"/>
  <c r="E191" i="81"/>
  <c r="Q209" i="81" s="1"/>
  <c r="Q378" i="81" s="1"/>
  <c r="O207" i="81"/>
  <c r="G241" i="109"/>
  <c r="C211" i="109"/>
  <c r="H241" i="109" s="1"/>
  <c r="E142" i="35"/>
  <c r="G150" i="35" s="1"/>
  <c r="B141" i="35"/>
  <c r="E140" i="35"/>
  <c r="K154" i="35"/>
  <c r="D93" i="67"/>
  <c r="D95" i="67"/>
  <c r="H105" i="67" s="1"/>
  <c r="D101" i="67"/>
  <c r="G371" i="55"/>
  <c r="G419" i="55"/>
  <c r="G439" i="75"/>
  <c r="G463" i="75"/>
  <c r="B41" i="21"/>
  <c r="B51" i="21" s="1"/>
  <c r="B113" i="21" s="1"/>
  <c r="C146" i="21" s="1"/>
  <c r="H45" i="21"/>
  <c r="H107" i="21" s="1"/>
  <c r="B65" i="83"/>
  <c r="D73" i="83" s="1"/>
  <c r="D367" i="83" s="1"/>
  <c r="F71" i="83"/>
  <c r="F365" i="83" s="1"/>
  <c r="D108" i="91"/>
  <c r="J120" i="91" s="1"/>
  <c r="D106" i="91"/>
  <c r="D114" i="91"/>
  <c r="E124" i="49"/>
  <c r="E130" i="49" s="1"/>
  <c r="E122" i="49"/>
  <c r="K136" i="49"/>
  <c r="B158" i="69"/>
  <c r="H172" i="69" s="1"/>
  <c r="H229" i="69" s="1"/>
  <c r="L168" i="69"/>
  <c r="L225" i="69" s="1"/>
  <c r="E67" i="35"/>
  <c r="I77" i="35" s="1"/>
  <c r="E65" i="35"/>
  <c r="C71" i="35"/>
  <c r="E95" i="67"/>
  <c r="I105" i="67" s="1"/>
  <c r="E93" i="67"/>
  <c r="B94" i="67"/>
  <c r="E101" i="67"/>
  <c r="K434" i="81"/>
  <c r="I451" i="81"/>
  <c r="C142" i="37"/>
  <c r="E154" i="37" s="1"/>
  <c r="E167" i="37" s="1"/>
  <c r="K148" i="37"/>
  <c r="K161" i="37" s="1"/>
  <c r="B58" i="27"/>
  <c r="F68" i="27" s="1"/>
  <c r="F113" i="27" s="1"/>
  <c r="H66" i="27"/>
  <c r="H111" i="27" s="1"/>
  <c r="E86" i="47"/>
  <c r="K98" i="47" s="1"/>
  <c r="E84" i="47"/>
  <c r="I96" i="47"/>
  <c r="C165" i="91"/>
  <c r="E177" i="91" s="1"/>
  <c r="K171" i="91"/>
  <c r="B74" i="55"/>
  <c r="F84" i="55" s="1"/>
  <c r="F225" i="55" s="1"/>
  <c r="H82" i="55"/>
  <c r="H223" i="55" s="1"/>
  <c r="G353" i="55"/>
  <c r="G385" i="55"/>
  <c r="E21" i="5"/>
  <c r="E27" i="5" s="1"/>
  <c r="E19" i="5"/>
  <c r="C25" i="5"/>
  <c r="B266" i="75"/>
  <c r="N276" i="75" s="1"/>
  <c r="N293" i="75" s="1"/>
  <c r="H282" i="75"/>
  <c r="H299" i="75" s="1"/>
  <c r="B116" i="69"/>
  <c r="B126" i="69" s="1"/>
  <c r="B225" i="69" s="1"/>
  <c r="C270" i="69" s="1"/>
  <c r="H120" i="69"/>
  <c r="H219" i="69" s="1"/>
  <c r="C42" i="21"/>
  <c r="C52" i="21" s="1"/>
  <c r="C114" i="21" s="1"/>
  <c r="D147" i="21" s="1"/>
  <c r="I46" i="21"/>
  <c r="I108" i="21" s="1"/>
  <c r="A441" i="133"/>
  <c r="C222" i="133"/>
  <c r="B32" i="91"/>
  <c r="B38" i="91" s="1"/>
  <c r="B203" i="91" s="1"/>
  <c r="C242" i="91" s="1"/>
  <c r="D36" i="91"/>
  <c r="D201" i="91" s="1"/>
  <c r="G462" i="119"/>
  <c r="G398" i="119"/>
  <c r="G468" i="119"/>
  <c r="G404" i="119"/>
  <c r="G436" i="119"/>
  <c r="C224" i="137"/>
  <c r="H269" i="137" s="1"/>
  <c r="G269" i="137"/>
  <c r="A322" i="43"/>
  <c r="C141" i="43"/>
  <c r="B77" i="87"/>
  <c r="H81" i="87" s="1"/>
  <c r="H126" i="87" s="1"/>
  <c r="B87" i="87"/>
  <c r="B132" i="87" s="1"/>
  <c r="C165" i="87" s="1"/>
  <c r="D140" i="35"/>
  <c r="D142" i="35"/>
  <c r="F150" i="35" s="1"/>
  <c r="J154" i="35"/>
  <c r="D58" i="21"/>
  <c r="F66" i="21" s="1"/>
  <c r="H68" i="21"/>
  <c r="H113" i="21" s="1"/>
  <c r="D56" i="21"/>
  <c r="B178" i="73"/>
  <c r="E177" i="73"/>
  <c r="E179" i="73"/>
  <c r="G187" i="73" s="1"/>
  <c r="M193" i="73"/>
  <c r="E54" i="63"/>
  <c r="I64" i="63" s="1"/>
  <c r="E52" i="63"/>
  <c r="C58" i="63"/>
  <c r="B157" i="55"/>
  <c r="E158" i="55"/>
  <c r="M172" i="55" s="1"/>
  <c r="E156" i="55"/>
  <c r="E164" i="55"/>
  <c r="C93" i="19"/>
  <c r="E103" i="19" s="1"/>
  <c r="E114" i="19" s="1"/>
  <c r="I99" i="19"/>
  <c r="I110" i="19" s="1"/>
  <c r="D177" i="67"/>
  <c r="D179" i="67"/>
  <c r="F187" i="67" s="1"/>
  <c r="D185" i="67"/>
  <c r="E159" i="71"/>
  <c r="K171" i="71" s="1"/>
  <c r="E157" i="71"/>
  <c r="E165" i="71"/>
  <c r="E75" i="31"/>
  <c r="G83" i="31" s="1"/>
  <c r="B74" i="31"/>
  <c r="E73" i="31"/>
  <c r="I85" i="31"/>
  <c r="B178" i="67"/>
  <c r="E177" i="67"/>
  <c r="E179" i="67"/>
  <c r="G187" i="67" s="1"/>
  <c r="E185" i="67"/>
  <c r="I163" i="95"/>
  <c r="F172" i="95"/>
  <c r="D92" i="85"/>
  <c r="D94" i="85"/>
  <c r="F102" i="85" s="1"/>
  <c r="B98" i="85"/>
  <c r="D164" i="91"/>
  <c r="D166" i="91"/>
  <c r="J178" i="91" s="1"/>
  <c r="D172" i="91"/>
  <c r="G419" i="73"/>
  <c r="G371" i="73"/>
  <c r="E116" i="73"/>
  <c r="K128" i="73" s="1"/>
  <c r="E114" i="73"/>
  <c r="B115" i="73"/>
  <c r="C120" i="73"/>
  <c r="B92" i="21"/>
  <c r="B100" i="21" s="1"/>
  <c r="B111" i="21" s="1"/>
  <c r="C144" i="21" s="1"/>
  <c r="F96" i="21"/>
  <c r="F107" i="21" s="1"/>
  <c r="L261" i="3"/>
  <c r="A272" i="3" s="1"/>
  <c r="A283" i="3" s="1"/>
  <c r="G256" i="3"/>
  <c r="G262" i="3" s="1"/>
  <c r="L260" i="3"/>
  <c r="A271" i="3" s="1"/>
  <c r="A282" i="3" s="1"/>
  <c r="D317" i="3" s="1"/>
  <c r="M260" i="3"/>
  <c r="M261" i="3"/>
  <c r="I256" i="3"/>
  <c r="I262" i="3" s="1"/>
  <c r="L262" i="3"/>
  <c r="A273" i="3" s="1"/>
  <c r="A284" i="3" s="1"/>
  <c r="D311" i="3" s="1"/>
  <c r="L264" i="3"/>
  <c r="A275" i="3" s="1"/>
  <c r="A286" i="3" s="1"/>
  <c r="M264" i="3"/>
  <c r="H256" i="3"/>
  <c r="F256" i="3"/>
  <c r="F262" i="3" s="1"/>
  <c r="M263" i="3"/>
  <c r="E41" i="31"/>
  <c r="G49" i="31" s="1"/>
  <c r="C45" i="31"/>
  <c r="B29" i="89"/>
  <c r="E28" i="89"/>
  <c r="E30" i="89"/>
  <c r="E36" i="89" s="1"/>
  <c r="C34" i="89"/>
  <c r="E50" i="11"/>
  <c r="C54" i="11" s="1"/>
  <c r="B49" i="11"/>
  <c r="E48" i="11"/>
  <c r="G58" i="11"/>
  <c r="E143" i="89"/>
  <c r="E145" i="89"/>
  <c r="G153" i="89" s="1"/>
  <c r="K157" i="89"/>
  <c r="E138" i="71"/>
  <c r="I148" i="71" s="1"/>
  <c r="E136" i="71"/>
  <c r="M152" i="71"/>
  <c r="E117" i="73"/>
  <c r="K129" i="73" s="1"/>
  <c r="E115" i="73"/>
  <c r="C121" i="73"/>
  <c r="G204" i="31"/>
  <c r="G220" i="31"/>
  <c r="G212" i="31"/>
  <c r="D177" i="55"/>
  <c r="D179" i="55"/>
  <c r="F187" i="55" s="1"/>
  <c r="L193" i="55"/>
  <c r="G145" i="7"/>
  <c r="G151" i="7"/>
  <c r="D59" i="17"/>
  <c r="H69" i="17" s="1"/>
  <c r="D57" i="17"/>
  <c r="B63" i="17"/>
  <c r="L193" i="73"/>
  <c r="A156" i="103"/>
  <c r="B48" i="103"/>
  <c r="D93" i="95"/>
  <c r="D95" i="95"/>
  <c r="H105" i="95" s="1"/>
  <c r="D101" i="95"/>
  <c r="E48" i="53"/>
  <c r="G56" i="53" s="1"/>
  <c r="G164" i="53" s="1"/>
  <c r="H203" i="53" s="1"/>
  <c r="E46" i="53"/>
  <c r="E54" i="53"/>
  <c r="C29" i="47"/>
  <c r="C35" i="47" s="1"/>
  <c r="C162" i="47" s="1"/>
  <c r="D201" i="47" s="1"/>
  <c r="E33" i="47"/>
  <c r="E160" i="47" s="1"/>
  <c r="A308" i="115"/>
  <c r="C67" i="115"/>
  <c r="E137" i="59"/>
  <c r="I147" i="59" s="1"/>
  <c r="E135" i="59"/>
  <c r="B136" i="59"/>
  <c r="M151" i="59"/>
  <c r="D83" i="41"/>
  <c r="D85" i="41"/>
  <c r="J97" i="41" s="1"/>
  <c r="H95" i="41"/>
  <c r="E93" i="33"/>
  <c r="I103" i="33" s="1"/>
  <c r="E91" i="33"/>
  <c r="E99" i="33"/>
  <c r="E29" i="51"/>
  <c r="E35" i="51" s="1"/>
  <c r="E27" i="51"/>
  <c r="C33" i="51"/>
  <c r="G290" i="53"/>
  <c r="G274" i="53"/>
  <c r="B31" i="67"/>
  <c r="E30" i="67"/>
  <c r="E32" i="67"/>
  <c r="E38" i="67" s="1"/>
  <c r="C36" i="67"/>
  <c r="C219" i="67" s="1"/>
  <c r="D264" i="67" s="1"/>
  <c r="G274" i="45"/>
  <c r="G282" i="45"/>
  <c r="G306" i="45"/>
  <c r="B46" i="45"/>
  <c r="E47" i="45"/>
  <c r="I57" i="45" s="1"/>
  <c r="E45" i="45"/>
  <c r="C51" i="45"/>
  <c r="D26" i="43"/>
  <c r="D28" i="43"/>
  <c r="D34" i="43" s="1"/>
  <c r="B32" i="43"/>
  <c r="B81" i="75"/>
  <c r="E80" i="75"/>
  <c r="E82" i="75"/>
  <c r="I92" i="75" s="1"/>
  <c r="I293" i="75" s="1"/>
  <c r="J344" i="75" s="1"/>
  <c r="G90" i="75"/>
  <c r="G291" i="53"/>
  <c r="G275" i="53"/>
  <c r="G283" i="45"/>
  <c r="G307" i="45"/>
  <c r="G275" i="45"/>
  <c r="E27" i="53"/>
  <c r="E29" i="53"/>
  <c r="E35" i="53" s="1"/>
  <c r="C33" i="53"/>
  <c r="D47" i="45"/>
  <c r="H57" i="45" s="1"/>
  <c r="D45" i="45"/>
  <c r="B51" i="45"/>
  <c r="E142" i="49"/>
  <c r="I152" i="49" s="1"/>
  <c r="B141" i="49"/>
  <c r="E140" i="49"/>
  <c r="E148" i="49"/>
  <c r="D26" i="51"/>
  <c r="D28" i="51"/>
  <c r="D34" i="51" s="1"/>
  <c r="B32" i="51"/>
  <c r="K320" i="99"/>
  <c r="H333" i="99"/>
  <c r="B137" i="71"/>
  <c r="L147" i="71" s="1"/>
  <c r="L225" i="71" s="1"/>
  <c r="H151" i="71"/>
  <c r="H229" i="71" s="1"/>
  <c r="I226" i="71"/>
  <c r="J271" i="71" s="1"/>
  <c r="E31" i="57"/>
  <c r="E33" i="57"/>
  <c r="E39" i="57" s="1"/>
  <c r="C37" i="57"/>
  <c r="C220" i="57" s="1"/>
  <c r="D265" i="57" s="1"/>
  <c r="D23" i="27"/>
  <c r="D25" i="27"/>
  <c r="D31" i="27" s="1"/>
  <c r="B29" i="27"/>
  <c r="E45" i="51"/>
  <c r="B46" i="51"/>
  <c r="E47" i="51"/>
  <c r="G55" i="51" s="1"/>
  <c r="E53" i="51"/>
  <c r="E86" i="43"/>
  <c r="C90" i="43" s="1"/>
  <c r="E84" i="43"/>
  <c r="I96" i="43"/>
  <c r="D290" i="83"/>
  <c r="F298" i="83" s="1"/>
  <c r="D288" i="83"/>
  <c r="N306" i="83"/>
  <c r="E288" i="83"/>
  <c r="E290" i="83"/>
  <c r="G298" i="83" s="1"/>
  <c r="B289" i="83"/>
  <c r="O306" i="83"/>
  <c r="C140" i="43"/>
  <c r="E322" i="43"/>
  <c r="C322" i="43"/>
  <c r="B140" i="43"/>
  <c r="E42" i="33"/>
  <c r="G50" i="33" s="1"/>
  <c r="E40" i="33"/>
  <c r="E48" i="33"/>
  <c r="D32" i="59"/>
  <c r="D38" i="59" s="1"/>
  <c r="D30" i="59"/>
  <c r="B36" i="59"/>
  <c r="M358" i="77"/>
  <c r="C159" i="69"/>
  <c r="I173" i="69" s="1"/>
  <c r="I230" i="69" s="1"/>
  <c r="M169" i="69"/>
  <c r="M226" i="69" s="1"/>
  <c r="D225" i="121"/>
  <c r="D227" i="121"/>
  <c r="L241" i="121" s="1"/>
  <c r="D233" i="121"/>
  <c r="C32" i="61"/>
  <c r="C38" i="61" s="1"/>
  <c r="C221" i="61" s="1"/>
  <c r="D266" i="61" s="1"/>
  <c r="E36" i="61"/>
  <c r="E219" i="61" s="1"/>
  <c r="F228" i="29"/>
  <c r="D228" i="29"/>
  <c r="C74" i="29"/>
  <c r="E24" i="21"/>
  <c r="E30" i="21" s="1"/>
  <c r="E22" i="21"/>
  <c r="B23" i="21"/>
  <c r="C28" i="21"/>
  <c r="C107" i="21" s="1"/>
  <c r="D140" i="21" s="1"/>
  <c r="E53" i="57"/>
  <c r="G61" i="57" s="1"/>
  <c r="B52" i="57"/>
  <c r="E51" i="57"/>
  <c r="E59" i="57"/>
  <c r="B27" i="51"/>
  <c r="E26" i="51"/>
  <c r="E28" i="51"/>
  <c r="E34" i="51" s="1"/>
  <c r="C32" i="51"/>
  <c r="D120" i="97"/>
  <c r="D122" i="97"/>
  <c r="H132" i="97" s="1"/>
  <c r="B126" i="97"/>
  <c r="B202" i="105"/>
  <c r="E48" i="35"/>
  <c r="G56" i="35" s="1"/>
  <c r="E46" i="35"/>
  <c r="E54" i="35"/>
  <c r="C91" i="81"/>
  <c r="G101" i="81" s="1"/>
  <c r="G370" i="81" s="1"/>
  <c r="I99" i="81"/>
  <c r="I368" i="81" s="1"/>
  <c r="G363" i="65"/>
  <c r="G395" i="65"/>
  <c r="C200" i="63"/>
  <c r="K214" i="63" s="1"/>
  <c r="K229" i="63" s="1"/>
  <c r="M212" i="63"/>
  <c r="M227" i="63" s="1"/>
  <c r="M272" i="63"/>
  <c r="J285" i="63"/>
  <c r="E48" i="89"/>
  <c r="E50" i="89"/>
  <c r="G58" i="89" s="1"/>
  <c r="G185" i="89" s="1"/>
  <c r="H224" i="89" s="1"/>
  <c r="E56" i="89"/>
  <c r="C143" i="39"/>
  <c r="K151" i="39" s="1"/>
  <c r="K164" i="39" s="1"/>
  <c r="G155" i="39"/>
  <c r="G168" i="39" s="1"/>
  <c r="H207" i="39" s="1"/>
  <c r="E117" i="111"/>
  <c r="I127" i="111" s="1"/>
  <c r="E115" i="111"/>
  <c r="C121" i="111"/>
  <c r="E227" i="121"/>
  <c r="M241" i="121" s="1"/>
  <c r="B226" i="121"/>
  <c r="E225" i="121"/>
  <c r="E233" i="121"/>
  <c r="F368" i="65"/>
  <c r="D368" i="65"/>
  <c r="C73" i="65"/>
  <c r="E104" i="79"/>
  <c r="E106" i="79"/>
  <c r="K118" i="79" s="1"/>
  <c r="C110" i="79"/>
  <c r="B244" i="77"/>
  <c r="N252" i="77" s="1"/>
  <c r="N292" i="77" s="1"/>
  <c r="F260" i="77"/>
  <c r="F300" i="77" s="1"/>
  <c r="E199" i="55"/>
  <c r="E201" i="55"/>
  <c r="I211" i="55" s="1"/>
  <c r="M215" i="55"/>
  <c r="B73" i="55"/>
  <c r="E74" i="55"/>
  <c r="I84" i="55" s="1"/>
  <c r="I225" i="55" s="1"/>
  <c r="J270" i="55" s="1"/>
  <c r="E72" i="55"/>
  <c r="G82" i="55"/>
  <c r="G409" i="99"/>
  <c r="G481" i="99"/>
  <c r="G447" i="99"/>
  <c r="B19" i="5"/>
  <c r="E18" i="5"/>
  <c r="E20" i="5"/>
  <c r="E26" i="5" s="1"/>
  <c r="C24" i="5"/>
  <c r="B81" i="77"/>
  <c r="E82" i="77"/>
  <c r="I92" i="77" s="1"/>
  <c r="E80" i="77"/>
  <c r="G90" i="77"/>
  <c r="D102" i="51"/>
  <c r="D104" i="51"/>
  <c r="B108" i="51" s="1"/>
  <c r="J116" i="51"/>
  <c r="B41" i="19"/>
  <c r="D49" i="19" s="1"/>
  <c r="D111" i="19" s="1"/>
  <c r="F47" i="19"/>
  <c r="F109" i="19" s="1"/>
  <c r="C315" i="81"/>
  <c r="G333" i="81" s="1"/>
  <c r="G377" i="81" s="1"/>
  <c r="Q323" i="81"/>
  <c r="Q367" i="81" s="1"/>
  <c r="E23" i="31"/>
  <c r="E25" i="31"/>
  <c r="E31" i="31" s="1"/>
  <c r="C29" i="31"/>
  <c r="E67" i="53"/>
  <c r="I77" i="53" s="1"/>
  <c r="E65" i="53"/>
  <c r="C71" i="53"/>
  <c r="E196" i="75"/>
  <c r="E198" i="75"/>
  <c r="G206" i="75" s="1"/>
  <c r="M212" i="75"/>
  <c r="E42" i="137"/>
  <c r="E44" i="137"/>
  <c r="G52" i="137" s="1"/>
  <c r="E50" i="137"/>
  <c r="G369" i="61"/>
  <c r="G353" i="61"/>
  <c r="E102" i="51"/>
  <c r="B103" i="51"/>
  <c r="E104" i="51"/>
  <c r="C108" i="51" s="1"/>
  <c r="K116" i="51"/>
  <c r="B200" i="67"/>
  <c r="H212" i="67" s="1"/>
  <c r="H227" i="67" s="1"/>
  <c r="J210" i="67"/>
  <c r="J225" i="67" s="1"/>
  <c r="D316" i="81"/>
  <c r="P334" i="81" s="1"/>
  <c r="D314" i="81"/>
  <c r="F324" i="81"/>
  <c r="D30" i="57"/>
  <c r="D32" i="57"/>
  <c r="D38" i="57" s="1"/>
  <c r="B36" i="57"/>
  <c r="B219" i="57" s="1"/>
  <c r="C264" i="57" s="1"/>
  <c r="D23" i="105"/>
  <c r="D25" i="105"/>
  <c r="D31" i="105" s="1"/>
  <c r="B29" i="105"/>
  <c r="C92" i="21"/>
  <c r="C100" i="21" s="1"/>
  <c r="C111" i="21" s="1"/>
  <c r="D144" i="21" s="1"/>
  <c r="G96" i="21"/>
  <c r="G107" i="21" s="1"/>
  <c r="C39" i="135"/>
  <c r="C45" i="135" s="1"/>
  <c r="C291" i="135" s="1"/>
  <c r="D336" i="135" s="1"/>
  <c r="E43" i="135"/>
  <c r="E289" i="135" s="1"/>
  <c r="D67" i="43"/>
  <c r="H77" i="43" s="1"/>
  <c r="D65" i="43"/>
  <c r="F75" i="43"/>
  <c r="B36" i="55"/>
  <c r="D30" i="55"/>
  <c r="D32" i="55"/>
  <c r="D38" i="55" s="1"/>
  <c r="E23" i="21"/>
  <c r="E25" i="21"/>
  <c r="E31" i="21" s="1"/>
  <c r="C29" i="21"/>
  <c r="C108" i="21" s="1"/>
  <c r="D141" i="21" s="1"/>
  <c r="E157" i="65"/>
  <c r="E159" i="65"/>
  <c r="I169" i="65" s="1"/>
  <c r="E165" i="65"/>
  <c r="F163" i="35"/>
  <c r="E40" i="23"/>
  <c r="E42" i="23"/>
  <c r="G50" i="23" s="1"/>
  <c r="E48" i="23"/>
  <c r="E156" i="61"/>
  <c r="B157" i="61"/>
  <c r="E158" i="61"/>
  <c r="I168" i="61" s="1"/>
  <c r="E164" i="61"/>
  <c r="G240" i="109"/>
  <c r="C203" i="109"/>
  <c r="H240" i="109" s="1"/>
  <c r="C201" i="61"/>
  <c r="E215" i="61" s="1"/>
  <c r="E230" i="61" s="1"/>
  <c r="M207" i="61"/>
  <c r="M222" i="61" s="1"/>
  <c r="E78" i="97"/>
  <c r="B79" i="97"/>
  <c r="E80" i="97"/>
  <c r="K92" i="97" s="1"/>
  <c r="I90" i="97"/>
  <c r="J291" i="3"/>
  <c r="J292" i="3"/>
  <c r="J258" i="3"/>
  <c r="J294" i="3"/>
  <c r="J257" i="3"/>
  <c r="C58" i="17"/>
  <c r="C68" i="17" s="1"/>
  <c r="C113" i="17" s="1"/>
  <c r="D146" i="17" s="1"/>
  <c r="I62" i="17"/>
  <c r="I107" i="17" s="1"/>
  <c r="D159" i="69"/>
  <c r="L173" i="69" s="1"/>
  <c r="D157" i="69"/>
  <c r="H169" i="69"/>
  <c r="E49" i="11"/>
  <c r="E51" i="11"/>
  <c r="C55" i="11" s="1"/>
  <c r="G59" i="11"/>
  <c r="C24" i="27"/>
  <c r="C30" i="27" s="1"/>
  <c r="C109" i="27" s="1"/>
  <c r="D142" i="27" s="1"/>
  <c r="E28" i="27"/>
  <c r="E107" i="27" s="1"/>
  <c r="F140" i="27" s="1"/>
  <c r="D156" i="103"/>
  <c r="C49" i="103"/>
  <c r="F156" i="103"/>
  <c r="C48" i="103"/>
  <c r="E41" i="33"/>
  <c r="G49" i="33" s="1"/>
  <c r="G111" i="33" s="1"/>
  <c r="H144" i="33" s="1"/>
  <c r="E47" i="33"/>
  <c r="E39" i="33"/>
  <c r="B40" i="33"/>
  <c r="B58" i="17"/>
  <c r="B68" i="17" s="1"/>
  <c r="B113" i="17" s="1"/>
  <c r="C146" i="17" s="1"/>
  <c r="H62" i="17"/>
  <c r="H107" i="17" s="1"/>
  <c r="C66" i="43"/>
  <c r="G76" i="43" s="1"/>
  <c r="G165" i="43" s="1"/>
  <c r="I74" i="43"/>
  <c r="I163" i="43" s="1"/>
  <c r="B66" i="41"/>
  <c r="B76" i="41" s="1"/>
  <c r="B165" i="41" s="1"/>
  <c r="C204" i="41" s="1"/>
  <c r="H70" i="41"/>
  <c r="H159" i="41" s="1"/>
  <c r="B31" i="55"/>
  <c r="E30" i="55"/>
  <c r="E32" i="55"/>
  <c r="E38" i="55" s="1"/>
  <c r="C36" i="55"/>
  <c r="G360" i="63"/>
  <c r="G352" i="63"/>
  <c r="G392" i="63"/>
  <c r="C158" i="69"/>
  <c r="I172" i="69" s="1"/>
  <c r="I229" i="69" s="1"/>
  <c r="M168" i="69"/>
  <c r="M225" i="69" s="1"/>
  <c r="D46" i="43"/>
  <c r="D48" i="43"/>
  <c r="F56" i="43" s="1"/>
  <c r="D54" i="43"/>
  <c r="D82" i="77"/>
  <c r="H92" i="77" s="1"/>
  <c r="H293" i="77" s="1"/>
  <c r="D80" i="77"/>
  <c r="F90" i="77"/>
  <c r="B74" i="17"/>
  <c r="E75" i="17"/>
  <c r="I85" i="17" s="1"/>
  <c r="E73" i="17"/>
  <c r="G83" i="17"/>
  <c r="G111" i="17" s="1"/>
  <c r="H144" i="17" s="1"/>
  <c r="D199" i="63"/>
  <c r="D201" i="63"/>
  <c r="L215" i="63" s="1"/>
  <c r="J213" i="63"/>
  <c r="E57" i="33"/>
  <c r="E59" i="33"/>
  <c r="I69" i="33" s="1"/>
  <c r="G67" i="33"/>
  <c r="E178" i="67"/>
  <c r="E180" i="67"/>
  <c r="G188" i="67" s="1"/>
  <c r="E186" i="67"/>
  <c r="G231" i="29"/>
  <c r="G205" i="29"/>
  <c r="D140" i="37"/>
  <c r="D142" i="37"/>
  <c r="J154" i="37" s="1"/>
  <c r="D148" i="37"/>
  <c r="G356" i="91"/>
  <c r="G316" i="91"/>
  <c r="G340" i="91"/>
  <c r="C441" i="133"/>
  <c r="B221" i="133"/>
  <c r="E441" i="133"/>
  <c r="C221" i="133"/>
  <c r="E95" i="125"/>
  <c r="G103" i="125" s="1"/>
  <c r="E93" i="125"/>
  <c r="C99" i="125"/>
  <c r="E118" i="99"/>
  <c r="B119" i="99"/>
  <c r="E120" i="99"/>
  <c r="I130" i="99" s="1"/>
  <c r="C124" i="99"/>
  <c r="E141" i="49"/>
  <c r="E143" i="49"/>
  <c r="I153" i="49" s="1"/>
  <c r="E149" i="49"/>
  <c r="G160" i="7"/>
  <c r="G142" i="7"/>
  <c r="B47" i="35"/>
  <c r="D55" i="35" s="1"/>
  <c r="D163" i="35" s="1"/>
  <c r="F53" i="35"/>
  <c r="F161" i="35" s="1"/>
  <c r="C75" i="71"/>
  <c r="G85" i="71" s="1"/>
  <c r="G226" i="71" s="1"/>
  <c r="I83" i="71"/>
  <c r="I224" i="71" s="1"/>
  <c r="J269" i="71" s="1"/>
  <c r="E228" i="15"/>
  <c r="C228" i="15"/>
  <c r="C73" i="15"/>
  <c r="B73" i="15"/>
  <c r="E122" i="39"/>
  <c r="E124" i="39"/>
  <c r="E130" i="39" s="1"/>
  <c r="I134" i="39"/>
  <c r="D228" i="15"/>
  <c r="C74" i="15"/>
  <c r="F228" i="15"/>
  <c r="E121" i="51"/>
  <c r="B122" i="51"/>
  <c r="E123" i="51"/>
  <c r="I133" i="51" s="1"/>
  <c r="C127" i="51"/>
  <c r="C67" i="45"/>
  <c r="E75" i="45" s="1"/>
  <c r="E164" i="45" s="1"/>
  <c r="F203" i="45" s="1"/>
  <c r="G73" i="45"/>
  <c r="G162" i="45" s="1"/>
  <c r="E103" i="53"/>
  <c r="E105" i="53"/>
  <c r="K117" i="53" s="1"/>
  <c r="I115" i="53"/>
  <c r="E73" i="27"/>
  <c r="B74" i="27"/>
  <c r="E75" i="27"/>
  <c r="C79" i="27" s="1"/>
  <c r="C107" i="27" s="1"/>
  <c r="D140" i="27" s="1"/>
  <c r="I85" i="27"/>
  <c r="B178" i="71"/>
  <c r="E177" i="71"/>
  <c r="E179" i="71"/>
  <c r="M193" i="71" s="1"/>
  <c r="G187" i="71"/>
  <c r="E54" i="59"/>
  <c r="G62" i="59" s="1"/>
  <c r="E52" i="59"/>
  <c r="E60" i="59"/>
  <c r="B27" i="129"/>
  <c r="E26" i="129"/>
  <c r="E28" i="129"/>
  <c r="E34" i="129" s="1"/>
  <c r="C32" i="129"/>
  <c r="D90" i="83"/>
  <c r="H100" i="83" s="1"/>
  <c r="D88" i="83"/>
  <c r="F98" i="83"/>
  <c r="F367" i="83" s="1"/>
  <c r="E91" i="23"/>
  <c r="E93" i="23"/>
  <c r="I103" i="23" s="1"/>
  <c r="E99" i="23"/>
  <c r="G205" i="33"/>
  <c r="G231" i="33"/>
  <c r="D141" i="45"/>
  <c r="D143" i="45"/>
  <c r="J155" i="45" s="1"/>
  <c r="F151" i="45"/>
  <c r="E141" i="47"/>
  <c r="E143" i="47"/>
  <c r="K155" i="47" s="1"/>
  <c r="E149" i="47"/>
  <c r="B26" i="39"/>
  <c r="C26" i="39"/>
  <c r="C274" i="39"/>
  <c r="E274" i="39"/>
  <c r="E73" i="61"/>
  <c r="E75" i="61"/>
  <c r="I85" i="61" s="1"/>
  <c r="C79" i="61"/>
  <c r="D179" i="133"/>
  <c r="D181" i="133"/>
  <c r="F189" i="133" s="1"/>
  <c r="L195" i="133"/>
  <c r="C182" i="93"/>
  <c r="D454" i="93"/>
  <c r="F454" i="93"/>
  <c r="B52" i="63"/>
  <c r="E51" i="63"/>
  <c r="E53" i="63"/>
  <c r="I63" i="63" s="1"/>
  <c r="C57" i="63"/>
  <c r="E265" i="77"/>
  <c r="E267" i="77"/>
  <c r="I277" i="77" s="1"/>
  <c r="O283" i="77"/>
  <c r="D26" i="95"/>
  <c r="D32" i="95" s="1"/>
  <c r="D128" i="95" s="1"/>
  <c r="D24" i="95"/>
  <c r="B30" i="95"/>
  <c r="E61" i="137"/>
  <c r="I71" i="137" s="1"/>
  <c r="E59" i="137"/>
  <c r="G69" i="137"/>
  <c r="E224" i="143"/>
  <c r="E226" i="143"/>
  <c r="M240" i="143" s="1"/>
  <c r="E232" i="143"/>
  <c r="B202" i="133"/>
  <c r="L212" i="133" s="1"/>
  <c r="L248" i="133" s="1"/>
  <c r="H216" i="133"/>
  <c r="H252" i="133" s="1"/>
  <c r="E205" i="143"/>
  <c r="E211" i="143" s="1"/>
  <c r="E203" i="143"/>
  <c r="I215" i="143"/>
  <c r="C77" i="125"/>
  <c r="I81" i="125" s="1"/>
  <c r="I126" i="125" s="1"/>
  <c r="C87" i="125"/>
  <c r="C132" i="125" s="1"/>
  <c r="D165" i="125" s="1"/>
  <c r="E196" i="79"/>
  <c r="E198" i="79"/>
  <c r="G206" i="79" s="1"/>
  <c r="M212" i="79"/>
  <c r="E205" i="135"/>
  <c r="E207" i="135"/>
  <c r="E213" i="135" s="1"/>
  <c r="I217" i="135"/>
  <c r="B127" i="91"/>
  <c r="B139" i="91" s="1"/>
  <c r="B209" i="91" s="1"/>
  <c r="C248" i="91" s="1"/>
  <c r="J131" i="91"/>
  <c r="J201" i="91" s="1"/>
  <c r="C114" i="83"/>
  <c r="D248" i="123"/>
  <c r="F256" i="123" s="1"/>
  <c r="D246" i="123"/>
  <c r="J260" i="123"/>
  <c r="D86" i="43"/>
  <c r="B90" i="43" s="1"/>
  <c r="D84" i="43"/>
  <c r="H96" i="43"/>
  <c r="B183" i="117"/>
  <c r="B195" i="117" s="1"/>
  <c r="B273" i="117" s="1"/>
  <c r="C318" i="117" s="1"/>
  <c r="J187" i="117"/>
  <c r="J265" i="117" s="1"/>
  <c r="D53" i="65"/>
  <c r="F61" i="65" s="1"/>
  <c r="D51" i="65"/>
  <c r="D59" i="65"/>
  <c r="B55" i="139"/>
  <c r="B63" i="139" s="1"/>
  <c r="B246" i="139" s="1"/>
  <c r="C291" i="139" s="1"/>
  <c r="F59" i="139"/>
  <c r="F242" i="139" s="1"/>
  <c r="C121" i="131"/>
  <c r="C133" i="131" s="1"/>
  <c r="C274" i="131" s="1"/>
  <c r="D319" i="131" s="1"/>
  <c r="K125" i="131"/>
  <c r="K266" i="131" s="1"/>
  <c r="D204" i="123"/>
  <c r="D206" i="123"/>
  <c r="D212" i="123" s="1"/>
  <c r="H216" i="123"/>
  <c r="D54" i="139"/>
  <c r="D56" i="139"/>
  <c r="F64" i="139" s="1"/>
  <c r="B60" i="139"/>
  <c r="E178" i="111"/>
  <c r="E180" i="111"/>
  <c r="K192" i="111" s="1"/>
  <c r="C184" i="111"/>
  <c r="D258" i="3"/>
  <c r="E475" i="117"/>
  <c r="C475" i="117"/>
  <c r="C244" i="117"/>
  <c r="B244" i="117"/>
  <c r="E56" i="131"/>
  <c r="E58" i="131"/>
  <c r="G66" i="131" s="1"/>
  <c r="E64" i="131"/>
  <c r="D206" i="135"/>
  <c r="D212" i="135" s="1"/>
  <c r="D204" i="135"/>
  <c r="H216" i="135"/>
  <c r="N338" i="121"/>
  <c r="I384" i="121"/>
  <c r="C96" i="73"/>
  <c r="K110" i="73" s="1"/>
  <c r="K230" i="73" s="1"/>
  <c r="M108" i="73"/>
  <c r="M228" i="73" s="1"/>
  <c r="E199" i="71"/>
  <c r="E201" i="71"/>
  <c r="G209" i="71" s="1"/>
  <c r="K213" i="71"/>
  <c r="D41" i="85"/>
  <c r="D43" i="85"/>
  <c r="F51" i="85" s="1"/>
  <c r="F130" i="85" s="1"/>
  <c r="D49" i="85"/>
  <c r="D158" i="139"/>
  <c r="D160" i="139"/>
  <c r="J172" i="139" s="1"/>
  <c r="F168" i="139"/>
  <c r="G221" i="113"/>
  <c r="G253" i="113"/>
  <c r="G247" i="113"/>
  <c r="C29" i="115"/>
  <c r="E145" i="91"/>
  <c r="E147" i="91"/>
  <c r="E153" i="91" s="1"/>
  <c r="I157" i="91"/>
  <c r="E78" i="93"/>
  <c r="K90" i="93" s="1"/>
  <c r="B77" i="93"/>
  <c r="E76" i="93"/>
  <c r="I88" i="93"/>
  <c r="D137" i="139"/>
  <c r="D139" i="139"/>
  <c r="F147" i="139" s="1"/>
  <c r="D145" i="139"/>
  <c r="E142" i="121"/>
  <c r="E144" i="121"/>
  <c r="K156" i="121" s="1"/>
  <c r="E150" i="121"/>
  <c r="G295" i="115"/>
  <c r="G333" i="115"/>
  <c r="G301" i="115"/>
  <c r="G319" i="115"/>
  <c r="D202" i="139"/>
  <c r="L216" i="139" s="1"/>
  <c r="J214" i="139"/>
  <c r="D200" i="139"/>
  <c r="C116" i="69"/>
  <c r="C126" i="69" s="1"/>
  <c r="C225" i="69" s="1"/>
  <c r="D270" i="69" s="1"/>
  <c r="I120" i="69"/>
  <c r="I219" i="69" s="1"/>
  <c r="B119" i="117"/>
  <c r="E118" i="117"/>
  <c r="E120" i="117"/>
  <c r="I130" i="117" s="1"/>
  <c r="C124" i="117"/>
  <c r="C265" i="117" s="1"/>
  <c r="D310" i="117" s="1"/>
  <c r="E179" i="63"/>
  <c r="M193" i="63" s="1"/>
  <c r="M229" i="63" s="1"/>
  <c r="B178" i="63"/>
  <c r="E177" i="63"/>
  <c r="I189" i="63"/>
  <c r="B95" i="61"/>
  <c r="H107" i="61" s="1"/>
  <c r="H227" i="61" s="1"/>
  <c r="J105" i="61"/>
  <c r="J225" i="61" s="1"/>
  <c r="C185" i="97"/>
  <c r="C197" i="97" s="1"/>
  <c r="C296" i="97" s="1"/>
  <c r="D341" i="97" s="1"/>
  <c r="K189" i="97"/>
  <c r="K288" i="97" s="1"/>
  <c r="C106" i="127"/>
  <c r="K114" i="127" s="1"/>
  <c r="K184" i="127" s="1"/>
  <c r="G118" i="127"/>
  <c r="G188" i="127" s="1"/>
  <c r="H227" i="127" s="1"/>
  <c r="C41" i="25"/>
  <c r="E49" i="25" s="1"/>
  <c r="E111" i="25" s="1"/>
  <c r="G47" i="25"/>
  <c r="G109" i="25" s="1"/>
  <c r="D124" i="89"/>
  <c r="D126" i="89"/>
  <c r="J138" i="89" s="1"/>
  <c r="D132" i="89"/>
  <c r="B164" i="121"/>
  <c r="F178" i="121" s="1"/>
  <c r="F298" i="121" s="1"/>
  <c r="G343" i="121" s="1"/>
  <c r="L172" i="121"/>
  <c r="L292" i="121" s="1"/>
  <c r="E160" i="119"/>
  <c r="E162" i="119"/>
  <c r="M176" i="119" s="1"/>
  <c r="B161" i="119"/>
  <c r="G170" i="119"/>
  <c r="D119" i="133"/>
  <c r="J131" i="133" s="1"/>
  <c r="D117" i="133"/>
  <c r="B123" i="133"/>
  <c r="G288" i="129"/>
  <c r="G272" i="129"/>
  <c r="D48" i="35"/>
  <c r="F56" i="35" s="1"/>
  <c r="D46" i="35"/>
  <c r="D54" i="35"/>
  <c r="E125" i="115"/>
  <c r="K137" i="115" s="1"/>
  <c r="K188" i="115" s="1"/>
  <c r="B124" i="115"/>
  <c r="E123" i="115"/>
  <c r="E131" i="115"/>
  <c r="D77" i="113"/>
  <c r="B81" i="113" s="1"/>
  <c r="B126" i="113" s="1"/>
  <c r="C159" i="113" s="1"/>
  <c r="D75" i="113"/>
  <c r="H87" i="113"/>
  <c r="G282" i="107"/>
  <c r="G322" i="107"/>
  <c r="D158" i="111"/>
  <c r="L172" i="111" s="1"/>
  <c r="D156" i="111"/>
  <c r="F166" i="111"/>
  <c r="D156" i="73"/>
  <c r="D158" i="73"/>
  <c r="L172" i="73" s="1"/>
  <c r="D164" i="73"/>
  <c r="D225" i="119"/>
  <c r="L239" i="119" s="1"/>
  <c r="D223" i="119"/>
  <c r="D231" i="119"/>
  <c r="D202" i="119"/>
  <c r="D204" i="119"/>
  <c r="D210" i="119" s="1"/>
  <c r="H214" i="119"/>
  <c r="D57" i="135"/>
  <c r="D59" i="135"/>
  <c r="F67" i="135" s="1"/>
  <c r="F292" i="135" s="1"/>
  <c r="D65" i="135"/>
  <c r="C105" i="75"/>
  <c r="C117" i="75" s="1"/>
  <c r="C295" i="75" s="1"/>
  <c r="D346" i="75" s="1"/>
  <c r="K109" i="75"/>
  <c r="K287" i="75" s="1"/>
  <c r="C42" i="109"/>
  <c r="E50" i="109" s="1"/>
  <c r="E112" i="109" s="1"/>
  <c r="F145" i="109" s="1"/>
  <c r="G48" i="109"/>
  <c r="G110" i="109" s="1"/>
  <c r="H143" i="109" s="1"/>
  <c r="D247" i="93"/>
  <c r="F255" i="93" s="1"/>
  <c r="D245" i="93"/>
  <c r="J259" i="93"/>
  <c r="B119" i="131"/>
  <c r="E118" i="131"/>
  <c r="E120" i="131"/>
  <c r="K132" i="131" s="1"/>
  <c r="C124" i="131"/>
  <c r="E138" i="63"/>
  <c r="G146" i="63" s="1"/>
  <c r="E136" i="63"/>
  <c r="C142" i="63"/>
  <c r="C180" i="65"/>
  <c r="E192" i="65" s="1"/>
  <c r="E228" i="65" s="1"/>
  <c r="K186" i="65"/>
  <c r="K222" i="65" s="1"/>
  <c r="E64" i="39"/>
  <c r="E66" i="39"/>
  <c r="I76" i="39" s="1"/>
  <c r="I165" i="39" s="1"/>
  <c r="C70" i="39"/>
  <c r="B65" i="39"/>
  <c r="E180" i="139"/>
  <c r="E182" i="139"/>
  <c r="M196" i="139" s="1"/>
  <c r="I192" i="139"/>
  <c r="C38" i="123"/>
  <c r="C44" i="123" s="1"/>
  <c r="C290" i="123" s="1"/>
  <c r="D335" i="123" s="1"/>
  <c r="E42" i="123"/>
  <c r="E288" i="123" s="1"/>
  <c r="F333" i="123" s="1"/>
  <c r="C34" i="133"/>
  <c r="C40" i="133" s="1"/>
  <c r="C244" i="133" s="1"/>
  <c r="D289" i="133" s="1"/>
  <c r="E38" i="133"/>
  <c r="E242" i="133" s="1"/>
  <c r="F287" i="133" s="1"/>
  <c r="B24" i="109"/>
  <c r="B30" i="109" s="1"/>
  <c r="B109" i="109" s="1"/>
  <c r="C142" i="109" s="1"/>
  <c r="D28" i="109"/>
  <c r="D107" i="109" s="1"/>
  <c r="E140" i="109" s="1"/>
  <c r="C166" i="91"/>
  <c r="E178" i="91" s="1"/>
  <c r="K172" i="91"/>
  <c r="E34" i="5"/>
  <c r="E36" i="5"/>
  <c r="G44" i="5" s="1"/>
  <c r="G68" i="5" s="1"/>
  <c r="H95" i="5" s="1"/>
  <c r="E42" i="5"/>
  <c r="C35" i="9"/>
  <c r="E43" i="9" s="1"/>
  <c r="E67" i="9" s="1"/>
  <c r="F94" i="9" s="1"/>
  <c r="G41" i="9"/>
  <c r="G65" i="9" s="1"/>
  <c r="H92" i="9" s="1"/>
  <c r="C51" i="91"/>
  <c r="E59" i="91" s="1"/>
  <c r="E205" i="91" s="1"/>
  <c r="G57" i="91"/>
  <c r="G203" i="91" s="1"/>
  <c r="H242" i="91" s="1"/>
  <c r="E51" i="5"/>
  <c r="C55" i="5" s="1"/>
  <c r="E49" i="5"/>
  <c r="G59" i="5"/>
  <c r="D90" i="33"/>
  <c r="D92" i="33"/>
  <c r="H102" i="33" s="1"/>
  <c r="D98" i="33"/>
  <c r="E85" i="53"/>
  <c r="E91" i="53" s="1"/>
  <c r="B84" i="53"/>
  <c r="E83" i="53"/>
  <c r="I95" i="53"/>
  <c r="C41" i="19"/>
  <c r="E49" i="19" s="1"/>
  <c r="E111" i="19" s="1"/>
  <c r="G47" i="19"/>
  <c r="G109" i="19" s="1"/>
  <c r="H142" i="19" s="1"/>
  <c r="D80" i="75"/>
  <c r="D82" i="75"/>
  <c r="H92" i="75" s="1"/>
  <c r="H293" i="75" s="1"/>
  <c r="F90" i="75"/>
  <c r="C92" i="23"/>
  <c r="E102" i="23" s="1"/>
  <c r="E113" i="23" s="1"/>
  <c r="I98" i="23"/>
  <c r="I109" i="23" s="1"/>
  <c r="E95" i="85"/>
  <c r="G103" i="85" s="1"/>
  <c r="E93" i="85"/>
  <c r="C99" i="85"/>
  <c r="E74" i="27"/>
  <c r="E76" i="27"/>
  <c r="C80" i="27" s="1"/>
  <c r="I86" i="27"/>
  <c r="I114" i="27" s="1"/>
  <c r="E117" i="67"/>
  <c r="M131" i="67" s="1"/>
  <c r="E115" i="67"/>
  <c r="I127" i="67"/>
  <c r="B27" i="35"/>
  <c r="E28" i="35"/>
  <c r="E34" i="35" s="1"/>
  <c r="E26" i="35"/>
  <c r="C32" i="35"/>
  <c r="C159" i="35" s="1"/>
  <c r="D198" i="35" s="1"/>
  <c r="E117" i="65"/>
  <c r="M131" i="65" s="1"/>
  <c r="E115" i="65"/>
  <c r="K129" i="65"/>
  <c r="C179" i="65"/>
  <c r="E191" i="65" s="1"/>
  <c r="E227" i="65" s="1"/>
  <c r="K185" i="65"/>
  <c r="K221" i="65" s="1"/>
  <c r="B315" i="81"/>
  <c r="F333" i="81" s="1"/>
  <c r="F377" i="81" s="1"/>
  <c r="P323" i="81"/>
  <c r="P367" i="81" s="1"/>
  <c r="E84" i="53"/>
  <c r="E86" i="53"/>
  <c r="E92" i="53" s="1"/>
  <c r="I96" i="53"/>
  <c r="D143" i="37"/>
  <c r="J155" i="37" s="1"/>
  <c r="D141" i="37"/>
  <c r="D149" i="37"/>
  <c r="B66" i="45"/>
  <c r="D74" i="45" s="1"/>
  <c r="D163" i="45" s="1"/>
  <c r="F72" i="45"/>
  <c r="F161" i="45" s="1"/>
  <c r="E57" i="141"/>
  <c r="I67" i="141" s="1"/>
  <c r="B56" i="141"/>
  <c r="E55" i="141"/>
  <c r="C61" i="141"/>
  <c r="D104" i="39"/>
  <c r="J116" i="39" s="1"/>
  <c r="D102" i="39"/>
  <c r="D110" i="39"/>
  <c r="D83" i="35"/>
  <c r="H95" i="35"/>
  <c r="D85" i="35"/>
  <c r="D91" i="35" s="1"/>
  <c r="E75" i="59"/>
  <c r="I85" i="59" s="1"/>
  <c r="E73" i="59"/>
  <c r="G83" i="59"/>
  <c r="C139" i="81"/>
  <c r="D564" i="81"/>
  <c r="F564" i="81"/>
  <c r="B25" i="25"/>
  <c r="B31" i="25" s="1"/>
  <c r="B110" i="25" s="1"/>
  <c r="C143" i="25" s="1"/>
  <c r="D29" i="25"/>
  <c r="D108" i="25" s="1"/>
  <c r="E141" i="25" s="1"/>
  <c r="E54" i="61"/>
  <c r="G62" i="61" s="1"/>
  <c r="G224" i="61" s="1"/>
  <c r="H269" i="61" s="1"/>
  <c r="E52" i="61"/>
  <c r="E60" i="61"/>
  <c r="G256" i="95"/>
  <c r="G232" i="95"/>
  <c r="G226" i="95"/>
  <c r="G471" i="123"/>
  <c r="G415" i="123"/>
  <c r="G447" i="123"/>
  <c r="G325" i="35"/>
  <c r="G285" i="35"/>
  <c r="D104" i="77"/>
  <c r="D106" i="77"/>
  <c r="J118" i="77" s="1"/>
  <c r="B110" i="77"/>
  <c r="D73" i="27"/>
  <c r="D75" i="27"/>
  <c r="B79" i="27" s="1"/>
  <c r="H85" i="27"/>
  <c r="H113" i="27" s="1"/>
  <c r="E44" i="87"/>
  <c r="G52" i="87" s="1"/>
  <c r="E42" i="87"/>
  <c r="E50" i="87"/>
  <c r="D24" i="87"/>
  <c r="D26" i="87"/>
  <c r="D32" i="87" s="1"/>
  <c r="B30" i="87"/>
  <c r="B126" i="87" s="1"/>
  <c r="C159" i="87" s="1"/>
  <c r="E36" i="7"/>
  <c r="G44" i="7" s="1"/>
  <c r="G68" i="7" s="1"/>
  <c r="E34" i="7"/>
  <c r="E42" i="7"/>
  <c r="G275" i="49"/>
  <c r="G291" i="49"/>
  <c r="G215" i="33"/>
  <c r="G221" i="33"/>
  <c r="B35" i="79"/>
  <c r="E34" i="79"/>
  <c r="E36" i="79"/>
  <c r="E42" i="79" s="1"/>
  <c r="C40" i="79"/>
  <c r="C341" i="81"/>
  <c r="Q351" i="81" s="1"/>
  <c r="Q370" i="81" s="1"/>
  <c r="I359" i="81"/>
  <c r="I378" i="81" s="1"/>
  <c r="D90" i="109"/>
  <c r="D92" i="109"/>
  <c r="H102" i="109" s="1"/>
  <c r="F100" i="109"/>
  <c r="C64" i="7"/>
  <c r="D91" i="7" s="1"/>
  <c r="D317" i="65"/>
  <c r="D198" i="57"/>
  <c r="D200" i="57"/>
  <c r="L214" i="57" s="1"/>
  <c r="D206" i="57"/>
  <c r="D92" i="31"/>
  <c r="D98" i="31" s="1"/>
  <c r="D90" i="31"/>
  <c r="F100" i="31"/>
  <c r="D121" i="43"/>
  <c r="D123" i="43"/>
  <c r="J135" i="43" s="1"/>
  <c r="F131" i="43"/>
  <c r="F163" i="43" s="1"/>
  <c r="D151" i="77"/>
  <c r="L165" i="77" s="1"/>
  <c r="D149" i="77"/>
  <c r="J163" i="77"/>
  <c r="G456" i="121"/>
  <c r="G424" i="121"/>
  <c r="G482" i="121"/>
  <c r="G418" i="121"/>
  <c r="G488" i="121"/>
  <c r="E179" i="133"/>
  <c r="B180" i="133"/>
  <c r="E181" i="133"/>
  <c r="G189" i="133" s="1"/>
  <c r="M195" i="133"/>
  <c r="G290" i="47"/>
  <c r="G274" i="47"/>
  <c r="C91" i="83"/>
  <c r="G101" i="83" s="1"/>
  <c r="G370" i="83" s="1"/>
  <c r="I99" i="83"/>
  <c r="I368" i="83" s="1"/>
  <c r="D102" i="43"/>
  <c r="D104" i="43"/>
  <c r="H114" i="43" s="1"/>
  <c r="D110" i="43"/>
  <c r="B38" i="135"/>
  <c r="B44" i="135" s="1"/>
  <c r="B290" i="135" s="1"/>
  <c r="C335" i="135" s="1"/>
  <c r="D42" i="135"/>
  <c r="D288" i="135" s="1"/>
  <c r="G148" i="103"/>
  <c r="G142" i="103"/>
  <c r="E28" i="45"/>
  <c r="E34" i="45" s="1"/>
  <c r="E161" i="45" s="1"/>
  <c r="F200" i="45" s="1"/>
  <c r="B27" i="45"/>
  <c r="E26" i="45"/>
  <c r="C32" i="45"/>
  <c r="E290" i="81"/>
  <c r="G298" i="81" s="1"/>
  <c r="B289" i="81"/>
  <c r="E288" i="81"/>
  <c r="O306" i="81"/>
  <c r="D51" i="111"/>
  <c r="D53" i="111"/>
  <c r="F61" i="111" s="1"/>
  <c r="D59" i="111"/>
  <c r="C139" i="141"/>
  <c r="E435" i="141"/>
  <c r="C435" i="141"/>
  <c r="B139" i="141"/>
  <c r="B136" i="63"/>
  <c r="E135" i="63"/>
  <c r="E137" i="63"/>
  <c r="G145" i="63" s="1"/>
  <c r="C141" i="63"/>
  <c r="C205" i="141"/>
  <c r="K219" i="141" s="1"/>
  <c r="K276" i="141" s="1"/>
  <c r="M217" i="141"/>
  <c r="M274" i="141" s="1"/>
  <c r="B247" i="123"/>
  <c r="E246" i="123"/>
  <c r="E248" i="123"/>
  <c r="G256" i="123" s="1"/>
  <c r="K260" i="123"/>
  <c r="B158" i="63"/>
  <c r="D166" i="63" s="1"/>
  <c r="D223" i="63" s="1"/>
  <c r="E268" i="63" s="1"/>
  <c r="F164" i="63"/>
  <c r="F221" i="63" s="1"/>
  <c r="B25" i="125"/>
  <c r="E26" i="125"/>
  <c r="E32" i="125" s="1"/>
  <c r="E24" i="125"/>
  <c r="C30" i="125"/>
  <c r="C226" i="123"/>
  <c r="F487" i="123"/>
  <c r="D487" i="123"/>
  <c r="E67" i="107"/>
  <c r="I77" i="107" s="1"/>
  <c r="E65" i="107"/>
  <c r="C71" i="107"/>
  <c r="C85" i="43"/>
  <c r="I89" i="43" s="1"/>
  <c r="I159" i="43" s="1"/>
  <c r="C95" i="43"/>
  <c r="C165" i="43" s="1"/>
  <c r="D204" i="43" s="1"/>
  <c r="C140" i="83"/>
  <c r="C154" i="83" s="1"/>
  <c r="C373" i="83" s="1"/>
  <c r="D430" i="83" s="1"/>
  <c r="M144" i="83"/>
  <c r="M363" i="83" s="1"/>
  <c r="C180" i="69"/>
  <c r="K194" i="69" s="1"/>
  <c r="K230" i="69" s="1"/>
  <c r="M192" i="69"/>
  <c r="M228" i="69" s="1"/>
  <c r="C60" i="77"/>
  <c r="E68" i="77" s="1"/>
  <c r="E292" i="77" s="1"/>
  <c r="G66" i="77"/>
  <c r="G290" i="77" s="1"/>
  <c r="E179" i="111"/>
  <c r="K191" i="111" s="1"/>
  <c r="B178" i="111"/>
  <c r="E177" i="111"/>
  <c r="C183" i="111"/>
  <c r="B270" i="123"/>
  <c r="H278" i="123" s="1"/>
  <c r="H293" i="123" s="1"/>
  <c r="F280" i="123"/>
  <c r="F295" i="123" s="1"/>
  <c r="G340" i="123" s="1"/>
  <c r="C33" i="91"/>
  <c r="C39" i="91" s="1"/>
  <c r="C204" i="91" s="1"/>
  <c r="D243" i="91" s="1"/>
  <c r="E37" i="91"/>
  <c r="E202" i="91" s="1"/>
  <c r="E35" i="141"/>
  <c r="E37" i="141"/>
  <c r="E43" i="141" s="1"/>
  <c r="C41" i="141"/>
  <c r="F475" i="117"/>
  <c r="D475" i="117"/>
  <c r="C245" i="117"/>
  <c r="D85" i="37"/>
  <c r="J97" i="37" s="1"/>
  <c r="D83" i="37"/>
  <c r="H95" i="37"/>
  <c r="B184" i="135"/>
  <c r="E185" i="135"/>
  <c r="K197" i="135" s="1"/>
  <c r="E183" i="135"/>
  <c r="C189" i="135"/>
  <c r="B77" i="125"/>
  <c r="H81" i="125" s="1"/>
  <c r="H126" i="125" s="1"/>
  <c r="B87" i="125"/>
  <c r="B132" i="125" s="1"/>
  <c r="C165" i="125" s="1"/>
  <c r="E206" i="135"/>
  <c r="E212" i="135" s="1"/>
  <c r="B205" i="135"/>
  <c r="E204" i="135"/>
  <c r="I216" i="135"/>
  <c r="D99" i="119"/>
  <c r="L113" i="119" s="1"/>
  <c r="D97" i="119"/>
  <c r="J111" i="119"/>
  <c r="E119" i="117"/>
  <c r="E121" i="117"/>
  <c r="I131" i="117" s="1"/>
  <c r="C125" i="117"/>
  <c r="C266" i="117" s="1"/>
  <c r="D311" i="117" s="1"/>
  <c r="E203" i="119"/>
  <c r="E205" i="119"/>
  <c r="E211" i="119" s="1"/>
  <c r="I215" i="119"/>
  <c r="I272" i="119" s="1"/>
  <c r="G222" i="113"/>
  <c r="G228" i="113"/>
  <c r="G260" i="113"/>
  <c r="E181" i="143"/>
  <c r="B182" i="143"/>
  <c r="E183" i="143"/>
  <c r="K195" i="143" s="1"/>
  <c r="C187" i="143"/>
  <c r="C38" i="97"/>
  <c r="C44" i="97" s="1"/>
  <c r="C290" i="97" s="1"/>
  <c r="D335" i="97" s="1"/>
  <c r="E42" i="97"/>
  <c r="E288" i="97" s="1"/>
  <c r="E137" i="139"/>
  <c r="E139" i="139"/>
  <c r="G147" i="139" s="1"/>
  <c r="B138" i="139"/>
  <c r="E145" i="139"/>
  <c r="G372" i="139"/>
  <c r="G404" i="139"/>
  <c r="G380" i="139"/>
  <c r="E35" i="133"/>
  <c r="E41" i="133" s="1"/>
  <c r="E33" i="133"/>
  <c r="C39" i="133"/>
  <c r="D117" i="69"/>
  <c r="H127" i="69" s="1"/>
  <c r="D115" i="69"/>
  <c r="B121" i="69"/>
  <c r="D107" i="127"/>
  <c r="F115" i="127" s="1"/>
  <c r="D105" i="127"/>
  <c r="J119" i="127"/>
  <c r="D42" i="25"/>
  <c r="F50" i="25" s="1"/>
  <c r="D40" i="25"/>
  <c r="D48" i="25"/>
  <c r="D146" i="91"/>
  <c r="D152" i="91" s="1"/>
  <c r="D144" i="91"/>
  <c r="H156" i="91"/>
  <c r="C123" i="47"/>
  <c r="E133" i="47" s="1"/>
  <c r="E165" i="47" s="1"/>
  <c r="I129" i="47"/>
  <c r="I161" i="47" s="1"/>
  <c r="G322" i="129"/>
  <c r="G282" i="129"/>
  <c r="G163" i="35"/>
  <c r="H202" i="35" s="1"/>
  <c r="D372" i="139"/>
  <c r="C33" i="139"/>
  <c r="F372" i="139"/>
  <c r="B98" i="125"/>
  <c r="D92" i="125"/>
  <c r="D94" i="125"/>
  <c r="F102" i="125" s="1"/>
  <c r="B182" i="99"/>
  <c r="E181" i="99"/>
  <c r="E183" i="99"/>
  <c r="K195" i="99" s="1"/>
  <c r="C187" i="99"/>
  <c r="B37" i="143"/>
  <c r="B43" i="143" s="1"/>
  <c r="B268" i="143" s="1"/>
  <c r="C313" i="143" s="1"/>
  <c r="D41" i="143"/>
  <c r="D266" i="143" s="1"/>
  <c r="E311" i="143" s="1"/>
  <c r="C249" i="135"/>
  <c r="K257" i="135" s="1"/>
  <c r="K293" i="135" s="1"/>
  <c r="G261" i="135"/>
  <c r="G297" i="135" s="1"/>
  <c r="H342" i="135" s="1"/>
  <c r="C77" i="139"/>
  <c r="E87" i="139" s="1"/>
  <c r="E249" i="139" s="1"/>
  <c r="F294" i="139" s="1"/>
  <c r="I83" i="139"/>
  <c r="I245" i="139" s="1"/>
  <c r="E152" i="77"/>
  <c r="M166" i="77" s="1"/>
  <c r="E150" i="77"/>
  <c r="K164" i="77"/>
  <c r="D116" i="71"/>
  <c r="L130" i="71" s="1"/>
  <c r="D114" i="71"/>
  <c r="J128" i="71"/>
  <c r="E202" i="119"/>
  <c r="B203" i="119"/>
  <c r="E204" i="119"/>
  <c r="E210" i="119" s="1"/>
  <c r="I214" i="119"/>
  <c r="D119" i="141"/>
  <c r="D121" i="141"/>
  <c r="F129" i="141" s="1"/>
  <c r="J133" i="141"/>
  <c r="B142" i="53"/>
  <c r="J150" i="53" s="1"/>
  <c r="J163" i="53" s="1"/>
  <c r="F154" i="53"/>
  <c r="F167" i="53" s="1"/>
  <c r="C246" i="93"/>
  <c r="K254" i="93" s="1"/>
  <c r="K269" i="93" s="1"/>
  <c r="G258" i="93"/>
  <c r="G273" i="93" s="1"/>
  <c r="H318" i="93" s="1"/>
  <c r="B27" i="113"/>
  <c r="B33" i="113" s="1"/>
  <c r="B129" i="113" s="1"/>
  <c r="C162" i="113" s="1"/>
  <c r="D31" i="113"/>
  <c r="D127" i="113" s="1"/>
  <c r="E160" i="113" s="1"/>
  <c r="C270" i="123"/>
  <c r="I278" i="123" s="1"/>
  <c r="I293" i="123" s="1"/>
  <c r="G280" i="123"/>
  <c r="G295" i="123" s="1"/>
  <c r="H340" i="123" s="1"/>
  <c r="B77" i="137"/>
  <c r="H81" i="137" s="1"/>
  <c r="H126" i="137" s="1"/>
  <c r="B87" i="137"/>
  <c r="B132" i="137" s="1"/>
  <c r="C165" i="137" s="1"/>
  <c r="C68" i="89"/>
  <c r="C78" i="89" s="1"/>
  <c r="C186" i="89" s="1"/>
  <c r="D225" i="89" s="1"/>
  <c r="I72" i="89"/>
  <c r="I180" i="89" s="1"/>
  <c r="D103" i="107"/>
  <c r="D105" i="107"/>
  <c r="J117" i="107" s="1"/>
  <c r="H115" i="107"/>
  <c r="D39" i="123"/>
  <c r="D45" i="123" s="1"/>
  <c r="D37" i="123"/>
  <c r="B43" i="123"/>
  <c r="C178" i="73"/>
  <c r="F408" i="73"/>
  <c r="D408" i="73"/>
  <c r="D85" i="43"/>
  <c r="B89" i="43" s="1"/>
  <c r="D83" i="43"/>
  <c r="H95" i="43"/>
  <c r="D37" i="135"/>
  <c r="D39" i="135"/>
  <c r="D45" i="135" s="1"/>
  <c r="B43" i="135"/>
  <c r="C65" i="83"/>
  <c r="E73" i="83" s="1"/>
  <c r="E367" i="83" s="1"/>
  <c r="G71" i="83"/>
  <c r="G365" i="83" s="1"/>
  <c r="E86" i="45"/>
  <c r="G94" i="45" s="1"/>
  <c r="E84" i="45"/>
  <c r="I96" i="45"/>
  <c r="G439" i="77"/>
  <c r="G463" i="77"/>
  <c r="D50" i="11"/>
  <c r="B54" i="11" s="1"/>
  <c r="D48" i="11"/>
  <c r="F58" i="11"/>
  <c r="B32" i="61"/>
  <c r="B38" i="61" s="1"/>
  <c r="B221" i="61" s="1"/>
  <c r="C266" i="61" s="1"/>
  <c r="D36" i="61"/>
  <c r="D219" i="61" s="1"/>
  <c r="C41" i="21"/>
  <c r="C51" i="21" s="1"/>
  <c r="C113" i="21" s="1"/>
  <c r="D146" i="21" s="1"/>
  <c r="I45" i="21"/>
  <c r="I107" i="21" s="1"/>
  <c r="B165" i="91"/>
  <c r="D177" i="91" s="1"/>
  <c r="J171" i="91"/>
  <c r="C165" i="81"/>
  <c r="M181" i="81" s="1"/>
  <c r="M375" i="81" s="1"/>
  <c r="O179" i="81"/>
  <c r="O373" i="81" s="1"/>
  <c r="C24" i="105"/>
  <c r="C30" i="105" s="1"/>
  <c r="C109" i="105" s="1"/>
  <c r="D142" i="105" s="1"/>
  <c r="E28" i="105"/>
  <c r="E107" i="105" s="1"/>
  <c r="F140" i="105" s="1"/>
  <c r="E105" i="35"/>
  <c r="K117" i="35" s="1"/>
  <c r="E103" i="35"/>
  <c r="I115" i="35"/>
  <c r="D36" i="9"/>
  <c r="F44" i="9" s="1"/>
  <c r="D34" i="9"/>
  <c r="D42" i="9"/>
  <c r="D158" i="55"/>
  <c r="L172" i="55" s="1"/>
  <c r="D156" i="55"/>
  <c r="D164" i="55"/>
  <c r="E137" i="55"/>
  <c r="E143" i="55" s="1"/>
  <c r="E135" i="55"/>
  <c r="B136" i="55"/>
  <c r="K149" i="55"/>
  <c r="D52" i="91"/>
  <c r="F60" i="91" s="1"/>
  <c r="D50" i="91"/>
  <c r="D58" i="91"/>
  <c r="D144" i="89"/>
  <c r="F152" i="89" s="1"/>
  <c r="D142" i="89"/>
  <c r="J156" i="89"/>
  <c r="D126" i="79"/>
  <c r="D128" i="79"/>
  <c r="D134" i="79" s="1"/>
  <c r="J140" i="79"/>
  <c r="E138" i="61"/>
  <c r="G146" i="61" s="1"/>
  <c r="E136" i="61"/>
  <c r="M152" i="61"/>
  <c r="M230" i="61" s="1"/>
  <c r="C143" i="53"/>
  <c r="K151" i="53" s="1"/>
  <c r="K164" i="53" s="1"/>
  <c r="G155" i="53"/>
  <c r="G168" i="53" s="1"/>
  <c r="H207" i="53" s="1"/>
  <c r="E60" i="75"/>
  <c r="G68" i="75" s="1"/>
  <c r="E58" i="75"/>
  <c r="E66" i="75"/>
  <c r="D40" i="19"/>
  <c r="D42" i="19"/>
  <c r="F50" i="19" s="1"/>
  <c r="D48" i="19"/>
  <c r="G239" i="31"/>
  <c r="G207" i="31"/>
  <c r="D91" i="23"/>
  <c r="D93" i="23"/>
  <c r="H103" i="23" s="1"/>
  <c r="D99" i="23"/>
  <c r="E138" i="55"/>
  <c r="E144" i="55" s="1"/>
  <c r="E136" i="55"/>
  <c r="K150" i="55"/>
  <c r="D42" i="27"/>
  <c r="F50" i="27" s="1"/>
  <c r="D40" i="27"/>
  <c r="D48" i="27"/>
  <c r="E56" i="15"/>
  <c r="B57" i="15"/>
  <c r="E58" i="15"/>
  <c r="E64" i="15" s="1"/>
  <c r="E109" i="15" s="1"/>
  <c r="F142" i="15" s="1"/>
  <c r="G66" i="15"/>
  <c r="D263" i="81"/>
  <c r="D265" i="81"/>
  <c r="N281" i="81" s="1"/>
  <c r="D271" i="81"/>
  <c r="D25" i="15"/>
  <c r="D31" i="15" s="1"/>
  <c r="D23" i="15"/>
  <c r="B29" i="15"/>
  <c r="B108" i="15" s="1"/>
  <c r="C141" i="15" s="1"/>
  <c r="E157" i="61"/>
  <c r="E159" i="61"/>
  <c r="I169" i="61" s="1"/>
  <c r="E165" i="61"/>
  <c r="D178" i="65"/>
  <c r="D180" i="65"/>
  <c r="J192" i="65" s="1"/>
  <c r="D186" i="65"/>
  <c r="E74" i="23"/>
  <c r="E76" i="23"/>
  <c r="C80" i="23" s="1"/>
  <c r="I86" i="23"/>
  <c r="D24" i="29"/>
  <c r="D30" i="29" s="1"/>
  <c r="D22" i="29"/>
  <c r="B28" i="29"/>
  <c r="E142" i="15"/>
  <c r="C152" i="15"/>
  <c r="G430" i="93"/>
  <c r="G398" i="93"/>
  <c r="G454" i="93"/>
  <c r="E122" i="51"/>
  <c r="E124" i="51"/>
  <c r="I134" i="51" s="1"/>
  <c r="C128" i="51"/>
  <c r="D75" i="19"/>
  <c r="F83" i="19" s="1"/>
  <c r="D73" i="19"/>
  <c r="H85" i="19"/>
  <c r="E85" i="35"/>
  <c r="E91" i="35" s="1"/>
  <c r="B84" i="35"/>
  <c r="E83" i="35"/>
  <c r="I95" i="35"/>
  <c r="B157" i="67"/>
  <c r="E156" i="67"/>
  <c r="E158" i="67"/>
  <c r="M172" i="67" s="1"/>
  <c r="K170" i="67"/>
  <c r="B158" i="59"/>
  <c r="J164" i="59" s="1"/>
  <c r="J221" i="59" s="1"/>
  <c r="D170" i="59"/>
  <c r="D227" i="59" s="1"/>
  <c r="D120" i="99"/>
  <c r="H130" i="99" s="1"/>
  <c r="D118" i="99"/>
  <c r="B124" i="99"/>
  <c r="D24" i="23"/>
  <c r="D30" i="23" s="1"/>
  <c r="D22" i="23"/>
  <c r="B28" i="23"/>
  <c r="E59" i="15"/>
  <c r="E65" i="15" s="1"/>
  <c r="E57" i="15"/>
  <c r="G67" i="15"/>
  <c r="E93" i="17"/>
  <c r="I103" i="17" s="1"/>
  <c r="E91" i="17"/>
  <c r="E99" i="17"/>
  <c r="B35" i="5"/>
  <c r="D43" i="5" s="1"/>
  <c r="D67" i="5" s="1"/>
  <c r="F41" i="5"/>
  <c r="F65" i="5" s="1"/>
  <c r="G92" i="5" s="1"/>
  <c r="B267" i="79"/>
  <c r="N277" i="79" s="1"/>
  <c r="N294" i="79" s="1"/>
  <c r="H283" i="79"/>
  <c r="H300" i="79" s="1"/>
  <c r="D110" i="25"/>
  <c r="E143" i="25" s="1"/>
  <c r="I451" i="83"/>
  <c r="B95" i="71"/>
  <c r="B107" i="71" s="1"/>
  <c r="B227" i="71" s="1"/>
  <c r="C272" i="71" s="1"/>
  <c r="J99" i="71"/>
  <c r="J219" i="71" s="1"/>
  <c r="G207" i="27"/>
  <c r="G213" i="27"/>
  <c r="D92" i="25"/>
  <c r="F100" i="25" s="1"/>
  <c r="D90" i="25"/>
  <c r="B96" i="25"/>
  <c r="G241" i="95"/>
  <c r="G247" i="95"/>
  <c r="G223" i="95"/>
  <c r="D111" i="87"/>
  <c r="H121" i="87" s="1"/>
  <c r="D109" i="87"/>
  <c r="D117" i="87"/>
  <c r="C51" i="7"/>
  <c r="G55" i="7" s="1"/>
  <c r="G64" i="7" s="1"/>
  <c r="C59" i="7"/>
  <c r="C68" i="7" s="1"/>
  <c r="D95" i="7" s="1"/>
  <c r="C266" i="83"/>
  <c r="E282" i="83" s="1"/>
  <c r="E376" i="83" s="1"/>
  <c r="O272" i="83"/>
  <c r="O366" i="83" s="1"/>
  <c r="B32" i="65"/>
  <c r="B38" i="65" s="1"/>
  <c r="B221" i="65" s="1"/>
  <c r="C266" i="65" s="1"/>
  <c r="D36" i="65"/>
  <c r="D219" i="65" s="1"/>
  <c r="E67" i="89"/>
  <c r="E69" i="89"/>
  <c r="I79" i="89" s="1"/>
  <c r="C73" i="89"/>
  <c r="D56" i="105"/>
  <c r="D58" i="105"/>
  <c r="H68" i="105" s="1"/>
  <c r="F66" i="105"/>
  <c r="D197" i="77"/>
  <c r="F205" i="77" s="1"/>
  <c r="F291" i="77" s="1"/>
  <c r="D195" i="77"/>
  <c r="L211" i="77"/>
  <c r="E103" i="37"/>
  <c r="E105" i="37"/>
  <c r="G113" i="37" s="1"/>
  <c r="K117" i="37"/>
  <c r="C105" i="77"/>
  <c r="C117" i="77" s="1"/>
  <c r="C295" i="77" s="1"/>
  <c r="D346" i="77" s="1"/>
  <c r="K109" i="77"/>
  <c r="K287" i="77" s="1"/>
  <c r="J293" i="3"/>
  <c r="I293" i="3"/>
  <c r="H293" i="3"/>
  <c r="G293" i="3"/>
  <c r="F293" i="3"/>
  <c r="A293" i="3"/>
  <c r="A302" i="3" s="1"/>
  <c r="C293" i="3"/>
  <c r="E293" i="3"/>
  <c r="D293" i="3"/>
  <c r="B91" i="109"/>
  <c r="E90" i="109"/>
  <c r="E92" i="109"/>
  <c r="I102" i="109" s="1"/>
  <c r="G100" i="109"/>
  <c r="E66" i="7"/>
  <c r="F93" i="7" s="1"/>
  <c r="E48" i="49"/>
  <c r="G56" i="49" s="1"/>
  <c r="E46" i="49"/>
  <c r="E54" i="49"/>
  <c r="B89" i="83"/>
  <c r="E88" i="83"/>
  <c r="E90" i="83"/>
  <c r="I100" i="83" s="1"/>
  <c r="G98" i="83"/>
  <c r="G367" i="83" s="1"/>
  <c r="E92" i="31"/>
  <c r="E98" i="31" s="1"/>
  <c r="E90" i="31"/>
  <c r="B91" i="31"/>
  <c r="G100" i="31"/>
  <c r="E121" i="43"/>
  <c r="B122" i="43"/>
  <c r="E123" i="43"/>
  <c r="K135" i="43" s="1"/>
  <c r="G131" i="43"/>
  <c r="G163" i="43" s="1"/>
  <c r="B265" i="77"/>
  <c r="E264" i="77"/>
  <c r="E266" i="77"/>
  <c r="I276" i="77" s="1"/>
  <c r="O282" i="77"/>
  <c r="E151" i="77"/>
  <c r="M165" i="77" s="1"/>
  <c r="B150" i="77"/>
  <c r="E149" i="77"/>
  <c r="K163" i="77"/>
  <c r="E249" i="97"/>
  <c r="G257" i="97" s="1"/>
  <c r="E247" i="97"/>
  <c r="K261" i="97"/>
  <c r="E53" i="111"/>
  <c r="G61" i="111" s="1"/>
  <c r="B52" i="111"/>
  <c r="E51" i="111"/>
  <c r="E59" i="111"/>
  <c r="E26" i="95"/>
  <c r="E32" i="95" s="1"/>
  <c r="E128" i="95" s="1"/>
  <c r="F161" i="95" s="1"/>
  <c r="B25" i="95"/>
  <c r="E24" i="95"/>
  <c r="C30" i="95"/>
  <c r="E120" i="143"/>
  <c r="I130" i="143" s="1"/>
  <c r="B119" i="143"/>
  <c r="C124" i="143"/>
  <c r="E118" i="143"/>
  <c r="D225" i="141"/>
  <c r="J237" i="141" s="1"/>
  <c r="D223" i="141"/>
  <c r="H235" i="141"/>
  <c r="C47" i="53"/>
  <c r="E55" i="53" s="1"/>
  <c r="E163" i="53" s="1"/>
  <c r="G53" i="53"/>
  <c r="G161" i="53" s="1"/>
  <c r="H200" i="53" s="1"/>
  <c r="E103" i="107"/>
  <c r="E105" i="107"/>
  <c r="K117" i="107" s="1"/>
  <c r="I115" i="107"/>
  <c r="E487" i="123"/>
  <c r="C487" i="123"/>
  <c r="B225" i="123"/>
  <c r="C225" i="123"/>
  <c r="E53" i="65"/>
  <c r="G61" i="65" s="1"/>
  <c r="B52" i="65"/>
  <c r="E51" i="65"/>
  <c r="E59" i="65"/>
  <c r="D141" i="83"/>
  <c r="L155" i="83" s="1"/>
  <c r="D139" i="83"/>
  <c r="B145" i="83"/>
  <c r="C50" i="115"/>
  <c r="E58" i="115" s="1"/>
  <c r="E185" i="115" s="1"/>
  <c r="F224" i="115" s="1"/>
  <c r="G56" i="115"/>
  <c r="G183" i="115" s="1"/>
  <c r="H222" i="115" s="1"/>
  <c r="C55" i="139"/>
  <c r="C63" i="139" s="1"/>
  <c r="C246" i="139" s="1"/>
  <c r="D291" i="139" s="1"/>
  <c r="G59" i="139"/>
  <c r="G242" i="139" s="1"/>
  <c r="E258" i="3"/>
  <c r="C247" i="99"/>
  <c r="K255" i="99" s="1"/>
  <c r="K270" i="99" s="1"/>
  <c r="G259" i="99"/>
  <c r="G274" i="99" s="1"/>
  <c r="H319" i="99" s="1"/>
  <c r="D142" i="123"/>
  <c r="D144" i="123"/>
  <c r="J156" i="123" s="1"/>
  <c r="D150" i="123"/>
  <c r="C219" i="73"/>
  <c r="D264" i="73" s="1"/>
  <c r="E85" i="37"/>
  <c r="K97" i="37" s="1"/>
  <c r="B84" i="37"/>
  <c r="E83" i="37"/>
  <c r="I95" i="37"/>
  <c r="E99" i="119"/>
  <c r="M113" i="119" s="1"/>
  <c r="M275" i="119" s="1"/>
  <c r="B98" i="119"/>
  <c r="E97" i="119"/>
  <c r="K111" i="119"/>
  <c r="E69" i="91"/>
  <c r="E71" i="91"/>
  <c r="K83" i="91" s="1"/>
  <c r="I81" i="91"/>
  <c r="G223" i="113"/>
  <c r="G229" i="113"/>
  <c r="G261" i="113"/>
  <c r="B118" i="133"/>
  <c r="B130" i="133" s="1"/>
  <c r="B250" i="133" s="1"/>
  <c r="C295" i="133" s="1"/>
  <c r="J122" i="133"/>
  <c r="J242" i="133" s="1"/>
  <c r="D37" i="97"/>
  <c r="D39" i="97"/>
  <c r="D45" i="97" s="1"/>
  <c r="B43" i="97"/>
  <c r="D96" i="61"/>
  <c r="J108" i="61" s="1"/>
  <c r="D94" i="61"/>
  <c r="H106" i="61"/>
  <c r="G405" i="139"/>
  <c r="G373" i="139"/>
  <c r="G381" i="139"/>
  <c r="B246" i="141"/>
  <c r="F260" i="141" s="1"/>
  <c r="F275" i="141" s="1"/>
  <c r="L254" i="141"/>
  <c r="L269" i="141" s="1"/>
  <c r="C183" i="131"/>
  <c r="M191" i="131" s="1"/>
  <c r="M269" i="131" s="1"/>
  <c r="G197" i="131"/>
  <c r="G275" i="131" s="1"/>
  <c r="C141" i="117"/>
  <c r="E153" i="117" s="1"/>
  <c r="E273" i="117" s="1"/>
  <c r="K147" i="117"/>
  <c r="K267" i="117" s="1"/>
  <c r="C63" i="101"/>
  <c r="C125" i="89"/>
  <c r="E137" i="89" s="1"/>
  <c r="E188" i="89" s="1"/>
  <c r="K131" i="89"/>
  <c r="K182" i="89" s="1"/>
  <c r="E98" i="133"/>
  <c r="M112" i="133" s="1"/>
  <c r="E96" i="133"/>
  <c r="K110" i="133"/>
  <c r="G390" i="143"/>
  <c r="G422" i="143"/>
  <c r="G446" i="143"/>
  <c r="C112" i="137"/>
  <c r="E122" i="137" s="1"/>
  <c r="E133" i="137" s="1"/>
  <c r="F166" i="137" s="1"/>
  <c r="I118" i="137"/>
  <c r="I129" i="137" s="1"/>
  <c r="B185" i="97"/>
  <c r="B197" i="97" s="1"/>
  <c r="B296" i="97" s="1"/>
  <c r="C341" i="97" s="1"/>
  <c r="J189" i="97"/>
  <c r="J288" i="97" s="1"/>
  <c r="D124" i="47"/>
  <c r="H134" i="47" s="1"/>
  <c r="D122" i="47"/>
  <c r="D130" i="47"/>
  <c r="B49" i="115"/>
  <c r="D57" i="115" s="1"/>
  <c r="D184" i="115" s="1"/>
  <c r="F55" i="115"/>
  <c r="F182" i="115" s="1"/>
  <c r="C47" i="35"/>
  <c r="E55" i="35" s="1"/>
  <c r="E163" i="35" s="1"/>
  <c r="G53" i="35"/>
  <c r="G161" i="35" s="1"/>
  <c r="H200" i="35" s="1"/>
  <c r="E216" i="129"/>
  <c r="E139" i="83"/>
  <c r="E141" i="83"/>
  <c r="M155" i="83" s="1"/>
  <c r="C145" i="83"/>
  <c r="E25" i="33"/>
  <c r="E31" i="33" s="1"/>
  <c r="E110" i="33" s="1"/>
  <c r="E23" i="33"/>
  <c r="C29" i="33"/>
  <c r="G447" i="121"/>
  <c r="G503" i="121"/>
  <c r="G471" i="121"/>
  <c r="G415" i="121"/>
  <c r="C119" i="139"/>
  <c r="C129" i="139" s="1"/>
  <c r="C249" i="139" s="1"/>
  <c r="D294" i="139" s="1"/>
  <c r="I123" i="139"/>
  <c r="I243" i="139" s="1"/>
  <c r="D65" i="35"/>
  <c r="D67" i="35"/>
  <c r="H77" i="35" s="1"/>
  <c r="B71" i="35"/>
  <c r="E116" i="71"/>
  <c r="M130" i="71" s="1"/>
  <c r="B115" i="71"/>
  <c r="E114" i="71"/>
  <c r="K128" i="71"/>
  <c r="D104" i="75"/>
  <c r="D106" i="75"/>
  <c r="J118" i="75" s="1"/>
  <c r="B110" i="75"/>
  <c r="D141" i="121"/>
  <c r="D143" i="121"/>
  <c r="J155" i="121" s="1"/>
  <c r="D149" i="121"/>
  <c r="E48" i="107"/>
  <c r="G56" i="107" s="1"/>
  <c r="E46" i="107"/>
  <c r="E54" i="107"/>
  <c r="D141" i="131"/>
  <c r="D147" i="131" s="1"/>
  <c r="D139" i="131"/>
  <c r="J153" i="131"/>
  <c r="D223" i="143"/>
  <c r="D225" i="143"/>
  <c r="L239" i="143" s="1"/>
  <c r="D231" i="143"/>
  <c r="B56" i="119"/>
  <c r="E57" i="119"/>
  <c r="G65" i="119" s="1"/>
  <c r="E55" i="119"/>
  <c r="E63" i="119"/>
  <c r="D67" i="89"/>
  <c r="D69" i="89"/>
  <c r="H79" i="89" s="1"/>
  <c r="B73" i="89"/>
  <c r="C315" i="83"/>
  <c r="G333" i="83" s="1"/>
  <c r="G377" i="83" s="1"/>
  <c r="Q323" i="83"/>
  <c r="Q367" i="83" s="1"/>
  <c r="C104" i="107"/>
  <c r="I116" i="107" s="1"/>
  <c r="I167" i="107" s="1"/>
  <c r="K114" i="107"/>
  <c r="K165" i="107" s="1"/>
  <c r="D35" i="133"/>
  <c r="D41" i="133" s="1"/>
  <c r="D33" i="133"/>
  <c r="B39" i="133"/>
  <c r="B243" i="133" s="1"/>
  <c r="C288" i="133" s="1"/>
  <c r="C88" i="89"/>
  <c r="I94" i="89" s="1"/>
  <c r="I183" i="89" s="1"/>
  <c r="E98" i="89"/>
  <c r="E187" i="89" s="1"/>
  <c r="C200" i="71"/>
  <c r="K208" i="71" s="1"/>
  <c r="K223" i="71" s="1"/>
  <c r="G212" i="71"/>
  <c r="G227" i="71" s="1"/>
  <c r="G353" i="59"/>
  <c r="G377" i="59"/>
  <c r="D64" i="83"/>
  <c r="D66" i="83"/>
  <c r="F74" i="83" s="1"/>
  <c r="D72" i="83"/>
  <c r="C137" i="67"/>
  <c r="G147" i="67" s="1"/>
  <c r="G225" i="67" s="1"/>
  <c r="I145" i="67"/>
  <c r="I223" i="67" s="1"/>
  <c r="D164" i="81"/>
  <c r="D166" i="81"/>
  <c r="N182" i="81" s="1"/>
  <c r="L180" i="81"/>
  <c r="D28" i="37"/>
  <c r="D34" i="37" s="1"/>
  <c r="D26" i="37"/>
  <c r="B32" i="37"/>
  <c r="D18" i="5"/>
  <c r="D20" i="5"/>
  <c r="D26" i="5" s="1"/>
  <c r="D65" i="5" s="1"/>
  <c r="B24" i="5"/>
  <c r="D118" i="93"/>
  <c r="D120" i="93"/>
  <c r="H130" i="93" s="1"/>
  <c r="B124" i="93"/>
  <c r="E27" i="35"/>
  <c r="E29" i="35"/>
  <c r="E35" i="35" s="1"/>
  <c r="C33" i="35"/>
  <c r="C160" i="35" s="1"/>
  <c r="D199" i="35" s="1"/>
  <c r="B24" i="15"/>
  <c r="B30" i="15" s="1"/>
  <c r="B109" i="15" s="1"/>
  <c r="C142" i="15" s="1"/>
  <c r="D28" i="15"/>
  <c r="D107" i="15" s="1"/>
  <c r="D93" i="63"/>
  <c r="D95" i="63"/>
  <c r="F103" i="63" s="1"/>
  <c r="H105" i="63"/>
  <c r="G399" i="93"/>
  <c r="G431" i="93"/>
  <c r="G455" i="93"/>
  <c r="G220" i="17"/>
  <c r="G204" i="17"/>
  <c r="D85" i="51"/>
  <c r="J97" i="51" s="1"/>
  <c r="J167" i="51" s="1"/>
  <c r="D83" i="51"/>
  <c r="H95" i="51"/>
  <c r="C242" i="2"/>
  <c r="D75" i="25"/>
  <c r="B79" i="25" s="1"/>
  <c r="B107" i="25" s="1"/>
  <c r="C140" i="25" s="1"/>
  <c r="D73" i="25"/>
  <c r="H85" i="25"/>
  <c r="B74" i="19"/>
  <c r="E75" i="19"/>
  <c r="G83" i="19" s="1"/>
  <c r="G111" i="19" s="1"/>
  <c r="H144" i="19" s="1"/>
  <c r="E73" i="19"/>
  <c r="I85" i="19"/>
  <c r="D158" i="67"/>
  <c r="L172" i="67" s="1"/>
  <c r="D156" i="67"/>
  <c r="J170" i="67"/>
  <c r="E246" i="97"/>
  <c r="B247" i="97"/>
  <c r="E248" i="97"/>
  <c r="G256" i="97" s="1"/>
  <c r="K260" i="97"/>
  <c r="G317" i="91"/>
  <c r="G357" i="91"/>
  <c r="G341" i="91"/>
  <c r="C95" i="87"/>
  <c r="C103" i="87" s="1"/>
  <c r="C131" i="87" s="1"/>
  <c r="D164" i="87" s="1"/>
  <c r="G99" i="87"/>
  <c r="G127" i="87" s="1"/>
  <c r="G398" i="131"/>
  <c r="G430" i="131"/>
  <c r="G478" i="131"/>
  <c r="C106" i="115"/>
  <c r="I118" i="115" s="1"/>
  <c r="I188" i="115" s="1"/>
  <c r="K116" i="115"/>
  <c r="K186" i="115" s="1"/>
  <c r="G161" i="7"/>
  <c r="G143" i="7"/>
  <c r="B91" i="25"/>
  <c r="E90" i="25"/>
  <c r="E92" i="25"/>
  <c r="G100" i="25" s="1"/>
  <c r="C96" i="25"/>
  <c r="C107" i="25" s="1"/>
  <c r="D140" i="25" s="1"/>
  <c r="G242" i="95"/>
  <c r="G224" i="95"/>
  <c r="G248" i="95"/>
  <c r="E59" i="23"/>
  <c r="I69" i="23" s="1"/>
  <c r="E57" i="23"/>
  <c r="G67" i="23"/>
  <c r="E111" i="87"/>
  <c r="I121" i="87" s="1"/>
  <c r="B110" i="87"/>
  <c r="E109" i="87"/>
  <c r="E117" i="87"/>
  <c r="G463" i="123"/>
  <c r="G497" i="123"/>
  <c r="G505" i="123"/>
  <c r="G425" i="123"/>
  <c r="E56" i="105"/>
  <c r="E58" i="105"/>
  <c r="I68" i="105" s="1"/>
  <c r="B57" i="105"/>
  <c r="G66" i="105"/>
  <c r="E197" i="77"/>
  <c r="G205" i="77" s="1"/>
  <c r="B196" i="77"/>
  <c r="E195" i="77"/>
  <c r="M211" i="77"/>
  <c r="D93" i="15"/>
  <c r="D99" i="15" s="1"/>
  <c r="D91" i="15"/>
  <c r="H103" i="15"/>
  <c r="G274" i="35"/>
  <c r="G290" i="35"/>
  <c r="C59" i="87"/>
  <c r="D332" i="99"/>
  <c r="B205" i="141"/>
  <c r="J219" i="141" s="1"/>
  <c r="J276" i="141" s="1"/>
  <c r="L217" i="141"/>
  <c r="L274" i="141" s="1"/>
  <c r="D104" i="45"/>
  <c r="F112" i="45" s="1"/>
  <c r="D102" i="45"/>
  <c r="B108" i="45"/>
  <c r="C21" i="7"/>
  <c r="C27" i="7" s="1"/>
  <c r="C66" i="7" s="1"/>
  <c r="D93" i="7" s="1"/>
  <c r="E25" i="7"/>
  <c r="E64" i="7" s="1"/>
  <c r="F91" i="7" s="1"/>
  <c r="D223" i="93"/>
  <c r="D225" i="93"/>
  <c r="L239" i="93" s="1"/>
  <c r="D231" i="93"/>
  <c r="C43" i="95"/>
  <c r="E51" i="95" s="1"/>
  <c r="E130" i="95" s="1"/>
  <c r="F163" i="95" s="1"/>
  <c r="G49" i="95"/>
  <c r="G128" i="95" s="1"/>
  <c r="B19" i="11"/>
  <c r="E18" i="11"/>
  <c r="E20" i="11"/>
  <c r="E26" i="11" s="1"/>
  <c r="C24" i="11"/>
  <c r="C63" i="11" s="1"/>
  <c r="E454" i="93"/>
  <c r="C454" i="93"/>
  <c r="B181" i="93"/>
  <c r="C181" i="93"/>
  <c r="E245" i="143"/>
  <c r="E247" i="143"/>
  <c r="G255" i="143" s="1"/>
  <c r="K259" i="143"/>
  <c r="E37" i="131"/>
  <c r="E43" i="131" s="1"/>
  <c r="E35" i="131"/>
  <c r="C41" i="131"/>
  <c r="D19" i="7"/>
  <c r="D21" i="7"/>
  <c r="D27" i="7" s="1"/>
  <c r="B25" i="7"/>
  <c r="E73" i="55"/>
  <c r="E75" i="55"/>
  <c r="I85" i="55" s="1"/>
  <c r="I226" i="55" s="1"/>
  <c r="J271" i="55" s="1"/>
  <c r="G83" i="55"/>
  <c r="I113" i="27"/>
  <c r="B266" i="77"/>
  <c r="N276" i="77" s="1"/>
  <c r="N293" i="77" s="1"/>
  <c r="H282" i="77"/>
  <c r="H299" i="77" s="1"/>
  <c r="C166" i="81"/>
  <c r="M182" i="81" s="1"/>
  <c r="M376" i="81" s="1"/>
  <c r="O180" i="81"/>
  <c r="O374" i="81" s="1"/>
  <c r="E175" i="75"/>
  <c r="M189" i="75" s="1"/>
  <c r="E173" i="75"/>
  <c r="E181" i="75"/>
  <c r="C128" i="91"/>
  <c r="C140" i="91" s="1"/>
  <c r="C210" i="91" s="1"/>
  <c r="D249" i="91" s="1"/>
  <c r="K132" i="91"/>
  <c r="K202" i="91" s="1"/>
  <c r="C201" i="69"/>
  <c r="G215" i="69" s="1"/>
  <c r="G230" i="69" s="1"/>
  <c r="M209" i="69"/>
  <c r="M224" i="69" s="1"/>
  <c r="D102" i="107"/>
  <c r="D104" i="107"/>
  <c r="J116" i="107" s="1"/>
  <c r="H114" i="107"/>
  <c r="B180" i="139"/>
  <c r="E179" i="139"/>
  <c r="E181" i="139"/>
  <c r="M195" i="139" s="1"/>
  <c r="I191" i="139"/>
  <c r="E56" i="143"/>
  <c r="E58" i="143"/>
  <c r="G66" i="143" s="1"/>
  <c r="E64" i="143"/>
  <c r="D48" i="53"/>
  <c r="F56" i="53" s="1"/>
  <c r="D46" i="53"/>
  <c r="D54" i="53"/>
  <c r="B163" i="115"/>
  <c r="B175" i="115" s="1"/>
  <c r="B188" i="115" s="1"/>
  <c r="C227" i="115" s="1"/>
  <c r="J167" i="115"/>
  <c r="J180" i="115" s="1"/>
  <c r="E207" i="121"/>
  <c r="E213" i="121" s="1"/>
  <c r="E205" i="121"/>
  <c r="I217" i="121"/>
  <c r="D160" i="93"/>
  <c r="D162" i="93"/>
  <c r="L176" i="93" s="1"/>
  <c r="F170" i="93"/>
  <c r="B115" i="57"/>
  <c r="E116" i="57"/>
  <c r="K128" i="57" s="1"/>
  <c r="E114" i="57"/>
  <c r="E122" i="57"/>
  <c r="C144" i="123"/>
  <c r="E156" i="123" s="1"/>
  <c r="E297" i="123" s="1"/>
  <c r="F342" i="123" s="1"/>
  <c r="K150" i="123"/>
  <c r="K291" i="123" s="1"/>
  <c r="D24" i="137"/>
  <c r="B30" i="137"/>
  <c r="D26" i="137"/>
  <c r="D32" i="137" s="1"/>
  <c r="E186" i="123"/>
  <c r="K198" i="123" s="1"/>
  <c r="E184" i="123"/>
  <c r="C190" i="123"/>
  <c r="D97" i="117"/>
  <c r="D99" i="117"/>
  <c r="L113" i="117" s="1"/>
  <c r="J111" i="117"/>
  <c r="E77" i="87"/>
  <c r="C81" i="87" s="1"/>
  <c r="B76" i="87"/>
  <c r="E75" i="87"/>
  <c r="I87" i="87"/>
  <c r="D184" i="117"/>
  <c r="J196" i="117" s="1"/>
  <c r="D182" i="117"/>
  <c r="B188" i="117"/>
  <c r="E314" i="83"/>
  <c r="E316" i="83"/>
  <c r="Q334" i="83" s="1"/>
  <c r="G324" i="83"/>
  <c r="B315" i="83"/>
  <c r="F333" i="83" s="1"/>
  <c r="F377" i="83" s="1"/>
  <c r="P323" i="83"/>
  <c r="P367" i="83" s="1"/>
  <c r="C143" i="123"/>
  <c r="E155" i="123" s="1"/>
  <c r="E296" i="123" s="1"/>
  <c r="F341" i="123" s="1"/>
  <c r="K149" i="123"/>
  <c r="K290" i="123" s="1"/>
  <c r="G395" i="117"/>
  <c r="G451" i="117"/>
  <c r="G427" i="117"/>
  <c r="C56" i="139"/>
  <c r="C64" i="139" s="1"/>
  <c r="C247" i="139" s="1"/>
  <c r="D292" i="139" s="1"/>
  <c r="G60" i="139"/>
  <c r="G243" i="139" s="1"/>
  <c r="E41" i="83"/>
  <c r="E47" i="83" s="1"/>
  <c r="E39" i="83"/>
  <c r="C45" i="83"/>
  <c r="C364" i="83" s="1"/>
  <c r="D421" i="83" s="1"/>
  <c r="D87" i="115"/>
  <c r="D93" i="115" s="1"/>
  <c r="D85" i="115"/>
  <c r="H97" i="115"/>
  <c r="C203" i="131"/>
  <c r="F462" i="131"/>
  <c r="D462" i="131"/>
  <c r="E77" i="93"/>
  <c r="E79" i="93"/>
  <c r="K91" i="93" s="1"/>
  <c r="I89" i="93"/>
  <c r="E27" i="41"/>
  <c r="E29" i="41"/>
  <c r="E35" i="41" s="1"/>
  <c r="C33" i="41"/>
  <c r="C160" i="41" s="1"/>
  <c r="D199" i="41" s="1"/>
  <c r="E72" i="61"/>
  <c r="E74" i="61"/>
  <c r="I84" i="61" s="1"/>
  <c r="I225" i="61" s="1"/>
  <c r="B73" i="61"/>
  <c r="C78" i="61"/>
  <c r="D140" i="117"/>
  <c r="D142" i="117"/>
  <c r="J154" i="117" s="1"/>
  <c r="D148" i="117"/>
  <c r="B37" i="117"/>
  <c r="B43" i="117" s="1"/>
  <c r="B268" i="117" s="1"/>
  <c r="C313" i="117" s="1"/>
  <c r="D41" i="117"/>
  <c r="D266" i="117" s="1"/>
  <c r="D19" i="101"/>
  <c r="B25" i="101"/>
  <c r="D21" i="101"/>
  <c r="D27" i="101" s="1"/>
  <c r="B59" i="77"/>
  <c r="D67" i="77" s="1"/>
  <c r="D291" i="77" s="1"/>
  <c r="F65" i="77"/>
  <c r="F289" i="77" s="1"/>
  <c r="B141" i="117"/>
  <c r="D153" i="117" s="1"/>
  <c r="D273" i="117" s="1"/>
  <c r="J147" i="117"/>
  <c r="J267" i="117" s="1"/>
  <c r="B49" i="127"/>
  <c r="D57" i="127" s="1"/>
  <c r="D184" i="127" s="1"/>
  <c r="F55" i="127"/>
  <c r="F182" i="127" s="1"/>
  <c r="E226" i="121"/>
  <c r="E228" i="121"/>
  <c r="M242" i="121" s="1"/>
  <c r="E234" i="121"/>
  <c r="C42" i="125"/>
  <c r="E182" i="99"/>
  <c r="E184" i="99"/>
  <c r="K196" i="99" s="1"/>
  <c r="C188" i="99"/>
  <c r="C107" i="17"/>
  <c r="D140" i="17" s="1"/>
  <c r="D135" i="73"/>
  <c r="D137" i="73"/>
  <c r="D143" i="73" s="1"/>
  <c r="J149" i="73"/>
  <c r="D24" i="33"/>
  <c r="D30" i="33" s="1"/>
  <c r="D109" i="33" s="1"/>
  <c r="D22" i="33"/>
  <c r="B28" i="33"/>
  <c r="C66" i="35"/>
  <c r="C76" i="35" s="1"/>
  <c r="C165" i="35" s="1"/>
  <c r="D204" i="35" s="1"/>
  <c r="I70" i="35"/>
  <c r="I159" i="35" s="1"/>
  <c r="B157" i="73"/>
  <c r="E156" i="73"/>
  <c r="E158" i="73"/>
  <c r="M172" i="73" s="1"/>
  <c r="E164" i="73"/>
  <c r="C120" i="141"/>
  <c r="K128" i="141" s="1"/>
  <c r="K269" i="141" s="1"/>
  <c r="G132" i="141"/>
  <c r="G273" i="141" s="1"/>
  <c r="D111" i="85"/>
  <c r="H121" i="85" s="1"/>
  <c r="D109" i="85"/>
  <c r="D117" i="85"/>
  <c r="F349" i="123"/>
  <c r="L298" i="121"/>
  <c r="D316" i="83"/>
  <c r="P334" i="83" s="1"/>
  <c r="D314" i="83"/>
  <c r="F324" i="83"/>
  <c r="D199" i="71"/>
  <c r="D201" i="71"/>
  <c r="F209" i="71" s="1"/>
  <c r="J213" i="71"/>
  <c r="E66" i="107"/>
  <c r="I76" i="107" s="1"/>
  <c r="E64" i="107"/>
  <c r="B65" i="107"/>
  <c r="C70" i="107"/>
  <c r="D24" i="27"/>
  <c r="D30" i="27" s="1"/>
  <c r="D109" i="27" s="1"/>
  <c r="D22" i="27"/>
  <c r="B28" i="27"/>
  <c r="E144" i="89"/>
  <c r="G152" i="89" s="1"/>
  <c r="B143" i="89"/>
  <c r="E142" i="89"/>
  <c r="K156" i="89"/>
  <c r="E126" i="79"/>
  <c r="B127" i="79"/>
  <c r="E128" i="79"/>
  <c r="E134" i="79" s="1"/>
  <c r="K140" i="79"/>
  <c r="D53" i="57"/>
  <c r="F61" i="57" s="1"/>
  <c r="D51" i="57"/>
  <c r="D59" i="57"/>
  <c r="E58" i="21"/>
  <c r="G66" i="21" s="1"/>
  <c r="B57" i="21"/>
  <c r="I68" i="21"/>
  <c r="I113" i="21" s="1"/>
  <c r="E56" i="21"/>
  <c r="B199" i="59"/>
  <c r="E200" i="59"/>
  <c r="G208" i="59" s="1"/>
  <c r="E198" i="59"/>
  <c r="K212" i="59"/>
  <c r="G325" i="53"/>
  <c r="G285" i="53"/>
  <c r="C96" i="55"/>
  <c r="K110" i="55" s="1"/>
  <c r="K230" i="55" s="1"/>
  <c r="M108" i="55"/>
  <c r="M228" i="55" s="1"/>
  <c r="C66" i="41"/>
  <c r="C76" i="41" s="1"/>
  <c r="C165" i="41" s="1"/>
  <c r="D204" i="41" s="1"/>
  <c r="I70" i="41"/>
  <c r="I159" i="41" s="1"/>
  <c r="E199" i="57"/>
  <c r="E201" i="57"/>
  <c r="M215" i="57" s="1"/>
  <c r="E207" i="57"/>
  <c r="E242" i="79"/>
  <c r="E244" i="79"/>
  <c r="G252" i="79" s="1"/>
  <c r="O260" i="79"/>
  <c r="C38" i="135"/>
  <c r="C44" i="135" s="1"/>
  <c r="C290" i="135" s="1"/>
  <c r="D335" i="135" s="1"/>
  <c r="E42" i="135"/>
  <c r="E288" i="135" s="1"/>
  <c r="E368" i="65"/>
  <c r="C368" i="65"/>
  <c r="C72" i="65"/>
  <c r="B72" i="65"/>
  <c r="D64" i="107"/>
  <c r="D66" i="107"/>
  <c r="H76" i="107" s="1"/>
  <c r="B70" i="107"/>
  <c r="E66" i="127"/>
  <c r="B67" i="127"/>
  <c r="E68" i="127"/>
  <c r="I78" i="127" s="1"/>
  <c r="C72" i="127"/>
  <c r="C95" i="55"/>
  <c r="K109" i="55" s="1"/>
  <c r="K229" i="55" s="1"/>
  <c r="M107" i="55"/>
  <c r="M227" i="55" s="1"/>
  <c r="D53" i="55"/>
  <c r="F61" i="55" s="1"/>
  <c r="F223" i="55" s="1"/>
  <c r="D51" i="55"/>
  <c r="D59" i="55"/>
  <c r="E124" i="35"/>
  <c r="K136" i="35" s="1"/>
  <c r="E122" i="35"/>
  <c r="E130" i="35"/>
  <c r="C66" i="83"/>
  <c r="E74" i="83" s="1"/>
  <c r="E368" i="83" s="1"/>
  <c r="G72" i="83"/>
  <c r="G366" i="83" s="1"/>
  <c r="E556" i="83"/>
  <c r="C556" i="83"/>
  <c r="C113" i="83"/>
  <c r="B113" i="83"/>
  <c r="B204" i="93"/>
  <c r="H210" i="93" s="1"/>
  <c r="H267" i="93" s="1"/>
  <c r="D214" i="93"/>
  <c r="D271" i="93" s="1"/>
  <c r="B35" i="9"/>
  <c r="D43" i="9" s="1"/>
  <c r="D67" i="9" s="1"/>
  <c r="F41" i="9"/>
  <c r="F65" i="9" s="1"/>
  <c r="G92" i="9" s="1"/>
  <c r="C41" i="27"/>
  <c r="E49" i="27" s="1"/>
  <c r="E111" i="27" s="1"/>
  <c r="F144" i="27" s="1"/>
  <c r="G47" i="27"/>
  <c r="G109" i="27" s="1"/>
  <c r="C24" i="15"/>
  <c r="C30" i="15" s="1"/>
  <c r="C109" i="15" s="1"/>
  <c r="D142" i="15" s="1"/>
  <c r="E28" i="15"/>
  <c r="E107" i="15" s="1"/>
  <c r="F140" i="15" s="1"/>
  <c r="E221" i="79"/>
  <c r="O237" i="79" s="1"/>
  <c r="E219" i="79"/>
  <c r="M235" i="79"/>
  <c r="E120" i="93"/>
  <c r="I130" i="93" s="1"/>
  <c r="B119" i="93"/>
  <c r="E118" i="93"/>
  <c r="C124" i="93"/>
  <c r="D102" i="41"/>
  <c r="D104" i="41"/>
  <c r="F112" i="41" s="1"/>
  <c r="J116" i="41"/>
  <c r="C114" i="67"/>
  <c r="B114" i="67"/>
  <c r="E384" i="67"/>
  <c r="C384" i="67"/>
  <c r="G207" i="29"/>
  <c r="G213" i="29"/>
  <c r="G237" i="29"/>
  <c r="E93" i="63"/>
  <c r="E95" i="63"/>
  <c r="G103" i="63" s="1"/>
  <c r="B94" i="63"/>
  <c r="I105" i="63"/>
  <c r="B94" i="71"/>
  <c r="E93" i="71"/>
  <c r="E95" i="71"/>
  <c r="K107" i="71" s="1"/>
  <c r="C99" i="71"/>
  <c r="D76" i="93"/>
  <c r="D78" i="93"/>
  <c r="J90" i="93" s="1"/>
  <c r="H88" i="93"/>
  <c r="D142" i="47"/>
  <c r="J154" i="47" s="1"/>
  <c r="D140" i="47"/>
  <c r="D148" i="47"/>
  <c r="D100" i="93"/>
  <c r="L114" i="93" s="1"/>
  <c r="D98" i="93"/>
  <c r="J112" i="93"/>
  <c r="B103" i="41"/>
  <c r="E102" i="41"/>
  <c r="E104" i="41"/>
  <c r="G112" i="41" s="1"/>
  <c r="K116" i="41"/>
  <c r="E85" i="51"/>
  <c r="K97" i="51" s="1"/>
  <c r="B84" i="51"/>
  <c r="E83" i="51"/>
  <c r="I95" i="51"/>
  <c r="D47" i="37"/>
  <c r="F55" i="37" s="1"/>
  <c r="D45" i="37"/>
  <c r="D53" i="37"/>
  <c r="D142" i="51"/>
  <c r="H152" i="51" s="1"/>
  <c r="D140" i="51"/>
  <c r="D148" i="51"/>
  <c r="E124" i="89"/>
  <c r="E126" i="89"/>
  <c r="K138" i="89" s="1"/>
  <c r="E132" i="89"/>
  <c r="B50" i="101"/>
  <c r="F54" i="101" s="1"/>
  <c r="F63" i="101" s="1"/>
  <c r="G90" i="101" s="1"/>
  <c r="B58" i="101"/>
  <c r="B67" i="101" s="1"/>
  <c r="B75" i="133"/>
  <c r="E74" i="133"/>
  <c r="E76" i="133"/>
  <c r="I86" i="133" s="1"/>
  <c r="I248" i="133" s="1"/>
  <c r="J293" i="133" s="1"/>
  <c r="G84" i="133"/>
  <c r="D107" i="115"/>
  <c r="J119" i="115" s="1"/>
  <c r="D105" i="115"/>
  <c r="H117" i="115"/>
  <c r="C36" i="9"/>
  <c r="E44" i="9" s="1"/>
  <c r="E68" i="9" s="1"/>
  <c r="F95" i="9" s="1"/>
  <c r="G42" i="9"/>
  <c r="G66" i="9" s="1"/>
  <c r="H93" i="9" s="1"/>
  <c r="G395" i="61"/>
  <c r="G363" i="61"/>
  <c r="C29" i="37"/>
  <c r="C35" i="37" s="1"/>
  <c r="C162" i="37" s="1"/>
  <c r="D201" i="37" s="1"/>
  <c r="E33" i="37"/>
  <c r="E160" i="37" s="1"/>
  <c r="G396" i="119"/>
  <c r="G428" i="119"/>
  <c r="G452" i="119"/>
  <c r="B60" i="85"/>
  <c r="F70" i="85" s="1"/>
  <c r="F132" i="85" s="1"/>
  <c r="H68" i="85"/>
  <c r="H130" i="85" s="1"/>
  <c r="G506" i="123"/>
  <c r="G426" i="123"/>
  <c r="G498" i="123"/>
  <c r="G464" i="123"/>
  <c r="E95" i="57"/>
  <c r="M109" i="57" s="1"/>
  <c r="E93" i="57"/>
  <c r="B94" i="57"/>
  <c r="K107" i="57"/>
  <c r="E256" i="2"/>
  <c r="E104" i="45"/>
  <c r="G112" i="45" s="1"/>
  <c r="E102" i="45"/>
  <c r="B103" i="45"/>
  <c r="C108" i="45"/>
  <c r="B116" i="61"/>
  <c r="J130" i="61" s="1"/>
  <c r="J229" i="61" s="1"/>
  <c r="L128" i="61"/>
  <c r="L227" i="61" s="1"/>
  <c r="G406" i="111"/>
  <c r="G350" i="111"/>
  <c r="G382" i="111"/>
  <c r="E105" i="47"/>
  <c r="G113" i="47" s="1"/>
  <c r="E103" i="47"/>
  <c r="K117" i="47"/>
  <c r="E203" i="99"/>
  <c r="E205" i="99"/>
  <c r="E211" i="99" s="1"/>
  <c r="I215" i="99"/>
  <c r="B47" i="43"/>
  <c r="D55" i="43" s="1"/>
  <c r="D163" i="43" s="1"/>
  <c r="E202" i="43" s="1"/>
  <c r="F53" i="43"/>
  <c r="F161" i="43" s="1"/>
  <c r="B40" i="109"/>
  <c r="E41" i="109"/>
  <c r="G49" i="109" s="1"/>
  <c r="E39" i="109"/>
  <c r="E47" i="109"/>
  <c r="G275" i="47"/>
  <c r="G291" i="47"/>
  <c r="C58" i="27"/>
  <c r="G68" i="27" s="1"/>
  <c r="G113" i="27" s="1"/>
  <c r="I66" i="27"/>
  <c r="I111" i="27" s="1"/>
  <c r="F366" i="77"/>
  <c r="C200" i="57"/>
  <c r="E214" i="57" s="1"/>
  <c r="E229" i="57" s="1"/>
  <c r="M206" i="57"/>
  <c r="M221" i="57" s="1"/>
  <c r="D26" i="45"/>
  <c r="D28" i="45"/>
  <c r="D34" i="45" s="1"/>
  <c r="D161" i="45" s="1"/>
  <c r="B32" i="45"/>
  <c r="B159" i="45" s="1"/>
  <c r="C198" i="45" s="1"/>
  <c r="D268" i="121"/>
  <c r="D270" i="121"/>
  <c r="L284" i="121" s="1"/>
  <c r="B274" i="121"/>
  <c r="B224" i="141"/>
  <c r="E223" i="141"/>
  <c r="E225" i="141"/>
  <c r="K237" i="141" s="1"/>
  <c r="I235" i="141"/>
  <c r="D162" i="123"/>
  <c r="F172" i="123"/>
  <c r="D164" i="123"/>
  <c r="L178" i="123" s="1"/>
  <c r="D118" i="143"/>
  <c r="D120" i="143"/>
  <c r="H130" i="143" s="1"/>
  <c r="B124" i="143"/>
  <c r="B265" i="143" s="1"/>
  <c r="C310" i="143" s="1"/>
  <c r="E163" i="127"/>
  <c r="K175" i="127" s="1"/>
  <c r="E161" i="127"/>
  <c r="B162" i="127"/>
  <c r="C167" i="127"/>
  <c r="G444" i="141"/>
  <c r="G398" i="141"/>
  <c r="G412" i="141"/>
  <c r="C56" i="133"/>
  <c r="E64" i="133" s="1"/>
  <c r="E247" i="133" s="1"/>
  <c r="F292" i="133" s="1"/>
  <c r="G62" i="133"/>
  <c r="G245" i="133" s="1"/>
  <c r="H290" i="133" s="1"/>
  <c r="E55" i="143"/>
  <c r="E57" i="143"/>
  <c r="G65" i="143" s="1"/>
  <c r="B56" i="143"/>
  <c r="E63" i="143"/>
  <c r="E81" i="75"/>
  <c r="G91" i="75"/>
  <c r="E83" i="75"/>
  <c r="I93" i="75" s="1"/>
  <c r="F470" i="131"/>
  <c r="D470" i="131"/>
  <c r="C224" i="131"/>
  <c r="D68" i="89"/>
  <c r="H78" i="89" s="1"/>
  <c r="H186" i="89" s="1"/>
  <c r="B72" i="89"/>
  <c r="D66" i="89"/>
  <c r="B161" i="93"/>
  <c r="E160" i="93"/>
  <c r="E162" i="93"/>
  <c r="M176" i="93" s="1"/>
  <c r="M275" i="93" s="1"/>
  <c r="G170" i="93"/>
  <c r="D241" i="75"/>
  <c r="D243" i="75"/>
  <c r="F251" i="75" s="1"/>
  <c r="F291" i="75" s="1"/>
  <c r="N259" i="75"/>
  <c r="E76" i="87"/>
  <c r="E78" i="87"/>
  <c r="C82" i="87" s="1"/>
  <c r="I88" i="87"/>
  <c r="F461" i="135"/>
  <c r="D461" i="135"/>
  <c r="C142" i="135"/>
  <c r="C183" i="117"/>
  <c r="C195" i="117" s="1"/>
  <c r="C273" i="117" s="1"/>
  <c r="D318" i="117" s="1"/>
  <c r="K187" i="117"/>
  <c r="K265" i="117" s="1"/>
  <c r="C32" i="73"/>
  <c r="C38" i="73" s="1"/>
  <c r="C221" i="73" s="1"/>
  <c r="D266" i="73" s="1"/>
  <c r="E36" i="73"/>
  <c r="E219" i="73" s="1"/>
  <c r="G428" i="117"/>
  <c r="G452" i="117"/>
  <c r="G396" i="117"/>
  <c r="E161" i="139"/>
  <c r="K173" i="139" s="1"/>
  <c r="E159" i="139"/>
  <c r="G169" i="139"/>
  <c r="D185" i="135"/>
  <c r="J197" i="135" s="1"/>
  <c r="B189" i="135"/>
  <c r="D183" i="135"/>
  <c r="F580" i="83"/>
  <c r="D580" i="83"/>
  <c r="C189" i="83"/>
  <c r="D30" i="73"/>
  <c r="D32" i="73"/>
  <c r="D38" i="73" s="1"/>
  <c r="B36" i="73"/>
  <c r="C95" i="61"/>
  <c r="I107" i="61" s="1"/>
  <c r="I227" i="61" s="1"/>
  <c r="K105" i="61"/>
  <c r="K225" i="61" s="1"/>
  <c r="G292" i="115"/>
  <c r="G348" i="115"/>
  <c r="G308" i="115"/>
  <c r="G255" i="87"/>
  <c r="G249" i="87"/>
  <c r="G223" i="87"/>
  <c r="D182" i="131"/>
  <c r="D184" i="131"/>
  <c r="F192" i="131" s="1"/>
  <c r="L198" i="131"/>
  <c r="E34" i="131"/>
  <c r="B35" i="131"/>
  <c r="E36" i="131"/>
  <c r="E42" i="131" s="1"/>
  <c r="C40" i="131"/>
  <c r="E25" i="125"/>
  <c r="C31" i="125"/>
  <c r="C127" i="125" s="1"/>
  <c r="D160" i="125" s="1"/>
  <c r="E27" i="125"/>
  <c r="E33" i="125" s="1"/>
  <c r="C20" i="101"/>
  <c r="C26" i="101" s="1"/>
  <c r="C65" i="101" s="1"/>
  <c r="E24" i="101"/>
  <c r="E63" i="101" s="1"/>
  <c r="F90" i="101" s="1"/>
  <c r="H88" i="99"/>
  <c r="D76" i="99"/>
  <c r="D78" i="99"/>
  <c r="J90" i="99" s="1"/>
  <c r="E52" i="73"/>
  <c r="E54" i="73"/>
  <c r="G62" i="73" s="1"/>
  <c r="E60" i="73"/>
  <c r="G421" i="143"/>
  <c r="G389" i="143"/>
  <c r="G445" i="143"/>
  <c r="E27" i="87"/>
  <c r="E33" i="87" s="1"/>
  <c r="E25" i="87"/>
  <c r="C31" i="87"/>
  <c r="C127" i="87" s="1"/>
  <c r="D160" i="87" s="1"/>
  <c r="C206" i="97"/>
  <c r="I212" i="97" s="1"/>
  <c r="I290" i="97" s="1"/>
  <c r="E216" i="97"/>
  <c r="E294" i="97" s="1"/>
  <c r="D25" i="17"/>
  <c r="D31" i="17" s="1"/>
  <c r="D23" i="17"/>
  <c r="B29" i="17"/>
  <c r="B108" i="17" s="1"/>
  <c r="C141" i="17" s="1"/>
  <c r="E137" i="73"/>
  <c r="E143" i="73" s="1"/>
  <c r="E135" i="73"/>
  <c r="B136" i="73"/>
  <c r="K149" i="73"/>
  <c r="E38" i="121"/>
  <c r="E44" i="121" s="1"/>
  <c r="B37" i="121"/>
  <c r="E36" i="121"/>
  <c r="C42" i="121"/>
  <c r="G271" i="107"/>
  <c r="G287" i="107"/>
  <c r="D183" i="99"/>
  <c r="J195" i="99" s="1"/>
  <c r="D181" i="99"/>
  <c r="B187" i="99"/>
  <c r="D112" i="137"/>
  <c r="H122" i="137" s="1"/>
  <c r="D110" i="137"/>
  <c r="D118" i="137"/>
  <c r="I165" i="35"/>
  <c r="M360" i="79"/>
  <c r="B142" i="121"/>
  <c r="E141" i="121"/>
  <c r="E143" i="121"/>
  <c r="K155" i="121" s="1"/>
  <c r="E149" i="121"/>
  <c r="G509" i="135"/>
  <c r="G477" i="135"/>
  <c r="G421" i="135"/>
  <c r="G453" i="135"/>
  <c r="E141" i="129"/>
  <c r="E143" i="129"/>
  <c r="G151" i="129" s="1"/>
  <c r="K155" i="129"/>
  <c r="G275" i="37"/>
  <c r="G291" i="37"/>
  <c r="D47" i="89"/>
  <c r="D49" i="89"/>
  <c r="F57" i="89" s="1"/>
  <c r="D55" i="89"/>
  <c r="E109" i="85"/>
  <c r="E111" i="85"/>
  <c r="I121" i="85" s="1"/>
  <c r="B110" i="85"/>
  <c r="E117" i="85"/>
  <c r="B101" i="121"/>
  <c r="J115" i="121" s="1"/>
  <c r="J298" i="121" s="1"/>
  <c r="L113" i="121"/>
  <c r="L296" i="121" s="1"/>
  <c r="D83" i="129"/>
  <c r="D85" i="129"/>
  <c r="D91" i="129" s="1"/>
  <c r="H95" i="129"/>
  <c r="E58" i="119"/>
  <c r="G66" i="119" s="1"/>
  <c r="E56" i="119"/>
  <c r="E64" i="119"/>
  <c r="B223" i="131"/>
  <c r="C99" i="117"/>
  <c r="K113" i="117" s="1"/>
  <c r="K275" i="117" s="1"/>
  <c r="M111" i="117"/>
  <c r="M273" i="117" s="1"/>
  <c r="E123" i="45"/>
  <c r="K135" i="45" s="1"/>
  <c r="K167" i="45" s="1"/>
  <c r="B122" i="45"/>
  <c r="E121" i="45"/>
  <c r="I133" i="45"/>
  <c r="C59" i="19"/>
  <c r="C69" i="19" s="1"/>
  <c r="C114" i="19" s="1"/>
  <c r="D147" i="19" s="1"/>
  <c r="I63" i="19"/>
  <c r="I108" i="19" s="1"/>
  <c r="D66" i="127"/>
  <c r="D68" i="127"/>
  <c r="H78" i="127" s="1"/>
  <c r="B72" i="127"/>
  <c r="B91" i="33"/>
  <c r="E90" i="33"/>
  <c r="E92" i="33"/>
  <c r="I102" i="33" s="1"/>
  <c r="E98" i="33"/>
  <c r="E65" i="47"/>
  <c r="E67" i="47"/>
  <c r="I77" i="47" s="1"/>
  <c r="I166" i="47" s="1"/>
  <c r="C71" i="47"/>
  <c r="C160" i="47" s="1"/>
  <c r="D199" i="47" s="1"/>
  <c r="E247" i="85"/>
  <c r="C247" i="85"/>
  <c r="C75" i="85"/>
  <c r="B75" i="85"/>
  <c r="E23" i="29"/>
  <c r="E25" i="29"/>
  <c r="E31" i="29" s="1"/>
  <c r="C29" i="29"/>
  <c r="D40" i="21"/>
  <c r="D42" i="21"/>
  <c r="H52" i="21" s="1"/>
  <c r="B46" i="21"/>
  <c r="E73" i="57"/>
  <c r="E75" i="57"/>
  <c r="I85" i="57" s="1"/>
  <c r="G83" i="57"/>
  <c r="D136" i="67"/>
  <c r="D138" i="67"/>
  <c r="H148" i="67" s="1"/>
  <c r="F146" i="67"/>
  <c r="B52" i="73"/>
  <c r="E51" i="73"/>
  <c r="E53" i="73"/>
  <c r="G61" i="73" s="1"/>
  <c r="G223" i="73" s="1"/>
  <c r="E59" i="73"/>
  <c r="D56" i="29"/>
  <c r="D58" i="29"/>
  <c r="H68" i="29" s="1"/>
  <c r="F66" i="29"/>
  <c r="D174" i="95"/>
  <c r="E33" i="11"/>
  <c r="E35" i="11"/>
  <c r="G43" i="11" s="1"/>
  <c r="G67" i="11" s="1"/>
  <c r="B34" i="11"/>
  <c r="E41" i="11"/>
  <c r="D67" i="41"/>
  <c r="H77" i="41" s="1"/>
  <c r="D65" i="41"/>
  <c r="B71" i="41"/>
  <c r="D45" i="51"/>
  <c r="D47" i="51"/>
  <c r="F55" i="51" s="1"/>
  <c r="D53" i="51"/>
  <c r="G140" i="15"/>
  <c r="D177" i="15"/>
  <c r="G431" i="99"/>
  <c r="G455" i="99"/>
  <c r="G399" i="99"/>
  <c r="E52" i="55"/>
  <c r="E54" i="55"/>
  <c r="G62" i="55" s="1"/>
  <c r="E60" i="55"/>
  <c r="D53" i="73"/>
  <c r="F61" i="73" s="1"/>
  <c r="D51" i="73"/>
  <c r="D59" i="73"/>
  <c r="D145" i="115"/>
  <c r="F153" i="115" s="1"/>
  <c r="D143" i="115"/>
  <c r="J157" i="115"/>
  <c r="D123" i="45"/>
  <c r="J135" i="45" s="1"/>
  <c r="J167" i="45" s="1"/>
  <c r="D121" i="45"/>
  <c r="H133" i="45"/>
  <c r="E199" i="73"/>
  <c r="E201" i="73"/>
  <c r="I211" i="73" s="1"/>
  <c r="M215" i="73"/>
  <c r="D199" i="61"/>
  <c r="D201" i="61"/>
  <c r="L215" i="61" s="1"/>
  <c r="D207" i="61"/>
  <c r="D96" i="55"/>
  <c r="L110" i="55" s="1"/>
  <c r="D94" i="55"/>
  <c r="J108" i="55"/>
  <c r="E33" i="59"/>
  <c r="E39" i="59" s="1"/>
  <c r="E31" i="59"/>
  <c r="C37" i="59"/>
  <c r="B136" i="71"/>
  <c r="E135" i="71"/>
  <c r="E137" i="71"/>
  <c r="I147" i="71" s="1"/>
  <c r="M151" i="71"/>
  <c r="E53" i="55"/>
  <c r="G61" i="55" s="1"/>
  <c r="B52" i="55"/>
  <c r="E51" i="55"/>
  <c r="E59" i="55"/>
  <c r="E157" i="55"/>
  <c r="E159" i="55"/>
  <c r="M173" i="55" s="1"/>
  <c r="E165" i="55"/>
  <c r="B137" i="55"/>
  <c r="J143" i="55" s="1"/>
  <c r="J221" i="55" s="1"/>
  <c r="D149" i="55"/>
  <c r="D227" i="55" s="1"/>
  <c r="C266" i="75"/>
  <c r="O276" i="75" s="1"/>
  <c r="O293" i="75" s="1"/>
  <c r="I282" i="75"/>
  <c r="I299" i="75" s="1"/>
  <c r="J350" i="75" s="1"/>
  <c r="D24" i="21"/>
  <c r="D30" i="21" s="1"/>
  <c r="B28" i="21"/>
  <c r="B107" i="21" s="1"/>
  <c r="C140" i="21" s="1"/>
  <c r="D22" i="21"/>
  <c r="E141" i="37"/>
  <c r="E143" i="37"/>
  <c r="K155" i="37" s="1"/>
  <c r="E149" i="37"/>
  <c r="C42" i="19"/>
  <c r="E50" i="19" s="1"/>
  <c r="E112" i="19" s="1"/>
  <c r="G48" i="19"/>
  <c r="G110" i="19" s="1"/>
  <c r="H143" i="19" s="1"/>
  <c r="E47" i="39"/>
  <c r="G55" i="39" s="1"/>
  <c r="B46" i="39"/>
  <c r="E45" i="39"/>
  <c r="E53" i="39"/>
  <c r="E158" i="65"/>
  <c r="I168" i="65" s="1"/>
  <c r="B157" i="65"/>
  <c r="E156" i="65"/>
  <c r="E164" i="65"/>
  <c r="C94" i="87"/>
  <c r="C102" i="87" s="1"/>
  <c r="C130" i="87" s="1"/>
  <c r="D163" i="87" s="1"/>
  <c r="G98" i="87"/>
  <c r="G126" i="87" s="1"/>
  <c r="D50" i="5"/>
  <c r="B54" i="5" s="1"/>
  <c r="D48" i="5"/>
  <c r="F58" i="5"/>
  <c r="F67" i="5" s="1"/>
  <c r="G94" i="5" s="1"/>
  <c r="E365" i="77"/>
  <c r="D64" i="53"/>
  <c r="D66" i="53"/>
  <c r="H76" i="53" s="1"/>
  <c r="B70" i="53"/>
  <c r="E142" i="47"/>
  <c r="K154" i="47" s="1"/>
  <c r="B141" i="47"/>
  <c r="E140" i="47"/>
  <c r="E148" i="47"/>
  <c r="B179" i="65"/>
  <c r="D191" i="65" s="1"/>
  <c r="D227" i="65" s="1"/>
  <c r="J185" i="65"/>
  <c r="J221" i="65" s="1"/>
  <c r="B64" i="81"/>
  <c r="E63" i="81"/>
  <c r="E71" i="81"/>
  <c r="E65" i="81"/>
  <c r="G73" i="81" s="1"/>
  <c r="B34" i="5"/>
  <c r="E35" i="5"/>
  <c r="G43" i="5" s="1"/>
  <c r="E33" i="5"/>
  <c r="E41" i="5"/>
  <c r="B46" i="37"/>
  <c r="E47" i="37"/>
  <c r="G55" i="37" s="1"/>
  <c r="E45" i="37"/>
  <c r="E53" i="37"/>
  <c r="E140" i="51"/>
  <c r="E142" i="51"/>
  <c r="I152" i="51" s="1"/>
  <c r="B141" i="51"/>
  <c r="E148" i="51"/>
  <c r="E25" i="17"/>
  <c r="E31" i="17" s="1"/>
  <c r="E110" i="17" s="1"/>
  <c r="E23" i="17"/>
  <c r="C29" i="17"/>
  <c r="C108" i="17" s="1"/>
  <c r="D141" i="17" s="1"/>
  <c r="B112" i="95"/>
  <c r="F122" i="95" s="1"/>
  <c r="F133" i="95" s="1"/>
  <c r="H120" i="95"/>
  <c r="H131" i="95" s="1"/>
  <c r="D135" i="65"/>
  <c r="D137" i="65"/>
  <c r="F145" i="65" s="1"/>
  <c r="L151" i="65"/>
  <c r="E128" i="77"/>
  <c r="E134" i="77" s="1"/>
  <c r="B127" i="77"/>
  <c r="E126" i="77"/>
  <c r="K140" i="77"/>
  <c r="E140" i="39"/>
  <c r="B141" i="39"/>
  <c r="K154" i="39"/>
  <c r="E142" i="39"/>
  <c r="G150" i="39" s="1"/>
  <c r="L265" i="57"/>
  <c r="I318" i="57"/>
  <c r="D58" i="25"/>
  <c r="H68" i="25" s="1"/>
  <c r="H113" i="25" s="1"/>
  <c r="D56" i="25"/>
  <c r="F66" i="25"/>
  <c r="E96" i="71"/>
  <c r="K108" i="71" s="1"/>
  <c r="E94" i="71"/>
  <c r="C100" i="71"/>
  <c r="D241" i="79"/>
  <c r="D243" i="79"/>
  <c r="F251" i="79" s="1"/>
  <c r="N259" i="79"/>
  <c r="G290" i="39"/>
  <c r="G274" i="39"/>
  <c r="D59" i="79"/>
  <c r="F67" i="79" s="1"/>
  <c r="D57" i="79"/>
  <c r="D65" i="79"/>
  <c r="E164" i="89"/>
  <c r="K176" i="89" s="1"/>
  <c r="E162" i="89"/>
  <c r="C168" i="89"/>
  <c r="E104" i="53"/>
  <c r="K116" i="53" s="1"/>
  <c r="E102" i="53"/>
  <c r="B103" i="53"/>
  <c r="I114" i="53"/>
  <c r="B53" i="61"/>
  <c r="D61" i="61" s="1"/>
  <c r="D223" i="61" s="1"/>
  <c r="F59" i="61"/>
  <c r="F221" i="61" s="1"/>
  <c r="G444" i="119"/>
  <c r="G406" i="119"/>
  <c r="G478" i="119"/>
  <c r="G360" i="67"/>
  <c r="G352" i="67"/>
  <c r="G456" i="123"/>
  <c r="G488" i="123"/>
  <c r="G424" i="123"/>
  <c r="G418" i="123"/>
  <c r="G482" i="123"/>
  <c r="E207" i="97"/>
  <c r="E213" i="97" s="1"/>
  <c r="E205" i="97"/>
  <c r="I217" i="97"/>
  <c r="B58" i="121"/>
  <c r="E57" i="121"/>
  <c r="E59" i="121"/>
  <c r="G67" i="121" s="1"/>
  <c r="G292" i="121" s="1"/>
  <c r="H337" i="121" s="1"/>
  <c r="E65" i="121"/>
  <c r="B120" i="119"/>
  <c r="B130" i="119" s="1"/>
  <c r="B271" i="119" s="1"/>
  <c r="C316" i="119" s="1"/>
  <c r="H124" i="119"/>
  <c r="H265" i="119" s="1"/>
  <c r="C92" i="15"/>
  <c r="I98" i="15" s="1"/>
  <c r="I109" i="15" s="1"/>
  <c r="E102" i="15"/>
  <c r="E113" i="15" s="1"/>
  <c r="F146" i="15" s="1"/>
  <c r="M259" i="2"/>
  <c r="A271" i="2" s="1"/>
  <c r="A283" i="2" s="1"/>
  <c r="E96" i="59"/>
  <c r="K108" i="59" s="1"/>
  <c r="E94" i="59"/>
  <c r="C100" i="59"/>
  <c r="C216" i="81"/>
  <c r="Q228" i="81" s="1"/>
  <c r="Q372" i="81" s="1"/>
  <c r="K234" i="81"/>
  <c r="K378" i="81" s="1"/>
  <c r="L435" i="81" s="1"/>
  <c r="E112" i="87"/>
  <c r="I122" i="87" s="1"/>
  <c r="E110" i="87"/>
  <c r="E118" i="87"/>
  <c r="D43" i="87"/>
  <c r="F51" i="87" s="1"/>
  <c r="D41" i="87"/>
  <c r="D49" i="87"/>
  <c r="E475" i="119"/>
  <c r="C244" i="119"/>
  <c r="B244" i="119"/>
  <c r="C475" i="119"/>
  <c r="G414" i="111"/>
  <c r="G352" i="111"/>
  <c r="G358" i="111"/>
  <c r="G390" i="111"/>
  <c r="D74" i="67"/>
  <c r="J86" i="67" s="1"/>
  <c r="J227" i="67" s="1"/>
  <c r="D72" i="67"/>
  <c r="F82" i="67"/>
  <c r="C59" i="27"/>
  <c r="G69" i="27" s="1"/>
  <c r="G114" i="27" s="1"/>
  <c r="I67" i="27"/>
  <c r="I112" i="27" s="1"/>
  <c r="D42" i="95"/>
  <c r="D44" i="95"/>
  <c r="F52" i="95" s="1"/>
  <c r="D50" i="95"/>
  <c r="D20" i="11"/>
  <c r="D26" i="11" s="1"/>
  <c r="D18" i="11"/>
  <c r="B24" i="11"/>
  <c r="B63" i="11" s="1"/>
  <c r="E226" i="93"/>
  <c r="M240" i="93" s="1"/>
  <c r="E224" i="93"/>
  <c r="E232" i="93"/>
  <c r="B37" i="99"/>
  <c r="B43" i="99" s="1"/>
  <c r="B268" i="99" s="1"/>
  <c r="C313" i="99" s="1"/>
  <c r="D41" i="99"/>
  <c r="D266" i="99" s="1"/>
  <c r="D26" i="49"/>
  <c r="D28" i="49"/>
  <c r="D34" i="49" s="1"/>
  <c r="B32" i="49"/>
  <c r="B159" i="49" s="1"/>
  <c r="C198" i="49" s="1"/>
  <c r="C360" i="117"/>
  <c r="B35" i="103"/>
  <c r="D43" i="103" s="1"/>
  <c r="D67" i="103" s="1"/>
  <c r="E94" i="103" s="1"/>
  <c r="F41" i="103"/>
  <c r="F65" i="103" s="1"/>
  <c r="G92" i="103" s="1"/>
  <c r="C20" i="7"/>
  <c r="C26" i="7" s="1"/>
  <c r="C65" i="7" s="1"/>
  <c r="D92" i="7" s="1"/>
  <c r="E24" i="7"/>
  <c r="E63" i="7" s="1"/>
  <c r="F90" i="7" s="1"/>
  <c r="D57" i="27"/>
  <c r="D59" i="27"/>
  <c r="H69" i="27" s="1"/>
  <c r="F67" i="27"/>
  <c r="D73" i="33"/>
  <c r="D75" i="33"/>
  <c r="B79" i="33" s="1"/>
  <c r="H85" i="33"/>
  <c r="D199" i="57"/>
  <c r="D201" i="57"/>
  <c r="L215" i="57" s="1"/>
  <c r="D207" i="57"/>
  <c r="B340" i="83"/>
  <c r="P350" i="83" s="1"/>
  <c r="P369" i="83" s="1"/>
  <c r="H358" i="83"/>
  <c r="H377" i="83" s="1"/>
  <c r="D161" i="89"/>
  <c r="D163" i="89"/>
  <c r="J175" i="89" s="1"/>
  <c r="B167" i="89"/>
  <c r="B41" i="33"/>
  <c r="D49" i="33" s="1"/>
  <c r="D111" i="33" s="1"/>
  <c r="F47" i="33"/>
  <c r="F109" i="33" s="1"/>
  <c r="B27" i="41"/>
  <c r="E26" i="41"/>
  <c r="E28" i="41"/>
  <c r="E34" i="41" s="1"/>
  <c r="C32" i="41"/>
  <c r="C159" i="41" s="1"/>
  <c r="D198" i="41" s="1"/>
  <c r="E218" i="77"/>
  <c r="E220" i="77"/>
  <c r="O236" i="77" s="1"/>
  <c r="B219" i="77"/>
  <c r="M234" i="77"/>
  <c r="E185" i="121"/>
  <c r="K197" i="121" s="1"/>
  <c r="B184" i="121"/>
  <c r="E183" i="121"/>
  <c r="C189" i="121"/>
  <c r="B163" i="123"/>
  <c r="E162" i="123"/>
  <c r="E164" i="123"/>
  <c r="M178" i="123" s="1"/>
  <c r="G172" i="123"/>
  <c r="C50" i="101"/>
  <c r="G54" i="101" s="1"/>
  <c r="G63" i="101" s="1"/>
  <c r="H90" i="101" s="1"/>
  <c r="C58" i="101"/>
  <c r="C67" i="101" s="1"/>
  <c r="D383" i="123"/>
  <c r="C186" i="97"/>
  <c r="C198" i="97" s="1"/>
  <c r="C297" i="97" s="1"/>
  <c r="D342" i="97" s="1"/>
  <c r="K190" i="97"/>
  <c r="K289" i="97" s="1"/>
  <c r="D35" i="93"/>
  <c r="D37" i="93"/>
  <c r="D43" i="93" s="1"/>
  <c r="B41" i="93"/>
  <c r="E99" i="141"/>
  <c r="G107" i="141" s="1"/>
  <c r="B98" i="141"/>
  <c r="E97" i="141"/>
  <c r="I109" i="141"/>
  <c r="D85" i="89"/>
  <c r="D87" i="89"/>
  <c r="D93" i="89" s="1"/>
  <c r="H97" i="89"/>
  <c r="D77" i="95"/>
  <c r="H87" i="95" s="1"/>
  <c r="H132" i="95" s="1"/>
  <c r="D75" i="95"/>
  <c r="B81" i="95"/>
  <c r="E127" i="77"/>
  <c r="E129" i="77"/>
  <c r="E135" i="77" s="1"/>
  <c r="K141" i="77"/>
  <c r="K296" i="77" s="1"/>
  <c r="E57" i="123"/>
  <c r="B58" i="123"/>
  <c r="E59" i="123"/>
  <c r="G67" i="123" s="1"/>
  <c r="E65" i="123"/>
  <c r="C104" i="43"/>
  <c r="E114" i="43" s="1"/>
  <c r="E165" i="43" s="1"/>
  <c r="I110" i="43"/>
  <c r="I161" i="43" s="1"/>
  <c r="D116" i="57"/>
  <c r="J128" i="57" s="1"/>
  <c r="D114" i="57"/>
  <c r="D122" i="57"/>
  <c r="C79" i="143"/>
  <c r="I91" i="143" s="1"/>
  <c r="I274" i="143" s="1"/>
  <c r="K89" i="143"/>
  <c r="K272" i="143" s="1"/>
  <c r="C60" i="135"/>
  <c r="E68" i="135" s="1"/>
  <c r="E293" i="135" s="1"/>
  <c r="G66" i="135"/>
  <c r="G291" i="135" s="1"/>
  <c r="H336" i="135" s="1"/>
  <c r="C461" i="135"/>
  <c r="B141" i="135"/>
  <c r="C141" i="135"/>
  <c r="E461" i="135"/>
  <c r="C142" i="119"/>
  <c r="E154" i="119" s="1"/>
  <c r="E274" i="119" s="1"/>
  <c r="F319" i="119" s="1"/>
  <c r="K148" i="119"/>
  <c r="K268" i="119" s="1"/>
  <c r="D47" i="129"/>
  <c r="F55" i="129" s="1"/>
  <c r="D45" i="129"/>
  <c r="D53" i="129"/>
  <c r="D31" i="73"/>
  <c r="D33" i="73"/>
  <c r="D39" i="73" s="1"/>
  <c r="B37" i="73"/>
  <c r="D121" i="119"/>
  <c r="H131" i="119" s="1"/>
  <c r="D119" i="119"/>
  <c r="B125" i="119"/>
  <c r="G559" i="81"/>
  <c r="G591" i="81"/>
  <c r="E429" i="143"/>
  <c r="C429" i="143"/>
  <c r="B139" i="143"/>
  <c r="C139" i="143"/>
  <c r="C183" i="119"/>
  <c r="C195" i="119" s="1"/>
  <c r="C273" i="119" s="1"/>
  <c r="D318" i="119" s="1"/>
  <c r="K187" i="119"/>
  <c r="K265" i="119" s="1"/>
  <c r="B143" i="97"/>
  <c r="D155" i="97" s="1"/>
  <c r="D296" i="97" s="1"/>
  <c r="J149" i="97"/>
  <c r="J290" i="97" s="1"/>
  <c r="D75" i="109"/>
  <c r="H85" i="109" s="1"/>
  <c r="D73" i="109"/>
  <c r="D81" i="109"/>
  <c r="B91" i="105"/>
  <c r="E90" i="105"/>
  <c r="E92" i="105"/>
  <c r="G100" i="105" s="1"/>
  <c r="C96" i="105"/>
  <c r="N446" i="81"/>
  <c r="D32" i="111"/>
  <c r="D38" i="111" s="1"/>
  <c r="D30" i="111"/>
  <c r="B36" i="111"/>
  <c r="D101" i="123"/>
  <c r="L115" i="123" s="1"/>
  <c r="D99" i="123"/>
  <c r="J113" i="123"/>
  <c r="O443" i="81"/>
  <c r="G343" i="115"/>
  <c r="G303" i="115"/>
  <c r="D60" i="137"/>
  <c r="H70" i="137" s="1"/>
  <c r="H132" i="137" s="1"/>
  <c r="D58" i="137"/>
  <c r="F68" i="137"/>
  <c r="G256" i="87"/>
  <c r="G250" i="87"/>
  <c r="G224" i="87"/>
  <c r="D74" i="61"/>
  <c r="H84" i="61" s="1"/>
  <c r="D72" i="61"/>
  <c r="B78" i="61"/>
  <c r="B219" i="61" s="1"/>
  <c r="C264" i="61" s="1"/>
  <c r="D244" i="131"/>
  <c r="D246" i="131"/>
  <c r="L260" i="131" s="1"/>
  <c r="B250" i="131"/>
  <c r="E142" i="127"/>
  <c r="B143" i="127"/>
  <c r="E144" i="127"/>
  <c r="K156" i="127" s="1"/>
  <c r="E150" i="127"/>
  <c r="C41" i="23"/>
  <c r="E49" i="23" s="1"/>
  <c r="E111" i="23" s="1"/>
  <c r="G47" i="23"/>
  <c r="G109" i="23" s="1"/>
  <c r="E268" i="135"/>
  <c r="E270" i="135"/>
  <c r="M284" i="135" s="1"/>
  <c r="C274" i="135"/>
  <c r="E198" i="77"/>
  <c r="G206" i="77" s="1"/>
  <c r="E196" i="77"/>
  <c r="M212" i="77"/>
  <c r="G437" i="143"/>
  <c r="G399" i="143"/>
  <c r="G471" i="143"/>
  <c r="B63" i="101"/>
  <c r="B106" i="127"/>
  <c r="J114" i="127" s="1"/>
  <c r="J184" i="127" s="1"/>
  <c r="F118" i="127"/>
  <c r="F188" i="127" s="1"/>
  <c r="C67" i="39"/>
  <c r="C77" i="39" s="1"/>
  <c r="C166" i="39" s="1"/>
  <c r="D205" i="39" s="1"/>
  <c r="I71" i="39"/>
  <c r="I160" i="39" s="1"/>
  <c r="G332" i="141"/>
  <c r="D101" i="101"/>
  <c r="D207" i="97"/>
  <c r="D213" i="97" s="1"/>
  <c r="D205" i="97"/>
  <c r="H217" i="97"/>
  <c r="C164" i="121"/>
  <c r="G178" i="121" s="1"/>
  <c r="G298" i="121" s="1"/>
  <c r="H343" i="121" s="1"/>
  <c r="M172" i="121"/>
  <c r="M292" i="121" s="1"/>
  <c r="E226" i="97"/>
  <c r="E234" i="97"/>
  <c r="E228" i="97"/>
  <c r="M242" i="97" s="1"/>
  <c r="C179" i="69"/>
  <c r="K193" i="69" s="1"/>
  <c r="K229" i="69" s="1"/>
  <c r="M191" i="69"/>
  <c r="M227" i="69" s="1"/>
  <c r="E159" i="73"/>
  <c r="M173" i="73" s="1"/>
  <c r="E157" i="73"/>
  <c r="E165" i="73"/>
  <c r="G510" i="135"/>
  <c r="G422" i="135"/>
  <c r="G478" i="135"/>
  <c r="G454" i="135"/>
  <c r="G290" i="37"/>
  <c r="G274" i="37"/>
  <c r="E47" i="89"/>
  <c r="B48" i="89"/>
  <c r="E49" i="89"/>
  <c r="G57" i="89" s="1"/>
  <c r="G184" i="89" s="1"/>
  <c r="H223" i="89" s="1"/>
  <c r="E55" i="89"/>
  <c r="E110" i="85"/>
  <c r="E112" i="85"/>
  <c r="I122" i="85" s="1"/>
  <c r="E118" i="85"/>
  <c r="D127" i="75"/>
  <c r="D129" i="75"/>
  <c r="D135" i="75" s="1"/>
  <c r="J141" i="75"/>
  <c r="E200" i="69"/>
  <c r="M214" i="69" s="1"/>
  <c r="M229" i="69" s="1"/>
  <c r="B199" i="69"/>
  <c r="E198" i="69"/>
  <c r="G208" i="69"/>
  <c r="C35" i="103"/>
  <c r="E43" i="103" s="1"/>
  <c r="E67" i="103" s="1"/>
  <c r="F94" i="103" s="1"/>
  <c r="G41" i="103"/>
  <c r="G65" i="103" s="1"/>
  <c r="H92" i="103" s="1"/>
  <c r="D184" i="123"/>
  <c r="D186" i="123"/>
  <c r="J198" i="123" s="1"/>
  <c r="B190" i="123"/>
  <c r="D110" i="113"/>
  <c r="D112" i="113"/>
  <c r="H122" i="113" s="1"/>
  <c r="D118" i="113"/>
  <c r="E50" i="5"/>
  <c r="C54" i="5" s="1"/>
  <c r="B49" i="5"/>
  <c r="E48" i="5"/>
  <c r="G58" i="5"/>
  <c r="B65" i="53"/>
  <c r="E64" i="53"/>
  <c r="E66" i="53"/>
  <c r="I76" i="53" s="1"/>
  <c r="C70" i="53"/>
  <c r="B65" i="81"/>
  <c r="D73" i="81" s="1"/>
  <c r="D367" i="81" s="1"/>
  <c r="F71" i="81"/>
  <c r="F365" i="81" s="1"/>
  <c r="B105" i="77"/>
  <c r="B117" i="77" s="1"/>
  <c r="B295" i="77" s="1"/>
  <c r="C346" i="77" s="1"/>
  <c r="J109" i="77"/>
  <c r="J287" i="77" s="1"/>
  <c r="E58" i="25"/>
  <c r="I68" i="25" s="1"/>
  <c r="I113" i="25" s="1"/>
  <c r="E56" i="25"/>
  <c r="B57" i="25"/>
  <c r="G66" i="25"/>
  <c r="B242" i="79"/>
  <c r="E241" i="79"/>
  <c r="E243" i="79"/>
  <c r="G251" i="79" s="1"/>
  <c r="O259" i="79"/>
  <c r="D54" i="61"/>
  <c r="F62" i="61" s="1"/>
  <c r="D52" i="61"/>
  <c r="D60" i="61"/>
  <c r="G236" i="27"/>
  <c r="G230" i="27"/>
  <c r="G204" i="27"/>
  <c r="G291" i="39"/>
  <c r="G275" i="39"/>
  <c r="D53" i="67"/>
  <c r="F61" i="67" s="1"/>
  <c r="D51" i="67"/>
  <c r="B57" i="67"/>
  <c r="E57" i="79"/>
  <c r="E59" i="79"/>
  <c r="G67" i="79" s="1"/>
  <c r="B58" i="79"/>
  <c r="E65" i="79"/>
  <c r="D116" i="55"/>
  <c r="J128" i="55" s="1"/>
  <c r="J227" i="55" s="1"/>
  <c r="B120" i="55"/>
  <c r="D114" i="55"/>
  <c r="G361" i="67"/>
  <c r="G353" i="67"/>
  <c r="B200" i="71"/>
  <c r="J208" i="71" s="1"/>
  <c r="J223" i="71" s="1"/>
  <c r="F212" i="71"/>
  <c r="F227" i="71" s="1"/>
  <c r="E27" i="129"/>
  <c r="E29" i="129"/>
  <c r="E35" i="129" s="1"/>
  <c r="C33" i="129"/>
  <c r="G353" i="73"/>
  <c r="G385" i="73"/>
  <c r="D95" i="57"/>
  <c r="L109" i="57" s="1"/>
  <c r="D93" i="57"/>
  <c r="J107" i="57"/>
  <c r="J227" i="57" s="1"/>
  <c r="E58" i="23"/>
  <c r="I68" i="23" s="1"/>
  <c r="B57" i="23"/>
  <c r="E56" i="23"/>
  <c r="G66" i="23"/>
  <c r="G111" i="23" s="1"/>
  <c r="E138" i="59"/>
  <c r="I148" i="59" s="1"/>
  <c r="E136" i="59"/>
  <c r="M152" i="59"/>
  <c r="C77" i="133"/>
  <c r="G87" i="133" s="1"/>
  <c r="G249" i="133" s="1"/>
  <c r="H294" i="133" s="1"/>
  <c r="I85" i="133"/>
  <c r="I247" i="133" s="1"/>
  <c r="J292" i="133" s="1"/>
  <c r="D90" i="29"/>
  <c r="D92" i="29"/>
  <c r="H102" i="29" s="1"/>
  <c r="D98" i="29"/>
  <c r="G285" i="49"/>
  <c r="G309" i="49"/>
  <c r="D22" i="19"/>
  <c r="D24" i="19"/>
  <c r="D30" i="19" s="1"/>
  <c r="D109" i="19" s="1"/>
  <c r="B28" i="19"/>
  <c r="B107" i="19" s="1"/>
  <c r="C140" i="19" s="1"/>
  <c r="E43" i="87"/>
  <c r="G51" i="87" s="1"/>
  <c r="B42" i="87"/>
  <c r="E41" i="87"/>
  <c r="E49" i="87"/>
  <c r="D56" i="31"/>
  <c r="D58" i="31"/>
  <c r="H68" i="31" s="1"/>
  <c r="H113" i="31" s="1"/>
  <c r="B62" i="31"/>
  <c r="E66" i="81"/>
  <c r="G74" i="81" s="1"/>
  <c r="E64" i="81"/>
  <c r="E72" i="81"/>
  <c r="B122" i="37"/>
  <c r="E123" i="37"/>
  <c r="E129" i="37" s="1"/>
  <c r="E121" i="37"/>
  <c r="I133" i="37"/>
  <c r="B73" i="57"/>
  <c r="E74" i="57"/>
  <c r="I84" i="57" s="1"/>
  <c r="E72" i="57"/>
  <c r="G82" i="57"/>
  <c r="D55" i="131"/>
  <c r="D57" i="131"/>
  <c r="F65" i="131" s="1"/>
  <c r="D63" i="131"/>
  <c r="D57" i="117"/>
  <c r="F65" i="117" s="1"/>
  <c r="D55" i="117"/>
  <c r="D63" i="117"/>
  <c r="D45" i="49"/>
  <c r="D47" i="49"/>
  <c r="F55" i="49" s="1"/>
  <c r="D53" i="49"/>
  <c r="D114" i="65"/>
  <c r="D116" i="65"/>
  <c r="L130" i="65" s="1"/>
  <c r="J128" i="65"/>
  <c r="D28" i="41"/>
  <c r="D34" i="41" s="1"/>
  <c r="D26" i="41"/>
  <c r="B32" i="41"/>
  <c r="B159" i="41" s="1"/>
  <c r="C198" i="41" s="1"/>
  <c r="E221" i="77"/>
  <c r="O237" i="77" s="1"/>
  <c r="O300" i="77" s="1"/>
  <c r="M235" i="77"/>
  <c r="E219" i="77"/>
  <c r="C269" i="121"/>
  <c r="C283" i="121" s="1"/>
  <c r="C298" i="121" s="1"/>
  <c r="D343" i="121" s="1"/>
  <c r="M273" i="121"/>
  <c r="M288" i="121" s="1"/>
  <c r="E121" i="141"/>
  <c r="G129" i="141" s="1"/>
  <c r="E119" i="141"/>
  <c r="K133" i="141"/>
  <c r="B100" i="135"/>
  <c r="E99" i="135"/>
  <c r="E101" i="135"/>
  <c r="M115" i="135" s="1"/>
  <c r="K113" i="135"/>
  <c r="D163" i="127"/>
  <c r="J175" i="127" s="1"/>
  <c r="D161" i="127"/>
  <c r="B167" i="127"/>
  <c r="B74" i="21"/>
  <c r="E73" i="21"/>
  <c r="E75" i="21"/>
  <c r="E81" i="21" s="1"/>
  <c r="G83" i="21"/>
  <c r="D49" i="101"/>
  <c r="D51" i="101"/>
  <c r="B55" i="101" s="1"/>
  <c r="F59" i="101"/>
  <c r="G397" i="141"/>
  <c r="G411" i="141"/>
  <c r="G443" i="141"/>
  <c r="D74" i="111"/>
  <c r="J86" i="111" s="1"/>
  <c r="D72" i="111"/>
  <c r="H84" i="111"/>
  <c r="C197" i="75"/>
  <c r="M205" i="75" s="1"/>
  <c r="M291" i="75" s="1"/>
  <c r="G211" i="75"/>
  <c r="G297" i="75" s="1"/>
  <c r="C36" i="93"/>
  <c r="C42" i="93" s="1"/>
  <c r="C267" i="93" s="1"/>
  <c r="D312" i="93" s="1"/>
  <c r="E40" i="93"/>
  <c r="E265" i="93" s="1"/>
  <c r="E76" i="141"/>
  <c r="B77" i="141"/>
  <c r="E78" i="141"/>
  <c r="K90" i="141" s="1"/>
  <c r="E84" i="141"/>
  <c r="E85" i="89"/>
  <c r="E87" i="89"/>
  <c r="E93" i="89" s="1"/>
  <c r="B86" i="89"/>
  <c r="I97" i="89"/>
  <c r="I186" i="89" s="1"/>
  <c r="B76" i="95"/>
  <c r="E75" i="95"/>
  <c r="E77" i="95"/>
  <c r="I87" i="95" s="1"/>
  <c r="I132" i="95" s="1"/>
  <c r="C81" i="95"/>
  <c r="K337" i="121"/>
  <c r="F383" i="121"/>
  <c r="D105" i="43"/>
  <c r="H115" i="43" s="1"/>
  <c r="D103" i="43"/>
  <c r="D111" i="43"/>
  <c r="E243" i="75"/>
  <c r="G251" i="75" s="1"/>
  <c r="E241" i="75"/>
  <c r="B242" i="75"/>
  <c r="O259" i="75"/>
  <c r="B106" i="115"/>
  <c r="H118" i="115" s="1"/>
  <c r="H188" i="115" s="1"/>
  <c r="J116" i="115"/>
  <c r="J186" i="115" s="1"/>
  <c r="C100" i="143"/>
  <c r="K114" i="143" s="1"/>
  <c r="K276" i="143" s="1"/>
  <c r="M112" i="143"/>
  <c r="M274" i="143" s="1"/>
  <c r="D162" i="141"/>
  <c r="F170" i="141" s="1"/>
  <c r="D160" i="141"/>
  <c r="D168" i="141"/>
  <c r="B98" i="143"/>
  <c r="E97" i="143"/>
  <c r="E99" i="143"/>
  <c r="M113" i="143" s="1"/>
  <c r="K111" i="143"/>
  <c r="E61" i="125"/>
  <c r="I71" i="125" s="1"/>
  <c r="E59" i="125"/>
  <c r="G69" i="125"/>
  <c r="E37" i="123"/>
  <c r="E39" i="123"/>
  <c r="E45" i="123" s="1"/>
  <c r="C43" i="123"/>
  <c r="D182" i="119"/>
  <c r="D184" i="119"/>
  <c r="J196" i="119" s="1"/>
  <c r="B188" i="119"/>
  <c r="B86" i="115"/>
  <c r="E87" i="115"/>
  <c r="E93" i="115" s="1"/>
  <c r="E85" i="115"/>
  <c r="I97" i="115"/>
  <c r="D48" i="129"/>
  <c r="F56" i="129" s="1"/>
  <c r="D46" i="129"/>
  <c r="D54" i="129"/>
  <c r="E222" i="139"/>
  <c r="E224" i="139"/>
  <c r="M238" i="139" s="1"/>
  <c r="G232" i="139"/>
  <c r="B205" i="121"/>
  <c r="E204" i="121"/>
  <c r="E206" i="121"/>
  <c r="E212" i="121" s="1"/>
  <c r="I216" i="121"/>
  <c r="C137" i="69"/>
  <c r="G149" i="69" s="1"/>
  <c r="G227" i="69" s="1"/>
  <c r="K145" i="69"/>
  <c r="K223" i="69" s="1"/>
  <c r="E76" i="99"/>
  <c r="B77" i="99"/>
  <c r="E78" i="99"/>
  <c r="K90" i="99" s="1"/>
  <c r="K273" i="99" s="1"/>
  <c r="I88" i="99"/>
  <c r="B31" i="111"/>
  <c r="E30" i="111"/>
  <c r="E32" i="111"/>
  <c r="E38" i="111" s="1"/>
  <c r="C36" i="111"/>
  <c r="D68" i="91"/>
  <c r="D70" i="91"/>
  <c r="J82" i="91" s="1"/>
  <c r="H80" i="91"/>
  <c r="E99" i="123"/>
  <c r="B100" i="123"/>
  <c r="E101" i="123"/>
  <c r="M115" i="123" s="1"/>
  <c r="K113" i="123"/>
  <c r="K296" i="123" s="1"/>
  <c r="C78" i="125"/>
  <c r="I82" i="125" s="1"/>
  <c r="I127" i="125" s="1"/>
  <c r="C88" i="125"/>
  <c r="C133" i="125" s="1"/>
  <c r="D166" i="125" s="1"/>
  <c r="D33" i="101"/>
  <c r="D35" i="101"/>
  <c r="F43" i="101" s="1"/>
  <c r="F67" i="101" s="1"/>
  <c r="G94" i="101" s="1"/>
  <c r="D41" i="101"/>
  <c r="D65" i="101" s="1"/>
  <c r="E92" i="101" s="1"/>
  <c r="B41" i="105"/>
  <c r="D49" i="105" s="1"/>
  <c r="D111" i="105" s="1"/>
  <c r="E144" i="105" s="1"/>
  <c r="F47" i="105"/>
  <c r="F109" i="105" s="1"/>
  <c r="D34" i="131"/>
  <c r="D36" i="131"/>
  <c r="D42" i="131" s="1"/>
  <c r="B40" i="131"/>
  <c r="E77" i="99"/>
  <c r="E79" i="99"/>
  <c r="K91" i="99" s="1"/>
  <c r="I89" i="99"/>
  <c r="D40" i="23"/>
  <c r="D42" i="23"/>
  <c r="F50" i="23" s="1"/>
  <c r="D48" i="23"/>
  <c r="D139" i="119"/>
  <c r="D141" i="119"/>
  <c r="J153" i="119" s="1"/>
  <c r="D147" i="119"/>
  <c r="D183" i="119"/>
  <c r="J195" i="119" s="1"/>
  <c r="D181" i="119"/>
  <c r="B187" i="119"/>
  <c r="G438" i="143"/>
  <c r="G472" i="143"/>
  <c r="G400" i="143"/>
  <c r="E182" i="143"/>
  <c r="E184" i="143"/>
  <c r="K196" i="143" s="1"/>
  <c r="C188" i="143"/>
  <c r="B20" i="101"/>
  <c r="B26" i="101" s="1"/>
  <c r="B65" i="101" s="1"/>
  <c r="D24" i="101"/>
  <c r="D63" i="101" s="1"/>
  <c r="E90" i="101" s="1"/>
  <c r="E166" i="83"/>
  <c r="O182" i="83" s="1"/>
  <c r="E164" i="83"/>
  <c r="M180" i="83"/>
  <c r="G298" i="129"/>
  <c r="G312" i="129"/>
  <c r="G280" i="129"/>
  <c r="G274" i="129"/>
  <c r="B245" i="131"/>
  <c r="E244" i="131"/>
  <c r="E246" i="131"/>
  <c r="M260" i="131" s="1"/>
  <c r="C250" i="131"/>
  <c r="C24" i="17"/>
  <c r="C30" i="17" s="1"/>
  <c r="C109" i="17" s="1"/>
  <c r="D142" i="17" s="1"/>
  <c r="E28" i="17"/>
  <c r="E107" i="17" s="1"/>
  <c r="G223" i="125"/>
  <c r="G261" i="125"/>
  <c r="G229" i="125"/>
  <c r="D165" i="121"/>
  <c r="L179" i="121" s="1"/>
  <c r="D163" i="121"/>
  <c r="F173" i="121"/>
  <c r="B114" i="81"/>
  <c r="E113" i="81"/>
  <c r="E115" i="81"/>
  <c r="K127" i="81" s="1"/>
  <c r="K371" i="81" s="1"/>
  <c r="L428" i="81" s="1"/>
  <c r="I125" i="81"/>
  <c r="I369" i="81" s="1"/>
  <c r="C111" i="137"/>
  <c r="E121" i="137" s="1"/>
  <c r="E132" i="137" s="1"/>
  <c r="F165" i="137" s="1"/>
  <c r="I117" i="137"/>
  <c r="I128" i="137" s="1"/>
  <c r="D117" i="65"/>
  <c r="L131" i="65" s="1"/>
  <c r="D115" i="65"/>
  <c r="J129" i="65"/>
  <c r="D178" i="69"/>
  <c r="D180" i="69"/>
  <c r="L194" i="69" s="1"/>
  <c r="J192" i="69"/>
  <c r="E56" i="141"/>
  <c r="E58" i="141"/>
  <c r="I68" i="141" s="1"/>
  <c r="C62" i="141"/>
  <c r="L360" i="79"/>
  <c r="E121" i="123"/>
  <c r="E123" i="123"/>
  <c r="I133" i="123" s="1"/>
  <c r="C127" i="123"/>
  <c r="G285" i="37"/>
  <c r="G309" i="37"/>
  <c r="D95" i="59"/>
  <c r="J107" i="59" s="1"/>
  <c r="D93" i="59"/>
  <c r="B99" i="59"/>
  <c r="E160" i="141"/>
  <c r="B161" i="141"/>
  <c r="E162" i="141"/>
  <c r="G170" i="141" s="1"/>
  <c r="E168" i="141"/>
  <c r="D34" i="103"/>
  <c r="D36" i="103"/>
  <c r="F44" i="103" s="1"/>
  <c r="D42" i="103"/>
  <c r="E83" i="129"/>
  <c r="E85" i="129"/>
  <c r="E91" i="129" s="1"/>
  <c r="B84" i="129"/>
  <c r="I95" i="129"/>
  <c r="C151" i="79"/>
  <c r="K165" i="79" s="1"/>
  <c r="K297" i="79" s="1"/>
  <c r="M163" i="79"/>
  <c r="M295" i="79" s="1"/>
  <c r="C205" i="117"/>
  <c r="I211" i="117" s="1"/>
  <c r="I268" i="117" s="1"/>
  <c r="E215" i="117"/>
  <c r="E272" i="117" s="1"/>
  <c r="C111" i="113"/>
  <c r="E121" i="113" s="1"/>
  <c r="E132" i="113" s="1"/>
  <c r="F165" i="113" s="1"/>
  <c r="I117" i="113"/>
  <c r="I128" i="113" s="1"/>
  <c r="C223" i="131"/>
  <c r="D98" i="117"/>
  <c r="D100" i="117"/>
  <c r="L114" i="117" s="1"/>
  <c r="J112" i="117"/>
  <c r="D156" i="65"/>
  <c r="D158" i="65"/>
  <c r="H168" i="65" s="1"/>
  <c r="D164" i="65"/>
  <c r="D221" i="65" s="1"/>
  <c r="D95" i="87"/>
  <c r="F103" i="87" s="1"/>
  <c r="D93" i="87"/>
  <c r="B99" i="87"/>
  <c r="B92" i="27"/>
  <c r="B100" i="27" s="1"/>
  <c r="B111" i="27" s="1"/>
  <c r="C144" i="27" s="1"/>
  <c r="F96" i="27"/>
  <c r="F107" i="27" s="1"/>
  <c r="C99" i="93"/>
  <c r="K113" i="93" s="1"/>
  <c r="K275" i="93" s="1"/>
  <c r="M111" i="93"/>
  <c r="M273" i="93" s="1"/>
  <c r="E271" i="107"/>
  <c r="C271" i="107"/>
  <c r="C26" i="107"/>
  <c r="B26" i="107"/>
  <c r="C159" i="63"/>
  <c r="E167" i="63" s="1"/>
  <c r="E224" i="63" s="1"/>
  <c r="G165" i="63"/>
  <c r="G222" i="63" s="1"/>
  <c r="B159" i="53"/>
  <c r="C198" i="53" s="1"/>
  <c r="B59" i="75"/>
  <c r="D67" i="75" s="1"/>
  <c r="D291" i="75" s="1"/>
  <c r="F65" i="75"/>
  <c r="F289" i="75" s="1"/>
  <c r="B57" i="29"/>
  <c r="E56" i="29"/>
  <c r="E58" i="29"/>
  <c r="I68" i="29" s="1"/>
  <c r="G66" i="29"/>
  <c r="D35" i="11"/>
  <c r="F43" i="11" s="1"/>
  <c r="F67" i="11" s="1"/>
  <c r="G94" i="11" s="1"/>
  <c r="D33" i="11"/>
  <c r="D41" i="11"/>
  <c r="E32" i="59"/>
  <c r="E38" i="59" s="1"/>
  <c r="B31" i="59"/>
  <c r="E30" i="59"/>
  <c r="C36" i="59"/>
  <c r="E66" i="47"/>
  <c r="I76" i="47" s="1"/>
  <c r="B65" i="47"/>
  <c r="E64" i="47"/>
  <c r="C70" i="47"/>
  <c r="E92" i="85"/>
  <c r="E94" i="85"/>
  <c r="G102" i="85" s="1"/>
  <c r="B93" i="85"/>
  <c r="C98" i="85"/>
  <c r="D142" i="49"/>
  <c r="H152" i="49" s="1"/>
  <c r="D140" i="49"/>
  <c r="D148" i="49"/>
  <c r="N275" i="69"/>
  <c r="K288" i="69"/>
  <c r="B27" i="43"/>
  <c r="E28" i="43"/>
  <c r="E34" i="43" s="1"/>
  <c r="E161" i="43" s="1"/>
  <c r="E26" i="43"/>
  <c r="C32" i="43"/>
  <c r="C159" i="43" s="1"/>
  <c r="D198" i="43" s="1"/>
  <c r="G521" i="77"/>
  <c r="G457" i="77"/>
  <c r="D92" i="23"/>
  <c r="H102" i="23" s="1"/>
  <c r="D90" i="23"/>
  <c r="D98" i="23"/>
  <c r="E81" i="77"/>
  <c r="E83" i="77"/>
  <c r="I93" i="77" s="1"/>
  <c r="I294" i="77" s="1"/>
  <c r="J345" i="77" s="1"/>
  <c r="G91" i="77"/>
  <c r="G292" i="77" s="1"/>
  <c r="G144" i="101"/>
  <c r="G150" i="101"/>
  <c r="C104" i="129"/>
  <c r="I116" i="129" s="1"/>
  <c r="I167" i="129" s="1"/>
  <c r="K114" i="129"/>
  <c r="K165" i="129" s="1"/>
  <c r="B31" i="57"/>
  <c r="E30" i="57"/>
  <c r="E32" i="57"/>
  <c r="E38" i="57" s="1"/>
  <c r="E221" i="57" s="1"/>
  <c r="C36" i="57"/>
  <c r="C219" i="57" s="1"/>
  <c r="D264" i="57" s="1"/>
  <c r="D93" i="21"/>
  <c r="F101" i="21" s="1"/>
  <c r="D91" i="21"/>
  <c r="B97" i="21"/>
  <c r="D246" i="93"/>
  <c r="F254" i="93" s="1"/>
  <c r="D244" i="93"/>
  <c r="J258" i="93"/>
  <c r="C200" i="61"/>
  <c r="E214" i="61" s="1"/>
  <c r="E229" i="61" s="1"/>
  <c r="M206" i="61"/>
  <c r="M221" i="61" s="1"/>
  <c r="D80" i="97"/>
  <c r="J92" i="97" s="1"/>
  <c r="D78" i="97"/>
  <c r="H90" i="97"/>
  <c r="H294" i="97" s="1"/>
  <c r="G353" i="63"/>
  <c r="G393" i="63"/>
  <c r="G361" i="63"/>
  <c r="B123" i="39"/>
  <c r="H129" i="39" s="1"/>
  <c r="H161" i="39" s="1"/>
  <c r="D133" i="39"/>
  <c r="D165" i="39" s="1"/>
  <c r="B105" i="89"/>
  <c r="E104" i="89"/>
  <c r="E106" i="89"/>
  <c r="K118" i="89" s="1"/>
  <c r="K188" i="89" s="1"/>
  <c r="I116" i="89"/>
  <c r="D180" i="59"/>
  <c r="F188" i="59" s="1"/>
  <c r="D178" i="59"/>
  <c r="L194" i="59"/>
  <c r="C103" i="79"/>
  <c r="E57" i="25"/>
  <c r="E59" i="25"/>
  <c r="I69" i="25" s="1"/>
  <c r="G67" i="25"/>
  <c r="G352" i="73"/>
  <c r="G384" i="73"/>
  <c r="B94" i="87"/>
  <c r="B102" i="87" s="1"/>
  <c r="B130" i="87" s="1"/>
  <c r="C163" i="87" s="1"/>
  <c r="F98" i="87"/>
  <c r="F126" i="87" s="1"/>
  <c r="G327" i="91"/>
  <c r="G383" i="91"/>
  <c r="D97" i="93"/>
  <c r="D99" i="93"/>
  <c r="L113" i="93" s="1"/>
  <c r="L275" i="93" s="1"/>
  <c r="J111" i="93"/>
  <c r="G417" i="131"/>
  <c r="G465" i="131"/>
  <c r="B28" i="53"/>
  <c r="B34" i="53" s="1"/>
  <c r="B161" i="53" s="1"/>
  <c r="C200" i="53" s="1"/>
  <c r="D32" i="53"/>
  <c r="D159" i="53" s="1"/>
  <c r="E24" i="9"/>
  <c r="E63" i="9" s="1"/>
  <c r="F90" i="9" s="1"/>
  <c r="C20" i="9"/>
  <c r="C26" i="9" s="1"/>
  <c r="C65" i="9" s="1"/>
  <c r="E73" i="23"/>
  <c r="B74" i="23"/>
  <c r="E75" i="23"/>
  <c r="C79" i="23" s="1"/>
  <c r="I85" i="23"/>
  <c r="G237" i="27"/>
  <c r="G231" i="27"/>
  <c r="G205" i="27"/>
  <c r="E79" i="97"/>
  <c r="E81" i="97"/>
  <c r="K93" i="97" s="1"/>
  <c r="I91" i="97"/>
  <c r="G290" i="41"/>
  <c r="G274" i="41"/>
  <c r="G408" i="67"/>
  <c r="G354" i="67"/>
  <c r="G376" i="67"/>
  <c r="D57" i="121"/>
  <c r="D59" i="121"/>
  <c r="F67" i="121" s="1"/>
  <c r="F292" i="121" s="1"/>
  <c r="G337" i="121" s="1"/>
  <c r="D65" i="121"/>
  <c r="E199" i="59"/>
  <c r="E201" i="59"/>
  <c r="G209" i="59" s="1"/>
  <c r="K213" i="59"/>
  <c r="E36" i="13"/>
  <c r="G44" i="13" s="1"/>
  <c r="G68" i="13" s="1"/>
  <c r="H95" i="13" s="1"/>
  <c r="E34" i="13"/>
  <c r="E42" i="13"/>
  <c r="E151" i="75"/>
  <c r="M165" i="75" s="1"/>
  <c r="B150" i="75"/>
  <c r="E149" i="75"/>
  <c r="K163" i="75"/>
  <c r="K295" i="75" s="1"/>
  <c r="D64" i="37"/>
  <c r="D66" i="37"/>
  <c r="H76" i="37" s="1"/>
  <c r="B70" i="37"/>
  <c r="E37" i="75"/>
  <c r="E43" i="75" s="1"/>
  <c r="E35" i="75"/>
  <c r="C41" i="75"/>
  <c r="C288" i="75" s="1"/>
  <c r="D339" i="75" s="1"/>
  <c r="C105" i="129"/>
  <c r="I117" i="129" s="1"/>
  <c r="I168" i="129" s="1"/>
  <c r="K115" i="129"/>
  <c r="K166" i="129" s="1"/>
  <c r="G249" i="85"/>
  <c r="G223" i="85"/>
  <c r="G255" i="85"/>
  <c r="E225" i="93"/>
  <c r="M239" i="93" s="1"/>
  <c r="B224" i="93"/>
  <c r="E223" i="93"/>
  <c r="E231" i="93"/>
  <c r="E152" i="75"/>
  <c r="M166" i="75" s="1"/>
  <c r="E150" i="75"/>
  <c r="K164" i="75"/>
  <c r="E138" i="73"/>
  <c r="E144" i="73" s="1"/>
  <c r="E136" i="73"/>
  <c r="K150" i="73"/>
  <c r="K228" i="73" s="1"/>
  <c r="E24" i="19"/>
  <c r="E30" i="19" s="1"/>
  <c r="E109" i="19" s="1"/>
  <c r="E22" i="19"/>
  <c r="C28" i="19"/>
  <c r="C107" i="19" s="1"/>
  <c r="D140" i="19" s="1"/>
  <c r="B23" i="19"/>
  <c r="G497" i="121"/>
  <c r="G425" i="121"/>
  <c r="G463" i="121"/>
  <c r="G360" i="111"/>
  <c r="G398" i="111"/>
  <c r="D123" i="37"/>
  <c r="D129" i="37" s="1"/>
  <c r="D121" i="37"/>
  <c r="H133" i="37"/>
  <c r="D74" i="57"/>
  <c r="H84" i="57" s="1"/>
  <c r="D72" i="57"/>
  <c r="F82" i="57"/>
  <c r="E55" i="117"/>
  <c r="B56" i="117"/>
  <c r="E57" i="117"/>
  <c r="G65" i="117" s="1"/>
  <c r="E63" i="117"/>
  <c r="C270" i="121"/>
  <c r="C284" i="121" s="1"/>
  <c r="C299" i="121" s="1"/>
  <c r="D344" i="121" s="1"/>
  <c r="M274" i="121"/>
  <c r="M289" i="121" s="1"/>
  <c r="E57" i="21"/>
  <c r="I69" i="21"/>
  <c r="E59" i="21"/>
  <c r="G67" i="21" s="1"/>
  <c r="G112" i="21" s="1"/>
  <c r="B46" i="49"/>
  <c r="E45" i="49"/>
  <c r="E47" i="49"/>
  <c r="G55" i="49" s="1"/>
  <c r="E53" i="49"/>
  <c r="L264" i="57"/>
  <c r="I317" i="57"/>
  <c r="E73" i="33"/>
  <c r="E75" i="33"/>
  <c r="C79" i="33" s="1"/>
  <c r="B74" i="33"/>
  <c r="I85" i="33"/>
  <c r="I113" i="33" s="1"/>
  <c r="E161" i="89"/>
  <c r="B162" i="89"/>
  <c r="E163" i="89"/>
  <c r="K175" i="89" s="1"/>
  <c r="C167" i="89"/>
  <c r="C138" i="67"/>
  <c r="G148" i="67" s="1"/>
  <c r="G226" i="67" s="1"/>
  <c r="I146" i="67"/>
  <c r="I224" i="67" s="1"/>
  <c r="D89" i="91"/>
  <c r="H99" i="91" s="1"/>
  <c r="D87" i="91"/>
  <c r="B93" i="91"/>
  <c r="E58" i="121"/>
  <c r="E60" i="121"/>
  <c r="G68" i="121" s="1"/>
  <c r="G293" i="121" s="1"/>
  <c r="H338" i="121" s="1"/>
  <c r="E66" i="121"/>
  <c r="D183" i="121"/>
  <c r="D185" i="121"/>
  <c r="J197" i="121" s="1"/>
  <c r="B189" i="121"/>
  <c r="L337" i="121"/>
  <c r="G383" i="121"/>
  <c r="D73" i="21"/>
  <c r="D75" i="21"/>
  <c r="D81" i="21" s="1"/>
  <c r="F83" i="21"/>
  <c r="D75" i="105"/>
  <c r="B79" i="105" s="1"/>
  <c r="D73" i="105"/>
  <c r="H85" i="105"/>
  <c r="D198" i="75"/>
  <c r="F206" i="75" s="1"/>
  <c r="D196" i="75"/>
  <c r="L212" i="75"/>
  <c r="D435" i="141"/>
  <c r="F435" i="141"/>
  <c r="C140" i="141"/>
  <c r="D99" i="141"/>
  <c r="F107" i="141" s="1"/>
  <c r="D97" i="141"/>
  <c r="H109" i="141"/>
  <c r="E52" i="65"/>
  <c r="E54" i="65"/>
  <c r="G62" i="65" s="1"/>
  <c r="E60" i="65"/>
  <c r="D58" i="95"/>
  <c r="D60" i="95"/>
  <c r="B64" i="95" s="1"/>
  <c r="F68" i="95"/>
  <c r="E100" i="141"/>
  <c r="G108" i="141" s="1"/>
  <c r="E98" i="141"/>
  <c r="I110" i="141"/>
  <c r="D341" i="81"/>
  <c r="H351" i="81" s="1"/>
  <c r="D339" i="81"/>
  <c r="P359" i="81"/>
  <c r="D269" i="97"/>
  <c r="L283" i="97" s="1"/>
  <c r="D267" i="97"/>
  <c r="B273" i="97"/>
  <c r="D185" i="123"/>
  <c r="J197" i="123" s="1"/>
  <c r="D183" i="123"/>
  <c r="B189" i="123"/>
  <c r="E57" i="99"/>
  <c r="G65" i="99" s="1"/>
  <c r="B56" i="99"/>
  <c r="E55" i="99"/>
  <c r="E63" i="99"/>
  <c r="D76" i="141"/>
  <c r="D78" i="141"/>
  <c r="J90" i="141" s="1"/>
  <c r="D84" i="141"/>
  <c r="D240" i="83"/>
  <c r="D246" i="83" s="1"/>
  <c r="D238" i="83"/>
  <c r="L254" i="83"/>
  <c r="E67" i="127"/>
  <c r="E69" i="127"/>
  <c r="I79" i="127" s="1"/>
  <c r="C73" i="127"/>
  <c r="D99" i="143"/>
  <c r="L113" i="143" s="1"/>
  <c r="D97" i="143"/>
  <c r="J111" i="143"/>
  <c r="C120" i="119"/>
  <c r="C130" i="119" s="1"/>
  <c r="C271" i="119" s="1"/>
  <c r="D316" i="119" s="1"/>
  <c r="I124" i="119"/>
  <c r="I265" i="119" s="1"/>
  <c r="B203" i="117"/>
  <c r="E204" i="117"/>
  <c r="E210" i="117" s="1"/>
  <c r="E202" i="117"/>
  <c r="I214" i="117"/>
  <c r="C75" i="25"/>
  <c r="I79" i="25" s="1"/>
  <c r="I107" i="25" s="1"/>
  <c r="C85" i="25"/>
  <c r="C113" i="25" s="1"/>
  <c r="D146" i="25" s="1"/>
  <c r="D151" i="79"/>
  <c r="L165" i="79" s="1"/>
  <c r="D149" i="79"/>
  <c r="J163" i="79"/>
  <c r="C47" i="129"/>
  <c r="E55" i="129" s="1"/>
  <c r="E163" i="129" s="1"/>
  <c r="F202" i="129" s="1"/>
  <c r="G53" i="129"/>
  <c r="G161" i="129" s="1"/>
  <c r="H200" i="129" s="1"/>
  <c r="E117" i="133"/>
  <c r="E119" i="133"/>
  <c r="K131" i="133" s="1"/>
  <c r="C123" i="133"/>
  <c r="E86" i="129"/>
  <c r="E92" i="129" s="1"/>
  <c r="E84" i="129"/>
  <c r="I96" i="129"/>
  <c r="B162" i="119"/>
  <c r="F176" i="119" s="1"/>
  <c r="F275" i="119" s="1"/>
  <c r="L170" i="119"/>
  <c r="L269" i="119" s="1"/>
  <c r="D136" i="69"/>
  <c r="D138" i="69"/>
  <c r="J150" i="69" s="1"/>
  <c r="J228" i="69" s="1"/>
  <c r="F146" i="69"/>
  <c r="D137" i="59"/>
  <c r="H147" i="59" s="1"/>
  <c r="L151" i="59"/>
  <c r="D135" i="59"/>
  <c r="B93" i="69"/>
  <c r="E31" i="111"/>
  <c r="E33" i="111"/>
  <c r="E39" i="111" s="1"/>
  <c r="C37" i="111"/>
  <c r="C220" i="111" s="1"/>
  <c r="D265" i="111" s="1"/>
  <c r="D78" i="131"/>
  <c r="H88" i="131" s="1"/>
  <c r="D76" i="131"/>
  <c r="F86" i="131"/>
  <c r="E33" i="101"/>
  <c r="E35" i="101"/>
  <c r="G43" i="101" s="1"/>
  <c r="G67" i="101" s="1"/>
  <c r="H94" i="101" s="1"/>
  <c r="B34" i="101"/>
  <c r="E41" i="101"/>
  <c r="E65" i="101" s="1"/>
  <c r="F92" i="101" s="1"/>
  <c r="E58" i="137"/>
  <c r="E60" i="137"/>
  <c r="I70" i="137" s="1"/>
  <c r="B59" i="137"/>
  <c r="G68" i="137"/>
  <c r="D34" i="75"/>
  <c r="D36" i="75"/>
  <c r="D42" i="75" s="1"/>
  <c r="B40" i="75"/>
  <c r="B287" i="75" s="1"/>
  <c r="C338" i="75" s="1"/>
  <c r="G521" i="79"/>
  <c r="G457" i="79"/>
  <c r="E79" i="135"/>
  <c r="E81" i="135"/>
  <c r="K93" i="135" s="1"/>
  <c r="I91" i="135"/>
  <c r="I295" i="135" s="1"/>
  <c r="D128" i="85"/>
  <c r="B137" i="111"/>
  <c r="D149" i="111" s="1"/>
  <c r="D227" i="111" s="1"/>
  <c r="J143" i="111"/>
  <c r="J221" i="111" s="1"/>
  <c r="E141" i="119"/>
  <c r="K153" i="119" s="1"/>
  <c r="B140" i="119"/>
  <c r="E139" i="119"/>
  <c r="E147" i="119"/>
  <c r="E121" i="135"/>
  <c r="E123" i="135"/>
  <c r="I133" i="135" s="1"/>
  <c r="C127" i="135"/>
  <c r="B144" i="115"/>
  <c r="J152" i="115" s="1"/>
  <c r="J184" i="115" s="1"/>
  <c r="F156" i="115"/>
  <c r="F188" i="115" s="1"/>
  <c r="D220" i="75"/>
  <c r="N236" i="75" s="1"/>
  <c r="N299" i="75" s="1"/>
  <c r="D218" i="75"/>
  <c r="L234" i="75"/>
  <c r="B124" i="107"/>
  <c r="D136" i="107" s="1"/>
  <c r="D168" i="107" s="1"/>
  <c r="J130" i="107"/>
  <c r="J162" i="107" s="1"/>
  <c r="C265" i="81"/>
  <c r="E281" i="81" s="1"/>
  <c r="E375" i="81" s="1"/>
  <c r="O271" i="81"/>
  <c r="O365" i="81" s="1"/>
  <c r="D36" i="121"/>
  <c r="D38" i="121"/>
  <c r="D44" i="121" s="1"/>
  <c r="B42" i="121"/>
  <c r="E76" i="139"/>
  <c r="I86" i="139" s="1"/>
  <c r="B75" i="139"/>
  <c r="E74" i="139"/>
  <c r="E82" i="139"/>
  <c r="C116" i="65"/>
  <c r="K130" i="65" s="1"/>
  <c r="K229" i="65" s="1"/>
  <c r="M128" i="65"/>
  <c r="M227" i="65" s="1"/>
  <c r="G470" i="135"/>
  <c r="G432" i="135"/>
  <c r="G504" i="135"/>
  <c r="E93" i="59"/>
  <c r="E95" i="59"/>
  <c r="K107" i="59" s="1"/>
  <c r="B94" i="59"/>
  <c r="C99" i="59"/>
  <c r="C128" i="75"/>
  <c r="K134" i="75" s="1"/>
  <c r="K289" i="75" s="1"/>
  <c r="E140" i="75"/>
  <c r="E295" i="75" s="1"/>
  <c r="D200" i="69"/>
  <c r="L214" i="69" s="1"/>
  <c r="L229" i="69" s="1"/>
  <c r="D198" i="69"/>
  <c r="F208" i="69"/>
  <c r="D150" i="79"/>
  <c r="D152" i="79"/>
  <c r="L166" i="79" s="1"/>
  <c r="J164" i="79"/>
  <c r="C185" i="123"/>
  <c r="C197" i="123" s="1"/>
  <c r="C296" i="123" s="1"/>
  <c r="D341" i="123" s="1"/>
  <c r="K189" i="123"/>
  <c r="K288" i="123" s="1"/>
  <c r="C225" i="119"/>
  <c r="E239" i="119" s="1"/>
  <c r="E275" i="119" s="1"/>
  <c r="F320" i="119" s="1"/>
  <c r="M231" i="119"/>
  <c r="M267" i="119" s="1"/>
  <c r="E21" i="9"/>
  <c r="E27" i="9" s="1"/>
  <c r="E66" i="9" s="1"/>
  <c r="F93" i="9" s="1"/>
  <c r="E19" i="9"/>
  <c r="C25" i="9"/>
  <c r="D85" i="127"/>
  <c r="D87" i="127"/>
  <c r="J99" i="127" s="1"/>
  <c r="J188" i="127" s="1"/>
  <c r="H97" i="127"/>
  <c r="G151" i="101"/>
  <c r="G157" i="101"/>
  <c r="E52" i="57"/>
  <c r="E54" i="57"/>
  <c r="G62" i="57" s="1"/>
  <c r="G224" i="57" s="1"/>
  <c r="E60" i="57"/>
  <c r="E52" i="67"/>
  <c r="E54" i="67"/>
  <c r="G62" i="67" s="1"/>
  <c r="C58" i="67"/>
  <c r="E105" i="43"/>
  <c r="I115" i="43" s="1"/>
  <c r="E103" i="43"/>
  <c r="E111" i="43"/>
  <c r="C159" i="37"/>
  <c r="D198" i="37" s="1"/>
  <c r="D203" i="93"/>
  <c r="D205" i="93"/>
  <c r="D211" i="93" s="1"/>
  <c r="H215" i="93"/>
  <c r="G376" i="71"/>
  <c r="G352" i="71"/>
  <c r="E29" i="43"/>
  <c r="E35" i="43" s="1"/>
  <c r="E27" i="43"/>
  <c r="C33" i="43"/>
  <c r="C160" i="43" s="1"/>
  <c r="D199" i="43" s="1"/>
  <c r="E74" i="19"/>
  <c r="E76" i="19"/>
  <c r="G84" i="19" s="1"/>
  <c r="G112" i="19" s="1"/>
  <c r="H145" i="19" s="1"/>
  <c r="I86" i="19"/>
  <c r="I114" i="19" s="1"/>
  <c r="B200" i="61"/>
  <c r="D214" i="61" s="1"/>
  <c r="D229" i="61" s="1"/>
  <c r="L206" i="61"/>
  <c r="L221" i="61" s="1"/>
  <c r="E245" i="93"/>
  <c r="E247" i="93"/>
  <c r="G255" i="93" s="1"/>
  <c r="K259" i="93"/>
  <c r="E105" i="89"/>
  <c r="E107" i="89"/>
  <c r="K119" i="89" s="1"/>
  <c r="K189" i="89" s="1"/>
  <c r="I117" i="89"/>
  <c r="E42" i="29"/>
  <c r="G50" i="29" s="1"/>
  <c r="E40" i="29"/>
  <c r="E48" i="29"/>
  <c r="G213" i="31"/>
  <c r="G221" i="31"/>
  <c r="G205" i="31"/>
  <c r="G521" i="75"/>
  <c r="G457" i="75"/>
  <c r="C179" i="59"/>
  <c r="M187" i="59" s="1"/>
  <c r="M223" i="59" s="1"/>
  <c r="G193" i="59"/>
  <c r="G229" i="59" s="1"/>
  <c r="C244" i="75"/>
  <c r="O252" i="75" s="1"/>
  <c r="O292" i="75" s="1"/>
  <c r="G260" i="75"/>
  <c r="G300" i="75" s="1"/>
  <c r="D47" i="39"/>
  <c r="F55" i="39" s="1"/>
  <c r="D53" i="39"/>
  <c r="D45" i="39"/>
  <c r="E109" i="91"/>
  <c r="K121" i="91" s="1"/>
  <c r="E107" i="91"/>
  <c r="E115" i="91"/>
  <c r="E204" i="91" s="1"/>
  <c r="E54" i="71"/>
  <c r="G62" i="71" s="1"/>
  <c r="G224" i="71" s="1"/>
  <c r="E52" i="71"/>
  <c r="E60" i="71"/>
  <c r="D105" i="79"/>
  <c r="J117" i="79" s="1"/>
  <c r="D103" i="79"/>
  <c r="B109" i="79"/>
  <c r="C46" i="41"/>
  <c r="F282" i="41"/>
  <c r="D282" i="41"/>
  <c r="D223" i="117"/>
  <c r="D225" i="117"/>
  <c r="L239" i="117" s="1"/>
  <c r="D231" i="117"/>
  <c r="B123" i="47"/>
  <c r="D133" i="47" s="1"/>
  <c r="D165" i="47" s="1"/>
  <c r="H129" i="47"/>
  <c r="H161" i="47" s="1"/>
  <c r="C74" i="73"/>
  <c r="G84" i="73" s="1"/>
  <c r="G225" i="73" s="1"/>
  <c r="I82" i="73"/>
  <c r="I223" i="73" s="1"/>
  <c r="J268" i="73" s="1"/>
  <c r="C44" i="95"/>
  <c r="E52" i="95" s="1"/>
  <c r="E131" i="95" s="1"/>
  <c r="F164" i="95" s="1"/>
  <c r="G50" i="95"/>
  <c r="G129" i="95" s="1"/>
  <c r="D26" i="47"/>
  <c r="D28" i="47"/>
  <c r="D34" i="47" s="1"/>
  <c r="B32" i="47"/>
  <c r="B141" i="53"/>
  <c r="E140" i="53"/>
  <c r="E142" i="53"/>
  <c r="G150" i="53" s="1"/>
  <c r="G163" i="53" s="1"/>
  <c r="H202" i="53" s="1"/>
  <c r="K154" i="53"/>
  <c r="B136" i="65"/>
  <c r="E135" i="65"/>
  <c r="E137" i="65"/>
  <c r="G145" i="65" s="1"/>
  <c r="M151" i="65"/>
  <c r="M229" i="65" s="1"/>
  <c r="D36" i="97"/>
  <c r="D38" i="97"/>
  <c r="D44" i="97" s="1"/>
  <c r="B42" i="97"/>
  <c r="D128" i="77"/>
  <c r="D134" i="77" s="1"/>
  <c r="D126" i="77"/>
  <c r="J140" i="77"/>
  <c r="J295" i="77" s="1"/>
  <c r="D21" i="9"/>
  <c r="D27" i="9" s="1"/>
  <c r="D66" i="9" s="1"/>
  <c r="D19" i="9"/>
  <c r="B25" i="9"/>
  <c r="D75" i="23"/>
  <c r="B79" i="23" s="1"/>
  <c r="D73" i="23"/>
  <c r="H85" i="23"/>
  <c r="H113" i="19"/>
  <c r="E74" i="25"/>
  <c r="E76" i="25"/>
  <c r="C80" i="25" s="1"/>
  <c r="C108" i="25" s="1"/>
  <c r="D141" i="25" s="1"/>
  <c r="I86" i="25"/>
  <c r="C53" i="61"/>
  <c r="E61" i="61" s="1"/>
  <c r="E223" i="61" s="1"/>
  <c r="G59" i="61"/>
  <c r="G221" i="61" s="1"/>
  <c r="H266" i="61" s="1"/>
  <c r="D18" i="9"/>
  <c r="B24" i="9"/>
  <c r="B63" i="9" s="1"/>
  <c r="D20" i="9"/>
  <c r="D26" i="9" s="1"/>
  <c r="D65" i="9" s="1"/>
  <c r="C163" i="97"/>
  <c r="D469" i="97"/>
  <c r="F469" i="97"/>
  <c r="E122" i="45"/>
  <c r="E124" i="45"/>
  <c r="K136" i="45" s="1"/>
  <c r="K168" i="45" s="1"/>
  <c r="I134" i="45"/>
  <c r="E74" i="21"/>
  <c r="E76" i="21"/>
  <c r="E82" i="21" s="1"/>
  <c r="G84" i="21"/>
  <c r="E76" i="105"/>
  <c r="C80" i="105" s="1"/>
  <c r="E74" i="105"/>
  <c r="I86" i="105"/>
  <c r="D66" i="51"/>
  <c r="H76" i="51" s="1"/>
  <c r="D64" i="51"/>
  <c r="F74" i="51"/>
  <c r="G448" i="123"/>
  <c r="G472" i="123"/>
  <c r="G416" i="123"/>
  <c r="E46" i="45"/>
  <c r="E48" i="45"/>
  <c r="I58" i="45" s="1"/>
  <c r="C52" i="45"/>
  <c r="D179" i="57"/>
  <c r="L193" i="57" s="1"/>
  <c r="D177" i="57"/>
  <c r="H189" i="57"/>
  <c r="G291" i="35"/>
  <c r="G275" i="35"/>
  <c r="D104" i="53"/>
  <c r="J116" i="53" s="1"/>
  <c r="D102" i="53"/>
  <c r="H114" i="53"/>
  <c r="G224" i="85"/>
  <c r="G256" i="85"/>
  <c r="G250" i="85"/>
  <c r="B39" i="31"/>
  <c r="E64" i="37"/>
  <c r="E66" i="37"/>
  <c r="I76" i="37" s="1"/>
  <c r="B65" i="37"/>
  <c r="C70" i="37"/>
  <c r="E178" i="59"/>
  <c r="E180" i="59"/>
  <c r="G188" i="59" s="1"/>
  <c r="M194" i="59"/>
  <c r="E92" i="29"/>
  <c r="I102" i="29" s="1"/>
  <c r="B91" i="29"/>
  <c r="E90" i="29"/>
  <c r="E98" i="29"/>
  <c r="E109" i="29" s="1"/>
  <c r="F142" i="29" s="1"/>
  <c r="E291" i="83"/>
  <c r="G299" i="83" s="1"/>
  <c r="G368" i="83" s="1"/>
  <c r="E289" i="83"/>
  <c r="O307" i="83"/>
  <c r="D35" i="7"/>
  <c r="F43" i="7" s="1"/>
  <c r="F67" i="7" s="1"/>
  <c r="D33" i="7"/>
  <c r="D41" i="7"/>
  <c r="D65" i="7" s="1"/>
  <c r="D102" i="47"/>
  <c r="D104" i="47"/>
  <c r="F112" i="47" s="1"/>
  <c r="F163" i="47" s="1"/>
  <c r="J116" i="47"/>
  <c r="E93" i="29"/>
  <c r="I103" i="29" s="1"/>
  <c r="E91" i="29"/>
  <c r="E99" i="29"/>
  <c r="C220" i="55"/>
  <c r="D265" i="55" s="1"/>
  <c r="E437" i="143"/>
  <c r="B160" i="143"/>
  <c r="C437" i="143"/>
  <c r="C160" i="143"/>
  <c r="E180" i="55"/>
  <c r="G188" i="55" s="1"/>
  <c r="E178" i="55"/>
  <c r="M194" i="55"/>
  <c r="M230" i="55" s="1"/>
  <c r="C219" i="63"/>
  <c r="D264" i="63" s="1"/>
  <c r="D115" i="61"/>
  <c r="D117" i="61"/>
  <c r="L131" i="61" s="1"/>
  <c r="J129" i="61"/>
  <c r="B115" i="59"/>
  <c r="E116" i="59"/>
  <c r="M130" i="59" s="1"/>
  <c r="M229" i="59" s="1"/>
  <c r="E114" i="59"/>
  <c r="K128" i="59"/>
  <c r="D40" i="83"/>
  <c r="D46" i="83" s="1"/>
  <c r="D38" i="83"/>
  <c r="B44" i="83"/>
  <c r="B363" i="83" s="1"/>
  <c r="C420" i="83" s="1"/>
  <c r="D135" i="61"/>
  <c r="D137" i="61"/>
  <c r="F145" i="61" s="1"/>
  <c r="F223" i="61" s="1"/>
  <c r="L151" i="61"/>
  <c r="L229" i="61" s="1"/>
  <c r="G426" i="121"/>
  <c r="G464" i="121"/>
  <c r="G498" i="121"/>
  <c r="E33" i="71"/>
  <c r="E39" i="71" s="1"/>
  <c r="E31" i="71"/>
  <c r="C37" i="71"/>
  <c r="G401" i="133"/>
  <c r="G369" i="133"/>
  <c r="J113" i="135"/>
  <c r="D99" i="135"/>
  <c r="D101" i="135"/>
  <c r="L115" i="135" s="1"/>
  <c r="B183" i="143"/>
  <c r="B195" i="143" s="1"/>
  <c r="B273" i="143" s="1"/>
  <c r="C318" i="143" s="1"/>
  <c r="J187" i="143"/>
  <c r="J265" i="143" s="1"/>
  <c r="E75" i="105"/>
  <c r="C79" i="105" s="1"/>
  <c r="C107" i="105" s="1"/>
  <c r="D140" i="105" s="1"/>
  <c r="B74" i="105"/>
  <c r="E73" i="105"/>
  <c r="I85" i="105"/>
  <c r="E179" i="57"/>
  <c r="M193" i="57" s="1"/>
  <c r="B178" i="57"/>
  <c r="E177" i="57"/>
  <c r="I189" i="57"/>
  <c r="B59" i="95"/>
  <c r="E58" i="95"/>
  <c r="E60" i="95"/>
  <c r="C64" i="95" s="1"/>
  <c r="G68" i="95"/>
  <c r="G130" i="95" s="1"/>
  <c r="D57" i="123"/>
  <c r="D59" i="123"/>
  <c r="F67" i="123" s="1"/>
  <c r="F292" i="123" s="1"/>
  <c r="G337" i="123" s="1"/>
  <c r="D65" i="123"/>
  <c r="D48" i="9"/>
  <c r="D50" i="9"/>
  <c r="B54" i="9" s="1"/>
  <c r="F58" i="9"/>
  <c r="F67" i="9" s="1"/>
  <c r="G94" i="9" s="1"/>
  <c r="C340" i="81"/>
  <c r="Q350" i="81" s="1"/>
  <c r="Q369" i="81" s="1"/>
  <c r="I358" i="81"/>
  <c r="I377" i="81" s="1"/>
  <c r="E27" i="85"/>
  <c r="E33" i="85" s="1"/>
  <c r="E129" i="85" s="1"/>
  <c r="F162" i="85" s="1"/>
  <c r="E25" i="85"/>
  <c r="C31" i="85"/>
  <c r="E163" i="135"/>
  <c r="E165" i="135"/>
  <c r="M179" i="135" s="1"/>
  <c r="G173" i="135"/>
  <c r="G293" i="135" s="1"/>
  <c r="H338" i="135" s="1"/>
  <c r="B98" i="137"/>
  <c r="D94" i="137"/>
  <c r="F102" i="137" s="1"/>
  <c r="D92" i="137"/>
  <c r="E238" i="83"/>
  <c r="B239" i="83"/>
  <c r="E240" i="83"/>
  <c r="E246" i="83" s="1"/>
  <c r="M254" i="83"/>
  <c r="D93" i="111"/>
  <c r="D95" i="111"/>
  <c r="L109" i="111" s="1"/>
  <c r="J107" i="111"/>
  <c r="D204" i="117"/>
  <c r="D210" i="117" s="1"/>
  <c r="D202" i="117"/>
  <c r="H214" i="117"/>
  <c r="E180" i="61"/>
  <c r="K192" i="61" s="1"/>
  <c r="K228" i="61" s="1"/>
  <c r="E178" i="61"/>
  <c r="E186" i="61"/>
  <c r="E222" i="61" s="1"/>
  <c r="E34" i="141"/>
  <c r="B35" i="141"/>
  <c r="E36" i="141"/>
  <c r="E42" i="141" s="1"/>
  <c r="C40" i="141"/>
  <c r="B50" i="7"/>
  <c r="F54" i="7" s="1"/>
  <c r="F63" i="7" s="1"/>
  <c r="B58" i="7"/>
  <c r="B67" i="7" s="1"/>
  <c r="C94" i="7" s="1"/>
  <c r="C188" i="83"/>
  <c r="E580" i="83"/>
  <c r="C580" i="83"/>
  <c r="B188" i="83"/>
  <c r="B35" i="75"/>
  <c r="E34" i="75"/>
  <c r="E36" i="75"/>
  <c r="E42" i="75" s="1"/>
  <c r="C40" i="75"/>
  <c r="C287" i="75" s="1"/>
  <c r="D338" i="75" s="1"/>
  <c r="E161" i="117"/>
  <c r="E163" i="117"/>
  <c r="M177" i="117" s="1"/>
  <c r="G171" i="117"/>
  <c r="D139" i="93"/>
  <c r="D141" i="93"/>
  <c r="J153" i="93" s="1"/>
  <c r="D147" i="93"/>
  <c r="E142" i="131"/>
  <c r="E148" i="131" s="1"/>
  <c r="E140" i="131"/>
  <c r="K154" i="131"/>
  <c r="B26" i="85"/>
  <c r="B32" i="85" s="1"/>
  <c r="B128" i="85" s="1"/>
  <c r="C161" i="85" s="1"/>
  <c r="D30" i="85"/>
  <c r="D126" i="85" s="1"/>
  <c r="D144" i="127"/>
  <c r="J156" i="127" s="1"/>
  <c r="D142" i="127"/>
  <c r="D150" i="127"/>
  <c r="I132" i="125"/>
  <c r="C24" i="29"/>
  <c r="C30" i="29" s="1"/>
  <c r="C109" i="29" s="1"/>
  <c r="D142" i="29" s="1"/>
  <c r="E28" i="29"/>
  <c r="E107" i="29" s="1"/>
  <c r="F140" i="29" s="1"/>
  <c r="B57" i="143"/>
  <c r="D65" i="143" s="1"/>
  <c r="D269" i="143" s="1"/>
  <c r="E314" i="143" s="1"/>
  <c r="F63" i="143"/>
  <c r="F267" i="143" s="1"/>
  <c r="G312" i="143" s="1"/>
  <c r="D33" i="91"/>
  <c r="D39" i="91" s="1"/>
  <c r="D31" i="91"/>
  <c r="B37" i="91"/>
  <c r="B202" i="131"/>
  <c r="E220" i="75"/>
  <c r="O236" i="75" s="1"/>
  <c r="B219" i="75"/>
  <c r="E218" i="75"/>
  <c r="M234" i="75"/>
  <c r="E184" i="119"/>
  <c r="K196" i="119" s="1"/>
  <c r="E182" i="119"/>
  <c r="C188" i="119"/>
  <c r="B125" i="127"/>
  <c r="H131" i="127" s="1"/>
  <c r="H182" i="127" s="1"/>
  <c r="D135" i="127"/>
  <c r="D186" i="127" s="1"/>
  <c r="E88" i="127"/>
  <c r="K100" i="127" s="1"/>
  <c r="E86" i="127"/>
  <c r="I98" i="127"/>
  <c r="E245" i="131"/>
  <c r="E247" i="131"/>
  <c r="M261" i="131" s="1"/>
  <c r="C251" i="131"/>
  <c r="D266" i="81"/>
  <c r="N282" i="81" s="1"/>
  <c r="D264" i="81"/>
  <c r="D272" i="81"/>
  <c r="G252" i="125"/>
  <c r="G220" i="125"/>
  <c r="G246" i="125"/>
  <c r="D58" i="109"/>
  <c r="H68" i="109" s="1"/>
  <c r="H113" i="109" s="1"/>
  <c r="D56" i="109"/>
  <c r="B62" i="109"/>
  <c r="E224" i="119"/>
  <c r="E226" i="119"/>
  <c r="M240" i="119" s="1"/>
  <c r="E232" i="119"/>
  <c r="E116" i="81"/>
  <c r="K128" i="81" s="1"/>
  <c r="K372" i="81" s="1"/>
  <c r="L429" i="81" s="1"/>
  <c r="E114" i="81"/>
  <c r="I126" i="81"/>
  <c r="I370" i="81" s="1"/>
  <c r="G330" i="127"/>
  <c r="G306" i="127"/>
  <c r="E116" i="63"/>
  <c r="G124" i="63" s="1"/>
  <c r="B115" i="63"/>
  <c r="E114" i="63"/>
  <c r="K128" i="63"/>
  <c r="D120" i="135"/>
  <c r="D122" i="135"/>
  <c r="H132" i="135" s="1"/>
  <c r="B126" i="135"/>
  <c r="E161" i="141"/>
  <c r="E163" i="141"/>
  <c r="G171" i="141" s="1"/>
  <c r="E169" i="141"/>
  <c r="D85" i="107"/>
  <c r="D91" i="107" s="1"/>
  <c r="D83" i="107"/>
  <c r="H95" i="107"/>
  <c r="C204" i="143"/>
  <c r="I210" i="143" s="1"/>
  <c r="I267" i="143" s="1"/>
  <c r="E214" i="143"/>
  <c r="E271" i="143" s="1"/>
  <c r="F316" i="143" s="1"/>
  <c r="D140" i="131"/>
  <c r="D142" i="131"/>
  <c r="D148" i="131" s="1"/>
  <c r="J154" i="131"/>
  <c r="C164" i="135"/>
  <c r="G178" i="135" s="1"/>
  <c r="G298" i="135" s="1"/>
  <c r="H343" i="135" s="1"/>
  <c r="M172" i="135"/>
  <c r="M292" i="135" s="1"/>
  <c r="D226" i="119"/>
  <c r="L240" i="119" s="1"/>
  <c r="D224" i="119"/>
  <c r="D232" i="119"/>
  <c r="E35" i="7"/>
  <c r="G43" i="7" s="1"/>
  <c r="G67" i="7" s="1"/>
  <c r="E33" i="7"/>
  <c r="B34" i="7"/>
  <c r="E41" i="7"/>
  <c r="E65" i="7" s="1"/>
  <c r="F92" i="7" s="1"/>
  <c r="H141" i="15"/>
  <c r="E178" i="15"/>
  <c r="E108" i="91"/>
  <c r="K120" i="91" s="1"/>
  <c r="B107" i="91"/>
  <c r="E106" i="91"/>
  <c r="E114" i="91"/>
  <c r="E93" i="27"/>
  <c r="G101" i="27" s="1"/>
  <c r="E91" i="27"/>
  <c r="C97" i="27"/>
  <c r="D24" i="31"/>
  <c r="D30" i="31" s="1"/>
  <c r="D109" i="31" s="1"/>
  <c r="D22" i="31"/>
  <c r="B28" i="31"/>
  <c r="E83" i="41"/>
  <c r="E85" i="41"/>
  <c r="K97" i="41" s="1"/>
  <c r="B84" i="41"/>
  <c r="I95" i="41"/>
  <c r="G291" i="45"/>
  <c r="G277" i="45"/>
  <c r="H287" i="63"/>
  <c r="E47" i="115"/>
  <c r="B48" i="115"/>
  <c r="E49" i="115"/>
  <c r="G57" i="115" s="1"/>
  <c r="G184" i="115" s="1"/>
  <c r="H223" i="115" s="1"/>
  <c r="E55" i="115"/>
  <c r="G158" i="101"/>
  <c r="G152" i="101"/>
  <c r="D103" i="129"/>
  <c r="D105" i="129"/>
  <c r="J117" i="129" s="1"/>
  <c r="H115" i="129"/>
  <c r="C48" i="43"/>
  <c r="E56" i="43" s="1"/>
  <c r="E164" i="43" s="1"/>
  <c r="G54" i="43"/>
  <c r="G162" i="43" s="1"/>
  <c r="C28" i="37"/>
  <c r="C34" i="37" s="1"/>
  <c r="C161" i="37" s="1"/>
  <c r="D200" i="37" s="1"/>
  <c r="E32" i="37"/>
  <c r="E159" i="37" s="1"/>
  <c r="C21" i="101"/>
  <c r="C27" i="101" s="1"/>
  <c r="C66" i="101" s="1"/>
  <c r="E25" i="101"/>
  <c r="E64" i="101" s="1"/>
  <c r="F91" i="101" s="1"/>
  <c r="G377" i="71"/>
  <c r="G353" i="71"/>
  <c r="I286" i="69"/>
  <c r="D140" i="41"/>
  <c r="D142" i="41"/>
  <c r="J154" i="41" s="1"/>
  <c r="D148" i="41"/>
  <c r="B51" i="91"/>
  <c r="D59" i="91" s="1"/>
  <c r="D205" i="91" s="1"/>
  <c r="F57" i="91"/>
  <c r="F203" i="91" s="1"/>
  <c r="C104" i="35"/>
  <c r="I116" i="35" s="1"/>
  <c r="I167" i="35" s="1"/>
  <c r="K114" i="35"/>
  <c r="K165" i="35" s="1"/>
  <c r="C58" i="33"/>
  <c r="G68" i="33" s="1"/>
  <c r="G113" i="33" s="1"/>
  <c r="H146" i="33" s="1"/>
  <c r="I66" i="33"/>
  <c r="I111" i="33" s="1"/>
  <c r="B58" i="15"/>
  <c r="F64" i="15" s="1"/>
  <c r="F109" i="15" s="1"/>
  <c r="D66" i="15"/>
  <c r="D111" i="15" s="1"/>
  <c r="G533" i="83"/>
  <c r="G565" i="83"/>
  <c r="E74" i="109"/>
  <c r="E76" i="109"/>
  <c r="I86" i="109" s="1"/>
  <c r="E82" i="109"/>
  <c r="D73" i="73"/>
  <c r="D75" i="73"/>
  <c r="H85" i="73" s="1"/>
  <c r="F83" i="73"/>
  <c r="D84" i="39"/>
  <c r="D86" i="39"/>
  <c r="J98" i="39" s="1"/>
  <c r="H96" i="39"/>
  <c r="E31" i="67"/>
  <c r="E33" i="67"/>
  <c r="E39" i="67" s="1"/>
  <c r="E222" i="67" s="1"/>
  <c r="C37" i="67"/>
  <c r="C220" i="67" s="1"/>
  <c r="D265" i="67" s="1"/>
  <c r="E103" i="49"/>
  <c r="E105" i="49"/>
  <c r="G113" i="49" s="1"/>
  <c r="I115" i="49"/>
  <c r="D162" i="99"/>
  <c r="L176" i="99" s="1"/>
  <c r="D160" i="99"/>
  <c r="F170" i="99"/>
  <c r="G153" i="13"/>
  <c r="G159" i="13"/>
  <c r="B58" i="19"/>
  <c r="B68" i="19" s="1"/>
  <c r="B113" i="19" s="1"/>
  <c r="C146" i="19" s="1"/>
  <c r="H62" i="19"/>
  <c r="H107" i="19" s="1"/>
  <c r="D54" i="67"/>
  <c r="F62" i="67" s="1"/>
  <c r="D52" i="67"/>
  <c r="B58" i="67"/>
  <c r="E137" i="57"/>
  <c r="M151" i="57" s="1"/>
  <c r="E135" i="57"/>
  <c r="B136" i="57"/>
  <c r="G145" i="57"/>
  <c r="D197" i="79"/>
  <c r="F205" i="79" s="1"/>
  <c r="D195" i="79"/>
  <c r="L211" i="79"/>
  <c r="E190" i="81"/>
  <c r="Q208" i="81" s="1"/>
  <c r="Q377" i="81" s="1"/>
  <c r="B189" i="81"/>
  <c r="E188" i="81"/>
  <c r="O206" i="81"/>
  <c r="O375" i="81" s="1"/>
  <c r="E64" i="51"/>
  <c r="E66" i="51"/>
  <c r="I76" i="51" s="1"/>
  <c r="I165" i="51" s="1"/>
  <c r="B65" i="51"/>
  <c r="G74" i="51"/>
  <c r="G226" i="85"/>
  <c r="G232" i="85"/>
  <c r="G264" i="85"/>
  <c r="B103" i="47"/>
  <c r="E104" i="47"/>
  <c r="G112" i="47" s="1"/>
  <c r="E102" i="47"/>
  <c r="K116" i="47"/>
  <c r="E291" i="3"/>
  <c r="E292" i="3"/>
  <c r="D58" i="23"/>
  <c r="H68" i="23" s="1"/>
  <c r="F66" i="23"/>
  <c r="D56" i="23"/>
  <c r="C220" i="63"/>
  <c r="D265" i="63" s="1"/>
  <c r="G204" i="29"/>
  <c r="G230" i="29"/>
  <c r="E115" i="55"/>
  <c r="E117" i="55"/>
  <c r="K129" i="55" s="1"/>
  <c r="K228" i="55" s="1"/>
  <c r="C121" i="55"/>
  <c r="G142" i="17"/>
  <c r="E152" i="17"/>
  <c r="H140" i="15"/>
  <c r="E177" i="15"/>
  <c r="B50" i="13"/>
  <c r="F54" i="13" s="1"/>
  <c r="F63" i="13" s="1"/>
  <c r="G90" i="13" s="1"/>
  <c r="B58" i="13"/>
  <c r="B67" i="13" s="1"/>
  <c r="B137" i="67"/>
  <c r="F147" i="67" s="1"/>
  <c r="F225" i="67" s="1"/>
  <c r="H145" i="67"/>
  <c r="H223" i="67" s="1"/>
  <c r="C124" i="47"/>
  <c r="E134" i="47" s="1"/>
  <c r="E166" i="47" s="1"/>
  <c r="I130" i="47"/>
  <c r="I162" i="47" s="1"/>
  <c r="E222" i="55"/>
  <c r="E35" i="79"/>
  <c r="E37" i="79"/>
  <c r="E43" i="79" s="1"/>
  <c r="C41" i="79"/>
  <c r="C288" i="79" s="1"/>
  <c r="D339" i="79" s="1"/>
  <c r="D225" i="99"/>
  <c r="L239" i="99" s="1"/>
  <c r="D223" i="99"/>
  <c r="D231" i="99"/>
  <c r="E25" i="95"/>
  <c r="E27" i="95"/>
  <c r="E33" i="95" s="1"/>
  <c r="E129" i="95" s="1"/>
  <c r="F162" i="95" s="1"/>
  <c r="C31" i="95"/>
  <c r="B183" i="131"/>
  <c r="L191" i="131" s="1"/>
  <c r="L269" i="131" s="1"/>
  <c r="F197" i="131"/>
  <c r="F275" i="131" s="1"/>
  <c r="E228" i="125"/>
  <c r="C228" i="125"/>
  <c r="B41" i="125"/>
  <c r="C41" i="125"/>
  <c r="B159" i="57"/>
  <c r="B171" i="57" s="1"/>
  <c r="B228" i="57" s="1"/>
  <c r="C273" i="57" s="1"/>
  <c r="J163" i="57"/>
  <c r="J220" i="57" s="1"/>
  <c r="D341" i="83"/>
  <c r="H351" i="83" s="1"/>
  <c r="D339" i="83"/>
  <c r="P359" i="83"/>
  <c r="D125" i="89"/>
  <c r="J137" i="89" s="1"/>
  <c r="D123" i="89"/>
  <c r="D131" i="89"/>
  <c r="E203" i="93"/>
  <c r="E205" i="93"/>
  <c r="E211" i="93" s="1"/>
  <c r="I215" i="93"/>
  <c r="D101" i="97"/>
  <c r="L115" i="97" s="1"/>
  <c r="D99" i="97"/>
  <c r="J113" i="97"/>
  <c r="E91" i="109"/>
  <c r="E93" i="109"/>
  <c r="I103" i="109" s="1"/>
  <c r="G101" i="109"/>
  <c r="G112" i="109" s="1"/>
  <c r="H145" i="109" s="1"/>
  <c r="B43" i="95"/>
  <c r="D51" i="95" s="1"/>
  <c r="D130" i="95" s="1"/>
  <c r="F49" i="95"/>
  <c r="F128" i="95" s="1"/>
  <c r="C32" i="63"/>
  <c r="C38" i="63" s="1"/>
  <c r="C221" i="63" s="1"/>
  <c r="D266" i="63" s="1"/>
  <c r="E36" i="63"/>
  <c r="E219" i="63" s="1"/>
  <c r="C116" i="61"/>
  <c r="K130" i="61" s="1"/>
  <c r="K229" i="61" s="1"/>
  <c r="M128" i="61"/>
  <c r="M227" i="61" s="1"/>
  <c r="E38" i="83"/>
  <c r="E40" i="83"/>
  <c r="E46" i="83" s="1"/>
  <c r="B39" i="83"/>
  <c r="C44" i="83"/>
  <c r="C363" i="83" s="1"/>
  <c r="D420" i="83" s="1"/>
  <c r="E135" i="61"/>
  <c r="E137" i="61"/>
  <c r="G145" i="61" s="1"/>
  <c r="G223" i="61" s="1"/>
  <c r="H268" i="61" s="1"/>
  <c r="B136" i="61"/>
  <c r="M151" i="61"/>
  <c r="M229" i="61" s="1"/>
  <c r="E162" i="115"/>
  <c r="E164" i="115"/>
  <c r="K176" i="115" s="1"/>
  <c r="C168" i="115"/>
  <c r="E58" i="97"/>
  <c r="E60" i="97"/>
  <c r="G68" i="97" s="1"/>
  <c r="E66" i="97"/>
  <c r="G370" i="133"/>
  <c r="G402" i="133"/>
  <c r="E42" i="113"/>
  <c r="E44" i="113"/>
  <c r="G52" i="113" s="1"/>
  <c r="E50" i="113"/>
  <c r="B73" i="111"/>
  <c r="E72" i="111"/>
  <c r="E74" i="111"/>
  <c r="K86" i="111" s="1"/>
  <c r="I84" i="111"/>
  <c r="E57" i="105"/>
  <c r="E59" i="105"/>
  <c r="I69" i="105" s="1"/>
  <c r="I114" i="105" s="1"/>
  <c r="G67" i="105"/>
  <c r="C202" i="133"/>
  <c r="M212" i="133" s="1"/>
  <c r="M248" i="133" s="1"/>
  <c r="I216" i="133"/>
  <c r="I252" i="133" s="1"/>
  <c r="J297" i="133" s="1"/>
  <c r="E178" i="57"/>
  <c r="E180" i="57"/>
  <c r="M194" i="57" s="1"/>
  <c r="I190" i="57"/>
  <c r="E115" i="57"/>
  <c r="E117" i="57"/>
  <c r="K129" i="57" s="1"/>
  <c r="E123" i="57"/>
  <c r="E75" i="109"/>
  <c r="I85" i="109" s="1"/>
  <c r="B74" i="109"/>
  <c r="E73" i="109"/>
  <c r="E81" i="109"/>
  <c r="E24" i="137"/>
  <c r="B25" i="137"/>
  <c r="E26" i="137"/>
  <c r="E32" i="137" s="1"/>
  <c r="C30" i="137"/>
  <c r="E59" i="95"/>
  <c r="E61" i="95"/>
  <c r="C65" i="95" s="1"/>
  <c r="G69" i="95"/>
  <c r="G131" i="95" s="1"/>
  <c r="B49" i="9"/>
  <c r="E48" i="9"/>
  <c r="E50" i="9"/>
  <c r="C54" i="9" s="1"/>
  <c r="C63" i="9" s="1"/>
  <c r="G58" i="9"/>
  <c r="G67" i="9" s="1"/>
  <c r="H94" i="9" s="1"/>
  <c r="F311" i="129"/>
  <c r="C122" i="129"/>
  <c r="D311" i="129"/>
  <c r="E239" i="83"/>
  <c r="E241" i="83"/>
  <c r="E247" i="83" s="1"/>
  <c r="M255" i="83"/>
  <c r="C107" i="127"/>
  <c r="K115" i="127" s="1"/>
  <c r="K185" i="127" s="1"/>
  <c r="G119" i="127"/>
  <c r="G189" i="127" s="1"/>
  <c r="H228" i="127" s="1"/>
  <c r="E81" i="79"/>
  <c r="E83" i="79"/>
  <c r="I93" i="79" s="1"/>
  <c r="I294" i="79" s="1"/>
  <c r="J345" i="79" s="1"/>
  <c r="G91" i="79"/>
  <c r="E129" i="79"/>
  <c r="E135" i="79" s="1"/>
  <c r="E127" i="79"/>
  <c r="K141" i="79"/>
  <c r="G532" i="81"/>
  <c r="G564" i="81"/>
  <c r="D51" i="7"/>
  <c r="B55" i="7" s="1"/>
  <c r="D49" i="7"/>
  <c r="F59" i="7"/>
  <c r="C145" i="115"/>
  <c r="K153" i="115" s="1"/>
  <c r="K185" i="115" s="1"/>
  <c r="G157" i="115"/>
  <c r="G189" i="115" s="1"/>
  <c r="H228" i="115" s="1"/>
  <c r="D74" i="25"/>
  <c r="D76" i="25"/>
  <c r="B80" i="25" s="1"/>
  <c r="H86" i="25"/>
  <c r="E138" i="139"/>
  <c r="E140" i="139"/>
  <c r="G148" i="139" s="1"/>
  <c r="E146" i="139"/>
  <c r="D36" i="141"/>
  <c r="D42" i="141" s="1"/>
  <c r="D34" i="141"/>
  <c r="B40" i="141"/>
  <c r="D94" i="73"/>
  <c r="J108" i="73"/>
  <c r="D96" i="73"/>
  <c r="L110" i="73" s="1"/>
  <c r="B69" i="91"/>
  <c r="E68" i="91"/>
  <c r="E70" i="91"/>
  <c r="K82" i="91" s="1"/>
  <c r="I80" i="91"/>
  <c r="I207" i="91" s="1"/>
  <c r="G309" i="115"/>
  <c r="G293" i="115"/>
  <c r="G349" i="115"/>
  <c r="B140" i="93"/>
  <c r="E139" i="93"/>
  <c r="E141" i="93"/>
  <c r="K153" i="93" s="1"/>
  <c r="E147" i="93"/>
  <c r="D34" i="133"/>
  <c r="D40" i="133" s="1"/>
  <c r="D32" i="133"/>
  <c r="B38" i="133"/>
  <c r="B242" i="133" s="1"/>
  <c r="C287" i="133" s="1"/>
  <c r="E58" i="93"/>
  <c r="G66" i="93" s="1"/>
  <c r="E56" i="93"/>
  <c r="E64" i="93"/>
  <c r="C60" i="125"/>
  <c r="G70" i="125" s="1"/>
  <c r="G132" i="125" s="1"/>
  <c r="I68" i="125"/>
  <c r="I130" i="125" s="1"/>
  <c r="D23" i="29"/>
  <c r="D25" i="29"/>
  <c r="D31" i="29" s="1"/>
  <c r="B29" i="29"/>
  <c r="D111" i="113"/>
  <c r="H121" i="113" s="1"/>
  <c r="D109" i="113"/>
  <c r="D117" i="113"/>
  <c r="C32" i="91"/>
  <c r="C38" i="91" s="1"/>
  <c r="C203" i="91" s="1"/>
  <c r="D242" i="91" s="1"/>
  <c r="E36" i="91"/>
  <c r="E201" i="91" s="1"/>
  <c r="G391" i="143"/>
  <c r="G429" i="143"/>
  <c r="G461" i="143"/>
  <c r="G455" i="143"/>
  <c r="G397" i="143"/>
  <c r="C203" i="133"/>
  <c r="M213" i="133" s="1"/>
  <c r="M249" i="133" s="1"/>
  <c r="I217" i="133"/>
  <c r="I253" i="133" s="1"/>
  <c r="J298" i="133" s="1"/>
  <c r="C79" i="119"/>
  <c r="I91" i="119" s="1"/>
  <c r="I274" i="119" s="1"/>
  <c r="K89" i="119"/>
  <c r="K272" i="119" s="1"/>
  <c r="C202" i="131"/>
  <c r="E86" i="115"/>
  <c r="E88" i="115"/>
  <c r="E94" i="115" s="1"/>
  <c r="I98" i="115"/>
  <c r="D114" i="63"/>
  <c r="D116" i="63"/>
  <c r="F124" i="63" s="1"/>
  <c r="J128" i="63"/>
  <c r="D32" i="67"/>
  <c r="D38" i="67" s="1"/>
  <c r="D221" i="67" s="1"/>
  <c r="E266" i="67" s="1"/>
  <c r="D30" i="67"/>
  <c r="B36" i="67"/>
  <c r="B219" i="67" s="1"/>
  <c r="C264" i="67" s="1"/>
  <c r="D364" i="99"/>
  <c r="G221" i="125"/>
  <c r="G253" i="125"/>
  <c r="G247" i="125"/>
  <c r="E65" i="51"/>
  <c r="E67" i="51"/>
  <c r="I77" i="51" s="1"/>
  <c r="G75" i="51"/>
  <c r="E22" i="33"/>
  <c r="E24" i="33"/>
  <c r="E30" i="33" s="1"/>
  <c r="E109" i="33" s="1"/>
  <c r="B23" i="33"/>
  <c r="C28" i="33"/>
  <c r="C107" i="33" s="1"/>
  <c r="D140" i="33" s="1"/>
  <c r="D76" i="139"/>
  <c r="H86" i="139" s="1"/>
  <c r="D74" i="139"/>
  <c r="D82" i="139"/>
  <c r="C216" i="107"/>
  <c r="E140" i="117"/>
  <c r="E142" i="117"/>
  <c r="K154" i="117" s="1"/>
  <c r="E148" i="117"/>
  <c r="E235" i="127"/>
  <c r="D140" i="129"/>
  <c r="D142" i="129"/>
  <c r="F150" i="129" s="1"/>
  <c r="J154" i="129"/>
  <c r="E291" i="81"/>
  <c r="G299" i="81" s="1"/>
  <c r="E289" i="81"/>
  <c r="O307" i="81"/>
  <c r="E78" i="143"/>
  <c r="K90" i="143" s="1"/>
  <c r="E76" i="143"/>
  <c r="B77" i="143"/>
  <c r="I88" i="143"/>
  <c r="I271" i="143" s="1"/>
  <c r="E225" i="97"/>
  <c r="E227" i="97"/>
  <c r="M241" i="97" s="1"/>
  <c r="B226" i="97"/>
  <c r="E233" i="97"/>
  <c r="E85" i="107"/>
  <c r="E91" i="107" s="1"/>
  <c r="B84" i="107"/>
  <c r="E83" i="107"/>
  <c r="I95" i="107"/>
  <c r="C101" i="121"/>
  <c r="K115" i="121" s="1"/>
  <c r="K298" i="121" s="1"/>
  <c r="M113" i="121"/>
  <c r="M296" i="121" s="1"/>
  <c r="D205" i="143"/>
  <c r="D211" i="143" s="1"/>
  <c r="D203" i="143"/>
  <c r="H215" i="143"/>
  <c r="D163" i="135"/>
  <c r="D165" i="135"/>
  <c r="L179" i="135" s="1"/>
  <c r="F173" i="135"/>
  <c r="D224" i="143"/>
  <c r="D226" i="143"/>
  <c r="L240" i="143" s="1"/>
  <c r="D232" i="143"/>
  <c r="E266" i="81"/>
  <c r="O282" i="81" s="1"/>
  <c r="E264" i="81"/>
  <c r="E272" i="81"/>
  <c r="F532" i="81"/>
  <c r="D532" i="81"/>
  <c r="C39" i="81"/>
  <c r="E76" i="85"/>
  <c r="E78" i="85"/>
  <c r="C82" i="85" s="1"/>
  <c r="I88" i="85"/>
  <c r="I133" i="85" s="1"/>
  <c r="E23" i="23"/>
  <c r="E25" i="23"/>
  <c r="E31" i="23" s="1"/>
  <c r="E110" i="23" s="1"/>
  <c r="C29" i="23"/>
  <c r="C108" i="23" s="1"/>
  <c r="D141" i="23" s="1"/>
  <c r="G376" i="59"/>
  <c r="G352" i="59"/>
  <c r="D64" i="47"/>
  <c r="D66" i="47"/>
  <c r="H76" i="47" s="1"/>
  <c r="B70" i="47"/>
  <c r="E96" i="63"/>
  <c r="G104" i="63" s="1"/>
  <c r="E94" i="63"/>
  <c r="I106" i="63"/>
  <c r="B66" i="43"/>
  <c r="F76" i="43" s="1"/>
  <c r="F165" i="43" s="1"/>
  <c r="H74" i="43"/>
  <c r="H163" i="43" s="1"/>
  <c r="C180" i="71"/>
  <c r="G194" i="71" s="1"/>
  <c r="G230" i="71" s="1"/>
  <c r="M188" i="71"/>
  <c r="M224" i="71" s="1"/>
  <c r="D116" i="73"/>
  <c r="J128" i="73" s="1"/>
  <c r="J227" i="73" s="1"/>
  <c r="D114" i="73"/>
  <c r="B120" i="73"/>
  <c r="G398" i="99"/>
  <c r="G430" i="99"/>
  <c r="G454" i="99"/>
  <c r="E52" i="69"/>
  <c r="E54" i="69"/>
  <c r="G62" i="69" s="1"/>
  <c r="C58" i="69"/>
  <c r="E381" i="111"/>
  <c r="C114" i="111"/>
  <c r="B114" i="111"/>
  <c r="C381" i="111"/>
  <c r="D121" i="49"/>
  <c r="D123" i="49"/>
  <c r="D129" i="49" s="1"/>
  <c r="J135" i="49"/>
  <c r="D102" i="37"/>
  <c r="J116" i="37"/>
  <c r="D104" i="37"/>
  <c r="F112" i="37" s="1"/>
  <c r="D31" i="61"/>
  <c r="D33" i="61"/>
  <c r="D39" i="61" s="1"/>
  <c r="B37" i="61"/>
  <c r="D29" i="37"/>
  <c r="D35" i="37" s="1"/>
  <c r="D27" i="37"/>
  <c r="B33" i="37"/>
  <c r="C204" i="93"/>
  <c r="I210" i="93" s="1"/>
  <c r="I267" i="93" s="1"/>
  <c r="E214" i="93"/>
  <c r="E271" i="93" s="1"/>
  <c r="E143" i="35"/>
  <c r="G151" i="35" s="1"/>
  <c r="E141" i="35"/>
  <c r="K155" i="35"/>
  <c r="C200" i="67"/>
  <c r="I212" i="67" s="1"/>
  <c r="I227" i="67" s="1"/>
  <c r="K210" i="67"/>
  <c r="K225" i="67" s="1"/>
  <c r="E48" i="39"/>
  <c r="G56" i="39" s="1"/>
  <c r="G164" i="39" s="1"/>
  <c r="H203" i="39" s="1"/>
  <c r="E46" i="39"/>
  <c r="E54" i="39"/>
  <c r="C51" i="13"/>
  <c r="G55" i="13" s="1"/>
  <c r="G64" i="13" s="1"/>
  <c r="H91" i="13" s="1"/>
  <c r="C59" i="13"/>
  <c r="C68" i="13" s="1"/>
  <c r="D105" i="35"/>
  <c r="J117" i="35" s="1"/>
  <c r="D103" i="35"/>
  <c r="H115" i="35"/>
  <c r="D57" i="33"/>
  <c r="D59" i="33"/>
  <c r="H69" i="33" s="1"/>
  <c r="F67" i="33"/>
  <c r="E74" i="31"/>
  <c r="E76" i="31"/>
  <c r="G84" i="31" s="1"/>
  <c r="I86" i="31"/>
  <c r="B41" i="27"/>
  <c r="D49" i="27" s="1"/>
  <c r="D111" i="27" s="1"/>
  <c r="F47" i="27"/>
  <c r="F109" i="27" s="1"/>
  <c r="B248" i="97"/>
  <c r="J256" i="97" s="1"/>
  <c r="J292" i="97" s="1"/>
  <c r="F260" i="97"/>
  <c r="F296" i="97" s="1"/>
  <c r="E222" i="65"/>
  <c r="C106" i="77"/>
  <c r="C118" i="77" s="1"/>
  <c r="C296" i="77" s="1"/>
  <c r="D347" i="77" s="1"/>
  <c r="K110" i="77"/>
  <c r="K288" i="77" s="1"/>
  <c r="B224" i="117"/>
  <c r="E223" i="117"/>
  <c r="E225" i="117"/>
  <c r="M239" i="117" s="1"/>
  <c r="E231" i="117"/>
  <c r="G453" i="97"/>
  <c r="G477" i="97"/>
  <c r="G421" i="97"/>
  <c r="G509" i="97"/>
  <c r="C184" i="91"/>
  <c r="K192" i="91" s="1"/>
  <c r="K205" i="91" s="1"/>
  <c r="G196" i="91"/>
  <c r="G209" i="91" s="1"/>
  <c r="H248" i="91" s="1"/>
  <c r="D140" i="39"/>
  <c r="D142" i="39"/>
  <c r="F150" i="39" s="1"/>
  <c r="J154" i="39"/>
  <c r="J167" i="39" s="1"/>
  <c r="C85" i="39"/>
  <c r="I97" i="39" s="1"/>
  <c r="I167" i="39" s="1"/>
  <c r="K95" i="39"/>
  <c r="K165" i="39" s="1"/>
  <c r="E74" i="33"/>
  <c r="E76" i="33"/>
  <c r="C80" i="33" s="1"/>
  <c r="I86" i="33"/>
  <c r="B92" i="19"/>
  <c r="D102" i="19" s="1"/>
  <c r="D113" i="19" s="1"/>
  <c r="H98" i="19"/>
  <c r="H109" i="19" s="1"/>
  <c r="D51" i="69"/>
  <c r="D53" i="69"/>
  <c r="F61" i="69" s="1"/>
  <c r="B57" i="69"/>
  <c r="B219" i="69" s="1"/>
  <c r="C264" i="69" s="1"/>
  <c r="E152" i="79"/>
  <c r="M166" i="79" s="1"/>
  <c r="M298" i="79" s="1"/>
  <c r="E150" i="79"/>
  <c r="K164" i="79"/>
  <c r="E160" i="99"/>
  <c r="E162" i="99"/>
  <c r="M176" i="99" s="1"/>
  <c r="B161" i="99"/>
  <c r="G170" i="99"/>
  <c r="E65" i="9"/>
  <c r="F92" i="9" s="1"/>
  <c r="C53" i="67"/>
  <c r="C61" i="67" s="1"/>
  <c r="C223" i="67" s="1"/>
  <c r="D268" i="67" s="1"/>
  <c r="G57" i="67"/>
  <c r="G219" i="67" s="1"/>
  <c r="F271" i="107"/>
  <c r="D271" i="107"/>
  <c r="C27" i="107"/>
  <c r="B47" i="47"/>
  <c r="D55" i="47" s="1"/>
  <c r="D163" i="47" s="1"/>
  <c r="F53" i="47"/>
  <c r="F161" i="47" s="1"/>
  <c r="D291" i="3"/>
  <c r="D292" i="3"/>
  <c r="G325" i="39"/>
  <c r="G285" i="39"/>
  <c r="D218" i="79"/>
  <c r="D220" i="79"/>
  <c r="N236" i="79" s="1"/>
  <c r="N299" i="79" s="1"/>
  <c r="L234" i="79"/>
  <c r="E197" i="79"/>
  <c r="G205" i="79" s="1"/>
  <c r="B196" i="79"/>
  <c r="E195" i="79"/>
  <c r="M211" i="79"/>
  <c r="D190" i="81"/>
  <c r="P208" i="81" s="1"/>
  <c r="P377" i="81" s="1"/>
  <c r="N206" i="81"/>
  <c r="D188" i="81"/>
  <c r="E161" i="99"/>
  <c r="E163" i="99"/>
  <c r="M177" i="99" s="1"/>
  <c r="G171" i="99"/>
  <c r="C314" i="41"/>
  <c r="B121" i="41"/>
  <c r="C121" i="41"/>
  <c r="E314" i="41"/>
  <c r="D22" i="17"/>
  <c r="D24" i="17"/>
  <c r="D30" i="17" s="1"/>
  <c r="B28" i="17"/>
  <c r="B107" i="17" s="1"/>
  <c r="C140" i="17" s="1"/>
  <c r="E172" i="79"/>
  <c r="B173" i="79"/>
  <c r="E174" i="79"/>
  <c r="M188" i="79" s="1"/>
  <c r="E180" i="79"/>
  <c r="E219" i="75"/>
  <c r="E221" i="75"/>
  <c r="O237" i="75" s="1"/>
  <c r="M235" i="75"/>
  <c r="D200" i="55"/>
  <c r="H210" i="55" s="1"/>
  <c r="H225" i="55" s="1"/>
  <c r="D198" i="55"/>
  <c r="L214" i="55"/>
  <c r="E93" i="25"/>
  <c r="G101" i="25" s="1"/>
  <c r="E91" i="25"/>
  <c r="C97" i="25"/>
  <c r="G274" i="49"/>
  <c r="G290" i="49"/>
  <c r="C58" i="87"/>
  <c r="E239" i="87"/>
  <c r="B58" i="87"/>
  <c r="C239" i="87"/>
  <c r="C33" i="55"/>
  <c r="C39" i="55" s="1"/>
  <c r="C222" i="55" s="1"/>
  <c r="D267" i="55" s="1"/>
  <c r="E37" i="55"/>
  <c r="E220" i="55" s="1"/>
  <c r="E123" i="121"/>
  <c r="I133" i="121" s="1"/>
  <c r="E121" i="121"/>
  <c r="C127" i="121"/>
  <c r="E23" i="27"/>
  <c r="E25" i="27"/>
  <c r="E31" i="27" s="1"/>
  <c r="E110" i="27" s="1"/>
  <c r="F143" i="27" s="1"/>
  <c r="C29" i="27"/>
  <c r="E65" i="43"/>
  <c r="E67" i="43"/>
  <c r="I77" i="43" s="1"/>
  <c r="G75" i="43"/>
  <c r="B162" i="97"/>
  <c r="C162" i="97"/>
  <c r="E469" i="97"/>
  <c r="C469" i="97"/>
  <c r="E99" i="97"/>
  <c r="E101" i="97"/>
  <c r="M115" i="97" s="1"/>
  <c r="B100" i="97"/>
  <c r="K113" i="97"/>
  <c r="E37" i="77"/>
  <c r="E43" i="77" s="1"/>
  <c r="E35" i="77"/>
  <c r="C41" i="77"/>
  <c r="C288" i="77" s="1"/>
  <c r="D339" i="77" s="1"/>
  <c r="D41" i="25"/>
  <c r="F49" i="25" s="1"/>
  <c r="D47" i="25"/>
  <c r="D109" i="25" s="1"/>
  <c r="E142" i="25" s="1"/>
  <c r="D39" i="25"/>
  <c r="F130" i="95"/>
  <c r="B74" i="71"/>
  <c r="F84" i="71" s="1"/>
  <c r="F225" i="71" s="1"/>
  <c r="H82" i="71"/>
  <c r="H223" i="71" s="1"/>
  <c r="F111" i="109"/>
  <c r="G144" i="109" s="1"/>
  <c r="C220" i="61"/>
  <c r="D265" i="61" s="1"/>
  <c r="C159" i="53"/>
  <c r="D198" i="53" s="1"/>
  <c r="E224" i="99"/>
  <c r="E226" i="99"/>
  <c r="M240" i="99" s="1"/>
  <c r="E232" i="99"/>
  <c r="D57" i="97"/>
  <c r="D59" i="97"/>
  <c r="F67" i="97" s="1"/>
  <c r="D65" i="97"/>
  <c r="E96" i="139"/>
  <c r="E98" i="139"/>
  <c r="I108" i="139" s="1"/>
  <c r="I249" i="139" s="1"/>
  <c r="G106" i="139"/>
  <c r="G247" i="139" s="1"/>
  <c r="G412" i="133"/>
  <c r="G372" i="133"/>
  <c r="G378" i="133"/>
  <c r="G418" i="133"/>
  <c r="C158" i="63"/>
  <c r="E166" i="63" s="1"/>
  <c r="E223" i="63" s="1"/>
  <c r="G164" i="63"/>
  <c r="G221" i="63" s="1"/>
  <c r="E124" i="127"/>
  <c r="E126" i="127"/>
  <c r="E132" i="127" s="1"/>
  <c r="I136" i="127"/>
  <c r="D203" i="133"/>
  <c r="H213" i="133" s="1"/>
  <c r="D201" i="133"/>
  <c r="L217" i="133"/>
  <c r="B126" i="125"/>
  <c r="C159" i="125" s="1"/>
  <c r="E97" i="139"/>
  <c r="I107" i="139" s="1"/>
  <c r="E95" i="139"/>
  <c r="B96" i="139"/>
  <c r="G105" i="139"/>
  <c r="E86" i="37"/>
  <c r="K98" i="37" s="1"/>
  <c r="K168" i="37" s="1"/>
  <c r="E84" i="37"/>
  <c r="I96" i="37"/>
  <c r="D163" i="83"/>
  <c r="D165" i="83"/>
  <c r="N181" i="83" s="1"/>
  <c r="L179" i="83"/>
  <c r="L373" i="83" s="1"/>
  <c r="E122" i="123"/>
  <c r="I132" i="123" s="1"/>
  <c r="B121" i="123"/>
  <c r="E120" i="123"/>
  <c r="C126" i="123"/>
  <c r="D95" i="133"/>
  <c r="D97" i="133"/>
  <c r="L111" i="133" s="1"/>
  <c r="J109" i="133"/>
  <c r="E49" i="9"/>
  <c r="E51" i="9"/>
  <c r="C55" i="9" s="1"/>
  <c r="G59" i="9"/>
  <c r="G68" i="9" s="1"/>
  <c r="H95" i="9" s="1"/>
  <c r="B28" i="115"/>
  <c r="D204" i="99"/>
  <c r="D210" i="99" s="1"/>
  <c r="D202" i="99"/>
  <c r="H214" i="99"/>
  <c r="D177" i="61"/>
  <c r="D179" i="61"/>
  <c r="J191" i="61" s="1"/>
  <c r="D185" i="61"/>
  <c r="E205" i="123"/>
  <c r="E207" i="123"/>
  <c r="E213" i="123" s="1"/>
  <c r="I217" i="123"/>
  <c r="H242" i="107"/>
  <c r="E126" i="115"/>
  <c r="K138" i="115" s="1"/>
  <c r="E124" i="115"/>
  <c r="E132" i="115"/>
  <c r="E145" i="127"/>
  <c r="K157" i="127" s="1"/>
  <c r="E143" i="127"/>
  <c r="E151" i="127"/>
  <c r="D82" i="79"/>
  <c r="H92" i="79" s="1"/>
  <c r="H293" i="79" s="1"/>
  <c r="D80" i="79"/>
  <c r="F90" i="79"/>
  <c r="E162" i="127"/>
  <c r="E164" i="127"/>
  <c r="K176" i="127" s="1"/>
  <c r="C168" i="127"/>
  <c r="C50" i="7"/>
  <c r="G54" i="7" s="1"/>
  <c r="G63" i="7" s="1"/>
  <c r="C58" i="7"/>
  <c r="C67" i="7" s="1"/>
  <c r="D94" i="7" s="1"/>
  <c r="K227" i="73"/>
  <c r="E78" i="113"/>
  <c r="C82" i="113" s="1"/>
  <c r="C127" i="113" s="1"/>
  <c r="D160" i="113" s="1"/>
  <c r="E76" i="113"/>
  <c r="I88" i="113"/>
  <c r="B206" i="97"/>
  <c r="H212" i="97" s="1"/>
  <c r="H290" i="97" s="1"/>
  <c r="D216" i="97"/>
  <c r="D294" i="97" s="1"/>
  <c r="D223" i="139"/>
  <c r="L237" i="139" s="1"/>
  <c r="D221" i="139"/>
  <c r="F231" i="139"/>
  <c r="C138" i="111"/>
  <c r="E150" i="111" s="1"/>
  <c r="E228" i="111" s="1"/>
  <c r="F273" i="111" s="1"/>
  <c r="K144" i="111"/>
  <c r="K222" i="111" s="1"/>
  <c r="G388" i="139"/>
  <c r="G412" i="139"/>
  <c r="G374" i="139"/>
  <c r="G462" i="79"/>
  <c r="G438" i="79"/>
  <c r="B56" i="93"/>
  <c r="E55" i="93"/>
  <c r="E57" i="93"/>
  <c r="G65" i="93" s="1"/>
  <c r="G269" i="93" s="1"/>
  <c r="H314" i="93" s="1"/>
  <c r="E63" i="93"/>
  <c r="E267" i="93" s="1"/>
  <c r="D61" i="125"/>
  <c r="H71" i="125" s="1"/>
  <c r="D59" i="125"/>
  <c r="F69" i="125"/>
  <c r="D74" i="59"/>
  <c r="H84" i="59" s="1"/>
  <c r="D72" i="59"/>
  <c r="F82" i="59"/>
  <c r="C184" i="117"/>
  <c r="C196" i="117" s="1"/>
  <c r="C274" i="117" s="1"/>
  <c r="D319" i="117" s="1"/>
  <c r="K188" i="117"/>
  <c r="K266" i="117" s="1"/>
  <c r="E203" i="91"/>
  <c r="D78" i="135"/>
  <c r="D80" i="135"/>
  <c r="J92" i="135" s="1"/>
  <c r="H90" i="135"/>
  <c r="H294" i="135" s="1"/>
  <c r="E137" i="111"/>
  <c r="K149" i="111" s="1"/>
  <c r="B136" i="111"/>
  <c r="E135" i="111"/>
  <c r="E143" i="111"/>
  <c r="E140" i="133"/>
  <c r="E146" i="133" s="1"/>
  <c r="E138" i="133"/>
  <c r="K152" i="133"/>
  <c r="G260" i="125"/>
  <c r="G228" i="125"/>
  <c r="G222" i="125"/>
  <c r="E249" i="123"/>
  <c r="G257" i="123" s="1"/>
  <c r="E247" i="123"/>
  <c r="K261" i="123"/>
  <c r="E122" i="135"/>
  <c r="I132" i="135" s="1"/>
  <c r="B121" i="135"/>
  <c r="E120" i="135"/>
  <c r="C126" i="135"/>
  <c r="E224" i="141"/>
  <c r="E226" i="141"/>
  <c r="K238" i="141" s="1"/>
  <c r="I236" i="141"/>
  <c r="E33" i="73"/>
  <c r="E39" i="73" s="1"/>
  <c r="E222" i="73" s="1"/>
  <c r="E31" i="73"/>
  <c r="C37" i="73"/>
  <c r="C220" i="73" s="1"/>
  <c r="D265" i="73" s="1"/>
  <c r="E140" i="129"/>
  <c r="E142" i="129"/>
  <c r="G150" i="129" s="1"/>
  <c r="G163" i="129" s="1"/>
  <c r="H202" i="129" s="1"/>
  <c r="B141" i="129"/>
  <c r="K154" i="129"/>
  <c r="E86" i="35"/>
  <c r="E92" i="35" s="1"/>
  <c r="E84" i="35"/>
  <c r="I96" i="35"/>
  <c r="D78" i="143"/>
  <c r="J90" i="143" s="1"/>
  <c r="D76" i="143"/>
  <c r="H88" i="143"/>
  <c r="I271" i="119"/>
  <c r="E84" i="107"/>
  <c r="E86" i="107"/>
  <c r="E92" i="107" s="1"/>
  <c r="I96" i="107"/>
  <c r="D227" i="97"/>
  <c r="L241" i="97" s="1"/>
  <c r="D225" i="97"/>
  <c r="D233" i="97"/>
  <c r="D96" i="111"/>
  <c r="L110" i="111" s="1"/>
  <c r="D94" i="111"/>
  <c r="J108" i="111"/>
  <c r="D100" i="121"/>
  <c r="D102" i="121"/>
  <c r="L116" i="121" s="1"/>
  <c r="J114" i="121"/>
  <c r="C141" i="131"/>
  <c r="K147" i="131" s="1"/>
  <c r="K267" i="131" s="1"/>
  <c r="E153" i="131"/>
  <c r="E273" i="131" s="1"/>
  <c r="C28" i="49"/>
  <c r="C34" i="49" s="1"/>
  <c r="C161" i="49" s="1"/>
  <c r="D200" i="49" s="1"/>
  <c r="E32" i="49"/>
  <c r="E159" i="49" s="1"/>
  <c r="C225" i="143"/>
  <c r="E239" i="143" s="1"/>
  <c r="E275" i="143" s="1"/>
  <c r="F320" i="143" s="1"/>
  <c r="M231" i="143"/>
  <c r="M267" i="143" s="1"/>
  <c r="C41" i="105"/>
  <c r="E49" i="105" s="1"/>
  <c r="E111" i="105" s="1"/>
  <c r="F144" i="105" s="1"/>
  <c r="G47" i="105"/>
  <c r="G109" i="105" s="1"/>
  <c r="C93" i="21"/>
  <c r="C101" i="21" s="1"/>
  <c r="C112" i="21" s="1"/>
  <c r="D145" i="21" s="1"/>
  <c r="G97" i="21"/>
  <c r="G108" i="21" s="1"/>
  <c r="E173" i="79"/>
  <c r="E175" i="79"/>
  <c r="M189" i="79" s="1"/>
  <c r="E181" i="79"/>
  <c r="D30" i="89"/>
  <c r="D36" i="89" s="1"/>
  <c r="D28" i="89"/>
  <c r="B34" i="89"/>
  <c r="B180" i="89" s="1"/>
  <c r="C219" i="89" s="1"/>
  <c r="D156" i="61"/>
  <c r="D158" i="61"/>
  <c r="H168" i="61" s="1"/>
  <c r="D164" i="61"/>
  <c r="G438" i="77"/>
  <c r="G462" i="77"/>
  <c r="D85" i="49"/>
  <c r="H95" i="49" s="1"/>
  <c r="D83" i="49"/>
  <c r="J97" i="49"/>
  <c r="J167" i="49" s="1"/>
  <c r="B122" i="49"/>
  <c r="E121" i="49"/>
  <c r="E123" i="49"/>
  <c r="E129" i="49" s="1"/>
  <c r="E161" i="49" s="1"/>
  <c r="K135" i="49"/>
  <c r="G143" i="101"/>
  <c r="G149" i="101"/>
  <c r="B103" i="37"/>
  <c r="E102" i="37"/>
  <c r="K116" i="37"/>
  <c r="E104" i="37"/>
  <c r="G112" i="37" s="1"/>
  <c r="C219" i="61"/>
  <c r="D264" i="61" s="1"/>
  <c r="E161" i="37"/>
  <c r="E115" i="69"/>
  <c r="E117" i="69"/>
  <c r="I127" i="69" s="1"/>
  <c r="C121" i="69"/>
  <c r="G384" i="55"/>
  <c r="G352" i="55"/>
  <c r="E142" i="41"/>
  <c r="K154" i="41" s="1"/>
  <c r="B141" i="41"/>
  <c r="E140" i="41"/>
  <c r="E148" i="41"/>
  <c r="D201" i="67"/>
  <c r="J213" i="67" s="1"/>
  <c r="D199" i="67"/>
  <c r="H211" i="67"/>
  <c r="B121" i="97"/>
  <c r="E120" i="97"/>
  <c r="E122" i="97"/>
  <c r="I132" i="97" s="1"/>
  <c r="C126" i="97"/>
  <c r="C61" i="85"/>
  <c r="G71" i="85" s="1"/>
  <c r="G133" i="85" s="1"/>
  <c r="I69" i="85"/>
  <c r="I131" i="85" s="1"/>
  <c r="E179" i="55"/>
  <c r="G187" i="55" s="1"/>
  <c r="E177" i="55"/>
  <c r="B178" i="55"/>
  <c r="M193" i="55"/>
  <c r="D83" i="53"/>
  <c r="D85" i="53"/>
  <c r="D91" i="53" s="1"/>
  <c r="H95" i="53"/>
  <c r="E35" i="93"/>
  <c r="E37" i="93"/>
  <c r="E43" i="93" s="1"/>
  <c r="C41" i="93"/>
  <c r="C96" i="61"/>
  <c r="I108" i="61" s="1"/>
  <c r="I228" i="61" s="1"/>
  <c r="K106" i="61"/>
  <c r="K226" i="61" s="1"/>
  <c r="C201" i="63"/>
  <c r="K215" i="63" s="1"/>
  <c r="K230" i="63" s="1"/>
  <c r="M213" i="63"/>
  <c r="M228" i="63" s="1"/>
  <c r="F365" i="77"/>
  <c r="F111" i="27"/>
  <c r="C33" i="65"/>
  <c r="C39" i="65" s="1"/>
  <c r="C222" i="65" s="1"/>
  <c r="D267" i="65" s="1"/>
  <c r="E37" i="65"/>
  <c r="E220" i="65" s="1"/>
  <c r="B95" i="65"/>
  <c r="H107" i="65" s="1"/>
  <c r="H227" i="65" s="1"/>
  <c r="J105" i="65"/>
  <c r="J225" i="65" s="1"/>
  <c r="E174" i="75"/>
  <c r="M188" i="75" s="1"/>
  <c r="B173" i="75"/>
  <c r="E172" i="75"/>
  <c r="E180" i="75"/>
  <c r="G422" i="97"/>
  <c r="G510" i="97"/>
  <c r="G454" i="97"/>
  <c r="G478" i="97"/>
  <c r="D185" i="91"/>
  <c r="F193" i="91" s="1"/>
  <c r="D183" i="91"/>
  <c r="J197" i="91"/>
  <c r="E86" i="51"/>
  <c r="K98" i="51" s="1"/>
  <c r="K168" i="51" s="1"/>
  <c r="E84" i="51"/>
  <c r="I96" i="51"/>
  <c r="C564" i="81"/>
  <c r="B138" i="81"/>
  <c r="C138" i="81"/>
  <c r="E564" i="81"/>
  <c r="B27" i="47"/>
  <c r="E26" i="47"/>
  <c r="E28" i="47"/>
  <c r="E34" i="47" s="1"/>
  <c r="E161" i="47" s="1"/>
  <c r="C32" i="47"/>
  <c r="C159" i="47" s="1"/>
  <c r="D198" i="47" s="1"/>
  <c r="B115" i="55"/>
  <c r="E116" i="55"/>
  <c r="K128" i="55" s="1"/>
  <c r="K227" i="55" s="1"/>
  <c r="E114" i="55"/>
  <c r="C120" i="55"/>
  <c r="E157" i="67"/>
  <c r="E159" i="67"/>
  <c r="M173" i="67" s="1"/>
  <c r="K171" i="67"/>
  <c r="E51" i="69"/>
  <c r="B52" i="69"/>
  <c r="E53" i="69"/>
  <c r="G61" i="69" s="1"/>
  <c r="G223" i="69" s="1"/>
  <c r="C57" i="69"/>
  <c r="C219" i="69" s="1"/>
  <c r="D264" i="69" s="1"/>
  <c r="F395" i="119"/>
  <c r="D395" i="119"/>
  <c r="C35" i="119"/>
  <c r="E267" i="135"/>
  <c r="E269" i="135"/>
  <c r="M283" i="135" s="1"/>
  <c r="B268" i="135"/>
  <c r="C273" i="135"/>
  <c r="G479" i="131"/>
  <c r="G431" i="131"/>
  <c r="G399" i="131"/>
  <c r="E73" i="67"/>
  <c r="E75" i="67"/>
  <c r="K87" i="67" s="1"/>
  <c r="G83" i="67"/>
  <c r="E124" i="37"/>
  <c r="E130" i="37" s="1"/>
  <c r="E122" i="37"/>
  <c r="I134" i="37"/>
  <c r="B42" i="17"/>
  <c r="D50" i="17" s="1"/>
  <c r="D112" i="17" s="1"/>
  <c r="F48" i="17"/>
  <c r="F110" i="17" s="1"/>
  <c r="C95" i="65"/>
  <c r="I107" i="65" s="1"/>
  <c r="I227" i="65" s="1"/>
  <c r="K105" i="65"/>
  <c r="K225" i="65" s="1"/>
  <c r="E46" i="37"/>
  <c r="E48" i="37"/>
  <c r="G56" i="37" s="1"/>
  <c r="G164" i="37" s="1"/>
  <c r="H203" i="37" s="1"/>
  <c r="E54" i="37"/>
  <c r="E162" i="37" s="1"/>
  <c r="D137" i="57"/>
  <c r="L151" i="57" s="1"/>
  <c r="D135" i="57"/>
  <c r="F145" i="57"/>
  <c r="G275" i="41"/>
  <c r="G291" i="41"/>
  <c r="E76" i="95"/>
  <c r="E78" i="95"/>
  <c r="I88" i="95" s="1"/>
  <c r="I133" i="95" s="1"/>
  <c r="C82" i="95"/>
  <c r="D257" i="3"/>
  <c r="E25" i="15"/>
  <c r="E31" i="15" s="1"/>
  <c r="E110" i="15" s="1"/>
  <c r="F143" i="15" s="1"/>
  <c r="C29" i="15"/>
  <c r="C108" i="15" s="1"/>
  <c r="D141" i="15" s="1"/>
  <c r="E23" i="15"/>
  <c r="D45" i="53"/>
  <c r="D47" i="53"/>
  <c r="F55" i="53" s="1"/>
  <c r="F163" i="53" s="1"/>
  <c r="D53" i="53"/>
  <c r="A258" i="2"/>
  <c r="M270" i="2" s="1"/>
  <c r="B92" i="15"/>
  <c r="H98" i="15" s="1"/>
  <c r="H109" i="15" s="1"/>
  <c r="D102" i="15"/>
  <c r="D113" i="15" s="1"/>
  <c r="D174" i="79"/>
  <c r="L188" i="79" s="1"/>
  <c r="D172" i="79"/>
  <c r="D180" i="79"/>
  <c r="E46" i="51"/>
  <c r="E48" i="51"/>
  <c r="G56" i="51" s="1"/>
  <c r="G164" i="51" s="1"/>
  <c r="E54" i="51"/>
  <c r="C33" i="63"/>
  <c r="C39" i="63" s="1"/>
  <c r="C222" i="63" s="1"/>
  <c r="D267" i="63" s="1"/>
  <c r="E37" i="63"/>
  <c r="E220" i="63" s="1"/>
  <c r="C143" i="45"/>
  <c r="G155" i="45" s="1"/>
  <c r="G168" i="45" s="1"/>
  <c r="K151" i="45"/>
  <c r="K164" i="45" s="1"/>
  <c r="B246" i="143"/>
  <c r="J254" i="143" s="1"/>
  <c r="J269" i="143" s="1"/>
  <c r="F258" i="143"/>
  <c r="F273" i="143" s="1"/>
  <c r="G318" i="143" s="1"/>
  <c r="E74" i="67"/>
  <c r="K86" i="67" s="1"/>
  <c r="G82" i="67"/>
  <c r="G223" i="67" s="1"/>
  <c r="B73" i="67"/>
  <c r="E72" i="67"/>
  <c r="C341" i="83"/>
  <c r="Q351" i="83" s="1"/>
  <c r="Q370" i="83" s="1"/>
  <c r="I359" i="83"/>
  <c r="I378" i="83" s="1"/>
  <c r="E123" i="35"/>
  <c r="K135" i="35" s="1"/>
  <c r="K167" i="35" s="1"/>
  <c r="E121" i="35"/>
  <c r="B122" i="35"/>
  <c r="E129" i="35"/>
  <c r="E103" i="41"/>
  <c r="E105" i="41"/>
  <c r="G113" i="41" s="1"/>
  <c r="K117" i="41"/>
  <c r="D85" i="45"/>
  <c r="F93" i="45" s="1"/>
  <c r="F163" i="45" s="1"/>
  <c r="D83" i="45"/>
  <c r="H95" i="45"/>
  <c r="C340" i="83"/>
  <c r="Q350" i="83" s="1"/>
  <c r="Q369" i="83" s="1"/>
  <c r="I358" i="83"/>
  <c r="I377" i="83" s="1"/>
  <c r="I333" i="99"/>
  <c r="H271" i="119"/>
  <c r="E48" i="129"/>
  <c r="G56" i="129" s="1"/>
  <c r="G164" i="129" s="1"/>
  <c r="H203" i="129" s="1"/>
  <c r="E46" i="129"/>
  <c r="E54" i="129"/>
  <c r="D64" i="35"/>
  <c r="D66" i="35"/>
  <c r="H76" i="35" s="1"/>
  <c r="H165" i="35" s="1"/>
  <c r="B70" i="35"/>
  <c r="B75" i="31"/>
  <c r="H83" i="31" s="1"/>
  <c r="H111" i="31" s="1"/>
  <c r="F85" i="31"/>
  <c r="F113" i="31" s="1"/>
  <c r="D31" i="63"/>
  <c r="D33" i="63"/>
  <c r="D39" i="63" s="1"/>
  <c r="B37" i="63"/>
  <c r="C67" i="41"/>
  <c r="C77" i="41" s="1"/>
  <c r="C166" i="41" s="1"/>
  <c r="D205" i="41" s="1"/>
  <c r="I71" i="41"/>
  <c r="I160" i="41" s="1"/>
  <c r="I334" i="99"/>
  <c r="H225" i="71"/>
  <c r="D116" i="59"/>
  <c r="L130" i="59" s="1"/>
  <c r="L229" i="59" s="1"/>
  <c r="D114" i="59"/>
  <c r="J128" i="59"/>
  <c r="B41" i="109"/>
  <c r="D49" i="109" s="1"/>
  <c r="D111" i="109" s="1"/>
  <c r="E144" i="109" s="1"/>
  <c r="F47" i="109"/>
  <c r="F109" i="109" s="1"/>
  <c r="G142" i="109" s="1"/>
  <c r="C33" i="61"/>
  <c r="C39" i="61" s="1"/>
  <c r="C222" i="61" s="1"/>
  <c r="D267" i="61" s="1"/>
  <c r="E37" i="61"/>
  <c r="E220" i="61" s="1"/>
  <c r="C28" i="53"/>
  <c r="C34" i="53" s="1"/>
  <c r="C161" i="53" s="1"/>
  <c r="D200" i="53" s="1"/>
  <c r="E32" i="53"/>
  <c r="E159" i="53" s="1"/>
  <c r="E57" i="97"/>
  <c r="E59" i="97"/>
  <c r="G67" i="97" s="1"/>
  <c r="B58" i="97"/>
  <c r="E65" i="97"/>
  <c r="D157" i="63"/>
  <c r="D159" i="63"/>
  <c r="F167" i="63" s="1"/>
  <c r="D165" i="63"/>
  <c r="B117" i="139"/>
  <c r="E118" i="139"/>
  <c r="I128" i="139" s="1"/>
  <c r="E116" i="139"/>
  <c r="C122" i="139"/>
  <c r="D123" i="129"/>
  <c r="J135" i="129" s="1"/>
  <c r="D121" i="129"/>
  <c r="D129" i="129"/>
  <c r="C127" i="91"/>
  <c r="C139" i="91" s="1"/>
  <c r="C209" i="91" s="1"/>
  <c r="D248" i="91" s="1"/>
  <c r="K131" i="91"/>
  <c r="K201" i="91" s="1"/>
  <c r="E122" i="43"/>
  <c r="E124" i="43"/>
  <c r="K136" i="43" s="1"/>
  <c r="G132" i="43"/>
  <c r="B269" i="121"/>
  <c r="B283" i="121" s="1"/>
  <c r="B298" i="121" s="1"/>
  <c r="C343" i="121" s="1"/>
  <c r="L273" i="121"/>
  <c r="L288" i="121" s="1"/>
  <c r="B26" i="125"/>
  <c r="B32" i="125" s="1"/>
  <c r="B128" i="125" s="1"/>
  <c r="C161" i="125" s="1"/>
  <c r="D30" i="125"/>
  <c r="D126" i="125" s="1"/>
  <c r="E159" i="125" s="1"/>
  <c r="F452" i="81"/>
  <c r="B164" i="83"/>
  <c r="E163" i="83"/>
  <c r="E165" i="83"/>
  <c r="O181" i="83" s="1"/>
  <c r="M179" i="83"/>
  <c r="D55" i="93"/>
  <c r="D57" i="93"/>
  <c r="F65" i="93" s="1"/>
  <c r="F269" i="93" s="1"/>
  <c r="D63" i="93"/>
  <c r="D120" i="123"/>
  <c r="D122" i="123"/>
  <c r="H132" i="123" s="1"/>
  <c r="H294" i="123" s="1"/>
  <c r="B126" i="123"/>
  <c r="E97" i="133"/>
  <c r="M111" i="133" s="1"/>
  <c r="B96" i="133"/>
  <c r="E95" i="133"/>
  <c r="K109" i="133"/>
  <c r="B140" i="83"/>
  <c r="B154" i="83" s="1"/>
  <c r="B373" i="83" s="1"/>
  <c r="C430" i="83" s="1"/>
  <c r="L144" i="83"/>
  <c r="L363" i="83" s="1"/>
  <c r="B111" i="137"/>
  <c r="D121" i="137" s="1"/>
  <c r="D132" i="137" s="1"/>
  <c r="E165" i="137" s="1"/>
  <c r="H117" i="137"/>
  <c r="H128" i="137" s="1"/>
  <c r="C28" i="115"/>
  <c r="E202" i="99"/>
  <c r="E204" i="99"/>
  <c r="E210" i="99" s="1"/>
  <c r="B203" i="99"/>
  <c r="I214" i="99"/>
  <c r="E177" i="61"/>
  <c r="E179" i="61"/>
  <c r="K191" i="61" s="1"/>
  <c r="K227" i="61" s="1"/>
  <c r="B178" i="61"/>
  <c r="E185" i="61"/>
  <c r="E80" i="79"/>
  <c r="B81" i="79"/>
  <c r="E82" i="79"/>
  <c r="I92" i="79" s="1"/>
  <c r="I293" i="79" s="1"/>
  <c r="J344" i="79" s="1"/>
  <c r="G90" i="79"/>
  <c r="E140" i="143"/>
  <c r="E142" i="143"/>
  <c r="K154" i="143" s="1"/>
  <c r="K274" i="143" s="1"/>
  <c r="E148" i="143"/>
  <c r="B159" i="133"/>
  <c r="E158" i="133"/>
  <c r="E160" i="133"/>
  <c r="M174" i="133" s="1"/>
  <c r="E166" i="133"/>
  <c r="C121" i="119"/>
  <c r="C131" i="119" s="1"/>
  <c r="C272" i="119" s="1"/>
  <c r="D317" i="119" s="1"/>
  <c r="I125" i="119"/>
  <c r="I266" i="119" s="1"/>
  <c r="D93" i="113"/>
  <c r="D95" i="113"/>
  <c r="F103" i="113" s="1"/>
  <c r="B99" i="113"/>
  <c r="E100" i="121"/>
  <c r="E102" i="121"/>
  <c r="M116" i="121" s="1"/>
  <c r="M299" i="121" s="1"/>
  <c r="K114" i="121"/>
  <c r="B35" i="77"/>
  <c r="E34" i="77"/>
  <c r="E36" i="77"/>
  <c r="E42" i="77" s="1"/>
  <c r="C40" i="77"/>
  <c r="C287" i="77" s="1"/>
  <c r="D338" i="77" s="1"/>
  <c r="G220" i="113"/>
  <c r="B221" i="113" s="1"/>
  <c r="G252" i="113"/>
  <c r="G246" i="113"/>
  <c r="E121" i="143"/>
  <c r="I131" i="143" s="1"/>
  <c r="I272" i="143" s="1"/>
  <c r="E119" i="143"/>
  <c r="C125" i="143"/>
  <c r="C266" i="143" s="1"/>
  <c r="D311" i="143" s="1"/>
  <c r="G291" i="75"/>
  <c r="C267" i="79"/>
  <c r="O277" i="79" s="1"/>
  <c r="O294" i="79" s="1"/>
  <c r="I283" i="79"/>
  <c r="I300" i="79" s="1"/>
  <c r="J351" i="79" s="1"/>
  <c r="C95" i="73"/>
  <c r="K109" i="73" s="1"/>
  <c r="K229" i="73" s="1"/>
  <c r="M107" i="73"/>
  <c r="M227" i="73" s="1"/>
  <c r="E117" i="71"/>
  <c r="M131" i="71" s="1"/>
  <c r="M230" i="71" s="1"/>
  <c r="E115" i="71"/>
  <c r="K129" i="71"/>
  <c r="B222" i="139"/>
  <c r="E223" i="139"/>
  <c r="M237" i="139" s="1"/>
  <c r="E221" i="139"/>
  <c r="G231" i="139"/>
  <c r="B164" i="135"/>
  <c r="F178" i="135" s="1"/>
  <c r="F298" i="135" s="1"/>
  <c r="L172" i="135"/>
  <c r="L292" i="135" s="1"/>
  <c r="D27" i="85"/>
  <c r="D33" i="85" s="1"/>
  <c r="D25" i="85"/>
  <c r="B31" i="85"/>
  <c r="E100" i="117"/>
  <c r="M114" i="117" s="1"/>
  <c r="E98" i="117"/>
  <c r="K112" i="117"/>
  <c r="G439" i="79"/>
  <c r="G463" i="79"/>
  <c r="C249" i="121"/>
  <c r="K257" i="121" s="1"/>
  <c r="K293" i="121" s="1"/>
  <c r="G261" i="121"/>
  <c r="G297" i="121" s="1"/>
  <c r="H342" i="121" s="1"/>
  <c r="J227" i="69"/>
  <c r="B38" i="81"/>
  <c r="B73" i="59"/>
  <c r="E72" i="59"/>
  <c r="E74" i="59"/>
  <c r="I84" i="59" s="1"/>
  <c r="I225" i="59" s="1"/>
  <c r="J270" i="59" s="1"/>
  <c r="G82" i="59"/>
  <c r="D177" i="63"/>
  <c r="D179" i="63"/>
  <c r="L193" i="63" s="1"/>
  <c r="L229" i="63" s="1"/>
  <c r="H189" i="63"/>
  <c r="B33" i="139"/>
  <c r="E32" i="139"/>
  <c r="E34" i="139"/>
  <c r="E40" i="139" s="1"/>
  <c r="E244" i="139" s="1"/>
  <c r="F289" i="139" s="1"/>
  <c r="C38" i="139"/>
  <c r="E110" i="113"/>
  <c r="E112" i="113"/>
  <c r="I122" i="113" s="1"/>
  <c r="E118" i="113"/>
  <c r="D241" i="81"/>
  <c r="D247" i="81" s="1"/>
  <c r="D239" i="81"/>
  <c r="L255" i="81"/>
  <c r="D137" i="133"/>
  <c r="D139" i="133"/>
  <c r="D145" i="133" s="1"/>
  <c r="J151" i="133"/>
  <c r="B128" i="75"/>
  <c r="J134" i="75" s="1"/>
  <c r="J289" i="75" s="1"/>
  <c r="D140" i="75"/>
  <c r="D295" i="75" s="1"/>
  <c r="E115" i="63"/>
  <c r="E117" i="63"/>
  <c r="G125" i="63" s="1"/>
  <c r="K129" i="63"/>
  <c r="H248" i="133"/>
  <c r="E239" i="81"/>
  <c r="E241" i="81"/>
  <c r="E247" i="81" s="1"/>
  <c r="M255" i="81"/>
  <c r="D240" i="81"/>
  <c r="D246" i="81" s="1"/>
  <c r="D238" i="81"/>
  <c r="L254" i="81"/>
  <c r="E89" i="91"/>
  <c r="I99" i="91" s="1"/>
  <c r="B88" i="91"/>
  <c r="E87" i="91"/>
  <c r="C93" i="91"/>
  <c r="C201" i="91" s="1"/>
  <c r="D240" i="91" s="1"/>
  <c r="D109" i="105"/>
  <c r="E142" i="105" s="1"/>
  <c r="B48" i="127"/>
  <c r="E49" i="127"/>
  <c r="G57" i="127" s="1"/>
  <c r="G184" i="127" s="1"/>
  <c r="H223" i="127" s="1"/>
  <c r="E47" i="127"/>
  <c r="E55" i="127"/>
  <c r="C95" i="111"/>
  <c r="K109" i="111" s="1"/>
  <c r="K229" i="111" s="1"/>
  <c r="M107" i="111"/>
  <c r="M227" i="111" s="1"/>
  <c r="M298" i="121"/>
  <c r="D27" i="49"/>
  <c r="D29" i="49"/>
  <c r="D35" i="49" s="1"/>
  <c r="B33" i="49"/>
  <c r="D42" i="105"/>
  <c r="F50" i="105" s="1"/>
  <c r="D40" i="105"/>
  <c r="D48" i="105"/>
  <c r="E85" i="49"/>
  <c r="I95" i="49" s="1"/>
  <c r="I165" i="49" s="1"/>
  <c r="B84" i="49"/>
  <c r="E83" i="49"/>
  <c r="K97" i="49"/>
  <c r="C66" i="115"/>
  <c r="B66" i="115"/>
  <c r="E308" i="115"/>
  <c r="C308" i="115"/>
  <c r="E259" i="3"/>
  <c r="D259" i="3"/>
  <c r="C259" i="3"/>
  <c r="A259" i="3"/>
  <c r="L270" i="3" s="1"/>
  <c r="I259" i="3"/>
  <c r="H259" i="3"/>
  <c r="G259" i="3"/>
  <c r="J259" i="3"/>
  <c r="F259" i="3"/>
  <c r="E221" i="61"/>
  <c r="G395" i="71"/>
  <c r="G371" i="71"/>
  <c r="C47" i="43"/>
  <c r="E55" i="43" s="1"/>
  <c r="E163" i="43" s="1"/>
  <c r="G53" i="43"/>
  <c r="G161" i="43" s="1"/>
  <c r="D56" i="33"/>
  <c r="D58" i="33"/>
  <c r="H68" i="33" s="1"/>
  <c r="H113" i="33" s="1"/>
  <c r="F66" i="33"/>
  <c r="F111" i="33" s="1"/>
  <c r="C73" i="29"/>
  <c r="B73" i="29"/>
  <c r="C228" i="29"/>
  <c r="E228" i="29"/>
  <c r="I327" i="99"/>
  <c r="B35" i="13"/>
  <c r="D43" i="13" s="1"/>
  <c r="D67" i="13" s="1"/>
  <c r="F41" i="13"/>
  <c r="F65" i="13" s="1"/>
  <c r="G92" i="13" s="1"/>
  <c r="G438" i="75"/>
  <c r="G462" i="75"/>
  <c r="B106" i="89"/>
  <c r="H118" i="89" s="1"/>
  <c r="H188" i="89" s="1"/>
  <c r="J116" i="89"/>
  <c r="J186" i="89" s="1"/>
  <c r="B216" i="81"/>
  <c r="P228" i="81" s="1"/>
  <c r="P372" i="81" s="1"/>
  <c r="J234" i="81"/>
  <c r="J378" i="81" s="1"/>
  <c r="G353" i="65"/>
  <c r="G369" i="65"/>
  <c r="D48" i="47"/>
  <c r="F56" i="47" s="1"/>
  <c r="D46" i="47"/>
  <c r="D54" i="47"/>
  <c r="D45" i="41"/>
  <c r="D47" i="41"/>
  <c r="F55" i="41" s="1"/>
  <c r="F163" i="41" s="1"/>
  <c r="D53" i="41"/>
  <c r="C138" i="69"/>
  <c r="G150" i="69" s="1"/>
  <c r="G228" i="69" s="1"/>
  <c r="K146" i="69"/>
  <c r="K224" i="69" s="1"/>
  <c r="E37" i="97"/>
  <c r="E39" i="97"/>
  <c r="E45" i="97" s="1"/>
  <c r="E291" i="97" s="1"/>
  <c r="C43" i="97"/>
  <c r="B103" i="39"/>
  <c r="E102" i="39"/>
  <c r="E104" i="39"/>
  <c r="K116" i="39" s="1"/>
  <c r="K167" i="39" s="1"/>
  <c r="E110" i="39"/>
  <c r="J227" i="65"/>
  <c r="G591" i="83"/>
  <c r="G559" i="83"/>
  <c r="D51" i="71"/>
  <c r="D53" i="71"/>
  <c r="F61" i="71" s="1"/>
  <c r="D59" i="71"/>
  <c r="D174" i="75"/>
  <c r="L188" i="75" s="1"/>
  <c r="D172" i="75"/>
  <c r="D180" i="75"/>
  <c r="D36" i="119"/>
  <c r="D42" i="119" s="1"/>
  <c r="D34" i="119"/>
  <c r="B40" i="119"/>
  <c r="B265" i="119" s="1"/>
  <c r="C310" i="119" s="1"/>
  <c r="D59" i="19"/>
  <c r="H69" i="19" s="1"/>
  <c r="D57" i="19"/>
  <c r="B63" i="19"/>
  <c r="E34" i="11"/>
  <c r="E36" i="11"/>
  <c r="G44" i="11" s="1"/>
  <c r="G68" i="11" s="1"/>
  <c r="E42" i="11"/>
  <c r="E66" i="11" s="1"/>
  <c r="F93" i="11" s="1"/>
  <c r="D200" i="73"/>
  <c r="H210" i="73" s="1"/>
  <c r="H225" i="73" s="1"/>
  <c r="D198" i="73"/>
  <c r="L214" i="73"/>
  <c r="L229" i="73" s="1"/>
  <c r="J141" i="17"/>
  <c r="G178" i="17"/>
  <c r="E105" i="39"/>
  <c r="K117" i="39" s="1"/>
  <c r="E103" i="39"/>
  <c r="E111" i="39"/>
  <c r="D267" i="135"/>
  <c r="D269" i="135"/>
  <c r="L283" i="135" s="1"/>
  <c r="B273" i="135"/>
  <c r="D34" i="93"/>
  <c r="D36" i="93"/>
  <c r="D42" i="93" s="1"/>
  <c r="B40" i="93"/>
  <c r="G231" i="25"/>
  <c r="G237" i="25"/>
  <c r="G205" i="25"/>
  <c r="E59" i="29"/>
  <c r="I69" i="29" s="1"/>
  <c r="E57" i="29"/>
  <c r="G67" i="29"/>
  <c r="K227" i="65"/>
  <c r="D90" i="17"/>
  <c r="D92" i="17"/>
  <c r="H102" i="17" s="1"/>
  <c r="D98" i="17"/>
  <c r="C50" i="13"/>
  <c r="G54" i="13" s="1"/>
  <c r="G63" i="13" s="1"/>
  <c r="H90" i="13" s="1"/>
  <c r="C58" i="13"/>
  <c r="C67" i="13" s="1"/>
  <c r="E105" i="51"/>
  <c r="C109" i="51" s="1"/>
  <c r="E103" i="51"/>
  <c r="K117" i="51"/>
  <c r="D53" i="59"/>
  <c r="F61" i="59" s="1"/>
  <c r="D51" i="59"/>
  <c r="D59" i="59"/>
  <c r="E122" i="121"/>
  <c r="I132" i="121" s="1"/>
  <c r="B121" i="121"/>
  <c r="E120" i="121"/>
  <c r="C126" i="121"/>
  <c r="E74" i="17"/>
  <c r="E76" i="17"/>
  <c r="I86" i="17" s="1"/>
  <c r="I114" i="17" s="1"/>
  <c r="G84" i="17"/>
  <c r="G112" i="17" s="1"/>
  <c r="H145" i="17" s="1"/>
  <c r="D158" i="71"/>
  <c r="J170" i="71" s="1"/>
  <c r="J227" i="71" s="1"/>
  <c r="D156" i="71"/>
  <c r="D164" i="71"/>
  <c r="B33" i="65"/>
  <c r="B39" i="65" s="1"/>
  <c r="B222" i="65" s="1"/>
  <c r="C267" i="65" s="1"/>
  <c r="D37" i="65"/>
  <c r="D220" i="65" s="1"/>
  <c r="E201" i="67"/>
  <c r="K213" i="67" s="1"/>
  <c r="E199" i="67"/>
  <c r="I211" i="67"/>
  <c r="I226" i="67" s="1"/>
  <c r="C144" i="97"/>
  <c r="E156" i="97" s="1"/>
  <c r="E297" i="97" s="1"/>
  <c r="K150" i="97"/>
  <c r="K291" i="97" s="1"/>
  <c r="B224" i="99"/>
  <c r="E225" i="99"/>
  <c r="M239" i="99" s="1"/>
  <c r="E223" i="99"/>
  <c r="E231" i="99"/>
  <c r="G381" i="111"/>
  <c r="G405" i="111"/>
  <c r="G349" i="111"/>
  <c r="E83" i="45"/>
  <c r="E85" i="45"/>
  <c r="G93" i="45" s="1"/>
  <c r="G163" i="45" s="1"/>
  <c r="B84" i="45"/>
  <c r="I95" i="45"/>
  <c r="C96" i="65"/>
  <c r="I108" i="65" s="1"/>
  <c r="I228" i="65" s="1"/>
  <c r="K106" i="65"/>
  <c r="K226" i="65" s="1"/>
  <c r="D85" i="47"/>
  <c r="J97" i="47" s="1"/>
  <c r="J167" i="47" s="1"/>
  <c r="D83" i="47"/>
  <c r="H95" i="47"/>
  <c r="C107" i="115"/>
  <c r="I119" i="115" s="1"/>
  <c r="I189" i="115" s="1"/>
  <c r="K117" i="115"/>
  <c r="K187" i="115" s="1"/>
  <c r="D121" i="35"/>
  <c r="D123" i="35"/>
  <c r="J135" i="35" s="1"/>
  <c r="J167" i="35" s="1"/>
  <c r="D129" i="35"/>
  <c r="G309" i="47"/>
  <c r="G285" i="47"/>
  <c r="C27" i="39"/>
  <c r="D274" i="39"/>
  <c r="F274" i="39"/>
  <c r="G157" i="103"/>
  <c r="G151" i="103"/>
  <c r="D27" i="53"/>
  <c r="D29" i="53"/>
  <c r="D35" i="53" s="1"/>
  <c r="B33" i="53"/>
  <c r="B249" i="121"/>
  <c r="J257" i="121" s="1"/>
  <c r="J293" i="121" s="1"/>
  <c r="F261" i="121"/>
  <c r="F297" i="121" s="1"/>
  <c r="G342" i="121" s="1"/>
  <c r="G380" i="133"/>
  <c r="G444" i="133"/>
  <c r="G428" i="133"/>
  <c r="G386" i="133"/>
  <c r="D60" i="113"/>
  <c r="H70" i="113" s="1"/>
  <c r="D58" i="113"/>
  <c r="F68" i="113"/>
  <c r="D118" i="139"/>
  <c r="H128" i="139" s="1"/>
  <c r="D116" i="139"/>
  <c r="B122" i="139"/>
  <c r="B122" i="129"/>
  <c r="E121" i="129"/>
  <c r="E123" i="129"/>
  <c r="K135" i="129" s="1"/>
  <c r="K167" i="129" s="1"/>
  <c r="E129" i="129"/>
  <c r="D128" i="91"/>
  <c r="J140" i="91" s="1"/>
  <c r="B132" i="91"/>
  <c r="D126" i="91"/>
  <c r="E59" i="113"/>
  <c r="E61" i="113"/>
  <c r="I71" i="113" s="1"/>
  <c r="G69" i="113"/>
  <c r="D164" i="115"/>
  <c r="J176" i="115" s="1"/>
  <c r="D162" i="115"/>
  <c r="B168" i="115"/>
  <c r="E78" i="121"/>
  <c r="E80" i="121"/>
  <c r="K92" i="121" s="1"/>
  <c r="K296" i="121" s="1"/>
  <c r="B79" i="121"/>
  <c r="I90" i="121"/>
  <c r="E368" i="63"/>
  <c r="C368" i="63"/>
  <c r="C72" i="63"/>
  <c r="B72" i="63"/>
  <c r="D97" i="139"/>
  <c r="H107" i="139" s="1"/>
  <c r="D95" i="139"/>
  <c r="F105" i="139"/>
  <c r="F246" i="139" s="1"/>
  <c r="E79" i="131"/>
  <c r="I89" i="131" s="1"/>
  <c r="E77" i="131"/>
  <c r="G87" i="131"/>
  <c r="B74" i="73"/>
  <c r="F84" i="73" s="1"/>
  <c r="F225" i="73" s="1"/>
  <c r="H82" i="73"/>
  <c r="H223" i="73" s="1"/>
  <c r="I226" i="73"/>
  <c r="J271" i="73" s="1"/>
  <c r="E58" i="109"/>
  <c r="I68" i="109" s="1"/>
  <c r="I113" i="109" s="1"/>
  <c r="B57" i="109"/>
  <c r="E56" i="109"/>
  <c r="C62" i="109"/>
  <c r="G443" i="117"/>
  <c r="G405" i="117"/>
  <c r="G477" i="117"/>
  <c r="B165" i="81"/>
  <c r="L181" i="81" s="1"/>
  <c r="L375" i="81" s="1"/>
  <c r="N179" i="81"/>
  <c r="N373" i="81" s="1"/>
  <c r="C228" i="135"/>
  <c r="E242" i="135" s="1"/>
  <c r="E299" i="135" s="1"/>
  <c r="M234" i="135"/>
  <c r="M291" i="135" s="1"/>
  <c r="E158" i="59"/>
  <c r="E164" i="59" s="1"/>
  <c r="B157" i="59"/>
  <c r="E156" i="59"/>
  <c r="K170" i="59"/>
  <c r="E27" i="49"/>
  <c r="E29" i="49"/>
  <c r="E35" i="49" s="1"/>
  <c r="E162" i="49" s="1"/>
  <c r="C33" i="49"/>
  <c r="C160" i="49" s="1"/>
  <c r="D199" i="49" s="1"/>
  <c r="D34" i="77"/>
  <c r="D36" i="77"/>
  <c r="D42" i="77" s="1"/>
  <c r="B40" i="77"/>
  <c r="B287" i="77" s="1"/>
  <c r="C338" i="77" s="1"/>
  <c r="B46" i="107"/>
  <c r="E45" i="107"/>
  <c r="E47" i="107"/>
  <c r="G55" i="107" s="1"/>
  <c r="E53" i="107"/>
  <c r="B206" i="121"/>
  <c r="H212" i="121" s="1"/>
  <c r="H290" i="121" s="1"/>
  <c r="D216" i="121"/>
  <c r="D294" i="121" s="1"/>
  <c r="C59" i="75"/>
  <c r="E67" i="75" s="1"/>
  <c r="E291" i="75" s="1"/>
  <c r="G65" i="75"/>
  <c r="G289" i="75" s="1"/>
  <c r="E81" i="121"/>
  <c r="K93" i="121" s="1"/>
  <c r="K297" i="121" s="1"/>
  <c r="E79" i="121"/>
  <c r="I91" i="121"/>
  <c r="I295" i="121" s="1"/>
  <c r="C125" i="127"/>
  <c r="I131" i="127" s="1"/>
  <c r="I182" i="127" s="1"/>
  <c r="E135" i="127"/>
  <c r="E186" i="127" s="1"/>
  <c r="G375" i="139"/>
  <c r="G389" i="139"/>
  <c r="G413" i="139"/>
  <c r="C26" i="85"/>
  <c r="C32" i="85" s="1"/>
  <c r="C128" i="85" s="1"/>
  <c r="D161" i="85" s="1"/>
  <c r="E30" i="85"/>
  <c r="E126" i="85" s="1"/>
  <c r="F159" i="85" s="1"/>
  <c r="I330" i="141"/>
  <c r="B79" i="135"/>
  <c r="E78" i="135"/>
  <c r="E80" i="135"/>
  <c r="K92" i="135" s="1"/>
  <c r="I90" i="135"/>
  <c r="I294" i="135" s="1"/>
  <c r="B137" i="69"/>
  <c r="F149" i="69" s="1"/>
  <c r="F227" i="69" s="1"/>
  <c r="J145" i="69"/>
  <c r="J223" i="69" s="1"/>
  <c r="E56" i="99"/>
  <c r="E58" i="99"/>
  <c r="G66" i="99" s="1"/>
  <c r="E64" i="99"/>
  <c r="C111" i="125"/>
  <c r="E121" i="125" s="1"/>
  <c r="E132" i="125" s="1"/>
  <c r="F165" i="125" s="1"/>
  <c r="I117" i="125"/>
  <c r="I128" i="125" s="1"/>
  <c r="C38" i="81"/>
  <c r="E39" i="121"/>
  <c r="E45" i="121" s="1"/>
  <c r="E291" i="121" s="1"/>
  <c r="F336" i="121" s="1"/>
  <c r="E37" i="121"/>
  <c r="C43" i="121"/>
  <c r="D247" i="143"/>
  <c r="F255" i="143" s="1"/>
  <c r="D245" i="143"/>
  <c r="J259" i="143"/>
  <c r="E244" i="141"/>
  <c r="E246" i="141"/>
  <c r="M260" i="141" s="1"/>
  <c r="B245" i="141"/>
  <c r="G254" i="141"/>
  <c r="E180" i="63"/>
  <c r="M194" i="63" s="1"/>
  <c r="M230" i="63" s="1"/>
  <c r="E178" i="63"/>
  <c r="I190" i="63"/>
  <c r="F319" i="107"/>
  <c r="C141" i="107"/>
  <c r="D319" i="107"/>
  <c r="D99" i="131"/>
  <c r="L113" i="131" s="1"/>
  <c r="D97" i="131"/>
  <c r="J111" i="131"/>
  <c r="C240" i="81"/>
  <c r="M246" i="81" s="1"/>
  <c r="M365" i="81" s="1"/>
  <c r="E254" i="81"/>
  <c r="E373" i="81" s="1"/>
  <c r="C158" i="71"/>
  <c r="E170" i="71" s="1"/>
  <c r="E227" i="71" s="1"/>
  <c r="K164" i="71"/>
  <c r="K221" i="71" s="1"/>
  <c r="E137" i="133"/>
  <c r="B138" i="133"/>
  <c r="E139" i="133"/>
  <c r="E145" i="133" s="1"/>
  <c r="E244" i="133" s="1"/>
  <c r="F289" i="133" s="1"/>
  <c r="K151" i="133"/>
  <c r="G280" i="107"/>
  <c r="G274" i="107"/>
  <c r="G312" i="107"/>
  <c r="G298" i="107"/>
  <c r="D249" i="135"/>
  <c r="F257" i="135" s="1"/>
  <c r="D247" i="135"/>
  <c r="J261" i="135"/>
  <c r="D119" i="101"/>
  <c r="E31" i="89"/>
  <c r="E37" i="89" s="1"/>
  <c r="E183" i="89" s="1"/>
  <c r="E29" i="89"/>
  <c r="C35" i="89"/>
  <c r="C181" i="89" s="1"/>
  <c r="D220" i="89" s="1"/>
  <c r="D77" i="119"/>
  <c r="D79" i="119"/>
  <c r="J91" i="119" s="1"/>
  <c r="H89" i="119"/>
  <c r="B24" i="105"/>
  <c r="B30" i="105" s="1"/>
  <c r="B109" i="105" s="1"/>
  <c r="C142" i="105" s="1"/>
  <c r="D28" i="105"/>
  <c r="D107" i="105" s="1"/>
  <c r="E140" i="105" s="1"/>
  <c r="C246" i="99"/>
  <c r="K254" i="99" s="1"/>
  <c r="K269" i="99" s="1"/>
  <c r="G258" i="99"/>
  <c r="G273" i="99" s="1"/>
  <c r="H318" i="99" s="1"/>
  <c r="K274" i="141"/>
  <c r="G111" i="105"/>
  <c r="E91" i="31"/>
  <c r="E93" i="31"/>
  <c r="E99" i="31" s="1"/>
  <c r="G101" i="31"/>
  <c r="F111" i="19"/>
  <c r="J188" i="89"/>
  <c r="C92" i="27"/>
  <c r="C100" i="27" s="1"/>
  <c r="C111" i="27" s="1"/>
  <c r="D144" i="27" s="1"/>
  <c r="G96" i="27"/>
  <c r="G107" i="27" s="1"/>
  <c r="C47" i="47"/>
  <c r="E55" i="47" s="1"/>
  <c r="E163" i="47" s="1"/>
  <c r="G53" i="47"/>
  <c r="G161" i="47" s="1"/>
  <c r="H200" i="47" s="1"/>
  <c r="C21" i="103"/>
  <c r="C27" i="103" s="1"/>
  <c r="C66" i="103" s="1"/>
  <c r="E25" i="103"/>
  <c r="E64" i="103" s="1"/>
  <c r="F91" i="103" s="1"/>
  <c r="C92" i="19"/>
  <c r="E102" i="19" s="1"/>
  <c r="E113" i="19" s="1"/>
  <c r="I98" i="19"/>
  <c r="I109" i="19" s="1"/>
  <c r="G470" i="97"/>
  <c r="G432" i="97"/>
  <c r="G504" i="97"/>
  <c r="G447" i="93"/>
  <c r="G409" i="93"/>
  <c r="G481" i="93"/>
  <c r="D73" i="17"/>
  <c r="D75" i="17"/>
  <c r="H85" i="17" s="1"/>
  <c r="H113" i="17" s="1"/>
  <c r="F83" i="17"/>
  <c r="F111" i="17" s="1"/>
  <c r="C58" i="19"/>
  <c r="C68" i="19" s="1"/>
  <c r="C113" i="19" s="1"/>
  <c r="D146" i="19" s="1"/>
  <c r="I62" i="19"/>
  <c r="I107" i="19" s="1"/>
  <c r="D20" i="13"/>
  <c r="D26" i="13" s="1"/>
  <c r="D65" i="13" s="1"/>
  <c r="D18" i="13"/>
  <c r="B24" i="13"/>
  <c r="B63" i="13" s="1"/>
  <c r="B199" i="73"/>
  <c r="E198" i="73"/>
  <c r="E200" i="73"/>
  <c r="I210" i="73" s="1"/>
  <c r="I225" i="73" s="1"/>
  <c r="J270" i="73" s="1"/>
  <c r="M214" i="73"/>
  <c r="M229" i="73" s="1"/>
  <c r="C66" i="45"/>
  <c r="E74" i="45" s="1"/>
  <c r="E163" i="45" s="1"/>
  <c r="F202" i="45" s="1"/>
  <c r="G72" i="45"/>
  <c r="G161" i="45" s="1"/>
  <c r="D182" i="91"/>
  <c r="D184" i="91"/>
  <c r="F192" i="91" s="1"/>
  <c r="F205" i="91" s="1"/>
  <c r="J196" i="91"/>
  <c r="B201" i="91"/>
  <c r="C240" i="91" s="1"/>
  <c r="G145" i="13"/>
  <c r="G151" i="13"/>
  <c r="K264" i="57"/>
  <c r="H317" i="57"/>
  <c r="E119" i="93"/>
  <c r="E121" i="93"/>
  <c r="I131" i="93" s="1"/>
  <c r="C125" i="93"/>
  <c r="D221" i="79"/>
  <c r="N237" i="79" s="1"/>
  <c r="D219" i="79"/>
  <c r="L235" i="79"/>
  <c r="G212" i="25"/>
  <c r="G206" i="25"/>
  <c r="C122" i="41"/>
  <c r="D314" i="41"/>
  <c r="F314" i="41"/>
  <c r="D96" i="65"/>
  <c r="J108" i="65" s="1"/>
  <c r="J228" i="65" s="1"/>
  <c r="D94" i="65"/>
  <c r="H106" i="65"/>
  <c r="G395" i="119"/>
  <c r="G451" i="119"/>
  <c r="G427" i="119"/>
  <c r="E86" i="41"/>
  <c r="K98" i="41" s="1"/>
  <c r="E84" i="41"/>
  <c r="I96" i="41"/>
  <c r="E90" i="17"/>
  <c r="E92" i="17"/>
  <c r="I102" i="17" s="1"/>
  <c r="B91" i="17"/>
  <c r="E98" i="17"/>
  <c r="E109" i="17" s="1"/>
  <c r="C74" i="71"/>
  <c r="G84" i="71" s="1"/>
  <c r="G225" i="71" s="1"/>
  <c r="I82" i="71"/>
  <c r="I223" i="71" s="1"/>
  <c r="J268" i="71" s="1"/>
  <c r="D51" i="13"/>
  <c r="B55" i="13" s="1"/>
  <c r="D49" i="13"/>
  <c r="F59" i="13"/>
  <c r="E265" i="75"/>
  <c r="E267" i="75"/>
  <c r="I277" i="75" s="1"/>
  <c r="O283" i="75"/>
  <c r="D149" i="75"/>
  <c r="D151" i="75"/>
  <c r="L165" i="75" s="1"/>
  <c r="J163" i="75"/>
  <c r="J295" i="75" s="1"/>
  <c r="B52" i="59"/>
  <c r="E51" i="59"/>
  <c r="E53" i="59"/>
  <c r="G61" i="59" s="1"/>
  <c r="E59" i="59"/>
  <c r="E58" i="31"/>
  <c r="I68" i="31" s="1"/>
  <c r="I113" i="31" s="1"/>
  <c r="E56" i="31"/>
  <c r="B57" i="31"/>
  <c r="C62" i="31"/>
  <c r="E185" i="91"/>
  <c r="G193" i="91" s="1"/>
  <c r="G206" i="91" s="1"/>
  <c r="H245" i="91" s="1"/>
  <c r="E183" i="91"/>
  <c r="K197" i="91"/>
  <c r="E100" i="97"/>
  <c r="E102" i="97"/>
  <c r="M116" i="97" s="1"/>
  <c r="K114" i="97"/>
  <c r="G112" i="27"/>
  <c r="K228" i="65"/>
  <c r="K189" i="115"/>
  <c r="B78" i="119"/>
  <c r="H90" i="119" s="1"/>
  <c r="H273" i="119" s="1"/>
  <c r="J88" i="119"/>
  <c r="J271" i="119" s="1"/>
  <c r="E25" i="137"/>
  <c r="E27" i="137"/>
  <c r="E33" i="137" s="1"/>
  <c r="E129" i="137" s="1"/>
  <c r="F162" i="137" s="1"/>
  <c r="C31" i="137"/>
  <c r="B142" i="99"/>
  <c r="D154" i="99" s="1"/>
  <c r="D274" i="99" s="1"/>
  <c r="J148" i="99"/>
  <c r="J268" i="99" s="1"/>
  <c r="B42" i="15"/>
  <c r="B50" i="15" s="1"/>
  <c r="B112" i="15" s="1"/>
  <c r="C145" i="15" s="1"/>
  <c r="F46" i="15"/>
  <c r="F108" i="15" s="1"/>
  <c r="C64" i="11"/>
  <c r="G149" i="103"/>
  <c r="G143" i="103"/>
  <c r="D244" i="99"/>
  <c r="D246" i="99"/>
  <c r="F254" i="99" s="1"/>
  <c r="J258" i="99"/>
  <c r="E127" i="75"/>
  <c r="E129" i="75"/>
  <c r="E135" i="75" s="1"/>
  <c r="K141" i="75"/>
  <c r="K296" i="75" s="1"/>
  <c r="E60" i="113"/>
  <c r="I70" i="113" s="1"/>
  <c r="E58" i="113"/>
  <c r="B59" i="113"/>
  <c r="G68" i="113"/>
  <c r="G403" i="141"/>
  <c r="G435" i="141"/>
  <c r="G395" i="141"/>
  <c r="B396" i="141" s="1"/>
  <c r="C163" i="115"/>
  <c r="C175" i="115" s="1"/>
  <c r="C188" i="115" s="1"/>
  <c r="D227" i="115" s="1"/>
  <c r="K167" i="115"/>
  <c r="K180" i="115" s="1"/>
  <c r="E56" i="117"/>
  <c r="E58" i="117"/>
  <c r="G66" i="117" s="1"/>
  <c r="E64" i="117"/>
  <c r="E102" i="135"/>
  <c r="M116" i="135" s="1"/>
  <c r="M299" i="135" s="1"/>
  <c r="E100" i="135"/>
  <c r="K114" i="135"/>
  <c r="C73" i="63"/>
  <c r="F368" i="63"/>
  <c r="D368" i="63"/>
  <c r="E161" i="93"/>
  <c r="E163" i="93"/>
  <c r="M177" i="93" s="1"/>
  <c r="M276" i="93" s="1"/>
  <c r="G171" i="93"/>
  <c r="E184" i="121"/>
  <c r="E186" i="121"/>
  <c r="K198" i="121" s="1"/>
  <c r="C190" i="121"/>
  <c r="D38" i="123"/>
  <c r="D44" i="123" s="1"/>
  <c r="D36" i="123"/>
  <c r="B42" i="123"/>
  <c r="C159" i="111"/>
  <c r="G173" i="111" s="1"/>
  <c r="G230" i="111" s="1"/>
  <c r="H275" i="111" s="1"/>
  <c r="M167" i="111"/>
  <c r="M224" i="111" s="1"/>
  <c r="E227" i="135"/>
  <c r="M241" i="135" s="1"/>
  <c r="B226" i="135"/>
  <c r="E225" i="135"/>
  <c r="E233" i="135"/>
  <c r="C123" i="39"/>
  <c r="I129" i="39" s="1"/>
  <c r="I161" i="39" s="1"/>
  <c r="E133" i="39"/>
  <c r="E165" i="39" s="1"/>
  <c r="C75" i="73"/>
  <c r="G85" i="73" s="1"/>
  <c r="G226" i="73" s="1"/>
  <c r="I83" i="73"/>
  <c r="I224" i="73" s="1"/>
  <c r="J269" i="73" s="1"/>
  <c r="E76" i="117"/>
  <c r="E78" i="117"/>
  <c r="K90" i="117" s="1"/>
  <c r="B77" i="117"/>
  <c r="I88" i="117"/>
  <c r="E59" i="109"/>
  <c r="I69" i="109" s="1"/>
  <c r="E57" i="109"/>
  <c r="C63" i="109"/>
  <c r="B90" i="81"/>
  <c r="F100" i="81" s="1"/>
  <c r="F369" i="81" s="1"/>
  <c r="H98" i="81"/>
  <c r="H367" i="81" s="1"/>
  <c r="E87" i="127"/>
  <c r="K99" i="127" s="1"/>
  <c r="K188" i="127" s="1"/>
  <c r="B86" i="127"/>
  <c r="E85" i="127"/>
  <c r="I97" i="127"/>
  <c r="D287" i="91"/>
  <c r="D142" i="97"/>
  <c r="D144" i="97"/>
  <c r="J156" i="97" s="1"/>
  <c r="D150" i="97"/>
  <c r="G406" i="117"/>
  <c r="G478" i="117"/>
  <c r="G444" i="117"/>
  <c r="E57" i="131"/>
  <c r="G65" i="131" s="1"/>
  <c r="B56" i="131"/>
  <c r="E55" i="131"/>
  <c r="E63" i="131"/>
  <c r="C265" i="83"/>
  <c r="E281" i="83" s="1"/>
  <c r="E375" i="83" s="1"/>
  <c r="O271" i="83"/>
  <c r="O365" i="83" s="1"/>
  <c r="C94" i="113"/>
  <c r="C102" i="113" s="1"/>
  <c r="C130" i="113" s="1"/>
  <c r="D163" i="113" s="1"/>
  <c r="G98" i="113"/>
  <c r="G126" i="113" s="1"/>
  <c r="C161" i="131"/>
  <c r="B20" i="103"/>
  <c r="B26" i="103" s="1"/>
  <c r="B65" i="103" s="1"/>
  <c r="C92" i="103" s="1"/>
  <c r="D24" i="103"/>
  <c r="D63" i="103" s="1"/>
  <c r="E90" i="103" s="1"/>
  <c r="E159" i="59"/>
  <c r="E165" i="59" s="1"/>
  <c r="E157" i="59"/>
  <c r="K171" i="59"/>
  <c r="G365" i="79"/>
  <c r="E446" i="131"/>
  <c r="C446" i="131"/>
  <c r="C160" i="131"/>
  <c r="B160" i="131"/>
  <c r="E160" i="139"/>
  <c r="K172" i="139" s="1"/>
  <c r="K250" i="139" s="1"/>
  <c r="E158" i="139"/>
  <c r="B159" i="139"/>
  <c r="G168" i="139"/>
  <c r="D45" i="107"/>
  <c r="D47" i="107"/>
  <c r="F55" i="107" s="1"/>
  <c r="D53" i="107"/>
  <c r="B145" i="91"/>
  <c r="E146" i="91"/>
  <c r="E152" i="91" s="1"/>
  <c r="E144" i="91"/>
  <c r="I156" i="91"/>
  <c r="D58" i="125"/>
  <c r="D60" i="125"/>
  <c r="H70" i="125" s="1"/>
  <c r="H132" i="125" s="1"/>
  <c r="F68" i="125"/>
  <c r="D58" i="75"/>
  <c r="D60" i="75"/>
  <c r="F68" i="75" s="1"/>
  <c r="D66" i="75"/>
  <c r="C106" i="75"/>
  <c r="C118" i="75" s="1"/>
  <c r="C296" i="75" s="1"/>
  <c r="D347" i="75" s="1"/>
  <c r="K110" i="75"/>
  <c r="K288" i="75" s="1"/>
  <c r="C25" i="105"/>
  <c r="C31" i="105" s="1"/>
  <c r="C110" i="105" s="1"/>
  <c r="D143" i="105" s="1"/>
  <c r="E29" i="105"/>
  <c r="E108" i="105" s="1"/>
  <c r="F141" i="105" s="1"/>
  <c r="B115" i="81"/>
  <c r="H127" i="81" s="1"/>
  <c r="H371" i="81" s="1"/>
  <c r="J125" i="81"/>
  <c r="J369" i="81" s="1"/>
  <c r="B95" i="73"/>
  <c r="J109" i="73" s="1"/>
  <c r="J229" i="73" s="1"/>
  <c r="L107" i="73"/>
  <c r="L227" i="73" s="1"/>
  <c r="B23" i="109"/>
  <c r="E22" i="109"/>
  <c r="E24" i="109"/>
  <c r="E30" i="109" s="1"/>
  <c r="C28" i="109"/>
  <c r="C107" i="109" s="1"/>
  <c r="D140" i="109" s="1"/>
  <c r="E184" i="135"/>
  <c r="E186" i="135"/>
  <c r="K198" i="135" s="1"/>
  <c r="C190" i="135"/>
  <c r="D110" i="125"/>
  <c r="D112" i="125"/>
  <c r="H122" i="125" s="1"/>
  <c r="D118" i="125"/>
  <c r="C246" i="143"/>
  <c r="K254" i="143" s="1"/>
  <c r="K269" i="143" s="1"/>
  <c r="G258" i="143"/>
  <c r="G273" i="143" s="1"/>
  <c r="H318" i="143" s="1"/>
  <c r="E36" i="101"/>
  <c r="G44" i="101" s="1"/>
  <c r="G68" i="101" s="1"/>
  <c r="H95" i="101" s="1"/>
  <c r="E34" i="101"/>
  <c r="E42" i="101"/>
  <c r="E66" i="101" s="1"/>
  <c r="F93" i="101" s="1"/>
  <c r="B55" i="133"/>
  <c r="D63" i="133" s="1"/>
  <c r="D246" i="133" s="1"/>
  <c r="F61" i="133"/>
  <c r="F244" i="133" s="1"/>
  <c r="F295" i="127"/>
  <c r="D295" i="127"/>
  <c r="C29" i="127"/>
  <c r="C319" i="107"/>
  <c r="C140" i="107"/>
  <c r="B140" i="107"/>
  <c r="E319" i="107"/>
  <c r="B32" i="139"/>
  <c r="E103" i="45"/>
  <c r="E105" i="45"/>
  <c r="G113" i="45" s="1"/>
  <c r="C109" i="45"/>
  <c r="B98" i="131"/>
  <c r="E99" i="131"/>
  <c r="M113" i="131" s="1"/>
  <c r="E97" i="131"/>
  <c r="K111" i="131"/>
  <c r="D159" i="71"/>
  <c r="J171" i="71" s="1"/>
  <c r="D157" i="71"/>
  <c r="D165" i="71"/>
  <c r="B76" i="113"/>
  <c r="E75" i="113"/>
  <c r="E77" i="113"/>
  <c r="C81" i="113" s="1"/>
  <c r="C126" i="113" s="1"/>
  <c r="D159" i="113" s="1"/>
  <c r="I87" i="113"/>
  <c r="B76" i="133"/>
  <c r="F86" i="133" s="1"/>
  <c r="F248" i="133" s="1"/>
  <c r="H84" i="133"/>
  <c r="H246" i="133" s="1"/>
  <c r="C55" i="133"/>
  <c r="E63" i="133" s="1"/>
  <c r="E246" i="133" s="1"/>
  <c r="F291" i="133" s="1"/>
  <c r="G61" i="133"/>
  <c r="G244" i="133" s="1"/>
  <c r="H289" i="133" s="1"/>
  <c r="B105" i="75"/>
  <c r="B117" i="75" s="1"/>
  <c r="B295" i="75" s="1"/>
  <c r="C346" i="75" s="1"/>
  <c r="J109" i="75"/>
  <c r="J287" i="75" s="1"/>
  <c r="G291" i="77"/>
  <c r="B122" i="53"/>
  <c r="E121" i="53"/>
  <c r="E123" i="53"/>
  <c r="K135" i="53" s="1"/>
  <c r="E129" i="53"/>
  <c r="E161" i="53" s="1"/>
  <c r="D234" i="115"/>
  <c r="E102" i="123"/>
  <c r="M116" i="123" s="1"/>
  <c r="E100" i="123"/>
  <c r="K114" i="123"/>
  <c r="K297" i="123" s="1"/>
  <c r="C78" i="119"/>
  <c r="I90" i="119" s="1"/>
  <c r="I273" i="119" s="1"/>
  <c r="K88" i="119"/>
  <c r="K271" i="119" s="1"/>
  <c r="E201" i="139"/>
  <c r="E203" i="139"/>
  <c r="M217" i="139" s="1"/>
  <c r="K215" i="139"/>
  <c r="E110" i="125"/>
  <c r="E112" i="125"/>
  <c r="I122" i="125" s="1"/>
  <c r="E118" i="125"/>
  <c r="D268" i="97"/>
  <c r="D270" i="97"/>
  <c r="L284" i="97" s="1"/>
  <c r="B274" i="97"/>
  <c r="D245" i="99"/>
  <c r="D247" i="99"/>
  <c r="F255" i="99" s="1"/>
  <c r="J259" i="99"/>
  <c r="D79" i="131"/>
  <c r="H89" i="131" s="1"/>
  <c r="D77" i="131"/>
  <c r="F87" i="131"/>
  <c r="C79" i="141"/>
  <c r="E91" i="141" s="1"/>
  <c r="E274" i="141" s="1"/>
  <c r="F319" i="141" s="1"/>
  <c r="K85" i="141"/>
  <c r="K268" i="141" s="1"/>
  <c r="I114" i="21"/>
  <c r="D93" i="27"/>
  <c r="F101" i="27" s="1"/>
  <c r="D91" i="27"/>
  <c r="B97" i="27"/>
  <c r="B179" i="59"/>
  <c r="L187" i="59" s="1"/>
  <c r="L223" i="59" s="1"/>
  <c r="F193" i="59"/>
  <c r="F229" i="59" s="1"/>
  <c r="G352" i="65"/>
  <c r="G368" i="65"/>
  <c r="G163" i="47"/>
  <c r="H202" i="47" s="1"/>
  <c r="C25" i="25"/>
  <c r="C31" i="25" s="1"/>
  <c r="C110" i="25" s="1"/>
  <c r="D143" i="25" s="1"/>
  <c r="E29" i="25"/>
  <c r="E108" i="25" s="1"/>
  <c r="G221" i="17"/>
  <c r="G205" i="17"/>
  <c r="B104" i="35"/>
  <c r="H116" i="35" s="1"/>
  <c r="H167" i="35" s="1"/>
  <c r="J114" i="35"/>
  <c r="J165" i="35" s="1"/>
  <c r="G532" i="83"/>
  <c r="G564" i="83"/>
  <c r="D93" i="19"/>
  <c r="H103" i="19" s="1"/>
  <c r="D91" i="19"/>
  <c r="D99" i="19"/>
  <c r="B52" i="71"/>
  <c r="E51" i="71"/>
  <c r="E53" i="71"/>
  <c r="G61" i="71" s="1"/>
  <c r="G223" i="71" s="1"/>
  <c r="E59" i="71"/>
  <c r="E48" i="47"/>
  <c r="G56" i="47" s="1"/>
  <c r="G164" i="47" s="1"/>
  <c r="H203" i="47" s="1"/>
  <c r="E46" i="47"/>
  <c r="E54" i="47"/>
  <c r="E162" i="47" s="1"/>
  <c r="I113" i="19"/>
  <c r="E20" i="13"/>
  <c r="E26" i="13" s="1"/>
  <c r="E65" i="13" s="1"/>
  <c r="F92" i="13" s="1"/>
  <c r="B19" i="13"/>
  <c r="E18" i="13"/>
  <c r="C24" i="13"/>
  <c r="C63" i="13" s="1"/>
  <c r="D67" i="45"/>
  <c r="F75" i="45" s="1"/>
  <c r="D65" i="45"/>
  <c r="D73" i="45"/>
  <c r="B197" i="75"/>
  <c r="L205" i="75" s="1"/>
  <c r="L291" i="75" s="1"/>
  <c r="F211" i="75"/>
  <c r="F297" i="75" s="1"/>
  <c r="D203" i="91"/>
  <c r="E94" i="111"/>
  <c r="E96" i="111"/>
  <c r="M110" i="111" s="1"/>
  <c r="K108" i="111"/>
  <c r="G152" i="13"/>
  <c r="G158" i="13"/>
  <c r="B85" i="39"/>
  <c r="H97" i="39" s="1"/>
  <c r="H167" i="39" s="1"/>
  <c r="J95" i="39"/>
  <c r="J165" i="39" s="1"/>
  <c r="O299" i="79"/>
  <c r="C96" i="67"/>
  <c r="E106" i="67" s="1"/>
  <c r="E226" i="67" s="1"/>
  <c r="I102" i="67"/>
  <c r="I222" i="67" s="1"/>
  <c r="C93" i="15"/>
  <c r="I99" i="15" s="1"/>
  <c r="I110" i="15" s="1"/>
  <c r="E103" i="15"/>
  <c r="E114" i="15" s="1"/>
  <c r="F147" i="15" s="1"/>
  <c r="G352" i="61"/>
  <c r="G368" i="61"/>
  <c r="C199" i="111"/>
  <c r="F413" i="111"/>
  <c r="D413" i="111"/>
  <c r="B100" i="99"/>
  <c r="J114" i="99" s="1"/>
  <c r="J276" i="99" s="1"/>
  <c r="L112" i="99"/>
  <c r="L274" i="99" s="1"/>
  <c r="G285" i="41"/>
  <c r="G309" i="41"/>
  <c r="E138" i="65"/>
  <c r="G146" i="65" s="1"/>
  <c r="E136" i="65"/>
  <c r="M152" i="65"/>
  <c r="B19" i="103"/>
  <c r="E18" i="103"/>
  <c r="E20" i="103"/>
  <c r="E26" i="103" s="1"/>
  <c r="E65" i="103" s="1"/>
  <c r="F92" i="103" s="1"/>
  <c r="C24" i="103"/>
  <c r="D73" i="71"/>
  <c r="D75" i="71"/>
  <c r="H85" i="71" s="1"/>
  <c r="F83" i="71"/>
  <c r="E143" i="51"/>
  <c r="I153" i="51" s="1"/>
  <c r="E141" i="51"/>
  <c r="E149" i="51"/>
  <c r="D376" i="69"/>
  <c r="C94" i="69"/>
  <c r="F376" i="69"/>
  <c r="B103" i="49"/>
  <c r="E102" i="49"/>
  <c r="E104" i="49"/>
  <c r="G112" i="49" s="1"/>
  <c r="I114" i="49"/>
  <c r="D120" i="121"/>
  <c r="D122" i="121"/>
  <c r="H132" i="121" s="1"/>
  <c r="B126" i="121"/>
  <c r="E94" i="57"/>
  <c r="E96" i="57"/>
  <c r="M110" i="57" s="1"/>
  <c r="M230" i="57" s="1"/>
  <c r="K108" i="57"/>
  <c r="F212" i="31"/>
  <c r="C40" i="31"/>
  <c r="D212" i="31"/>
  <c r="E121" i="97"/>
  <c r="E123" i="97"/>
  <c r="I133" i="97" s="1"/>
  <c r="C127" i="97"/>
  <c r="E117" i="59"/>
  <c r="M131" i="59" s="1"/>
  <c r="M230" i="59" s="1"/>
  <c r="E115" i="59"/>
  <c r="K129" i="59"/>
  <c r="E73" i="111"/>
  <c r="E75" i="111"/>
  <c r="K87" i="111" s="1"/>
  <c r="I85" i="111"/>
  <c r="I226" i="111" s="1"/>
  <c r="E182" i="133"/>
  <c r="G190" i="133" s="1"/>
  <c r="E180" i="133"/>
  <c r="M196" i="133"/>
  <c r="D218" i="77"/>
  <c r="D220" i="77"/>
  <c r="N236" i="77" s="1"/>
  <c r="N299" i="77" s="1"/>
  <c r="L234" i="77"/>
  <c r="C42" i="27"/>
  <c r="E50" i="27" s="1"/>
  <c r="E112" i="27" s="1"/>
  <c r="F145" i="27" s="1"/>
  <c r="G48" i="27"/>
  <c r="G110" i="27" s="1"/>
  <c r="E65" i="37"/>
  <c r="E67" i="37"/>
  <c r="I77" i="37" s="1"/>
  <c r="C71" i="37"/>
  <c r="C160" i="37" s="1"/>
  <c r="D199" i="37" s="1"/>
  <c r="E43" i="113"/>
  <c r="G51" i="113" s="1"/>
  <c r="G130" i="113" s="1"/>
  <c r="E41" i="113"/>
  <c r="B42" i="113"/>
  <c r="E49" i="113"/>
  <c r="E128" i="113" s="1"/>
  <c r="F161" i="113" s="1"/>
  <c r="B84" i="47"/>
  <c r="E83" i="47"/>
  <c r="E85" i="47"/>
  <c r="K97" i="47" s="1"/>
  <c r="I95" i="47"/>
  <c r="D200" i="59"/>
  <c r="F208" i="59" s="1"/>
  <c r="D198" i="59"/>
  <c r="J212" i="59"/>
  <c r="E21" i="13"/>
  <c r="E27" i="13" s="1"/>
  <c r="E66" i="13" s="1"/>
  <c r="F93" i="13" s="1"/>
  <c r="E19" i="13"/>
  <c r="C25" i="13"/>
  <c r="C64" i="13" s="1"/>
  <c r="C95" i="95"/>
  <c r="E105" i="95" s="1"/>
  <c r="E133" i="95" s="1"/>
  <c r="F166" i="95" s="1"/>
  <c r="I101" i="95"/>
  <c r="I129" i="95" s="1"/>
  <c r="G156" i="103"/>
  <c r="G150" i="103"/>
  <c r="E98" i="119"/>
  <c r="E100" i="119"/>
  <c r="M114" i="119" s="1"/>
  <c r="M276" i="119" s="1"/>
  <c r="K112" i="119"/>
  <c r="D451" i="141"/>
  <c r="C182" i="141"/>
  <c r="F451" i="141"/>
  <c r="D41" i="137"/>
  <c r="D43" i="137"/>
  <c r="F51" i="137" s="1"/>
  <c r="D49" i="137"/>
  <c r="E77" i="137"/>
  <c r="C81" i="137" s="1"/>
  <c r="E75" i="137"/>
  <c r="B76" i="137"/>
  <c r="I87" i="137"/>
  <c r="E163" i="123"/>
  <c r="E165" i="123"/>
  <c r="M179" i="123" s="1"/>
  <c r="G173" i="123"/>
  <c r="G396" i="141"/>
  <c r="G436" i="141"/>
  <c r="G404" i="141"/>
  <c r="D78" i="121"/>
  <c r="D80" i="121"/>
  <c r="J92" i="121" s="1"/>
  <c r="J296" i="121" s="1"/>
  <c r="H90" i="121"/>
  <c r="H294" i="121" s="1"/>
  <c r="E78" i="137"/>
  <c r="C82" i="137" s="1"/>
  <c r="E76" i="137"/>
  <c r="I88" i="137"/>
  <c r="C245" i="119"/>
  <c r="E268" i="97"/>
  <c r="E270" i="97"/>
  <c r="M284" i="97" s="1"/>
  <c r="C274" i="97"/>
  <c r="D32" i="71"/>
  <c r="D38" i="71" s="1"/>
  <c r="D221" i="71" s="1"/>
  <c r="D30" i="71"/>
  <c r="B36" i="71"/>
  <c r="B219" i="71" s="1"/>
  <c r="C264" i="71" s="1"/>
  <c r="B94" i="113"/>
  <c r="B102" i="113" s="1"/>
  <c r="B130" i="113" s="1"/>
  <c r="C163" i="113" s="1"/>
  <c r="F98" i="113"/>
  <c r="F126" i="113" s="1"/>
  <c r="D227" i="135"/>
  <c r="L241" i="135" s="1"/>
  <c r="D225" i="135"/>
  <c r="D233" i="135"/>
  <c r="C95" i="113"/>
  <c r="C103" i="113" s="1"/>
  <c r="C131" i="113" s="1"/>
  <c r="D164" i="113" s="1"/>
  <c r="G99" i="113"/>
  <c r="G127" i="113" s="1"/>
  <c r="C90" i="81"/>
  <c r="G100" i="81" s="1"/>
  <c r="G369" i="81" s="1"/>
  <c r="I98" i="81"/>
  <c r="I367" i="81" s="1"/>
  <c r="D122" i="39"/>
  <c r="D124" i="39"/>
  <c r="D130" i="39" s="1"/>
  <c r="H134" i="39"/>
  <c r="E226" i="117"/>
  <c r="M240" i="117" s="1"/>
  <c r="E224" i="117"/>
  <c r="E232" i="117"/>
  <c r="D78" i="117"/>
  <c r="J90" i="117" s="1"/>
  <c r="D76" i="117"/>
  <c r="H88" i="117"/>
  <c r="E92" i="137"/>
  <c r="E94" i="137"/>
  <c r="G102" i="137" s="1"/>
  <c r="B93" i="137"/>
  <c r="C98" i="137"/>
  <c r="H369" i="81"/>
  <c r="C143" i="97"/>
  <c r="E155" i="97" s="1"/>
  <c r="E296" i="97" s="1"/>
  <c r="K149" i="97"/>
  <c r="K290" i="97" s="1"/>
  <c r="G533" i="81"/>
  <c r="G565" i="81"/>
  <c r="D266" i="83"/>
  <c r="N282" i="83" s="1"/>
  <c r="D264" i="83"/>
  <c r="D272" i="83"/>
  <c r="D65" i="103"/>
  <c r="E92" i="103" s="1"/>
  <c r="D61" i="85"/>
  <c r="H71" i="85" s="1"/>
  <c r="D59" i="85"/>
  <c r="F69" i="85"/>
  <c r="B25" i="87"/>
  <c r="E24" i="87"/>
  <c r="E26" i="87"/>
  <c r="E32" i="87" s="1"/>
  <c r="E128" i="87" s="1"/>
  <c r="F161" i="87" s="1"/>
  <c r="C30" i="87"/>
  <c r="C126" i="87" s="1"/>
  <c r="D159" i="87" s="1"/>
  <c r="E54" i="111"/>
  <c r="G62" i="111" s="1"/>
  <c r="G224" i="111" s="1"/>
  <c r="H269" i="111" s="1"/>
  <c r="E52" i="111"/>
  <c r="E60" i="111"/>
  <c r="D126" i="127"/>
  <c r="D132" i="127" s="1"/>
  <c r="D124" i="127"/>
  <c r="H136" i="127"/>
  <c r="E161" i="133"/>
  <c r="M175" i="133" s="1"/>
  <c r="E159" i="133"/>
  <c r="E167" i="133"/>
  <c r="D92" i="105"/>
  <c r="F100" i="105" s="1"/>
  <c r="F111" i="105" s="1"/>
  <c r="D90" i="105"/>
  <c r="B96" i="105"/>
  <c r="E119" i="99"/>
  <c r="E121" i="99"/>
  <c r="I131" i="99" s="1"/>
  <c r="C125" i="99"/>
  <c r="C266" i="99" s="1"/>
  <c r="D311" i="99" s="1"/>
  <c r="E100" i="131"/>
  <c r="M114" i="131" s="1"/>
  <c r="E98" i="131"/>
  <c r="K112" i="131"/>
  <c r="D184" i="97"/>
  <c r="D186" i="97"/>
  <c r="J198" i="97" s="1"/>
  <c r="B190" i="97"/>
  <c r="E41" i="85"/>
  <c r="E43" i="85"/>
  <c r="G51" i="85" s="1"/>
  <c r="G130" i="85" s="1"/>
  <c r="B42" i="85"/>
  <c r="E49" i="85"/>
  <c r="E128" i="85" s="1"/>
  <c r="F161" i="85" s="1"/>
  <c r="E142" i="93"/>
  <c r="K154" i="93" s="1"/>
  <c r="E140" i="93"/>
  <c r="E148" i="93"/>
  <c r="G392" i="143"/>
  <c r="G456" i="143"/>
  <c r="G398" i="143"/>
  <c r="G430" i="143"/>
  <c r="G462" i="143"/>
  <c r="B265" i="83"/>
  <c r="D281" i="83" s="1"/>
  <c r="D375" i="83" s="1"/>
  <c r="N271" i="83"/>
  <c r="N365" i="83" s="1"/>
  <c r="E162" i="117"/>
  <c r="M176" i="117" s="1"/>
  <c r="M275" i="117" s="1"/>
  <c r="E160" i="117"/>
  <c r="B161" i="117"/>
  <c r="G170" i="117"/>
  <c r="B28" i="127"/>
  <c r="G288" i="107"/>
  <c r="G272" i="107"/>
  <c r="D162" i="117"/>
  <c r="L176" i="117" s="1"/>
  <c r="F170" i="117"/>
  <c r="D160" i="117"/>
  <c r="D202" i="143"/>
  <c r="D204" i="143"/>
  <c r="D210" i="143" s="1"/>
  <c r="H214" i="143"/>
  <c r="C248" i="135"/>
  <c r="K256" i="135" s="1"/>
  <c r="K292" i="135" s="1"/>
  <c r="G260" i="135"/>
  <c r="G296" i="135" s="1"/>
  <c r="H341" i="135" s="1"/>
  <c r="C59" i="77"/>
  <c r="E67" i="77" s="1"/>
  <c r="E291" i="77" s="1"/>
  <c r="G65" i="77"/>
  <c r="G289" i="77" s="1"/>
  <c r="C200" i="55"/>
  <c r="M210" i="55" s="1"/>
  <c r="M225" i="55" s="1"/>
  <c r="I214" i="55"/>
  <c r="I229" i="55" s="1"/>
  <c r="J274" i="55" s="1"/>
  <c r="D121" i="53"/>
  <c r="D123" i="53"/>
  <c r="J135" i="53" s="1"/>
  <c r="D129" i="53"/>
  <c r="B58" i="135"/>
  <c r="E57" i="135"/>
  <c r="E59" i="135"/>
  <c r="G67" i="135" s="1"/>
  <c r="G292" i="135" s="1"/>
  <c r="H337" i="135" s="1"/>
  <c r="E65" i="135"/>
  <c r="C161" i="143"/>
  <c r="E88" i="91"/>
  <c r="E90" i="91"/>
  <c r="I100" i="91" s="1"/>
  <c r="C94" i="91"/>
  <c r="C202" i="91" s="1"/>
  <c r="D241" i="91" s="1"/>
  <c r="D118" i="131"/>
  <c r="D120" i="131"/>
  <c r="J132" i="131" s="1"/>
  <c r="B124" i="131"/>
  <c r="G311" i="127"/>
  <c r="G351" i="127"/>
  <c r="G295" i="127"/>
  <c r="E247" i="141"/>
  <c r="M261" i="141" s="1"/>
  <c r="E245" i="141"/>
  <c r="G255" i="141"/>
  <c r="C78" i="131"/>
  <c r="G88" i="131" s="1"/>
  <c r="G271" i="131" s="1"/>
  <c r="I86" i="131"/>
  <c r="I269" i="131" s="1"/>
  <c r="J314" i="131" s="1"/>
  <c r="B137" i="63"/>
  <c r="B145" i="63" s="1"/>
  <c r="B223" i="63" s="1"/>
  <c r="C268" i="63" s="1"/>
  <c r="F141" i="63"/>
  <c r="F219" i="63" s="1"/>
  <c r="B107" i="109"/>
  <c r="C140" i="109" s="1"/>
  <c r="B179" i="111"/>
  <c r="B191" i="111" s="1"/>
  <c r="B227" i="111" s="1"/>
  <c r="C272" i="111" s="1"/>
  <c r="J183" i="111"/>
  <c r="J219" i="111" s="1"/>
  <c r="D121" i="51"/>
  <c r="D123" i="51"/>
  <c r="H133" i="51" s="1"/>
  <c r="B127" i="51"/>
  <c r="I225" i="71"/>
  <c r="J270" i="71" s="1"/>
  <c r="E86" i="49"/>
  <c r="I96" i="49" s="1"/>
  <c r="I166" i="49" s="1"/>
  <c r="E84" i="49"/>
  <c r="K98" i="49"/>
  <c r="K168" i="49" s="1"/>
  <c r="D177" i="71"/>
  <c r="D179" i="71"/>
  <c r="L193" i="71" s="1"/>
  <c r="F187" i="71"/>
  <c r="B216" i="83"/>
  <c r="P228" i="83" s="1"/>
  <c r="P372" i="83" s="1"/>
  <c r="J234" i="83"/>
  <c r="J378" i="83" s="1"/>
  <c r="B340" i="81"/>
  <c r="P350" i="81" s="1"/>
  <c r="P369" i="81" s="1"/>
  <c r="H358" i="81"/>
  <c r="H377" i="81" s="1"/>
  <c r="D102" i="49"/>
  <c r="D104" i="49"/>
  <c r="F112" i="49" s="1"/>
  <c r="H114" i="49"/>
  <c r="D28" i="129"/>
  <c r="D34" i="129" s="1"/>
  <c r="D161" i="129" s="1"/>
  <c r="D26" i="129"/>
  <c r="B32" i="129"/>
  <c r="E141" i="41"/>
  <c r="E143" i="41"/>
  <c r="K155" i="41" s="1"/>
  <c r="E149" i="41"/>
  <c r="G230" i="33"/>
  <c r="G204" i="33"/>
  <c r="D34" i="79"/>
  <c r="D36" i="79"/>
  <c r="D42" i="79" s="1"/>
  <c r="D289" i="79" s="1"/>
  <c r="B40" i="79"/>
  <c r="B287" i="79" s="1"/>
  <c r="C338" i="79" s="1"/>
  <c r="E84" i="39"/>
  <c r="E86" i="39"/>
  <c r="K98" i="39" s="1"/>
  <c r="K168" i="39" s="1"/>
  <c r="I96" i="39"/>
  <c r="I166" i="39" s="1"/>
  <c r="E58" i="79"/>
  <c r="E60" i="79"/>
  <c r="G68" i="79" s="1"/>
  <c r="G292" i="79" s="1"/>
  <c r="E66" i="79"/>
  <c r="C142" i="45"/>
  <c r="G154" i="45" s="1"/>
  <c r="G167" i="45" s="1"/>
  <c r="K150" i="45"/>
  <c r="K163" i="45" s="1"/>
  <c r="E57" i="31"/>
  <c r="E59" i="31"/>
  <c r="I69" i="31" s="1"/>
  <c r="I114" i="31" s="1"/>
  <c r="C63" i="31"/>
  <c r="D43" i="113"/>
  <c r="F51" i="113" s="1"/>
  <c r="F130" i="113" s="1"/>
  <c r="D41" i="113"/>
  <c r="D49" i="113"/>
  <c r="D128" i="113" s="1"/>
  <c r="E161" i="113" s="1"/>
  <c r="B23" i="31"/>
  <c r="E24" i="31"/>
  <c r="E30" i="31" s="1"/>
  <c r="E109" i="31" s="1"/>
  <c r="F142" i="31" s="1"/>
  <c r="E22" i="31"/>
  <c r="C28" i="31"/>
  <c r="C107" i="31" s="1"/>
  <c r="D140" i="31" s="1"/>
  <c r="C21" i="11"/>
  <c r="C27" i="11" s="1"/>
  <c r="C66" i="11" s="1"/>
  <c r="E25" i="11"/>
  <c r="E64" i="11" s="1"/>
  <c r="F91" i="11" s="1"/>
  <c r="D51" i="63"/>
  <c r="D53" i="63"/>
  <c r="H63" i="63" s="1"/>
  <c r="B57" i="63"/>
  <c r="B219" i="63" s="1"/>
  <c r="C264" i="63" s="1"/>
  <c r="E25" i="19"/>
  <c r="E31" i="19" s="1"/>
  <c r="E110" i="19" s="1"/>
  <c r="E23" i="19"/>
  <c r="C29" i="19"/>
  <c r="C108" i="19" s="1"/>
  <c r="D141" i="19" s="1"/>
  <c r="G140" i="103"/>
  <c r="G158" i="103"/>
  <c r="D290" i="81"/>
  <c r="F298" i="81" s="1"/>
  <c r="F367" i="81" s="1"/>
  <c r="D288" i="81"/>
  <c r="N306" i="81"/>
  <c r="N375" i="81" s="1"/>
  <c r="E58" i="123"/>
  <c r="E60" i="123"/>
  <c r="G68" i="123" s="1"/>
  <c r="E66" i="123"/>
  <c r="E41" i="137"/>
  <c r="E43" i="137"/>
  <c r="G51" i="137" s="1"/>
  <c r="B42" i="137"/>
  <c r="E49" i="137"/>
  <c r="G388" i="133"/>
  <c r="G436" i="133"/>
  <c r="D57" i="119"/>
  <c r="F65" i="119" s="1"/>
  <c r="D55" i="119"/>
  <c r="D63" i="119"/>
  <c r="D78" i="125"/>
  <c r="B82" i="125" s="1"/>
  <c r="D76" i="125"/>
  <c r="H88" i="125"/>
  <c r="C181" i="141"/>
  <c r="E451" i="141"/>
  <c r="B181" i="141"/>
  <c r="C451" i="141"/>
  <c r="D57" i="99"/>
  <c r="F65" i="99" s="1"/>
  <c r="D55" i="99"/>
  <c r="D63" i="99"/>
  <c r="H191" i="139"/>
  <c r="D181" i="139"/>
  <c r="L195" i="139" s="1"/>
  <c r="D179" i="139"/>
  <c r="E32" i="71"/>
  <c r="E38" i="71" s="1"/>
  <c r="E30" i="71"/>
  <c r="B31" i="71"/>
  <c r="C36" i="71"/>
  <c r="C219" i="71" s="1"/>
  <c r="D264" i="71" s="1"/>
  <c r="C163" i="119"/>
  <c r="G177" i="119" s="1"/>
  <c r="G276" i="119" s="1"/>
  <c r="H321" i="119" s="1"/>
  <c r="M171" i="119"/>
  <c r="M270" i="119" s="1"/>
  <c r="E40" i="105"/>
  <c r="E42" i="105"/>
  <c r="G50" i="105" s="1"/>
  <c r="E48" i="105"/>
  <c r="E110" i="105" s="1"/>
  <c r="F143" i="105" s="1"/>
  <c r="D89" i="81"/>
  <c r="D91" i="81"/>
  <c r="H101" i="81" s="1"/>
  <c r="F99" i="81"/>
  <c r="B205" i="123"/>
  <c r="E204" i="123"/>
  <c r="E206" i="123"/>
  <c r="E212" i="123" s="1"/>
  <c r="I216" i="123"/>
  <c r="D158" i="133"/>
  <c r="D166" i="133"/>
  <c r="D160" i="133"/>
  <c r="L174" i="133" s="1"/>
  <c r="C50" i="127"/>
  <c r="E58" i="127" s="1"/>
  <c r="E185" i="127" s="1"/>
  <c r="G56" i="127"/>
  <c r="G183" i="127" s="1"/>
  <c r="H222" i="127" s="1"/>
  <c r="O446" i="81"/>
  <c r="B111" i="125"/>
  <c r="D121" i="125" s="1"/>
  <c r="D132" i="125" s="1"/>
  <c r="E165" i="125" s="1"/>
  <c r="H117" i="125"/>
  <c r="H128" i="125" s="1"/>
  <c r="C60" i="85"/>
  <c r="G70" i="85" s="1"/>
  <c r="G132" i="85" s="1"/>
  <c r="I68" i="85"/>
  <c r="I130" i="85" s="1"/>
  <c r="C288" i="97"/>
  <c r="D333" i="97" s="1"/>
  <c r="C100" i="93"/>
  <c r="K114" i="93" s="1"/>
  <c r="K276" i="93" s="1"/>
  <c r="M112" i="93"/>
  <c r="M274" i="93" s="1"/>
  <c r="E202" i="139"/>
  <c r="M216" i="139" s="1"/>
  <c r="E200" i="139"/>
  <c r="B201" i="139"/>
  <c r="K214" i="139"/>
  <c r="E91" i="105"/>
  <c r="E93" i="105"/>
  <c r="G101" i="105" s="1"/>
  <c r="C97" i="105"/>
  <c r="G226" i="87"/>
  <c r="G264" i="87"/>
  <c r="G232" i="87"/>
  <c r="D120" i="117"/>
  <c r="H130" i="117" s="1"/>
  <c r="D118" i="117"/>
  <c r="B124" i="117"/>
  <c r="B265" i="117" s="1"/>
  <c r="C310" i="117" s="1"/>
  <c r="J227" i="61"/>
  <c r="E25" i="109"/>
  <c r="E31" i="109" s="1"/>
  <c r="E110" i="109" s="1"/>
  <c r="F143" i="109" s="1"/>
  <c r="E23" i="109"/>
  <c r="C29" i="109"/>
  <c r="E42" i="85"/>
  <c r="E44" i="85"/>
  <c r="G52" i="85" s="1"/>
  <c r="G131" i="85" s="1"/>
  <c r="E50" i="85"/>
  <c r="C118" i="133"/>
  <c r="C130" i="133" s="1"/>
  <c r="C250" i="133" s="1"/>
  <c r="D295" i="133" s="1"/>
  <c r="K122" i="133"/>
  <c r="K242" i="133" s="1"/>
  <c r="G287" i="129"/>
  <c r="G271" i="129"/>
  <c r="E95" i="137"/>
  <c r="G103" i="137" s="1"/>
  <c r="E93" i="137"/>
  <c r="C99" i="137"/>
  <c r="D125" i="115"/>
  <c r="J137" i="115" s="1"/>
  <c r="J188" i="115" s="1"/>
  <c r="D123" i="115"/>
  <c r="D131" i="115"/>
  <c r="B93" i="125"/>
  <c r="E94" i="125"/>
  <c r="G102" i="125" s="1"/>
  <c r="E92" i="125"/>
  <c r="C98" i="125"/>
  <c r="B157" i="111"/>
  <c r="E156" i="111"/>
  <c r="E158" i="111"/>
  <c r="M172" i="111" s="1"/>
  <c r="G166" i="111"/>
  <c r="D54" i="133"/>
  <c r="D56" i="133"/>
  <c r="F64" i="133" s="1"/>
  <c r="D62" i="133"/>
  <c r="D58" i="77"/>
  <c r="D66" i="77"/>
  <c r="D60" i="77"/>
  <c r="F68" i="77" s="1"/>
  <c r="B120" i="141"/>
  <c r="J128" i="141" s="1"/>
  <c r="J269" i="141" s="1"/>
  <c r="F132" i="141"/>
  <c r="F273" i="141" s="1"/>
  <c r="D199" i="55"/>
  <c r="D201" i="55"/>
  <c r="H211" i="55" s="1"/>
  <c r="L215" i="55"/>
  <c r="E124" i="53"/>
  <c r="K136" i="53" s="1"/>
  <c r="E122" i="53"/>
  <c r="E130" i="53"/>
  <c r="B248" i="135"/>
  <c r="J256" i="135" s="1"/>
  <c r="J292" i="135" s="1"/>
  <c r="F260" i="135"/>
  <c r="F296" i="135" s="1"/>
  <c r="C36" i="103"/>
  <c r="E44" i="103" s="1"/>
  <c r="E68" i="103" s="1"/>
  <c r="F95" i="103" s="1"/>
  <c r="G42" i="103"/>
  <c r="G66" i="103" s="1"/>
  <c r="H93" i="103" s="1"/>
  <c r="D64" i="39"/>
  <c r="D66" i="39"/>
  <c r="H76" i="39" s="1"/>
  <c r="H165" i="39" s="1"/>
  <c r="B70" i="39"/>
  <c r="C269" i="97"/>
  <c r="C283" i="97" s="1"/>
  <c r="C298" i="97" s="1"/>
  <c r="D343" i="97" s="1"/>
  <c r="M273" i="97"/>
  <c r="M288" i="97" s="1"/>
  <c r="C288" i="123"/>
  <c r="D333" i="123" s="1"/>
  <c r="C242" i="133"/>
  <c r="D287" i="133" s="1"/>
  <c r="D109" i="109"/>
  <c r="E142" i="109" s="1"/>
  <c r="A259" i="146" l="1"/>
  <c r="M271" i="146" s="1"/>
  <c r="C259" i="146"/>
  <c r="N260" i="146"/>
  <c r="G256" i="146"/>
  <c r="G258" i="146" s="1"/>
  <c r="D257" i="146"/>
  <c r="D295" i="146"/>
  <c r="D294" i="146"/>
  <c r="E295" i="146"/>
  <c r="E294" i="146"/>
  <c r="E257" i="146"/>
  <c r="A258" i="146"/>
  <c r="M270" i="146" s="1"/>
  <c r="C258" i="146"/>
  <c r="E258" i="146"/>
  <c r="F232" i="146"/>
  <c r="H256" i="146" s="1"/>
  <c r="F256" i="146"/>
  <c r="M261" i="146"/>
  <c r="A273" i="146" s="1"/>
  <c r="A285" i="146" s="1"/>
  <c r="I203" i="145"/>
  <c r="J248" i="145" s="1"/>
  <c r="C197" i="145"/>
  <c r="D242" i="145" s="1"/>
  <c r="B199" i="145"/>
  <c r="C244" i="145" s="1"/>
  <c r="D197" i="145"/>
  <c r="E242" i="145" s="1"/>
  <c r="C198" i="145"/>
  <c r="D243" i="145" s="1"/>
  <c r="E196" i="145"/>
  <c r="F241" i="145" s="1"/>
  <c r="E197" i="145"/>
  <c r="F242" i="145" s="1"/>
  <c r="F202" i="145"/>
  <c r="G247" i="145" s="1"/>
  <c r="B196" i="145"/>
  <c r="C241" i="145" s="1"/>
  <c r="F198" i="145"/>
  <c r="G243" i="145" s="1"/>
  <c r="F294" i="145"/>
  <c r="N295" i="145"/>
  <c r="A295" i="145" s="1"/>
  <c r="A305" i="145" s="1"/>
  <c r="N296" i="145"/>
  <c r="A296" i="145" s="1"/>
  <c r="A306" i="145" s="1"/>
  <c r="K265" i="145"/>
  <c r="C265" i="145"/>
  <c r="J265" i="145"/>
  <c r="D265" i="145"/>
  <c r="D294" i="145"/>
  <c r="G294" i="145"/>
  <c r="F259" i="145"/>
  <c r="G265" i="145"/>
  <c r="G259" i="145"/>
  <c r="E259" i="145"/>
  <c r="C259" i="145"/>
  <c r="D259" i="145"/>
  <c r="E265" i="145"/>
  <c r="F265" i="145"/>
  <c r="D258" i="145"/>
  <c r="C258" i="145"/>
  <c r="A258" i="145"/>
  <c r="M270" i="145" s="1"/>
  <c r="I265" i="145"/>
  <c r="A257" i="145"/>
  <c r="M269" i="145" s="1"/>
  <c r="G258" i="145"/>
  <c r="F258" i="145"/>
  <c r="C294" i="145"/>
  <c r="C295" i="145"/>
  <c r="F296" i="145"/>
  <c r="F295" i="145"/>
  <c r="E258" i="145"/>
  <c r="E294" i="145"/>
  <c r="E257" i="145"/>
  <c r="A261" i="145"/>
  <c r="M273" i="145" s="1"/>
  <c r="K261" i="145"/>
  <c r="J261" i="145"/>
  <c r="D261" i="145"/>
  <c r="H261" i="145"/>
  <c r="E261" i="145"/>
  <c r="G261" i="145"/>
  <c r="I261" i="145"/>
  <c r="F261" i="145"/>
  <c r="K259" i="145"/>
  <c r="K258" i="145"/>
  <c r="K294" i="145"/>
  <c r="K296" i="145"/>
  <c r="K257" i="145"/>
  <c r="H258" i="145"/>
  <c r="H296" i="145"/>
  <c r="H294" i="145"/>
  <c r="H259" i="145"/>
  <c r="H257" i="145"/>
  <c r="K260" i="145"/>
  <c r="J260" i="145"/>
  <c r="H260" i="145"/>
  <c r="I260" i="145"/>
  <c r="G260" i="145"/>
  <c r="F260" i="145"/>
  <c r="E260" i="145"/>
  <c r="D260" i="145"/>
  <c r="A260" i="145"/>
  <c r="M272" i="145" s="1"/>
  <c r="K264" i="145"/>
  <c r="J264" i="145"/>
  <c r="H264" i="145"/>
  <c r="G264" i="145"/>
  <c r="F264" i="145"/>
  <c r="E264" i="145"/>
  <c r="D264" i="145"/>
  <c r="I264" i="145"/>
  <c r="C264" i="145"/>
  <c r="A264" i="145"/>
  <c r="M276" i="145" s="1"/>
  <c r="D322" i="145"/>
  <c r="D319" i="145"/>
  <c r="D321" i="145"/>
  <c r="D320" i="145"/>
  <c r="J259" i="145"/>
  <c r="J258" i="145"/>
  <c r="J294" i="145"/>
  <c r="J296" i="145"/>
  <c r="J257" i="145"/>
  <c r="I259" i="145"/>
  <c r="I257" i="145"/>
  <c r="I294" i="145"/>
  <c r="I258" i="145"/>
  <c r="I296" i="145"/>
  <c r="I295" i="145"/>
  <c r="I263" i="145"/>
  <c r="H263" i="145"/>
  <c r="G263" i="145"/>
  <c r="F263" i="145"/>
  <c r="D263" i="145"/>
  <c r="K263" i="145"/>
  <c r="J263" i="145"/>
  <c r="E263" i="145"/>
  <c r="C263" i="145"/>
  <c r="A263" i="145"/>
  <c r="M275" i="145" s="1"/>
  <c r="E262" i="145"/>
  <c r="D262" i="145"/>
  <c r="C262" i="145"/>
  <c r="A262" i="145"/>
  <c r="M274" i="145" s="1"/>
  <c r="J262" i="145"/>
  <c r="I262" i="145"/>
  <c r="H262" i="145"/>
  <c r="G262" i="145"/>
  <c r="K262" i="145"/>
  <c r="F262" i="145"/>
  <c r="H265" i="145"/>
  <c r="H203" i="144"/>
  <c r="I248" i="144" s="1"/>
  <c r="H202" i="144"/>
  <c r="I247" i="144" s="1"/>
  <c r="I202" i="144"/>
  <c r="J247" i="144" s="1"/>
  <c r="I203" i="144"/>
  <c r="J248" i="144" s="1"/>
  <c r="C295" i="144"/>
  <c r="D257" i="144"/>
  <c r="C258" i="144"/>
  <c r="E198" i="144"/>
  <c r="F243" i="144" s="1"/>
  <c r="D198" i="144"/>
  <c r="E243" i="144" s="1"/>
  <c r="D295" i="144"/>
  <c r="C257" i="144"/>
  <c r="E257" i="144"/>
  <c r="E199" i="144"/>
  <c r="F244" i="144" s="1"/>
  <c r="C259" i="144"/>
  <c r="D199" i="144"/>
  <c r="E244" i="144" s="1"/>
  <c r="G244" i="144"/>
  <c r="D296" i="144"/>
  <c r="H243" i="144"/>
  <c r="E295" i="144"/>
  <c r="E296" i="144"/>
  <c r="N263" i="144"/>
  <c r="F263" i="144" s="1"/>
  <c r="E260" i="144"/>
  <c r="M265" i="144"/>
  <c r="A277" i="144" s="1"/>
  <c r="A289" i="144" s="1"/>
  <c r="N261" i="144"/>
  <c r="E261" i="144" s="1"/>
  <c r="G256" i="144"/>
  <c r="M262" i="144"/>
  <c r="A274" i="144" s="1"/>
  <c r="A286" i="144" s="1"/>
  <c r="N262" i="144"/>
  <c r="J262" i="144" s="1"/>
  <c r="F260" i="144"/>
  <c r="M264" i="144"/>
  <c r="A276" i="144" s="1"/>
  <c r="A288" i="144" s="1"/>
  <c r="J294" i="144"/>
  <c r="J296" i="144"/>
  <c r="J257" i="144"/>
  <c r="J295" i="144"/>
  <c r="I256" i="144"/>
  <c r="N265" i="144"/>
  <c r="K256" i="144"/>
  <c r="H256" i="144"/>
  <c r="N264" i="144"/>
  <c r="M261" i="144"/>
  <c r="A273" i="144" s="1"/>
  <c r="A285" i="144" s="1"/>
  <c r="J258" i="144"/>
  <c r="F296" i="144"/>
  <c r="F294" i="144"/>
  <c r="F295" i="144"/>
  <c r="J259" i="144"/>
  <c r="M263" i="144"/>
  <c r="A275" i="144" s="1"/>
  <c r="A287" i="144" s="1"/>
  <c r="J260" i="144"/>
  <c r="H256" i="2"/>
  <c r="H258" i="2" s="1"/>
  <c r="N261" i="2"/>
  <c r="N264" i="2"/>
  <c r="M262" i="2"/>
  <c r="A274" i="2" s="1"/>
  <c r="A286" i="2" s="1"/>
  <c r="M261" i="2"/>
  <c r="A273" i="2" s="1"/>
  <c r="A285" i="2" s="1"/>
  <c r="M263" i="2"/>
  <c r="A275" i="2" s="1"/>
  <c r="A287" i="2" s="1"/>
  <c r="N260" i="2"/>
  <c r="C260" i="2" s="1"/>
  <c r="M264" i="2"/>
  <c r="A276" i="2" s="1"/>
  <c r="A288" i="2" s="1"/>
  <c r="K256" i="2"/>
  <c r="K294" i="2" s="1"/>
  <c r="N262" i="2"/>
  <c r="A262" i="2" s="1"/>
  <c r="M274" i="2" s="1"/>
  <c r="G256" i="2"/>
  <c r="G296" i="2" s="1"/>
  <c r="F256" i="2"/>
  <c r="F258" i="2" s="1"/>
  <c r="J295" i="2"/>
  <c r="J258" i="2"/>
  <c r="M260" i="2"/>
  <c r="A272" i="2" s="1"/>
  <c r="A284" i="2" s="1"/>
  <c r="N263" i="2"/>
  <c r="D263" i="2" s="1"/>
  <c r="C258" i="2"/>
  <c r="D258" i="2"/>
  <c r="D257" i="2"/>
  <c r="C257" i="2"/>
  <c r="D259" i="2"/>
  <c r="C296" i="2"/>
  <c r="C294" i="2"/>
  <c r="G242" i="2"/>
  <c r="D295" i="2"/>
  <c r="C295" i="2"/>
  <c r="D294" i="2"/>
  <c r="I256" i="2"/>
  <c r="I296" i="2" s="1"/>
  <c r="C259" i="2"/>
  <c r="J259" i="2"/>
  <c r="M265" i="2"/>
  <c r="A277" i="2" s="1"/>
  <c r="A289" i="2" s="1"/>
  <c r="N265" i="2"/>
  <c r="A265" i="2" s="1"/>
  <c r="M277" i="2" s="1"/>
  <c r="E258" i="2"/>
  <c r="J257" i="2"/>
  <c r="J296" i="2"/>
  <c r="E259" i="2"/>
  <c r="C288" i="135"/>
  <c r="D333" i="135" s="1"/>
  <c r="I294" i="123"/>
  <c r="M297" i="79"/>
  <c r="C289" i="135"/>
  <c r="D334" i="135" s="1"/>
  <c r="C289" i="123"/>
  <c r="D334" i="123" s="1"/>
  <c r="K295" i="77"/>
  <c r="E221" i="73"/>
  <c r="E173" i="77"/>
  <c r="E175" i="77"/>
  <c r="M189" i="77" s="1"/>
  <c r="E181" i="77"/>
  <c r="C184" i="131"/>
  <c r="M192" i="131" s="1"/>
  <c r="M270" i="131" s="1"/>
  <c r="G198" i="131"/>
  <c r="G276" i="131" s="1"/>
  <c r="L298" i="135"/>
  <c r="C37" i="117"/>
  <c r="C43" i="117" s="1"/>
  <c r="C268" i="117" s="1"/>
  <c r="D313" i="117" s="1"/>
  <c r="E41" i="117"/>
  <c r="E266" i="117" s="1"/>
  <c r="E267" i="141"/>
  <c r="F312" i="141" s="1"/>
  <c r="E162" i="43"/>
  <c r="C219" i="59"/>
  <c r="D264" i="59" s="1"/>
  <c r="K274" i="99"/>
  <c r="J296" i="123"/>
  <c r="D128" i="87"/>
  <c r="D267" i="93"/>
  <c r="E290" i="97"/>
  <c r="D267" i="141"/>
  <c r="E312" i="141" s="1"/>
  <c r="B288" i="97"/>
  <c r="C333" i="97" s="1"/>
  <c r="J209" i="91"/>
  <c r="K273" i="141"/>
  <c r="D161" i="49"/>
  <c r="G163" i="39"/>
  <c r="H202" i="39" s="1"/>
  <c r="E65" i="11"/>
  <c r="F92" i="11" s="1"/>
  <c r="D179" i="73"/>
  <c r="F187" i="73" s="1"/>
  <c r="F223" i="73" s="1"/>
  <c r="E39" i="31"/>
  <c r="M229" i="55"/>
  <c r="K198" i="49"/>
  <c r="H243" i="49"/>
  <c r="C75" i="69"/>
  <c r="E85" i="69" s="1"/>
  <c r="E226" i="69" s="1"/>
  <c r="F271" i="69" s="1"/>
  <c r="I81" i="69"/>
  <c r="I222" i="69" s="1"/>
  <c r="H132" i="113"/>
  <c r="D290" i="97"/>
  <c r="L297" i="79"/>
  <c r="G111" i="25"/>
  <c r="F223" i="111"/>
  <c r="D174" i="77"/>
  <c r="L188" i="77" s="1"/>
  <c r="D172" i="77"/>
  <c r="D180" i="77"/>
  <c r="D289" i="77" s="1"/>
  <c r="H144" i="27"/>
  <c r="E153" i="27"/>
  <c r="G130" i="137"/>
  <c r="K167" i="47"/>
  <c r="M276" i="117"/>
  <c r="G258" i="2"/>
  <c r="G164" i="43"/>
  <c r="H203" i="43" s="1"/>
  <c r="D109" i="17"/>
  <c r="D290" i="121"/>
  <c r="G112" i="33"/>
  <c r="H145" i="33" s="1"/>
  <c r="B36" i="143"/>
  <c r="B42" i="143" s="1"/>
  <c r="B267" i="143" s="1"/>
  <c r="C312" i="143" s="1"/>
  <c r="D40" i="143"/>
  <c r="D265" i="143" s="1"/>
  <c r="E310" i="143" s="1"/>
  <c r="E172" i="77"/>
  <c r="E174" i="77"/>
  <c r="M188" i="77" s="1"/>
  <c r="B173" i="77"/>
  <c r="E180" i="77"/>
  <c r="E289" i="77" s="1"/>
  <c r="C32" i="69"/>
  <c r="C38" i="69" s="1"/>
  <c r="C221" i="69" s="1"/>
  <c r="D266" i="69" s="1"/>
  <c r="E36" i="69"/>
  <c r="E219" i="69" s="1"/>
  <c r="F264" i="69" s="1"/>
  <c r="C108" i="105"/>
  <c r="D141" i="105" s="1"/>
  <c r="F184" i="89"/>
  <c r="D33" i="69"/>
  <c r="D39" i="69" s="1"/>
  <c r="D222" i="69" s="1"/>
  <c r="D31" i="69"/>
  <c r="B37" i="69"/>
  <c r="C37" i="143"/>
  <c r="C43" i="143" s="1"/>
  <c r="C268" i="143" s="1"/>
  <c r="D313" i="143" s="1"/>
  <c r="E41" i="143"/>
  <c r="E266" i="143" s="1"/>
  <c r="F311" i="143" s="1"/>
  <c r="C289" i="121"/>
  <c r="D334" i="121" s="1"/>
  <c r="C289" i="97"/>
  <c r="D334" i="97" s="1"/>
  <c r="G246" i="139"/>
  <c r="H291" i="139" s="1"/>
  <c r="B288" i="135"/>
  <c r="C333" i="135" s="1"/>
  <c r="J273" i="141"/>
  <c r="F223" i="67"/>
  <c r="E221" i="69"/>
  <c r="F266" i="69" s="1"/>
  <c r="C200" i="65"/>
  <c r="E214" i="65" s="1"/>
  <c r="E229" i="65" s="1"/>
  <c r="M206" i="65"/>
  <c r="M221" i="65" s="1"/>
  <c r="B74" i="69"/>
  <c r="D84" i="69" s="1"/>
  <c r="D225" i="69" s="1"/>
  <c r="H80" i="69"/>
  <c r="H221" i="69" s="1"/>
  <c r="B80" i="123"/>
  <c r="H92" i="123" s="1"/>
  <c r="H296" i="123" s="1"/>
  <c r="J90" i="123"/>
  <c r="J294" i="123" s="1"/>
  <c r="B107" i="105"/>
  <c r="C140" i="105" s="1"/>
  <c r="K228" i="111"/>
  <c r="C126" i="137"/>
  <c r="D159" i="137" s="1"/>
  <c r="E289" i="75"/>
  <c r="F163" i="39"/>
  <c r="J296" i="97"/>
  <c r="G111" i="21"/>
  <c r="B159" i="37"/>
  <c r="C198" i="37" s="1"/>
  <c r="B219" i="55"/>
  <c r="C264" i="55" s="1"/>
  <c r="D75" i="69"/>
  <c r="H85" i="69" s="1"/>
  <c r="D73" i="69"/>
  <c r="D81" i="69"/>
  <c r="C201" i="65"/>
  <c r="E215" i="65" s="1"/>
  <c r="E230" i="65" s="1"/>
  <c r="M207" i="65"/>
  <c r="M222" i="65" s="1"/>
  <c r="D201" i="65"/>
  <c r="L215" i="65" s="1"/>
  <c r="D207" i="65"/>
  <c r="D199" i="65"/>
  <c r="D221" i="61"/>
  <c r="E266" i="61" s="1"/>
  <c r="I166" i="51"/>
  <c r="E128" i="137"/>
  <c r="F161" i="137" s="1"/>
  <c r="I271" i="99"/>
  <c r="I113" i="23"/>
  <c r="J250" i="139"/>
  <c r="C159" i="51"/>
  <c r="D198" i="51" s="1"/>
  <c r="C67" i="49"/>
  <c r="C79" i="49" s="1"/>
  <c r="C168" i="49" s="1"/>
  <c r="D207" i="49" s="1"/>
  <c r="K71" i="49"/>
  <c r="K160" i="49" s="1"/>
  <c r="I165" i="129"/>
  <c r="C74" i="69"/>
  <c r="E84" i="69" s="1"/>
  <c r="E225" i="69" s="1"/>
  <c r="F270" i="69" s="1"/>
  <c r="I80" i="69"/>
  <c r="I221" i="69" s="1"/>
  <c r="B32" i="69"/>
  <c r="B38" i="69" s="1"/>
  <c r="B221" i="69" s="1"/>
  <c r="C266" i="69" s="1"/>
  <c r="D36" i="69"/>
  <c r="D219" i="69" s="1"/>
  <c r="C80" i="123"/>
  <c r="I92" i="123" s="1"/>
  <c r="I296" i="123" s="1"/>
  <c r="K90" i="123"/>
  <c r="K294" i="123" s="1"/>
  <c r="M373" i="83"/>
  <c r="N430" i="83" s="1"/>
  <c r="J167" i="129"/>
  <c r="D161" i="53"/>
  <c r="K209" i="91"/>
  <c r="K297" i="97"/>
  <c r="G224" i="55"/>
  <c r="D109" i="29"/>
  <c r="E266" i="69"/>
  <c r="C280" i="69"/>
  <c r="C33" i="69"/>
  <c r="C39" i="69" s="1"/>
  <c r="C222" i="69" s="1"/>
  <c r="D267" i="69" s="1"/>
  <c r="E37" i="69"/>
  <c r="E220" i="69" s="1"/>
  <c r="F265" i="69" s="1"/>
  <c r="B200" i="65"/>
  <c r="D214" i="65" s="1"/>
  <c r="D229" i="65" s="1"/>
  <c r="L206" i="65"/>
  <c r="L221" i="65" s="1"/>
  <c r="E290" i="77"/>
  <c r="I166" i="45"/>
  <c r="H259" i="2"/>
  <c r="C265" i="143"/>
  <c r="D310" i="143" s="1"/>
  <c r="G164" i="45"/>
  <c r="I113" i="17"/>
  <c r="G155" i="17" s="1"/>
  <c r="D316" i="3"/>
  <c r="D79" i="123"/>
  <c r="D81" i="123"/>
  <c r="J93" i="123" s="1"/>
  <c r="H91" i="123"/>
  <c r="I166" i="37"/>
  <c r="L297" i="75"/>
  <c r="G224" i="63"/>
  <c r="H113" i="23"/>
  <c r="O299" i="75"/>
  <c r="I294" i="121"/>
  <c r="O376" i="81"/>
  <c r="P433" i="81" s="1"/>
  <c r="D310" i="3"/>
  <c r="C81" i="123"/>
  <c r="I93" i="123" s="1"/>
  <c r="I297" i="123" s="1"/>
  <c r="K91" i="123"/>
  <c r="K295" i="123" s="1"/>
  <c r="D66" i="129"/>
  <c r="H76" i="129" s="1"/>
  <c r="H165" i="129" s="1"/>
  <c r="B70" i="129"/>
  <c r="B159" i="129" s="1"/>
  <c r="C198" i="129" s="1"/>
  <c r="D64" i="129"/>
  <c r="C66" i="49"/>
  <c r="C78" i="49" s="1"/>
  <c r="C167" i="49" s="1"/>
  <c r="D206" i="49" s="1"/>
  <c r="K70" i="49"/>
  <c r="K159" i="49" s="1"/>
  <c r="B150" i="101"/>
  <c r="L252" i="139"/>
  <c r="I114" i="109"/>
  <c r="B373" i="139"/>
  <c r="G453" i="139" s="1"/>
  <c r="C288" i="121"/>
  <c r="D333" i="121" s="1"/>
  <c r="E64" i="129"/>
  <c r="E66" i="129"/>
  <c r="I76" i="129" s="1"/>
  <c r="B65" i="129"/>
  <c r="C70" i="129"/>
  <c r="C159" i="129" s="1"/>
  <c r="D198" i="129" s="1"/>
  <c r="E67" i="129"/>
  <c r="I77" i="129" s="1"/>
  <c r="I166" i="129" s="1"/>
  <c r="E65" i="129"/>
  <c r="C71" i="129"/>
  <c r="C160" i="129" s="1"/>
  <c r="D199" i="129" s="1"/>
  <c r="D67" i="49"/>
  <c r="J79" i="49" s="1"/>
  <c r="D65" i="49"/>
  <c r="B71" i="49"/>
  <c r="B160" i="49" s="1"/>
  <c r="C199" i="49" s="1"/>
  <c r="L206" i="39"/>
  <c r="I217" i="39"/>
  <c r="M274" i="69"/>
  <c r="J287" i="69"/>
  <c r="H144" i="25"/>
  <c r="E153" i="25"/>
  <c r="K227" i="115"/>
  <c r="G237" i="115"/>
  <c r="N321" i="93"/>
  <c r="K334" i="93"/>
  <c r="G244" i="91"/>
  <c r="E256" i="91"/>
  <c r="G202" i="45"/>
  <c r="D213" i="45"/>
  <c r="K206" i="39"/>
  <c r="H217" i="39"/>
  <c r="H164" i="95"/>
  <c r="E173" i="95"/>
  <c r="F267" i="61"/>
  <c r="D281" i="61"/>
  <c r="K206" i="35"/>
  <c r="H217" i="35"/>
  <c r="L272" i="61"/>
  <c r="I285" i="61"/>
  <c r="L273" i="55"/>
  <c r="I286" i="55"/>
  <c r="G202" i="47"/>
  <c r="E214" i="47"/>
  <c r="N274" i="65"/>
  <c r="K287" i="65"/>
  <c r="H144" i="23"/>
  <c r="E153" i="23"/>
  <c r="G342" i="77"/>
  <c r="E358" i="77"/>
  <c r="G202" i="43"/>
  <c r="D213" i="43"/>
  <c r="F143" i="25"/>
  <c r="C152" i="25"/>
  <c r="O432" i="81"/>
  <c r="L449" i="81"/>
  <c r="F142" i="17"/>
  <c r="D152" i="17"/>
  <c r="G291" i="139"/>
  <c r="C303" i="139"/>
  <c r="D303" i="139"/>
  <c r="L273" i="61"/>
  <c r="I286" i="61"/>
  <c r="F312" i="93"/>
  <c r="D326" i="93"/>
  <c r="H292" i="139"/>
  <c r="D304" i="139"/>
  <c r="J317" i="143"/>
  <c r="D327" i="143"/>
  <c r="C280" i="61"/>
  <c r="J294" i="139"/>
  <c r="F306" i="139"/>
  <c r="H343" i="77"/>
  <c r="F359" i="77"/>
  <c r="J426" i="81"/>
  <c r="H444" i="81"/>
  <c r="L346" i="75"/>
  <c r="I361" i="75"/>
  <c r="G424" i="81"/>
  <c r="E442" i="81"/>
  <c r="L347" i="75"/>
  <c r="I362" i="75"/>
  <c r="F201" i="37"/>
  <c r="D213" i="37"/>
  <c r="L272" i="55"/>
  <c r="I285" i="55"/>
  <c r="N275" i="55"/>
  <c r="K288" i="55"/>
  <c r="G335" i="3"/>
  <c r="G367" i="3"/>
  <c r="G329" i="3"/>
  <c r="E200" i="53"/>
  <c r="C212" i="53"/>
  <c r="I270" i="55"/>
  <c r="G284" i="55"/>
  <c r="J271" i="67"/>
  <c r="G284" i="67"/>
  <c r="L206" i="35"/>
  <c r="I217" i="35"/>
  <c r="P432" i="81"/>
  <c r="M449" i="81"/>
  <c r="H203" i="45"/>
  <c r="E214" i="45"/>
  <c r="J146" i="17"/>
  <c r="G268" i="61"/>
  <c r="E282" i="61"/>
  <c r="J147" i="19"/>
  <c r="G156" i="19"/>
  <c r="E266" i="65"/>
  <c r="C280" i="65"/>
  <c r="J317" i="119"/>
  <c r="F329" i="119"/>
  <c r="I146" i="21"/>
  <c r="F155" i="21"/>
  <c r="J225" i="89"/>
  <c r="G236" i="89"/>
  <c r="G366" i="3"/>
  <c r="G334" i="3"/>
  <c r="G328" i="3"/>
  <c r="N320" i="117"/>
  <c r="J332" i="117"/>
  <c r="C376" i="139"/>
  <c r="H453" i="139" s="1"/>
  <c r="N274" i="69"/>
  <c r="K287" i="69"/>
  <c r="G167" i="101"/>
  <c r="C153" i="101"/>
  <c r="H167" i="101" s="1"/>
  <c r="F200" i="53"/>
  <c r="D212" i="53"/>
  <c r="I270" i="73"/>
  <c r="G284" i="73"/>
  <c r="N348" i="79"/>
  <c r="K363" i="79"/>
  <c r="K346" i="77"/>
  <c r="H361" i="77"/>
  <c r="J146" i="33"/>
  <c r="G155" i="33"/>
  <c r="L346" i="77"/>
  <c r="I361" i="77"/>
  <c r="F266" i="73"/>
  <c r="D280" i="73"/>
  <c r="G424" i="83"/>
  <c r="E442" i="83"/>
  <c r="K346" i="75"/>
  <c r="H361" i="75"/>
  <c r="F201" i="47"/>
  <c r="D213" i="47"/>
  <c r="J147" i="27"/>
  <c r="G156" i="27"/>
  <c r="L319" i="143"/>
  <c r="F329" i="143"/>
  <c r="G144" i="33"/>
  <c r="E154" i="33"/>
  <c r="D90" i="9"/>
  <c r="D100" i="9"/>
  <c r="L273" i="73"/>
  <c r="I286" i="73"/>
  <c r="H202" i="43"/>
  <c r="E213" i="43"/>
  <c r="F200" i="49"/>
  <c r="D212" i="49"/>
  <c r="J205" i="39"/>
  <c r="G216" i="39"/>
  <c r="I146" i="17"/>
  <c r="F155" i="17"/>
  <c r="K272" i="71"/>
  <c r="H285" i="71"/>
  <c r="F335" i="97"/>
  <c r="D349" i="97"/>
  <c r="H163" i="95"/>
  <c r="E172" i="95"/>
  <c r="F243" i="91"/>
  <c r="D255" i="91"/>
  <c r="N274" i="55"/>
  <c r="K287" i="55"/>
  <c r="B57" i="99"/>
  <c r="D65" i="99" s="1"/>
  <c r="D269" i="99" s="1"/>
  <c r="F63" i="99"/>
  <c r="F267" i="99" s="1"/>
  <c r="B247" i="99"/>
  <c r="J255" i="99" s="1"/>
  <c r="J270" i="99" s="1"/>
  <c r="F259" i="99"/>
  <c r="F274" i="99" s="1"/>
  <c r="C267" i="75"/>
  <c r="O277" i="75" s="1"/>
  <c r="O294" i="75" s="1"/>
  <c r="I283" i="75"/>
  <c r="I300" i="75" s="1"/>
  <c r="J351" i="75" s="1"/>
  <c r="H164" i="85"/>
  <c r="E173" i="85"/>
  <c r="K435" i="83"/>
  <c r="I452" i="83"/>
  <c r="I339" i="121"/>
  <c r="D350" i="121"/>
  <c r="L342" i="123"/>
  <c r="G353" i="123"/>
  <c r="M348" i="75"/>
  <c r="J363" i="75"/>
  <c r="J339" i="135"/>
  <c r="G352" i="135"/>
  <c r="B97" i="139"/>
  <c r="F107" i="139" s="1"/>
  <c r="F248" i="139" s="1"/>
  <c r="H105" i="139"/>
  <c r="H246" i="139" s="1"/>
  <c r="B95" i="113"/>
  <c r="B103" i="113" s="1"/>
  <c r="B131" i="113" s="1"/>
  <c r="C164" i="113" s="1"/>
  <c r="F99" i="113"/>
  <c r="F127" i="113" s="1"/>
  <c r="D58" i="97"/>
  <c r="D60" i="97"/>
  <c r="F68" i="97" s="1"/>
  <c r="D66" i="97"/>
  <c r="B85" i="45"/>
  <c r="H93" i="45" s="1"/>
  <c r="H163" i="45" s="1"/>
  <c r="F95" i="45"/>
  <c r="F165" i="45" s="1"/>
  <c r="C124" i="37"/>
  <c r="I130" i="37" s="1"/>
  <c r="I162" i="37" s="1"/>
  <c r="E134" i="37"/>
  <c r="E166" i="37" s="1"/>
  <c r="H268" i="69"/>
  <c r="E281" i="69"/>
  <c r="D140" i="81"/>
  <c r="L154" i="81" s="1"/>
  <c r="L373" i="81" s="1"/>
  <c r="D138" i="81"/>
  <c r="B144" i="81"/>
  <c r="B85" i="53"/>
  <c r="H91" i="53" s="1"/>
  <c r="H161" i="53" s="1"/>
  <c r="D95" i="53"/>
  <c r="D165" i="53" s="1"/>
  <c r="D143" i="41"/>
  <c r="J155" i="41" s="1"/>
  <c r="D141" i="41"/>
  <c r="D149" i="41"/>
  <c r="B102" i="121"/>
  <c r="J116" i="121" s="1"/>
  <c r="J299" i="121" s="1"/>
  <c r="L114" i="121"/>
  <c r="L297" i="121" s="1"/>
  <c r="C57" i="93"/>
  <c r="E65" i="93" s="1"/>
  <c r="E269" i="93" s="1"/>
  <c r="G63" i="93"/>
  <c r="G267" i="93" s="1"/>
  <c r="H312" i="93" s="1"/>
  <c r="C78" i="113"/>
  <c r="I82" i="113" s="1"/>
  <c r="I127" i="113" s="1"/>
  <c r="C88" i="113"/>
  <c r="C133" i="113" s="1"/>
  <c r="D166" i="113" s="1"/>
  <c r="D96" i="139"/>
  <c r="D98" i="139"/>
  <c r="H108" i="139" s="1"/>
  <c r="F106" i="139"/>
  <c r="G163" i="95"/>
  <c r="D172" i="95"/>
  <c r="D173" i="79"/>
  <c r="D175" i="79"/>
  <c r="L189" i="79" s="1"/>
  <c r="D181" i="79"/>
  <c r="Q434" i="81"/>
  <c r="N451" i="81"/>
  <c r="B53" i="69"/>
  <c r="B61" i="69" s="1"/>
  <c r="B223" i="69" s="1"/>
  <c r="C268" i="69" s="1"/>
  <c r="F57" i="69"/>
  <c r="F219" i="69" s="1"/>
  <c r="J312" i="93"/>
  <c r="G326" i="93"/>
  <c r="H269" i="63"/>
  <c r="E282" i="63"/>
  <c r="C266" i="81"/>
  <c r="E282" i="81" s="1"/>
  <c r="E376" i="81" s="1"/>
  <c r="O272" i="81"/>
  <c r="O366" i="81" s="1"/>
  <c r="D86" i="107"/>
  <c r="D92" i="107" s="1"/>
  <c r="D84" i="107"/>
  <c r="H96" i="107"/>
  <c r="H165" i="125"/>
  <c r="D173" i="125"/>
  <c r="C83" i="79"/>
  <c r="G93" i="79" s="1"/>
  <c r="G294" i="79" s="1"/>
  <c r="I91" i="79"/>
  <c r="I292" i="79" s="1"/>
  <c r="J343" i="79" s="1"/>
  <c r="N293" i="133"/>
  <c r="I305" i="133"/>
  <c r="G161" i="95"/>
  <c r="D171" i="95"/>
  <c r="C137" i="57"/>
  <c r="G151" i="57" s="1"/>
  <c r="G229" i="57" s="1"/>
  <c r="M145" i="57"/>
  <c r="M223" i="57" s="1"/>
  <c r="D48" i="115"/>
  <c r="D50" i="115"/>
  <c r="F58" i="115" s="1"/>
  <c r="F185" i="115" s="1"/>
  <c r="D56" i="115"/>
  <c r="C116" i="63"/>
  <c r="K124" i="63" s="1"/>
  <c r="K223" i="63" s="1"/>
  <c r="G128" i="63"/>
  <c r="G227" i="63" s="1"/>
  <c r="C220" i="75"/>
  <c r="M236" i="75" s="1"/>
  <c r="M299" i="75" s="1"/>
  <c r="O234" i="75"/>
  <c r="O297" i="75" s="1"/>
  <c r="E159" i="85"/>
  <c r="C196" i="85"/>
  <c r="D37" i="75"/>
  <c r="D43" i="75" s="1"/>
  <c r="D35" i="75"/>
  <c r="B41" i="75"/>
  <c r="B288" i="75" s="1"/>
  <c r="C339" i="75" s="1"/>
  <c r="B204" i="117"/>
  <c r="H210" i="117" s="1"/>
  <c r="H267" i="117" s="1"/>
  <c r="D214" i="117"/>
  <c r="D271" i="117" s="1"/>
  <c r="C27" i="85"/>
  <c r="C33" i="85" s="1"/>
  <c r="C129" i="85" s="1"/>
  <c r="D162" i="85" s="1"/>
  <c r="E31" i="85"/>
  <c r="E127" i="85" s="1"/>
  <c r="F160" i="85" s="1"/>
  <c r="C33" i="71"/>
  <c r="C39" i="71" s="1"/>
  <c r="C222" i="71" s="1"/>
  <c r="D267" i="71" s="1"/>
  <c r="E37" i="71"/>
  <c r="E220" i="71" s="1"/>
  <c r="C180" i="59"/>
  <c r="M188" i="59" s="1"/>
  <c r="M224" i="59" s="1"/>
  <c r="G194" i="59"/>
  <c r="G230" i="59" s="1"/>
  <c r="B66" i="51"/>
  <c r="F76" i="51" s="1"/>
  <c r="F165" i="51" s="1"/>
  <c r="H74" i="51"/>
  <c r="H163" i="51" s="1"/>
  <c r="C90" i="9"/>
  <c r="C100" i="9"/>
  <c r="B28" i="47"/>
  <c r="B34" i="47" s="1"/>
  <c r="B161" i="47" s="1"/>
  <c r="C200" i="47" s="1"/>
  <c r="D32" i="47"/>
  <c r="D159" i="47" s="1"/>
  <c r="H274" i="59"/>
  <c r="F287" i="59"/>
  <c r="C105" i="43"/>
  <c r="E115" i="43" s="1"/>
  <c r="E166" i="43" s="1"/>
  <c r="I111" i="43"/>
  <c r="I162" i="43" s="1"/>
  <c r="L340" i="75"/>
  <c r="I356" i="75"/>
  <c r="E335" i="121"/>
  <c r="C349" i="121"/>
  <c r="G144" i="105"/>
  <c r="C152" i="105"/>
  <c r="G224" i="65"/>
  <c r="H269" i="65" s="1"/>
  <c r="J269" i="67"/>
  <c r="G282" i="67"/>
  <c r="D46" i="49"/>
  <c r="D48" i="49"/>
  <c r="F56" i="49" s="1"/>
  <c r="D54" i="49"/>
  <c r="C75" i="23"/>
  <c r="I79" i="23" s="1"/>
  <c r="I107" i="23" s="1"/>
  <c r="C85" i="23"/>
  <c r="C113" i="23" s="1"/>
  <c r="D146" i="23" s="1"/>
  <c r="D105" i="89"/>
  <c r="D107" i="89"/>
  <c r="J119" i="89" s="1"/>
  <c r="H117" i="89"/>
  <c r="E342" i="75"/>
  <c r="C358" i="75"/>
  <c r="C85" i="129"/>
  <c r="I91" i="129" s="1"/>
  <c r="I161" i="129" s="1"/>
  <c r="E95" i="129"/>
  <c r="E165" i="129" s="1"/>
  <c r="F204" i="129" s="1"/>
  <c r="C123" i="123"/>
  <c r="C133" i="123" s="1"/>
  <c r="C295" i="123" s="1"/>
  <c r="D340" i="123" s="1"/>
  <c r="I127" i="123"/>
  <c r="I289" i="123" s="1"/>
  <c r="D114" i="81"/>
  <c r="D116" i="81"/>
  <c r="J128" i="81" s="1"/>
  <c r="J372" i="81" s="1"/>
  <c r="H126" i="81"/>
  <c r="J316" i="99"/>
  <c r="G329" i="99"/>
  <c r="D98" i="143"/>
  <c r="D100" i="143"/>
  <c r="L114" i="143" s="1"/>
  <c r="J112" i="143"/>
  <c r="K272" i="55"/>
  <c r="H285" i="55"/>
  <c r="D67" i="53"/>
  <c r="H77" i="53" s="1"/>
  <c r="D65" i="53"/>
  <c r="B71" i="53"/>
  <c r="C200" i="69"/>
  <c r="G214" i="69" s="1"/>
  <c r="G229" i="69" s="1"/>
  <c r="M208" i="69"/>
  <c r="M223" i="69" s="1"/>
  <c r="B207" i="97"/>
  <c r="H213" i="97" s="1"/>
  <c r="H291" i="97" s="1"/>
  <c r="D217" i="97"/>
  <c r="D295" i="97" s="1"/>
  <c r="C59" i="123"/>
  <c r="E67" i="123" s="1"/>
  <c r="E292" i="123" s="1"/>
  <c r="F337" i="123" s="1"/>
  <c r="G65" i="123"/>
  <c r="G290" i="123" s="1"/>
  <c r="H335" i="123" s="1"/>
  <c r="J145" i="27"/>
  <c r="G154" i="27"/>
  <c r="N320" i="93"/>
  <c r="K333" i="93"/>
  <c r="D109" i="21"/>
  <c r="D34" i="11"/>
  <c r="D36" i="11"/>
  <c r="F44" i="11" s="1"/>
  <c r="D42" i="11"/>
  <c r="C75" i="57"/>
  <c r="G85" i="57" s="1"/>
  <c r="G226" i="57" s="1"/>
  <c r="I83" i="57"/>
  <c r="I224" i="57" s="1"/>
  <c r="J269" i="57" s="1"/>
  <c r="C67" i="47"/>
  <c r="C77" i="47" s="1"/>
  <c r="C166" i="47" s="1"/>
  <c r="D205" i="47" s="1"/>
  <c r="I71" i="47"/>
  <c r="I160" i="47" s="1"/>
  <c r="L320" i="117"/>
  <c r="H332" i="117"/>
  <c r="G223" i="89"/>
  <c r="E235" i="89"/>
  <c r="C137" i="73"/>
  <c r="K143" i="73" s="1"/>
  <c r="K221" i="73" s="1"/>
  <c r="E149" i="73"/>
  <c r="E227" i="73" s="1"/>
  <c r="J144" i="27"/>
  <c r="G153" i="27"/>
  <c r="C104" i="45"/>
  <c r="C112" i="45" s="1"/>
  <c r="C163" i="45" s="1"/>
  <c r="D202" i="45" s="1"/>
  <c r="G108" i="45"/>
  <c r="G159" i="45" s="1"/>
  <c r="C85" i="51"/>
  <c r="I97" i="51" s="1"/>
  <c r="I167" i="51" s="1"/>
  <c r="K95" i="51"/>
  <c r="K165" i="51" s="1"/>
  <c r="C144" i="89"/>
  <c r="K152" i="89" s="1"/>
  <c r="K184" i="89" s="1"/>
  <c r="G156" i="89"/>
  <c r="G188" i="89" s="1"/>
  <c r="H227" i="89" s="1"/>
  <c r="B24" i="33"/>
  <c r="B30" i="33" s="1"/>
  <c r="B109" i="33" s="1"/>
  <c r="C142" i="33" s="1"/>
  <c r="D28" i="33"/>
  <c r="D107" i="33" s="1"/>
  <c r="E318" i="117"/>
  <c r="C330" i="117"/>
  <c r="H288" i="139"/>
  <c r="D338" i="139"/>
  <c r="B21" i="7"/>
  <c r="B27" i="7" s="1"/>
  <c r="B66" i="7" s="1"/>
  <c r="C93" i="7" s="1"/>
  <c r="D25" i="7"/>
  <c r="D64" i="7" s="1"/>
  <c r="I113" i="105"/>
  <c r="B20" i="5"/>
  <c r="B26" i="5" s="1"/>
  <c r="B65" i="5" s="1"/>
  <c r="D24" i="5"/>
  <c r="D63" i="5" s="1"/>
  <c r="H272" i="71"/>
  <c r="F285" i="71"/>
  <c r="C57" i="119"/>
  <c r="E65" i="119" s="1"/>
  <c r="E269" i="119" s="1"/>
  <c r="F314" i="119" s="1"/>
  <c r="G63" i="119"/>
  <c r="G267" i="119" s="1"/>
  <c r="H312" i="119" s="1"/>
  <c r="D122" i="43"/>
  <c r="D124" i="43"/>
  <c r="J136" i="43" s="1"/>
  <c r="F132" i="43"/>
  <c r="C92" i="109"/>
  <c r="G102" i="109" s="1"/>
  <c r="G113" i="109" s="1"/>
  <c r="H146" i="109" s="1"/>
  <c r="I100" i="109"/>
  <c r="I111" i="109" s="1"/>
  <c r="B120" i="99"/>
  <c r="B130" i="99" s="1"/>
  <c r="B271" i="99" s="1"/>
  <c r="C316" i="99" s="1"/>
  <c r="H124" i="99"/>
  <c r="H265" i="99" s="1"/>
  <c r="B180" i="65"/>
  <c r="D192" i="65" s="1"/>
  <c r="D228" i="65" s="1"/>
  <c r="J186" i="65"/>
  <c r="J222" i="65" s="1"/>
  <c r="B42" i="27"/>
  <c r="D50" i="27" s="1"/>
  <c r="D112" i="27" s="1"/>
  <c r="F48" i="27"/>
  <c r="F110" i="27" s="1"/>
  <c r="G292" i="75"/>
  <c r="P430" i="81"/>
  <c r="M447" i="81"/>
  <c r="H422" i="83"/>
  <c r="F440" i="83"/>
  <c r="G206" i="53"/>
  <c r="E217" i="53"/>
  <c r="M298" i="77"/>
  <c r="B107" i="127"/>
  <c r="J115" i="127" s="1"/>
  <c r="J185" i="127" s="1"/>
  <c r="F119" i="127"/>
  <c r="F189" i="127" s="1"/>
  <c r="C139" i="139"/>
  <c r="E147" i="139" s="1"/>
  <c r="E246" i="139" s="1"/>
  <c r="F291" i="139" s="1"/>
  <c r="G145" i="139"/>
  <c r="G244" i="139" s="1"/>
  <c r="J167" i="37"/>
  <c r="H341" i="77"/>
  <c r="F357" i="77"/>
  <c r="C126" i="125"/>
  <c r="D159" i="125" s="1"/>
  <c r="D141" i="141"/>
  <c r="F149" i="141" s="1"/>
  <c r="D139" i="141"/>
  <c r="B145" i="141"/>
  <c r="B149" i="103"/>
  <c r="C36" i="7"/>
  <c r="E44" i="7" s="1"/>
  <c r="E68" i="7" s="1"/>
  <c r="F95" i="7" s="1"/>
  <c r="G42" i="7"/>
  <c r="G66" i="7" s="1"/>
  <c r="M230" i="65"/>
  <c r="C95" i="85"/>
  <c r="C103" i="85" s="1"/>
  <c r="C131" i="85" s="1"/>
  <c r="D164" i="85" s="1"/>
  <c r="G99" i="85"/>
  <c r="G127" i="85" s="1"/>
  <c r="D67" i="39"/>
  <c r="H77" i="39" s="1"/>
  <c r="H166" i="39" s="1"/>
  <c r="D65" i="39"/>
  <c r="B71" i="39"/>
  <c r="B158" i="73"/>
  <c r="D172" i="73" s="1"/>
  <c r="D229" i="73" s="1"/>
  <c r="L164" i="73"/>
  <c r="L221" i="73" s="1"/>
  <c r="B48" i="35"/>
  <c r="D56" i="35" s="1"/>
  <c r="D164" i="35" s="1"/>
  <c r="F54" i="35"/>
  <c r="F162" i="35" s="1"/>
  <c r="H142" i="25"/>
  <c r="E179" i="25"/>
  <c r="J264" i="69"/>
  <c r="G317" i="69"/>
  <c r="G163" i="85"/>
  <c r="D172" i="85"/>
  <c r="D246" i="117"/>
  <c r="F254" i="117" s="1"/>
  <c r="D244" i="117"/>
  <c r="J258" i="117"/>
  <c r="L311" i="131"/>
  <c r="I364" i="131"/>
  <c r="E114" i="83"/>
  <c r="E116" i="83"/>
  <c r="K128" i="83" s="1"/>
  <c r="K372" i="83" s="1"/>
  <c r="L429" i="83" s="1"/>
  <c r="I126" i="83"/>
  <c r="I370" i="83" s="1"/>
  <c r="I225" i="63"/>
  <c r="D28" i="39"/>
  <c r="D34" i="39" s="1"/>
  <c r="D161" i="39" s="1"/>
  <c r="D26" i="39"/>
  <c r="B32" i="39"/>
  <c r="B159" i="39" s="1"/>
  <c r="C198" i="39" s="1"/>
  <c r="E161" i="129"/>
  <c r="F200" i="129" s="1"/>
  <c r="C105" i="53"/>
  <c r="I117" i="53" s="1"/>
  <c r="I168" i="53" s="1"/>
  <c r="K115" i="53"/>
  <c r="K166" i="53" s="1"/>
  <c r="E73" i="15"/>
  <c r="E75" i="15"/>
  <c r="I85" i="15" s="1"/>
  <c r="I113" i="15" s="1"/>
  <c r="B74" i="15"/>
  <c r="G83" i="15"/>
  <c r="D119" i="99"/>
  <c r="D121" i="99"/>
  <c r="H131" i="99" s="1"/>
  <c r="B125" i="99"/>
  <c r="D74" i="17"/>
  <c r="D76" i="17"/>
  <c r="H86" i="17" s="1"/>
  <c r="F84" i="17"/>
  <c r="F112" i="17" s="1"/>
  <c r="I198" i="41"/>
  <c r="F243" i="41"/>
  <c r="C158" i="61"/>
  <c r="E168" i="61" s="1"/>
  <c r="E225" i="61" s="1"/>
  <c r="I164" i="61"/>
  <c r="I221" i="61" s="1"/>
  <c r="D110" i="105"/>
  <c r="E143" i="105" s="1"/>
  <c r="E144" i="19"/>
  <c r="C154" i="19"/>
  <c r="D46" i="51"/>
  <c r="D48" i="51"/>
  <c r="F56" i="51" s="1"/>
  <c r="D54" i="51"/>
  <c r="C32" i="67"/>
  <c r="C38" i="67" s="1"/>
  <c r="C221" i="67" s="1"/>
  <c r="D266" i="67" s="1"/>
  <c r="E36" i="67"/>
  <c r="E219" i="67" s="1"/>
  <c r="D138" i="59"/>
  <c r="H148" i="59" s="1"/>
  <c r="D136" i="59"/>
  <c r="L152" i="59"/>
  <c r="E182" i="89"/>
  <c r="B94" i="85"/>
  <c r="B102" i="85" s="1"/>
  <c r="B130" i="85" s="1"/>
  <c r="C163" i="85" s="1"/>
  <c r="F98" i="85"/>
  <c r="F126" i="85" s="1"/>
  <c r="B58" i="21"/>
  <c r="H66" i="21" s="1"/>
  <c r="H111" i="21" s="1"/>
  <c r="F68" i="21"/>
  <c r="F113" i="21" s="1"/>
  <c r="E66" i="5"/>
  <c r="F93" i="5" s="1"/>
  <c r="G270" i="55"/>
  <c r="E284" i="55"/>
  <c r="I166" i="35"/>
  <c r="J270" i="69"/>
  <c r="G283" i="69"/>
  <c r="D46" i="41"/>
  <c r="D48" i="41"/>
  <c r="F56" i="41" s="1"/>
  <c r="D54" i="41"/>
  <c r="E161" i="143"/>
  <c r="E163" i="143"/>
  <c r="M177" i="143" s="1"/>
  <c r="M276" i="143" s="1"/>
  <c r="G171" i="143"/>
  <c r="G270" i="143" s="1"/>
  <c r="H315" i="143" s="1"/>
  <c r="I63" i="31"/>
  <c r="I108" i="31" s="1"/>
  <c r="C59" i="31"/>
  <c r="C69" i="31" s="1"/>
  <c r="C114" i="31" s="1"/>
  <c r="D147" i="31" s="1"/>
  <c r="C142" i="93"/>
  <c r="E154" i="93" s="1"/>
  <c r="E274" i="93" s="1"/>
  <c r="K148" i="93"/>
  <c r="K268" i="93" s="1"/>
  <c r="B200" i="59"/>
  <c r="J208" i="59" s="1"/>
  <c r="J223" i="59" s="1"/>
  <c r="F212" i="59"/>
  <c r="F227" i="59" s="1"/>
  <c r="E161" i="131"/>
  <c r="E163" i="131"/>
  <c r="M177" i="131" s="1"/>
  <c r="E169" i="131"/>
  <c r="E268" i="131" s="1"/>
  <c r="J200" i="39"/>
  <c r="G212" i="39"/>
  <c r="H144" i="105"/>
  <c r="D152" i="105"/>
  <c r="C29" i="49"/>
  <c r="C35" i="49" s="1"/>
  <c r="C162" i="49" s="1"/>
  <c r="D201" i="49" s="1"/>
  <c r="E33" i="49"/>
  <c r="E160" i="49" s="1"/>
  <c r="B42" i="105"/>
  <c r="D50" i="105" s="1"/>
  <c r="D112" i="105" s="1"/>
  <c r="E145" i="105" s="1"/>
  <c r="F48" i="105"/>
  <c r="F110" i="105" s="1"/>
  <c r="D180" i="61"/>
  <c r="J192" i="61" s="1"/>
  <c r="D178" i="61"/>
  <c r="D186" i="61"/>
  <c r="J163" i="85"/>
  <c r="G172" i="85"/>
  <c r="C206" i="123"/>
  <c r="I212" i="123" s="1"/>
  <c r="I290" i="123" s="1"/>
  <c r="E216" i="123"/>
  <c r="E294" i="123" s="1"/>
  <c r="F339" i="123" s="1"/>
  <c r="C143" i="41"/>
  <c r="E155" i="41" s="1"/>
  <c r="E168" i="41" s="1"/>
  <c r="K149" i="41"/>
  <c r="K162" i="41" s="1"/>
  <c r="O350" i="77"/>
  <c r="L365" i="77"/>
  <c r="C87" i="127"/>
  <c r="I99" i="127" s="1"/>
  <c r="I188" i="127" s="1"/>
  <c r="K97" i="127"/>
  <c r="K186" i="127" s="1"/>
  <c r="C163" i="93"/>
  <c r="G177" i="93" s="1"/>
  <c r="G276" i="93" s="1"/>
  <c r="H321" i="93" s="1"/>
  <c r="M171" i="93"/>
  <c r="M270" i="93" s="1"/>
  <c r="G141" i="15"/>
  <c r="D178" i="15"/>
  <c r="C102" i="97"/>
  <c r="K116" i="97" s="1"/>
  <c r="K299" i="97" s="1"/>
  <c r="M114" i="97"/>
  <c r="M297" i="97" s="1"/>
  <c r="B151" i="75"/>
  <c r="J165" i="75" s="1"/>
  <c r="J297" i="75" s="1"/>
  <c r="L163" i="75"/>
  <c r="L295" i="75" s="1"/>
  <c r="N274" i="73"/>
  <c r="K287" i="73"/>
  <c r="B48" i="47"/>
  <c r="D56" i="47" s="1"/>
  <c r="D164" i="47" s="1"/>
  <c r="F54" i="47"/>
  <c r="F162" i="47" s="1"/>
  <c r="C121" i="143"/>
  <c r="C131" i="143" s="1"/>
  <c r="C272" i="143" s="1"/>
  <c r="D317" i="143" s="1"/>
  <c r="I125" i="143"/>
  <c r="I266" i="143" s="1"/>
  <c r="I339" i="123"/>
  <c r="D350" i="123"/>
  <c r="J166" i="95"/>
  <c r="G175" i="95"/>
  <c r="C86" i="35"/>
  <c r="I92" i="35" s="1"/>
  <c r="I162" i="35" s="1"/>
  <c r="E96" i="35"/>
  <c r="E166" i="35" s="1"/>
  <c r="I339" i="135"/>
  <c r="F352" i="135"/>
  <c r="C51" i="9"/>
  <c r="G55" i="9" s="1"/>
  <c r="G64" i="9" s="1"/>
  <c r="H91" i="9" s="1"/>
  <c r="C59" i="9"/>
  <c r="C68" i="9" s="1"/>
  <c r="C97" i="139"/>
  <c r="G107" i="139" s="1"/>
  <c r="G248" i="139" s="1"/>
  <c r="I105" i="139"/>
  <c r="I246" i="139" s="1"/>
  <c r="B41" i="25"/>
  <c r="D49" i="25" s="1"/>
  <c r="D111" i="25" s="1"/>
  <c r="E144" i="25" s="1"/>
  <c r="F47" i="25"/>
  <c r="F109" i="25" s="1"/>
  <c r="C67" i="43"/>
  <c r="G77" i="43" s="1"/>
  <c r="G166" i="43" s="1"/>
  <c r="I75" i="43"/>
  <c r="I164" i="43" s="1"/>
  <c r="C174" i="79"/>
  <c r="E188" i="79" s="1"/>
  <c r="E297" i="79" s="1"/>
  <c r="M180" i="79"/>
  <c r="M289" i="79" s="1"/>
  <c r="I142" i="19"/>
  <c r="F152" i="19"/>
  <c r="C117" i="55"/>
  <c r="C129" i="55" s="1"/>
  <c r="C228" i="55" s="1"/>
  <c r="D273" i="55" s="1"/>
  <c r="K121" i="55"/>
  <c r="K220" i="55" s="1"/>
  <c r="C105" i="49"/>
  <c r="I113" i="49" s="1"/>
  <c r="I164" i="49" s="1"/>
  <c r="G115" i="49"/>
  <c r="G166" i="49" s="1"/>
  <c r="H205" i="49" s="1"/>
  <c r="C49" i="115"/>
  <c r="E57" i="115" s="1"/>
  <c r="E184" i="115" s="1"/>
  <c r="F223" i="115" s="1"/>
  <c r="G55" i="115"/>
  <c r="G182" i="115" s="1"/>
  <c r="H221" i="115" s="1"/>
  <c r="E222" i="71"/>
  <c r="H165" i="51"/>
  <c r="B128" i="77"/>
  <c r="J134" i="77" s="1"/>
  <c r="J289" i="77" s="1"/>
  <c r="D140" i="77"/>
  <c r="D295" i="77" s="1"/>
  <c r="H162" i="95"/>
  <c r="E198" i="95"/>
  <c r="N268" i="59"/>
  <c r="K282" i="59"/>
  <c r="M266" i="61"/>
  <c r="J280" i="61"/>
  <c r="C64" i="9"/>
  <c r="B38" i="121"/>
  <c r="B44" i="121" s="1"/>
  <c r="B290" i="121" s="1"/>
  <c r="C335" i="121" s="1"/>
  <c r="D42" i="121"/>
  <c r="D288" i="121" s="1"/>
  <c r="B99" i="143"/>
  <c r="J113" i="143" s="1"/>
  <c r="J275" i="143" s="1"/>
  <c r="L111" i="143"/>
  <c r="L273" i="143" s="1"/>
  <c r="B185" i="123"/>
  <c r="B197" i="123" s="1"/>
  <c r="B296" i="123" s="1"/>
  <c r="C341" i="123" s="1"/>
  <c r="J189" i="123"/>
  <c r="J288" i="123" s="1"/>
  <c r="C54" i="65"/>
  <c r="E62" i="65" s="1"/>
  <c r="E224" i="65" s="1"/>
  <c r="G60" i="65"/>
  <c r="G222" i="65" s="1"/>
  <c r="H267" i="65" s="1"/>
  <c r="H271" i="67"/>
  <c r="E284" i="67"/>
  <c r="H145" i="21"/>
  <c r="E154" i="21"/>
  <c r="C225" i="93"/>
  <c r="E239" i="93" s="1"/>
  <c r="E275" i="93" s="1"/>
  <c r="M231" i="93"/>
  <c r="M267" i="93" s="1"/>
  <c r="D92" i="9"/>
  <c r="D102" i="9"/>
  <c r="E204" i="39"/>
  <c r="C215" i="39"/>
  <c r="C66" i="47"/>
  <c r="C76" i="47" s="1"/>
  <c r="C165" i="47" s="1"/>
  <c r="D204" i="47" s="1"/>
  <c r="I70" i="47"/>
  <c r="I159" i="47" s="1"/>
  <c r="B141" i="119"/>
  <c r="D153" i="119" s="1"/>
  <c r="D273" i="119" s="1"/>
  <c r="J147" i="119"/>
  <c r="J267" i="119" s="1"/>
  <c r="L318" i="99"/>
  <c r="I331" i="99"/>
  <c r="C87" i="115"/>
  <c r="I93" i="115" s="1"/>
  <c r="I182" i="115" s="1"/>
  <c r="E97" i="115"/>
  <c r="E186" i="115" s="1"/>
  <c r="F225" i="115" s="1"/>
  <c r="H348" i="75"/>
  <c r="F363" i="75"/>
  <c r="B163" i="127"/>
  <c r="B175" i="127" s="1"/>
  <c r="B188" i="127" s="1"/>
  <c r="C227" i="127" s="1"/>
  <c r="J167" i="127"/>
  <c r="J180" i="127" s="1"/>
  <c r="I146" i="31"/>
  <c r="F155" i="31"/>
  <c r="D201" i="69"/>
  <c r="L215" i="69" s="1"/>
  <c r="D199" i="69"/>
  <c r="F209" i="69"/>
  <c r="C270" i="135"/>
  <c r="C284" i="135" s="1"/>
  <c r="C299" i="135" s="1"/>
  <c r="D344" i="135" s="1"/>
  <c r="M274" i="135"/>
  <c r="M289" i="135" s="1"/>
  <c r="C92" i="105"/>
  <c r="C100" i="105" s="1"/>
  <c r="C111" i="105" s="1"/>
  <c r="D144" i="105" s="1"/>
  <c r="G96" i="105"/>
  <c r="G107" i="105" s="1"/>
  <c r="D221" i="77"/>
  <c r="N237" i="77" s="1"/>
  <c r="L235" i="77"/>
  <c r="D219" i="77"/>
  <c r="B201" i="57"/>
  <c r="D215" i="57" s="1"/>
  <c r="D230" i="57" s="1"/>
  <c r="L207" i="57"/>
  <c r="L222" i="57" s="1"/>
  <c r="E200" i="49"/>
  <c r="C212" i="49"/>
  <c r="H147" i="27"/>
  <c r="E156" i="27"/>
  <c r="M274" i="61"/>
  <c r="J287" i="61"/>
  <c r="D141" i="39"/>
  <c r="D143" i="39"/>
  <c r="F151" i="39" s="1"/>
  <c r="J155" i="39"/>
  <c r="D141" i="51"/>
  <c r="D143" i="51"/>
  <c r="H153" i="51" s="1"/>
  <c r="D149" i="51"/>
  <c r="K266" i="65"/>
  <c r="H280" i="65"/>
  <c r="H269" i="55"/>
  <c r="F283" i="55"/>
  <c r="H94" i="11"/>
  <c r="E121" i="11"/>
  <c r="D225" i="131"/>
  <c r="F233" i="131" s="1"/>
  <c r="D223" i="131"/>
  <c r="J237" i="131"/>
  <c r="J273" i="131" s="1"/>
  <c r="B49" i="89"/>
  <c r="D57" i="89" s="1"/>
  <c r="D184" i="89" s="1"/>
  <c r="F55" i="89"/>
  <c r="F182" i="89" s="1"/>
  <c r="J204" i="35"/>
  <c r="G215" i="35"/>
  <c r="C54" i="73"/>
  <c r="E62" i="73" s="1"/>
  <c r="E224" i="73" s="1"/>
  <c r="G60" i="73"/>
  <c r="G222" i="73" s="1"/>
  <c r="B184" i="131"/>
  <c r="L192" i="131" s="1"/>
  <c r="L270" i="131" s="1"/>
  <c r="F198" i="131"/>
  <c r="F276" i="131" s="1"/>
  <c r="I225" i="89"/>
  <c r="F236" i="89"/>
  <c r="H146" i="27"/>
  <c r="E155" i="27"/>
  <c r="C205" i="99"/>
  <c r="I211" i="99" s="1"/>
  <c r="I268" i="99" s="1"/>
  <c r="E215" i="99"/>
  <c r="E272" i="99" s="1"/>
  <c r="C76" i="133"/>
  <c r="G86" i="133" s="1"/>
  <c r="G248" i="133" s="1"/>
  <c r="H293" i="133" s="1"/>
  <c r="I84" i="133"/>
  <c r="I246" i="133" s="1"/>
  <c r="J291" i="133" s="1"/>
  <c r="D84" i="51"/>
  <c r="D86" i="51"/>
  <c r="J98" i="51" s="1"/>
  <c r="H96" i="51"/>
  <c r="K227" i="71"/>
  <c r="B104" i="41"/>
  <c r="J112" i="41" s="1"/>
  <c r="J163" i="41" s="1"/>
  <c r="F116" i="41"/>
  <c r="F167" i="41" s="1"/>
  <c r="N272" i="55"/>
  <c r="K285" i="55"/>
  <c r="C200" i="59"/>
  <c r="K208" i="59" s="1"/>
  <c r="K223" i="59" s="1"/>
  <c r="G212" i="59"/>
  <c r="G227" i="59" s="1"/>
  <c r="D143" i="89"/>
  <c r="D145" i="89"/>
  <c r="F153" i="89" s="1"/>
  <c r="J157" i="89"/>
  <c r="E142" i="33"/>
  <c r="C152" i="33"/>
  <c r="G340" i="77"/>
  <c r="E356" i="77"/>
  <c r="C77" i="87"/>
  <c r="I81" i="87" s="1"/>
  <c r="I126" i="87" s="1"/>
  <c r="C87" i="87"/>
  <c r="C132" i="87" s="1"/>
  <c r="D165" i="87" s="1"/>
  <c r="C116" i="57"/>
  <c r="E128" i="57" s="1"/>
  <c r="E227" i="57" s="1"/>
  <c r="K122" i="57"/>
  <c r="K221" i="57" s="1"/>
  <c r="C58" i="143"/>
  <c r="E66" i="143" s="1"/>
  <c r="E270" i="143" s="1"/>
  <c r="F315" i="143" s="1"/>
  <c r="G64" i="143"/>
  <c r="G268" i="143" s="1"/>
  <c r="H313" i="143" s="1"/>
  <c r="C266" i="131"/>
  <c r="D311" i="131" s="1"/>
  <c r="C20" i="11"/>
  <c r="C26" i="11" s="1"/>
  <c r="C65" i="11" s="1"/>
  <c r="E24" i="11"/>
  <c r="E63" i="11" s="1"/>
  <c r="F90" i="11" s="1"/>
  <c r="E61" i="87"/>
  <c r="I71" i="87" s="1"/>
  <c r="I133" i="87" s="1"/>
  <c r="E59" i="87"/>
  <c r="G69" i="87"/>
  <c r="C58" i="105"/>
  <c r="G68" i="105" s="1"/>
  <c r="G113" i="105" s="1"/>
  <c r="I66" i="105"/>
  <c r="I111" i="105" s="1"/>
  <c r="H160" i="87"/>
  <c r="E197" i="87"/>
  <c r="D74" i="19"/>
  <c r="D76" i="19"/>
  <c r="F84" i="19" s="1"/>
  <c r="H86" i="19"/>
  <c r="L268" i="71"/>
  <c r="I282" i="71"/>
  <c r="B124" i="47"/>
  <c r="D134" i="47" s="1"/>
  <c r="D166" i="47" s="1"/>
  <c r="H130" i="47"/>
  <c r="H162" i="47" s="1"/>
  <c r="D90" i="101"/>
  <c r="D100" i="101"/>
  <c r="B39" i="97"/>
  <c r="B45" i="97" s="1"/>
  <c r="B291" i="97" s="1"/>
  <c r="C336" i="97" s="1"/>
  <c r="D43" i="97"/>
  <c r="D289" i="97" s="1"/>
  <c r="C85" i="37"/>
  <c r="I97" i="37" s="1"/>
  <c r="I167" i="37" s="1"/>
  <c r="K95" i="37"/>
  <c r="K165" i="37" s="1"/>
  <c r="B141" i="83"/>
  <c r="B155" i="83" s="1"/>
  <c r="B374" i="83" s="1"/>
  <c r="C431" i="83" s="1"/>
  <c r="L145" i="83"/>
  <c r="L364" i="83" s="1"/>
  <c r="B225" i="141"/>
  <c r="H237" i="141" s="1"/>
  <c r="H273" i="141" s="1"/>
  <c r="J235" i="141"/>
  <c r="J271" i="141" s="1"/>
  <c r="C123" i="43"/>
  <c r="G135" i="43" s="1"/>
  <c r="G167" i="43" s="1"/>
  <c r="K131" i="43"/>
  <c r="K163" i="43" s="1"/>
  <c r="D91" i="109"/>
  <c r="D93" i="109"/>
  <c r="H103" i="109" s="1"/>
  <c r="F101" i="109"/>
  <c r="C105" i="37"/>
  <c r="K113" i="37" s="1"/>
  <c r="K164" i="37" s="1"/>
  <c r="G117" i="37"/>
  <c r="G168" i="37" s="1"/>
  <c r="H207" i="37" s="1"/>
  <c r="H91" i="7"/>
  <c r="E120" i="7"/>
  <c r="I351" i="79"/>
  <c r="G366" i="79"/>
  <c r="F112" i="27"/>
  <c r="D138" i="55"/>
  <c r="D144" i="55" s="1"/>
  <c r="D136" i="55"/>
  <c r="J150" i="55"/>
  <c r="N432" i="81"/>
  <c r="K449" i="81"/>
  <c r="F424" i="83"/>
  <c r="D442" i="83"/>
  <c r="K202" i="53"/>
  <c r="H214" i="53"/>
  <c r="J290" i="139"/>
  <c r="F340" i="139"/>
  <c r="F333" i="97"/>
  <c r="D386" i="97"/>
  <c r="B99" i="119"/>
  <c r="J113" i="119" s="1"/>
  <c r="J275" i="119" s="1"/>
  <c r="L111" i="119"/>
  <c r="L273" i="119" s="1"/>
  <c r="E247" i="117"/>
  <c r="G255" i="117" s="1"/>
  <c r="E245" i="117"/>
  <c r="K259" i="117"/>
  <c r="F343" i="77"/>
  <c r="D359" i="77"/>
  <c r="C26" i="125"/>
  <c r="C32" i="125" s="1"/>
  <c r="C128" i="125" s="1"/>
  <c r="D161" i="125" s="1"/>
  <c r="E30" i="125"/>
  <c r="E126" i="125" s="1"/>
  <c r="F159" i="125" s="1"/>
  <c r="E333" i="135"/>
  <c r="C386" i="135"/>
  <c r="H95" i="7"/>
  <c r="E102" i="7"/>
  <c r="G200" i="45"/>
  <c r="D212" i="45"/>
  <c r="B92" i="33"/>
  <c r="D102" i="33" s="1"/>
  <c r="D113" i="33" s="1"/>
  <c r="H98" i="33"/>
  <c r="H109" i="33" s="1"/>
  <c r="F144" i="25"/>
  <c r="C153" i="25"/>
  <c r="I271" i="93"/>
  <c r="B43" i="85"/>
  <c r="D51" i="85" s="1"/>
  <c r="D130" i="85" s="1"/>
  <c r="F49" i="85"/>
  <c r="F128" i="85" s="1"/>
  <c r="E244" i="117"/>
  <c r="E246" i="117"/>
  <c r="G254" i="117" s="1"/>
  <c r="B245" i="117"/>
  <c r="K258" i="117"/>
  <c r="K240" i="91"/>
  <c r="H285" i="91"/>
  <c r="C53" i="63"/>
  <c r="C63" i="63" s="1"/>
  <c r="C225" i="63" s="1"/>
  <c r="D270" i="63" s="1"/>
  <c r="I57" i="63"/>
  <c r="I219" i="63" s="1"/>
  <c r="C28" i="129"/>
  <c r="C34" i="129" s="1"/>
  <c r="C161" i="129" s="1"/>
  <c r="D200" i="129" s="1"/>
  <c r="E32" i="129"/>
  <c r="E159" i="129" s="1"/>
  <c r="F198" i="129" s="1"/>
  <c r="H201" i="45"/>
  <c r="E245" i="45"/>
  <c r="C120" i="99"/>
  <c r="C130" i="99" s="1"/>
  <c r="C271" i="99" s="1"/>
  <c r="D316" i="99" s="1"/>
  <c r="I124" i="99"/>
  <c r="I265" i="99" s="1"/>
  <c r="B25" i="105"/>
  <c r="B31" i="105" s="1"/>
  <c r="B110" i="105" s="1"/>
  <c r="C143" i="105" s="1"/>
  <c r="D29" i="105"/>
  <c r="D108" i="105" s="1"/>
  <c r="E141" i="105" s="1"/>
  <c r="C74" i="55"/>
  <c r="G84" i="55" s="1"/>
  <c r="G225" i="55" s="1"/>
  <c r="I82" i="55"/>
  <c r="I223" i="55" s="1"/>
  <c r="J268" i="55" s="1"/>
  <c r="C227" i="121"/>
  <c r="E241" i="121" s="1"/>
  <c r="E298" i="121" s="1"/>
  <c r="F343" i="121" s="1"/>
  <c r="M233" i="121"/>
  <c r="M290" i="121" s="1"/>
  <c r="E161" i="51"/>
  <c r="C47" i="51"/>
  <c r="E55" i="51" s="1"/>
  <c r="E163" i="51" s="1"/>
  <c r="G53" i="51"/>
  <c r="G161" i="51" s="1"/>
  <c r="C142" i="49"/>
  <c r="E152" i="49" s="1"/>
  <c r="E165" i="49" s="1"/>
  <c r="I148" i="49"/>
  <c r="I161" i="49" s="1"/>
  <c r="D31" i="67"/>
  <c r="D33" i="67"/>
  <c r="D39" i="67" s="1"/>
  <c r="B37" i="67"/>
  <c r="B220" i="67" s="1"/>
  <c r="C265" i="67" s="1"/>
  <c r="C137" i="59"/>
  <c r="M147" i="59" s="1"/>
  <c r="M225" i="59" s="1"/>
  <c r="I151" i="59"/>
  <c r="I229" i="59" s="1"/>
  <c r="J274" i="59" s="1"/>
  <c r="C30" i="89"/>
  <c r="C36" i="89" s="1"/>
  <c r="C182" i="89" s="1"/>
  <c r="D221" i="89" s="1"/>
  <c r="E34" i="89"/>
  <c r="E180" i="89" s="1"/>
  <c r="G292" i="3"/>
  <c r="G291" i="3"/>
  <c r="G257" i="3"/>
  <c r="G294" i="3"/>
  <c r="G258" i="3"/>
  <c r="B179" i="67"/>
  <c r="D187" i="67" s="1"/>
  <c r="D223" i="67" s="1"/>
  <c r="E268" i="67" s="1"/>
  <c r="F185" i="67"/>
  <c r="F221" i="67" s="1"/>
  <c r="M270" i="69"/>
  <c r="J283" i="69"/>
  <c r="D94" i="69"/>
  <c r="D96" i="69"/>
  <c r="H106" i="69" s="1"/>
  <c r="H226" i="69" s="1"/>
  <c r="F104" i="69"/>
  <c r="C180" i="127"/>
  <c r="D219" i="127" s="1"/>
  <c r="E200" i="129"/>
  <c r="C212" i="129"/>
  <c r="C182" i="133"/>
  <c r="M190" i="133" s="1"/>
  <c r="M247" i="133" s="1"/>
  <c r="G196" i="133"/>
  <c r="G253" i="133" s="1"/>
  <c r="H298" i="133" s="1"/>
  <c r="L314" i="99"/>
  <c r="I328" i="99"/>
  <c r="D203" i="139"/>
  <c r="L217" i="139" s="1"/>
  <c r="D201" i="139"/>
  <c r="J215" i="139"/>
  <c r="I204" i="39"/>
  <c r="F215" i="39"/>
  <c r="C25" i="19"/>
  <c r="C31" i="19" s="1"/>
  <c r="C110" i="19" s="1"/>
  <c r="D143" i="19" s="1"/>
  <c r="E29" i="19"/>
  <c r="E108" i="19" s="1"/>
  <c r="C86" i="49"/>
  <c r="K96" i="49" s="1"/>
  <c r="K166" i="49" s="1"/>
  <c r="I98" i="49"/>
  <c r="I168" i="49" s="1"/>
  <c r="M274" i="73"/>
  <c r="J287" i="73"/>
  <c r="D91" i="11"/>
  <c r="D101" i="11"/>
  <c r="K168" i="41"/>
  <c r="C200" i="73"/>
  <c r="M210" i="73" s="1"/>
  <c r="M225" i="73" s="1"/>
  <c r="I214" i="73"/>
  <c r="I229" i="73" s="1"/>
  <c r="J274" i="73" s="1"/>
  <c r="L342" i="121"/>
  <c r="G353" i="121"/>
  <c r="F143" i="19"/>
  <c r="D153" i="19"/>
  <c r="C48" i="47"/>
  <c r="E56" i="47" s="1"/>
  <c r="E164" i="47" s="1"/>
  <c r="G54" i="47"/>
  <c r="G162" i="47" s="1"/>
  <c r="H201" i="47" s="1"/>
  <c r="C102" i="123"/>
  <c r="K116" i="123" s="1"/>
  <c r="K299" i="123" s="1"/>
  <c r="M114" i="123"/>
  <c r="M297" i="123" s="1"/>
  <c r="H159" i="113"/>
  <c r="D193" i="113"/>
  <c r="B128" i="91"/>
  <c r="B140" i="91" s="1"/>
  <c r="B210" i="91" s="1"/>
  <c r="C249" i="91" s="1"/>
  <c r="J132" i="91"/>
  <c r="J202" i="91" s="1"/>
  <c r="J147" i="17"/>
  <c r="G156" i="17"/>
  <c r="K314" i="143"/>
  <c r="E358" i="143"/>
  <c r="E163" i="95"/>
  <c r="C172" i="95"/>
  <c r="C108" i="91"/>
  <c r="E120" i="91" s="1"/>
  <c r="E209" i="91" s="1"/>
  <c r="K114" i="91"/>
  <c r="K203" i="91" s="1"/>
  <c r="B142" i="131"/>
  <c r="J148" i="131" s="1"/>
  <c r="J268" i="131" s="1"/>
  <c r="D154" i="131"/>
  <c r="D274" i="131" s="1"/>
  <c r="D115" i="63"/>
  <c r="D117" i="63"/>
  <c r="F125" i="63" s="1"/>
  <c r="J129" i="63"/>
  <c r="D221" i="75"/>
  <c r="N237" i="75" s="1"/>
  <c r="D219" i="75"/>
  <c r="L235" i="75"/>
  <c r="D190" i="83"/>
  <c r="P208" i="83" s="1"/>
  <c r="P377" i="83" s="1"/>
  <c r="D188" i="83"/>
  <c r="N206" i="83"/>
  <c r="C179" i="57"/>
  <c r="I193" i="57" s="1"/>
  <c r="I229" i="57" s="1"/>
  <c r="J274" i="57" s="1"/>
  <c r="M189" i="57"/>
  <c r="M225" i="57" s="1"/>
  <c r="D24" i="9"/>
  <c r="D63" i="9" s="1"/>
  <c r="B20" i="9"/>
  <c r="B26" i="9" s="1"/>
  <c r="B65" i="9" s="1"/>
  <c r="B60" i="77"/>
  <c r="D68" i="77" s="1"/>
  <c r="D292" i="77" s="1"/>
  <c r="F66" i="77"/>
  <c r="F290" i="77" s="1"/>
  <c r="H165" i="85"/>
  <c r="E174" i="85"/>
  <c r="D205" i="123"/>
  <c r="D207" i="123"/>
  <c r="D213" i="123" s="1"/>
  <c r="H217" i="123"/>
  <c r="C227" i="135"/>
  <c r="E241" i="135" s="1"/>
  <c r="E298" i="135" s="1"/>
  <c r="M233" i="135"/>
  <c r="M290" i="135" s="1"/>
  <c r="C121" i="93"/>
  <c r="C131" i="93" s="1"/>
  <c r="C272" i="93" s="1"/>
  <c r="D317" i="93" s="1"/>
  <c r="I125" i="93"/>
  <c r="I266" i="93" s="1"/>
  <c r="C90" i="13"/>
  <c r="C100" i="13"/>
  <c r="J142" i="19"/>
  <c r="G152" i="19"/>
  <c r="B247" i="143"/>
  <c r="J255" i="143" s="1"/>
  <c r="J270" i="143" s="1"/>
  <c r="F259" i="143"/>
  <c r="F274" i="143" s="1"/>
  <c r="G319" i="143" s="1"/>
  <c r="C80" i="135"/>
  <c r="I92" i="135" s="1"/>
  <c r="I296" i="135" s="1"/>
  <c r="K90" i="135"/>
  <c r="K294" i="135" s="1"/>
  <c r="C158" i="59"/>
  <c r="K164" i="59" s="1"/>
  <c r="K221" i="59" s="1"/>
  <c r="E170" i="59"/>
  <c r="E227" i="59" s="1"/>
  <c r="B123" i="35"/>
  <c r="D135" i="35" s="1"/>
  <c r="D167" i="35" s="1"/>
  <c r="J129" i="35"/>
  <c r="J161" i="35" s="1"/>
  <c r="C76" i="17"/>
  <c r="G86" i="17" s="1"/>
  <c r="G114" i="17" s="1"/>
  <c r="H147" i="17" s="1"/>
  <c r="I84" i="17"/>
  <c r="I112" i="17" s="1"/>
  <c r="B36" i="93"/>
  <c r="B42" i="93" s="1"/>
  <c r="B267" i="93" s="1"/>
  <c r="C312" i="93" s="1"/>
  <c r="D40" i="93"/>
  <c r="D265" i="93" s="1"/>
  <c r="H95" i="11"/>
  <c r="E102" i="11"/>
  <c r="K272" i="65"/>
  <c r="H285" i="65"/>
  <c r="B139" i="133"/>
  <c r="J145" i="133" s="1"/>
  <c r="J244" i="133" s="1"/>
  <c r="D151" i="133"/>
  <c r="D250" i="133" s="1"/>
  <c r="C74" i="59"/>
  <c r="G84" i="59" s="1"/>
  <c r="G225" i="59" s="1"/>
  <c r="I82" i="59"/>
  <c r="I223" i="59" s="1"/>
  <c r="J268" i="59" s="1"/>
  <c r="M337" i="135"/>
  <c r="J351" i="135"/>
  <c r="C179" i="61"/>
  <c r="E191" i="61" s="1"/>
  <c r="E227" i="61" s="1"/>
  <c r="K185" i="61"/>
  <c r="K221" i="61" s="1"/>
  <c r="B122" i="123"/>
  <c r="B132" i="123" s="1"/>
  <c r="B294" i="123" s="1"/>
  <c r="C339" i="123" s="1"/>
  <c r="H126" i="123"/>
  <c r="H288" i="123" s="1"/>
  <c r="C124" i="43"/>
  <c r="G136" i="43" s="1"/>
  <c r="G168" i="43" s="1"/>
  <c r="K132" i="43"/>
  <c r="K164" i="43" s="1"/>
  <c r="C59" i="97"/>
  <c r="E67" i="97" s="1"/>
  <c r="E292" i="97" s="1"/>
  <c r="G65" i="97"/>
  <c r="G290" i="97" s="1"/>
  <c r="H335" i="97" s="1"/>
  <c r="B33" i="63"/>
  <c r="B39" i="63" s="1"/>
  <c r="B222" i="63" s="1"/>
  <c r="C267" i="63" s="1"/>
  <c r="D37" i="63"/>
  <c r="D220" i="63" s="1"/>
  <c r="E265" i="63" s="1"/>
  <c r="L203" i="45"/>
  <c r="I214" i="45"/>
  <c r="C78" i="95"/>
  <c r="C88" i="95" s="1"/>
  <c r="C133" i="95" s="1"/>
  <c r="D166" i="95" s="1"/>
  <c r="I82" i="95"/>
  <c r="I127" i="95" s="1"/>
  <c r="C53" i="69"/>
  <c r="C61" i="69" s="1"/>
  <c r="C223" i="69" s="1"/>
  <c r="D268" i="69" s="1"/>
  <c r="G57" i="69"/>
  <c r="G219" i="69" s="1"/>
  <c r="I272" i="65"/>
  <c r="F285" i="65"/>
  <c r="D180" i="55"/>
  <c r="F188" i="55" s="1"/>
  <c r="D178" i="55"/>
  <c r="L194" i="55"/>
  <c r="C123" i="49"/>
  <c r="K129" i="49" s="1"/>
  <c r="K161" i="49" s="1"/>
  <c r="E135" i="49"/>
  <c r="E167" i="49" s="1"/>
  <c r="B96" i="111"/>
  <c r="J110" i="111" s="1"/>
  <c r="J230" i="111" s="1"/>
  <c r="L108" i="111"/>
  <c r="L228" i="111" s="1"/>
  <c r="L272" i="73"/>
  <c r="I285" i="73"/>
  <c r="C126" i="115"/>
  <c r="E138" i="115" s="1"/>
  <c r="E189" i="115" s="1"/>
  <c r="F228" i="115" s="1"/>
  <c r="K132" i="115"/>
  <c r="K183" i="115" s="1"/>
  <c r="C98" i="139"/>
  <c r="G108" i="139" s="1"/>
  <c r="G249" i="139" s="1"/>
  <c r="I106" i="139"/>
  <c r="I247" i="139" s="1"/>
  <c r="G295" i="2"/>
  <c r="G294" i="2"/>
  <c r="G257" i="2"/>
  <c r="C197" i="79"/>
  <c r="M205" i="79" s="1"/>
  <c r="M291" i="79" s="1"/>
  <c r="G211" i="79"/>
  <c r="G297" i="79" s="1"/>
  <c r="H264" i="67"/>
  <c r="E317" i="67"/>
  <c r="E146" i="19"/>
  <c r="C155" i="19"/>
  <c r="B29" i="37"/>
  <c r="B35" i="37" s="1"/>
  <c r="B162" i="37" s="1"/>
  <c r="C201" i="37" s="1"/>
  <c r="D33" i="37"/>
  <c r="D160" i="37" s="1"/>
  <c r="H165" i="47"/>
  <c r="B398" i="143"/>
  <c r="C58" i="93"/>
  <c r="E66" i="93" s="1"/>
  <c r="E270" i="93" s="1"/>
  <c r="G64" i="93"/>
  <c r="G268" i="93" s="1"/>
  <c r="H313" i="93" s="1"/>
  <c r="L248" i="91"/>
  <c r="I259" i="91"/>
  <c r="L224" i="127"/>
  <c r="I266" i="127"/>
  <c r="D25" i="137"/>
  <c r="D27" i="137"/>
  <c r="D33" i="137" s="1"/>
  <c r="B31" i="137"/>
  <c r="J147" i="105"/>
  <c r="F155" i="105"/>
  <c r="C164" i="115"/>
  <c r="C176" i="115" s="1"/>
  <c r="C189" i="115" s="1"/>
  <c r="D228" i="115" s="1"/>
  <c r="K168" i="115"/>
  <c r="K181" i="115" s="1"/>
  <c r="E290" i="79"/>
  <c r="L347" i="77"/>
  <c r="I362" i="77"/>
  <c r="D109" i="91"/>
  <c r="J121" i="91" s="1"/>
  <c r="D107" i="91"/>
  <c r="D115" i="91"/>
  <c r="B266" i="81"/>
  <c r="D282" i="81" s="1"/>
  <c r="D376" i="81" s="1"/>
  <c r="N272" i="81"/>
  <c r="N366" i="81" s="1"/>
  <c r="P350" i="75"/>
  <c r="M365" i="75"/>
  <c r="J434" i="81"/>
  <c r="H451" i="81"/>
  <c r="D180" i="57"/>
  <c r="L194" i="57" s="1"/>
  <c r="D178" i="57"/>
  <c r="H190" i="57"/>
  <c r="B117" i="61"/>
  <c r="J131" i="61" s="1"/>
  <c r="J230" i="61" s="1"/>
  <c r="L129" i="61"/>
  <c r="L228" i="61" s="1"/>
  <c r="B104" i="47"/>
  <c r="J112" i="47" s="1"/>
  <c r="J163" i="47" s="1"/>
  <c r="F116" i="47"/>
  <c r="F167" i="47" s="1"/>
  <c r="B104" i="53"/>
  <c r="H116" i="53" s="1"/>
  <c r="H167" i="53" s="1"/>
  <c r="J114" i="53"/>
  <c r="J165" i="53" s="1"/>
  <c r="B105" i="79"/>
  <c r="B117" i="79" s="1"/>
  <c r="B295" i="79" s="1"/>
  <c r="C346" i="79" s="1"/>
  <c r="J109" i="79"/>
  <c r="J287" i="79" s="1"/>
  <c r="E274" i="61"/>
  <c r="C287" i="61"/>
  <c r="C21" i="9"/>
  <c r="C27" i="9" s="1"/>
  <c r="C66" i="9" s="1"/>
  <c r="E25" i="9"/>
  <c r="E64" i="9" s="1"/>
  <c r="F91" i="9" s="1"/>
  <c r="D96" i="59"/>
  <c r="J108" i="59" s="1"/>
  <c r="D94" i="59"/>
  <c r="B100" i="59"/>
  <c r="P422" i="81"/>
  <c r="M440" i="81"/>
  <c r="C141" i="119"/>
  <c r="E153" i="119" s="1"/>
  <c r="E273" i="119" s="1"/>
  <c r="F318" i="119" s="1"/>
  <c r="K147" i="119"/>
  <c r="K267" i="119" s="1"/>
  <c r="D289" i="75"/>
  <c r="C119" i="133"/>
  <c r="C131" i="133" s="1"/>
  <c r="C251" i="133" s="1"/>
  <c r="D296" i="133" s="1"/>
  <c r="K123" i="133"/>
  <c r="K243" i="133" s="1"/>
  <c r="B75" i="21"/>
  <c r="F81" i="21" s="1"/>
  <c r="F109" i="21" s="1"/>
  <c r="D83" i="21"/>
  <c r="D111" i="21" s="1"/>
  <c r="D226" i="93"/>
  <c r="L240" i="93" s="1"/>
  <c r="D224" i="93"/>
  <c r="D232" i="93"/>
  <c r="C151" i="75"/>
  <c r="K165" i="75" s="1"/>
  <c r="K297" i="75" s="1"/>
  <c r="M163" i="75"/>
  <c r="M295" i="75" s="1"/>
  <c r="I200" i="39"/>
  <c r="F212" i="39"/>
  <c r="F266" i="57"/>
  <c r="D280" i="57"/>
  <c r="D65" i="47"/>
  <c r="D67" i="47"/>
  <c r="H77" i="47" s="1"/>
  <c r="B71" i="47"/>
  <c r="B158" i="65"/>
  <c r="D168" i="65" s="1"/>
  <c r="D225" i="65" s="1"/>
  <c r="H164" i="65"/>
  <c r="H221" i="65" s="1"/>
  <c r="B165" i="121"/>
  <c r="F179" i="121" s="1"/>
  <c r="F299" i="121" s="1"/>
  <c r="G344" i="121" s="1"/>
  <c r="L173" i="121"/>
  <c r="L293" i="121" s="1"/>
  <c r="C166" i="83"/>
  <c r="M182" i="83" s="1"/>
  <c r="M376" i="83" s="1"/>
  <c r="O180" i="83"/>
  <c r="O374" i="83" s="1"/>
  <c r="B35" i="101"/>
  <c r="D43" i="101" s="1"/>
  <c r="D67" i="101" s="1"/>
  <c r="E94" i="101" s="1"/>
  <c r="F41" i="101"/>
  <c r="F65" i="101" s="1"/>
  <c r="G92" i="101" s="1"/>
  <c r="D77" i="99"/>
  <c r="D79" i="99"/>
  <c r="J91" i="99" s="1"/>
  <c r="H89" i="99"/>
  <c r="B162" i="141"/>
  <c r="D170" i="141" s="1"/>
  <c r="D269" i="141" s="1"/>
  <c r="E314" i="141" s="1"/>
  <c r="F168" i="141"/>
  <c r="F267" i="141" s="1"/>
  <c r="N342" i="75"/>
  <c r="K358" i="75"/>
  <c r="B28" i="41"/>
  <c r="B34" i="41" s="1"/>
  <c r="B161" i="41" s="1"/>
  <c r="C200" i="41" s="1"/>
  <c r="D32" i="41"/>
  <c r="D159" i="41" s="1"/>
  <c r="F269" i="131"/>
  <c r="B58" i="31"/>
  <c r="B68" i="31" s="1"/>
  <c r="B113" i="31" s="1"/>
  <c r="C146" i="31" s="1"/>
  <c r="H62" i="31"/>
  <c r="H107" i="31" s="1"/>
  <c r="C138" i="59"/>
  <c r="M148" i="59" s="1"/>
  <c r="M226" i="59" s="1"/>
  <c r="I152" i="59"/>
  <c r="I230" i="59" s="1"/>
  <c r="J275" i="59" s="1"/>
  <c r="K272" i="57"/>
  <c r="H285" i="57"/>
  <c r="D60" i="79"/>
  <c r="F68" i="79" s="1"/>
  <c r="D58" i="79"/>
  <c r="D66" i="79"/>
  <c r="C243" i="79"/>
  <c r="O251" i="79" s="1"/>
  <c r="O291" i="79" s="1"/>
  <c r="G259" i="79"/>
  <c r="G299" i="79" s="1"/>
  <c r="C50" i="5"/>
  <c r="G54" i="5" s="1"/>
  <c r="G63" i="5" s="1"/>
  <c r="H90" i="5" s="1"/>
  <c r="C58" i="5"/>
  <c r="C67" i="5" s="1"/>
  <c r="H142" i="23"/>
  <c r="E179" i="23"/>
  <c r="D91" i="105"/>
  <c r="D93" i="105"/>
  <c r="F101" i="105" s="1"/>
  <c r="B97" i="105"/>
  <c r="B121" i="119"/>
  <c r="B131" i="119" s="1"/>
  <c r="B272" i="119" s="1"/>
  <c r="C317" i="119" s="1"/>
  <c r="H125" i="119"/>
  <c r="H266" i="119" s="1"/>
  <c r="B37" i="93"/>
  <c r="B43" i="93" s="1"/>
  <c r="B268" i="93" s="1"/>
  <c r="C313" i="93" s="1"/>
  <c r="D41" i="93"/>
  <c r="D266" i="93" s="1"/>
  <c r="O299" i="77"/>
  <c r="B28" i="49"/>
  <c r="B34" i="49" s="1"/>
  <c r="B161" i="49" s="1"/>
  <c r="C200" i="49" s="1"/>
  <c r="D32" i="49"/>
  <c r="D159" i="49" s="1"/>
  <c r="G266" i="61"/>
  <c r="E280" i="61"/>
  <c r="C142" i="39"/>
  <c r="K150" i="39" s="1"/>
  <c r="K163" i="39" s="1"/>
  <c r="G154" i="39"/>
  <c r="G167" i="39" s="1"/>
  <c r="H206" i="39" s="1"/>
  <c r="E272" i="65"/>
  <c r="C285" i="65"/>
  <c r="C158" i="65"/>
  <c r="E168" i="65" s="1"/>
  <c r="E225" i="65" s="1"/>
  <c r="I164" i="65"/>
  <c r="I221" i="65" s="1"/>
  <c r="P344" i="75"/>
  <c r="M360" i="75"/>
  <c r="C54" i="55"/>
  <c r="E62" i="55" s="1"/>
  <c r="E224" i="55" s="1"/>
  <c r="G60" i="55"/>
  <c r="G222" i="55" s="1"/>
  <c r="C35" i="11"/>
  <c r="E43" i="11" s="1"/>
  <c r="E67" i="11" s="1"/>
  <c r="F94" i="11" s="1"/>
  <c r="G41" i="11"/>
  <c r="G65" i="11" s="1"/>
  <c r="B185" i="135"/>
  <c r="B197" i="135" s="1"/>
  <c r="B296" i="135" s="1"/>
  <c r="C341" i="135" s="1"/>
  <c r="J189" i="135"/>
  <c r="J288" i="135" s="1"/>
  <c r="E226" i="131"/>
  <c r="G234" i="131" s="1"/>
  <c r="E224" i="131"/>
  <c r="K238" i="131"/>
  <c r="E296" i="2"/>
  <c r="E294" i="2"/>
  <c r="E295" i="2"/>
  <c r="E257" i="2"/>
  <c r="F199" i="37"/>
  <c r="D244" i="37"/>
  <c r="D77" i="133"/>
  <c r="H87" i="133" s="1"/>
  <c r="H249" i="133" s="1"/>
  <c r="D75" i="133"/>
  <c r="F85" i="133"/>
  <c r="K167" i="51"/>
  <c r="C95" i="71"/>
  <c r="C107" i="71" s="1"/>
  <c r="C227" i="71" s="1"/>
  <c r="D272" i="71" s="1"/>
  <c r="K99" i="71"/>
  <c r="K219" i="71" s="1"/>
  <c r="E316" i="93"/>
  <c r="C329" i="93"/>
  <c r="L274" i="55"/>
  <c r="I287" i="55"/>
  <c r="M343" i="121"/>
  <c r="H354" i="121"/>
  <c r="E342" i="77"/>
  <c r="C358" i="77"/>
  <c r="C29" i="41"/>
  <c r="C35" i="41" s="1"/>
  <c r="C162" i="41" s="1"/>
  <c r="D201" i="41" s="1"/>
  <c r="E33" i="41"/>
  <c r="E160" i="41" s="1"/>
  <c r="D76" i="87"/>
  <c r="D78" i="87"/>
  <c r="B82" i="87" s="1"/>
  <c r="H88" i="87"/>
  <c r="C37" i="131"/>
  <c r="C43" i="131" s="1"/>
  <c r="C268" i="131" s="1"/>
  <c r="D313" i="131" s="1"/>
  <c r="E41" i="131"/>
  <c r="E266" i="131" s="1"/>
  <c r="D19" i="11"/>
  <c r="D21" i="11"/>
  <c r="D27" i="11" s="1"/>
  <c r="D66" i="11" s="1"/>
  <c r="E93" i="11" s="1"/>
  <c r="B25" i="11"/>
  <c r="F223" i="63"/>
  <c r="B28" i="37"/>
  <c r="B34" i="37" s="1"/>
  <c r="B161" i="37" s="1"/>
  <c r="C200" i="37" s="1"/>
  <c r="D32" i="37"/>
  <c r="D159" i="37" s="1"/>
  <c r="F226" i="89"/>
  <c r="D237" i="89"/>
  <c r="D58" i="119"/>
  <c r="F66" i="119" s="1"/>
  <c r="D56" i="119"/>
  <c r="D64" i="119"/>
  <c r="B106" i="75"/>
  <c r="B118" i="75" s="1"/>
  <c r="B296" i="75" s="1"/>
  <c r="C347" i="75" s="1"/>
  <c r="J110" i="75"/>
  <c r="J288" i="75" s="1"/>
  <c r="C108" i="33"/>
  <c r="D141" i="33" s="1"/>
  <c r="K287" i="133"/>
  <c r="F334" i="133"/>
  <c r="D84" i="37"/>
  <c r="D86" i="37"/>
  <c r="J98" i="37" s="1"/>
  <c r="H96" i="37"/>
  <c r="O345" i="79"/>
  <c r="L401" i="79"/>
  <c r="E272" i="59"/>
  <c r="C285" i="59"/>
  <c r="C124" i="51"/>
  <c r="C134" i="51" s="1"/>
  <c r="C166" i="51" s="1"/>
  <c r="D205" i="51" s="1"/>
  <c r="I128" i="51"/>
  <c r="I160" i="51" s="1"/>
  <c r="L203" i="53"/>
  <c r="I245" i="53"/>
  <c r="C137" i="55"/>
  <c r="K143" i="55" s="1"/>
  <c r="K221" i="55" s="1"/>
  <c r="E149" i="55"/>
  <c r="E227" i="55" s="1"/>
  <c r="L275" i="119"/>
  <c r="N273" i="69"/>
  <c r="K286" i="69"/>
  <c r="E139" i="81"/>
  <c r="E141" i="81"/>
  <c r="M155" i="81" s="1"/>
  <c r="M374" i="81" s="1"/>
  <c r="C145" i="81"/>
  <c r="E202" i="45"/>
  <c r="C213" i="45"/>
  <c r="C28" i="35"/>
  <c r="C34" i="35" s="1"/>
  <c r="C161" i="35" s="1"/>
  <c r="D200" i="35" s="1"/>
  <c r="E32" i="35"/>
  <c r="E159" i="35" s="1"/>
  <c r="J142" i="23"/>
  <c r="G179" i="23"/>
  <c r="J204" i="39"/>
  <c r="G215" i="39"/>
  <c r="B202" i="139"/>
  <c r="J216" i="139" s="1"/>
  <c r="J252" i="139" s="1"/>
  <c r="L214" i="139"/>
  <c r="L250" i="139" s="1"/>
  <c r="C78" i="93"/>
  <c r="I90" i="93" s="1"/>
  <c r="I273" i="93" s="1"/>
  <c r="K88" i="93"/>
  <c r="K271" i="93" s="1"/>
  <c r="C226" i="143"/>
  <c r="E240" i="143" s="1"/>
  <c r="E276" i="143" s="1"/>
  <c r="F321" i="143" s="1"/>
  <c r="M232" i="143"/>
  <c r="M268" i="143" s="1"/>
  <c r="D54" i="63"/>
  <c r="H64" i="63" s="1"/>
  <c r="D52" i="63"/>
  <c r="B58" i="63"/>
  <c r="D27" i="129"/>
  <c r="D29" i="129"/>
  <c r="D35" i="129" s="1"/>
  <c r="B33" i="129"/>
  <c r="B82" i="77"/>
  <c r="F92" i="77" s="1"/>
  <c r="F293" i="77" s="1"/>
  <c r="H90" i="77"/>
  <c r="H291" i="77" s="1"/>
  <c r="J202" i="43"/>
  <c r="G213" i="43"/>
  <c r="G112" i="23"/>
  <c r="G131" i="137"/>
  <c r="D226" i="121"/>
  <c r="D228" i="121"/>
  <c r="L242" i="121" s="1"/>
  <c r="D234" i="121"/>
  <c r="C28" i="51"/>
  <c r="C34" i="51" s="1"/>
  <c r="C161" i="51" s="1"/>
  <c r="D200" i="51" s="1"/>
  <c r="E32" i="51"/>
  <c r="E159" i="51" s="1"/>
  <c r="B141" i="43"/>
  <c r="E140" i="43"/>
  <c r="E142" i="43"/>
  <c r="K154" i="43" s="1"/>
  <c r="I152" i="43"/>
  <c r="I165" i="43" s="1"/>
  <c r="D143" i="49"/>
  <c r="H153" i="49" s="1"/>
  <c r="D141" i="49"/>
  <c r="D149" i="49"/>
  <c r="C82" i="75"/>
  <c r="G92" i="75" s="1"/>
  <c r="G293" i="75" s="1"/>
  <c r="I90" i="75"/>
  <c r="I291" i="75" s="1"/>
  <c r="J342" i="75" s="1"/>
  <c r="C117" i="73"/>
  <c r="C129" i="73" s="1"/>
  <c r="C228" i="73" s="1"/>
  <c r="D273" i="73" s="1"/>
  <c r="K121" i="73"/>
  <c r="K220" i="73" s="1"/>
  <c r="D29" i="89"/>
  <c r="D31" i="89"/>
  <c r="D37" i="89" s="1"/>
  <c r="B35" i="89"/>
  <c r="J143" i="19"/>
  <c r="G153" i="19"/>
  <c r="F111" i="21"/>
  <c r="I274" i="69"/>
  <c r="F287" i="69"/>
  <c r="B267" i="75"/>
  <c r="N277" i="75" s="1"/>
  <c r="N294" i="75" s="1"/>
  <c r="H283" i="75"/>
  <c r="H300" i="75" s="1"/>
  <c r="C95" i="69"/>
  <c r="G105" i="69" s="1"/>
  <c r="G225" i="69" s="1"/>
  <c r="I103" i="69"/>
  <c r="I223" i="69" s="1"/>
  <c r="C138" i="57"/>
  <c r="G152" i="57" s="1"/>
  <c r="G230" i="57" s="1"/>
  <c r="M146" i="57"/>
  <c r="M224" i="57" s="1"/>
  <c r="C30" i="127"/>
  <c r="C36" i="127" s="1"/>
  <c r="C182" i="127" s="1"/>
  <c r="D221" i="127" s="1"/>
  <c r="E34" i="127"/>
  <c r="E180" i="127" s="1"/>
  <c r="C35" i="13"/>
  <c r="E43" i="13" s="1"/>
  <c r="E67" i="13" s="1"/>
  <c r="F94" i="13" s="1"/>
  <c r="G41" i="13"/>
  <c r="G65" i="13" s="1"/>
  <c r="H92" i="13" s="1"/>
  <c r="N275" i="57"/>
  <c r="K288" i="57"/>
  <c r="E319" i="99"/>
  <c r="C332" i="99"/>
  <c r="M297" i="139"/>
  <c r="I309" i="139"/>
  <c r="C26" i="87"/>
  <c r="C32" i="87" s="1"/>
  <c r="C128" i="87" s="1"/>
  <c r="D161" i="87" s="1"/>
  <c r="E30" i="87"/>
  <c r="E126" i="87" s="1"/>
  <c r="F159" i="87" s="1"/>
  <c r="D95" i="137"/>
  <c r="F103" i="137" s="1"/>
  <c r="D93" i="137"/>
  <c r="B99" i="137"/>
  <c r="B43" i="137"/>
  <c r="D51" i="137" s="1"/>
  <c r="D130" i="137" s="1"/>
  <c r="E163" i="137" s="1"/>
  <c r="F49" i="137"/>
  <c r="F128" i="137" s="1"/>
  <c r="B79" i="131"/>
  <c r="F89" i="131" s="1"/>
  <c r="F272" i="131" s="1"/>
  <c r="H87" i="131"/>
  <c r="H270" i="131" s="1"/>
  <c r="J146" i="109"/>
  <c r="D152" i="109"/>
  <c r="C61" i="113"/>
  <c r="G71" i="113" s="1"/>
  <c r="G133" i="113" s="1"/>
  <c r="I69" i="113"/>
  <c r="I131" i="113" s="1"/>
  <c r="C89" i="91"/>
  <c r="C99" i="91" s="1"/>
  <c r="C207" i="91" s="1"/>
  <c r="D246" i="91" s="1"/>
  <c r="I93" i="91"/>
  <c r="I201" i="91" s="1"/>
  <c r="B66" i="39"/>
  <c r="B76" i="39" s="1"/>
  <c r="B165" i="39" s="1"/>
  <c r="C204" i="39" s="1"/>
  <c r="H70" i="39"/>
  <c r="H159" i="39" s="1"/>
  <c r="B120" i="117"/>
  <c r="B130" i="117" s="1"/>
  <c r="B271" i="117" s="1"/>
  <c r="C316" i="117" s="1"/>
  <c r="H124" i="117"/>
  <c r="H265" i="117" s="1"/>
  <c r="J205" i="49"/>
  <c r="G216" i="49"/>
  <c r="B123" i="53"/>
  <c r="D135" i="53" s="1"/>
  <c r="D167" i="53" s="1"/>
  <c r="J129" i="53"/>
  <c r="J161" i="53" s="1"/>
  <c r="D27" i="87"/>
  <c r="D33" i="87" s="1"/>
  <c r="D25" i="87"/>
  <c r="B31" i="87"/>
  <c r="K341" i="121"/>
  <c r="F352" i="121"/>
  <c r="E40" i="31"/>
  <c r="E42" i="31"/>
  <c r="G50" i="31" s="1"/>
  <c r="G112" i="31" s="1"/>
  <c r="C46" i="31"/>
  <c r="M319" i="99"/>
  <c r="J332" i="99"/>
  <c r="D140" i="107"/>
  <c r="D142" i="107"/>
  <c r="F150" i="107" s="1"/>
  <c r="F163" i="107" s="1"/>
  <c r="J154" i="107"/>
  <c r="B47" i="107"/>
  <c r="D55" i="107" s="1"/>
  <c r="D163" i="107" s="1"/>
  <c r="F53" i="107"/>
  <c r="F161" i="107" s="1"/>
  <c r="D199" i="73"/>
  <c r="D201" i="73"/>
  <c r="H211" i="73" s="1"/>
  <c r="L215" i="73"/>
  <c r="L319" i="141"/>
  <c r="H331" i="141"/>
  <c r="B249" i="135"/>
  <c r="J257" i="135" s="1"/>
  <c r="J293" i="135" s="1"/>
  <c r="F261" i="135"/>
  <c r="F297" i="135" s="1"/>
  <c r="B99" i="131"/>
  <c r="J113" i="131" s="1"/>
  <c r="J275" i="131" s="1"/>
  <c r="L111" i="131"/>
  <c r="L273" i="131" s="1"/>
  <c r="E312" i="93"/>
  <c r="C326" i="93"/>
  <c r="D88" i="91"/>
  <c r="D90" i="91"/>
  <c r="H100" i="91" s="1"/>
  <c r="B94" i="91"/>
  <c r="J311" i="119"/>
  <c r="F361" i="119"/>
  <c r="D52" i="69"/>
  <c r="D54" i="69"/>
  <c r="F62" i="69" s="1"/>
  <c r="B58" i="69"/>
  <c r="B220" i="69" s="1"/>
  <c r="C265" i="69" s="1"/>
  <c r="K270" i="65"/>
  <c r="H283" i="65"/>
  <c r="D58" i="93"/>
  <c r="F66" i="93" s="1"/>
  <c r="D56" i="93"/>
  <c r="D64" i="93"/>
  <c r="B59" i="33"/>
  <c r="F69" i="33" s="1"/>
  <c r="F114" i="33" s="1"/>
  <c r="H67" i="33"/>
  <c r="H112" i="33" s="1"/>
  <c r="C220" i="69"/>
  <c r="D265" i="69" s="1"/>
  <c r="N294" i="133"/>
  <c r="I338" i="133"/>
  <c r="J246" i="91"/>
  <c r="G257" i="91"/>
  <c r="B76" i="25"/>
  <c r="H80" i="25" s="1"/>
  <c r="H108" i="25" s="1"/>
  <c r="B86" i="25"/>
  <c r="B114" i="25" s="1"/>
  <c r="C147" i="25" s="1"/>
  <c r="B341" i="83"/>
  <c r="P351" i="83" s="1"/>
  <c r="P370" i="83" s="1"/>
  <c r="H359" i="83"/>
  <c r="H378" i="83" s="1"/>
  <c r="L202" i="45"/>
  <c r="I213" i="45"/>
  <c r="B92" i="105"/>
  <c r="B100" i="105" s="1"/>
  <c r="B111" i="105" s="1"/>
  <c r="C144" i="105" s="1"/>
  <c r="F96" i="105"/>
  <c r="F107" i="105" s="1"/>
  <c r="C94" i="137"/>
  <c r="C102" i="137" s="1"/>
  <c r="C130" i="137" s="1"/>
  <c r="D163" i="137" s="1"/>
  <c r="G98" i="137"/>
  <c r="G126" i="137" s="1"/>
  <c r="B227" i="135"/>
  <c r="D241" i="135" s="1"/>
  <c r="D298" i="135" s="1"/>
  <c r="L233" i="135"/>
  <c r="L290" i="135" s="1"/>
  <c r="B80" i="121"/>
  <c r="H92" i="121" s="1"/>
  <c r="H296" i="121" s="1"/>
  <c r="J90" i="121"/>
  <c r="J294" i="121" s="1"/>
  <c r="E184" i="141"/>
  <c r="M198" i="141" s="1"/>
  <c r="M276" i="141" s="1"/>
  <c r="E182" i="141"/>
  <c r="I194" i="141"/>
  <c r="I272" i="141" s="1"/>
  <c r="B220" i="77"/>
  <c r="L236" i="77" s="1"/>
  <c r="L299" i="77" s="1"/>
  <c r="N234" i="77"/>
  <c r="N297" i="77" s="1"/>
  <c r="C143" i="51"/>
  <c r="E153" i="51" s="1"/>
  <c r="E166" i="51" s="1"/>
  <c r="I149" i="51"/>
  <c r="I162" i="51" s="1"/>
  <c r="K321" i="99"/>
  <c r="H334" i="99"/>
  <c r="F141" i="25"/>
  <c r="C178" i="25"/>
  <c r="B141" i="107"/>
  <c r="E142" i="107"/>
  <c r="G150" i="107" s="1"/>
  <c r="E140" i="107"/>
  <c r="K154" i="107"/>
  <c r="K167" i="107" s="1"/>
  <c r="L339" i="75"/>
  <c r="I400" i="75"/>
  <c r="D88" i="127"/>
  <c r="J100" i="127" s="1"/>
  <c r="D86" i="127"/>
  <c r="H98" i="127"/>
  <c r="C95" i="137"/>
  <c r="C103" i="137" s="1"/>
  <c r="C131" i="137" s="1"/>
  <c r="D164" i="137" s="1"/>
  <c r="G99" i="137"/>
  <c r="G127" i="137" s="1"/>
  <c r="I161" i="125"/>
  <c r="E195" i="125"/>
  <c r="D267" i="99"/>
  <c r="D42" i="137"/>
  <c r="D44" i="137"/>
  <c r="F52" i="137" s="1"/>
  <c r="D50" i="137"/>
  <c r="H225" i="63"/>
  <c r="H206" i="45"/>
  <c r="E217" i="45"/>
  <c r="B28" i="129"/>
  <c r="B34" i="129" s="1"/>
  <c r="B161" i="129" s="1"/>
  <c r="C200" i="129" s="1"/>
  <c r="D32" i="129"/>
  <c r="D159" i="129" s="1"/>
  <c r="N270" i="55"/>
  <c r="K284" i="55"/>
  <c r="D28" i="127"/>
  <c r="D30" i="127"/>
  <c r="D36" i="127" s="1"/>
  <c r="D182" i="127" s="1"/>
  <c r="B34" i="127"/>
  <c r="B180" i="127" s="1"/>
  <c r="C219" i="127" s="1"/>
  <c r="D42" i="85"/>
  <c r="D44" i="85"/>
  <c r="F52" i="85" s="1"/>
  <c r="D50" i="85"/>
  <c r="B61" i="85"/>
  <c r="F71" i="85" s="1"/>
  <c r="F133" i="85" s="1"/>
  <c r="H69" i="85"/>
  <c r="H131" i="85" s="1"/>
  <c r="H271" i="117"/>
  <c r="K228" i="57"/>
  <c r="C96" i="111"/>
  <c r="K110" i="111" s="1"/>
  <c r="K230" i="111" s="1"/>
  <c r="M108" i="111"/>
  <c r="M228" i="111" s="1"/>
  <c r="C77" i="113"/>
  <c r="I81" i="113" s="1"/>
  <c r="I126" i="113" s="1"/>
  <c r="C87" i="113"/>
  <c r="C132" i="113" s="1"/>
  <c r="D165" i="113" s="1"/>
  <c r="B112" i="125"/>
  <c r="D122" i="125" s="1"/>
  <c r="D133" i="125" s="1"/>
  <c r="E166" i="125" s="1"/>
  <c r="H118" i="125"/>
  <c r="H129" i="125" s="1"/>
  <c r="D161" i="139"/>
  <c r="J173" i="139" s="1"/>
  <c r="D159" i="139"/>
  <c r="F169" i="139"/>
  <c r="P422" i="83"/>
  <c r="M440" i="83"/>
  <c r="L227" i="127"/>
  <c r="I238" i="127"/>
  <c r="D228" i="135"/>
  <c r="L242" i="135" s="1"/>
  <c r="D226" i="135"/>
  <c r="D234" i="135"/>
  <c r="D59" i="113"/>
  <c r="D61" i="113"/>
  <c r="H71" i="113" s="1"/>
  <c r="F69" i="113"/>
  <c r="K313" i="99"/>
  <c r="H327" i="99"/>
  <c r="C185" i="91"/>
  <c r="K193" i="91" s="1"/>
  <c r="K206" i="91" s="1"/>
  <c r="G197" i="91"/>
  <c r="G210" i="91" s="1"/>
  <c r="H249" i="91" s="1"/>
  <c r="B20" i="13"/>
  <c r="B26" i="13" s="1"/>
  <c r="B65" i="13" s="1"/>
  <c r="D24" i="13"/>
  <c r="D63" i="13" s="1"/>
  <c r="F146" i="19"/>
  <c r="D155" i="19"/>
  <c r="D81" i="135"/>
  <c r="J93" i="135" s="1"/>
  <c r="D79" i="135"/>
  <c r="H91" i="135"/>
  <c r="H340" i="75"/>
  <c r="F356" i="75"/>
  <c r="D159" i="59"/>
  <c r="D165" i="59" s="1"/>
  <c r="D157" i="59"/>
  <c r="J171" i="59"/>
  <c r="D72" i="63"/>
  <c r="D74" i="63"/>
  <c r="J86" i="63" s="1"/>
  <c r="J227" i="63" s="1"/>
  <c r="D80" i="63"/>
  <c r="D221" i="63" s="1"/>
  <c r="E266" i="63" s="1"/>
  <c r="K338" i="121"/>
  <c r="F384" i="121"/>
  <c r="C225" i="99"/>
  <c r="E239" i="99" s="1"/>
  <c r="E275" i="99" s="1"/>
  <c r="M231" i="99"/>
  <c r="M267" i="99" s="1"/>
  <c r="B92" i="17"/>
  <c r="D102" i="17" s="1"/>
  <c r="D113" i="17" s="1"/>
  <c r="H98" i="17"/>
  <c r="H109" i="17" s="1"/>
  <c r="C36" i="11"/>
  <c r="E44" i="11" s="1"/>
  <c r="E68" i="11" s="1"/>
  <c r="F95" i="11" s="1"/>
  <c r="G42" i="11"/>
  <c r="G66" i="11" s="1"/>
  <c r="D73" i="29"/>
  <c r="D75" i="29"/>
  <c r="B79" i="29" s="1"/>
  <c r="H85" i="29"/>
  <c r="D73" i="59"/>
  <c r="D75" i="59"/>
  <c r="H85" i="59" s="1"/>
  <c r="H226" i="59" s="1"/>
  <c r="F83" i="59"/>
  <c r="G343" i="135"/>
  <c r="E356" i="135"/>
  <c r="L240" i="91"/>
  <c r="I285" i="91"/>
  <c r="F198" i="53"/>
  <c r="D243" i="53"/>
  <c r="G146" i="31"/>
  <c r="D155" i="31"/>
  <c r="H207" i="45"/>
  <c r="E218" i="45"/>
  <c r="K228" i="67"/>
  <c r="C86" i="51"/>
  <c r="I98" i="51" s="1"/>
  <c r="I168" i="51" s="1"/>
  <c r="K96" i="51"/>
  <c r="K166" i="51" s="1"/>
  <c r="F265" i="65"/>
  <c r="D318" i="65"/>
  <c r="C179" i="55"/>
  <c r="M187" i="55" s="1"/>
  <c r="M223" i="55" s="1"/>
  <c r="G193" i="55"/>
  <c r="G229" i="55" s="1"/>
  <c r="D124" i="49"/>
  <c r="D130" i="49" s="1"/>
  <c r="D162" i="49" s="1"/>
  <c r="D122" i="49"/>
  <c r="J136" i="49"/>
  <c r="C175" i="79"/>
  <c r="E189" i="79" s="1"/>
  <c r="E298" i="79" s="1"/>
  <c r="M181" i="79"/>
  <c r="M290" i="79" s="1"/>
  <c r="C249" i="123"/>
  <c r="K257" i="123" s="1"/>
  <c r="K293" i="123" s="1"/>
  <c r="G261" i="123"/>
  <c r="G297" i="123" s="1"/>
  <c r="H342" i="123" s="1"/>
  <c r="B80" i="135"/>
  <c r="H92" i="135" s="1"/>
  <c r="H296" i="135" s="1"/>
  <c r="J90" i="135"/>
  <c r="J294" i="135" s="1"/>
  <c r="L252" i="133"/>
  <c r="F111" i="25"/>
  <c r="C108" i="27"/>
  <c r="D141" i="27" s="1"/>
  <c r="D196" i="79"/>
  <c r="D198" i="79"/>
  <c r="F206" i="79" s="1"/>
  <c r="L212" i="79"/>
  <c r="C225" i="117"/>
  <c r="E239" i="117" s="1"/>
  <c r="E275" i="117" s="1"/>
  <c r="M231" i="117"/>
  <c r="M267" i="117" s="1"/>
  <c r="B105" i="35"/>
  <c r="H117" i="35" s="1"/>
  <c r="H168" i="35" s="1"/>
  <c r="J115" i="35"/>
  <c r="J166" i="35" s="1"/>
  <c r="C54" i="69"/>
  <c r="C62" i="69" s="1"/>
  <c r="C224" i="69" s="1"/>
  <c r="D269" i="69" s="1"/>
  <c r="G58" i="69"/>
  <c r="G220" i="69" s="1"/>
  <c r="B66" i="47"/>
  <c r="B76" i="47" s="1"/>
  <c r="B165" i="47" s="1"/>
  <c r="C204" i="47" s="1"/>
  <c r="H70" i="47"/>
  <c r="H159" i="47" s="1"/>
  <c r="D226" i="97"/>
  <c r="D228" i="97"/>
  <c r="L242" i="97" s="1"/>
  <c r="D234" i="97"/>
  <c r="D291" i="97" s="1"/>
  <c r="C142" i="117"/>
  <c r="E154" i="117" s="1"/>
  <c r="E274" i="117" s="1"/>
  <c r="K148" i="117"/>
  <c r="K268" i="117" s="1"/>
  <c r="G270" i="93"/>
  <c r="H315" i="93" s="1"/>
  <c r="C70" i="91"/>
  <c r="I82" i="91" s="1"/>
  <c r="I209" i="91" s="1"/>
  <c r="K80" i="91"/>
  <c r="K207" i="91" s="1"/>
  <c r="L224" i="115"/>
  <c r="H264" i="115"/>
  <c r="C26" i="137"/>
  <c r="C32" i="137" s="1"/>
  <c r="C128" i="137" s="1"/>
  <c r="D161" i="137" s="1"/>
  <c r="E30" i="137"/>
  <c r="E126" i="137" s="1"/>
  <c r="F159" i="137" s="1"/>
  <c r="C59" i="105"/>
  <c r="G69" i="105" s="1"/>
  <c r="G114" i="105" s="1"/>
  <c r="I67" i="105"/>
  <c r="I112" i="105" s="1"/>
  <c r="K265" i="57"/>
  <c r="H318" i="57"/>
  <c r="C37" i="79"/>
  <c r="C43" i="79" s="1"/>
  <c r="C290" i="79" s="1"/>
  <c r="D341" i="79" s="1"/>
  <c r="E41" i="79"/>
  <c r="E288" i="79" s="1"/>
  <c r="F267" i="67"/>
  <c r="C280" i="67"/>
  <c r="E144" i="15"/>
  <c r="C153" i="15"/>
  <c r="J312" i="143"/>
  <c r="D356" i="143"/>
  <c r="D202" i="131"/>
  <c r="D204" i="131"/>
  <c r="H214" i="131" s="1"/>
  <c r="L218" i="131"/>
  <c r="R426" i="81"/>
  <c r="O444" i="81"/>
  <c r="E92" i="7"/>
  <c r="C100" i="7"/>
  <c r="J167" i="53"/>
  <c r="C76" i="105"/>
  <c r="I80" i="105" s="1"/>
  <c r="I108" i="105" s="1"/>
  <c r="C86" i="105"/>
  <c r="C114" i="105" s="1"/>
  <c r="D147" i="105" s="1"/>
  <c r="F268" i="61"/>
  <c r="D282" i="61"/>
  <c r="J295" i="79"/>
  <c r="G224" i="67"/>
  <c r="K227" i="59"/>
  <c r="F432" i="81"/>
  <c r="D449" i="81"/>
  <c r="D142" i="119"/>
  <c r="J154" i="119" s="1"/>
  <c r="D140" i="119"/>
  <c r="D148" i="119"/>
  <c r="B36" i="75"/>
  <c r="B42" i="75" s="1"/>
  <c r="B289" i="75" s="1"/>
  <c r="C340" i="75" s="1"/>
  <c r="D40" i="75"/>
  <c r="D287" i="75" s="1"/>
  <c r="C33" i="111"/>
  <c r="C39" i="111" s="1"/>
  <c r="C222" i="111" s="1"/>
  <c r="D267" i="111" s="1"/>
  <c r="E37" i="111"/>
  <c r="E220" i="111" s="1"/>
  <c r="F265" i="111" s="1"/>
  <c r="B99" i="141"/>
  <c r="H107" i="141" s="1"/>
  <c r="H269" i="141" s="1"/>
  <c r="F109" i="141"/>
  <c r="F271" i="141" s="1"/>
  <c r="C59" i="21"/>
  <c r="I67" i="21" s="1"/>
  <c r="I112" i="21" s="1"/>
  <c r="G69" i="21"/>
  <c r="G114" i="21" s="1"/>
  <c r="D150" i="75"/>
  <c r="D152" i="75"/>
  <c r="L166" i="75" s="1"/>
  <c r="J164" i="75"/>
  <c r="J296" i="75" s="1"/>
  <c r="I295" i="97"/>
  <c r="E198" i="53"/>
  <c r="C243" i="53"/>
  <c r="C32" i="57"/>
  <c r="C38" i="57" s="1"/>
  <c r="C221" i="57" s="1"/>
  <c r="D266" i="57" s="1"/>
  <c r="E36" i="57"/>
  <c r="E219" i="57" s="1"/>
  <c r="C28" i="43"/>
  <c r="C34" i="43" s="1"/>
  <c r="C161" i="43" s="1"/>
  <c r="D200" i="43" s="1"/>
  <c r="E32" i="43"/>
  <c r="E159" i="43" s="1"/>
  <c r="I165" i="47"/>
  <c r="H267" i="63"/>
  <c r="E280" i="63"/>
  <c r="B36" i="103"/>
  <c r="D44" i="103" s="1"/>
  <c r="D68" i="103" s="1"/>
  <c r="E95" i="103" s="1"/>
  <c r="F42" i="103"/>
  <c r="F66" i="103" s="1"/>
  <c r="G93" i="103" s="1"/>
  <c r="C78" i="99"/>
  <c r="I90" i="99" s="1"/>
  <c r="I273" i="99" s="1"/>
  <c r="K88" i="99"/>
  <c r="K271" i="99" s="1"/>
  <c r="D88" i="115"/>
  <c r="D94" i="115" s="1"/>
  <c r="D86" i="115"/>
  <c r="H98" i="115"/>
  <c r="B57" i="131"/>
  <c r="D65" i="131" s="1"/>
  <c r="D269" i="131" s="1"/>
  <c r="F63" i="131"/>
  <c r="F267" i="131" s="1"/>
  <c r="B95" i="57"/>
  <c r="J109" i="57" s="1"/>
  <c r="J229" i="57" s="1"/>
  <c r="L107" i="57"/>
  <c r="L227" i="57" s="1"/>
  <c r="G291" i="79"/>
  <c r="D242" i="79"/>
  <c r="D244" i="79"/>
  <c r="F252" i="79" s="1"/>
  <c r="N260" i="79"/>
  <c r="D51" i="5"/>
  <c r="B55" i="5" s="1"/>
  <c r="D49" i="5"/>
  <c r="F59" i="5"/>
  <c r="F144" i="23"/>
  <c r="C153" i="23"/>
  <c r="B60" i="137"/>
  <c r="F70" i="137" s="1"/>
  <c r="F132" i="137" s="1"/>
  <c r="H68" i="137"/>
  <c r="H130" i="137" s="1"/>
  <c r="L334" i="97"/>
  <c r="I387" i="97"/>
  <c r="C220" i="77"/>
  <c r="M236" i="77" s="1"/>
  <c r="M299" i="77" s="1"/>
  <c r="O234" i="77"/>
  <c r="O297" i="77" s="1"/>
  <c r="B74" i="67"/>
  <c r="F86" i="67" s="1"/>
  <c r="F227" i="67" s="1"/>
  <c r="J82" i="67"/>
  <c r="J223" i="67" s="1"/>
  <c r="C112" i="87"/>
  <c r="E122" i="87" s="1"/>
  <c r="E133" i="87" s="1"/>
  <c r="F166" i="87" s="1"/>
  <c r="I118" i="87"/>
  <c r="I129" i="87" s="1"/>
  <c r="C59" i="121"/>
  <c r="E67" i="121" s="1"/>
  <c r="E292" i="121" s="1"/>
  <c r="F337" i="121" s="1"/>
  <c r="G65" i="121"/>
  <c r="G290" i="121" s="1"/>
  <c r="H335" i="121" s="1"/>
  <c r="E268" i="61"/>
  <c r="C282" i="61"/>
  <c r="B243" i="79"/>
  <c r="N251" i="79" s="1"/>
  <c r="N291" i="79" s="1"/>
  <c r="F259" i="79"/>
  <c r="F299" i="79" s="1"/>
  <c r="C142" i="51"/>
  <c r="E152" i="51" s="1"/>
  <c r="E165" i="51" s="1"/>
  <c r="I148" i="51"/>
  <c r="I161" i="51" s="1"/>
  <c r="D157" i="65"/>
  <c r="D159" i="65"/>
  <c r="H169" i="65" s="1"/>
  <c r="D165" i="65"/>
  <c r="E272" i="55"/>
  <c r="C285" i="55"/>
  <c r="B201" i="61"/>
  <c r="D215" i="61" s="1"/>
  <c r="D230" i="61" s="1"/>
  <c r="L207" i="61"/>
  <c r="L222" i="61" s="1"/>
  <c r="B42" i="21"/>
  <c r="B52" i="21" s="1"/>
  <c r="B114" i="21" s="1"/>
  <c r="C147" i="21" s="1"/>
  <c r="H46" i="21"/>
  <c r="H108" i="21" s="1"/>
  <c r="C92" i="33"/>
  <c r="E102" i="33" s="1"/>
  <c r="E113" i="33" s="1"/>
  <c r="I98" i="33"/>
  <c r="I109" i="33" s="1"/>
  <c r="B112" i="137"/>
  <c r="D122" i="137" s="1"/>
  <c r="D133" i="137" s="1"/>
  <c r="E166" i="137" s="1"/>
  <c r="H118" i="137"/>
  <c r="H129" i="137" s="1"/>
  <c r="B25" i="17"/>
  <c r="B31" i="17" s="1"/>
  <c r="B110" i="17" s="1"/>
  <c r="C143" i="17" s="1"/>
  <c r="D29" i="17"/>
  <c r="D108" i="17" s="1"/>
  <c r="J273" i="99"/>
  <c r="C225" i="141"/>
  <c r="I237" i="141" s="1"/>
  <c r="I273" i="141" s="1"/>
  <c r="K235" i="141"/>
  <c r="K271" i="141" s="1"/>
  <c r="K227" i="57"/>
  <c r="C94" i="101"/>
  <c r="C118" i="101"/>
  <c r="D96" i="71"/>
  <c r="J108" i="71" s="1"/>
  <c r="D94" i="71"/>
  <c r="B100" i="71"/>
  <c r="C120" i="93"/>
  <c r="C130" i="93" s="1"/>
  <c r="C271" i="93" s="1"/>
  <c r="D316" i="93" s="1"/>
  <c r="I124" i="93"/>
  <c r="I265" i="93" s="1"/>
  <c r="I312" i="93"/>
  <c r="F326" i="93"/>
  <c r="C244" i="79"/>
  <c r="O252" i="79" s="1"/>
  <c r="O292" i="79" s="1"/>
  <c r="G260" i="79"/>
  <c r="G300" i="79" s="1"/>
  <c r="D199" i="59"/>
  <c r="D201" i="59"/>
  <c r="F209" i="59" s="1"/>
  <c r="J213" i="59"/>
  <c r="B107" i="27"/>
  <c r="C140" i="27" s="1"/>
  <c r="I272" i="93"/>
  <c r="D115" i="57"/>
  <c r="D123" i="57"/>
  <c r="D117" i="57"/>
  <c r="J129" i="57" s="1"/>
  <c r="M252" i="139"/>
  <c r="C175" i="75"/>
  <c r="E189" i="75" s="1"/>
  <c r="E298" i="75" s="1"/>
  <c r="M181" i="75"/>
  <c r="M290" i="75" s="1"/>
  <c r="H161" i="95"/>
  <c r="E171" i="95"/>
  <c r="K296" i="2"/>
  <c r="B75" i="25"/>
  <c r="H79" i="25" s="1"/>
  <c r="H107" i="25" s="1"/>
  <c r="B85" i="25"/>
  <c r="B113" i="25" s="1"/>
  <c r="C146" i="25" s="1"/>
  <c r="B95" i="63"/>
  <c r="H103" i="63" s="1"/>
  <c r="H223" i="63" s="1"/>
  <c r="F105" i="63"/>
  <c r="F225" i="63" s="1"/>
  <c r="D161" i="37"/>
  <c r="J222" i="89"/>
  <c r="G234" i="89"/>
  <c r="C25" i="33"/>
  <c r="C31" i="33" s="1"/>
  <c r="C110" i="33" s="1"/>
  <c r="D143" i="33" s="1"/>
  <c r="E29" i="33"/>
  <c r="E108" i="33" s="1"/>
  <c r="K333" i="97"/>
  <c r="H386" i="97"/>
  <c r="L312" i="117"/>
  <c r="H326" i="117"/>
  <c r="K167" i="37"/>
  <c r="E221" i="65"/>
  <c r="C120" i="143"/>
  <c r="C130" i="143" s="1"/>
  <c r="C271" i="143" s="1"/>
  <c r="D316" i="143" s="1"/>
  <c r="I124" i="143"/>
  <c r="I265" i="143" s="1"/>
  <c r="D91" i="31"/>
  <c r="D93" i="31"/>
  <c r="D99" i="31" s="1"/>
  <c r="F101" i="31"/>
  <c r="B197" i="77"/>
  <c r="L205" i="77" s="1"/>
  <c r="L291" i="77" s="1"/>
  <c r="F211" i="77"/>
  <c r="F297" i="77" s="1"/>
  <c r="B111" i="87"/>
  <c r="D121" i="87" s="1"/>
  <c r="D132" i="87" s="1"/>
  <c r="H117" i="87"/>
  <c r="H128" i="87" s="1"/>
  <c r="K266" i="59"/>
  <c r="H280" i="59"/>
  <c r="C159" i="61"/>
  <c r="E169" i="61" s="1"/>
  <c r="E226" i="61" s="1"/>
  <c r="I165" i="61"/>
  <c r="I222" i="61" s="1"/>
  <c r="C138" i="55"/>
  <c r="K144" i="55" s="1"/>
  <c r="K222" i="55" s="1"/>
  <c r="E150" i="55"/>
  <c r="E228" i="55" s="1"/>
  <c r="B105" i="107"/>
  <c r="H117" i="107" s="1"/>
  <c r="H168" i="107" s="1"/>
  <c r="J115" i="107"/>
  <c r="J166" i="107" s="1"/>
  <c r="L275" i="69"/>
  <c r="I288" i="69"/>
  <c r="D25" i="125"/>
  <c r="D27" i="125"/>
  <c r="D33" i="125" s="1"/>
  <c r="B31" i="125"/>
  <c r="E139" i="141"/>
  <c r="B140" i="141"/>
  <c r="E141" i="141"/>
  <c r="G149" i="141" s="1"/>
  <c r="C145" i="141"/>
  <c r="C265" i="141" s="1"/>
  <c r="D310" i="141" s="1"/>
  <c r="E161" i="35"/>
  <c r="F146" i="23"/>
  <c r="C155" i="23"/>
  <c r="C51" i="5"/>
  <c r="G55" i="5" s="1"/>
  <c r="G64" i="5" s="1"/>
  <c r="H91" i="5" s="1"/>
  <c r="C59" i="5"/>
  <c r="C68" i="5" s="1"/>
  <c r="C66" i="39"/>
  <c r="C76" i="39" s="1"/>
  <c r="C165" i="39" s="1"/>
  <c r="D204" i="39" s="1"/>
  <c r="I70" i="39"/>
  <c r="I159" i="39" s="1"/>
  <c r="L338" i="75"/>
  <c r="I399" i="75"/>
  <c r="B158" i="111"/>
  <c r="F172" i="111" s="1"/>
  <c r="F229" i="111" s="1"/>
  <c r="L166" i="111"/>
  <c r="L223" i="111" s="1"/>
  <c r="L223" i="127"/>
  <c r="I235" i="127"/>
  <c r="D77" i="93"/>
  <c r="D79" i="93"/>
  <c r="J91" i="93" s="1"/>
  <c r="H89" i="93"/>
  <c r="G287" i="139"/>
  <c r="C337" i="139"/>
  <c r="C143" i="47"/>
  <c r="E155" i="47" s="1"/>
  <c r="E168" i="47" s="1"/>
  <c r="K149" i="47"/>
  <c r="K162" i="47" s="1"/>
  <c r="C95" i="125"/>
  <c r="C103" i="125" s="1"/>
  <c r="C131" i="125" s="1"/>
  <c r="D164" i="125" s="1"/>
  <c r="G99" i="125"/>
  <c r="G127" i="125" s="1"/>
  <c r="I344" i="77"/>
  <c r="G360" i="77"/>
  <c r="H204" i="43"/>
  <c r="E215" i="43"/>
  <c r="C42" i="23"/>
  <c r="E50" i="23" s="1"/>
  <c r="E112" i="23" s="1"/>
  <c r="G48" i="23"/>
  <c r="G110" i="23" s="1"/>
  <c r="D221" i="57"/>
  <c r="C44" i="137"/>
  <c r="E52" i="137" s="1"/>
  <c r="E131" i="137" s="1"/>
  <c r="F164" i="137" s="1"/>
  <c r="G50" i="137"/>
  <c r="G129" i="137" s="1"/>
  <c r="B104" i="51"/>
  <c r="J108" i="51" s="1"/>
  <c r="J159" i="51" s="1"/>
  <c r="B116" i="51"/>
  <c r="B167" i="51" s="1"/>
  <c r="C206" i="51" s="1"/>
  <c r="D73" i="55"/>
  <c r="D75" i="55"/>
  <c r="H85" i="55" s="1"/>
  <c r="H226" i="55" s="1"/>
  <c r="F83" i="55"/>
  <c r="D29" i="51"/>
  <c r="D35" i="51" s="1"/>
  <c r="D162" i="51" s="1"/>
  <c r="E201" i="51" s="1"/>
  <c r="D27" i="51"/>
  <c r="B33" i="51"/>
  <c r="D110" i="27"/>
  <c r="D81" i="75"/>
  <c r="D83" i="75"/>
  <c r="H93" i="75" s="1"/>
  <c r="H294" i="75" s="1"/>
  <c r="F91" i="75"/>
  <c r="B179" i="73"/>
  <c r="L187" i="73" s="1"/>
  <c r="L223" i="73" s="1"/>
  <c r="F193" i="73"/>
  <c r="F229" i="73" s="1"/>
  <c r="G140" i="21"/>
  <c r="D177" i="21"/>
  <c r="F147" i="19"/>
  <c r="D156" i="19"/>
  <c r="E240" i="91"/>
  <c r="C285" i="91"/>
  <c r="R435" i="81"/>
  <c r="O452" i="81"/>
  <c r="C107" i="23"/>
  <c r="D140" i="23" s="1"/>
  <c r="D31" i="127"/>
  <c r="D37" i="127" s="1"/>
  <c r="D29" i="127"/>
  <c r="B35" i="127"/>
  <c r="D36" i="13"/>
  <c r="F44" i="13" s="1"/>
  <c r="F68" i="13" s="1"/>
  <c r="G95" i="13" s="1"/>
  <c r="D34" i="13"/>
  <c r="D42" i="13"/>
  <c r="E73" i="63"/>
  <c r="E75" i="63"/>
  <c r="K87" i="63" s="1"/>
  <c r="K228" i="63" s="1"/>
  <c r="E81" i="63"/>
  <c r="E222" i="63" s="1"/>
  <c r="C122" i="121"/>
  <c r="C132" i="121" s="1"/>
  <c r="C294" i="121" s="1"/>
  <c r="D339" i="121" s="1"/>
  <c r="I126" i="121"/>
  <c r="I288" i="121" s="1"/>
  <c r="H141" i="21"/>
  <c r="E178" i="21"/>
  <c r="D141" i="129"/>
  <c r="D143" i="129"/>
  <c r="F151" i="129" s="1"/>
  <c r="J155" i="129"/>
  <c r="G484" i="141"/>
  <c r="C399" i="141"/>
  <c r="H484" i="141" s="1"/>
  <c r="B97" i="133"/>
  <c r="J111" i="133" s="1"/>
  <c r="J252" i="133" s="1"/>
  <c r="L109" i="133"/>
  <c r="L250" i="133" s="1"/>
  <c r="C93" i="25"/>
  <c r="C101" i="25" s="1"/>
  <c r="C112" i="25" s="1"/>
  <c r="D145" i="25" s="1"/>
  <c r="G97" i="25"/>
  <c r="G108" i="25" s="1"/>
  <c r="E142" i="17"/>
  <c r="C152" i="17"/>
  <c r="D224" i="117"/>
  <c r="D226" i="117"/>
  <c r="L240" i="117" s="1"/>
  <c r="L276" i="117" s="1"/>
  <c r="D232" i="117"/>
  <c r="B226" i="143"/>
  <c r="D240" i="143" s="1"/>
  <c r="D276" i="143" s="1"/>
  <c r="E321" i="143" s="1"/>
  <c r="L232" i="143"/>
  <c r="L268" i="143" s="1"/>
  <c r="B32" i="67"/>
  <c r="B38" i="67" s="1"/>
  <c r="B221" i="67" s="1"/>
  <c r="C266" i="67" s="1"/>
  <c r="D36" i="67"/>
  <c r="D219" i="67" s="1"/>
  <c r="E264" i="67" s="1"/>
  <c r="E267" i="69"/>
  <c r="C319" i="69"/>
  <c r="D138" i="61"/>
  <c r="F146" i="61" s="1"/>
  <c r="D136" i="61"/>
  <c r="L152" i="61"/>
  <c r="L230" i="61" s="1"/>
  <c r="C93" i="109"/>
  <c r="G103" i="109" s="1"/>
  <c r="G114" i="109" s="1"/>
  <c r="H147" i="109" s="1"/>
  <c r="I101" i="109"/>
  <c r="I112" i="109" s="1"/>
  <c r="C33" i="67"/>
  <c r="C39" i="67" s="1"/>
  <c r="C222" i="67" s="1"/>
  <c r="D267" i="67" s="1"/>
  <c r="E37" i="67"/>
  <c r="E220" i="67" s="1"/>
  <c r="D93" i="101"/>
  <c r="D117" i="101"/>
  <c r="E190" i="83"/>
  <c r="Q208" i="83" s="1"/>
  <c r="Q377" i="83" s="1"/>
  <c r="B189" i="83"/>
  <c r="E188" i="83"/>
  <c r="O206" i="83"/>
  <c r="B95" i="111"/>
  <c r="J109" i="111" s="1"/>
  <c r="J229" i="111" s="1"/>
  <c r="L107" i="111"/>
  <c r="L227" i="111" s="1"/>
  <c r="E335" i="97"/>
  <c r="C349" i="97"/>
  <c r="C54" i="67"/>
  <c r="C62" i="67" s="1"/>
  <c r="C224" i="67" s="1"/>
  <c r="D269" i="67" s="1"/>
  <c r="G58" i="67"/>
  <c r="G220" i="67" s="1"/>
  <c r="N312" i="119"/>
  <c r="J326" i="119"/>
  <c r="C95" i="59"/>
  <c r="C107" i="59" s="1"/>
  <c r="C227" i="59" s="1"/>
  <c r="D272" i="59" s="1"/>
  <c r="K99" i="59"/>
  <c r="K219" i="59" s="1"/>
  <c r="K201" i="107"/>
  <c r="G242" i="107"/>
  <c r="D93" i="69"/>
  <c r="D95" i="69"/>
  <c r="H105" i="69" s="1"/>
  <c r="H225" i="69" s="1"/>
  <c r="F103" i="69"/>
  <c r="I187" i="127"/>
  <c r="B269" i="97"/>
  <c r="B283" i="97" s="1"/>
  <c r="B298" i="97" s="1"/>
  <c r="C343" i="97" s="1"/>
  <c r="L273" i="97"/>
  <c r="L288" i="97" s="1"/>
  <c r="F269" i="141"/>
  <c r="D164" i="89"/>
  <c r="J176" i="89" s="1"/>
  <c r="D162" i="89"/>
  <c r="B168" i="89"/>
  <c r="N334" i="121"/>
  <c r="I381" i="121"/>
  <c r="M297" i="75"/>
  <c r="L342" i="97"/>
  <c r="I355" i="97"/>
  <c r="I114" i="25"/>
  <c r="D31" i="57"/>
  <c r="D33" i="57"/>
  <c r="D39" i="57" s="1"/>
  <c r="B37" i="57"/>
  <c r="B220" i="57" s="1"/>
  <c r="C265" i="57" s="1"/>
  <c r="F200" i="43"/>
  <c r="C245" i="43"/>
  <c r="F269" i="63"/>
  <c r="C282" i="63"/>
  <c r="C58" i="141"/>
  <c r="C68" i="141" s="1"/>
  <c r="C272" i="141" s="1"/>
  <c r="D317" i="141" s="1"/>
  <c r="I62" i="141"/>
  <c r="I266" i="141" s="1"/>
  <c r="B42" i="23"/>
  <c r="D50" i="23" s="1"/>
  <c r="D112" i="23" s="1"/>
  <c r="E145" i="23" s="1"/>
  <c r="F48" i="23"/>
  <c r="F110" i="23" s="1"/>
  <c r="J160" i="125"/>
  <c r="F194" i="125"/>
  <c r="L268" i="69"/>
  <c r="I281" i="69"/>
  <c r="N319" i="143"/>
  <c r="H329" i="143"/>
  <c r="J165" i="95"/>
  <c r="G174" i="95"/>
  <c r="B74" i="111"/>
  <c r="H86" i="111" s="1"/>
  <c r="H227" i="111" s="1"/>
  <c r="J84" i="111"/>
  <c r="J225" i="111" s="1"/>
  <c r="M298" i="135"/>
  <c r="C43" i="87"/>
  <c r="E51" i="87" s="1"/>
  <c r="E130" i="87" s="1"/>
  <c r="F163" i="87" s="1"/>
  <c r="G49" i="87"/>
  <c r="G128" i="87" s="1"/>
  <c r="L229" i="57"/>
  <c r="C59" i="79"/>
  <c r="E67" i="79" s="1"/>
  <c r="E291" i="79" s="1"/>
  <c r="G65" i="79"/>
  <c r="G289" i="79" s="1"/>
  <c r="C159" i="73"/>
  <c r="E173" i="73" s="1"/>
  <c r="E230" i="73" s="1"/>
  <c r="M165" i="73"/>
  <c r="M222" i="73" s="1"/>
  <c r="J199" i="39"/>
  <c r="G244" i="39"/>
  <c r="I165" i="137"/>
  <c r="E173" i="137"/>
  <c r="F338" i="135"/>
  <c r="D388" i="135"/>
  <c r="C129" i="77"/>
  <c r="K135" i="77" s="1"/>
  <c r="K290" i="77" s="1"/>
  <c r="E141" i="77"/>
  <c r="E296" i="77" s="1"/>
  <c r="B75" i="33"/>
  <c r="H79" i="33" s="1"/>
  <c r="H107" i="33" s="1"/>
  <c r="B85" i="33"/>
  <c r="B113" i="33" s="1"/>
  <c r="C146" i="33" s="1"/>
  <c r="E311" i="99"/>
  <c r="C364" i="99"/>
  <c r="K272" i="67"/>
  <c r="H285" i="67"/>
  <c r="D58" i="121"/>
  <c r="D60" i="121"/>
  <c r="F68" i="121" s="1"/>
  <c r="F293" i="121" s="1"/>
  <c r="G338" i="121" s="1"/>
  <c r="D66" i="121"/>
  <c r="C128" i="77"/>
  <c r="K134" i="77" s="1"/>
  <c r="K289" i="77" s="1"/>
  <c r="E140" i="77"/>
  <c r="E295" i="77" s="1"/>
  <c r="C142" i="47"/>
  <c r="E154" i="47" s="1"/>
  <c r="E167" i="47" s="1"/>
  <c r="K148" i="47"/>
  <c r="K161" i="47" s="1"/>
  <c r="K266" i="55"/>
  <c r="H280" i="55"/>
  <c r="C53" i="55"/>
  <c r="E61" i="55" s="1"/>
  <c r="E223" i="55" s="1"/>
  <c r="G59" i="55"/>
  <c r="G221" i="55" s="1"/>
  <c r="D91" i="33"/>
  <c r="D93" i="33"/>
  <c r="H103" i="33" s="1"/>
  <c r="D99" i="33"/>
  <c r="C58" i="119"/>
  <c r="E66" i="119" s="1"/>
  <c r="E270" i="119" s="1"/>
  <c r="F315" i="119" s="1"/>
  <c r="G64" i="119"/>
  <c r="G268" i="119" s="1"/>
  <c r="H313" i="119" s="1"/>
  <c r="B78" i="99"/>
  <c r="H90" i="99" s="1"/>
  <c r="H273" i="99" s="1"/>
  <c r="J88" i="99"/>
  <c r="J271" i="99" s="1"/>
  <c r="C78" i="87"/>
  <c r="I82" i="87" s="1"/>
  <c r="I127" i="87" s="1"/>
  <c r="C88" i="87"/>
  <c r="C133" i="87" s="1"/>
  <c r="D166" i="87" s="1"/>
  <c r="D224" i="141"/>
  <c r="D226" i="141"/>
  <c r="J238" i="141" s="1"/>
  <c r="H236" i="141"/>
  <c r="D96" i="57"/>
  <c r="L110" i="57" s="1"/>
  <c r="D94" i="57"/>
  <c r="J108" i="57"/>
  <c r="D119" i="93"/>
  <c r="D121" i="93"/>
  <c r="H131" i="93" s="1"/>
  <c r="B125" i="93"/>
  <c r="D115" i="83"/>
  <c r="J127" i="83" s="1"/>
  <c r="J371" i="83" s="1"/>
  <c r="D113" i="83"/>
  <c r="H125" i="83"/>
  <c r="I186" i="127"/>
  <c r="C58" i="21"/>
  <c r="I66" i="21" s="1"/>
  <c r="I111" i="21" s="1"/>
  <c r="G68" i="21"/>
  <c r="G113" i="21" s="1"/>
  <c r="B24" i="27"/>
  <c r="B30" i="27" s="1"/>
  <c r="B109" i="27" s="1"/>
  <c r="C142" i="27" s="1"/>
  <c r="D28" i="27"/>
  <c r="D107" i="27" s="1"/>
  <c r="B137" i="73"/>
  <c r="J143" i="73" s="1"/>
  <c r="J221" i="73" s="1"/>
  <c r="D149" i="73"/>
  <c r="D227" i="73" s="1"/>
  <c r="B64" i="101"/>
  <c r="C181" i="139"/>
  <c r="I195" i="139" s="1"/>
  <c r="I252" i="139" s="1"/>
  <c r="M191" i="139"/>
  <c r="M248" i="139" s="1"/>
  <c r="E140" i="15"/>
  <c r="C177" i="15"/>
  <c r="F143" i="33"/>
  <c r="D153" i="33"/>
  <c r="F318" i="117"/>
  <c r="D330" i="117"/>
  <c r="C53" i="65"/>
  <c r="E61" i="65" s="1"/>
  <c r="E223" i="65" s="1"/>
  <c r="G59" i="65"/>
  <c r="G221" i="65" s="1"/>
  <c r="H266" i="65" s="1"/>
  <c r="C249" i="97"/>
  <c r="K257" i="97" s="1"/>
  <c r="K293" i="97" s="1"/>
  <c r="G261" i="97"/>
  <c r="G297" i="97" s="1"/>
  <c r="H342" i="97" s="1"/>
  <c r="C92" i="31"/>
  <c r="G98" i="31" s="1"/>
  <c r="G109" i="31" s="1"/>
  <c r="E100" i="31"/>
  <c r="E111" i="31" s="1"/>
  <c r="F144" i="31" s="1"/>
  <c r="E94" i="5"/>
  <c r="E120" i="5"/>
  <c r="N275" i="61"/>
  <c r="K288" i="61"/>
  <c r="J140" i="21"/>
  <c r="G177" i="21"/>
  <c r="B39" i="135"/>
  <c r="B45" i="135" s="1"/>
  <c r="B291" i="135" s="1"/>
  <c r="C336" i="135" s="1"/>
  <c r="D43" i="135"/>
  <c r="D289" i="135" s="1"/>
  <c r="J219" i="89"/>
  <c r="G264" i="89"/>
  <c r="L338" i="135"/>
  <c r="I388" i="135"/>
  <c r="G266" i="63"/>
  <c r="D319" i="63"/>
  <c r="B92" i="109"/>
  <c r="F102" i="109" s="1"/>
  <c r="F113" i="109" s="1"/>
  <c r="G146" i="109" s="1"/>
  <c r="H100" i="109"/>
  <c r="H111" i="109" s="1"/>
  <c r="E161" i="87"/>
  <c r="C171" i="87"/>
  <c r="C75" i="59"/>
  <c r="G85" i="59" s="1"/>
  <c r="G226" i="59" s="1"/>
  <c r="I83" i="59"/>
  <c r="I224" i="59" s="1"/>
  <c r="J269" i="59" s="1"/>
  <c r="B143" i="37"/>
  <c r="D155" i="37" s="1"/>
  <c r="D168" i="37" s="1"/>
  <c r="J149" i="37"/>
  <c r="J162" i="37" s="1"/>
  <c r="D29" i="35"/>
  <c r="D35" i="35" s="1"/>
  <c r="D27" i="35"/>
  <c r="B33" i="35"/>
  <c r="B160" i="35" s="1"/>
  <c r="C199" i="35" s="1"/>
  <c r="L267" i="65"/>
  <c r="I281" i="65"/>
  <c r="L333" i="97"/>
  <c r="I386" i="97"/>
  <c r="C201" i="71"/>
  <c r="K209" i="71" s="1"/>
  <c r="K224" i="71" s="1"/>
  <c r="G213" i="71"/>
  <c r="G228" i="71" s="1"/>
  <c r="C54" i="59"/>
  <c r="E62" i="59" s="1"/>
  <c r="E224" i="59" s="1"/>
  <c r="G60" i="59"/>
  <c r="G222" i="59" s="1"/>
  <c r="C180" i="67"/>
  <c r="E188" i="67" s="1"/>
  <c r="E224" i="67" s="1"/>
  <c r="G186" i="67"/>
  <c r="G222" i="67" s="1"/>
  <c r="I140" i="17"/>
  <c r="F177" i="17"/>
  <c r="G202" i="35"/>
  <c r="E214" i="35"/>
  <c r="B32" i="57"/>
  <c r="B38" i="57" s="1"/>
  <c r="B221" i="57" s="1"/>
  <c r="C266" i="57" s="1"/>
  <c r="D36" i="57"/>
  <c r="D219" i="57" s="1"/>
  <c r="J425" i="81"/>
  <c r="H443" i="81"/>
  <c r="B227" i="121"/>
  <c r="D241" i="121" s="1"/>
  <c r="D298" i="121" s="1"/>
  <c r="L233" i="121"/>
  <c r="L290" i="121" s="1"/>
  <c r="D291" i="83"/>
  <c r="F299" i="83" s="1"/>
  <c r="D289" i="83"/>
  <c r="N307" i="83"/>
  <c r="B25" i="27"/>
  <c r="B31" i="27" s="1"/>
  <c r="B110" i="27" s="1"/>
  <c r="C143" i="27" s="1"/>
  <c r="D29" i="27"/>
  <c r="D108" i="27" s="1"/>
  <c r="B159" i="43"/>
  <c r="C198" i="43" s="1"/>
  <c r="E67" i="115"/>
  <c r="E69" i="115"/>
  <c r="I79" i="115" s="1"/>
  <c r="I187" i="115" s="1"/>
  <c r="C73" i="115"/>
  <c r="G111" i="31"/>
  <c r="C86" i="47"/>
  <c r="I98" i="47" s="1"/>
  <c r="I168" i="47" s="1"/>
  <c r="K96" i="47"/>
  <c r="K166" i="47" s="1"/>
  <c r="C191" i="81"/>
  <c r="O209" i="81" s="1"/>
  <c r="O378" i="81" s="1"/>
  <c r="Q207" i="81"/>
  <c r="Q376" i="81" s="1"/>
  <c r="C24" i="23"/>
  <c r="C30" i="23" s="1"/>
  <c r="C109" i="23" s="1"/>
  <c r="D142" i="23" s="1"/>
  <c r="E28" i="23"/>
  <c r="E107" i="23" s="1"/>
  <c r="B41" i="23"/>
  <c r="D49" i="23" s="1"/>
  <c r="D111" i="23" s="1"/>
  <c r="E144" i="23" s="1"/>
  <c r="F47" i="23"/>
  <c r="F109" i="23" s="1"/>
  <c r="E182" i="127"/>
  <c r="D69" i="91"/>
  <c r="D71" i="91"/>
  <c r="J83" i="91" s="1"/>
  <c r="J210" i="91" s="1"/>
  <c r="H81" i="91"/>
  <c r="F267" i="55"/>
  <c r="D281" i="55"/>
  <c r="D65" i="51"/>
  <c r="D67" i="51"/>
  <c r="H77" i="51" s="1"/>
  <c r="F75" i="51"/>
  <c r="G142" i="15"/>
  <c r="D152" i="15"/>
  <c r="B35" i="7"/>
  <c r="D43" i="7" s="1"/>
  <c r="D67" i="7" s="1"/>
  <c r="F41" i="7"/>
  <c r="F65" i="7" s="1"/>
  <c r="D67" i="37"/>
  <c r="H77" i="37" s="1"/>
  <c r="D65" i="37"/>
  <c r="B71" i="37"/>
  <c r="B160" i="37" s="1"/>
  <c r="C199" i="37" s="1"/>
  <c r="G341" i="135"/>
  <c r="E354" i="135"/>
  <c r="B56" i="133"/>
  <c r="D64" i="133" s="1"/>
  <c r="D247" i="133" s="1"/>
  <c r="F62" i="133"/>
  <c r="F245" i="133" s="1"/>
  <c r="B91" i="81"/>
  <c r="F101" i="81" s="1"/>
  <c r="F370" i="81" s="1"/>
  <c r="H99" i="81"/>
  <c r="H368" i="81" s="1"/>
  <c r="F269" i="99"/>
  <c r="C43" i="137"/>
  <c r="E51" i="137" s="1"/>
  <c r="E130" i="137" s="1"/>
  <c r="F163" i="137" s="1"/>
  <c r="G49" i="137"/>
  <c r="G128" i="137" s="1"/>
  <c r="H343" i="79"/>
  <c r="F359" i="79"/>
  <c r="B123" i="51"/>
  <c r="B133" i="51" s="1"/>
  <c r="B165" i="51" s="1"/>
  <c r="C204" i="51" s="1"/>
  <c r="H127" i="51"/>
  <c r="H159" i="51" s="1"/>
  <c r="F342" i="77"/>
  <c r="D358" i="77"/>
  <c r="D161" i="117"/>
  <c r="D163" i="117"/>
  <c r="L177" i="117" s="1"/>
  <c r="F171" i="117"/>
  <c r="C43" i="85"/>
  <c r="E51" i="85" s="1"/>
  <c r="E130" i="85" s="1"/>
  <c r="F163" i="85" s="1"/>
  <c r="G49" i="85"/>
  <c r="G128" i="85" s="1"/>
  <c r="J273" i="117"/>
  <c r="N321" i="119"/>
  <c r="J333" i="119"/>
  <c r="C85" i="47"/>
  <c r="I97" i="47" s="1"/>
  <c r="I167" i="47" s="1"/>
  <c r="K95" i="47"/>
  <c r="K165" i="47" s="1"/>
  <c r="C96" i="57"/>
  <c r="K110" i="57" s="1"/>
  <c r="K230" i="57" s="1"/>
  <c r="M108" i="57"/>
  <c r="M228" i="57" s="1"/>
  <c r="E201" i="111"/>
  <c r="M215" i="111" s="1"/>
  <c r="M230" i="111" s="1"/>
  <c r="E199" i="111"/>
  <c r="E207" i="111"/>
  <c r="E222" i="111" s="1"/>
  <c r="F267" i="111" s="1"/>
  <c r="G348" i="75"/>
  <c r="E363" i="75"/>
  <c r="H268" i="71"/>
  <c r="F282" i="71"/>
  <c r="L295" i="139"/>
  <c r="H307" i="139"/>
  <c r="G426" i="81"/>
  <c r="E444" i="81"/>
  <c r="N269" i="111"/>
  <c r="J317" i="111"/>
  <c r="I132" i="113"/>
  <c r="C127" i="137"/>
  <c r="D160" i="137" s="1"/>
  <c r="J140" i="19"/>
  <c r="G177" i="19"/>
  <c r="D93" i="103"/>
  <c r="C115" i="103"/>
  <c r="E143" i="107"/>
  <c r="G151" i="107" s="1"/>
  <c r="E141" i="107"/>
  <c r="K155" i="107"/>
  <c r="C39" i="121"/>
  <c r="C45" i="121" s="1"/>
  <c r="C291" i="121" s="1"/>
  <c r="D336" i="121" s="1"/>
  <c r="E43" i="121"/>
  <c r="E289" i="121" s="1"/>
  <c r="F334" i="121" s="1"/>
  <c r="K272" i="73"/>
  <c r="H285" i="73"/>
  <c r="E339" i="121"/>
  <c r="C350" i="121"/>
  <c r="N336" i="135"/>
  <c r="K350" i="135"/>
  <c r="G270" i="73"/>
  <c r="E284" i="73"/>
  <c r="J228" i="115"/>
  <c r="F238" i="115"/>
  <c r="D226" i="99"/>
  <c r="L240" i="99" s="1"/>
  <c r="D224" i="99"/>
  <c r="D232" i="99"/>
  <c r="D123" i="121"/>
  <c r="H133" i="121" s="1"/>
  <c r="D121" i="121"/>
  <c r="B127" i="121"/>
  <c r="L272" i="65"/>
  <c r="I285" i="65"/>
  <c r="B59" i="19"/>
  <c r="B69" i="19" s="1"/>
  <c r="B114" i="19" s="1"/>
  <c r="C147" i="19" s="1"/>
  <c r="H63" i="19"/>
  <c r="H108" i="19" s="1"/>
  <c r="C104" i="39"/>
  <c r="E116" i="39" s="1"/>
  <c r="E167" i="39" s="1"/>
  <c r="K110" i="39"/>
  <c r="K161" i="39" s="1"/>
  <c r="K435" i="81"/>
  <c r="I452" i="81"/>
  <c r="N343" i="121"/>
  <c r="I354" i="121"/>
  <c r="B240" i="81"/>
  <c r="L246" i="81" s="1"/>
  <c r="L365" i="81" s="1"/>
  <c r="D254" i="81"/>
  <c r="D373" i="81" s="1"/>
  <c r="K272" i="69"/>
  <c r="H285" i="69"/>
  <c r="C223" i="139"/>
  <c r="G237" i="139" s="1"/>
  <c r="G252" i="139" s="1"/>
  <c r="M231" i="139"/>
  <c r="M246" i="139" s="1"/>
  <c r="C224" i="113"/>
  <c r="H269" i="113" s="1"/>
  <c r="G269" i="113"/>
  <c r="C160" i="133"/>
  <c r="E174" i="133" s="1"/>
  <c r="E252" i="133" s="1"/>
  <c r="F297" i="133" s="1"/>
  <c r="M166" i="133"/>
  <c r="M244" i="133" s="1"/>
  <c r="B57" i="93"/>
  <c r="D65" i="93" s="1"/>
  <c r="D269" i="93" s="1"/>
  <c r="F63" i="93"/>
  <c r="F267" i="93" s="1"/>
  <c r="F265" i="61"/>
  <c r="D318" i="61"/>
  <c r="C159" i="67"/>
  <c r="K173" i="67" s="1"/>
  <c r="K230" i="67" s="1"/>
  <c r="M171" i="67"/>
  <c r="M228" i="67" s="1"/>
  <c r="G144" i="27"/>
  <c r="D153" i="27"/>
  <c r="J164" i="85"/>
  <c r="G173" i="85"/>
  <c r="B85" i="49"/>
  <c r="J95" i="49" s="1"/>
  <c r="J165" i="49" s="1"/>
  <c r="H97" i="49"/>
  <c r="H167" i="49" s="1"/>
  <c r="L311" i="117"/>
  <c r="H361" i="117"/>
  <c r="B203" i="133"/>
  <c r="L213" i="133" s="1"/>
  <c r="L249" i="133" s="1"/>
  <c r="H217" i="133"/>
  <c r="H253" i="133" s="1"/>
  <c r="B59" i="97"/>
  <c r="D67" i="97" s="1"/>
  <c r="D292" i="97" s="1"/>
  <c r="F65" i="97"/>
  <c r="F290" i="97" s="1"/>
  <c r="C37" i="77"/>
  <c r="C43" i="77" s="1"/>
  <c r="C290" i="77" s="1"/>
  <c r="D341" i="77" s="1"/>
  <c r="E41" i="77"/>
  <c r="E288" i="77" s="1"/>
  <c r="C25" i="27"/>
  <c r="C31" i="27" s="1"/>
  <c r="C110" i="27" s="1"/>
  <c r="D143" i="27" s="1"/>
  <c r="E29" i="27"/>
  <c r="E108" i="27" s="1"/>
  <c r="F141" i="27" s="1"/>
  <c r="B24" i="17"/>
  <c r="B30" i="17" s="1"/>
  <c r="B109" i="17" s="1"/>
  <c r="C142" i="17" s="1"/>
  <c r="D28" i="17"/>
  <c r="D107" i="17" s="1"/>
  <c r="C76" i="33"/>
  <c r="I80" i="33" s="1"/>
  <c r="I108" i="33" s="1"/>
  <c r="C86" i="33"/>
  <c r="C114" i="33" s="1"/>
  <c r="D147" i="33" s="1"/>
  <c r="L339" i="77"/>
  <c r="I400" i="77"/>
  <c r="D95" i="13"/>
  <c r="D121" i="13"/>
  <c r="C227" i="97"/>
  <c r="E241" i="97" s="1"/>
  <c r="E298" i="97" s="1"/>
  <c r="M233" i="97"/>
  <c r="M290" i="97" s="1"/>
  <c r="B51" i="7"/>
  <c r="F55" i="7" s="1"/>
  <c r="F64" i="7" s="1"/>
  <c r="B59" i="7"/>
  <c r="B68" i="7" s="1"/>
  <c r="C95" i="7" s="1"/>
  <c r="C241" i="83"/>
  <c r="M247" i="83" s="1"/>
  <c r="M366" i="83" s="1"/>
  <c r="E255" i="83"/>
  <c r="E374" i="83" s="1"/>
  <c r="C75" i="109"/>
  <c r="E85" i="109" s="1"/>
  <c r="E113" i="109" s="1"/>
  <c r="F146" i="109" s="1"/>
  <c r="I81" i="109"/>
  <c r="I109" i="109" s="1"/>
  <c r="K227" i="111"/>
  <c r="E43" i="125"/>
  <c r="G51" i="125" s="1"/>
  <c r="G130" i="125" s="1"/>
  <c r="B42" i="125"/>
  <c r="E41" i="125"/>
  <c r="E49" i="125"/>
  <c r="E128" i="125" s="1"/>
  <c r="F161" i="125" s="1"/>
  <c r="J201" i="47"/>
  <c r="G213" i="47"/>
  <c r="B58" i="23"/>
  <c r="F68" i="23" s="1"/>
  <c r="F113" i="23" s="1"/>
  <c r="H66" i="23"/>
  <c r="H111" i="23" s="1"/>
  <c r="J204" i="51"/>
  <c r="G215" i="51"/>
  <c r="B54" i="67"/>
  <c r="B62" i="67" s="1"/>
  <c r="B224" i="67" s="1"/>
  <c r="C269" i="67" s="1"/>
  <c r="F58" i="67"/>
  <c r="F220" i="67" s="1"/>
  <c r="F198" i="37"/>
  <c r="D243" i="37"/>
  <c r="B85" i="107"/>
  <c r="H91" i="107" s="1"/>
  <c r="H161" i="107" s="1"/>
  <c r="D95" i="107"/>
  <c r="D165" i="107" s="1"/>
  <c r="B202" i="91"/>
  <c r="C241" i="91" s="1"/>
  <c r="C142" i="131"/>
  <c r="K148" i="131" s="1"/>
  <c r="K268" i="131" s="1"/>
  <c r="E154" i="131"/>
  <c r="E274" i="131" s="1"/>
  <c r="C75" i="105"/>
  <c r="I79" i="105" s="1"/>
  <c r="I107" i="105" s="1"/>
  <c r="C85" i="105"/>
  <c r="C113" i="105" s="1"/>
  <c r="D146" i="105" s="1"/>
  <c r="C180" i="55"/>
  <c r="M188" i="55" s="1"/>
  <c r="M224" i="55" s="1"/>
  <c r="G194" i="55"/>
  <c r="G230" i="55" s="1"/>
  <c r="G94" i="7"/>
  <c r="D101" i="7"/>
  <c r="I165" i="37"/>
  <c r="B38" i="97"/>
  <c r="B44" i="97" s="1"/>
  <c r="B290" i="97" s="1"/>
  <c r="C335" i="97" s="1"/>
  <c r="D42" i="97"/>
  <c r="D288" i="97" s="1"/>
  <c r="H270" i="73"/>
  <c r="F284" i="73"/>
  <c r="C54" i="71"/>
  <c r="E62" i="71" s="1"/>
  <c r="E224" i="71" s="1"/>
  <c r="G60" i="71"/>
  <c r="G222" i="71" s="1"/>
  <c r="C76" i="19"/>
  <c r="I84" i="19" s="1"/>
  <c r="I112" i="19" s="1"/>
  <c r="G86" i="19"/>
  <c r="G114" i="19" s="1"/>
  <c r="H147" i="19" s="1"/>
  <c r="E207" i="107"/>
  <c r="C217" i="107"/>
  <c r="D61" i="137"/>
  <c r="H71" i="137" s="1"/>
  <c r="D59" i="137"/>
  <c r="F69" i="137"/>
  <c r="B137" i="59"/>
  <c r="L147" i="59" s="1"/>
  <c r="L225" i="59" s="1"/>
  <c r="H151" i="59"/>
  <c r="H229" i="59" s="1"/>
  <c r="C69" i="127"/>
  <c r="C79" i="127" s="1"/>
  <c r="C187" i="127" s="1"/>
  <c r="D226" i="127" s="1"/>
  <c r="I73" i="127"/>
  <c r="I181" i="127" s="1"/>
  <c r="C163" i="89"/>
  <c r="C175" i="89" s="1"/>
  <c r="C188" i="89" s="1"/>
  <c r="D227" i="89" s="1"/>
  <c r="K167" i="89"/>
  <c r="K180" i="89" s="1"/>
  <c r="C81" i="97"/>
  <c r="I93" i="97" s="1"/>
  <c r="I297" i="97" s="1"/>
  <c r="K91" i="97"/>
  <c r="K295" i="97" s="1"/>
  <c r="C59" i="25"/>
  <c r="G69" i="25" s="1"/>
  <c r="G114" i="25" s="1"/>
  <c r="I67" i="25"/>
  <c r="I112" i="25" s="1"/>
  <c r="L204" i="129"/>
  <c r="H214" i="129"/>
  <c r="D29" i="43"/>
  <c r="D35" i="43" s="1"/>
  <c r="D162" i="43" s="1"/>
  <c r="E201" i="43" s="1"/>
  <c r="D27" i="43"/>
  <c r="B33" i="43"/>
  <c r="B160" i="43" s="1"/>
  <c r="C199" i="43" s="1"/>
  <c r="C32" i="59"/>
  <c r="C38" i="59" s="1"/>
  <c r="C221" i="59" s="1"/>
  <c r="D266" i="59" s="1"/>
  <c r="E36" i="59"/>
  <c r="E219" i="59" s="1"/>
  <c r="D28" i="107"/>
  <c r="D34" i="107" s="1"/>
  <c r="D161" i="107" s="1"/>
  <c r="D26" i="107"/>
  <c r="B32" i="107"/>
  <c r="B159" i="107" s="1"/>
  <c r="C198" i="107" s="1"/>
  <c r="B100" i="117"/>
  <c r="J114" i="117" s="1"/>
  <c r="J276" i="117" s="1"/>
  <c r="L112" i="117"/>
  <c r="L274" i="117" s="1"/>
  <c r="C92" i="101"/>
  <c r="C116" i="101"/>
  <c r="L341" i="123"/>
  <c r="G352" i="123"/>
  <c r="H272" i="69"/>
  <c r="E285" i="69"/>
  <c r="L321" i="143"/>
  <c r="F331" i="143"/>
  <c r="C77" i="95"/>
  <c r="C87" i="95" s="1"/>
  <c r="C132" i="95" s="1"/>
  <c r="D165" i="95" s="1"/>
  <c r="I81" i="95"/>
  <c r="I126" i="95" s="1"/>
  <c r="J227" i="111"/>
  <c r="C101" i="135"/>
  <c r="K115" i="135" s="1"/>
  <c r="K298" i="135" s="1"/>
  <c r="M113" i="135"/>
  <c r="M296" i="135" s="1"/>
  <c r="C74" i="57"/>
  <c r="G84" i="57" s="1"/>
  <c r="G225" i="57" s="1"/>
  <c r="I82" i="57"/>
  <c r="I223" i="57" s="1"/>
  <c r="J268" i="57" s="1"/>
  <c r="D42" i="87"/>
  <c r="D44" i="87"/>
  <c r="F52" i="87" s="1"/>
  <c r="D50" i="87"/>
  <c r="C58" i="23"/>
  <c r="G68" i="23" s="1"/>
  <c r="G113" i="23" s="1"/>
  <c r="I66" i="23"/>
  <c r="I111" i="23" s="1"/>
  <c r="D57" i="25"/>
  <c r="D59" i="25"/>
  <c r="H69" i="25" s="1"/>
  <c r="H114" i="25" s="1"/>
  <c r="F67" i="25"/>
  <c r="B129" i="75"/>
  <c r="J135" i="75" s="1"/>
  <c r="J290" i="75" s="1"/>
  <c r="D141" i="75"/>
  <c r="D296" i="75" s="1"/>
  <c r="B75" i="109"/>
  <c r="D85" i="109" s="1"/>
  <c r="D113" i="109" s="1"/>
  <c r="E146" i="109" s="1"/>
  <c r="H81" i="109"/>
  <c r="H109" i="109" s="1"/>
  <c r="L317" i="143"/>
  <c r="F327" i="143"/>
  <c r="D105" i="53"/>
  <c r="J117" i="53" s="1"/>
  <c r="D103" i="53"/>
  <c r="H115" i="53"/>
  <c r="C96" i="71"/>
  <c r="C108" i="71" s="1"/>
  <c r="C228" i="71" s="1"/>
  <c r="D273" i="71" s="1"/>
  <c r="K100" i="71"/>
  <c r="K220" i="71" s="1"/>
  <c r="D127" i="77"/>
  <c r="D129" i="77"/>
  <c r="D135" i="77" s="1"/>
  <c r="J141" i="77"/>
  <c r="C47" i="37"/>
  <c r="E55" i="37" s="1"/>
  <c r="E163" i="37" s="1"/>
  <c r="G53" i="37"/>
  <c r="G161" i="37" s="1"/>
  <c r="H200" i="37" s="1"/>
  <c r="D141" i="47"/>
  <c r="D143" i="47"/>
  <c r="J155" i="47" s="1"/>
  <c r="D149" i="47"/>
  <c r="D54" i="55"/>
  <c r="F62" i="55" s="1"/>
  <c r="F224" i="55" s="1"/>
  <c r="D52" i="55"/>
  <c r="D60" i="55"/>
  <c r="H113" i="29"/>
  <c r="E110" i="29"/>
  <c r="F143" i="29" s="1"/>
  <c r="F339" i="97"/>
  <c r="D352" i="97"/>
  <c r="H271" i="99"/>
  <c r="I294" i="75"/>
  <c r="J345" i="75" s="1"/>
  <c r="C105" i="47"/>
  <c r="K113" i="47" s="1"/>
  <c r="K164" i="47" s="1"/>
  <c r="G117" i="47"/>
  <c r="G168" i="47" s="1"/>
  <c r="H207" i="47" s="1"/>
  <c r="C95" i="57"/>
  <c r="K109" i="57" s="1"/>
  <c r="K229" i="57" s="1"/>
  <c r="M107" i="57"/>
  <c r="M227" i="57" s="1"/>
  <c r="C104" i="41"/>
  <c r="K112" i="41" s="1"/>
  <c r="K163" i="41" s="1"/>
  <c r="G116" i="41"/>
  <c r="G167" i="41" s="1"/>
  <c r="H206" i="41" s="1"/>
  <c r="D96" i="63"/>
  <c r="F104" i="63" s="1"/>
  <c r="D94" i="63"/>
  <c r="H106" i="63"/>
  <c r="E115" i="83"/>
  <c r="K127" i="83" s="1"/>
  <c r="K371" i="83" s="1"/>
  <c r="L428" i="83" s="1"/>
  <c r="B114" i="83"/>
  <c r="E113" i="83"/>
  <c r="I125" i="83"/>
  <c r="D67" i="127"/>
  <c r="D69" i="127"/>
  <c r="H79" i="127" s="1"/>
  <c r="B73" i="127"/>
  <c r="E142" i="27"/>
  <c r="C152" i="27"/>
  <c r="B111" i="85"/>
  <c r="D121" i="85" s="1"/>
  <c r="D132" i="85" s="1"/>
  <c r="H117" i="85"/>
  <c r="H128" i="85" s="1"/>
  <c r="B21" i="101"/>
  <c r="B27" i="101" s="1"/>
  <c r="B66" i="101" s="1"/>
  <c r="D25" i="101"/>
  <c r="D64" i="101" s="1"/>
  <c r="E91" i="101" s="1"/>
  <c r="C79" i="93"/>
  <c r="I91" i="93" s="1"/>
  <c r="I274" i="93" s="1"/>
  <c r="K89" i="93"/>
  <c r="K272" i="93" s="1"/>
  <c r="L275" i="117"/>
  <c r="D182" i="139"/>
  <c r="L196" i="139" s="1"/>
  <c r="D180" i="139"/>
  <c r="H192" i="139"/>
  <c r="P431" i="81"/>
  <c r="M448" i="81"/>
  <c r="C92" i="25"/>
  <c r="C100" i="25" s="1"/>
  <c r="C111" i="25" s="1"/>
  <c r="D144" i="25" s="1"/>
  <c r="G96" i="25"/>
  <c r="G107" i="25" s="1"/>
  <c r="B35" i="133"/>
  <c r="B41" i="133" s="1"/>
  <c r="B245" i="133" s="1"/>
  <c r="C290" i="133" s="1"/>
  <c r="D39" i="133"/>
  <c r="D243" i="133" s="1"/>
  <c r="B225" i="143"/>
  <c r="D239" i="143" s="1"/>
  <c r="D275" i="143" s="1"/>
  <c r="E320" i="143" s="1"/>
  <c r="L231" i="143"/>
  <c r="L267" i="143" s="1"/>
  <c r="C116" i="71"/>
  <c r="K130" i="71" s="1"/>
  <c r="K229" i="71" s="1"/>
  <c r="M128" i="71"/>
  <c r="M227" i="71" s="1"/>
  <c r="J162" i="137"/>
  <c r="F196" i="137"/>
  <c r="H320" i="131"/>
  <c r="F333" i="131"/>
  <c r="D54" i="65"/>
  <c r="F62" i="65" s="1"/>
  <c r="D52" i="65"/>
  <c r="D60" i="65"/>
  <c r="D222" i="65" s="1"/>
  <c r="D121" i="143"/>
  <c r="H131" i="143" s="1"/>
  <c r="D119" i="143"/>
  <c r="B125" i="143"/>
  <c r="C138" i="61"/>
  <c r="M146" i="61" s="1"/>
  <c r="M224" i="61" s="1"/>
  <c r="G152" i="61"/>
  <c r="G230" i="61" s="1"/>
  <c r="H275" i="61" s="1"/>
  <c r="B158" i="55"/>
  <c r="D172" i="55" s="1"/>
  <c r="D229" i="55" s="1"/>
  <c r="L164" i="55"/>
  <c r="L221" i="55" s="1"/>
  <c r="B121" i="141"/>
  <c r="J129" i="141" s="1"/>
  <c r="J270" i="141" s="1"/>
  <c r="F133" i="141"/>
  <c r="F274" i="141" s="1"/>
  <c r="J200" i="47"/>
  <c r="G212" i="47"/>
  <c r="B117" i="69"/>
  <c r="B127" i="69" s="1"/>
  <c r="B226" i="69" s="1"/>
  <c r="C271" i="69" s="1"/>
  <c r="H121" i="69"/>
  <c r="H220" i="69" s="1"/>
  <c r="D182" i="143"/>
  <c r="D184" i="143"/>
  <c r="J196" i="143" s="1"/>
  <c r="B188" i="143"/>
  <c r="C206" i="135"/>
  <c r="I212" i="135" s="1"/>
  <c r="I290" i="135" s="1"/>
  <c r="E216" i="135"/>
  <c r="E294" i="135" s="1"/>
  <c r="E268" i="141"/>
  <c r="F313" i="141" s="1"/>
  <c r="N420" i="83"/>
  <c r="K489" i="83"/>
  <c r="G268" i="111"/>
  <c r="D281" i="111"/>
  <c r="B151" i="77"/>
  <c r="J165" i="77" s="1"/>
  <c r="J297" i="77" s="1"/>
  <c r="L163" i="77"/>
  <c r="L295" i="77" s="1"/>
  <c r="J435" i="81"/>
  <c r="H452" i="81"/>
  <c r="B26" i="87"/>
  <c r="B32" i="87" s="1"/>
  <c r="B128" i="87" s="1"/>
  <c r="C161" i="87" s="1"/>
  <c r="D30" i="87"/>
  <c r="D126" i="87" s="1"/>
  <c r="I226" i="59"/>
  <c r="J271" i="59" s="1"/>
  <c r="I344" i="75"/>
  <c r="G360" i="75"/>
  <c r="F273" i="65"/>
  <c r="D286" i="65"/>
  <c r="B119" i="133"/>
  <c r="B131" i="133" s="1"/>
  <c r="B251" i="133" s="1"/>
  <c r="C296" i="133" s="1"/>
  <c r="J123" i="133"/>
  <c r="J243" i="133" s="1"/>
  <c r="N273" i="73"/>
  <c r="K286" i="73"/>
  <c r="C207" i="135"/>
  <c r="I213" i="135" s="1"/>
  <c r="I291" i="135" s="1"/>
  <c r="E217" i="135"/>
  <c r="E295" i="135" s="1"/>
  <c r="C61" i="137"/>
  <c r="G71" i="137" s="1"/>
  <c r="G133" i="137" s="1"/>
  <c r="I69" i="137"/>
  <c r="I131" i="137" s="1"/>
  <c r="E184" i="93"/>
  <c r="K196" i="93" s="1"/>
  <c r="K274" i="93" s="1"/>
  <c r="E182" i="93"/>
  <c r="C188" i="93"/>
  <c r="G224" i="59"/>
  <c r="D122" i="51"/>
  <c r="D124" i="51"/>
  <c r="H134" i="51" s="1"/>
  <c r="B128" i="51"/>
  <c r="H271" i="71"/>
  <c r="F319" i="71"/>
  <c r="E223" i="133"/>
  <c r="G231" i="133" s="1"/>
  <c r="G246" i="133" s="1"/>
  <c r="H291" i="133" s="1"/>
  <c r="B222" i="133"/>
  <c r="E221" i="133"/>
  <c r="K235" i="133"/>
  <c r="F164" i="43"/>
  <c r="I294" i="97"/>
  <c r="D221" i="55"/>
  <c r="C82" i="77"/>
  <c r="G92" i="77" s="1"/>
  <c r="G293" i="77" s="1"/>
  <c r="I90" i="77"/>
  <c r="I291" i="77" s="1"/>
  <c r="J342" i="77" s="1"/>
  <c r="C117" i="111"/>
  <c r="C127" i="111" s="1"/>
  <c r="C226" i="111" s="1"/>
  <c r="D271" i="111" s="1"/>
  <c r="I121" i="111"/>
  <c r="I220" i="111" s="1"/>
  <c r="H427" i="81"/>
  <c r="F445" i="81"/>
  <c r="C53" i="57"/>
  <c r="E61" i="57" s="1"/>
  <c r="E223" i="57" s="1"/>
  <c r="G59" i="57"/>
  <c r="G221" i="57" s="1"/>
  <c r="N271" i="69"/>
  <c r="K284" i="69"/>
  <c r="D161" i="43"/>
  <c r="E200" i="43" s="1"/>
  <c r="C160" i="51"/>
  <c r="D199" i="51" s="1"/>
  <c r="C138" i="71"/>
  <c r="M148" i="71" s="1"/>
  <c r="M226" i="71" s="1"/>
  <c r="I152" i="71"/>
  <c r="I230" i="71" s="1"/>
  <c r="J275" i="71" s="1"/>
  <c r="C41" i="31"/>
  <c r="C49" i="31" s="1"/>
  <c r="C111" i="31" s="1"/>
  <c r="D144" i="31" s="1"/>
  <c r="G45" i="31"/>
  <c r="G107" i="31" s="1"/>
  <c r="E224" i="133"/>
  <c r="G232" i="133" s="1"/>
  <c r="G247" i="133" s="1"/>
  <c r="H292" i="133" s="1"/>
  <c r="E222" i="133"/>
  <c r="K236" i="133"/>
  <c r="K251" i="133" s="1"/>
  <c r="D308" i="3"/>
  <c r="K168" i="47"/>
  <c r="L200" i="37"/>
  <c r="I212" i="37"/>
  <c r="I272" i="117"/>
  <c r="L223" i="115"/>
  <c r="H234" i="115"/>
  <c r="D23" i="23"/>
  <c r="D25" i="23"/>
  <c r="D31" i="23" s="1"/>
  <c r="D110" i="23" s="1"/>
  <c r="E143" i="23" s="1"/>
  <c r="B29" i="23"/>
  <c r="F111" i="23"/>
  <c r="F432" i="83"/>
  <c r="D449" i="83"/>
  <c r="B160" i="53"/>
  <c r="C199" i="53" s="1"/>
  <c r="C60" i="79"/>
  <c r="E68" i="79" s="1"/>
  <c r="E292" i="79" s="1"/>
  <c r="G66" i="79"/>
  <c r="G290" i="79" s="1"/>
  <c r="K264" i="111"/>
  <c r="G314" i="111"/>
  <c r="C161" i="133"/>
  <c r="E175" i="133" s="1"/>
  <c r="E253" i="133" s="1"/>
  <c r="F298" i="133" s="1"/>
  <c r="M167" i="133"/>
  <c r="M245" i="133" s="1"/>
  <c r="J271" i="111"/>
  <c r="F283" i="111"/>
  <c r="B159" i="71"/>
  <c r="D171" i="71" s="1"/>
  <c r="D228" i="71" s="1"/>
  <c r="J165" i="71"/>
  <c r="J222" i="71" s="1"/>
  <c r="D57" i="31"/>
  <c r="B63" i="31"/>
  <c r="D59" i="31"/>
  <c r="H69" i="31" s="1"/>
  <c r="B96" i="65"/>
  <c r="H108" i="65" s="1"/>
  <c r="H228" i="65" s="1"/>
  <c r="J106" i="65"/>
  <c r="J226" i="65" s="1"/>
  <c r="I335" i="121"/>
  <c r="D349" i="121"/>
  <c r="F344" i="135"/>
  <c r="D357" i="135"/>
  <c r="C123" i="129"/>
  <c r="E135" i="129" s="1"/>
  <c r="E167" i="129" s="1"/>
  <c r="F206" i="129" s="1"/>
  <c r="K129" i="129"/>
  <c r="K161" i="129" s="1"/>
  <c r="B29" i="53"/>
  <c r="B35" i="53" s="1"/>
  <c r="B162" i="53" s="1"/>
  <c r="C201" i="53" s="1"/>
  <c r="D33" i="53"/>
  <c r="D160" i="53" s="1"/>
  <c r="L336" i="97"/>
  <c r="I350" i="97"/>
  <c r="B269" i="135"/>
  <c r="B283" i="135" s="1"/>
  <c r="B298" i="135" s="1"/>
  <c r="C343" i="135" s="1"/>
  <c r="L273" i="135"/>
  <c r="L288" i="135" s="1"/>
  <c r="H114" i="19"/>
  <c r="D103" i="39"/>
  <c r="D105" i="39"/>
  <c r="J117" i="39" s="1"/>
  <c r="J168" i="39" s="1"/>
  <c r="D111" i="39"/>
  <c r="Q429" i="81"/>
  <c r="N491" i="81"/>
  <c r="I146" i="33"/>
  <c r="F155" i="33"/>
  <c r="N272" i="111"/>
  <c r="J284" i="111"/>
  <c r="D159" i="133"/>
  <c r="D161" i="133"/>
  <c r="L175" i="133" s="1"/>
  <c r="D167" i="133"/>
  <c r="C204" i="99"/>
  <c r="I210" i="99" s="1"/>
  <c r="I267" i="99" s="1"/>
  <c r="E214" i="99"/>
  <c r="E271" i="99" s="1"/>
  <c r="B123" i="129"/>
  <c r="D135" i="129" s="1"/>
  <c r="D167" i="129" s="1"/>
  <c r="J129" i="129"/>
  <c r="J161" i="129" s="1"/>
  <c r="I204" i="35"/>
  <c r="F215" i="35"/>
  <c r="D124" i="35"/>
  <c r="J136" i="35" s="1"/>
  <c r="D122" i="35"/>
  <c r="D130" i="35"/>
  <c r="B137" i="57"/>
  <c r="F151" i="57" s="1"/>
  <c r="F229" i="57" s="1"/>
  <c r="L145" i="57"/>
  <c r="L223" i="57" s="1"/>
  <c r="B185" i="91"/>
  <c r="J193" i="91" s="1"/>
  <c r="J206" i="91" s="1"/>
  <c r="F197" i="91"/>
  <c r="F210" i="91" s="1"/>
  <c r="H166" i="85"/>
  <c r="E175" i="85"/>
  <c r="C117" i="69"/>
  <c r="C127" i="69" s="1"/>
  <c r="C226" i="69" s="1"/>
  <c r="D271" i="69" s="1"/>
  <c r="I121" i="69"/>
  <c r="I220" i="69" s="1"/>
  <c r="H165" i="49"/>
  <c r="H142" i="105"/>
  <c r="D176" i="105"/>
  <c r="C142" i="129"/>
  <c r="K150" i="129" s="1"/>
  <c r="K163" i="129" s="1"/>
  <c r="G154" i="129"/>
  <c r="G167" i="129" s="1"/>
  <c r="H206" i="129" s="1"/>
  <c r="H90" i="7"/>
  <c r="E119" i="7"/>
  <c r="C122" i="123"/>
  <c r="C132" i="123" s="1"/>
  <c r="C294" i="123" s="1"/>
  <c r="D339" i="123" s="1"/>
  <c r="I126" i="123"/>
  <c r="I288" i="123" s="1"/>
  <c r="F341" i="77"/>
  <c r="D357" i="77"/>
  <c r="O350" i="79"/>
  <c r="L365" i="79"/>
  <c r="L204" i="39"/>
  <c r="I215" i="39"/>
  <c r="B33" i="61"/>
  <c r="B39" i="61" s="1"/>
  <c r="B222" i="61" s="1"/>
  <c r="C267" i="61" s="1"/>
  <c r="D37" i="61"/>
  <c r="D220" i="61" s="1"/>
  <c r="J316" i="143"/>
  <c r="D326" i="143"/>
  <c r="B76" i="139"/>
  <c r="D86" i="139" s="1"/>
  <c r="D248" i="139" s="1"/>
  <c r="E293" i="139" s="1"/>
  <c r="H82" i="139"/>
  <c r="H244" i="139" s="1"/>
  <c r="B34" i="133"/>
  <c r="B40" i="133" s="1"/>
  <c r="B244" i="133" s="1"/>
  <c r="C289" i="133" s="1"/>
  <c r="D38" i="133"/>
  <c r="D242" i="133" s="1"/>
  <c r="D74" i="109"/>
  <c r="D76" i="109"/>
  <c r="H86" i="109" s="1"/>
  <c r="D82" i="109"/>
  <c r="C74" i="111"/>
  <c r="I86" i="111" s="1"/>
  <c r="I227" i="111" s="1"/>
  <c r="K84" i="111"/>
  <c r="K225" i="111" s="1"/>
  <c r="C137" i="61"/>
  <c r="M145" i="61" s="1"/>
  <c r="M223" i="61" s="1"/>
  <c r="G151" i="61"/>
  <c r="G229" i="61" s="1"/>
  <c r="H274" i="61" s="1"/>
  <c r="B101" i="97"/>
  <c r="J115" i="97" s="1"/>
  <c r="J298" i="97" s="1"/>
  <c r="L113" i="97"/>
  <c r="L296" i="97" s="1"/>
  <c r="D41" i="125"/>
  <c r="D43" i="125"/>
  <c r="F51" i="125" s="1"/>
  <c r="F130" i="125" s="1"/>
  <c r="D49" i="125"/>
  <c r="D128" i="125" s="1"/>
  <c r="E161" i="125" s="1"/>
  <c r="F205" i="47"/>
  <c r="D216" i="47"/>
  <c r="C66" i="51"/>
  <c r="G76" i="51" s="1"/>
  <c r="G165" i="51" s="1"/>
  <c r="I74" i="51"/>
  <c r="I163" i="51" s="1"/>
  <c r="J144" i="33"/>
  <c r="G154" i="33"/>
  <c r="D86" i="41"/>
  <c r="J98" i="41" s="1"/>
  <c r="J168" i="41" s="1"/>
  <c r="D84" i="41"/>
  <c r="H96" i="41"/>
  <c r="C116" i="81"/>
  <c r="I128" i="81" s="1"/>
  <c r="I372" i="81" s="1"/>
  <c r="K126" i="81"/>
  <c r="K370" i="81" s="1"/>
  <c r="L427" i="81" s="1"/>
  <c r="C247" i="131"/>
  <c r="C261" i="131" s="1"/>
  <c r="C276" i="131" s="1"/>
  <c r="D321" i="131" s="1"/>
  <c r="M251" i="131"/>
  <c r="M266" i="131" s="1"/>
  <c r="B33" i="91"/>
  <c r="B39" i="91" s="1"/>
  <c r="B204" i="91" s="1"/>
  <c r="C243" i="91" s="1"/>
  <c r="D37" i="91"/>
  <c r="D202" i="91" s="1"/>
  <c r="G90" i="7"/>
  <c r="D119" i="7"/>
  <c r="B50" i="9"/>
  <c r="F54" i="9" s="1"/>
  <c r="F63" i="9" s="1"/>
  <c r="G90" i="9" s="1"/>
  <c r="B58" i="9"/>
  <c r="B67" i="9" s="1"/>
  <c r="D76" i="105"/>
  <c r="B80" i="105" s="1"/>
  <c r="D74" i="105"/>
  <c r="H86" i="105"/>
  <c r="C66" i="37"/>
  <c r="C76" i="37" s="1"/>
  <c r="C165" i="37" s="1"/>
  <c r="D204" i="37" s="1"/>
  <c r="I70" i="37"/>
  <c r="I159" i="37" s="1"/>
  <c r="C76" i="25"/>
  <c r="I80" i="25" s="1"/>
  <c r="I108" i="25" s="1"/>
  <c r="C86" i="25"/>
  <c r="C114" i="25" s="1"/>
  <c r="D147" i="25" s="1"/>
  <c r="I200" i="47"/>
  <c r="F212" i="47"/>
  <c r="H269" i="71"/>
  <c r="F283" i="71"/>
  <c r="L333" i="123"/>
  <c r="G380" i="123"/>
  <c r="K266" i="111"/>
  <c r="G280" i="111"/>
  <c r="I132" i="137"/>
  <c r="B151" i="79"/>
  <c r="J165" i="79" s="1"/>
  <c r="J297" i="79" s="1"/>
  <c r="L163" i="79"/>
  <c r="L295" i="79" s="1"/>
  <c r="E142" i="141"/>
  <c r="G150" i="141" s="1"/>
  <c r="E140" i="141"/>
  <c r="C146" i="141"/>
  <c r="C266" i="141" s="1"/>
  <c r="D311" i="141" s="1"/>
  <c r="N274" i="61"/>
  <c r="K287" i="61"/>
  <c r="E267" i="117"/>
  <c r="D25" i="19"/>
  <c r="D31" i="19" s="1"/>
  <c r="D110" i="19" s="1"/>
  <c r="D23" i="19"/>
  <c r="B29" i="19"/>
  <c r="B108" i="19" s="1"/>
  <c r="C141" i="19" s="1"/>
  <c r="C36" i="13"/>
  <c r="E44" i="13" s="1"/>
  <c r="E68" i="13" s="1"/>
  <c r="F95" i="13" s="1"/>
  <c r="G42" i="13"/>
  <c r="G66" i="13" s="1"/>
  <c r="H93" i="13" s="1"/>
  <c r="I339" i="97"/>
  <c r="F352" i="97"/>
  <c r="J206" i="129"/>
  <c r="F216" i="129"/>
  <c r="D31" i="59"/>
  <c r="D33" i="59"/>
  <c r="D39" i="59" s="1"/>
  <c r="B37" i="59"/>
  <c r="B220" i="59" s="1"/>
  <c r="C265" i="59" s="1"/>
  <c r="E28" i="107"/>
  <c r="E34" i="107" s="1"/>
  <c r="E161" i="107" s="1"/>
  <c r="F200" i="107" s="1"/>
  <c r="B27" i="107"/>
  <c r="E26" i="107"/>
  <c r="C32" i="107"/>
  <c r="C159" i="107" s="1"/>
  <c r="D198" i="107" s="1"/>
  <c r="E225" i="131"/>
  <c r="G233" i="131" s="1"/>
  <c r="G269" i="131" s="1"/>
  <c r="B224" i="131"/>
  <c r="E223" i="131"/>
  <c r="K237" i="131"/>
  <c r="K273" i="131" s="1"/>
  <c r="B184" i="119"/>
  <c r="B196" i="119" s="1"/>
  <c r="B274" i="119" s="1"/>
  <c r="C319" i="119" s="1"/>
  <c r="J188" i="119"/>
  <c r="J266" i="119" s="1"/>
  <c r="K225" i="115"/>
  <c r="G235" i="115"/>
  <c r="D76" i="95"/>
  <c r="D78" i="95"/>
  <c r="H88" i="95" s="1"/>
  <c r="H133" i="95" s="1"/>
  <c r="B82" i="95"/>
  <c r="D102" i="135"/>
  <c r="L116" i="135" s="1"/>
  <c r="D100" i="135"/>
  <c r="J114" i="135"/>
  <c r="L229" i="65"/>
  <c r="I225" i="57"/>
  <c r="J270" i="57" s="1"/>
  <c r="D57" i="23"/>
  <c r="D59" i="23"/>
  <c r="H69" i="23" s="1"/>
  <c r="F67" i="23"/>
  <c r="F112" i="23" s="1"/>
  <c r="B53" i="67"/>
  <c r="B61" i="67" s="1"/>
  <c r="B223" i="67" s="1"/>
  <c r="C268" i="67" s="1"/>
  <c r="F57" i="67"/>
  <c r="F219" i="67" s="1"/>
  <c r="C58" i="25"/>
  <c r="G68" i="25" s="1"/>
  <c r="G113" i="25" s="1"/>
  <c r="I66" i="25"/>
  <c r="I111" i="25" s="1"/>
  <c r="N272" i="69"/>
  <c r="K285" i="69"/>
  <c r="G227" i="127"/>
  <c r="E238" i="127"/>
  <c r="D145" i="127"/>
  <c r="J157" i="127" s="1"/>
  <c r="D143" i="127"/>
  <c r="D151" i="127"/>
  <c r="B33" i="73"/>
  <c r="B39" i="73" s="1"/>
  <c r="B222" i="73" s="1"/>
  <c r="C267" i="73" s="1"/>
  <c r="D37" i="73"/>
  <c r="D220" i="73" s="1"/>
  <c r="J319" i="143"/>
  <c r="D329" i="143"/>
  <c r="B77" i="95"/>
  <c r="B87" i="95" s="1"/>
  <c r="B132" i="95" s="1"/>
  <c r="C165" i="95" s="1"/>
  <c r="H81" i="95"/>
  <c r="H126" i="95" s="1"/>
  <c r="D94" i="101"/>
  <c r="D118" i="101"/>
  <c r="C28" i="41"/>
  <c r="C34" i="41" s="1"/>
  <c r="C161" i="41" s="1"/>
  <c r="D200" i="41" s="1"/>
  <c r="E32" i="41"/>
  <c r="E159" i="41" s="1"/>
  <c r="C207" i="97"/>
  <c r="I213" i="97" s="1"/>
  <c r="I291" i="97" s="1"/>
  <c r="E217" i="97"/>
  <c r="E295" i="97" s="1"/>
  <c r="C104" i="53"/>
  <c r="I116" i="53" s="1"/>
  <c r="I167" i="53" s="1"/>
  <c r="K114" i="53"/>
  <c r="K165" i="53" s="1"/>
  <c r="K228" i="71"/>
  <c r="G163" i="37"/>
  <c r="H202" i="37" s="1"/>
  <c r="C47" i="39"/>
  <c r="E55" i="39" s="1"/>
  <c r="E163" i="39" s="1"/>
  <c r="G53" i="39"/>
  <c r="G161" i="39" s="1"/>
  <c r="H200" i="39" s="1"/>
  <c r="G223" i="55"/>
  <c r="C201" i="73"/>
  <c r="M211" i="73" s="1"/>
  <c r="M226" i="73" s="1"/>
  <c r="I215" i="73"/>
  <c r="I230" i="73" s="1"/>
  <c r="J275" i="73" s="1"/>
  <c r="B58" i="29"/>
  <c r="F68" i="29" s="1"/>
  <c r="F113" i="29" s="1"/>
  <c r="H66" i="29"/>
  <c r="H111" i="29" s="1"/>
  <c r="C25" i="29"/>
  <c r="C31" i="29" s="1"/>
  <c r="C110" i="29" s="1"/>
  <c r="D143" i="29" s="1"/>
  <c r="E29" i="29"/>
  <c r="E108" i="29" s="1"/>
  <c r="F141" i="29" s="1"/>
  <c r="H186" i="127"/>
  <c r="C143" i="129"/>
  <c r="K151" i="129" s="1"/>
  <c r="K164" i="129" s="1"/>
  <c r="G155" i="129"/>
  <c r="G168" i="129" s="1"/>
  <c r="H207" i="129" s="1"/>
  <c r="B183" i="99"/>
  <c r="B195" i="99" s="1"/>
  <c r="B273" i="99" s="1"/>
  <c r="C318" i="99" s="1"/>
  <c r="J187" i="99"/>
  <c r="J265" i="99" s="1"/>
  <c r="J335" i="97"/>
  <c r="G349" i="97"/>
  <c r="C161" i="139"/>
  <c r="G173" i="139" s="1"/>
  <c r="G251" i="139" s="1"/>
  <c r="K169" i="139"/>
  <c r="K247" i="139" s="1"/>
  <c r="D164" i="127"/>
  <c r="J176" i="127" s="1"/>
  <c r="D162" i="127"/>
  <c r="B168" i="127"/>
  <c r="M229" i="57"/>
  <c r="D103" i="41"/>
  <c r="D105" i="41"/>
  <c r="F113" i="41" s="1"/>
  <c r="J117" i="41"/>
  <c r="G223" i="63"/>
  <c r="C68" i="127"/>
  <c r="C78" i="127" s="1"/>
  <c r="C186" i="127" s="1"/>
  <c r="D225" i="127" s="1"/>
  <c r="I72" i="127"/>
  <c r="I180" i="127" s="1"/>
  <c r="C201" i="57"/>
  <c r="E215" i="57" s="1"/>
  <c r="E230" i="57" s="1"/>
  <c r="M207" i="57"/>
  <c r="M222" i="57" s="1"/>
  <c r="D59" i="21"/>
  <c r="F67" i="21" s="1"/>
  <c r="D57" i="21"/>
  <c r="H69" i="21"/>
  <c r="H114" i="21" s="1"/>
  <c r="E311" i="117"/>
  <c r="C361" i="117"/>
  <c r="L335" i="123"/>
  <c r="G349" i="123"/>
  <c r="B99" i="117"/>
  <c r="J113" i="117" s="1"/>
  <c r="J275" i="117" s="1"/>
  <c r="L111" i="117"/>
  <c r="L273" i="117" s="1"/>
  <c r="B162" i="93"/>
  <c r="F176" i="93" s="1"/>
  <c r="F275" i="93" s="1"/>
  <c r="L170" i="93"/>
  <c r="L269" i="93" s="1"/>
  <c r="N433" i="81"/>
  <c r="K450" i="81"/>
  <c r="D91" i="25"/>
  <c r="D93" i="25"/>
  <c r="F101" i="25" s="1"/>
  <c r="B97" i="25"/>
  <c r="B108" i="25" s="1"/>
  <c r="C141" i="25" s="1"/>
  <c r="B166" i="81"/>
  <c r="L182" i="81" s="1"/>
  <c r="L376" i="81" s="1"/>
  <c r="N180" i="81"/>
  <c r="N374" i="81" s="1"/>
  <c r="D117" i="71"/>
  <c r="L131" i="71" s="1"/>
  <c r="D115" i="71"/>
  <c r="J129" i="71"/>
  <c r="N314" i="131"/>
  <c r="K328" i="131"/>
  <c r="G223" i="65"/>
  <c r="H268" i="65" s="1"/>
  <c r="H113" i="105"/>
  <c r="C93" i="17"/>
  <c r="E103" i="17" s="1"/>
  <c r="E114" i="17" s="1"/>
  <c r="I99" i="17"/>
  <c r="I110" i="17" s="1"/>
  <c r="C158" i="67"/>
  <c r="K172" i="67" s="1"/>
  <c r="K229" i="67" s="1"/>
  <c r="M170" i="67"/>
  <c r="M227" i="67" s="1"/>
  <c r="B25" i="15"/>
  <c r="B31" i="15" s="1"/>
  <c r="B110" i="15" s="1"/>
  <c r="C143" i="15" s="1"/>
  <c r="D29" i="15"/>
  <c r="D108" i="15" s="1"/>
  <c r="L229" i="55"/>
  <c r="E264" i="61"/>
  <c r="C317" i="61"/>
  <c r="F204" i="47"/>
  <c r="D215" i="47"/>
  <c r="C183" i="143"/>
  <c r="C195" i="143" s="1"/>
  <c r="C273" i="143" s="1"/>
  <c r="D318" i="143" s="1"/>
  <c r="K187" i="143"/>
  <c r="K265" i="143" s="1"/>
  <c r="D205" i="135"/>
  <c r="D207" i="135"/>
  <c r="D213" i="135" s="1"/>
  <c r="H217" i="135"/>
  <c r="C37" i="141"/>
  <c r="C43" i="141" s="1"/>
  <c r="C268" i="141" s="1"/>
  <c r="D313" i="141" s="1"/>
  <c r="E41" i="141"/>
  <c r="E266" i="141" s="1"/>
  <c r="F311" i="141" s="1"/>
  <c r="B53" i="111"/>
  <c r="D61" i="111" s="1"/>
  <c r="D223" i="111" s="1"/>
  <c r="F59" i="111"/>
  <c r="F221" i="111" s="1"/>
  <c r="B104" i="43"/>
  <c r="D114" i="43" s="1"/>
  <c r="D165" i="43" s="1"/>
  <c r="E204" i="43" s="1"/>
  <c r="H110" i="43"/>
  <c r="H161" i="43" s="1"/>
  <c r="L297" i="77"/>
  <c r="R427" i="81"/>
  <c r="O445" i="81"/>
  <c r="C117" i="67"/>
  <c r="I131" i="67" s="1"/>
  <c r="I230" i="67" s="1"/>
  <c r="M127" i="67"/>
  <c r="M226" i="67" s="1"/>
  <c r="B82" i="75"/>
  <c r="F92" i="75" s="1"/>
  <c r="F293" i="75" s="1"/>
  <c r="H90" i="75"/>
  <c r="H291" i="75" s="1"/>
  <c r="G337" i="135"/>
  <c r="E351" i="135"/>
  <c r="K270" i="61"/>
  <c r="H283" i="61"/>
  <c r="L275" i="73"/>
  <c r="I288" i="73"/>
  <c r="B53" i="65"/>
  <c r="D61" i="65" s="1"/>
  <c r="D223" i="65" s="1"/>
  <c r="F59" i="65"/>
  <c r="F221" i="65" s="1"/>
  <c r="I133" i="137"/>
  <c r="B143" i="45"/>
  <c r="F155" i="45" s="1"/>
  <c r="F168" i="45" s="1"/>
  <c r="J151" i="45"/>
  <c r="J164" i="45" s="1"/>
  <c r="C123" i="51"/>
  <c r="C133" i="51" s="1"/>
  <c r="C165" i="51" s="1"/>
  <c r="D204" i="51" s="1"/>
  <c r="I127" i="51"/>
  <c r="I159" i="51" s="1"/>
  <c r="G200" i="35"/>
  <c r="E212" i="35"/>
  <c r="I114" i="33"/>
  <c r="B48" i="43"/>
  <c r="D56" i="43" s="1"/>
  <c r="D164" i="43" s="1"/>
  <c r="E203" i="43" s="1"/>
  <c r="F54" i="43"/>
  <c r="F162" i="43" s="1"/>
  <c r="D40" i="33"/>
  <c r="D42" i="33"/>
  <c r="F50" i="33" s="1"/>
  <c r="F112" i="33" s="1"/>
  <c r="D48" i="33"/>
  <c r="C51" i="11"/>
  <c r="G55" i="11" s="1"/>
  <c r="G64" i="11" s="1"/>
  <c r="C59" i="11"/>
  <c r="C68" i="11" s="1"/>
  <c r="K296" i="97"/>
  <c r="B32" i="55"/>
  <c r="B38" i="55" s="1"/>
  <c r="B221" i="55" s="1"/>
  <c r="C266" i="55" s="1"/>
  <c r="D36" i="55"/>
  <c r="D219" i="55" s="1"/>
  <c r="B316" i="81"/>
  <c r="F334" i="81" s="1"/>
  <c r="F378" i="81" s="1"/>
  <c r="P324" i="81"/>
  <c r="P368" i="81" s="1"/>
  <c r="C198" i="75"/>
  <c r="M206" i="75" s="1"/>
  <c r="M292" i="75" s="1"/>
  <c r="G212" i="75"/>
  <c r="G298" i="75" s="1"/>
  <c r="I293" i="77"/>
  <c r="J344" i="77" s="1"/>
  <c r="C201" i="55"/>
  <c r="M211" i="55" s="1"/>
  <c r="M226" i="55" s="1"/>
  <c r="I215" i="55"/>
  <c r="I230" i="55" s="1"/>
  <c r="J275" i="55" s="1"/>
  <c r="D54" i="57"/>
  <c r="F62" i="57" s="1"/>
  <c r="D52" i="57"/>
  <c r="D60" i="57"/>
  <c r="J275" i="69"/>
  <c r="G288" i="69"/>
  <c r="C290" i="83"/>
  <c r="O298" i="83" s="1"/>
  <c r="O367" i="83" s="1"/>
  <c r="G306" i="83"/>
  <c r="G375" i="83" s="1"/>
  <c r="E222" i="57"/>
  <c r="B47" i="45"/>
  <c r="B57" i="45" s="1"/>
  <c r="B165" i="45" s="1"/>
  <c r="C204" i="45" s="1"/>
  <c r="H51" i="45"/>
  <c r="H159" i="45" s="1"/>
  <c r="D32" i="43"/>
  <c r="D159" i="43" s="1"/>
  <c r="E198" i="43" s="1"/>
  <c r="B28" i="43"/>
  <c r="B34" i="43" s="1"/>
  <c r="B161" i="43" s="1"/>
  <c r="C200" i="43" s="1"/>
  <c r="C29" i="51"/>
  <c r="C35" i="51" s="1"/>
  <c r="C162" i="51" s="1"/>
  <c r="D201" i="51" s="1"/>
  <c r="E33" i="51"/>
  <c r="E160" i="51" s="1"/>
  <c r="F199" i="47"/>
  <c r="D244" i="47"/>
  <c r="B59" i="17"/>
  <c r="B69" i="17" s="1"/>
  <c r="B114" i="17" s="1"/>
  <c r="C147" i="17" s="1"/>
  <c r="H63" i="17"/>
  <c r="H108" i="17" s="1"/>
  <c r="D40" i="31"/>
  <c r="D42" i="31"/>
  <c r="F50" i="31" s="1"/>
  <c r="B46" i="31"/>
  <c r="D117" i="73"/>
  <c r="J129" i="73" s="1"/>
  <c r="D115" i="73"/>
  <c r="B121" i="73"/>
  <c r="B220" i="73" s="1"/>
  <c r="C265" i="73" s="1"/>
  <c r="C179" i="67"/>
  <c r="E187" i="67" s="1"/>
  <c r="E223" i="67" s="1"/>
  <c r="G185" i="67"/>
  <c r="G221" i="67" s="1"/>
  <c r="C158" i="55"/>
  <c r="E172" i="55" s="1"/>
  <c r="E229" i="55" s="1"/>
  <c r="M164" i="55"/>
  <c r="M221" i="55" s="1"/>
  <c r="D319" i="3"/>
  <c r="I144" i="27"/>
  <c r="F153" i="27"/>
  <c r="F206" i="37"/>
  <c r="D217" i="37"/>
  <c r="C124" i="49"/>
  <c r="K130" i="49" s="1"/>
  <c r="K162" i="49" s="1"/>
  <c r="E136" i="49"/>
  <c r="E168" i="49" s="1"/>
  <c r="K274" i="117"/>
  <c r="F142" i="23"/>
  <c r="C179" i="23"/>
  <c r="J161" i="95"/>
  <c r="G171" i="95"/>
  <c r="C160" i="139"/>
  <c r="G172" i="139" s="1"/>
  <c r="G250" i="139" s="1"/>
  <c r="K168" i="139"/>
  <c r="K246" i="139" s="1"/>
  <c r="F342" i="75"/>
  <c r="D358" i="75"/>
  <c r="B241" i="81"/>
  <c r="L247" i="81" s="1"/>
  <c r="L366" i="81" s="1"/>
  <c r="D255" i="81"/>
  <c r="D374" i="81" s="1"/>
  <c r="D203" i="99"/>
  <c r="D205" i="99"/>
  <c r="D211" i="99" s="1"/>
  <c r="H215" i="99"/>
  <c r="I144" i="31"/>
  <c r="F153" i="31"/>
  <c r="K206" i="49"/>
  <c r="H217" i="49"/>
  <c r="K337" i="135"/>
  <c r="H351" i="135"/>
  <c r="B120" i="131"/>
  <c r="B132" i="131" s="1"/>
  <c r="B273" i="131" s="1"/>
  <c r="C318" i="131" s="1"/>
  <c r="J124" i="131"/>
  <c r="J265" i="131" s="1"/>
  <c r="C162" i="117"/>
  <c r="G176" i="117" s="1"/>
  <c r="G275" i="117" s="1"/>
  <c r="H320" i="117" s="1"/>
  <c r="M170" i="117"/>
  <c r="M269" i="117" s="1"/>
  <c r="C100" i="119"/>
  <c r="K114" i="119" s="1"/>
  <c r="K276" i="119" s="1"/>
  <c r="M112" i="119"/>
  <c r="M274" i="119" s="1"/>
  <c r="D86" i="47"/>
  <c r="J98" i="47" s="1"/>
  <c r="D84" i="47"/>
  <c r="H96" i="47"/>
  <c r="B75" i="71"/>
  <c r="F85" i="71" s="1"/>
  <c r="F226" i="71" s="1"/>
  <c r="H83" i="71"/>
  <c r="H224" i="71" s="1"/>
  <c r="D162" i="131"/>
  <c r="L176" i="131" s="1"/>
  <c r="L275" i="131" s="1"/>
  <c r="D160" i="131"/>
  <c r="D168" i="131"/>
  <c r="C57" i="131"/>
  <c r="E65" i="131" s="1"/>
  <c r="E269" i="131" s="1"/>
  <c r="G63" i="131"/>
  <c r="G267" i="131" s="1"/>
  <c r="D183" i="141"/>
  <c r="L197" i="141" s="1"/>
  <c r="L275" i="141" s="1"/>
  <c r="D181" i="141"/>
  <c r="H193" i="141"/>
  <c r="L337" i="135"/>
  <c r="I351" i="135"/>
  <c r="B270" i="97"/>
  <c r="B284" i="97" s="1"/>
  <c r="B299" i="97" s="1"/>
  <c r="C344" i="97" s="1"/>
  <c r="L274" i="97"/>
  <c r="L289" i="97" s="1"/>
  <c r="G289" i="133"/>
  <c r="D303" i="133"/>
  <c r="B60" i="75"/>
  <c r="D68" i="75" s="1"/>
  <c r="D292" i="75" s="1"/>
  <c r="F66" i="75"/>
  <c r="F290" i="75" s="1"/>
  <c r="E162" i="131"/>
  <c r="M176" i="131" s="1"/>
  <c r="B161" i="131"/>
  <c r="E160" i="131"/>
  <c r="E168" i="131"/>
  <c r="D58" i="131"/>
  <c r="F66" i="131" s="1"/>
  <c r="D56" i="131"/>
  <c r="D64" i="131"/>
  <c r="N344" i="135"/>
  <c r="K357" i="135"/>
  <c r="C27" i="137"/>
  <c r="C33" i="137" s="1"/>
  <c r="C129" i="137" s="1"/>
  <c r="D162" i="137" s="1"/>
  <c r="E31" i="137"/>
  <c r="E127" i="137" s="1"/>
  <c r="F160" i="137" s="1"/>
  <c r="C58" i="31"/>
  <c r="C68" i="31" s="1"/>
  <c r="C113" i="31" s="1"/>
  <c r="D146" i="31" s="1"/>
  <c r="I62" i="31"/>
  <c r="I107" i="31" s="1"/>
  <c r="D124" i="129"/>
  <c r="J136" i="129" s="1"/>
  <c r="D122" i="129"/>
  <c r="D130" i="129"/>
  <c r="F342" i="97"/>
  <c r="D355" i="97"/>
  <c r="L338" i="121"/>
  <c r="G384" i="121"/>
  <c r="K206" i="129"/>
  <c r="G216" i="129"/>
  <c r="B66" i="35"/>
  <c r="B76" i="35" s="1"/>
  <c r="B165" i="35" s="1"/>
  <c r="C204" i="35" s="1"/>
  <c r="H70" i="35"/>
  <c r="H159" i="35" s="1"/>
  <c r="C123" i="35"/>
  <c r="E135" i="35" s="1"/>
  <c r="E167" i="35" s="1"/>
  <c r="K129" i="35"/>
  <c r="K161" i="35" s="1"/>
  <c r="C116" i="55"/>
  <c r="C128" i="55" s="1"/>
  <c r="C227" i="55" s="1"/>
  <c r="D272" i="55" s="1"/>
  <c r="K120" i="55"/>
  <c r="K219" i="55" s="1"/>
  <c r="B200" i="55"/>
  <c r="L210" i="55" s="1"/>
  <c r="L225" i="55" s="1"/>
  <c r="H214" i="55"/>
  <c r="H229" i="55" s="1"/>
  <c r="B220" i="79"/>
  <c r="L236" i="79" s="1"/>
  <c r="L299" i="79" s="1"/>
  <c r="N234" i="79"/>
  <c r="N297" i="79" s="1"/>
  <c r="D161" i="99"/>
  <c r="D163" i="99"/>
  <c r="L177" i="99" s="1"/>
  <c r="L276" i="99" s="1"/>
  <c r="F171" i="99"/>
  <c r="J206" i="39"/>
  <c r="G217" i="39"/>
  <c r="F267" i="65"/>
  <c r="D281" i="65"/>
  <c r="F143" i="23"/>
  <c r="C152" i="23"/>
  <c r="D79" i="143"/>
  <c r="J91" i="143" s="1"/>
  <c r="D77" i="143"/>
  <c r="H89" i="143"/>
  <c r="H272" i="143" s="1"/>
  <c r="H248" i="139"/>
  <c r="F240" i="91"/>
  <c r="D285" i="91"/>
  <c r="D244" i="133"/>
  <c r="B96" i="73"/>
  <c r="J110" i="73" s="1"/>
  <c r="J230" i="73" s="1"/>
  <c r="L108" i="73"/>
  <c r="L228" i="73" s="1"/>
  <c r="E124" i="129"/>
  <c r="K136" i="129" s="1"/>
  <c r="K168" i="129" s="1"/>
  <c r="E122" i="129"/>
  <c r="E130" i="129"/>
  <c r="E162" i="129" s="1"/>
  <c r="F201" i="129" s="1"/>
  <c r="D73" i="111"/>
  <c r="D75" i="111"/>
  <c r="J87" i="111" s="1"/>
  <c r="H85" i="111"/>
  <c r="I268" i="67"/>
  <c r="F281" i="67"/>
  <c r="I146" i="23"/>
  <c r="F155" i="23"/>
  <c r="I140" i="19"/>
  <c r="F177" i="19"/>
  <c r="H201" i="43"/>
  <c r="E212" i="43"/>
  <c r="K167" i="41"/>
  <c r="D34" i="7"/>
  <c r="D36" i="7"/>
  <c r="F44" i="7" s="1"/>
  <c r="F68" i="7" s="1"/>
  <c r="D42" i="7"/>
  <c r="D241" i="83"/>
  <c r="D247" i="83" s="1"/>
  <c r="D239" i="83"/>
  <c r="L255" i="83"/>
  <c r="B161" i="143"/>
  <c r="E162" i="143"/>
  <c r="M176" i="143" s="1"/>
  <c r="E160" i="143"/>
  <c r="G170" i="143"/>
  <c r="B179" i="57"/>
  <c r="H193" i="57" s="1"/>
  <c r="H229" i="57" s="1"/>
  <c r="L189" i="57"/>
  <c r="L225" i="57" s="1"/>
  <c r="C76" i="21"/>
  <c r="G82" i="21" s="1"/>
  <c r="G110" i="21" s="1"/>
  <c r="E84" i="21"/>
  <c r="E112" i="21" s="1"/>
  <c r="F145" i="21" s="1"/>
  <c r="H268" i="67"/>
  <c r="E281" i="67"/>
  <c r="E204" i="47"/>
  <c r="C215" i="47"/>
  <c r="C29" i="43"/>
  <c r="C35" i="43" s="1"/>
  <c r="C162" i="43" s="1"/>
  <c r="D201" i="43" s="1"/>
  <c r="E33" i="43"/>
  <c r="E160" i="43" s="1"/>
  <c r="B220" i="75"/>
  <c r="L236" i="75" s="1"/>
  <c r="L299" i="75" s="1"/>
  <c r="N234" i="75"/>
  <c r="N297" i="75" s="1"/>
  <c r="E272" i="111"/>
  <c r="C284" i="111"/>
  <c r="C60" i="137"/>
  <c r="G70" i="137" s="1"/>
  <c r="G132" i="137" s="1"/>
  <c r="I68" i="137"/>
  <c r="I130" i="137" s="1"/>
  <c r="M348" i="79"/>
  <c r="J363" i="79"/>
  <c r="B240" i="83"/>
  <c r="L246" i="83" s="1"/>
  <c r="L365" i="83" s="1"/>
  <c r="D254" i="83"/>
  <c r="D373" i="83" s="1"/>
  <c r="B341" i="81"/>
  <c r="P351" i="81" s="1"/>
  <c r="P370" i="81" s="1"/>
  <c r="H359" i="81"/>
  <c r="H378" i="81" s="1"/>
  <c r="G269" i="117"/>
  <c r="H314" i="117" s="1"/>
  <c r="L205" i="129"/>
  <c r="H215" i="129"/>
  <c r="E105" i="79"/>
  <c r="K117" i="79" s="1"/>
  <c r="K295" i="79" s="1"/>
  <c r="B104" i="79"/>
  <c r="E103" i="79"/>
  <c r="C109" i="79"/>
  <c r="C287" i="79" s="1"/>
  <c r="D338" i="79" s="1"/>
  <c r="B80" i="97"/>
  <c r="H92" i="97" s="1"/>
  <c r="H296" i="97" s="1"/>
  <c r="J90" i="97"/>
  <c r="J294" i="97" s="1"/>
  <c r="E221" i="59"/>
  <c r="J161" i="113"/>
  <c r="F195" i="113"/>
  <c r="D161" i="141"/>
  <c r="D163" i="141"/>
  <c r="F171" i="141" s="1"/>
  <c r="D169" i="141"/>
  <c r="B180" i="69"/>
  <c r="J194" i="69" s="1"/>
  <c r="J230" i="69" s="1"/>
  <c r="L192" i="69"/>
  <c r="L228" i="69" s="1"/>
  <c r="F140" i="17"/>
  <c r="D177" i="17"/>
  <c r="I272" i="99"/>
  <c r="D100" i="123"/>
  <c r="D102" i="123"/>
  <c r="L116" i="123" s="1"/>
  <c r="J114" i="123"/>
  <c r="I227" i="115"/>
  <c r="E237" i="115"/>
  <c r="B116" i="65"/>
  <c r="J130" i="65" s="1"/>
  <c r="J229" i="65" s="1"/>
  <c r="L128" i="65"/>
  <c r="L227" i="65" s="1"/>
  <c r="D73" i="57"/>
  <c r="D75" i="57"/>
  <c r="H85" i="57" s="1"/>
  <c r="H226" i="57" s="1"/>
  <c r="F83" i="57"/>
  <c r="J146" i="23"/>
  <c r="G155" i="23"/>
  <c r="G268" i="67"/>
  <c r="D281" i="67"/>
  <c r="J146" i="25"/>
  <c r="G155" i="25"/>
  <c r="L274" i="69"/>
  <c r="I287" i="69"/>
  <c r="K223" i="127"/>
  <c r="H235" i="127"/>
  <c r="C144" i="127"/>
  <c r="E156" i="127" s="1"/>
  <c r="E188" i="127" s="1"/>
  <c r="K150" i="127"/>
  <c r="K182" i="127" s="1"/>
  <c r="K335" i="97"/>
  <c r="H349" i="97"/>
  <c r="I165" i="95"/>
  <c r="F174" i="95"/>
  <c r="D27" i="41"/>
  <c r="D29" i="41"/>
  <c r="D35" i="41" s="1"/>
  <c r="B33" i="41"/>
  <c r="B160" i="41" s="1"/>
  <c r="C199" i="41" s="1"/>
  <c r="B59" i="27"/>
  <c r="F69" i="27" s="1"/>
  <c r="F114" i="27" s="1"/>
  <c r="H67" i="27"/>
  <c r="H112" i="27" s="1"/>
  <c r="R429" i="81"/>
  <c r="O491" i="81"/>
  <c r="K167" i="53"/>
  <c r="D48" i="37"/>
  <c r="F56" i="37" s="1"/>
  <c r="D46" i="37"/>
  <c r="D54" i="37"/>
  <c r="D46" i="39"/>
  <c r="D48" i="39"/>
  <c r="F56" i="39" s="1"/>
  <c r="F164" i="39" s="1"/>
  <c r="D54" i="39"/>
  <c r="C159" i="55"/>
  <c r="E173" i="55" s="1"/>
  <c r="E230" i="55" s="1"/>
  <c r="M165" i="55"/>
  <c r="M222" i="55" s="1"/>
  <c r="D75" i="85"/>
  <c r="D77" i="85"/>
  <c r="B81" i="85" s="1"/>
  <c r="B126" i="85" s="1"/>
  <c r="C159" i="85" s="1"/>
  <c r="H87" i="85"/>
  <c r="H132" i="85" s="1"/>
  <c r="B68" i="127"/>
  <c r="B78" i="127" s="1"/>
  <c r="B186" i="127" s="1"/>
  <c r="C225" i="127" s="1"/>
  <c r="H72" i="127"/>
  <c r="H180" i="127" s="1"/>
  <c r="D92" i="101"/>
  <c r="D116" i="101"/>
  <c r="K251" i="139"/>
  <c r="C83" i="75"/>
  <c r="G93" i="75" s="1"/>
  <c r="G294" i="75" s="1"/>
  <c r="I91" i="75"/>
  <c r="I292" i="75" s="1"/>
  <c r="J343" i="75" s="1"/>
  <c r="C163" i="127"/>
  <c r="C175" i="127" s="1"/>
  <c r="C188" i="127" s="1"/>
  <c r="D227" i="127" s="1"/>
  <c r="K167" i="127"/>
  <c r="K180" i="127" s="1"/>
  <c r="B270" i="121"/>
  <c r="B284" i="121" s="1"/>
  <c r="B299" i="121" s="1"/>
  <c r="C344" i="121" s="1"/>
  <c r="L274" i="121"/>
  <c r="L289" i="121" s="1"/>
  <c r="C126" i="89"/>
  <c r="E138" i="89" s="1"/>
  <c r="E189" i="89" s="1"/>
  <c r="K132" i="89"/>
  <c r="K183" i="89" s="1"/>
  <c r="C95" i="63"/>
  <c r="I103" i="63" s="1"/>
  <c r="I223" i="63" s="1"/>
  <c r="G105" i="63"/>
  <c r="G225" i="63" s="1"/>
  <c r="C221" i="79"/>
  <c r="M237" i="79" s="1"/>
  <c r="M300" i="79" s="1"/>
  <c r="O235" i="79"/>
  <c r="O298" i="79" s="1"/>
  <c r="H144" i="21"/>
  <c r="E153" i="21"/>
  <c r="D67" i="107"/>
  <c r="H77" i="107" s="1"/>
  <c r="H166" i="107" s="1"/>
  <c r="B71" i="107"/>
  <c r="D65" i="107"/>
  <c r="H318" i="141"/>
  <c r="D330" i="141"/>
  <c r="J167" i="107"/>
  <c r="B225" i="93"/>
  <c r="D239" i="93" s="1"/>
  <c r="D275" i="93" s="1"/>
  <c r="L231" i="93"/>
  <c r="L267" i="93" s="1"/>
  <c r="E162" i="35"/>
  <c r="J268" i="67"/>
  <c r="G281" i="67"/>
  <c r="B141" i="131"/>
  <c r="J147" i="131" s="1"/>
  <c r="J267" i="131" s="1"/>
  <c r="D153" i="131"/>
  <c r="D273" i="131" s="1"/>
  <c r="M229" i="71"/>
  <c r="M374" i="83"/>
  <c r="M314" i="141"/>
  <c r="I326" i="141"/>
  <c r="I208" i="91"/>
  <c r="E225" i="123"/>
  <c r="E227" i="123"/>
  <c r="M241" i="123" s="1"/>
  <c r="M298" i="123" s="1"/>
  <c r="B226" i="123"/>
  <c r="E233" i="123"/>
  <c r="E290" i="123" s="1"/>
  <c r="F335" i="123" s="1"/>
  <c r="C151" i="77"/>
  <c r="K165" i="77" s="1"/>
  <c r="K297" i="77" s="1"/>
  <c r="M163" i="77"/>
  <c r="M295" i="77" s="1"/>
  <c r="I369" i="83"/>
  <c r="B58" i="105"/>
  <c r="F68" i="105" s="1"/>
  <c r="F113" i="105" s="1"/>
  <c r="H66" i="105"/>
  <c r="H111" i="105" s="1"/>
  <c r="D157" i="67"/>
  <c r="D159" i="67"/>
  <c r="L173" i="67" s="1"/>
  <c r="J171" i="67"/>
  <c r="B93" i="23"/>
  <c r="D103" i="23" s="1"/>
  <c r="D114" i="23" s="1"/>
  <c r="E147" i="23" s="1"/>
  <c r="H99" i="23"/>
  <c r="H110" i="23" s="1"/>
  <c r="I159" i="137"/>
  <c r="E193" i="137"/>
  <c r="C243" i="133"/>
  <c r="D288" i="133" s="1"/>
  <c r="F241" i="91"/>
  <c r="D286" i="91"/>
  <c r="J425" i="83"/>
  <c r="H443" i="83"/>
  <c r="C44" i="87"/>
  <c r="E52" i="87" s="1"/>
  <c r="E131" i="87" s="1"/>
  <c r="F164" i="87" s="1"/>
  <c r="G50" i="87"/>
  <c r="G129" i="87" s="1"/>
  <c r="M230" i="67"/>
  <c r="F244" i="91"/>
  <c r="D256" i="91"/>
  <c r="B59" i="135"/>
  <c r="D67" i="135" s="1"/>
  <c r="D292" i="135" s="1"/>
  <c r="F65" i="135"/>
  <c r="F290" i="135" s="1"/>
  <c r="I272" i="61"/>
  <c r="F285" i="61"/>
  <c r="C147" i="91"/>
  <c r="I153" i="91" s="1"/>
  <c r="I204" i="91" s="1"/>
  <c r="E157" i="91"/>
  <c r="E208" i="91" s="1"/>
  <c r="F223" i="65"/>
  <c r="B126" i="95"/>
  <c r="C159" i="95" s="1"/>
  <c r="E202" i="35"/>
  <c r="C214" i="35"/>
  <c r="D221" i="133"/>
  <c r="D223" i="133"/>
  <c r="F231" i="133" s="1"/>
  <c r="F246" i="133" s="1"/>
  <c r="J235" i="133"/>
  <c r="J250" i="133" s="1"/>
  <c r="C59" i="33"/>
  <c r="G69" i="33" s="1"/>
  <c r="G114" i="33" s="1"/>
  <c r="H147" i="33" s="1"/>
  <c r="I67" i="33"/>
  <c r="I112" i="33" s="1"/>
  <c r="N270" i="69"/>
  <c r="K283" i="69"/>
  <c r="C41" i="33"/>
  <c r="E49" i="33" s="1"/>
  <c r="E111" i="33" s="1"/>
  <c r="G47" i="33"/>
  <c r="G109" i="33" s="1"/>
  <c r="H142" i="33" s="1"/>
  <c r="D79" i="97"/>
  <c r="D81" i="97"/>
  <c r="J93" i="97" s="1"/>
  <c r="J297" i="97" s="1"/>
  <c r="H91" i="97"/>
  <c r="C159" i="65"/>
  <c r="E169" i="65" s="1"/>
  <c r="E226" i="65" s="1"/>
  <c r="I165" i="65"/>
  <c r="I222" i="65" s="1"/>
  <c r="D81" i="77"/>
  <c r="D83" i="77"/>
  <c r="H93" i="77" s="1"/>
  <c r="F91" i="77"/>
  <c r="G351" i="77"/>
  <c r="E366" i="77"/>
  <c r="G223" i="57"/>
  <c r="C33" i="57"/>
  <c r="C39" i="57" s="1"/>
  <c r="C222" i="57" s="1"/>
  <c r="D267" i="57" s="1"/>
  <c r="E37" i="57"/>
  <c r="E220" i="57" s="1"/>
  <c r="H165" i="45"/>
  <c r="E162" i="51"/>
  <c r="I263" i="3"/>
  <c r="D263" i="3"/>
  <c r="H263" i="3"/>
  <c r="G263" i="3"/>
  <c r="F263" i="3"/>
  <c r="E263" i="3"/>
  <c r="A263" i="3"/>
  <c r="L274" i="3" s="1"/>
  <c r="J263" i="3"/>
  <c r="C263" i="3"/>
  <c r="C116" i="73"/>
  <c r="C128" i="73" s="1"/>
  <c r="C227" i="73" s="1"/>
  <c r="D272" i="73" s="1"/>
  <c r="K120" i="73"/>
  <c r="K219" i="73" s="1"/>
  <c r="D178" i="67"/>
  <c r="D180" i="67"/>
  <c r="F188" i="67" s="1"/>
  <c r="D186" i="67"/>
  <c r="B142" i="35"/>
  <c r="J150" i="35" s="1"/>
  <c r="J163" i="35" s="1"/>
  <c r="F154" i="35"/>
  <c r="F167" i="35" s="1"/>
  <c r="G146" i="27"/>
  <c r="D155" i="27"/>
  <c r="C79" i="117"/>
  <c r="I91" i="117" s="1"/>
  <c r="I274" i="117" s="1"/>
  <c r="K89" i="117"/>
  <c r="K272" i="117" s="1"/>
  <c r="H271" i="141"/>
  <c r="D35" i="119"/>
  <c r="D37" i="119"/>
  <c r="D43" i="119" s="1"/>
  <c r="B41" i="119"/>
  <c r="B266" i="119" s="1"/>
  <c r="C311" i="119" s="1"/>
  <c r="L206" i="47"/>
  <c r="I217" i="47"/>
  <c r="E242" i="91"/>
  <c r="C254" i="91"/>
  <c r="I268" i="73"/>
  <c r="G282" i="73"/>
  <c r="L226" i="115"/>
  <c r="H236" i="115"/>
  <c r="B29" i="49"/>
  <c r="B35" i="49" s="1"/>
  <c r="B162" i="49" s="1"/>
  <c r="C201" i="49" s="1"/>
  <c r="D33" i="49"/>
  <c r="D160" i="49" s="1"/>
  <c r="C105" i="41"/>
  <c r="K113" i="41" s="1"/>
  <c r="K164" i="41" s="1"/>
  <c r="G117" i="41"/>
  <c r="G168" i="41" s="1"/>
  <c r="H207" i="41" s="1"/>
  <c r="L207" i="51"/>
  <c r="I218" i="51"/>
  <c r="F242" i="91"/>
  <c r="D254" i="91"/>
  <c r="D93" i="11"/>
  <c r="D120" i="11"/>
  <c r="L287" i="133"/>
  <c r="G334" i="133"/>
  <c r="G112" i="105"/>
  <c r="B104" i="49"/>
  <c r="H112" i="49" s="1"/>
  <c r="H163" i="49" s="1"/>
  <c r="F114" i="49"/>
  <c r="F165" i="49" s="1"/>
  <c r="D54" i="71"/>
  <c r="F62" i="71" s="1"/>
  <c r="D52" i="71"/>
  <c r="D60" i="71"/>
  <c r="C123" i="53"/>
  <c r="E135" i="53" s="1"/>
  <c r="E167" i="53" s="1"/>
  <c r="K129" i="53"/>
  <c r="K161" i="53" s="1"/>
  <c r="B29" i="115"/>
  <c r="E28" i="115"/>
  <c r="E30" i="115"/>
  <c r="E36" i="115" s="1"/>
  <c r="E182" i="115" s="1"/>
  <c r="F221" i="115" s="1"/>
  <c r="C34" i="115"/>
  <c r="C207" i="123"/>
  <c r="I213" i="123" s="1"/>
  <c r="I291" i="123" s="1"/>
  <c r="E217" i="123"/>
  <c r="E295" i="123" s="1"/>
  <c r="F340" i="123" s="1"/>
  <c r="C93" i="105"/>
  <c r="C101" i="105" s="1"/>
  <c r="C112" i="105" s="1"/>
  <c r="D145" i="105" s="1"/>
  <c r="G97" i="105"/>
  <c r="G108" i="105" s="1"/>
  <c r="C42" i="105"/>
  <c r="E50" i="105" s="1"/>
  <c r="E112" i="105" s="1"/>
  <c r="F145" i="105" s="1"/>
  <c r="G48" i="105"/>
  <c r="G110" i="105" s="1"/>
  <c r="C60" i="123"/>
  <c r="E68" i="123" s="1"/>
  <c r="E293" i="123" s="1"/>
  <c r="F338" i="123" s="1"/>
  <c r="G66" i="123"/>
  <c r="G291" i="123" s="1"/>
  <c r="H336" i="123" s="1"/>
  <c r="C24" i="31"/>
  <c r="C30" i="31" s="1"/>
  <c r="C109" i="31" s="1"/>
  <c r="D142" i="31" s="1"/>
  <c r="E28" i="31"/>
  <c r="E107" i="31" s="1"/>
  <c r="F140" i="31" s="1"/>
  <c r="L207" i="39"/>
  <c r="I218" i="39"/>
  <c r="I434" i="81"/>
  <c r="G451" i="81"/>
  <c r="O422" i="83"/>
  <c r="L440" i="83"/>
  <c r="B266" i="83"/>
  <c r="D282" i="83" s="1"/>
  <c r="D376" i="83" s="1"/>
  <c r="N272" i="83"/>
  <c r="N366" i="83" s="1"/>
  <c r="E266" i="71"/>
  <c r="C280" i="71"/>
  <c r="D44" i="113"/>
  <c r="F52" i="113" s="1"/>
  <c r="F131" i="113" s="1"/>
  <c r="D42" i="113"/>
  <c r="D50" i="113"/>
  <c r="D129" i="113" s="1"/>
  <c r="E162" i="113" s="1"/>
  <c r="M268" i="59"/>
  <c r="J282" i="59"/>
  <c r="E109" i="109"/>
  <c r="F142" i="109" s="1"/>
  <c r="J147" i="109"/>
  <c r="D153" i="109"/>
  <c r="E268" i="117"/>
  <c r="C129" i="75"/>
  <c r="K135" i="75" s="1"/>
  <c r="K290" i="75" s="1"/>
  <c r="E141" i="75"/>
  <c r="E296" i="75" s="1"/>
  <c r="J146" i="31"/>
  <c r="G155" i="31"/>
  <c r="F202" i="47"/>
  <c r="D214" i="47"/>
  <c r="C180" i="63"/>
  <c r="I194" i="63" s="1"/>
  <c r="I230" i="63" s="1"/>
  <c r="M190" i="63"/>
  <c r="M226" i="63" s="1"/>
  <c r="E40" i="81"/>
  <c r="E46" i="81" s="1"/>
  <c r="E365" i="81" s="1"/>
  <c r="E38" i="81"/>
  <c r="B39" i="81"/>
  <c r="C44" i="81"/>
  <c r="O430" i="81"/>
  <c r="L447" i="81"/>
  <c r="K206" i="47"/>
  <c r="H217" i="47"/>
  <c r="B53" i="59"/>
  <c r="D61" i="59" s="1"/>
  <c r="D223" i="59" s="1"/>
  <c r="F59" i="59"/>
  <c r="F221" i="59" s="1"/>
  <c r="B36" i="119"/>
  <c r="B42" i="119" s="1"/>
  <c r="B267" i="119" s="1"/>
  <c r="C312" i="119" s="1"/>
  <c r="D40" i="119"/>
  <c r="D265" i="119" s="1"/>
  <c r="I227" i="89"/>
  <c r="F238" i="89"/>
  <c r="I161" i="137"/>
  <c r="E195" i="137"/>
  <c r="C165" i="83"/>
  <c r="M181" i="83" s="1"/>
  <c r="M375" i="83" s="1"/>
  <c r="O179" i="83"/>
  <c r="O373" i="83" s="1"/>
  <c r="N312" i="143"/>
  <c r="H356" i="143"/>
  <c r="C33" i="73"/>
  <c r="C39" i="73" s="1"/>
  <c r="C222" i="73" s="1"/>
  <c r="D267" i="73" s="1"/>
  <c r="E37" i="73"/>
  <c r="E220" i="73" s="1"/>
  <c r="B74" i="59"/>
  <c r="F84" i="59" s="1"/>
  <c r="F225" i="59" s="1"/>
  <c r="H82" i="59"/>
  <c r="H223" i="59" s="1"/>
  <c r="L267" i="111"/>
  <c r="H316" i="111"/>
  <c r="G341" i="97"/>
  <c r="E354" i="97"/>
  <c r="B116" i="73"/>
  <c r="B128" i="73" s="1"/>
  <c r="B227" i="73" s="1"/>
  <c r="C272" i="73" s="1"/>
  <c r="J120" i="73"/>
  <c r="J219" i="73" s="1"/>
  <c r="C25" i="23"/>
  <c r="C31" i="23" s="1"/>
  <c r="C110" i="23" s="1"/>
  <c r="D143" i="23" s="1"/>
  <c r="E29" i="23"/>
  <c r="E108" i="23" s="1"/>
  <c r="C78" i="143"/>
  <c r="I90" i="143" s="1"/>
  <c r="I273" i="143" s="1"/>
  <c r="K88" i="143"/>
  <c r="K271" i="143" s="1"/>
  <c r="B265" i="141"/>
  <c r="C310" i="141" s="1"/>
  <c r="E129" i="113"/>
  <c r="F162" i="113" s="1"/>
  <c r="D41" i="83"/>
  <c r="D47" i="83" s="1"/>
  <c r="D39" i="83"/>
  <c r="B45" i="83"/>
  <c r="B364" i="83" s="1"/>
  <c r="C421" i="83" s="1"/>
  <c r="L204" i="35"/>
  <c r="I215" i="35"/>
  <c r="F203" i="43"/>
  <c r="C214" i="43"/>
  <c r="C85" i="41"/>
  <c r="I97" i="41" s="1"/>
  <c r="I167" i="41" s="1"/>
  <c r="K95" i="41"/>
  <c r="K165" i="41" s="1"/>
  <c r="C35" i="7"/>
  <c r="E43" i="7" s="1"/>
  <c r="E67" i="7" s="1"/>
  <c r="F94" i="7" s="1"/>
  <c r="G41" i="7"/>
  <c r="G65" i="7" s="1"/>
  <c r="C88" i="127"/>
  <c r="I100" i="127" s="1"/>
  <c r="I189" i="127" s="1"/>
  <c r="K98" i="127"/>
  <c r="K187" i="127" s="1"/>
  <c r="C240" i="83"/>
  <c r="M246" i="83" s="1"/>
  <c r="M365" i="83" s="1"/>
  <c r="E254" i="83"/>
  <c r="E373" i="83" s="1"/>
  <c r="K310" i="143"/>
  <c r="E354" i="143"/>
  <c r="C291" i="83"/>
  <c r="O299" i="83" s="1"/>
  <c r="O368" i="83" s="1"/>
  <c r="G307" i="83"/>
  <c r="G376" i="83" s="1"/>
  <c r="C137" i="65"/>
  <c r="M145" i="65" s="1"/>
  <c r="M223" i="65" s="1"/>
  <c r="G151" i="65"/>
  <c r="G229" i="65" s="1"/>
  <c r="H274" i="65" s="1"/>
  <c r="C42" i="29"/>
  <c r="E50" i="29" s="1"/>
  <c r="E112" i="29" s="1"/>
  <c r="F145" i="29" s="1"/>
  <c r="G48" i="29"/>
  <c r="G110" i="29" s="1"/>
  <c r="F201" i="43"/>
  <c r="C212" i="43"/>
  <c r="H269" i="57"/>
  <c r="F283" i="57"/>
  <c r="N272" i="65"/>
  <c r="K285" i="65"/>
  <c r="O350" i="75"/>
  <c r="L365" i="75"/>
  <c r="E161" i="85"/>
  <c r="C171" i="85"/>
  <c r="B185" i="121"/>
  <c r="B197" i="121" s="1"/>
  <c r="B296" i="121" s="1"/>
  <c r="C341" i="121" s="1"/>
  <c r="J189" i="121"/>
  <c r="J288" i="121" s="1"/>
  <c r="D74" i="33"/>
  <c r="D76" i="33"/>
  <c r="B80" i="33" s="1"/>
  <c r="H86" i="33"/>
  <c r="H114" i="33" s="1"/>
  <c r="D58" i="117"/>
  <c r="F66" i="117" s="1"/>
  <c r="D56" i="117"/>
  <c r="D64" i="117"/>
  <c r="C24" i="19"/>
  <c r="C30" i="19" s="1"/>
  <c r="C109" i="19" s="1"/>
  <c r="D142" i="19" s="1"/>
  <c r="E28" i="19"/>
  <c r="E107" i="19" s="1"/>
  <c r="J207" i="129"/>
  <c r="F217" i="129"/>
  <c r="K341" i="97"/>
  <c r="H354" i="97"/>
  <c r="C162" i="141"/>
  <c r="E170" i="141" s="1"/>
  <c r="E269" i="141" s="1"/>
  <c r="F314" i="141" s="1"/>
  <c r="G168" i="141"/>
  <c r="G267" i="141" s="1"/>
  <c r="C184" i="143"/>
  <c r="C196" i="143" s="1"/>
  <c r="C274" i="143" s="1"/>
  <c r="D319" i="143" s="1"/>
  <c r="K188" i="143"/>
  <c r="K266" i="143" s="1"/>
  <c r="L319" i="99"/>
  <c r="I332" i="99"/>
  <c r="C101" i="123"/>
  <c r="K115" i="123" s="1"/>
  <c r="K298" i="123" s="1"/>
  <c r="M113" i="123"/>
  <c r="M296" i="123" s="1"/>
  <c r="C206" i="121"/>
  <c r="I212" i="121" s="1"/>
  <c r="I290" i="121" s="1"/>
  <c r="E216" i="121"/>
  <c r="E294" i="121" s="1"/>
  <c r="F339" i="121" s="1"/>
  <c r="D88" i="89"/>
  <c r="D94" i="89" s="1"/>
  <c r="D86" i="89"/>
  <c r="H98" i="89"/>
  <c r="C121" i="141"/>
  <c r="K129" i="141" s="1"/>
  <c r="K270" i="141" s="1"/>
  <c r="G133" i="141"/>
  <c r="G274" i="141" s="1"/>
  <c r="E142" i="19"/>
  <c r="C152" i="19"/>
  <c r="K338" i="77"/>
  <c r="H399" i="77"/>
  <c r="B112" i="113"/>
  <c r="D122" i="113" s="1"/>
  <c r="D133" i="113" s="1"/>
  <c r="E166" i="113" s="1"/>
  <c r="H118" i="113"/>
  <c r="H129" i="113" s="1"/>
  <c r="C112" i="85"/>
  <c r="E122" i="85" s="1"/>
  <c r="E133" i="85" s="1"/>
  <c r="F166" i="85" s="1"/>
  <c r="I118" i="85"/>
  <c r="I129" i="85" s="1"/>
  <c r="C90" i="101"/>
  <c r="C100" i="101"/>
  <c r="K341" i="123"/>
  <c r="F352" i="123"/>
  <c r="E341" i="97"/>
  <c r="C354" i="97"/>
  <c r="B47" i="129"/>
  <c r="D55" i="129" s="1"/>
  <c r="D163" i="129" s="1"/>
  <c r="F53" i="129"/>
  <c r="F161" i="129" s="1"/>
  <c r="B116" i="57"/>
  <c r="D128" i="57" s="1"/>
  <c r="D227" i="57" s="1"/>
  <c r="J122" i="57"/>
  <c r="J221" i="57" s="1"/>
  <c r="G142" i="33"/>
  <c r="E152" i="33"/>
  <c r="C226" i="93"/>
  <c r="E240" i="93" s="1"/>
  <c r="E276" i="93" s="1"/>
  <c r="M232" i="93"/>
  <c r="M268" i="93" s="1"/>
  <c r="H165" i="53"/>
  <c r="H425" i="83"/>
  <c r="F443" i="83"/>
  <c r="B123" i="45"/>
  <c r="H135" i="45" s="1"/>
  <c r="H167" i="45" s="1"/>
  <c r="J133" i="45"/>
  <c r="J165" i="45" s="1"/>
  <c r="H268" i="73"/>
  <c r="F282" i="73"/>
  <c r="E75" i="85"/>
  <c r="E77" i="85"/>
  <c r="C81" i="85" s="1"/>
  <c r="C126" i="85" s="1"/>
  <c r="D159" i="85" s="1"/>
  <c r="B76" i="85"/>
  <c r="I87" i="85"/>
  <c r="I132" i="85" s="1"/>
  <c r="J146" i="21"/>
  <c r="G155" i="21"/>
  <c r="B85" i="129"/>
  <c r="H91" i="129" s="1"/>
  <c r="H161" i="129" s="1"/>
  <c r="D95" i="129"/>
  <c r="D165" i="129" s="1"/>
  <c r="C27" i="87"/>
  <c r="C33" i="87" s="1"/>
  <c r="C129" i="87" s="1"/>
  <c r="D162" i="87" s="1"/>
  <c r="E31" i="87"/>
  <c r="E127" i="87" s="1"/>
  <c r="F160" i="87" s="1"/>
  <c r="C41" i="109"/>
  <c r="E49" i="109" s="1"/>
  <c r="E111" i="109" s="1"/>
  <c r="F144" i="109" s="1"/>
  <c r="G47" i="109"/>
  <c r="G109" i="109" s="1"/>
  <c r="H142" i="109" s="1"/>
  <c r="B100" i="93"/>
  <c r="J114" i="93" s="1"/>
  <c r="J276" i="93" s="1"/>
  <c r="L112" i="93"/>
  <c r="L274" i="93" s="1"/>
  <c r="O300" i="79"/>
  <c r="H423" i="83"/>
  <c r="F441" i="83"/>
  <c r="H165" i="107"/>
  <c r="C66" i="107"/>
  <c r="C76" i="107" s="1"/>
  <c r="C165" i="107" s="1"/>
  <c r="D204" i="107" s="1"/>
  <c r="I70" i="107"/>
  <c r="I159" i="107" s="1"/>
  <c r="L314" i="141"/>
  <c r="H326" i="141"/>
  <c r="C184" i="99"/>
  <c r="C196" i="99" s="1"/>
  <c r="C274" i="99" s="1"/>
  <c r="D319" i="99" s="1"/>
  <c r="K188" i="99"/>
  <c r="K266" i="99" s="1"/>
  <c r="E205" i="131"/>
  <c r="I215" i="131" s="1"/>
  <c r="E203" i="131"/>
  <c r="M219" i="131"/>
  <c r="Q424" i="83"/>
  <c r="N442" i="83"/>
  <c r="C186" i="123"/>
  <c r="C198" i="123" s="1"/>
  <c r="C297" i="123" s="1"/>
  <c r="D342" i="123" s="1"/>
  <c r="K190" i="123"/>
  <c r="K289" i="123" s="1"/>
  <c r="C207" i="121"/>
  <c r="I213" i="121" s="1"/>
  <c r="I291" i="121" s="1"/>
  <c r="E217" i="121"/>
  <c r="E295" i="121" s="1"/>
  <c r="F340" i="121" s="1"/>
  <c r="B104" i="107"/>
  <c r="H116" i="107" s="1"/>
  <c r="H167" i="107" s="1"/>
  <c r="J114" i="107"/>
  <c r="J165" i="107" s="1"/>
  <c r="I350" i="77"/>
  <c r="G365" i="77"/>
  <c r="C247" i="143"/>
  <c r="K255" i="143" s="1"/>
  <c r="K270" i="143" s="1"/>
  <c r="G259" i="143"/>
  <c r="G274" i="143" s="1"/>
  <c r="H319" i="143" s="1"/>
  <c r="B93" i="15"/>
  <c r="H99" i="15" s="1"/>
  <c r="H110" i="15" s="1"/>
  <c r="D103" i="15"/>
  <c r="D114" i="15" s="1"/>
  <c r="D249" i="97"/>
  <c r="F257" i="97" s="1"/>
  <c r="D247" i="97"/>
  <c r="J261" i="97"/>
  <c r="B85" i="51"/>
  <c r="H97" i="51" s="1"/>
  <c r="H167" i="51" s="1"/>
  <c r="J95" i="51"/>
  <c r="J165" i="51" s="1"/>
  <c r="C29" i="35"/>
  <c r="C35" i="35" s="1"/>
  <c r="C162" i="35" s="1"/>
  <c r="D201" i="35" s="1"/>
  <c r="E33" i="35"/>
  <c r="E160" i="35" s="1"/>
  <c r="H270" i="67"/>
  <c r="E283" i="67"/>
  <c r="L204" i="107"/>
  <c r="H214" i="107"/>
  <c r="C141" i="83"/>
  <c r="C155" i="83" s="1"/>
  <c r="C374" i="83" s="1"/>
  <c r="D431" i="83" s="1"/>
  <c r="M145" i="83"/>
  <c r="M364" i="83" s="1"/>
  <c r="G320" i="141"/>
  <c r="C332" i="141"/>
  <c r="K210" i="91"/>
  <c r="B144" i="123"/>
  <c r="D156" i="123" s="1"/>
  <c r="D297" i="123" s="1"/>
  <c r="J150" i="123"/>
  <c r="J291" i="123" s="1"/>
  <c r="D225" i="123"/>
  <c r="D227" i="123"/>
  <c r="L241" i="123" s="1"/>
  <c r="D233" i="123"/>
  <c r="C126" i="95"/>
  <c r="D159" i="95" s="1"/>
  <c r="D152" i="77"/>
  <c r="L166" i="77" s="1"/>
  <c r="D150" i="77"/>
  <c r="J164" i="77"/>
  <c r="J296" i="77" s="1"/>
  <c r="C90" i="83"/>
  <c r="G100" i="83" s="1"/>
  <c r="G369" i="83" s="1"/>
  <c r="I98" i="83"/>
  <c r="I367" i="83" s="1"/>
  <c r="B107" i="29"/>
  <c r="C140" i="29" s="1"/>
  <c r="B36" i="9"/>
  <c r="D44" i="9" s="1"/>
  <c r="D68" i="9" s="1"/>
  <c r="F42" i="9"/>
  <c r="F66" i="9" s="1"/>
  <c r="G93" i="9" s="1"/>
  <c r="B85" i="43"/>
  <c r="H89" i="43" s="1"/>
  <c r="H159" i="43" s="1"/>
  <c r="B95" i="43"/>
  <c r="B165" i="43" s="1"/>
  <c r="C204" i="43" s="1"/>
  <c r="B146" i="91"/>
  <c r="H152" i="91" s="1"/>
  <c r="H203" i="91" s="1"/>
  <c r="D156" i="91"/>
  <c r="D207" i="91" s="1"/>
  <c r="C35" i="133"/>
  <c r="C41" i="133" s="1"/>
  <c r="C245" i="133" s="1"/>
  <c r="D290" i="133" s="1"/>
  <c r="E39" i="133"/>
  <c r="E243" i="133" s="1"/>
  <c r="F288" i="133" s="1"/>
  <c r="C248" i="123"/>
  <c r="K256" i="123" s="1"/>
  <c r="K292" i="123" s="1"/>
  <c r="G260" i="123"/>
  <c r="G296" i="123" s="1"/>
  <c r="H341" i="123" s="1"/>
  <c r="C290" i="81"/>
  <c r="O298" i="81" s="1"/>
  <c r="O367" i="81" s="1"/>
  <c r="G306" i="81"/>
  <c r="G375" i="81" s="1"/>
  <c r="H427" i="83"/>
  <c r="F445" i="83"/>
  <c r="E289" i="79"/>
  <c r="G131" i="87"/>
  <c r="B85" i="35"/>
  <c r="H91" i="35" s="1"/>
  <c r="H161" i="35" s="1"/>
  <c r="D95" i="35"/>
  <c r="D165" i="35" s="1"/>
  <c r="C86" i="53"/>
  <c r="I92" i="53" s="1"/>
  <c r="I162" i="53" s="1"/>
  <c r="E96" i="53"/>
  <c r="E166" i="53" s="1"/>
  <c r="C138" i="63"/>
  <c r="C146" i="63" s="1"/>
  <c r="C224" i="63" s="1"/>
  <c r="D269" i="63" s="1"/>
  <c r="G142" i="63"/>
  <c r="G220" i="63" s="1"/>
  <c r="D163" i="119"/>
  <c r="L177" i="119" s="1"/>
  <c r="D161" i="119"/>
  <c r="F171" i="119"/>
  <c r="E31" i="115"/>
  <c r="E37" i="115" s="1"/>
  <c r="E183" i="115" s="1"/>
  <c r="F222" i="115" s="1"/>
  <c r="E29" i="115"/>
  <c r="C35" i="115"/>
  <c r="C181" i="115" s="1"/>
  <c r="D220" i="115" s="1"/>
  <c r="C180" i="111"/>
  <c r="C192" i="111" s="1"/>
  <c r="C228" i="111" s="1"/>
  <c r="D273" i="111" s="1"/>
  <c r="K184" i="111"/>
  <c r="K220" i="111" s="1"/>
  <c r="K310" i="117"/>
  <c r="G360" i="117"/>
  <c r="C198" i="79"/>
  <c r="M206" i="79" s="1"/>
  <c r="M292" i="79" s="1"/>
  <c r="G212" i="79"/>
  <c r="G298" i="79" s="1"/>
  <c r="B26" i="95"/>
  <c r="B32" i="95" s="1"/>
  <c r="B128" i="95" s="1"/>
  <c r="C161" i="95" s="1"/>
  <c r="D30" i="95"/>
  <c r="D126" i="95" s="1"/>
  <c r="C179" i="71"/>
  <c r="G193" i="71" s="1"/>
  <c r="G229" i="71" s="1"/>
  <c r="M187" i="71"/>
  <c r="M223" i="71" s="1"/>
  <c r="E74" i="15"/>
  <c r="E76" i="15"/>
  <c r="I86" i="15" s="1"/>
  <c r="I114" i="15" s="1"/>
  <c r="G84" i="15"/>
  <c r="G112" i="15" s="1"/>
  <c r="J274" i="69"/>
  <c r="G287" i="69"/>
  <c r="B159" i="69"/>
  <c r="H173" i="69" s="1"/>
  <c r="H230" i="69" s="1"/>
  <c r="L169" i="69"/>
  <c r="L226" i="69" s="1"/>
  <c r="C80" i="97"/>
  <c r="I92" i="97" s="1"/>
  <c r="I296" i="97" s="1"/>
  <c r="K90" i="97"/>
  <c r="K294" i="97" s="1"/>
  <c r="K270" i="67"/>
  <c r="H283" i="67"/>
  <c r="C67" i="53"/>
  <c r="C77" i="53" s="1"/>
  <c r="C166" i="53" s="1"/>
  <c r="D205" i="53" s="1"/>
  <c r="I71" i="53"/>
  <c r="I160" i="53" s="1"/>
  <c r="C63" i="5"/>
  <c r="O343" i="77"/>
  <c r="L359" i="77"/>
  <c r="L203" i="39"/>
  <c r="I245" i="39"/>
  <c r="B219" i="59"/>
  <c r="C264" i="59" s="1"/>
  <c r="C160" i="53"/>
  <c r="D199" i="53" s="1"/>
  <c r="C47" i="45"/>
  <c r="C57" i="45" s="1"/>
  <c r="C165" i="45" s="1"/>
  <c r="D204" i="45" s="1"/>
  <c r="I51" i="45"/>
  <c r="I159" i="45" s="1"/>
  <c r="F292" i="3"/>
  <c r="F291" i="3"/>
  <c r="F294" i="3"/>
  <c r="F258" i="3"/>
  <c r="F257" i="3"/>
  <c r="D157" i="55"/>
  <c r="D159" i="55"/>
  <c r="L173" i="55" s="1"/>
  <c r="L230" i="55" s="1"/>
  <c r="D165" i="55"/>
  <c r="J141" i="21"/>
  <c r="G178" i="21"/>
  <c r="I146" i="27"/>
  <c r="F155" i="27"/>
  <c r="D200" i="111"/>
  <c r="L214" i="111" s="1"/>
  <c r="L229" i="111" s="1"/>
  <c r="D198" i="111"/>
  <c r="D206" i="111"/>
  <c r="C160" i="45"/>
  <c r="D199" i="45" s="1"/>
  <c r="E267" i="119"/>
  <c r="F312" i="119" s="1"/>
  <c r="H163" i="137"/>
  <c r="D171" i="137"/>
  <c r="G159" i="113"/>
  <c r="C193" i="113"/>
  <c r="I424" i="81"/>
  <c r="G442" i="81"/>
  <c r="E92" i="13"/>
  <c r="E102" i="13"/>
  <c r="E74" i="63"/>
  <c r="K86" i="63" s="1"/>
  <c r="K227" i="63" s="1"/>
  <c r="E72" i="63"/>
  <c r="B73" i="63"/>
  <c r="E80" i="63"/>
  <c r="E221" i="63" s="1"/>
  <c r="E73" i="29"/>
  <c r="E75" i="29"/>
  <c r="C79" i="29" s="1"/>
  <c r="C107" i="29" s="1"/>
  <c r="D140" i="29" s="1"/>
  <c r="B74" i="29"/>
  <c r="I85" i="29"/>
  <c r="D40" i="81"/>
  <c r="D46" i="81" s="1"/>
  <c r="D365" i="81" s="1"/>
  <c r="D38" i="81"/>
  <c r="B44" i="81"/>
  <c r="B363" i="81" s="1"/>
  <c r="C420" i="81" s="1"/>
  <c r="G314" i="93"/>
  <c r="E328" i="93"/>
  <c r="F265" i="63"/>
  <c r="C318" i="63"/>
  <c r="C75" i="67"/>
  <c r="G87" i="67" s="1"/>
  <c r="G228" i="67" s="1"/>
  <c r="K83" i="67"/>
  <c r="K224" i="67" s="1"/>
  <c r="M342" i="75"/>
  <c r="J358" i="75"/>
  <c r="C53" i="71"/>
  <c r="E61" i="71" s="1"/>
  <c r="E223" i="71" s="1"/>
  <c r="G59" i="71"/>
  <c r="G221" i="71" s="1"/>
  <c r="C186" i="135"/>
  <c r="C198" i="135" s="1"/>
  <c r="C297" i="135" s="1"/>
  <c r="D342" i="135" s="1"/>
  <c r="K190" i="135"/>
  <c r="K289" i="135" s="1"/>
  <c r="C102" i="135"/>
  <c r="K116" i="135" s="1"/>
  <c r="K299" i="135" s="1"/>
  <c r="M114" i="135"/>
  <c r="M297" i="135" s="1"/>
  <c r="B51" i="13"/>
  <c r="F55" i="13" s="1"/>
  <c r="F64" i="13" s="1"/>
  <c r="G91" i="13" s="1"/>
  <c r="B59" i="13"/>
  <c r="B68" i="13" s="1"/>
  <c r="G293" i="123"/>
  <c r="H338" i="123" s="1"/>
  <c r="B32" i="71"/>
  <c r="B38" i="71" s="1"/>
  <c r="B221" i="71" s="1"/>
  <c r="C266" i="71" s="1"/>
  <c r="D36" i="71"/>
  <c r="D219" i="71" s="1"/>
  <c r="L273" i="111"/>
  <c r="H285" i="111"/>
  <c r="G274" i="59"/>
  <c r="E287" i="59"/>
  <c r="C59" i="109"/>
  <c r="C69" i="109" s="1"/>
  <c r="C114" i="109" s="1"/>
  <c r="D147" i="109" s="1"/>
  <c r="I63" i="109"/>
  <c r="I108" i="109" s="1"/>
  <c r="K273" i="65"/>
  <c r="H286" i="65"/>
  <c r="G144" i="17"/>
  <c r="E154" i="17"/>
  <c r="J339" i="121"/>
  <c r="E350" i="121"/>
  <c r="B85" i="47"/>
  <c r="H97" i="47" s="1"/>
  <c r="H167" i="47" s="1"/>
  <c r="J95" i="47"/>
  <c r="J165" i="47" s="1"/>
  <c r="K225" i="89"/>
  <c r="H236" i="89"/>
  <c r="B58" i="33"/>
  <c r="F68" i="33" s="1"/>
  <c r="F113" i="33" s="1"/>
  <c r="H66" i="33"/>
  <c r="H111" i="33" s="1"/>
  <c r="L274" i="111"/>
  <c r="H286" i="111"/>
  <c r="D224" i="139"/>
  <c r="L238" i="139" s="1"/>
  <c r="D222" i="139"/>
  <c r="F232" i="139"/>
  <c r="O375" i="83"/>
  <c r="H203" i="51"/>
  <c r="E214" i="51"/>
  <c r="N273" i="63"/>
  <c r="K286" i="63"/>
  <c r="B227" i="97"/>
  <c r="D241" i="97" s="1"/>
  <c r="D298" i="97" s="1"/>
  <c r="L233" i="97"/>
  <c r="L290" i="97" s="1"/>
  <c r="D121" i="123"/>
  <c r="D123" i="123"/>
  <c r="H133" i="123" s="1"/>
  <c r="H295" i="123" s="1"/>
  <c r="B127" i="123"/>
  <c r="C123" i="121"/>
  <c r="C133" i="121" s="1"/>
  <c r="C295" i="121" s="1"/>
  <c r="D340" i="121" s="1"/>
  <c r="I127" i="121"/>
  <c r="I289" i="121" s="1"/>
  <c r="E123" i="41"/>
  <c r="I133" i="41" s="1"/>
  <c r="I165" i="41" s="1"/>
  <c r="B122" i="41"/>
  <c r="E121" i="41"/>
  <c r="E129" i="41"/>
  <c r="E161" i="41" s="1"/>
  <c r="C158" i="111"/>
  <c r="G172" i="111" s="1"/>
  <c r="G229" i="111" s="1"/>
  <c r="H274" i="111" s="1"/>
  <c r="M166" i="111"/>
  <c r="M223" i="111" s="1"/>
  <c r="C226" i="117"/>
  <c r="E240" i="117" s="1"/>
  <c r="E276" i="117" s="1"/>
  <c r="M232" i="117"/>
  <c r="M268" i="117" s="1"/>
  <c r="C75" i="111"/>
  <c r="I87" i="111" s="1"/>
  <c r="I228" i="111" s="1"/>
  <c r="K85" i="111"/>
  <c r="K226" i="111" s="1"/>
  <c r="B122" i="121"/>
  <c r="B132" i="121" s="1"/>
  <c r="B294" i="121" s="1"/>
  <c r="C339" i="121" s="1"/>
  <c r="H126" i="121"/>
  <c r="H288" i="121" s="1"/>
  <c r="B67" i="45"/>
  <c r="D75" i="45" s="1"/>
  <c r="D164" i="45" s="1"/>
  <c r="F73" i="45"/>
  <c r="F162" i="45" s="1"/>
  <c r="D124" i="53"/>
  <c r="J136" i="53" s="1"/>
  <c r="D122" i="53"/>
  <c r="D130" i="53"/>
  <c r="E291" i="133"/>
  <c r="C304" i="133"/>
  <c r="B288" i="123"/>
  <c r="C333" i="123" s="1"/>
  <c r="K316" i="119"/>
  <c r="G328" i="119"/>
  <c r="G163" i="107"/>
  <c r="H202" i="107" s="1"/>
  <c r="M430" i="83"/>
  <c r="J447" i="83"/>
  <c r="D81" i="121"/>
  <c r="J93" i="121" s="1"/>
  <c r="D79" i="121"/>
  <c r="H91" i="121"/>
  <c r="H202" i="45"/>
  <c r="E213" i="45"/>
  <c r="F336" i="97"/>
  <c r="D350" i="97"/>
  <c r="C112" i="113"/>
  <c r="E122" i="113" s="1"/>
  <c r="E133" i="113" s="1"/>
  <c r="F166" i="113" s="1"/>
  <c r="I118" i="113"/>
  <c r="I129" i="113" s="1"/>
  <c r="C36" i="77"/>
  <c r="C42" i="77" s="1"/>
  <c r="C289" i="77" s="1"/>
  <c r="D340" i="77" s="1"/>
  <c r="E40" i="77"/>
  <c r="E287" i="77" s="1"/>
  <c r="C48" i="51"/>
  <c r="E56" i="51" s="1"/>
  <c r="E164" i="51" s="1"/>
  <c r="G54" i="51"/>
  <c r="G162" i="51" s="1"/>
  <c r="L275" i="63"/>
  <c r="I288" i="63"/>
  <c r="F200" i="37"/>
  <c r="D212" i="37"/>
  <c r="J339" i="123"/>
  <c r="E350" i="123"/>
  <c r="C226" i="99"/>
  <c r="E240" i="99" s="1"/>
  <c r="E276" i="99" s="1"/>
  <c r="M232" i="99"/>
  <c r="M268" i="99" s="1"/>
  <c r="D100" i="97"/>
  <c r="D102" i="97"/>
  <c r="L116" i="97" s="1"/>
  <c r="J114" i="97"/>
  <c r="D123" i="41"/>
  <c r="H133" i="41" s="1"/>
  <c r="H165" i="41" s="1"/>
  <c r="D121" i="41"/>
  <c r="D129" i="41"/>
  <c r="D161" i="41" s="1"/>
  <c r="M275" i="99"/>
  <c r="C48" i="39"/>
  <c r="E56" i="39" s="1"/>
  <c r="E164" i="39" s="1"/>
  <c r="G54" i="39"/>
  <c r="G162" i="39" s="1"/>
  <c r="H201" i="39" s="1"/>
  <c r="B165" i="135"/>
  <c r="F179" i="135" s="1"/>
  <c r="F299" i="135" s="1"/>
  <c r="L173" i="135"/>
  <c r="L293" i="135" s="1"/>
  <c r="B116" i="63"/>
  <c r="J124" i="63" s="1"/>
  <c r="J223" i="63" s="1"/>
  <c r="F128" i="63"/>
  <c r="F227" i="63" s="1"/>
  <c r="G270" i="67"/>
  <c r="D283" i="67"/>
  <c r="C190" i="81"/>
  <c r="O208" i="81" s="1"/>
  <c r="O377" i="81" s="1"/>
  <c r="Q206" i="81"/>
  <c r="Q375" i="81" s="1"/>
  <c r="B137" i="61"/>
  <c r="L145" i="61" s="1"/>
  <c r="L223" i="61" s="1"/>
  <c r="F151" i="61"/>
  <c r="F229" i="61" s="1"/>
  <c r="K262" i="2"/>
  <c r="J262" i="2"/>
  <c r="I262" i="2"/>
  <c r="F262" i="2"/>
  <c r="H262" i="2"/>
  <c r="I146" i="19"/>
  <c r="F155" i="19"/>
  <c r="C124" i="53"/>
  <c r="E136" i="53" s="1"/>
  <c r="E168" i="53" s="1"/>
  <c r="K130" i="53"/>
  <c r="K162" i="53" s="1"/>
  <c r="D159" i="111"/>
  <c r="L173" i="111" s="1"/>
  <c r="D157" i="111"/>
  <c r="F167" i="111"/>
  <c r="N315" i="119"/>
  <c r="J363" i="119"/>
  <c r="E183" i="141"/>
  <c r="M197" i="141" s="1"/>
  <c r="M275" i="141" s="1"/>
  <c r="B182" i="141"/>
  <c r="E181" i="141"/>
  <c r="I193" i="141"/>
  <c r="I271" i="141" s="1"/>
  <c r="C86" i="39"/>
  <c r="I98" i="39" s="1"/>
  <c r="I168" i="39" s="1"/>
  <c r="K96" i="39"/>
  <c r="K166" i="39" s="1"/>
  <c r="Q426" i="81"/>
  <c r="N444" i="81"/>
  <c r="G264" i="63"/>
  <c r="D317" i="63"/>
  <c r="C90" i="91"/>
  <c r="C100" i="91" s="1"/>
  <c r="C208" i="91" s="1"/>
  <c r="D247" i="91" s="1"/>
  <c r="I94" i="91"/>
  <c r="I202" i="91" s="1"/>
  <c r="E432" i="83"/>
  <c r="C449" i="83"/>
  <c r="B186" i="97"/>
  <c r="B198" i="97" s="1"/>
  <c r="B297" i="97" s="1"/>
  <c r="C342" i="97" s="1"/>
  <c r="J190" i="97"/>
  <c r="J289" i="97" s="1"/>
  <c r="B126" i="127"/>
  <c r="H132" i="127" s="1"/>
  <c r="H183" i="127" s="1"/>
  <c r="D136" i="127"/>
  <c r="D187" i="127" s="1"/>
  <c r="C165" i="123"/>
  <c r="G179" i="123" s="1"/>
  <c r="G299" i="123" s="1"/>
  <c r="H344" i="123" s="1"/>
  <c r="M173" i="123"/>
  <c r="M293" i="123" s="1"/>
  <c r="J162" i="95"/>
  <c r="G198" i="95"/>
  <c r="C43" i="113"/>
  <c r="E51" i="113" s="1"/>
  <c r="E130" i="113" s="1"/>
  <c r="F163" i="113" s="1"/>
  <c r="G49" i="113"/>
  <c r="G128" i="113" s="1"/>
  <c r="J143" i="15"/>
  <c r="G179" i="15"/>
  <c r="B93" i="19"/>
  <c r="D103" i="19" s="1"/>
  <c r="D114" i="19" s="1"/>
  <c r="H99" i="19"/>
  <c r="H110" i="19" s="1"/>
  <c r="H342" i="77"/>
  <c r="F358" i="77"/>
  <c r="C99" i="131"/>
  <c r="K113" i="131" s="1"/>
  <c r="K275" i="131" s="1"/>
  <c r="M111" i="131"/>
  <c r="M273" i="131" s="1"/>
  <c r="C24" i="109"/>
  <c r="C30" i="109" s="1"/>
  <c r="C109" i="109" s="1"/>
  <c r="D142" i="109" s="1"/>
  <c r="E28" i="109"/>
  <c r="E107" i="109" s="1"/>
  <c r="F140" i="109" s="1"/>
  <c r="I165" i="125"/>
  <c r="E173" i="125"/>
  <c r="I271" i="117"/>
  <c r="B38" i="123"/>
  <c r="B44" i="123" s="1"/>
  <c r="B290" i="123" s="1"/>
  <c r="C335" i="123" s="1"/>
  <c r="D42" i="123"/>
  <c r="D288" i="123" s="1"/>
  <c r="G270" i="117"/>
  <c r="H315" i="117" s="1"/>
  <c r="I318" i="119"/>
  <c r="E330" i="119"/>
  <c r="H270" i="71"/>
  <c r="F284" i="71"/>
  <c r="B75" i="17"/>
  <c r="F85" i="17" s="1"/>
  <c r="F113" i="17" s="1"/>
  <c r="H83" i="17"/>
  <c r="H111" i="17" s="1"/>
  <c r="H140" i="27"/>
  <c r="E177" i="27"/>
  <c r="N275" i="63"/>
  <c r="K288" i="63"/>
  <c r="J161" i="125"/>
  <c r="F195" i="125"/>
  <c r="C47" i="107"/>
  <c r="E55" i="107" s="1"/>
  <c r="E163" i="107" s="1"/>
  <c r="F202" i="107" s="1"/>
  <c r="G53" i="107"/>
  <c r="G161" i="107" s="1"/>
  <c r="H200" i="107" s="1"/>
  <c r="M432" i="81"/>
  <c r="J449" i="81"/>
  <c r="L341" i="121"/>
  <c r="G352" i="121"/>
  <c r="B118" i="139"/>
  <c r="B128" i="139" s="1"/>
  <c r="B248" i="139" s="1"/>
  <c r="C293" i="139" s="1"/>
  <c r="H122" i="139"/>
  <c r="H242" i="139" s="1"/>
  <c r="L271" i="65"/>
  <c r="I284" i="65"/>
  <c r="C201" i="67"/>
  <c r="I213" i="67" s="1"/>
  <c r="I228" i="67" s="1"/>
  <c r="K211" i="67"/>
  <c r="K226" i="67" s="1"/>
  <c r="F223" i="59"/>
  <c r="D267" i="119"/>
  <c r="C39" i="97"/>
  <c r="C45" i="97" s="1"/>
  <c r="C291" i="97" s="1"/>
  <c r="D336" i="97" s="1"/>
  <c r="E43" i="97"/>
  <c r="E289" i="97" s="1"/>
  <c r="H200" i="43"/>
  <c r="E245" i="43"/>
  <c r="D66" i="115"/>
  <c r="D68" i="115"/>
  <c r="H78" i="115" s="1"/>
  <c r="H186" i="115" s="1"/>
  <c r="B72" i="115"/>
  <c r="C49" i="127"/>
  <c r="E57" i="127" s="1"/>
  <c r="E184" i="127" s="1"/>
  <c r="G55" i="127"/>
  <c r="G182" i="127" s="1"/>
  <c r="H221" i="127" s="1"/>
  <c r="C241" i="81"/>
  <c r="M247" i="81" s="1"/>
  <c r="M366" i="81" s="1"/>
  <c r="E255" i="81"/>
  <c r="E374" i="81" s="1"/>
  <c r="C242" i="139"/>
  <c r="D287" i="139" s="1"/>
  <c r="C117" i="71"/>
  <c r="K131" i="71" s="1"/>
  <c r="K230" i="71" s="1"/>
  <c r="M129" i="71"/>
  <c r="M228" i="71" s="1"/>
  <c r="D35" i="77"/>
  <c r="D37" i="77"/>
  <c r="D43" i="77" s="1"/>
  <c r="B41" i="77"/>
  <c r="B288" i="77" s="1"/>
  <c r="C339" i="77" s="1"/>
  <c r="C142" i="143"/>
  <c r="E154" i="143" s="1"/>
  <c r="E274" i="143" s="1"/>
  <c r="F319" i="143" s="1"/>
  <c r="K148" i="143"/>
  <c r="K268" i="143" s="1"/>
  <c r="D166" i="83"/>
  <c r="N182" i="83" s="1"/>
  <c r="D164" i="83"/>
  <c r="L180" i="83"/>
  <c r="L374" i="83" s="1"/>
  <c r="C118" i="139"/>
  <c r="C128" i="139" s="1"/>
  <c r="C248" i="139" s="1"/>
  <c r="D293" i="139" s="1"/>
  <c r="I122" i="139"/>
  <c r="I242" i="139" s="1"/>
  <c r="C48" i="129"/>
  <c r="E56" i="129" s="1"/>
  <c r="E164" i="129" s="1"/>
  <c r="F203" i="129" s="1"/>
  <c r="G54" i="129"/>
  <c r="G162" i="129" s="1"/>
  <c r="H201" i="129" s="1"/>
  <c r="J435" i="83"/>
  <c r="H452" i="83"/>
  <c r="G202" i="53"/>
  <c r="E214" i="53"/>
  <c r="D268" i="135"/>
  <c r="D270" i="135"/>
  <c r="L284" i="135" s="1"/>
  <c r="B274" i="135"/>
  <c r="D115" i="55"/>
  <c r="D117" i="55"/>
  <c r="J129" i="55" s="1"/>
  <c r="B121" i="55"/>
  <c r="L271" i="61"/>
  <c r="I284" i="61"/>
  <c r="C122" i="97"/>
  <c r="C132" i="97" s="1"/>
  <c r="C294" i="97" s="1"/>
  <c r="D339" i="97" s="1"/>
  <c r="I126" i="97"/>
  <c r="I288" i="97" s="1"/>
  <c r="F267" i="73"/>
  <c r="D281" i="73"/>
  <c r="H225" i="59"/>
  <c r="C164" i="127"/>
  <c r="C176" i="127" s="1"/>
  <c r="C189" i="127" s="1"/>
  <c r="D228" i="127" s="1"/>
  <c r="K168" i="127"/>
  <c r="K181" i="127" s="1"/>
  <c r="C126" i="127"/>
  <c r="I132" i="127" s="1"/>
  <c r="I183" i="127" s="1"/>
  <c r="E136" i="127"/>
  <c r="E187" i="127" s="1"/>
  <c r="C162" i="99"/>
  <c r="G176" i="99" s="1"/>
  <c r="G275" i="99" s="1"/>
  <c r="H320" i="99" s="1"/>
  <c r="M170" i="99"/>
  <c r="M269" i="99" s="1"/>
  <c r="K337" i="97"/>
  <c r="H351" i="97"/>
  <c r="B104" i="37"/>
  <c r="J112" i="37" s="1"/>
  <c r="J163" i="37" s="1"/>
  <c r="F116" i="37"/>
  <c r="F167" i="37" s="1"/>
  <c r="K273" i="143"/>
  <c r="D23" i="33"/>
  <c r="D25" i="33"/>
  <c r="D31" i="33" s="1"/>
  <c r="D110" i="33" s="1"/>
  <c r="B29" i="33"/>
  <c r="B36" i="141"/>
  <c r="B42" i="141" s="1"/>
  <c r="B267" i="141" s="1"/>
  <c r="C312" i="141" s="1"/>
  <c r="D40" i="141"/>
  <c r="D265" i="141" s="1"/>
  <c r="E310" i="141" s="1"/>
  <c r="G131" i="113"/>
  <c r="E365" i="83"/>
  <c r="G320" i="131"/>
  <c r="E333" i="131"/>
  <c r="C94" i="13"/>
  <c r="C120" i="13"/>
  <c r="D189" i="81"/>
  <c r="D191" i="81"/>
  <c r="P209" i="81" s="1"/>
  <c r="P378" i="81" s="1"/>
  <c r="N207" i="81"/>
  <c r="N376" i="81" s="1"/>
  <c r="B86" i="39"/>
  <c r="H98" i="39" s="1"/>
  <c r="H168" i="39" s="1"/>
  <c r="J96" i="39"/>
  <c r="J166" i="39" s="1"/>
  <c r="J206" i="35"/>
  <c r="G217" i="35"/>
  <c r="H94" i="7"/>
  <c r="E101" i="7"/>
  <c r="C163" i="141"/>
  <c r="E171" i="141" s="1"/>
  <c r="E270" i="141" s="1"/>
  <c r="F315" i="141" s="1"/>
  <c r="G169" i="141"/>
  <c r="G268" i="141" s="1"/>
  <c r="K189" i="127"/>
  <c r="B141" i="93"/>
  <c r="D153" i="93" s="1"/>
  <c r="D273" i="93" s="1"/>
  <c r="J147" i="93"/>
  <c r="J267" i="93" s="1"/>
  <c r="D35" i="141"/>
  <c r="D37" i="141"/>
  <c r="D43" i="141" s="1"/>
  <c r="B41" i="141"/>
  <c r="B94" i="137"/>
  <c r="B102" i="137" s="1"/>
  <c r="B130" i="137" s="1"/>
  <c r="C163" i="137" s="1"/>
  <c r="F98" i="137"/>
  <c r="F126" i="137" s="1"/>
  <c r="B59" i="123"/>
  <c r="D67" i="123" s="1"/>
  <c r="D292" i="123" s="1"/>
  <c r="F65" i="123"/>
  <c r="F290" i="123" s="1"/>
  <c r="G335" i="123" s="1"/>
  <c r="D162" i="143"/>
  <c r="L176" i="143" s="1"/>
  <c r="L275" i="143" s="1"/>
  <c r="D160" i="143"/>
  <c r="F170" i="143"/>
  <c r="F269" i="143" s="1"/>
  <c r="G314" i="143" s="1"/>
  <c r="F296" i="2"/>
  <c r="F294" i="2"/>
  <c r="F295" i="2"/>
  <c r="F257" i="2"/>
  <c r="D138" i="65"/>
  <c r="F146" i="65" s="1"/>
  <c r="D136" i="65"/>
  <c r="L152" i="65"/>
  <c r="C109" i="91"/>
  <c r="E121" i="91" s="1"/>
  <c r="E210" i="91" s="1"/>
  <c r="K115" i="91"/>
  <c r="K204" i="91" s="1"/>
  <c r="G112" i="29"/>
  <c r="C54" i="57"/>
  <c r="E62" i="57" s="1"/>
  <c r="E224" i="57" s="1"/>
  <c r="G60" i="57"/>
  <c r="G222" i="57" s="1"/>
  <c r="L298" i="79"/>
  <c r="L274" i="65"/>
  <c r="I287" i="65"/>
  <c r="G227" i="115"/>
  <c r="D237" i="115"/>
  <c r="D36" i="101"/>
  <c r="F44" i="101" s="1"/>
  <c r="F68" i="101" s="1"/>
  <c r="G95" i="101" s="1"/>
  <c r="D34" i="101"/>
  <c r="D42" i="101"/>
  <c r="D66" i="101" s="1"/>
  <c r="E93" i="101" s="1"/>
  <c r="K273" i="69"/>
  <c r="H286" i="69"/>
  <c r="J140" i="25"/>
  <c r="G177" i="25"/>
  <c r="C57" i="117"/>
  <c r="E65" i="117" s="1"/>
  <c r="E269" i="117" s="1"/>
  <c r="G63" i="117"/>
  <c r="G267" i="117" s="1"/>
  <c r="H312" i="117" s="1"/>
  <c r="F142" i="19"/>
  <c r="D152" i="19"/>
  <c r="M320" i="93"/>
  <c r="J333" i="93"/>
  <c r="N266" i="61"/>
  <c r="K280" i="61"/>
  <c r="B142" i="49"/>
  <c r="D152" i="49" s="1"/>
  <c r="D165" i="49" s="1"/>
  <c r="H148" i="49"/>
  <c r="H161" i="49" s="1"/>
  <c r="B35" i="11"/>
  <c r="D43" i="11" s="1"/>
  <c r="D67" i="11" s="1"/>
  <c r="E94" i="11" s="1"/>
  <c r="F41" i="11"/>
  <c r="F65" i="11" s="1"/>
  <c r="G92" i="11" s="1"/>
  <c r="N318" i="93"/>
  <c r="K331" i="93"/>
  <c r="F317" i="117"/>
  <c r="D329" i="117"/>
  <c r="B117" i="65"/>
  <c r="J131" i="65" s="1"/>
  <c r="J230" i="65" s="1"/>
  <c r="L129" i="65"/>
  <c r="L228" i="65" s="1"/>
  <c r="C79" i="99"/>
  <c r="I91" i="99" s="1"/>
  <c r="I274" i="99" s="1"/>
  <c r="K89" i="99"/>
  <c r="K272" i="99" s="1"/>
  <c r="H207" i="91"/>
  <c r="D207" i="121"/>
  <c r="D213" i="121" s="1"/>
  <c r="D205" i="121"/>
  <c r="H217" i="121"/>
  <c r="C39" i="123"/>
  <c r="C45" i="123" s="1"/>
  <c r="C291" i="123" s="1"/>
  <c r="D336" i="123" s="1"/>
  <c r="E43" i="123"/>
  <c r="E289" i="123" s="1"/>
  <c r="F334" i="123" s="1"/>
  <c r="F163" i="49"/>
  <c r="C123" i="37"/>
  <c r="I129" i="37" s="1"/>
  <c r="I161" i="37" s="1"/>
  <c r="E133" i="37"/>
  <c r="E165" i="37" s="1"/>
  <c r="B24" i="19"/>
  <c r="B30" i="19" s="1"/>
  <c r="B109" i="19" s="1"/>
  <c r="C142" i="19" s="1"/>
  <c r="D28" i="19"/>
  <c r="D107" i="19" s="1"/>
  <c r="C29" i="129"/>
  <c r="C35" i="129" s="1"/>
  <c r="C162" i="129" s="1"/>
  <c r="D201" i="129" s="1"/>
  <c r="E33" i="129"/>
  <c r="E160" i="129" s="1"/>
  <c r="F199" i="129" s="1"/>
  <c r="B101" i="123"/>
  <c r="J115" i="123" s="1"/>
  <c r="J298" i="123" s="1"/>
  <c r="L113" i="123"/>
  <c r="L296" i="123" s="1"/>
  <c r="L310" i="119"/>
  <c r="H360" i="119"/>
  <c r="F163" i="129"/>
  <c r="E144" i="33"/>
  <c r="C154" i="33"/>
  <c r="C96" i="59"/>
  <c r="C108" i="59" s="1"/>
  <c r="C228" i="59" s="1"/>
  <c r="D273" i="59" s="1"/>
  <c r="K100" i="59"/>
  <c r="K220" i="59" s="1"/>
  <c r="B58" i="25"/>
  <c r="F68" i="25" s="1"/>
  <c r="F113" i="25" s="1"/>
  <c r="H66" i="25"/>
  <c r="H111" i="25" s="1"/>
  <c r="B137" i="65"/>
  <c r="L145" i="65" s="1"/>
  <c r="L223" i="65" s="1"/>
  <c r="F151" i="65"/>
  <c r="F229" i="65" s="1"/>
  <c r="C35" i="5"/>
  <c r="E43" i="5" s="1"/>
  <c r="E67" i="5" s="1"/>
  <c r="F94" i="5" s="1"/>
  <c r="G41" i="5"/>
  <c r="G65" i="5" s="1"/>
  <c r="H92" i="5" s="1"/>
  <c r="B66" i="53"/>
  <c r="B76" i="53" s="1"/>
  <c r="B165" i="53" s="1"/>
  <c r="C204" i="53" s="1"/>
  <c r="H70" i="53"/>
  <c r="H159" i="53" s="1"/>
  <c r="C137" i="71"/>
  <c r="M147" i="71" s="1"/>
  <c r="M225" i="71" s="1"/>
  <c r="I151" i="71"/>
  <c r="I229" i="71" s="1"/>
  <c r="J274" i="71" s="1"/>
  <c r="K206" i="45"/>
  <c r="H217" i="45"/>
  <c r="F163" i="51"/>
  <c r="C53" i="73"/>
  <c r="E61" i="73" s="1"/>
  <c r="E223" i="73" s="1"/>
  <c r="G59" i="73"/>
  <c r="G221" i="73" s="1"/>
  <c r="J141" i="19"/>
  <c r="G178" i="19"/>
  <c r="M341" i="121"/>
  <c r="H352" i="121"/>
  <c r="E129" i="87"/>
  <c r="F162" i="87" s="1"/>
  <c r="E200" i="45"/>
  <c r="C212" i="45"/>
  <c r="G111" i="109"/>
  <c r="H144" i="109" s="1"/>
  <c r="B142" i="51"/>
  <c r="D152" i="51" s="1"/>
  <c r="D165" i="51" s="1"/>
  <c r="E204" i="51" s="1"/>
  <c r="H148" i="51"/>
  <c r="H161" i="51" s="1"/>
  <c r="F425" i="83"/>
  <c r="D443" i="83"/>
  <c r="H70" i="107"/>
  <c r="H159" i="107" s="1"/>
  <c r="B66" i="107"/>
  <c r="B76" i="107" s="1"/>
  <c r="B165" i="107" s="1"/>
  <c r="C204" i="107" s="1"/>
  <c r="B53" i="57"/>
  <c r="D61" i="57" s="1"/>
  <c r="D223" i="57" s="1"/>
  <c r="F59" i="57"/>
  <c r="F221" i="57" s="1"/>
  <c r="I165" i="107"/>
  <c r="E42" i="125"/>
  <c r="E44" i="125"/>
  <c r="G52" i="125" s="1"/>
  <c r="G131" i="125" s="1"/>
  <c r="E50" i="125"/>
  <c r="E129" i="125" s="1"/>
  <c r="F162" i="125" s="1"/>
  <c r="G434" i="83"/>
  <c r="E451" i="83"/>
  <c r="O344" i="77"/>
  <c r="L360" i="77"/>
  <c r="C248" i="97"/>
  <c r="K256" i="97" s="1"/>
  <c r="K292" i="97" s="1"/>
  <c r="G260" i="97"/>
  <c r="G296" i="97" s="1"/>
  <c r="H341" i="97" s="1"/>
  <c r="K206" i="51"/>
  <c r="H217" i="51"/>
  <c r="J206" i="107"/>
  <c r="F216" i="107"/>
  <c r="C71" i="91"/>
  <c r="I83" i="91" s="1"/>
  <c r="I210" i="91" s="1"/>
  <c r="K81" i="91"/>
  <c r="K208" i="91" s="1"/>
  <c r="C26" i="95"/>
  <c r="C32" i="95" s="1"/>
  <c r="C128" i="95" s="1"/>
  <c r="D161" i="95" s="1"/>
  <c r="E30" i="95"/>
  <c r="E126" i="95" s="1"/>
  <c r="F159" i="95" s="1"/>
  <c r="M297" i="77"/>
  <c r="D89" i="83"/>
  <c r="D91" i="83"/>
  <c r="H101" i="83" s="1"/>
  <c r="F99" i="83"/>
  <c r="I187" i="89"/>
  <c r="B92" i="25"/>
  <c r="B100" i="25" s="1"/>
  <c r="B111" i="25" s="1"/>
  <c r="C144" i="25" s="1"/>
  <c r="F96" i="25"/>
  <c r="F107" i="25" s="1"/>
  <c r="C59" i="15"/>
  <c r="G65" i="15" s="1"/>
  <c r="G110" i="15" s="1"/>
  <c r="E67" i="15"/>
  <c r="E112" i="15" s="1"/>
  <c r="F145" i="15" s="1"/>
  <c r="C85" i="35"/>
  <c r="I91" i="35" s="1"/>
  <c r="I161" i="35" s="1"/>
  <c r="E95" i="35"/>
  <c r="E165" i="35" s="1"/>
  <c r="B24" i="29"/>
  <c r="B30" i="29" s="1"/>
  <c r="B109" i="29" s="1"/>
  <c r="C142" i="29" s="1"/>
  <c r="D28" i="29"/>
  <c r="D107" i="29" s="1"/>
  <c r="B128" i="79"/>
  <c r="J134" i="79" s="1"/>
  <c r="J289" i="79" s="1"/>
  <c r="D140" i="79"/>
  <c r="D295" i="79" s="1"/>
  <c r="B50" i="11"/>
  <c r="F54" i="11" s="1"/>
  <c r="F63" i="11" s="1"/>
  <c r="G90" i="11" s="1"/>
  <c r="B58" i="11"/>
  <c r="B67" i="11" s="1"/>
  <c r="D203" i="119"/>
  <c r="D205" i="119"/>
  <c r="D211" i="119" s="1"/>
  <c r="H215" i="119"/>
  <c r="H272" i="119" s="1"/>
  <c r="C183" i="99"/>
  <c r="C195" i="99" s="1"/>
  <c r="C273" i="99" s="1"/>
  <c r="D318" i="99" s="1"/>
  <c r="K187" i="99"/>
  <c r="K265" i="99" s="1"/>
  <c r="E245" i="133"/>
  <c r="F290" i="133" s="1"/>
  <c r="I159" i="125"/>
  <c r="E193" i="125"/>
  <c r="J198" i="43"/>
  <c r="G243" i="43"/>
  <c r="D247" i="123"/>
  <c r="D249" i="123"/>
  <c r="F257" i="123" s="1"/>
  <c r="J261" i="123"/>
  <c r="D291" i="81"/>
  <c r="F299" i="81" s="1"/>
  <c r="D289" i="81"/>
  <c r="N307" i="81"/>
  <c r="B123" i="43"/>
  <c r="F135" i="43" s="1"/>
  <c r="F167" i="43" s="1"/>
  <c r="J131" i="43"/>
  <c r="J163" i="43" s="1"/>
  <c r="C36" i="79"/>
  <c r="C42" i="79" s="1"/>
  <c r="C289" i="79" s="1"/>
  <c r="D340" i="79" s="1"/>
  <c r="E40" i="79"/>
  <c r="E287" i="79" s="1"/>
  <c r="F144" i="19"/>
  <c r="D154" i="19"/>
  <c r="B77" i="113"/>
  <c r="H81" i="113" s="1"/>
  <c r="H126" i="113" s="1"/>
  <c r="B87" i="113"/>
  <c r="B132" i="113" s="1"/>
  <c r="C165" i="113" s="1"/>
  <c r="C179" i="63"/>
  <c r="I193" i="63" s="1"/>
  <c r="I229" i="63" s="1"/>
  <c r="M189" i="63"/>
  <c r="M225" i="63" s="1"/>
  <c r="E161" i="95"/>
  <c r="C171" i="95"/>
  <c r="B181" i="133"/>
  <c r="L189" i="133" s="1"/>
  <c r="L246" i="133" s="1"/>
  <c r="F195" i="133"/>
  <c r="F252" i="133" s="1"/>
  <c r="D180" i="71"/>
  <c r="L194" i="71" s="1"/>
  <c r="D178" i="71"/>
  <c r="F188" i="71"/>
  <c r="L230" i="69"/>
  <c r="N267" i="61"/>
  <c r="K281" i="61"/>
  <c r="E110" i="21"/>
  <c r="F143" i="21" s="1"/>
  <c r="B67" i="43"/>
  <c r="F77" i="43" s="1"/>
  <c r="F166" i="43" s="1"/>
  <c r="H75" i="43"/>
  <c r="H164" i="43" s="1"/>
  <c r="I272" i="67"/>
  <c r="F285" i="67"/>
  <c r="I166" i="53"/>
  <c r="E65" i="5"/>
  <c r="F92" i="5" s="1"/>
  <c r="C48" i="35"/>
  <c r="E56" i="35" s="1"/>
  <c r="E164" i="35" s="1"/>
  <c r="G54" i="35"/>
  <c r="G162" i="35" s="1"/>
  <c r="H201" i="35" s="1"/>
  <c r="D25" i="21"/>
  <c r="D31" i="21" s="1"/>
  <c r="D23" i="21"/>
  <c r="B29" i="21"/>
  <c r="B108" i="21" s="1"/>
  <c r="C141" i="21" s="1"/>
  <c r="B32" i="59"/>
  <c r="B38" i="59" s="1"/>
  <c r="B221" i="59" s="1"/>
  <c r="C266" i="59" s="1"/>
  <c r="D36" i="59"/>
  <c r="D219" i="59" s="1"/>
  <c r="B290" i="83"/>
  <c r="N298" i="83" s="1"/>
  <c r="N367" i="83" s="1"/>
  <c r="F306" i="83"/>
  <c r="F375" i="83" s="1"/>
  <c r="I274" i="71"/>
  <c r="G287" i="71"/>
  <c r="E162" i="53"/>
  <c r="I165" i="45"/>
  <c r="C145" i="89"/>
  <c r="K153" i="89" s="1"/>
  <c r="K185" i="89" s="1"/>
  <c r="G157" i="89"/>
  <c r="G189" i="89" s="1"/>
  <c r="H228" i="89" s="1"/>
  <c r="H291" i="3"/>
  <c r="H292" i="3"/>
  <c r="H257" i="3"/>
  <c r="H258" i="3"/>
  <c r="H294" i="3"/>
  <c r="C75" i="31"/>
  <c r="I83" i="31" s="1"/>
  <c r="I111" i="31" s="1"/>
  <c r="G85" i="31"/>
  <c r="G113" i="31" s="1"/>
  <c r="I159" i="87"/>
  <c r="F196" i="87"/>
  <c r="D318" i="3"/>
  <c r="B108" i="91"/>
  <c r="D120" i="91" s="1"/>
  <c r="D209" i="91" s="1"/>
  <c r="J114" i="91"/>
  <c r="J203" i="91" s="1"/>
  <c r="B95" i="67"/>
  <c r="D105" i="67" s="1"/>
  <c r="D225" i="67" s="1"/>
  <c r="E270" i="67" s="1"/>
  <c r="H101" i="67"/>
  <c r="H221" i="67" s="1"/>
  <c r="B199" i="111"/>
  <c r="E198" i="111"/>
  <c r="E200" i="111"/>
  <c r="M214" i="111" s="1"/>
  <c r="M229" i="111" s="1"/>
  <c r="E206" i="111"/>
  <c r="C42" i="25"/>
  <c r="E50" i="25" s="1"/>
  <c r="E112" i="25" s="1"/>
  <c r="G48" i="25"/>
  <c r="G110" i="25" s="1"/>
  <c r="B57" i="141"/>
  <c r="B67" i="141" s="1"/>
  <c r="B271" i="141" s="1"/>
  <c r="C316" i="141" s="1"/>
  <c r="H61" i="141"/>
  <c r="H265" i="141" s="1"/>
  <c r="C29" i="45"/>
  <c r="C35" i="45" s="1"/>
  <c r="C162" i="45" s="1"/>
  <c r="D201" i="45" s="1"/>
  <c r="E33" i="45"/>
  <c r="E160" i="45" s="1"/>
  <c r="F199" i="45" s="1"/>
  <c r="C36" i="119"/>
  <c r="C42" i="119" s="1"/>
  <c r="C267" i="119" s="1"/>
  <c r="D312" i="119" s="1"/>
  <c r="E40" i="119"/>
  <c r="E265" i="119" s="1"/>
  <c r="F310" i="119" s="1"/>
  <c r="H262" i="3"/>
  <c r="B265" i="131"/>
  <c r="C310" i="131" s="1"/>
  <c r="K248" i="91"/>
  <c r="H259" i="91"/>
  <c r="D244" i="75"/>
  <c r="F252" i="75" s="1"/>
  <c r="F292" i="75" s="1"/>
  <c r="D242" i="75"/>
  <c r="N260" i="75"/>
  <c r="C87" i="89"/>
  <c r="I93" i="89" s="1"/>
  <c r="I182" i="89" s="1"/>
  <c r="E97" i="89"/>
  <c r="E186" i="89" s="1"/>
  <c r="N333" i="121"/>
  <c r="I380" i="121"/>
  <c r="B47" i="49"/>
  <c r="D55" i="49" s="1"/>
  <c r="D163" i="49" s="1"/>
  <c r="F53" i="49"/>
  <c r="F161" i="49" s="1"/>
  <c r="G272" i="71"/>
  <c r="E285" i="71"/>
  <c r="G422" i="81"/>
  <c r="E440" i="81"/>
  <c r="C228" i="97"/>
  <c r="E242" i="97" s="1"/>
  <c r="E299" i="97" s="1"/>
  <c r="M234" i="97"/>
  <c r="M291" i="97" s="1"/>
  <c r="L298" i="123"/>
  <c r="B87" i="89"/>
  <c r="H93" i="89" s="1"/>
  <c r="H182" i="89" s="1"/>
  <c r="D97" i="89"/>
  <c r="D186" i="89" s="1"/>
  <c r="C164" i="123"/>
  <c r="G178" i="123" s="1"/>
  <c r="G298" i="123" s="1"/>
  <c r="H343" i="123" s="1"/>
  <c r="M172" i="123"/>
  <c r="M292" i="123" s="1"/>
  <c r="C90" i="11"/>
  <c r="C100" i="11"/>
  <c r="D246" i="119"/>
  <c r="F254" i="119" s="1"/>
  <c r="D244" i="119"/>
  <c r="J258" i="119"/>
  <c r="J273" i="119" s="1"/>
  <c r="K228" i="59"/>
  <c r="C164" i="89"/>
  <c r="C176" i="89" s="1"/>
  <c r="C189" i="89" s="1"/>
  <c r="D228" i="89" s="1"/>
  <c r="K168" i="89"/>
  <c r="K181" i="89" s="1"/>
  <c r="I146" i="25"/>
  <c r="F155" i="25"/>
  <c r="G67" i="5"/>
  <c r="H94" i="5" s="1"/>
  <c r="F145" i="19"/>
  <c r="D179" i="19"/>
  <c r="D138" i="71"/>
  <c r="H148" i="71" s="1"/>
  <c r="H226" i="71" s="1"/>
  <c r="D136" i="71"/>
  <c r="L152" i="71"/>
  <c r="B47" i="51"/>
  <c r="D55" i="51" s="1"/>
  <c r="D163" i="51" s="1"/>
  <c r="E202" i="51" s="1"/>
  <c r="F53" i="51"/>
  <c r="F161" i="51" s="1"/>
  <c r="D52" i="73"/>
  <c r="D54" i="73"/>
  <c r="F62" i="73" s="1"/>
  <c r="D60" i="73"/>
  <c r="K343" i="121"/>
  <c r="F354" i="121"/>
  <c r="C27" i="125"/>
  <c r="C33" i="125" s="1"/>
  <c r="C129" i="125" s="1"/>
  <c r="D162" i="125" s="1"/>
  <c r="E31" i="125"/>
  <c r="E127" i="125" s="1"/>
  <c r="F160" i="125" s="1"/>
  <c r="L270" i="61"/>
  <c r="I283" i="61"/>
  <c r="B243" i="75"/>
  <c r="N251" i="75" s="1"/>
  <c r="N291" i="75" s="1"/>
  <c r="F259" i="75"/>
  <c r="F299" i="75" s="1"/>
  <c r="B28" i="45"/>
  <c r="B34" i="45" s="1"/>
  <c r="B161" i="45" s="1"/>
  <c r="C200" i="45" s="1"/>
  <c r="D32" i="45"/>
  <c r="D159" i="45" s="1"/>
  <c r="D42" i="109"/>
  <c r="F50" i="109" s="1"/>
  <c r="F112" i="109" s="1"/>
  <c r="G145" i="109" s="1"/>
  <c r="D40" i="109"/>
  <c r="D48" i="109"/>
  <c r="D74" i="65"/>
  <c r="H84" i="65" s="1"/>
  <c r="H225" i="65" s="1"/>
  <c r="D72" i="65"/>
  <c r="B78" i="65"/>
  <c r="B219" i="65" s="1"/>
  <c r="C264" i="65" s="1"/>
  <c r="J198" i="41"/>
  <c r="G243" i="41"/>
  <c r="F223" i="57"/>
  <c r="B142" i="117"/>
  <c r="D154" i="117" s="1"/>
  <c r="D274" i="117" s="1"/>
  <c r="J148" i="117"/>
  <c r="J268" i="117" s="1"/>
  <c r="B87" i="115"/>
  <c r="H93" i="115" s="1"/>
  <c r="H182" i="115" s="1"/>
  <c r="D97" i="115"/>
  <c r="D186" i="115" s="1"/>
  <c r="K219" i="115"/>
  <c r="G261" i="115"/>
  <c r="N269" i="69"/>
  <c r="K282" i="69"/>
  <c r="J146" i="27"/>
  <c r="G155" i="27"/>
  <c r="C111" i="87"/>
  <c r="E121" i="87" s="1"/>
  <c r="E132" i="87" s="1"/>
  <c r="F165" i="87" s="1"/>
  <c r="I117" i="87"/>
  <c r="I128" i="87" s="1"/>
  <c r="R424" i="83"/>
  <c r="O442" i="83"/>
  <c r="C48" i="107"/>
  <c r="E56" i="107" s="1"/>
  <c r="E164" i="107" s="1"/>
  <c r="F203" i="107" s="1"/>
  <c r="G54" i="107"/>
  <c r="G162" i="107" s="1"/>
  <c r="H201" i="107" s="1"/>
  <c r="B67" i="35"/>
  <c r="B77" i="35" s="1"/>
  <c r="B166" i="35" s="1"/>
  <c r="C205" i="35" s="1"/>
  <c r="H71" i="35"/>
  <c r="H160" i="35" s="1"/>
  <c r="L315" i="99"/>
  <c r="I365" i="99"/>
  <c r="D27" i="95"/>
  <c r="D33" i="95" s="1"/>
  <c r="D129" i="95" s="1"/>
  <c r="D25" i="95"/>
  <c r="B31" i="95"/>
  <c r="C69" i="89"/>
  <c r="C79" i="89" s="1"/>
  <c r="C187" i="89" s="1"/>
  <c r="D226" i="89" s="1"/>
  <c r="I73" i="89"/>
  <c r="I181" i="89" s="1"/>
  <c r="D86" i="35"/>
  <c r="D92" i="35" s="1"/>
  <c r="D84" i="35"/>
  <c r="H96" i="35"/>
  <c r="H166" i="35" s="1"/>
  <c r="E142" i="29"/>
  <c r="C152" i="29"/>
  <c r="B265" i="81"/>
  <c r="D281" i="81" s="1"/>
  <c r="D375" i="81" s="1"/>
  <c r="N271" i="81"/>
  <c r="N365" i="81" s="1"/>
  <c r="J338" i="123"/>
  <c r="E384" i="123"/>
  <c r="C204" i="119"/>
  <c r="I210" i="119" s="1"/>
  <c r="I267" i="119" s="1"/>
  <c r="E214" i="119"/>
  <c r="E271" i="119" s="1"/>
  <c r="F316" i="119" s="1"/>
  <c r="D182" i="99"/>
  <c r="D184" i="99"/>
  <c r="J196" i="99" s="1"/>
  <c r="B188" i="99"/>
  <c r="I338" i="123"/>
  <c r="D384" i="123"/>
  <c r="N319" i="141"/>
  <c r="J331" i="141"/>
  <c r="D35" i="79"/>
  <c r="D37" i="79"/>
  <c r="D43" i="79" s="1"/>
  <c r="B41" i="79"/>
  <c r="Q424" i="81"/>
  <c r="N442" i="81"/>
  <c r="C76" i="27"/>
  <c r="I80" i="27" s="1"/>
  <c r="I108" i="27" s="1"/>
  <c r="C86" i="27"/>
  <c r="C114" i="27" s="1"/>
  <c r="D147" i="27" s="1"/>
  <c r="B204" i="119"/>
  <c r="H210" i="119" s="1"/>
  <c r="H267" i="119" s="1"/>
  <c r="D214" i="119"/>
  <c r="D271" i="119" s="1"/>
  <c r="C162" i="119"/>
  <c r="G176" i="119" s="1"/>
  <c r="G275" i="119" s="1"/>
  <c r="H320" i="119" s="1"/>
  <c r="M170" i="119"/>
  <c r="M269" i="119" s="1"/>
  <c r="D180" i="63"/>
  <c r="L194" i="63" s="1"/>
  <c r="L230" i="63" s="1"/>
  <c r="D178" i="63"/>
  <c r="H190" i="63"/>
  <c r="B206" i="135"/>
  <c r="H212" i="135" s="1"/>
  <c r="H290" i="135" s="1"/>
  <c r="D216" i="135"/>
  <c r="D294" i="135" s="1"/>
  <c r="J159" i="125"/>
  <c r="F193" i="125"/>
  <c r="B201" i="63"/>
  <c r="J215" i="63" s="1"/>
  <c r="J230" i="63" s="1"/>
  <c r="L213" i="63"/>
  <c r="L228" i="63" s="1"/>
  <c r="E50" i="103"/>
  <c r="C54" i="103" s="1"/>
  <c r="C63" i="103" s="1"/>
  <c r="B49" i="103"/>
  <c r="E48" i="103"/>
  <c r="G58" i="103"/>
  <c r="G67" i="103" s="1"/>
  <c r="H94" i="103" s="1"/>
  <c r="F275" i="61"/>
  <c r="D288" i="61"/>
  <c r="C25" i="21"/>
  <c r="C31" i="21" s="1"/>
  <c r="C110" i="21" s="1"/>
  <c r="D143" i="21" s="1"/>
  <c r="E29" i="21"/>
  <c r="E108" i="21" s="1"/>
  <c r="F141" i="21" s="1"/>
  <c r="C108" i="31"/>
  <c r="D141" i="31" s="1"/>
  <c r="C20" i="5"/>
  <c r="C26" i="5" s="1"/>
  <c r="C65" i="5" s="1"/>
  <c r="E24" i="5"/>
  <c r="E63" i="5" s="1"/>
  <c r="F90" i="5" s="1"/>
  <c r="G164" i="35"/>
  <c r="H203" i="35" s="1"/>
  <c r="C24" i="21"/>
  <c r="C30" i="21" s="1"/>
  <c r="C109" i="21" s="1"/>
  <c r="D142" i="21" s="1"/>
  <c r="E28" i="21"/>
  <c r="E107" i="21" s="1"/>
  <c r="F140" i="21" s="1"/>
  <c r="D221" i="59"/>
  <c r="M270" i="71"/>
  <c r="J284" i="71"/>
  <c r="C29" i="53"/>
  <c r="C35" i="53" s="1"/>
  <c r="C162" i="53" s="1"/>
  <c r="D201" i="53" s="1"/>
  <c r="E33" i="53"/>
  <c r="E160" i="53" s="1"/>
  <c r="D46" i="45"/>
  <c r="D48" i="45"/>
  <c r="H58" i="45" s="1"/>
  <c r="B52" i="45"/>
  <c r="C93" i="33"/>
  <c r="E103" i="33" s="1"/>
  <c r="E114" i="33" s="1"/>
  <c r="I99" i="33"/>
  <c r="I110" i="33" s="1"/>
  <c r="C48" i="53"/>
  <c r="E56" i="53" s="1"/>
  <c r="E164" i="53" s="1"/>
  <c r="G54" i="53"/>
  <c r="G162" i="53" s="1"/>
  <c r="H201" i="53" s="1"/>
  <c r="J264" i="3"/>
  <c r="I264" i="3"/>
  <c r="E264" i="3"/>
  <c r="D264" i="3"/>
  <c r="C264" i="3"/>
  <c r="A264" i="3"/>
  <c r="L275" i="3" s="1"/>
  <c r="H264" i="3"/>
  <c r="F264" i="3"/>
  <c r="G264" i="3"/>
  <c r="D76" i="31"/>
  <c r="F84" i="31" s="1"/>
  <c r="D74" i="31"/>
  <c r="H86" i="31"/>
  <c r="C54" i="63"/>
  <c r="C64" i="63" s="1"/>
  <c r="C226" i="63" s="1"/>
  <c r="D271" i="63" s="1"/>
  <c r="I58" i="63"/>
  <c r="I220" i="63" s="1"/>
  <c r="E143" i="43"/>
  <c r="K155" i="43" s="1"/>
  <c r="K168" i="43" s="1"/>
  <c r="E141" i="43"/>
  <c r="I153" i="43"/>
  <c r="I166" i="43" s="1"/>
  <c r="I264" i="69"/>
  <c r="F317" i="69"/>
  <c r="D309" i="3"/>
  <c r="G112" i="25"/>
  <c r="B159" i="35"/>
  <c r="C198" i="35" s="1"/>
  <c r="M272" i="69"/>
  <c r="J285" i="69"/>
  <c r="H163" i="85"/>
  <c r="E172" i="85"/>
  <c r="D76" i="113"/>
  <c r="D78" i="113"/>
  <c r="B82" i="113" s="1"/>
  <c r="B127" i="113" s="1"/>
  <c r="C160" i="113" s="1"/>
  <c r="H88" i="113"/>
  <c r="K274" i="131"/>
  <c r="C105" i="39"/>
  <c r="E117" i="39" s="1"/>
  <c r="E168" i="39" s="1"/>
  <c r="K111" i="39"/>
  <c r="K162" i="39" s="1"/>
  <c r="I293" i="133"/>
  <c r="E305" i="133"/>
  <c r="B116" i="59"/>
  <c r="J130" i="59" s="1"/>
  <c r="J229" i="59" s="1"/>
  <c r="L128" i="59"/>
  <c r="L227" i="59" s="1"/>
  <c r="B47" i="53"/>
  <c r="D55" i="53" s="1"/>
  <c r="D163" i="53" s="1"/>
  <c r="F53" i="53"/>
  <c r="F161" i="53" s="1"/>
  <c r="C141" i="93"/>
  <c r="E153" i="93" s="1"/>
  <c r="E273" i="93" s="1"/>
  <c r="K147" i="93"/>
  <c r="K267" i="93" s="1"/>
  <c r="N275" i="59"/>
  <c r="K288" i="59"/>
  <c r="C104" i="49"/>
  <c r="I112" i="49" s="1"/>
  <c r="I163" i="49" s="1"/>
  <c r="G114" i="49"/>
  <c r="G165" i="49" s="1"/>
  <c r="H204" i="49" s="1"/>
  <c r="D19" i="103"/>
  <c r="D21" i="103"/>
  <c r="D27" i="103" s="1"/>
  <c r="D66" i="103" s="1"/>
  <c r="E93" i="103" s="1"/>
  <c r="B25" i="103"/>
  <c r="F271" i="67"/>
  <c r="C284" i="67"/>
  <c r="D90" i="13"/>
  <c r="D100" i="13"/>
  <c r="D100" i="131"/>
  <c r="L114" i="131" s="1"/>
  <c r="D98" i="131"/>
  <c r="J112" i="131"/>
  <c r="C36" i="101"/>
  <c r="E44" i="101" s="1"/>
  <c r="E68" i="101" s="1"/>
  <c r="F95" i="101" s="1"/>
  <c r="G42" i="101"/>
  <c r="G66" i="101" s="1"/>
  <c r="H93" i="101" s="1"/>
  <c r="M272" i="73"/>
  <c r="J285" i="73"/>
  <c r="K273" i="117"/>
  <c r="L219" i="115"/>
  <c r="H261" i="115"/>
  <c r="B246" i="99"/>
  <c r="J254" i="99" s="1"/>
  <c r="J269" i="99" s="1"/>
  <c r="F258" i="99"/>
  <c r="F273" i="99" s="1"/>
  <c r="D93" i="17"/>
  <c r="H103" i="17" s="1"/>
  <c r="H114" i="17" s="1"/>
  <c r="D91" i="17"/>
  <c r="D99" i="17"/>
  <c r="D110" i="17" s="1"/>
  <c r="B184" i="91"/>
  <c r="J192" i="91" s="1"/>
  <c r="J205" i="91" s="1"/>
  <c r="F196" i="91"/>
  <c r="F209" i="91" s="1"/>
  <c r="K227" i="89"/>
  <c r="H238" i="89"/>
  <c r="B79" i="119"/>
  <c r="H91" i="119" s="1"/>
  <c r="H274" i="119" s="1"/>
  <c r="J89" i="119"/>
  <c r="J272" i="119" s="1"/>
  <c r="C139" i="133"/>
  <c r="K145" i="133" s="1"/>
  <c r="K244" i="133" s="1"/>
  <c r="E151" i="133"/>
  <c r="E250" i="133" s="1"/>
  <c r="F295" i="133" s="1"/>
  <c r="D245" i="141"/>
  <c r="D247" i="141"/>
  <c r="L261" i="141" s="1"/>
  <c r="F255" i="141"/>
  <c r="E268" i="99"/>
  <c r="E27" i="39"/>
  <c r="E29" i="39"/>
  <c r="E35" i="39" s="1"/>
  <c r="E162" i="39" s="1"/>
  <c r="C33" i="39"/>
  <c r="C160" i="39" s="1"/>
  <c r="D199" i="39" s="1"/>
  <c r="E265" i="65"/>
  <c r="C318" i="65"/>
  <c r="C59" i="29"/>
  <c r="G69" i="29" s="1"/>
  <c r="G114" i="29" s="1"/>
  <c r="I67" i="29"/>
  <c r="I112" i="29" s="1"/>
  <c r="B174" i="75"/>
  <c r="D188" i="75" s="1"/>
  <c r="D297" i="75" s="1"/>
  <c r="L180" i="75"/>
  <c r="L289" i="75" s="1"/>
  <c r="L269" i="69"/>
  <c r="I282" i="69"/>
  <c r="K167" i="49"/>
  <c r="D50" i="127"/>
  <c r="F58" i="127" s="1"/>
  <c r="F185" i="127" s="1"/>
  <c r="D48" i="127"/>
  <c r="D56" i="127"/>
  <c r="C34" i="139"/>
  <c r="C40" i="139" s="1"/>
  <c r="C244" i="139" s="1"/>
  <c r="D289" i="139" s="1"/>
  <c r="E38" i="139"/>
  <c r="E242" i="139" s="1"/>
  <c r="F287" i="139" s="1"/>
  <c r="N272" i="73"/>
  <c r="K285" i="73"/>
  <c r="N344" i="121"/>
  <c r="I355" i="121"/>
  <c r="D117" i="139"/>
  <c r="D119" i="139"/>
  <c r="H129" i="139" s="1"/>
  <c r="B123" i="139"/>
  <c r="M274" i="59"/>
  <c r="J287" i="59"/>
  <c r="I316" i="119"/>
  <c r="E328" i="119"/>
  <c r="C25" i="15"/>
  <c r="C31" i="15" s="1"/>
  <c r="C110" i="15" s="1"/>
  <c r="D143" i="15" s="1"/>
  <c r="E29" i="15"/>
  <c r="E108" i="15" s="1"/>
  <c r="F141" i="15" s="1"/>
  <c r="L270" i="65"/>
  <c r="I283" i="65"/>
  <c r="C269" i="135"/>
  <c r="C283" i="135" s="1"/>
  <c r="C298" i="135" s="1"/>
  <c r="D343" i="135" s="1"/>
  <c r="M273" i="135"/>
  <c r="M288" i="135" s="1"/>
  <c r="F200" i="47"/>
  <c r="D212" i="47"/>
  <c r="C266" i="93"/>
  <c r="D311" i="93" s="1"/>
  <c r="B158" i="61"/>
  <c r="D168" i="61" s="1"/>
  <c r="D225" i="61" s="1"/>
  <c r="H164" i="61"/>
  <c r="H221" i="61" s="1"/>
  <c r="C86" i="107"/>
  <c r="I92" i="107" s="1"/>
  <c r="I162" i="107" s="1"/>
  <c r="E96" i="107"/>
  <c r="E166" i="107" s="1"/>
  <c r="F205" i="107" s="1"/>
  <c r="B223" i="139"/>
  <c r="F237" i="139" s="1"/>
  <c r="F252" i="139" s="1"/>
  <c r="L231" i="139"/>
  <c r="L246" i="139" s="1"/>
  <c r="B165" i="83"/>
  <c r="L181" i="83" s="1"/>
  <c r="L375" i="83" s="1"/>
  <c r="N179" i="83"/>
  <c r="N373" i="83" s="1"/>
  <c r="F268" i="63"/>
  <c r="C281" i="63"/>
  <c r="O300" i="75"/>
  <c r="M276" i="99"/>
  <c r="E144" i="27"/>
  <c r="C153" i="27"/>
  <c r="J272" i="67"/>
  <c r="G285" i="67"/>
  <c r="H275" i="71"/>
  <c r="F288" i="71"/>
  <c r="C78" i="85"/>
  <c r="I82" i="85" s="1"/>
  <c r="I127" i="85" s="1"/>
  <c r="C88" i="85"/>
  <c r="C133" i="85" s="1"/>
  <c r="D166" i="85" s="1"/>
  <c r="C291" i="81"/>
  <c r="O299" i="81" s="1"/>
  <c r="O368" i="81" s="1"/>
  <c r="G307" i="81"/>
  <c r="G376" i="81" s="1"/>
  <c r="C24" i="33"/>
  <c r="C30" i="33" s="1"/>
  <c r="C109" i="33" s="1"/>
  <c r="D142" i="33" s="1"/>
  <c r="E28" i="33"/>
  <c r="E107" i="33" s="1"/>
  <c r="C88" i="115"/>
  <c r="I94" i="115" s="1"/>
  <c r="I183" i="115" s="1"/>
  <c r="E98" i="115"/>
  <c r="E187" i="115" s="1"/>
  <c r="F226" i="115" s="1"/>
  <c r="D142" i="93"/>
  <c r="J154" i="93" s="1"/>
  <c r="D140" i="93"/>
  <c r="D148" i="93"/>
  <c r="C50" i="9"/>
  <c r="G54" i="9" s="1"/>
  <c r="G63" i="9" s="1"/>
  <c r="H90" i="9" s="1"/>
  <c r="C58" i="9"/>
  <c r="C67" i="9" s="1"/>
  <c r="C117" i="57"/>
  <c r="E129" i="57" s="1"/>
  <c r="E228" i="57" s="1"/>
  <c r="K123" i="57"/>
  <c r="K222" i="57" s="1"/>
  <c r="C127" i="95"/>
  <c r="D160" i="95" s="1"/>
  <c r="H226" i="73"/>
  <c r="G242" i="91"/>
  <c r="E254" i="91"/>
  <c r="B105" i="129"/>
  <c r="H117" i="129" s="1"/>
  <c r="H168" i="129" s="1"/>
  <c r="J115" i="129"/>
  <c r="J166" i="129" s="1"/>
  <c r="E142" i="31"/>
  <c r="C152" i="31"/>
  <c r="B226" i="119"/>
  <c r="D240" i="119" s="1"/>
  <c r="D276" i="119" s="1"/>
  <c r="L232" i="119"/>
  <c r="L268" i="119" s="1"/>
  <c r="I221" i="127"/>
  <c r="F233" i="127"/>
  <c r="B101" i="135"/>
  <c r="J115" i="135" s="1"/>
  <c r="J298" i="135" s="1"/>
  <c r="L113" i="135"/>
  <c r="L296" i="135" s="1"/>
  <c r="D365" i="83"/>
  <c r="C92" i="29"/>
  <c r="E102" i="29" s="1"/>
  <c r="E113" i="29" s="1"/>
  <c r="F146" i="29" s="1"/>
  <c r="I98" i="29"/>
  <c r="I109" i="29" s="1"/>
  <c r="H257" i="2"/>
  <c r="H295" i="2"/>
  <c r="H294" i="2"/>
  <c r="H296" i="2"/>
  <c r="C48" i="45"/>
  <c r="C58" i="45" s="1"/>
  <c r="C166" i="45" s="1"/>
  <c r="D205" i="45" s="1"/>
  <c r="I52" i="45"/>
  <c r="I160" i="45" s="1"/>
  <c r="C124" i="45"/>
  <c r="I136" i="45" s="1"/>
  <c r="I168" i="45" s="1"/>
  <c r="K134" i="45"/>
  <c r="K166" i="45" s="1"/>
  <c r="B47" i="39"/>
  <c r="D55" i="39" s="1"/>
  <c r="D163" i="39" s="1"/>
  <c r="F53" i="39"/>
  <c r="F161" i="39" s="1"/>
  <c r="L228" i="89"/>
  <c r="I239" i="89"/>
  <c r="C35" i="101"/>
  <c r="E43" i="101" s="1"/>
  <c r="E67" i="101" s="1"/>
  <c r="F94" i="101" s="1"/>
  <c r="G41" i="101"/>
  <c r="G65" i="101" s="1"/>
  <c r="H92" i="101" s="1"/>
  <c r="M314" i="119"/>
  <c r="I327" i="119"/>
  <c r="C204" i="117"/>
  <c r="I210" i="117" s="1"/>
  <c r="I267" i="117" s="1"/>
  <c r="E214" i="117"/>
  <c r="E271" i="117" s="1"/>
  <c r="B78" i="141"/>
  <c r="D90" i="141" s="1"/>
  <c r="D273" i="141" s="1"/>
  <c r="E318" i="141" s="1"/>
  <c r="J84" i="141"/>
  <c r="J267" i="141" s="1"/>
  <c r="G270" i="141"/>
  <c r="C60" i="121"/>
  <c r="E68" i="121" s="1"/>
  <c r="E293" i="121" s="1"/>
  <c r="F338" i="121" s="1"/>
  <c r="G66" i="121"/>
  <c r="G291" i="121" s="1"/>
  <c r="H336" i="121" s="1"/>
  <c r="C138" i="73"/>
  <c r="K144" i="73" s="1"/>
  <c r="K222" i="73" s="1"/>
  <c r="E150" i="73"/>
  <c r="E228" i="73" s="1"/>
  <c r="E290" i="75"/>
  <c r="B180" i="59"/>
  <c r="L188" i="59" s="1"/>
  <c r="L224" i="59" s="1"/>
  <c r="F194" i="59"/>
  <c r="F230" i="59" s="1"/>
  <c r="G140" i="27"/>
  <c r="D177" i="27"/>
  <c r="N346" i="79"/>
  <c r="K361" i="79"/>
  <c r="J227" i="59"/>
  <c r="J161" i="137"/>
  <c r="F195" i="137"/>
  <c r="C246" i="131"/>
  <c r="C260" i="131" s="1"/>
  <c r="C275" i="131" s="1"/>
  <c r="D320" i="131" s="1"/>
  <c r="M250" i="131"/>
  <c r="M265" i="131" s="1"/>
  <c r="D267" i="131"/>
  <c r="B70" i="91"/>
  <c r="H82" i="91" s="1"/>
  <c r="H209" i="91" s="1"/>
  <c r="J80" i="91"/>
  <c r="J207" i="91" s="1"/>
  <c r="C61" i="125"/>
  <c r="G71" i="125" s="1"/>
  <c r="G133" i="125" s="1"/>
  <c r="I69" i="125"/>
  <c r="I131" i="125" s="1"/>
  <c r="C243" i="75"/>
  <c r="O251" i="75" s="1"/>
  <c r="O291" i="75" s="1"/>
  <c r="G259" i="75"/>
  <c r="G299" i="75" s="1"/>
  <c r="B51" i="101"/>
  <c r="F55" i="101" s="1"/>
  <c r="F64" i="101" s="1"/>
  <c r="G91" i="101" s="1"/>
  <c r="B59" i="101"/>
  <c r="B68" i="101" s="1"/>
  <c r="D122" i="37"/>
  <c r="D124" i="37"/>
  <c r="D130" i="37" s="1"/>
  <c r="H134" i="37"/>
  <c r="K268" i="71"/>
  <c r="H282" i="71"/>
  <c r="E424" i="81"/>
  <c r="C442" i="81"/>
  <c r="B186" i="123"/>
  <c r="B198" i="123" s="1"/>
  <c r="B297" i="123" s="1"/>
  <c r="C342" i="123" s="1"/>
  <c r="J190" i="123"/>
  <c r="J289" i="123" s="1"/>
  <c r="D48" i="89"/>
  <c r="D50" i="89"/>
  <c r="F58" i="89" s="1"/>
  <c r="F185" i="89" s="1"/>
  <c r="D56" i="89"/>
  <c r="N337" i="121"/>
  <c r="I383" i="121"/>
  <c r="B246" i="131"/>
  <c r="B260" i="131" s="1"/>
  <c r="B275" i="131" s="1"/>
  <c r="C320" i="131" s="1"/>
  <c r="L250" i="131"/>
  <c r="L265" i="131" s="1"/>
  <c r="E141" i="143"/>
  <c r="K153" i="143" s="1"/>
  <c r="B140" i="143"/>
  <c r="E139" i="143"/>
  <c r="E147" i="143"/>
  <c r="E267" i="143" s="1"/>
  <c r="F312" i="143" s="1"/>
  <c r="L313" i="119"/>
  <c r="H362" i="119"/>
  <c r="J200" i="43"/>
  <c r="G245" i="43"/>
  <c r="D163" i="123"/>
  <c r="D165" i="123"/>
  <c r="L179" i="123" s="1"/>
  <c r="F173" i="123"/>
  <c r="B20" i="11"/>
  <c r="B26" i="11" s="1"/>
  <c r="B65" i="11" s="1"/>
  <c r="D24" i="11"/>
  <c r="D63" i="11" s="1"/>
  <c r="E90" i="11" s="1"/>
  <c r="E244" i="119"/>
  <c r="E246" i="119"/>
  <c r="G254" i="119" s="1"/>
  <c r="G269" i="119" s="1"/>
  <c r="H314" i="119" s="1"/>
  <c r="B245" i="119"/>
  <c r="K258" i="119"/>
  <c r="K273" i="119" s="1"/>
  <c r="I164" i="95"/>
  <c r="F173" i="95"/>
  <c r="D34" i="5"/>
  <c r="D36" i="5"/>
  <c r="F44" i="5" s="1"/>
  <c r="F68" i="5" s="1"/>
  <c r="G95" i="5" s="1"/>
  <c r="D42" i="5"/>
  <c r="C220" i="59"/>
  <c r="D265" i="59" s="1"/>
  <c r="B145" i="115"/>
  <c r="J153" i="115" s="1"/>
  <c r="J185" i="115" s="1"/>
  <c r="F157" i="115"/>
  <c r="F189" i="115" s="1"/>
  <c r="C38" i="121"/>
  <c r="C44" i="121" s="1"/>
  <c r="C290" i="121" s="1"/>
  <c r="D335" i="121" s="1"/>
  <c r="E42" i="121"/>
  <c r="E288" i="121" s="1"/>
  <c r="F333" i="121" s="1"/>
  <c r="C265" i="131"/>
  <c r="D310" i="131" s="1"/>
  <c r="J272" i="61"/>
  <c r="G285" i="61"/>
  <c r="F264" i="73"/>
  <c r="D317" i="73"/>
  <c r="D56" i="143"/>
  <c r="D58" i="143"/>
  <c r="F66" i="143" s="1"/>
  <c r="D64" i="143"/>
  <c r="B120" i="143"/>
  <c r="B130" i="143" s="1"/>
  <c r="B271" i="143" s="1"/>
  <c r="C316" i="143" s="1"/>
  <c r="H124" i="143"/>
  <c r="H265" i="143" s="1"/>
  <c r="M272" i="61"/>
  <c r="J285" i="61"/>
  <c r="B142" i="47"/>
  <c r="D154" i="47" s="1"/>
  <c r="D167" i="47" s="1"/>
  <c r="J148" i="47"/>
  <c r="J161" i="47" s="1"/>
  <c r="H142" i="27"/>
  <c r="E152" i="27"/>
  <c r="C124" i="35"/>
  <c r="E136" i="35" s="1"/>
  <c r="E168" i="35" s="1"/>
  <c r="K130" i="35"/>
  <c r="K162" i="35" s="1"/>
  <c r="E74" i="65"/>
  <c r="I84" i="65" s="1"/>
  <c r="I225" i="65" s="1"/>
  <c r="B73" i="65"/>
  <c r="E72" i="65"/>
  <c r="C78" i="65"/>
  <c r="C219" i="65" s="1"/>
  <c r="D264" i="65" s="1"/>
  <c r="C158" i="73"/>
  <c r="E172" i="73" s="1"/>
  <c r="E229" i="73" s="1"/>
  <c r="M164" i="73"/>
  <c r="M221" i="73" s="1"/>
  <c r="D128" i="137"/>
  <c r="E161" i="137" s="1"/>
  <c r="H275" i="69"/>
  <c r="E288" i="69"/>
  <c r="B182" i="93"/>
  <c r="E181" i="93"/>
  <c r="E183" i="93"/>
  <c r="K195" i="93" s="1"/>
  <c r="K273" i="93" s="1"/>
  <c r="C187" i="93"/>
  <c r="C265" i="93" s="1"/>
  <c r="D310" i="93" s="1"/>
  <c r="C197" i="77"/>
  <c r="M205" i="77" s="1"/>
  <c r="M291" i="77" s="1"/>
  <c r="G211" i="77"/>
  <c r="G297" i="77" s="1"/>
  <c r="D112" i="87"/>
  <c r="H122" i="87" s="1"/>
  <c r="D110" i="87"/>
  <c r="D118" i="87"/>
  <c r="L225" i="115"/>
  <c r="H235" i="115"/>
  <c r="B158" i="67"/>
  <c r="J172" i="67" s="1"/>
  <c r="J229" i="67" s="1"/>
  <c r="L170" i="67"/>
  <c r="L227" i="67" s="1"/>
  <c r="B120" i="93"/>
  <c r="B130" i="93" s="1"/>
  <c r="B271" i="93" s="1"/>
  <c r="C316" i="93" s="1"/>
  <c r="H124" i="93"/>
  <c r="H265" i="93" s="1"/>
  <c r="F368" i="83"/>
  <c r="H434" i="83"/>
  <c r="F451" i="83"/>
  <c r="G164" i="107"/>
  <c r="H203" i="107" s="1"/>
  <c r="C98" i="133"/>
  <c r="K112" i="133" s="1"/>
  <c r="K253" i="133" s="1"/>
  <c r="M110" i="133"/>
  <c r="M251" i="133" s="1"/>
  <c r="C99" i="119"/>
  <c r="K113" i="119" s="1"/>
  <c r="K275" i="119" s="1"/>
  <c r="M111" i="119"/>
  <c r="M273" i="119" s="1"/>
  <c r="C48" i="49"/>
  <c r="E56" i="49" s="1"/>
  <c r="E164" i="49" s="1"/>
  <c r="G54" i="49"/>
  <c r="G162" i="49" s="1"/>
  <c r="H201" i="49" s="1"/>
  <c r="E264" i="65"/>
  <c r="C317" i="65"/>
  <c r="B107" i="23"/>
  <c r="C140" i="23" s="1"/>
  <c r="G111" i="15"/>
  <c r="B144" i="89"/>
  <c r="J152" i="89" s="1"/>
  <c r="J184" i="89" s="1"/>
  <c r="F156" i="89"/>
  <c r="F188" i="89" s="1"/>
  <c r="C105" i="35"/>
  <c r="I117" i="35" s="1"/>
  <c r="I168" i="35" s="1"/>
  <c r="K115" i="35"/>
  <c r="K166" i="35" s="1"/>
  <c r="C185" i="135"/>
  <c r="C197" i="135" s="1"/>
  <c r="C296" i="135" s="1"/>
  <c r="D341" i="135" s="1"/>
  <c r="K189" i="135"/>
  <c r="K288" i="135" s="1"/>
  <c r="C67" i="107"/>
  <c r="C77" i="107" s="1"/>
  <c r="C166" i="107" s="1"/>
  <c r="D205" i="107" s="1"/>
  <c r="I71" i="107"/>
  <c r="I160" i="107" s="1"/>
  <c r="L321" i="141"/>
  <c r="H333" i="141"/>
  <c r="C159" i="45"/>
  <c r="D198" i="45" s="1"/>
  <c r="B92" i="31"/>
  <c r="F98" i="31" s="1"/>
  <c r="F109" i="31" s="1"/>
  <c r="D100" i="31"/>
  <c r="D111" i="31" s="1"/>
  <c r="B75" i="27"/>
  <c r="H79" i="27" s="1"/>
  <c r="H107" i="27" s="1"/>
  <c r="B85" i="27"/>
  <c r="B113" i="27" s="1"/>
  <c r="C146" i="27" s="1"/>
  <c r="C54" i="61"/>
  <c r="E62" i="61" s="1"/>
  <c r="E224" i="61" s="1"/>
  <c r="G60" i="61"/>
  <c r="G222" i="61" s="1"/>
  <c r="H267" i="61" s="1"/>
  <c r="B104" i="39"/>
  <c r="D116" i="39" s="1"/>
  <c r="D167" i="39" s="1"/>
  <c r="J110" i="39"/>
  <c r="J161" i="39" s="1"/>
  <c r="G434" i="81"/>
  <c r="E451" i="81"/>
  <c r="M337" i="121"/>
  <c r="H383" i="121"/>
  <c r="N274" i="63"/>
  <c r="K287" i="63"/>
  <c r="C144" i="121"/>
  <c r="E156" i="121" s="1"/>
  <c r="E297" i="121" s="1"/>
  <c r="F342" i="121" s="1"/>
  <c r="K150" i="121"/>
  <c r="K291" i="121" s="1"/>
  <c r="B56" i="139"/>
  <c r="B64" i="139" s="1"/>
  <c r="B247" i="139" s="1"/>
  <c r="C292" i="139" s="1"/>
  <c r="F60" i="139"/>
  <c r="F243" i="139" s="1"/>
  <c r="B86" i="43"/>
  <c r="H90" i="43" s="1"/>
  <c r="H160" i="43" s="1"/>
  <c r="B96" i="43"/>
  <c r="B166" i="43" s="1"/>
  <c r="C205" i="43" s="1"/>
  <c r="I226" i="61"/>
  <c r="C93" i="23"/>
  <c r="E103" i="23" s="1"/>
  <c r="E114" i="23" s="1"/>
  <c r="I99" i="23"/>
  <c r="I110" i="23" s="1"/>
  <c r="E260" i="2"/>
  <c r="F334" i="135"/>
  <c r="D387" i="135"/>
  <c r="E110" i="31"/>
  <c r="F143" i="31" s="1"/>
  <c r="D21" i="5"/>
  <c r="D27" i="5" s="1"/>
  <c r="D66" i="5" s="1"/>
  <c r="D19" i="5"/>
  <c r="B25" i="5"/>
  <c r="B64" i="5" s="1"/>
  <c r="K296" i="79"/>
  <c r="C50" i="89"/>
  <c r="E58" i="89" s="1"/>
  <c r="E185" i="89" s="1"/>
  <c r="G56" i="89"/>
  <c r="G183" i="89" s="1"/>
  <c r="H222" i="89" s="1"/>
  <c r="E109" i="21"/>
  <c r="F142" i="21" s="1"/>
  <c r="I226" i="63"/>
  <c r="D96" i="67"/>
  <c r="H106" i="67" s="1"/>
  <c r="D94" i="67"/>
  <c r="D102" i="67"/>
  <c r="G422" i="83"/>
  <c r="E440" i="83"/>
  <c r="C142" i="35"/>
  <c r="K150" i="35" s="1"/>
  <c r="K163" i="35" s="1"/>
  <c r="G154" i="35"/>
  <c r="G167" i="35" s="1"/>
  <c r="H206" i="35" s="1"/>
  <c r="D161" i="35"/>
  <c r="K274" i="69"/>
  <c r="H287" i="69"/>
  <c r="H163" i="113"/>
  <c r="D171" i="113"/>
  <c r="J267" i="67"/>
  <c r="G280" i="67"/>
  <c r="B93" i="27"/>
  <c r="B101" i="27" s="1"/>
  <c r="B112" i="27" s="1"/>
  <c r="C145" i="27" s="1"/>
  <c r="F97" i="27"/>
  <c r="F108" i="27" s="1"/>
  <c r="D290" i="123"/>
  <c r="N275" i="71"/>
  <c r="K288" i="71"/>
  <c r="C201" i="59"/>
  <c r="K209" i="59" s="1"/>
  <c r="K224" i="59" s="1"/>
  <c r="G213" i="59"/>
  <c r="G228" i="59" s="1"/>
  <c r="B99" i="93"/>
  <c r="J113" i="93" s="1"/>
  <c r="J275" i="93" s="1"/>
  <c r="L111" i="93"/>
  <c r="L273" i="93" s="1"/>
  <c r="L320" i="93"/>
  <c r="I333" i="93"/>
  <c r="C94" i="125"/>
  <c r="C102" i="125" s="1"/>
  <c r="C130" i="125" s="1"/>
  <c r="D163" i="125" s="1"/>
  <c r="G98" i="125"/>
  <c r="G126" i="125" s="1"/>
  <c r="B78" i="125"/>
  <c r="H82" i="125" s="1"/>
  <c r="H127" i="125" s="1"/>
  <c r="B88" i="125"/>
  <c r="B133" i="125" s="1"/>
  <c r="C166" i="125" s="1"/>
  <c r="Q429" i="83"/>
  <c r="N491" i="83"/>
  <c r="J205" i="37"/>
  <c r="G216" i="37"/>
  <c r="D103" i="49"/>
  <c r="D105" i="49"/>
  <c r="F113" i="49" s="1"/>
  <c r="H115" i="49"/>
  <c r="P350" i="79"/>
  <c r="M365" i="79"/>
  <c r="C20" i="13"/>
  <c r="C26" i="13" s="1"/>
  <c r="C65" i="13" s="1"/>
  <c r="E24" i="13"/>
  <c r="E63" i="13" s="1"/>
  <c r="F90" i="13" s="1"/>
  <c r="J147" i="21"/>
  <c r="G156" i="21"/>
  <c r="K274" i="73"/>
  <c r="H287" i="73"/>
  <c r="C146" i="91"/>
  <c r="I152" i="91" s="1"/>
  <c r="I203" i="91" s="1"/>
  <c r="E156" i="91"/>
  <c r="E207" i="91" s="1"/>
  <c r="C159" i="59"/>
  <c r="K165" i="59" s="1"/>
  <c r="K222" i="59" s="1"/>
  <c r="E171" i="59"/>
  <c r="E228" i="59" s="1"/>
  <c r="C78" i="117"/>
  <c r="I90" i="117" s="1"/>
  <c r="I273" i="117" s="1"/>
  <c r="K88" i="117"/>
  <c r="K271" i="117" s="1"/>
  <c r="G223" i="59"/>
  <c r="H200" i="45"/>
  <c r="E212" i="45"/>
  <c r="G144" i="19"/>
  <c r="E154" i="19"/>
  <c r="L266" i="71"/>
  <c r="I280" i="71"/>
  <c r="G270" i="99"/>
  <c r="H315" i="99" s="1"/>
  <c r="F225" i="127"/>
  <c r="D236" i="127"/>
  <c r="B164" i="115"/>
  <c r="B176" i="115" s="1"/>
  <c r="B189" i="115" s="1"/>
  <c r="C228" i="115" s="1"/>
  <c r="J168" i="115"/>
  <c r="J181" i="115" s="1"/>
  <c r="B60" i="113"/>
  <c r="F70" i="113" s="1"/>
  <c r="F132" i="113" s="1"/>
  <c r="H68" i="113"/>
  <c r="H130" i="113" s="1"/>
  <c r="D86" i="45"/>
  <c r="F94" i="45" s="1"/>
  <c r="D84" i="45"/>
  <c r="H96" i="45"/>
  <c r="C105" i="51"/>
  <c r="K109" i="51" s="1"/>
  <c r="K160" i="51" s="1"/>
  <c r="C117" i="51"/>
  <c r="C168" i="51" s="1"/>
  <c r="D207" i="51" s="1"/>
  <c r="H273" i="69"/>
  <c r="E286" i="69"/>
  <c r="C85" i="49"/>
  <c r="K95" i="49" s="1"/>
  <c r="K165" i="49" s="1"/>
  <c r="I97" i="49"/>
  <c r="I167" i="49" s="1"/>
  <c r="D35" i="139"/>
  <c r="D41" i="139" s="1"/>
  <c r="D33" i="139"/>
  <c r="B39" i="139"/>
  <c r="B243" i="139" s="1"/>
  <c r="C288" i="139" s="1"/>
  <c r="C100" i="117"/>
  <c r="K114" i="117" s="1"/>
  <c r="K276" i="117" s="1"/>
  <c r="M112" i="117"/>
  <c r="M274" i="117" s="1"/>
  <c r="L274" i="73"/>
  <c r="I287" i="73"/>
  <c r="C102" i="121"/>
  <c r="K116" i="121" s="1"/>
  <c r="K299" i="121" s="1"/>
  <c r="M114" i="121"/>
  <c r="M297" i="121" s="1"/>
  <c r="K250" i="133"/>
  <c r="I270" i="71"/>
  <c r="G284" i="71"/>
  <c r="C74" i="67"/>
  <c r="G86" i="67" s="1"/>
  <c r="G227" i="67" s="1"/>
  <c r="K82" i="67"/>
  <c r="K223" i="67" s="1"/>
  <c r="E146" i="15"/>
  <c r="C155" i="15"/>
  <c r="J272" i="65"/>
  <c r="G285" i="65"/>
  <c r="E37" i="119"/>
  <c r="E43" i="119" s="1"/>
  <c r="E268" i="119" s="1"/>
  <c r="F313" i="119" s="1"/>
  <c r="E35" i="119"/>
  <c r="C41" i="119"/>
  <c r="C266" i="119" s="1"/>
  <c r="D311" i="119" s="1"/>
  <c r="C28" i="47"/>
  <c r="C34" i="47" s="1"/>
  <c r="C161" i="47" s="1"/>
  <c r="D200" i="47" s="1"/>
  <c r="E32" i="47"/>
  <c r="E159" i="47" s="1"/>
  <c r="E268" i="93"/>
  <c r="B201" i="67"/>
  <c r="H213" i="67" s="1"/>
  <c r="H228" i="67" s="1"/>
  <c r="J211" i="67"/>
  <c r="J226" i="67" s="1"/>
  <c r="C104" i="37"/>
  <c r="K112" i="37" s="1"/>
  <c r="K163" i="37" s="1"/>
  <c r="G116" i="37"/>
  <c r="G167" i="37" s="1"/>
  <c r="H206" i="37" s="1"/>
  <c r="J427" i="81"/>
  <c r="H445" i="81"/>
  <c r="F318" i="131"/>
  <c r="D331" i="131"/>
  <c r="J316" i="119"/>
  <c r="F328" i="119"/>
  <c r="C226" i="141"/>
  <c r="I238" i="141" s="1"/>
  <c r="I274" i="141" s="1"/>
  <c r="K236" i="141"/>
  <c r="K272" i="141" s="1"/>
  <c r="B61" i="125"/>
  <c r="F71" i="125" s="1"/>
  <c r="F133" i="125" s="1"/>
  <c r="H69" i="125"/>
  <c r="H131" i="125" s="1"/>
  <c r="B82" i="79"/>
  <c r="F92" i="79" s="1"/>
  <c r="F293" i="79" s="1"/>
  <c r="H90" i="79"/>
  <c r="H291" i="79" s="1"/>
  <c r="B204" i="99"/>
  <c r="H210" i="99" s="1"/>
  <c r="H267" i="99" s="1"/>
  <c r="D214" i="99"/>
  <c r="D271" i="99" s="1"/>
  <c r="C221" i="75"/>
  <c r="M237" i="75" s="1"/>
  <c r="M300" i="75" s="1"/>
  <c r="O235" i="75"/>
  <c r="O298" i="75" s="1"/>
  <c r="C163" i="99"/>
  <c r="G177" i="99" s="1"/>
  <c r="G276" i="99" s="1"/>
  <c r="H321" i="99" s="1"/>
  <c r="M171" i="99"/>
  <c r="M270" i="99" s="1"/>
  <c r="C152" i="79"/>
  <c r="K166" i="79" s="1"/>
  <c r="K298" i="79" s="1"/>
  <c r="M164" i="79"/>
  <c r="M296" i="79" s="1"/>
  <c r="L244" i="91"/>
  <c r="I256" i="91"/>
  <c r="B123" i="49"/>
  <c r="J129" i="49" s="1"/>
  <c r="J161" i="49" s="1"/>
  <c r="D135" i="49"/>
  <c r="D167" i="49" s="1"/>
  <c r="I202" i="43"/>
  <c r="F213" i="43"/>
  <c r="E41" i="81"/>
  <c r="E47" i="81" s="1"/>
  <c r="E366" i="81" s="1"/>
  <c r="E39" i="81"/>
  <c r="C45" i="81"/>
  <c r="C364" i="81" s="1"/>
  <c r="D421" i="81" s="1"/>
  <c r="N341" i="121"/>
  <c r="I352" i="121"/>
  <c r="C129" i="79"/>
  <c r="K135" i="79" s="1"/>
  <c r="K290" i="79" s="1"/>
  <c r="E141" i="79"/>
  <c r="E296" i="79" s="1"/>
  <c r="D49" i="9"/>
  <c r="D51" i="9"/>
  <c r="B55" i="9" s="1"/>
  <c r="F59" i="9"/>
  <c r="F68" i="9" s="1"/>
  <c r="G95" i="9" s="1"/>
  <c r="N272" i="61"/>
  <c r="K285" i="61"/>
  <c r="C104" i="47"/>
  <c r="K112" i="47" s="1"/>
  <c r="K163" i="47" s="1"/>
  <c r="G116" i="47"/>
  <c r="G167" i="47" s="1"/>
  <c r="H206" i="47" s="1"/>
  <c r="B197" i="79"/>
  <c r="L205" i="79" s="1"/>
  <c r="L291" i="79" s="1"/>
  <c r="F211" i="79"/>
  <c r="F297" i="79" s="1"/>
  <c r="B75" i="73"/>
  <c r="F85" i="73" s="1"/>
  <c r="F226" i="73" s="1"/>
  <c r="H83" i="73"/>
  <c r="H224" i="73" s="1"/>
  <c r="E244" i="91"/>
  <c r="C256" i="91"/>
  <c r="H62" i="109"/>
  <c r="H107" i="109" s="1"/>
  <c r="B58" i="109"/>
  <c r="B68" i="109" s="1"/>
  <c r="B113" i="109" s="1"/>
  <c r="C146" i="109" s="1"/>
  <c r="J165" i="125"/>
  <c r="F173" i="125"/>
  <c r="C163" i="117"/>
  <c r="G177" i="117" s="1"/>
  <c r="G276" i="117" s="1"/>
  <c r="H321" i="117" s="1"/>
  <c r="M171" i="117"/>
  <c r="M270" i="117" s="1"/>
  <c r="C60" i="95"/>
  <c r="G64" i="95" s="1"/>
  <c r="G126" i="95" s="1"/>
  <c r="C68" i="95"/>
  <c r="C130" i="95" s="1"/>
  <c r="D163" i="95" s="1"/>
  <c r="D93" i="29"/>
  <c r="H103" i="29" s="1"/>
  <c r="D91" i="29"/>
  <c r="D99" i="29"/>
  <c r="G261" i="2"/>
  <c r="F261" i="2"/>
  <c r="E261" i="2"/>
  <c r="D261" i="2"/>
  <c r="A261" i="2"/>
  <c r="M273" i="2" s="1"/>
  <c r="C261" i="2"/>
  <c r="K261" i="2"/>
  <c r="J261" i="2"/>
  <c r="H261" i="2"/>
  <c r="B64" i="9"/>
  <c r="C142" i="53"/>
  <c r="K150" i="53" s="1"/>
  <c r="K163" i="53" s="1"/>
  <c r="G154" i="53"/>
  <c r="G167" i="53" s="1"/>
  <c r="H206" i="53" s="1"/>
  <c r="C107" i="89"/>
  <c r="I119" i="89" s="1"/>
  <c r="I189" i="89" s="1"/>
  <c r="K117" i="89"/>
  <c r="K187" i="89" s="1"/>
  <c r="C76" i="139"/>
  <c r="E86" i="139" s="1"/>
  <c r="E248" i="139" s="1"/>
  <c r="F293" i="139" s="1"/>
  <c r="I82" i="139"/>
  <c r="I244" i="139" s="1"/>
  <c r="C81" i="135"/>
  <c r="I93" i="135" s="1"/>
  <c r="I297" i="135" s="1"/>
  <c r="K91" i="135"/>
  <c r="K295" i="135" s="1"/>
  <c r="G320" i="119"/>
  <c r="D332" i="119"/>
  <c r="E267" i="99"/>
  <c r="B74" i="57"/>
  <c r="F84" i="57" s="1"/>
  <c r="F225" i="57" s="1"/>
  <c r="H82" i="57"/>
  <c r="H223" i="57" s="1"/>
  <c r="B246" i="93"/>
  <c r="J254" i="93" s="1"/>
  <c r="J269" i="93" s="1"/>
  <c r="F258" i="93"/>
  <c r="F273" i="93" s="1"/>
  <c r="C83" i="77"/>
  <c r="G93" i="77" s="1"/>
  <c r="G294" i="77" s="1"/>
  <c r="I91" i="77"/>
  <c r="I292" i="77" s="1"/>
  <c r="J343" i="77" s="1"/>
  <c r="D95" i="85"/>
  <c r="F103" i="85" s="1"/>
  <c r="D93" i="85"/>
  <c r="B99" i="85"/>
  <c r="I113" i="29"/>
  <c r="L348" i="79"/>
  <c r="I363" i="79"/>
  <c r="D247" i="131"/>
  <c r="L261" i="131" s="1"/>
  <c r="D245" i="131"/>
  <c r="B251" i="131"/>
  <c r="B36" i="131"/>
  <c r="B42" i="131" s="1"/>
  <c r="B267" i="131" s="1"/>
  <c r="C312" i="131" s="1"/>
  <c r="D40" i="131"/>
  <c r="D265" i="131" s="1"/>
  <c r="C219" i="111"/>
  <c r="D264" i="111" s="1"/>
  <c r="C224" i="139"/>
  <c r="G238" i="139" s="1"/>
  <c r="G253" i="139" s="1"/>
  <c r="M232" i="139"/>
  <c r="M247" i="139" s="1"/>
  <c r="I133" i="125"/>
  <c r="L318" i="141"/>
  <c r="H330" i="141"/>
  <c r="D267" i="117"/>
  <c r="C49" i="89"/>
  <c r="E57" i="89" s="1"/>
  <c r="E184" i="89" s="1"/>
  <c r="G55" i="89"/>
  <c r="G182" i="89" s="1"/>
  <c r="H221" i="89" s="1"/>
  <c r="B32" i="111"/>
  <c r="B38" i="111" s="1"/>
  <c r="B221" i="111" s="1"/>
  <c r="C266" i="111" s="1"/>
  <c r="D36" i="111"/>
  <c r="D219" i="111" s="1"/>
  <c r="D139" i="143"/>
  <c r="D141" i="143"/>
  <c r="J153" i="143" s="1"/>
  <c r="D147" i="143"/>
  <c r="D267" i="143" s="1"/>
  <c r="E312" i="143" s="1"/>
  <c r="F204" i="43"/>
  <c r="C215" i="43"/>
  <c r="C99" i="141"/>
  <c r="I107" i="141" s="1"/>
  <c r="I269" i="141" s="1"/>
  <c r="G109" i="141"/>
  <c r="G271" i="141" s="1"/>
  <c r="B163" i="89"/>
  <c r="B175" i="89" s="1"/>
  <c r="B188" i="89" s="1"/>
  <c r="C227" i="89" s="1"/>
  <c r="J167" i="89"/>
  <c r="J180" i="89" s="1"/>
  <c r="D65" i="11"/>
  <c r="E92" i="11" s="1"/>
  <c r="G166" i="95"/>
  <c r="D175" i="95"/>
  <c r="G367" i="81"/>
  <c r="C33" i="59"/>
  <c r="C39" i="59" s="1"/>
  <c r="C222" i="59" s="1"/>
  <c r="D267" i="59" s="1"/>
  <c r="E37" i="59"/>
  <c r="E220" i="59" s="1"/>
  <c r="B67" i="41"/>
  <c r="B77" i="41" s="1"/>
  <c r="B166" i="41" s="1"/>
  <c r="C205" i="41" s="1"/>
  <c r="H71" i="41"/>
  <c r="H160" i="41" s="1"/>
  <c r="H424" i="83"/>
  <c r="F442" i="83"/>
  <c r="C123" i="45"/>
  <c r="I135" i="45" s="1"/>
  <c r="I167" i="45" s="1"/>
  <c r="K133" i="45"/>
  <c r="K165" i="45" s="1"/>
  <c r="D110" i="85"/>
  <c r="D112" i="85"/>
  <c r="H122" i="85" s="1"/>
  <c r="D118" i="85"/>
  <c r="D39" i="121"/>
  <c r="D45" i="121" s="1"/>
  <c r="D37" i="121"/>
  <c r="B43" i="121"/>
  <c r="E267" i="131"/>
  <c r="B219" i="73"/>
  <c r="C264" i="73" s="1"/>
  <c r="G269" i="143"/>
  <c r="H314" i="143" s="1"/>
  <c r="N266" i="57"/>
  <c r="K280" i="57"/>
  <c r="G200" i="43"/>
  <c r="D245" i="43"/>
  <c r="K274" i="61"/>
  <c r="H287" i="61"/>
  <c r="B47" i="37"/>
  <c r="D55" i="37" s="1"/>
  <c r="D163" i="37" s="1"/>
  <c r="F53" i="37"/>
  <c r="F161" i="37" s="1"/>
  <c r="N273" i="55"/>
  <c r="K286" i="55"/>
  <c r="B201" i="71"/>
  <c r="J209" i="71" s="1"/>
  <c r="J224" i="71" s="1"/>
  <c r="F213" i="71"/>
  <c r="F228" i="71" s="1"/>
  <c r="D159" i="73"/>
  <c r="L173" i="73" s="1"/>
  <c r="D157" i="73"/>
  <c r="D165" i="73"/>
  <c r="C228" i="121"/>
  <c r="E242" i="121" s="1"/>
  <c r="E299" i="121" s="1"/>
  <c r="F344" i="121" s="1"/>
  <c r="M234" i="121"/>
  <c r="M291" i="121" s="1"/>
  <c r="D73" i="61"/>
  <c r="D75" i="61"/>
  <c r="H85" i="61" s="1"/>
  <c r="B79" i="61"/>
  <c r="B220" i="61" s="1"/>
  <c r="C265" i="61" s="1"/>
  <c r="C316" i="83"/>
  <c r="G334" i="83" s="1"/>
  <c r="G378" i="83" s="1"/>
  <c r="Q324" i="83"/>
  <c r="Q368" i="83" s="1"/>
  <c r="B126" i="137"/>
  <c r="C159" i="137" s="1"/>
  <c r="D181" i="93"/>
  <c r="D183" i="93"/>
  <c r="J195" i="93" s="1"/>
  <c r="J273" i="93" s="1"/>
  <c r="B187" i="93"/>
  <c r="B265" i="93" s="1"/>
  <c r="C310" i="93" s="1"/>
  <c r="B104" i="45"/>
  <c r="B112" i="45" s="1"/>
  <c r="B163" i="45" s="1"/>
  <c r="C202" i="45" s="1"/>
  <c r="F108" i="45"/>
  <c r="F159" i="45" s="1"/>
  <c r="D198" i="77"/>
  <c r="F206" i="77" s="1"/>
  <c r="D196" i="77"/>
  <c r="L212" i="77"/>
  <c r="J227" i="115"/>
  <c r="F237" i="115"/>
  <c r="B66" i="83"/>
  <c r="D74" i="83" s="1"/>
  <c r="D368" i="83" s="1"/>
  <c r="F72" i="83"/>
  <c r="F366" i="83" s="1"/>
  <c r="J288" i="139"/>
  <c r="F338" i="139"/>
  <c r="M253" i="133"/>
  <c r="D98" i="119"/>
  <c r="D100" i="119"/>
  <c r="L114" i="119" s="1"/>
  <c r="L276" i="119" s="1"/>
  <c r="J112" i="119"/>
  <c r="H287" i="139"/>
  <c r="D337" i="139"/>
  <c r="K168" i="107"/>
  <c r="C266" i="77"/>
  <c r="O276" i="77" s="1"/>
  <c r="O293" i="77" s="1"/>
  <c r="I282" i="77"/>
  <c r="I299" i="77" s="1"/>
  <c r="J350" i="77" s="1"/>
  <c r="G164" i="49"/>
  <c r="H203" i="49" s="1"/>
  <c r="B24" i="23"/>
  <c r="B30" i="23" s="1"/>
  <c r="B109" i="23" s="1"/>
  <c r="C142" i="23" s="1"/>
  <c r="D28" i="23"/>
  <c r="D107" i="23" s="1"/>
  <c r="E140" i="23" s="1"/>
  <c r="F112" i="19"/>
  <c r="K168" i="35"/>
  <c r="E178" i="73"/>
  <c r="E180" i="73"/>
  <c r="G188" i="73" s="1"/>
  <c r="G224" i="73" s="1"/>
  <c r="M194" i="73"/>
  <c r="M230" i="73" s="1"/>
  <c r="B116" i="71"/>
  <c r="J130" i="71" s="1"/>
  <c r="J229" i="71" s="1"/>
  <c r="L128" i="71"/>
  <c r="L227" i="71" s="1"/>
  <c r="B94" i="125"/>
  <c r="B102" i="125" s="1"/>
  <c r="B130" i="125" s="1"/>
  <c r="C163" i="125" s="1"/>
  <c r="F98" i="125"/>
  <c r="F126" i="125" s="1"/>
  <c r="C205" i="119"/>
  <c r="I211" i="119" s="1"/>
  <c r="I268" i="119" s="1"/>
  <c r="E215" i="119"/>
  <c r="E272" i="119" s="1"/>
  <c r="F317" i="119" s="1"/>
  <c r="C179" i="111"/>
  <c r="C191" i="111" s="1"/>
  <c r="C227" i="111" s="1"/>
  <c r="D272" i="111" s="1"/>
  <c r="K183" i="111"/>
  <c r="K219" i="111" s="1"/>
  <c r="I166" i="107"/>
  <c r="C28" i="45"/>
  <c r="C34" i="45" s="1"/>
  <c r="C161" i="45" s="1"/>
  <c r="D200" i="45" s="1"/>
  <c r="E32" i="45"/>
  <c r="E159" i="45" s="1"/>
  <c r="F198" i="45" s="1"/>
  <c r="L266" i="65"/>
  <c r="I280" i="65"/>
  <c r="C85" i="53"/>
  <c r="I91" i="53" s="1"/>
  <c r="I161" i="53" s="1"/>
  <c r="E95" i="53"/>
  <c r="E165" i="53" s="1"/>
  <c r="C36" i="5"/>
  <c r="E44" i="5" s="1"/>
  <c r="E68" i="5" s="1"/>
  <c r="F95" i="5" s="1"/>
  <c r="G42" i="5"/>
  <c r="G66" i="5" s="1"/>
  <c r="H93" i="5" s="1"/>
  <c r="C120" i="131"/>
  <c r="C132" i="131" s="1"/>
  <c r="C273" i="131" s="1"/>
  <c r="D318" i="131" s="1"/>
  <c r="K124" i="131"/>
  <c r="K265" i="131" s="1"/>
  <c r="B225" i="119"/>
  <c r="D239" i="119" s="1"/>
  <c r="D275" i="119" s="1"/>
  <c r="L231" i="119"/>
  <c r="L267" i="119" s="1"/>
  <c r="C125" i="115"/>
  <c r="E137" i="115" s="1"/>
  <c r="E188" i="115" s="1"/>
  <c r="F227" i="115" s="1"/>
  <c r="K131" i="115"/>
  <c r="K182" i="115" s="1"/>
  <c r="C205" i="143"/>
  <c r="I211" i="143" s="1"/>
  <c r="I268" i="143" s="1"/>
  <c r="E215" i="143"/>
  <c r="E272" i="143" s="1"/>
  <c r="F317" i="143" s="1"/>
  <c r="C75" i="61"/>
  <c r="C85" i="61" s="1"/>
  <c r="C226" i="61" s="1"/>
  <c r="D271" i="61" s="1"/>
  <c r="I79" i="61"/>
  <c r="I220" i="61" s="1"/>
  <c r="D74" i="27"/>
  <c r="D76" i="27"/>
  <c r="B80" i="27" s="1"/>
  <c r="B108" i="27" s="1"/>
  <c r="C141" i="27" s="1"/>
  <c r="H86" i="27"/>
  <c r="H114" i="27" s="1"/>
  <c r="C143" i="49"/>
  <c r="E153" i="49" s="1"/>
  <c r="E166" i="49" s="1"/>
  <c r="I149" i="49"/>
  <c r="I162" i="49" s="1"/>
  <c r="C219" i="55"/>
  <c r="D264" i="55" s="1"/>
  <c r="E49" i="103"/>
  <c r="E51" i="103"/>
  <c r="C55" i="103" s="1"/>
  <c r="C64" i="103" s="1"/>
  <c r="G59" i="103"/>
  <c r="G68" i="103" s="1"/>
  <c r="H95" i="103" s="1"/>
  <c r="D105" i="51"/>
  <c r="B109" i="51" s="1"/>
  <c r="J117" i="51"/>
  <c r="D103" i="51"/>
  <c r="C25" i="31"/>
  <c r="C31" i="31" s="1"/>
  <c r="C110" i="31" s="1"/>
  <c r="D143" i="31" s="1"/>
  <c r="E29" i="31"/>
  <c r="E108" i="31" s="1"/>
  <c r="F141" i="31" s="1"/>
  <c r="C106" i="79"/>
  <c r="C118" i="79" s="1"/>
  <c r="C296" i="79" s="1"/>
  <c r="D347" i="79" s="1"/>
  <c r="K110" i="79"/>
  <c r="K288" i="79" s="1"/>
  <c r="C205" i="105"/>
  <c r="H242" i="105" s="1"/>
  <c r="G242" i="105"/>
  <c r="E76" i="29"/>
  <c r="C80" i="29" s="1"/>
  <c r="C108" i="29" s="1"/>
  <c r="D141" i="29" s="1"/>
  <c r="E74" i="29"/>
  <c r="I86" i="29"/>
  <c r="I114" i="29" s="1"/>
  <c r="C86" i="43"/>
  <c r="I90" i="43" s="1"/>
  <c r="I160" i="43" s="1"/>
  <c r="C96" i="43"/>
  <c r="C166" i="43" s="1"/>
  <c r="D205" i="43" s="1"/>
  <c r="B179" i="55"/>
  <c r="L187" i="55" s="1"/>
  <c r="L223" i="55" s="1"/>
  <c r="F193" i="55"/>
  <c r="F229" i="55" s="1"/>
  <c r="C50" i="11"/>
  <c r="G54" i="11" s="1"/>
  <c r="G63" i="11" s="1"/>
  <c r="C58" i="11"/>
  <c r="C67" i="11" s="1"/>
  <c r="I350" i="75"/>
  <c r="G365" i="75"/>
  <c r="C95" i="67"/>
  <c r="E105" i="67" s="1"/>
  <c r="E225" i="67" s="1"/>
  <c r="I101" i="67"/>
  <c r="I221" i="67" s="1"/>
  <c r="E424" i="83"/>
  <c r="C442" i="83"/>
  <c r="D141" i="35"/>
  <c r="D143" i="35"/>
  <c r="F151" i="35" s="1"/>
  <c r="F164" i="35" s="1"/>
  <c r="J155" i="35"/>
  <c r="J168" i="35" s="1"/>
  <c r="G111" i="29"/>
  <c r="B28" i="35"/>
  <c r="B34" i="35" s="1"/>
  <c r="B161" i="35" s="1"/>
  <c r="C200" i="35" s="1"/>
  <c r="D32" i="35"/>
  <c r="D159" i="35" s="1"/>
  <c r="B53" i="63"/>
  <c r="B63" i="63" s="1"/>
  <c r="B225" i="63" s="1"/>
  <c r="C270" i="63" s="1"/>
  <c r="H57" i="63"/>
  <c r="H219" i="63" s="1"/>
  <c r="C117" i="59"/>
  <c r="K131" i="59" s="1"/>
  <c r="K230" i="59" s="1"/>
  <c r="M129" i="59"/>
  <c r="M228" i="59" s="1"/>
  <c r="K338" i="75"/>
  <c r="H399" i="75"/>
  <c r="D23" i="109"/>
  <c r="D25" i="109"/>
  <c r="D31" i="109" s="1"/>
  <c r="D110" i="109" s="1"/>
  <c r="E143" i="109" s="1"/>
  <c r="B29" i="109"/>
  <c r="C58" i="117"/>
  <c r="E66" i="117" s="1"/>
  <c r="E270" i="117" s="1"/>
  <c r="G64" i="117"/>
  <c r="G268" i="117" s="1"/>
  <c r="H313" i="117" s="1"/>
  <c r="D48" i="107"/>
  <c r="F56" i="107" s="1"/>
  <c r="D46" i="107"/>
  <c r="D54" i="107"/>
  <c r="E68" i="115"/>
  <c r="I78" i="115" s="1"/>
  <c r="I186" i="115" s="1"/>
  <c r="E66" i="115"/>
  <c r="B67" i="115"/>
  <c r="C72" i="115"/>
  <c r="J273" i="61"/>
  <c r="G286" i="61"/>
  <c r="H266" i="63"/>
  <c r="E319" i="63"/>
  <c r="B142" i="39"/>
  <c r="J150" i="39" s="1"/>
  <c r="J163" i="39" s="1"/>
  <c r="F154" i="39"/>
  <c r="F167" i="39" s="1"/>
  <c r="N269" i="71"/>
  <c r="K283" i="71"/>
  <c r="B205" i="143"/>
  <c r="H211" i="143" s="1"/>
  <c r="H268" i="143" s="1"/>
  <c r="D215" i="143"/>
  <c r="D272" i="143" s="1"/>
  <c r="E317" i="143" s="1"/>
  <c r="C40" i="83"/>
  <c r="C46" i="83" s="1"/>
  <c r="C365" i="83" s="1"/>
  <c r="D422" i="83" s="1"/>
  <c r="E44" i="83"/>
  <c r="E363" i="83" s="1"/>
  <c r="C205" i="93"/>
  <c r="I211" i="93" s="1"/>
  <c r="I268" i="93" s="1"/>
  <c r="E215" i="93"/>
  <c r="E272" i="93" s="1"/>
  <c r="E225" i="127"/>
  <c r="C236" i="127"/>
  <c r="J205" i="45"/>
  <c r="G216" i="45"/>
  <c r="L207" i="45"/>
  <c r="I218" i="45"/>
  <c r="B75" i="23"/>
  <c r="H79" i="23" s="1"/>
  <c r="H107" i="23" s="1"/>
  <c r="B85" i="23"/>
  <c r="B113" i="23" s="1"/>
  <c r="C146" i="23" s="1"/>
  <c r="L206" i="129"/>
  <c r="H216" i="129"/>
  <c r="K223" i="115"/>
  <c r="G234" i="115"/>
  <c r="K318" i="141"/>
  <c r="G330" i="141"/>
  <c r="C100" i="141"/>
  <c r="I108" i="141" s="1"/>
  <c r="I270" i="141" s="1"/>
  <c r="G110" i="141"/>
  <c r="G272" i="141" s="1"/>
  <c r="B198" i="75"/>
  <c r="L206" i="75" s="1"/>
  <c r="L292" i="75" s="1"/>
  <c r="F212" i="75"/>
  <c r="F298" i="75" s="1"/>
  <c r="C75" i="33"/>
  <c r="I79" i="33" s="1"/>
  <c r="I107" i="33" s="1"/>
  <c r="C85" i="33"/>
  <c r="C113" i="33" s="1"/>
  <c r="D146" i="33" s="1"/>
  <c r="C37" i="75"/>
  <c r="C43" i="75" s="1"/>
  <c r="C290" i="75" s="1"/>
  <c r="D341" i="75" s="1"/>
  <c r="E41" i="75"/>
  <c r="E288" i="75" s="1"/>
  <c r="J313" i="117"/>
  <c r="F327" i="117"/>
  <c r="B290" i="81"/>
  <c r="N298" i="81" s="1"/>
  <c r="N367" i="81" s="1"/>
  <c r="F306" i="81"/>
  <c r="F375" i="81" s="1"/>
  <c r="D76" i="137"/>
  <c r="D78" i="137"/>
  <c r="B82" i="137" s="1"/>
  <c r="H88" i="137"/>
  <c r="D33" i="71"/>
  <c r="D39" i="71" s="1"/>
  <c r="D31" i="71"/>
  <c r="B37" i="71"/>
  <c r="B220" i="71" s="1"/>
  <c r="C265" i="71" s="1"/>
  <c r="H316" i="131"/>
  <c r="F330" i="131"/>
  <c r="D91" i="13"/>
  <c r="D101" i="13"/>
  <c r="N333" i="97"/>
  <c r="K386" i="97"/>
  <c r="B201" i="55"/>
  <c r="L211" i="55" s="1"/>
  <c r="L226" i="55" s="1"/>
  <c r="H215" i="55"/>
  <c r="H230" i="55" s="1"/>
  <c r="D95" i="125"/>
  <c r="F103" i="125" s="1"/>
  <c r="D93" i="125"/>
  <c r="B99" i="125"/>
  <c r="C25" i="109"/>
  <c r="C31" i="109" s="1"/>
  <c r="C110" i="109" s="1"/>
  <c r="D143" i="109" s="1"/>
  <c r="E29" i="109"/>
  <c r="E108" i="109" s="1"/>
  <c r="F141" i="109" s="1"/>
  <c r="B160" i="133"/>
  <c r="D174" i="133" s="1"/>
  <c r="D252" i="133" s="1"/>
  <c r="L166" i="133"/>
  <c r="L244" i="133" s="1"/>
  <c r="C32" i="71"/>
  <c r="C38" i="71" s="1"/>
  <c r="C221" i="71" s="1"/>
  <c r="D266" i="71" s="1"/>
  <c r="E36" i="71"/>
  <c r="E219" i="71" s="1"/>
  <c r="G163" i="113"/>
  <c r="C171" i="113"/>
  <c r="C59" i="135"/>
  <c r="E67" i="135" s="1"/>
  <c r="E292" i="135" s="1"/>
  <c r="G65" i="135"/>
  <c r="G290" i="135" s="1"/>
  <c r="H335" i="135" s="1"/>
  <c r="B162" i="117"/>
  <c r="F176" i="117" s="1"/>
  <c r="F275" i="117" s="1"/>
  <c r="G320" i="117" s="1"/>
  <c r="L170" i="117"/>
  <c r="L269" i="117" s="1"/>
  <c r="F341" i="97"/>
  <c r="D354" i="97"/>
  <c r="J424" i="81"/>
  <c r="H442" i="81"/>
  <c r="C21" i="13"/>
  <c r="C27" i="13" s="1"/>
  <c r="C66" i="13" s="1"/>
  <c r="E25" i="13"/>
  <c r="E64" i="13" s="1"/>
  <c r="F91" i="13" s="1"/>
  <c r="C67" i="37"/>
  <c r="C77" i="37" s="1"/>
  <c r="C166" i="37" s="1"/>
  <c r="D205" i="37" s="1"/>
  <c r="I71" i="37"/>
  <c r="I160" i="37" s="1"/>
  <c r="C138" i="65"/>
  <c r="M146" i="65" s="1"/>
  <c r="M224" i="65" s="1"/>
  <c r="G152" i="65"/>
  <c r="G230" i="65" s="1"/>
  <c r="H275" i="65" s="1"/>
  <c r="K204" i="39"/>
  <c r="H215" i="39"/>
  <c r="D21" i="13"/>
  <c r="D27" i="13" s="1"/>
  <c r="D66" i="13" s="1"/>
  <c r="D19" i="13"/>
  <c r="B25" i="13"/>
  <c r="B64" i="13" s="1"/>
  <c r="K204" i="35"/>
  <c r="H215" i="35"/>
  <c r="L313" i="141"/>
  <c r="H363" i="141"/>
  <c r="C203" i="139"/>
  <c r="K217" i="139" s="1"/>
  <c r="K253" i="139" s="1"/>
  <c r="M215" i="139"/>
  <c r="M251" i="139" s="1"/>
  <c r="K426" i="81"/>
  <c r="I444" i="81"/>
  <c r="L273" i="65"/>
  <c r="I286" i="65"/>
  <c r="C53" i="59"/>
  <c r="E61" i="59" s="1"/>
  <c r="E223" i="59" s="1"/>
  <c r="G59" i="59"/>
  <c r="G221" i="59" s="1"/>
  <c r="C92" i="17"/>
  <c r="E102" i="17" s="1"/>
  <c r="E113" i="17" s="1"/>
  <c r="I98" i="17"/>
  <c r="I109" i="17" s="1"/>
  <c r="C31" i="89"/>
  <c r="C37" i="89" s="1"/>
  <c r="C183" i="89" s="1"/>
  <c r="D222" i="89" s="1"/>
  <c r="E35" i="89"/>
  <c r="E181" i="89" s="1"/>
  <c r="F272" i="71"/>
  <c r="D285" i="71"/>
  <c r="C246" i="141"/>
  <c r="G260" i="141" s="1"/>
  <c r="G275" i="141" s="1"/>
  <c r="M254" i="141"/>
  <c r="M269" i="141" s="1"/>
  <c r="C58" i="99"/>
  <c r="E66" i="99" s="1"/>
  <c r="E270" i="99" s="1"/>
  <c r="G64" i="99"/>
  <c r="G268" i="99" s="1"/>
  <c r="H313" i="99" s="1"/>
  <c r="J221" i="127"/>
  <c r="G233" i="127"/>
  <c r="B36" i="77"/>
  <c r="B42" i="77" s="1"/>
  <c r="B289" i="77" s="1"/>
  <c r="C340" i="77" s="1"/>
  <c r="D40" i="77"/>
  <c r="D287" i="77" s="1"/>
  <c r="C79" i="131"/>
  <c r="G89" i="131" s="1"/>
  <c r="G272" i="131" s="1"/>
  <c r="I87" i="131"/>
  <c r="I270" i="131" s="1"/>
  <c r="J315" i="131" s="1"/>
  <c r="I165" i="113"/>
  <c r="E173" i="113"/>
  <c r="E94" i="13"/>
  <c r="E120" i="13"/>
  <c r="F266" i="61"/>
  <c r="D280" i="61"/>
  <c r="D86" i="49"/>
  <c r="H96" i="49" s="1"/>
  <c r="D84" i="49"/>
  <c r="J98" i="49"/>
  <c r="J168" i="49" s="1"/>
  <c r="C117" i="63"/>
  <c r="K125" i="63" s="1"/>
  <c r="K224" i="63" s="1"/>
  <c r="G129" i="63"/>
  <c r="G228" i="63" s="1"/>
  <c r="N321" i="117"/>
  <c r="J333" i="117"/>
  <c r="D81" i="79"/>
  <c r="D83" i="79"/>
  <c r="H93" i="79" s="1"/>
  <c r="H294" i="79" s="1"/>
  <c r="F91" i="79"/>
  <c r="C97" i="133"/>
  <c r="K111" i="133" s="1"/>
  <c r="K252" i="133" s="1"/>
  <c r="M109" i="133"/>
  <c r="M250" i="133" s="1"/>
  <c r="J434" i="83"/>
  <c r="H451" i="83"/>
  <c r="D75" i="67"/>
  <c r="J87" i="67" s="1"/>
  <c r="J228" i="67" s="1"/>
  <c r="D73" i="67"/>
  <c r="F83" i="67"/>
  <c r="F224" i="67" s="1"/>
  <c r="I142" i="15"/>
  <c r="F152" i="15"/>
  <c r="G143" i="17"/>
  <c r="E153" i="17"/>
  <c r="D27" i="47"/>
  <c r="D29" i="47"/>
  <c r="D35" i="47" s="1"/>
  <c r="D162" i="47" s="1"/>
  <c r="B33" i="47"/>
  <c r="B160" i="47" s="1"/>
  <c r="C199" i="47" s="1"/>
  <c r="C37" i="93"/>
  <c r="C43" i="93" s="1"/>
  <c r="C268" i="93" s="1"/>
  <c r="D313" i="93" s="1"/>
  <c r="E41" i="93"/>
  <c r="E266" i="93" s="1"/>
  <c r="D105" i="37"/>
  <c r="F113" i="37" s="1"/>
  <c r="D103" i="37"/>
  <c r="J117" i="37"/>
  <c r="L312" i="131"/>
  <c r="I326" i="131"/>
  <c r="H271" i="143"/>
  <c r="H133" i="125"/>
  <c r="E339" i="97"/>
  <c r="C352" i="97"/>
  <c r="I344" i="79"/>
  <c r="G360" i="79"/>
  <c r="C86" i="37"/>
  <c r="I98" i="37" s="1"/>
  <c r="I168" i="37" s="1"/>
  <c r="K96" i="37"/>
  <c r="K166" i="37" s="1"/>
  <c r="I268" i="71"/>
  <c r="G282" i="71"/>
  <c r="E164" i="97"/>
  <c r="M178" i="97" s="1"/>
  <c r="M298" i="97" s="1"/>
  <c r="B163" i="97"/>
  <c r="E162" i="97"/>
  <c r="G172" i="97"/>
  <c r="G292" i="97" s="1"/>
  <c r="H337" i="97" s="1"/>
  <c r="D58" i="87"/>
  <c r="D60" i="87"/>
  <c r="H70" i="87" s="1"/>
  <c r="H132" i="87" s="1"/>
  <c r="F68" i="87"/>
  <c r="F130" i="87" s="1"/>
  <c r="G200" i="47"/>
  <c r="E212" i="47"/>
  <c r="N349" i="79"/>
  <c r="K364" i="79"/>
  <c r="C143" i="35"/>
  <c r="K151" i="35" s="1"/>
  <c r="K164" i="35" s="1"/>
  <c r="G155" i="35"/>
  <c r="G168" i="35" s="1"/>
  <c r="H207" i="35" s="1"/>
  <c r="G204" i="43"/>
  <c r="D215" i="43"/>
  <c r="L343" i="121"/>
  <c r="G354" i="121"/>
  <c r="J205" i="51"/>
  <c r="G216" i="51"/>
  <c r="B203" i="131"/>
  <c r="E202" i="131"/>
  <c r="E204" i="131"/>
  <c r="I214" i="131" s="1"/>
  <c r="I271" i="131" s="1"/>
  <c r="J316" i="131" s="1"/>
  <c r="M218" i="131"/>
  <c r="M275" i="131" s="1"/>
  <c r="D110" i="29"/>
  <c r="L274" i="61"/>
  <c r="I287" i="61"/>
  <c r="C27" i="95"/>
  <c r="C33" i="95" s="1"/>
  <c r="C129" i="95" s="1"/>
  <c r="D162" i="95" s="1"/>
  <c r="E31" i="95"/>
  <c r="E127" i="95" s="1"/>
  <c r="F160" i="95" s="1"/>
  <c r="B162" i="99"/>
  <c r="F176" i="99" s="1"/>
  <c r="F275" i="99" s="1"/>
  <c r="L170" i="99"/>
  <c r="L269" i="99" s="1"/>
  <c r="C93" i="27"/>
  <c r="C101" i="27" s="1"/>
  <c r="C112" i="27" s="1"/>
  <c r="D145" i="27" s="1"/>
  <c r="G97" i="27"/>
  <c r="G108" i="27" s="1"/>
  <c r="N337" i="135"/>
  <c r="K351" i="135"/>
  <c r="I146" i="109"/>
  <c r="C152" i="109"/>
  <c r="C184" i="119"/>
  <c r="C196" i="119" s="1"/>
  <c r="C274" i="119" s="1"/>
  <c r="D319" i="119" s="1"/>
  <c r="K188" i="119"/>
  <c r="K266" i="119" s="1"/>
  <c r="C180" i="61"/>
  <c r="E192" i="61" s="1"/>
  <c r="E228" i="61" s="1"/>
  <c r="K186" i="61"/>
  <c r="K222" i="61" s="1"/>
  <c r="D61" i="95"/>
  <c r="B65" i="95" s="1"/>
  <c r="D59" i="95"/>
  <c r="F69" i="95"/>
  <c r="F131" i="95" s="1"/>
  <c r="C116" i="59"/>
  <c r="K130" i="59" s="1"/>
  <c r="K229" i="59" s="1"/>
  <c r="M128" i="59"/>
  <c r="M227" i="59" s="1"/>
  <c r="D39" i="31"/>
  <c r="D41" i="31"/>
  <c r="F49" i="31" s="1"/>
  <c r="F111" i="31" s="1"/>
  <c r="B45" i="31"/>
  <c r="B107" i="31" s="1"/>
  <c r="C140" i="31" s="1"/>
  <c r="B21" i="9"/>
  <c r="B27" i="9" s="1"/>
  <c r="B66" i="9" s="1"/>
  <c r="D25" i="9"/>
  <c r="D64" i="9" s="1"/>
  <c r="D141" i="53"/>
  <c r="D143" i="53"/>
  <c r="F151" i="53" s="1"/>
  <c r="J155" i="53"/>
  <c r="E46" i="41"/>
  <c r="E48" i="41"/>
  <c r="G56" i="41" s="1"/>
  <c r="G164" i="41" s="1"/>
  <c r="H203" i="41" s="1"/>
  <c r="E54" i="41"/>
  <c r="E162" i="41" s="1"/>
  <c r="G202" i="39"/>
  <c r="E214" i="39"/>
  <c r="B205" i="93"/>
  <c r="H211" i="93" s="1"/>
  <c r="H268" i="93" s="1"/>
  <c r="D215" i="93"/>
  <c r="D272" i="93" s="1"/>
  <c r="B200" i="69"/>
  <c r="F214" i="69" s="1"/>
  <c r="F229" i="69" s="1"/>
  <c r="L208" i="69"/>
  <c r="L223" i="69" s="1"/>
  <c r="D77" i="139"/>
  <c r="H87" i="139" s="1"/>
  <c r="H249" i="139" s="1"/>
  <c r="D75" i="139"/>
  <c r="D83" i="139"/>
  <c r="B78" i="131"/>
  <c r="F88" i="131" s="1"/>
  <c r="F271" i="131" s="1"/>
  <c r="H86" i="131"/>
  <c r="H269" i="131" s="1"/>
  <c r="D203" i="117"/>
  <c r="D205" i="117"/>
  <c r="D211" i="117" s="1"/>
  <c r="H215" i="117"/>
  <c r="C57" i="99"/>
  <c r="E65" i="99" s="1"/>
  <c r="E269" i="99" s="1"/>
  <c r="G63" i="99"/>
  <c r="G267" i="99" s="1"/>
  <c r="H312" i="99" s="1"/>
  <c r="B89" i="91"/>
  <c r="B99" i="91" s="1"/>
  <c r="B207" i="91" s="1"/>
  <c r="C246" i="91" s="1"/>
  <c r="H93" i="91"/>
  <c r="H201" i="91" s="1"/>
  <c r="H225" i="57"/>
  <c r="H165" i="37"/>
  <c r="B59" i="121"/>
  <c r="D67" i="121" s="1"/>
  <c r="D292" i="121" s="1"/>
  <c r="F65" i="121"/>
  <c r="F290" i="121" s="1"/>
  <c r="G335" i="121" s="1"/>
  <c r="C58" i="29"/>
  <c r="G68" i="29" s="1"/>
  <c r="G113" i="29" s="1"/>
  <c r="I66" i="29"/>
  <c r="I111" i="29" s="1"/>
  <c r="J204" i="129"/>
  <c r="F214" i="129"/>
  <c r="B183" i="119"/>
  <c r="B195" i="119" s="1"/>
  <c r="B273" i="119" s="1"/>
  <c r="C318" i="119" s="1"/>
  <c r="J187" i="119"/>
  <c r="J265" i="119" s="1"/>
  <c r="E221" i="111"/>
  <c r="F266" i="111" s="1"/>
  <c r="D77" i="141"/>
  <c r="D79" i="141"/>
  <c r="J91" i="141" s="1"/>
  <c r="J274" i="141" s="1"/>
  <c r="D85" i="141"/>
  <c r="C221" i="77"/>
  <c r="M237" i="77" s="1"/>
  <c r="M300" i="77" s="1"/>
  <c r="O235" i="77"/>
  <c r="O298" i="77" s="1"/>
  <c r="B57" i="117"/>
  <c r="D65" i="117" s="1"/>
  <c r="D269" i="117" s="1"/>
  <c r="F63" i="117"/>
  <c r="F267" i="117" s="1"/>
  <c r="G312" i="117" s="1"/>
  <c r="C66" i="81"/>
  <c r="E74" i="81" s="1"/>
  <c r="E368" i="81" s="1"/>
  <c r="G72" i="81"/>
  <c r="G366" i="81" s="1"/>
  <c r="C198" i="77"/>
  <c r="M206" i="77" s="1"/>
  <c r="M292" i="77" s="1"/>
  <c r="G212" i="77"/>
  <c r="G298" i="77" s="1"/>
  <c r="B74" i="61"/>
  <c r="B84" i="61" s="1"/>
  <c r="B225" i="61" s="1"/>
  <c r="C270" i="61" s="1"/>
  <c r="H78" i="61"/>
  <c r="H219" i="61" s="1"/>
  <c r="D221" i="111"/>
  <c r="D98" i="141"/>
  <c r="D100" i="141"/>
  <c r="F108" i="141" s="1"/>
  <c r="H110" i="141"/>
  <c r="C185" i="121"/>
  <c r="C197" i="121" s="1"/>
  <c r="C296" i="121" s="1"/>
  <c r="D341" i="121" s="1"/>
  <c r="K189" i="121"/>
  <c r="K288" i="121" s="1"/>
  <c r="I434" i="83"/>
  <c r="G451" i="83"/>
  <c r="B59" i="79"/>
  <c r="D67" i="79" s="1"/>
  <c r="D291" i="79" s="1"/>
  <c r="F65" i="79"/>
  <c r="F289" i="79" s="1"/>
  <c r="B50" i="5"/>
  <c r="F54" i="5" s="1"/>
  <c r="F63" i="5" s="1"/>
  <c r="G90" i="5" s="1"/>
  <c r="B58" i="5"/>
  <c r="B67" i="5" s="1"/>
  <c r="C143" i="37"/>
  <c r="E155" i="37" s="1"/>
  <c r="E168" i="37" s="1"/>
  <c r="K149" i="37"/>
  <c r="K162" i="37" s="1"/>
  <c r="E222" i="59"/>
  <c r="B138" i="67"/>
  <c r="F148" i="67" s="1"/>
  <c r="F226" i="67" s="1"/>
  <c r="H146" i="67"/>
  <c r="H224" i="67" s="1"/>
  <c r="D122" i="45"/>
  <c r="D124" i="45"/>
  <c r="J136" i="45" s="1"/>
  <c r="J168" i="45" s="1"/>
  <c r="H134" i="45"/>
  <c r="C143" i="121"/>
  <c r="E155" i="121" s="1"/>
  <c r="E296" i="121" s="1"/>
  <c r="F341" i="121" s="1"/>
  <c r="K149" i="121"/>
  <c r="K290" i="121" s="1"/>
  <c r="E290" i="121"/>
  <c r="F335" i="121" s="1"/>
  <c r="B390" i="143"/>
  <c r="D37" i="131"/>
  <c r="D43" i="131" s="1"/>
  <c r="D35" i="131"/>
  <c r="B41" i="131"/>
  <c r="D221" i="73"/>
  <c r="L310" i="117"/>
  <c r="H360" i="117"/>
  <c r="C162" i="93"/>
  <c r="G176" i="93" s="1"/>
  <c r="G275" i="93" s="1"/>
  <c r="H320" i="93" s="1"/>
  <c r="M170" i="93"/>
  <c r="M269" i="93" s="1"/>
  <c r="C57" i="143"/>
  <c r="E65" i="143" s="1"/>
  <c r="E269" i="143" s="1"/>
  <c r="F314" i="143" s="1"/>
  <c r="G63" i="143"/>
  <c r="G267" i="143" s="1"/>
  <c r="H312" i="143" s="1"/>
  <c r="F274" i="57"/>
  <c r="D287" i="57"/>
  <c r="I163" i="85"/>
  <c r="F172" i="85"/>
  <c r="B107" i="115"/>
  <c r="H119" i="115" s="1"/>
  <c r="H189" i="115" s="1"/>
  <c r="J117" i="115"/>
  <c r="J187" i="115" s="1"/>
  <c r="F163" i="37"/>
  <c r="H271" i="93"/>
  <c r="D116" i="67"/>
  <c r="L130" i="67" s="1"/>
  <c r="L229" i="67" s="1"/>
  <c r="D114" i="67"/>
  <c r="H126" i="67"/>
  <c r="H225" i="67" s="1"/>
  <c r="L275" i="55"/>
  <c r="I288" i="55"/>
  <c r="D129" i="79"/>
  <c r="D135" i="79" s="1"/>
  <c r="D127" i="79"/>
  <c r="J141" i="79"/>
  <c r="J198" i="35"/>
  <c r="G243" i="35"/>
  <c r="G221" i="127"/>
  <c r="E233" i="127"/>
  <c r="J270" i="61"/>
  <c r="G283" i="61"/>
  <c r="B26" i="137"/>
  <c r="B32" i="137" s="1"/>
  <c r="B128" i="137" s="1"/>
  <c r="C161" i="137" s="1"/>
  <c r="D30" i="137"/>
  <c r="D126" i="137" s="1"/>
  <c r="E159" i="137" s="1"/>
  <c r="B48" i="53"/>
  <c r="D56" i="53" s="1"/>
  <c r="D164" i="53" s="1"/>
  <c r="F54" i="53"/>
  <c r="F162" i="53" s="1"/>
  <c r="L241" i="91"/>
  <c r="I286" i="91"/>
  <c r="C75" i="55"/>
  <c r="G85" i="55" s="1"/>
  <c r="G226" i="55" s="1"/>
  <c r="I83" i="55"/>
  <c r="I224" i="55" s="1"/>
  <c r="J269" i="55" s="1"/>
  <c r="H187" i="89"/>
  <c r="F202" i="35"/>
  <c r="D214" i="35"/>
  <c r="L221" i="89"/>
  <c r="I233" i="89"/>
  <c r="B96" i="61"/>
  <c r="H108" i="61" s="1"/>
  <c r="H228" i="61" s="1"/>
  <c r="J106" i="61"/>
  <c r="J226" i="61" s="1"/>
  <c r="N320" i="119"/>
  <c r="J332" i="119"/>
  <c r="C105" i="107"/>
  <c r="I117" i="107" s="1"/>
  <c r="I168" i="107" s="1"/>
  <c r="K115" i="107"/>
  <c r="K166" i="107" s="1"/>
  <c r="C53" i="111"/>
  <c r="E61" i="111" s="1"/>
  <c r="E223" i="111" s="1"/>
  <c r="F268" i="111" s="1"/>
  <c r="G59" i="111"/>
  <c r="G221" i="111" s="1"/>
  <c r="H266" i="111" s="1"/>
  <c r="D265" i="77"/>
  <c r="D267" i="77"/>
  <c r="H277" i="77" s="1"/>
  <c r="N283" i="77"/>
  <c r="L338" i="77"/>
  <c r="I399" i="77"/>
  <c r="P423" i="83"/>
  <c r="M441" i="83"/>
  <c r="K264" i="71"/>
  <c r="H317" i="71"/>
  <c r="D109" i="23"/>
  <c r="E142" i="23" s="1"/>
  <c r="B75" i="19"/>
  <c r="H83" i="19" s="1"/>
  <c r="H111" i="19" s="1"/>
  <c r="F85" i="19"/>
  <c r="F113" i="19" s="1"/>
  <c r="C76" i="23"/>
  <c r="I80" i="23" s="1"/>
  <c r="I108" i="23" s="1"/>
  <c r="C86" i="23"/>
  <c r="C114" i="23" s="1"/>
  <c r="D147" i="23" s="1"/>
  <c r="D59" i="15"/>
  <c r="D65" i="15" s="1"/>
  <c r="D110" i="15" s="1"/>
  <c r="D57" i="15"/>
  <c r="F67" i="15"/>
  <c r="B42" i="19"/>
  <c r="D50" i="19" s="1"/>
  <c r="D112" i="19" s="1"/>
  <c r="F48" i="19"/>
  <c r="F110" i="19" s="1"/>
  <c r="L229" i="71"/>
  <c r="B42" i="25"/>
  <c r="D50" i="25" s="1"/>
  <c r="D112" i="25" s="1"/>
  <c r="E145" i="25" s="1"/>
  <c r="F48" i="25"/>
  <c r="F110" i="25" s="1"/>
  <c r="D186" i="135"/>
  <c r="J198" i="135" s="1"/>
  <c r="D184" i="135"/>
  <c r="B190" i="135"/>
  <c r="D178" i="111"/>
  <c r="D180" i="111"/>
  <c r="J192" i="111" s="1"/>
  <c r="B184" i="111"/>
  <c r="D29" i="45"/>
  <c r="D35" i="45" s="1"/>
  <c r="D162" i="45" s="1"/>
  <c r="D27" i="45"/>
  <c r="B33" i="45"/>
  <c r="D180" i="133"/>
  <c r="D182" i="133"/>
  <c r="F190" i="133" s="1"/>
  <c r="L196" i="133"/>
  <c r="F272" i="65"/>
  <c r="D285" i="65"/>
  <c r="D84" i="53"/>
  <c r="D86" i="53"/>
  <c r="D92" i="53" s="1"/>
  <c r="D162" i="53" s="1"/>
  <c r="H96" i="53"/>
  <c r="D119" i="131"/>
  <c r="D121" i="131"/>
  <c r="J133" i="131" s="1"/>
  <c r="B125" i="131"/>
  <c r="D124" i="115"/>
  <c r="D126" i="115"/>
  <c r="J138" i="115" s="1"/>
  <c r="D132" i="115"/>
  <c r="K295" i="139"/>
  <c r="G307" i="139"/>
  <c r="B90" i="83"/>
  <c r="F100" i="83" s="1"/>
  <c r="F369" i="83" s="1"/>
  <c r="H98" i="83"/>
  <c r="H367" i="83" s="1"/>
  <c r="C75" i="27"/>
  <c r="I79" i="27" s="1"/>
  <c r="I107" i="27" s="1"/>
  <c r="C85" i="27"/>
  <c r="C113" i="27" s="1"/>
  <c r="D146" i="27" s="1"/>
  <c r="E221" i="55"/>
  <c r="G260" i="2"/>
  <c r="H140" i="21"/>
  <c r="E177" i="21"/>
  <c r="C104" i="51"/>
  <c r="K108" i="51" s="1"/>
  <c r="K159" i="51" s="1"/>
  <c r="C116" i="51"/>
  <c r="C167" i="51" s="1"/>
  <c r="D206" i="51" s="1"/>
  <c r="R424" i="81"/>
  <c r="O442" i="81"/>
  <c r="E75" i="65"/>
  <c r="I85" i="65" s="1"/>
  <c r="I226" i="65" s="1"/>
  <c r="E73" i="65"/>
  <c r="C79" i="65"/>
  <c r="C220" i="65" s="1"/>
  <c r="D265" i="65" s="1"/>
  <c r="C42" i="33"/>
  <c r="E50" i="33" s="1"/>
  <c r="E112" i="33" s="1"/>
  <c r="G48" i="33"/>
  <c r="G110" i="33" s="1"/>
  <c r="H143" i="33" s="1"/>
  <c r="B159" i="51"/>
  <c r="C198" i="51" s="1"/>
  <c r="J167" i="41"/>
  <c r="D49" i="11"/>
  <c r="D51" i="11"/>
  <c r="B55" i="11" s="1"/>
  <c r="F59" i="11"/>
  <c r="I291" i="3"/>
  <c r="I292" i="3"/>
  <c r="I257" i="3"/>
  <c r="I258" i="3"/>
  <c r="I294" i="3"/>
  <c r="B166" i="91"/>
  <c r="D178" i="91" s="1"/>
  <c r="J172" i="91"/>
  <c r="C159" i="71"/>
  <c r="E171" i="71" s="1"/>
  <c r="E228" i="71" s="1"/>
  <c r="K165" i="71"/>
  <c r="K222" i="71" s="1"/>
  <c r="O344" i="75"/>
  <c r="L360" i="75"/>
  <c r="I140" i="21"/>
  <c r="F177" i="21"/>
  <c r="C41" i="29"/>
  <c r="E49" i="29" s="1"/>
  <c r="E111" i="29" s="1"/>
  <c r="F144" i="29" s="1"/>
  <c r="G47" i="29"/>
  <c r="G109" i="29" s="1"/>
  <c r="F111" i="29"/>
  <c r="H340" i="77"/>
  <c r="F356" i="77"/>
  <c r="B78" i="117"/>
  <c r="H90" i="117" s="1"/>
  <c r="H273" i="117" s="1"/>
  <c r="J88" i="117"/>
  <c r="J271" i="117" s="1"/>
  <c r="E31" i="127"/>
  <c r="E37" i="127" s="1"/>
  <c r="E183" i="127" s="1"/>
  <c r="E29" i="127"/>
  <c r="C35" i="127"/>
  <c r="C181" i="127" s="1"/>
  <c r="D220" i="127" s="1"/>
  <c r="C20" i="103"/>
  <c r="C26" i="103" s="1"/>
  <c r="C65" i="103" s="1"/>
  <c r="E24" i="103"/>
  <c r="E63" i="103" s="1"/>
  <c r="F90" i="103" s="1"/>
  <c r="C112" i="125"/>
  <c r="E122" i="125" s="1"/>
  <c r="E133" i="125" s="1"/>
  <c r="F166" i="125" s="1"/>
  <c r="I118" i="125"/>
  <c r="I129" i="125" s="1"/>
  <c r="D79" i="117"/>
  <c r="J91" i="117" s="1"/>
  <c r="D77" i="117"/>
  <c r="H89" i="117"/>
  <c r="L228" i="115"/>
  <c r="H238" i="115"/>
  <c r="E124" i="41"/>
  <c r="I134" i="41" s="1"/>
  <c r="I166" i="41" s="1"/>
  <c r="E122" i="41"/>
  <c r="E130" i="41"/>
  <c r="J273" i="65"/>
  <c r="G286" i="65"/>
  <c r="F202" i="43"/>
  <c r="C213" i="43"/>
  <c r="M420" i="83"/>
  <c r="J489" i="83"/>
  <c r="R427" i="83"/>
  <c r="O445" i="83"/>
  <c r="B179" i="61"/>
  <c r="D191" i="61" s="1"/>
  <c r="D227" i="61" s="1"/>
  <c r="J185" i="61"/>
  <c r="J221" i="61" s="1"/>
  <c r="F265" i="55"/>
  <c r="D318" i="55"/>
  <c r="G142" i="27"/>
  <c r="D152" i="27"/>
  <c r="F142" i="33"/>
  <c r="D152" i="33"/>
  <c r="C44" i="113"/>
  <c r="E52" i="113" s="1"/>
  <c r="E131" i="113" s="1"/>
  <c r="F164" i="113" s="1"/>
  <c r="G50" i="113"/>
  <c r="G129" i="113" s="1"/>
  <c r="L230" i="65"/>
  <c r="C202" i="139"/>
  <c r="K216" i="139" s="1"/>
  <c r="K252" i="139" s="1"/>
  <c r="M214" i="139"/>
  <c r="M250" i="139" s="1"/>
  <c r="C270" i="97"/>
  <c r="C284" i="97" s="1"/>
  <c r="C299" i="97" s="1"/>
  <c r="D344" i="97" s="1"/>
  <c r="M274" i="97"/>
  <c r="M289" i="97" s="1"/>
  <c r="L335" i="97"/>
  <c r="I349" i="97"/>
  <c r="B124" i="39"/>
  <c r="H130" i="39" s="1"/>
  <c r="H162" i="39" s="1"/>
  <c r="D134" i="39"/>
  <c r="D166" i="39" s="1"/>
  <c r="C77" i="137"/>
  <c r="I81" i="137" s="1"/>
  <c r="I126" i="137" s="1"/>
  <c r="C87" i="137"/>
  <c r="C132" i="137" s="1"/>
  <c r="D165" i="137" s="1"/>
  <c r="G318" i="141"/>
  <c r="C330" i="141"/>
  <c r="N319" i="93"/>
  <c r="K332" i="93"/>
  <c r="B57" i="119"/>
  <c r="D65" i="119" s="1"/>
  <c r="D269" i="119" s="1"/>
  <c r="F63" i="119"/>
  <c r="F267" i="119" s="1"/>
  <c r="D58" i="135"/>
  <c r="D60" i="135"/>
  <c r="F68" i="135" s="1"/>
  <c r="F293" i="135" s="1"/>
  <c r="D66" i="135"/>
  <c r="I426" i="81"/>
  <c r="G444" i="81"/>
  <c r="L316" i="119"/>
  <c r="H328" i="119"/>
  <c r="C105" i="45"/>
  <c r="C113" i="45" s="1"/>
  <c r="C164" i="45" s="1"/>
  <c r="D203" i="45" s="1"/>
  <c r="G109" i="45"/>
  <c r="G160" i="45" s="1"/>
  <c r="L314" i="143"/>
  <c r="F358" i="143"/>
  <c r="B144" i="97"/>
  <c r="D156" i="97" s="1"/>
  <c r="D297" i="97" s="1"/>
  <c r="J150" i="97"/>
  <c r="J291" i="97" s="1"/>
  <c r="H271" i="73"/>
  <c r="F319" i="73"/>
  <c r="C186" i="121"/>
  <c r="C198" i="121" s="1"/>
  <c r="C297" i="121" s="1"/>
  <c r="D342" i="121" s="1"/>
  <c r="K190" i="121"/>
  <c r="K289" i="121" s="1"/>
  <c r="F222" i="89"/>
  <c r="D234" i="89"/>
  <c r="K268" i="69"/>
  <c r="H281" i="69"/>
  <c r="I272" i="131"/>
  <c r="J317" i="131" s="1"/>
  <c r="C264" i="2"/>
  <c r="A264" i="2"/>
  <c r="M276" i="2" s="1"/>
  <c r="J264" i="2"/>
  <c r="I264" i="2"/>
  <c r="K264" i="2"/>
  <c r="F264" i="2"/>
  <c r="E264" i="2"/>
  <c r="D264" i="2"/>
  <c r="H264" i="2"/>
  <c r="G264" i="2"/>
  <c r="F223" i="71"/>
  <c r="G202" i="41"/>
  <c r="E214" i="41"/>
  <c r="J204" i="49"/>
  <c r="G215" i="49"/>
  <c r="M274" i="63"/>
  <c r="J287" i="63"/>
  <c r="P345" i="79"/>
  <c r="M401" i="79"/>
  <c r="M333" i="121"/>
  <c r="H380" i="121"/>
  <c r="E145" i="17"/>
  <c r="C179" i="17"/>
  <c r="C122" i="135"/>
  <c r="C132" i="135" s="1"/>
  <c r="C294" i="135" s="1"/>
  <c r="D339" i="135" s="1"/>
  <c r="I126" i="135"/>
  <c r="I288" i="135" s="1"/>
  <c r="C137" i="111"/>
  <c r="E149" i="111" s="1"/>
  <c r="E227" i="111" s="1"/>
  <c r="F272" i="111" s="1"/>
  <c r="K143" i="111"/>
  <c r="K221" i="111" s="1"/>
  <c r="I335" i="97"/>
  <c r="F349" i="97"/>
  <c r="L207" i="37"/>
  <c r="I218" i="37"/>
  <c r="G270" i="71"/>
  <c r="E284" i="71"/>
  <c r="D162" i="97"/>
  <c r="D164" i="97"/>
  <c r="L178" i="97" s="1"/>
  <c r="L298" i="97" s="1"/>
  <c r="F172" i="97"/>
  <c r="F292" i="97" s="1"/>
  <c r="B190" i="81"/>
  <c r="N208" i="81" s="1"/>
  <c r="N377" i="81" s="1"/>
  <c r="P206" i="81"/>
  <c r="P375" i="81" s="1"/>
  <c r="C76" i="31"/>
  <c r="I84" i="31" s="1"/>
  <c r="I112" i="31" s="1"/>
  <c r="G86" i="31"/>
  <c r="G114" i="31" s="1"/>
  <c r="D114" i="111"/>
  <c r="D116" i="111"/>
  <c r="H126" i="111" s="1"/>
  <c r="H225" i="111" s="1"/>
  <c r="B120" i="111"/>
  <c r="B219" i="111" s="1"/>
  <c r="C264" i="111" s="1"/>
  <c r="C67" i="51"/>
  <c r="G77" i="51" s="1"/>
  <c r="G166" i="51" s="1"/>
  <c r="I75" i="51"/>
  <c r="I164" i="51" s="1"/>
  <c r="L317" i="119"/>
  <c r="H329" i="119"/>
  <c r="B25" i="29"/>
  <c r="B31" i="29" s="1"/>
  <c r="B110" i="29" s="1"/>
  <c r="C143" i="29" s="1"/>
  <c r="D29" i="29"/>
  <c r="D108" i="29" s="1"/>
  <c r="C140" i="139"/>
  <c r="E148" i="139" s="1"/>
  <c r="E247" i="139" s="1"/>
  <c r="F292" i="139" s="1"/>
  <c r="G146" i="139"/>
  <c r="G245" i="139" s="1"/>
  <c r="C180" i="57"/>
  <c r="I194" i="57" s="1"/>
  <c r="I230" i="57" s="1"/>
  <c r="J275" i="57" s="1"/>
  <c r="M190" i="57"/>
  <c r="M226" i="57" s="1"/>
  <c r="G293" i="97"/>
  <c r="H338" i="97" s="1"/>
  <c r="F264" i="63"/>
  <c r="C317" i="63"/>
  <c r="B125" i="89"/>
  <c r="D137" i="89" s="1"/>
  <c r="D188" i="89" s="1"/>
  <c r="J131" i="89"/>
  <c r="J182" i="89" s="1"/>
  <c r="D105" i="47"/>
  <c r="F113" i="47" s="1"/>
  <c r="F164" i="47" s="1"/>
  <c r="D103" i="47"/>
  <c r="J117" i="47"/>
  <c r="L275" i="99"/>
  <c r="B122" i="135"/>
  <c r="B132" i="135" s="1"/>
  <c r="B294" i="135" s="1"/>
  <c r="C339" i="135" s="1"/>
  <c r="H126" i="135"/>
  <c r="H288" i="135" s="1"/>
  <c r="B144" i="127"/>
  <c r="D156" i="127" s="1"/>
  <c r="D188" i="127" s="1"/>
  <c r="J150" i="127"/>
  <c r="J182" i="127" s="1"/>
  <c r="F340" i="75"/>
  <c r="D356" i="75"/>
  <c r="C165" i="135"/>
  <c r="G179" i="135" s="1"/>
  <c r="G299" i="135" s="1"/>
  <c r="H344" i="135" s="1"/>
  <c r="M173" i="135"/>
  <c r="M293" i="135" s="1"/>
  <c r="N274" i="59"/>
  <c r="K287" i="59"/>
  <c r="C93" i="29"/>
  <c r="E103" i="29" s="1"/>
  <c r="E114" i="29" s="1"/>
  <c r="F147" i="29" s="1"/>
  <c r="I99" i="29"/>
  <c r="I110" i="29" s="1"/>
  <c r="E165" i="97"/>
  <c r="M179" i="97" s="1"/>
  <c r="M299" i="97" s="1"/>
  <c r="E163" i="97"/>
  <c r="G173" i="97"/>
  <c r="E93" i="9"/>
  <c r="E119" i="9"/>
  <c r="B159" i="47"/>
  <c r="C198" i="47" s="1"/>
  <c r="H351" i="75"/>
  <c r="F366" i="75"/>
  <c r="K227" i="127"/>
  <c r="H238" i="127"/>
  <c r="I248" i="139"/>
  <c r="C123" i="135"/>
  <c r="C133" i="135" s="1"/>
  <c r="C295" i="135" s="1"/>
  <c r="D340" i="135" s="1"/>
  <c r="I127" i="135"/>
  <c r="I289" i="135" s="1"/>
  <c r="H271" i="131"/>
  <c r="C86" i="129"/>
  <c r="I92" i="129" s="1"/>
  <c r="I162" i="129" s="1"/>
  <c r="E96" i="129"/>
  <c r="E166" i="129" s="1"/>
  <c r="F205" i="129" s="1"/>
  <c r="J310" i="119"/>
  <c r="F360" i="119"/>
  <c r="D56" i="99"/>
  <c r="D58" i="99"/>
  <c r="F66" i="99" s="1"/>
  <c r="F270" i="99" s="1"/>
  <c r="D64" i="99"/>
  <c r="D268" i="99" s="1"/>
  <c r="B60" i="95"/>
  <c r="F64" i="95" s="1"/>
  <c r="F126" i="95" s="1"/>
  <c r="B68" i="95"/>
  <c r="B130" i="95" s="1"/>
  <c r="C163" i="95" s="1"/>
  <c r="B75" i="105"/>
  <c r="H79" i="105" s="1"/>
  <c r="H107" i="105" s="1"/>
  <c r="B85" i="105"/>
  <c r="B113" i="105" s="1"/>
  <c r="C146" i="105" s="1"/>
  <c r="G163" i="49"/>
  <c r="H202" i="49" s="1"/>
  <c r="C152" i="75"/>
  <c r="K166" i="75" s="1"/>
  <c r="K298" i="75" s="1"/>
  <c r="M164" i="75"/>
  <c r="M296" i="75" s="1"/>
  <c r="B66" i="37"/>
  <c r="B76" i="37" s="1"/>
  <c r="B165" i="37" s="1"/>
  <c r="C204" i="37" s="1"/>
  <c r="H70" i="37"/>
  <c r="H159" i="37" s="1"/>
  <c r="L227" i="89"/>
  <c r="I238" i="89"/>
  <c r="B92" i="23"/>
  <c r="D102" i="23" s="1"/>
  <c r="D113" i="23" s="1"/>
  <c r="E146" i="23" s="1"/>
  <c r="H98" i="23"/>
  <c r="H109" i="23" s="1"/>
  <c r="C94" i="85"/>
  <c r="C102" i="85" s="1"/>
  <c r="C130" i="85" s="1"/>
  <c r="D163" i="85" s="1"/>
  <c r="G98" i="85"/>
  <c r="G126" i="85" s="1"/>
  <c r="D57" i="29"/>
  <c r="D59" i="29"/>
  <c r="H69" i="29" s="1"/>
  <c r="F67" i="29"/>
  <c r="B95" i="87"/>
  <c r="B103" i="87" s="1"/>
  <c r="B131" i="87" s="1"/>
  <c r="C164" i="87" s="1"/>
  <c r="F99" i="87"/>
  <c r="F127" i="87" s="1"/>
  <c r="D84" i="129"/>
  <c r="D86" i="129"/>
  <c r="D92" i="129" s="1"/>
  <c r="H96" i="129"/>
  <c r="G142" i="105"/>
  <c r="C176" i="105"/>
  <c r="C32" i="111"/>
  <c r="C38" i="111" s="1"/>
  <c r="C221" i="111" s="1"/>
  <c r="D266" i="111" s="1"/>
  <c r="E36" i="111"/>
  <c r="E219" i="111" s="1"/>
  <c r="F264" i="111" s="1"/>
  <c r="B48" i="129"/>
  <c r="D56" i="129" s="1"/>
  <c r="D164" i="129" s="1"/>
  <c r="F54" i="129"/>
  <c r="F162" i="129" s="1"/>
  <c r="M275" i="143"/>
  <c r="B105" i="43"/>
  <c r="D115" i="43" s="1"/>
  <c r="D166" i="43" s="1"/>
  <c r="E205" i="43" s="1"/>
  <c r="H111" i="43"/>
  <c r="H162" i="43" s="1"/>
  <c r="C78" i="141"/>
  <c r="E90" i="141" s="1"/>
  <c r="E273" i="141" s="1"/>
  <c r="F318" i="141" s="1"/>
  <c r="K84" i="141"/>
  <c r="K267" i="141" s="1"/>
  <c r="C75" i="21"/>
  <c r="G81" i="21" s="1"/>
  <c r="G109" i="21" s="1"/>
  <c r="E83" i="21"/>
  <c r="E111" i="21" s="1"/>
  <c r="F144" i="21" s="1"/>
  <c r="F269" i="117"/>
  <c r="G314" i="117" s="1"/>
  <c r="G368" i="81"/>
  <c r="B92" i="29"/>
  <c r="D102" i="29" s="1"/>
  <c r="D113" i="29" s="1"/>
  <c r="H98" i="29"/>
  <c r="H109" i="29" s="1"/>
  <c r="G259" i="2"/>
  <c r="J120" i="55"/>
  <c r="J219" i="55" s="1"/>
  <c r="B116" i="55"/>
  <c r="B128" i="55" s="1"/>
  <c r="B227" i="55" s="1"/>
  <c r="C272" i="55" s="1"/>
  <c r="B54" i="61"/>
  <c r="D62" i="61" s="1"/>
  <c r="D224" i="61" s="1"/>
  <c r="F60" i="61"/>
  <c r="F222" i="61" s="1"/>
  <c r="I165" i="53"/>
  <c r="H225" i="61"/>
  <c r="B142" i="135"/>
  <c r="E143" i="135"/>
  <c r="K155" i="135" s="1"/>
  <c r="K296" i="135" s="1"/>
  <c r="E141" i="135"/>
  <c r="E149" i="135"/>
  <c r="E290" i="135" s="1"/>
  <c r="G292" i="123"/>
  <c r="H337" i="123" s="1"/>
  <c r="G269" i="141"/>
  <c r="D184" i="121"/>
  <c r="D186" i="121"/>
  <c r="J198" i="121" s="1"/>
  <c r="B190" i="121"/>
  <c r="Q426" i="83"/>
  <c r="N444" i="83"/>
  <c r="B43" i="87"/>
  <c r="D51" i="87" s="1"/>
  <c r="D130" i="87" s="1"/>
  <c r="F49" i="87"/>
  <c r="F128" i="87" s="1"/>
  <c r="J142" i="15"/>
  <c r="G152" i="15"/>
  <c r="F291" i="79"/>
  <c r="G342" i="75"/>
  <c r="E358" i="75"/>
  <c r="C25" i="17"/>
  <c r="C31" i="17" s="1"/>
  <c r="C110" i="17" s="1"/>
  <c r="D143" i="17" s="1"/>
  <c r="E29" i="17"/>
  <c r="E108" i="17" s="1"/>
  <c r="C65" i="81"/>
  <c r="E73" i="81" s="1"/>
  <c r="E367" i="81" s="1"/>
  <c r="G71" i="81"/>
  <c r="G365" i="81" s="1"/>
  <c r="B24" i="21"/>
  <c r="B30" i="21" s="1"/>
  <c r="B109" i="21" s="1"/>
  <c r="C142" i="21" s="1"/>
  <c r="D28" i="21"/>
  <c r="D107" i="21" s="1"/>
  <c r="J228" i="55"/>
  <c r="B53" i="73"/>
  <c r="D61" i="73" s="1"/>
  <c r="D223" i="73" s="1"/>
  <c r="F59" i="73"/>
  <c r="F221" i="73" s="1"/>
  <c r="L206" i="45"/>
  <c r="I217" i="45"/>
  <c r="C111" i="85"/>
  <c r="E121" i="85" s="1"/>
  <c r="E132" i="85" s="1"/>
  <c r="F165" i="85" s="1"/>
  <c r="I117" i="85"/>
  <c r="I128" i="85" s="1"/>
  <c r="D142" i="121"/>
  <c r="D144" i="121"/>
  <c r="J156" i="121" s="1"/>
  <c r="D150" i="121"/>
  <c r="C36" i="131"/>
  <c r="C42" i="131" s="1"/>
  <c r="C267" i="131" s="1"/>
  <c r="D312" i="131" s="1"/>
  <c r="E40" i="131"/>
  <c r="E265" i="131" s="1"/>
  <c r="B32" i="73"/>
  <c r="B38" i="73" s="1"/>
  <c r="B221" i="73" s="1"/>
  <c r="C266" i="73" s="1"/>
  <c r="D36" i="73"/>
  <c r="D219" i="73" s="1"/>
  <c r="D161" i="93"/>
  <c r="D163" i="93"/>
  <c r="L177" i="93" s="1"/>
  <c r="L276" i="93" s="1"/>
  <c r="F171" i="93"/>
  <c r="B164" i="123"/>
  <c r="F178" i="123" s="1"/>
  <c r="F298" i="123" s="1"/>
  <c r="G343" i="123" s="1"/>
  <c r="L172" i="123"/>
  <c r="L292" i="123" s="1"/>
  <c r="G165" i="85"/>
  <c r="D174" i="85"/>
  <c r="J189" i="115"/>
  <c r="E114" i="67"/>
  <c r="E116" i="67"/>
  <c r="M130" i="67" s="1"/>
  <c r="M229" i="67" s="1"/>
  <c r="B115" i="67"/>
  <c r="I126" i="67"/>
  <c r="I225" i="67" s="1"/>
  <c r="B53" i="55"/>
  <c r="D61" i="55" s="1"/>
  <c r="D223" i="55" s="1"/>
  <c r="F59" i="55"/>
  <c r="F221" i="55" s="1"/>
  <c r="F333" i="135"/>
  <c r="D386" i="135"/>
  <c r="C128" i="79"/>
  <c r="K134" i="79" s="1"/>
  <c r="K289" i="79" s="1"/>
  <c r="E140" i="79"/>
  <c r="E295" i="79" s="1"/>
  <c r="E223" i="127"/>
  <c r="C235" i="127"/>
  <c r="C74" i="61"/>
  <c r="C84" i="61" s="1"/>
  <c r="C225" i="61" s="1"/>
  <c r="D270" i="61" s="1"/>
  <c r="I78" i="61"/>
  <c r="I219" i="61" s="1"/>
  <c r="C41" i="83"/>
  <c r="C47" i="83" s="1"/>
  <c r="C366" i="83" s="1"/>
  <c r="D423" i="83" s="1"/>
  <c r="E45" i="83"/>
  <c r="E364" i="83" s="1"/>
  <c r="B184" i="117"/>
  <c r="B196" i="117" s="1"/>
  <c r="B274" i="117" s="1"/>
  <c r="C319" i="117" s="1"/>
  <c r="J188" i="117"/>
  <c r="J266" i="117" s="1"/>
  <c r="L336" i="123"/>
  <c r="G382" i="123"/>
  <c r="F164" i="53"/>
  <c r="B64" i="7"/>
  <c r="C91" i="7" s="1"/>
  <c r="M319" i="141"/>
  <c r="I331" i="141"/>
  <c r="C59" i="23"/>
  <c r="G69" i="23" s="1"/>
  <c r="G114" i="23" s="1"/>
  <c r="I67" i="23"/>
  <c r="I112" i="23" s="1"/>
  <c r="B63" i="5"/>
  <c r="B69" i="89"/>
  <c r="B79" i="89" s="1"/>
  <c r="B187" i="89" s="1"/>
  <c r="C226" i="89" s="1"/>
  <c r="H73" i="89"/>
  <c r="H181" i="89" s="1"/>
  <c r="B143" i="121"/>
  <c r="D155" i="121" s="1"/>
  <c r="D296" i="121" s="1"/>
  <c r="J149" i="121"/>
  <c r="J290" i="121" s="1"/>
  <c r="G221" i="115"/>
  <c r="D233" i="115"/>
  <c r="F227" i="89"/>
  <c r="D238" i="89"/>
  <c r="J228" i="61"/>
  <c r="D54" i="111"/>
  <c r="F62" i="111" s="1"/>
  <c r="F224" i="111" s="1"/>
  <c r="D52" i="111"/>
  <c r="D60" i="111"/>
  <c r="F433" i="83"/>
  <c r="D450" i="83"/>
  <c r="L227" i="115"/>
  <c r="H237" i="115"/>
  <c r="C58" i="15"/>
  <c r="G64" i="15" s="1"/>
  <c r="G109" i="15" s="1"/>
  <c r="E66" i="15"/>
  <c r="E111" i="15" s="1"/>
  <c r="F144" i="15" s="1"/>
  <c r="B52" i="91"/>
  <c r="D60" i="91" s="1"/>
  <c r="D206" i="91" s="1"/>
  <c r="F58" i="91"/>
  <c r="F204" i="91" s="1"/>
  <c r="C86" i="45"/>
  <c r="I94" i="45" s="1"/>
  <c r="I164" i="45" s="1"/>
  <c r="G96" i="45"/>
  <c r="G166" i="45" s="1"/>
  <c r="B289" i="123"/>
  <c r="C334" i="123" s="1"/>
  <c r="F112" i="25"/>
  <c r="D140" i="139"/>
  <c r="F148" i="139" s="1"/>
  <c r="F247" i="139" s="1"/>
  <c r="D138" i="139"/>
  <c r="D146" i="139"/>
  <c r="C137" i="63"/>
  <c r="C145" i="63" s="1"/>
  <c r="C223" i="63" s="1"/>
  <c r="D268" i="63" s="1"/>
  <c r="G141" i="63"/>
  <c r="G219" i="63" s="1"/>
  <c r="C181" i="133"/>
  <c r="M189" i="133" s="1"/>
  <c r="M246" i="133" s="1"/>
  <c r="G195" i="133"/>
  <c r="G252" i="133" s="1"/>
  <c r="H297" i="133" s="1"/>
  <c r="B106" i="77"/>
  <c r="B118" i="77" s="1"/>
  <c r="B296" i="77" s="1"/>
  <c r="C347" i="77" s="1"/>
  <c r="J110" i="77"/>
  <c r="J288" i="77" s="1"/>
  <c r="C57" i="141"/>
  <c r="C67" i="141" s="1"/>
  <c r="C271" i="141" s="1"/>
  <c r="D316" i="141" s="1"/>
  <c r="I61" i="141"/>
  <c r="I265" i="141" s="1"/>
  <c r="M253" i="139"/>
  <c r="C120" i="117"/>
  <c r="C130" i="117" s="1"/>
  <c r="C271" i="117" s="1"/>
  <c r="D316" i="117" s="1"/>
  <c r="I124" i="117"/>
  <c r="I265" i="117" s="1"/>
  <c r="B139" i="139"/>
  <c r="D147" i="139" s="1"/>
  <c r="D246" i="139" s="1"/>
  <c r="E291" i="139" s="1"/>
  <c r="F145" i="139"/>
  <c r="F244" i="139" s="1"/>
  <c r="B160" i="139"/>
  <c r="F172" i="139" s="1"/>
  <c r="F250" i="139" s="1"/>
  <c r="J168" i="139"/>
  <c r="J246" i="139" s="1"/>
  <c r="G270" i="131"/>
  <c r="B206" i="123"/>
  <c r="H212" i="123" s="1"/>
  <c r="H290" i="123" s="1"/>
  <c r="D216" i="123"/>
  <c r="D294" i="123" s="1"/>
  <c r="B248" i="123"/>
  <c r="J256" i="123" s="1"/>
  <c r="J292" i="123" s="1"/>
  <c r="F260" i="123"/>
  <c r="F296" i="123" s="1"/>
  <c r="G341" i="123" s="1"/>
  <c r="I297" i="133"/>
  <c r="E308" i="133"/>
  <c r="C267" i="77"/>
  <c r="O277" i="77" s="1"/>
  <c r="O294" i="77" s="1"/>
  <c r="I283" i="77"/>
  <c r="I300" i="77" s="1"/>
  <c r="J351" i="77" s="1"/>
  <c r="H369" i="83"/>
  <c r="C124" i="39"/>
  <c r="I130" i="39" s="1"/>
  <c r="I162" i="39" s="1"/>
  <c r="E134" i="39"/>
  <c r="E166" i="39" s="1"/>
  <c r="C265" i="99"/>
  <c r="D310" i="99" s="1"/>
  <c r="B142" i="37"/>
  <c r="D154" i="37" s="1"/>
  <c r="D167" i="37" s="1"/>
  <c r="J148" i="37"/>
  <c r="J161" i="37" s="1"/>
  <c r="C75" i="17"/>
  <c r="G85" i="17" s="1"/>
  <c r="G113" i="17" s="1"/>
  <c r="H146" i="17" s="1"/>
  <c r="I83" i="17"/>
  <c r="I111" i="17" s="1"/>
  <c r="C32" i="55"/>
  <c r="C38" i="55" s="1"/>
  <c r="C221" i="55" s="1"/>
  <c r="D266" i="55" s="1"/>
  <c r="E36" i="55"/>
  <c r="E219" i="55" s="1"/>
  <c r="J140" i="17"/>
  <c r="G177" i="17"/>
  <c r="H434" i="81"/>
  <c r="F451" i="81"/>
  <c r="N272" i="63"/>
  <c r="K285" i="63"/>
  <c r="D161" i="51"/>
  <c r="E200" i="51" s="1"/>
  <c r="B85" i="41"/>
  <c r="H97" i="41" s="1"/>
  <c r="H167" i="41" s="1"/>
  <c r="J95" i="41"/>
  <c r="J165" i="41" s="1"/>
  <c r="B95" i="95"/>
  <c r="D105" i="95" s="1"/>
  <c r="D133" i="95" s="1"/>
  <c r="H101" i="95"/>
  <c r="H129" i="95" s="1"/>
  <c r="J261" i="3"/>
  <c r="F261" i="3"/>
  <c r="E261" i="3"/>
  <c r="D261" i="3"/>
  <c r="A261" i="3"/>
  <c r="L272" i="3" s="1"/>
  <c r="C261" i="3"/>
  <c r="G261" i="3"/>
  <c r="I261" i="3"/>
  <c r="H261" i="3"/>
  <c r="C179" i="73"/>
  <c r="M187" i="73" s="1"/>
  <c r="M223" i="73" s="1"/>
  <c r="G193" i="73"/>
  <c r="G229" i="73" s="1"/>
  <c r="C64" i="5"/>
  <c r="P348" i="79"/>
  <c r="M363" i="79"/>
  <c r="D40" i="29"/>
  <c r="D42" i="29"/>
  <c r="F50" i="29" s="1"/>
  <c r="F112" i="29" s="1"/>
  <c r="D48" i="29"/>
  <c r="B41" i="29"/>
  <c r="D49" i="29" s="1"/>
  <c r="D111" i="29" s="1"/>
  <c r="F47" i="29"/>
  <c r="F109" i="29" s="1"/>
  <c r="G163" i="41"/>
  <c r="H202" i="41" s="1"/>
  <c r="H370" i="81"/>
  <c r="C60" i="113"/>
  <c r="G70" i="113" s="1"/>
  <c r="G132" i="113" s="1"/>
  <c r="I68" i="113"/>
  <c r="I130" i="113" s="1"/>
  <c r="F224" i="127"/>
  <c r="D266" i="127"/>
  <c r="D23" i="31"/>
  <c r="D25" i="31"/>
  <c r="D31" i="31" s="1"/>
  <c r="D110" i="31" s="1"/>
  <c r="B29" i="31"/>
  <c r="B108" i="31" s="1"/>
  <c r="C141" i="31" s="1"/>
  <c r="B60" i="125"/>
  <c r="F70" i="125" s="1"/>
  <c r="F132" i="125" s="1"/>
  <c r="H68" i="125"/>
  <c r="H130" i="125" s="1"/>
  <c r="D138" i="133"/>
  <c r="D140" i="133"/>
  <c r="D146" i="133" s="1"/>
  <c r="D245" i="133" s="1"/>
  <c r="J152" i="133"/>
  <c r="C80" i="121"/>
  <c r="I92" i="121" s="1"/>
  <c r="I296" i="121" s="1"/>
  <c r="K90" i="121"/>
  <c r="K294" i="121" s="1"/>
  <c r="B174" i="79"/>
  <c r="D188" i="79" s="1"/>
  <c r="D297" i="79" s="1"/>
  <c r="L180" i="79"/>
  <c r="L289" i="79" s="1"/>
  <c r="C48" i="37"/>
  <c r="E56" i="37" s="1"/>
  <c r="E164" i="37" s="1"/>
  <c r="G54" i="37"/>
  <c r="G162" i="37" s="1"/>
  <c r="H201" i="37" s="1"/>
  <c r="D121" i="97"/>
  <c r="D123" i="97"/>
  <c r="H133" i="97" s="1"/>
  <c r="B127" i="97"/>
  <c r="B289" i="97" s="1"/>
  <c r="C334" i="97" s="1"/>
  <c r="F198" i="49"/>
  <c r="D243" i="49"/>
  <c r="C140" i="133"/>
  <c r="K146" i="133" s="1"/>
  <c r="K245" i="133" s="1"/>
  <c r="E152" i="133"/>
  <c r="E251" i="133" s="1"/>
  <c r="F296" i="133" s="1"/>
  <c r="N375" i="83"/>
  <c r="C101" i="97"/>
  <c r="K115" i="97" s="1"/>
  <c r="K298" i="97" s="1"/>
  <c r="M113" i="97"/>
  <c r="M296" i="97" s="1"/>
  <c r="L270" i="67"/>
  <c r="I283" i="67"/>
  <c r="B111" i="113"/>
  <c r="D121" i="113" s="1"/>
  <c r="D132" i="113" s="1"/>
  <c r="E165" i="113" s="1"/>
  <c r="H117" i="113"/>
  <c r="H128" i="113" s="1"/>
  <c r="M314" i="131"/>
  <c r="J328" i="131"/>
  <c r="R434" i="81"/>
  <c r="O451" i="81"/>
  <c r="J168" i="129"/>
  <c r="B24" i="31"/>
  <c r="B30" i="31" s="1"/>
  <c r="B109" i="31" s="1"/>
  <c r="C142" i="31" s="1"/>
  <c r="D28" i="31"/>
  <c r="D107" i="31" s="1"/>
  <c r="C226" i="119"/>
  <c r="E240" i="119" s="1"/>
  <c r="E276" i="119" s="1"/>
  <c r="F321" i="119" s="1"/>
  <c r="M232" i="119"/>
  <c r="M268" i="119" s="1"/>
  <c r="C36" i="141"/>
  <c r="C42" i="141" s="1"/>
  <c r="C267" i="141" s="1"/>
  <c r="D312" i="141" s="1"/>
  <c r="E40" i="141"/>
  <c r="E265" i="141" s="1"/>
  <c r="F310" i="141" s="1"/>
  <c r="M343" i="135"/>
  <c r="J356" i="135"/>
  <c r="B40" i="83"/>
  <c r="B46" i="83" s="1"/>
  <c r="B365" i="83" s="1"/>
  <c r="C422" i="83" s="1"/>
  <c r="D44" i="83"/>
  <c r="D363" i="83" s="1"/>
  <c r="B225" i="117"/>
  <c r="D239" i="117" s="1"/>
  <c r="D275" i="117" s="1"/>
  <c r="L231" i="117"/>
  <c r="L267" i="117" s="1"/>
  <c r="B152" i="79"/>
  <c r="J166" i="79" s="1"/>
  <c r="J298" i="79" s="1"/>
  <c r="L164" i="79"/>
  <c r="L296" i="79" s="1"/>
  <c r="J340" i="135"/>
  <c r="G353" i="135"/>
  <c r="B138" i="69"/>
  <c r="F150" i="69" s="1"/>
  <c r="F228" i="69" s="1"/>
  <c r="J146" i="69"/>
  <c r="J224" i="69" s="1"/>
  <c r="F274" i="61"/>
  <c r="D287" i="61"/>
  <c r="B95" i="59"/>
  <c r="B107" i="59" s="1"/>
  <c r="B227" i="59" s="1"/>
  <c r="C272" i="59" s="1"/>
  <c r="J99" i="59"/>
  <c r="J219" i="59" s="1"/>
  <c r="C44" i="85"/>
  <c r="E52" i="85" s="1"/>
  <c r="E131" i="85" s="1"/>
  <c r="F164" i="85" s="1"/>
  <c r="G50" i="85"/>
  <c r="G129" i="85" s="1"/>
  <c r="E340" i="79"/>
  <c r="C356" i="79"/>
  <c r="B204" i="143"/>
  <c r="H210" i="143" s="1"/>
  <c r="H267" i="143" s="1"/>
  <c r="D214" i="143"/>
  <c r="D271" i="143" s="1"/>
  <c r="E316" i="143" s="1"/>
  <c r="C100" i="131"/>
  <c r="K114" i="131" s="1"/>
  <c r="K276" i="131" s="1"/>
  <c r="M112" i="131"/>
  <c r="M274" i="131" s="1"/>
  <c r="C108" i="109"/>
  <c r="D141" i="109" s="1"/>
  <c r="B43" i="113"/>
  <c r="D51" i="113" s="1"/>
  <c r="D130" i="113" s="1"/>
  <c r="E163" i="113" s="1"/>
  <c r="F49" i="113"/>
  <c r="F128" i="113" s="1"/>
  <c r="B36" i="79"/>
  <c r="B42" i="79" s="1"/>
  <c r="B289" i="79" s="1"/>
  <c r="C340" i="79" s="1"/>
  <c r="D40" i="79"/>
  <c r="D287" i="79" s="1"/>
  <c r="M276" i="131"/>
  <c r="C54" i="111"/>
  <c r="E62" i="111" s="1"/>
  <c r="E224" i="111" s="1"/>
  <c r="F269" i="111" s="1"/>
  <c r="G60" i="111"/>
  <c r="G222" i="111" s="1"/>
  <c r="H267" i="111" s="1"/>
  <c r="E245" i="119"/>
  <c r="E247" i="119"/>
  <c r="G255" i="119" s="1"/>
  <c r="G270" i="119" s="1"/>
  <c r="H315" i="119" s="1"/>
  <c r="K259" i="119"/>
  <c r="K274" i="119" s="1"/>
  <c r="E221" i="71"/>
  <c r="B179" i="71"/>
  <c r="F193" i="71" s="1"/>
  <c r="F229" i="71" s="1"/>
  <c r="L187" i="71"/>
  <c r="L223" i="71" s="1"/>
  <c r="C247" i="141"/>
  <c r="G261" i="141" s="1"/>
  <c r="G276" i="141" s="1"/>
  <c r="M255" i="141"/>
  <c r="M270" i="141" s="1"/>
  <c r="H426" i="81"/>
  <c r="F444" i="81"/>
  <c r="C78" i="137"/>
  <c r="I82" i="137" s="1"/>
  <c r="I127" i="137" s="1"/>
  <c r="C88" i="137"/>
  <c r="C133" i="137" s="1"/>
  <c r="D166" i="137" s="1"/>
  <c r="H143" i="27"/>
  <c r="E179" i="27"/>
  <c r="C123" i="97"/>
  <c r="C133" i="97" s="1"/>
  <c r="C295" i="97" s="1"/>
  <c r="D340" i="97" s="1"/>
  <c r="I127" i="97"/>
  <c r="I289" i="97" s="1"/>
  <c r="E94" i="69"/>
  <c r="E96" i="69"/>
  <c r="I106" i="69" s="1"/>
  <c r="I226" i="69" s="1"/>
  <c r="G104" i="69"/>
  <c r="G224" i="69" s="1"/>
  <c r="I206" i="39"/>
  <c r="F217" i="39"/>
  <c r="I206" i="35"/>
  <c r="F217" i="35"/>
  <c r="I291" i="133"/>
  <c r="E304" i="133"/>
  <c r="I428" i="81"/>
  <c r="G446" i="81"/>
  <c r="D145" i="91"/>
  <c r="D147" i="91"/>
  <c r="D153" i="91" s="1"/>
  <c r="D204" i="91" s="1"/>
  <c r="H157" i="91"/>
  <c r="H145" i="27"/>
  <c r="E154" i="27"/>
  <c r="D54" i="59"/>
  <c r="F62" i="59" s="1"/>
  <c r="F224" i="59" s="1"/>
  <c r="D52" i="59"/>
  <c r="D60" i="59"/>
  <c r="B221" i="79"/>
  <c r="L237" i="79" s="1"/>
  <c r="L300" i="79" s="1"/>
  <c r="N235" i="79"/>
  <c r="N298" i="79" s="1"/>
  <c r="F430" i="81"/>
  <c r="D447" i="81"/>
  <c r="J340" i="121"/>
  <c r="E351" i="121"/>
  <c r="I62" i="109"/>
  <c r="I107" i="109" s="1"/>
  <c r="C58" i="109"/>
  <c r="C68" i="109" s="1"/>
  <c r="C113" i="109" s="1"/>
  <c r="D146" i="109" s="1"/>
  <c r="C85" i="45"/>
  <c r="I93" i="45" s="1"/>
  <c r="I163" i="45" s="1"/>
  <c r="G95" i="45"/>
  <c r="G165" i="45" s="1"/>
  <c r="B158" i="71"/>
  <c r="D170" i="71" s="1"/>
  <c r="D227" i="71" s="1"/>
  <c r="J164" i="71"/>
  <c r="J221" i="71" s="1"/>
  <c r="J166" i="85"/>
  <c r="G175" i="85"/>
  <c r="E346" i="75"/>
  <c r="C361" i="75"/>
  <c r="C82" i="79"/>
  <c r="G92" i="79" s="1"/>
  <c r="G293" i="79" s="1"/>
  <c r="I90" i="79"/>
  <c r="I291" i="79" s="1"/>
  <c r="J342" i="79" s="1"/>
  <c r="D98" i="133"/>
  <c r="L112" i="133" s="1"/>
  <c r="D96" i="133"/>
  <c r="J110" i="133"/>
  <c r="B159" i="63"/>
  <c r="D167" i="63" s="1"/>
  <c r="D224" i="63" s="1"/>
  <c r="E269" i="63" s="1"/>
  <c r="F165" i="63"/>
  <c r="F222" i="63" s="1"/>
  <c r="J199" i="41"/>
  <c r="G244" i="41"/>
  <c r="R426" i="83"/>
  <c r="O444" i="83"/>
  <c r="C174" i="75"/>
  <c r="E188" i="75" s="1"/>
  <c r="E297" i="75" s="1"/>
  <c r="M180" i="75"/>
  <c r="M289" i="75" s="1"/>
  <c r="B30" i="89"/>
  <c r="B36" i="89" s="1"/>
  <c r="B182" i="89" s="1"/>
  <c r="C221" i="89" s="1"/>
  <c r="D34" i="89"/>
  <c r="D180" i="89" s="1"/>
  <c r="B78" i="143"/>
  <c r="H90" i="143" s="1"/>
  <c r="H273" i="143" s="1"/>
  <c r="J88" i="143"/>
  <c r="J271" i="143" s="1"/>
  <c r="D28" i="115"/>
  <c r="D30" i="115"/>
  <c r="D36" i="115" s="1"/>
  <c r="D182" i="115" s="1"/>
  <c r="B34" i="115"/>
  <c r="B180" i="115" s="1"/>
  <c r="C219" i="115" s="1"/>
  <c r="E202" i="47"/>
  <c r="C214" i="47"/>
  <c r="K314" i="141"/>
  <c r="G326" i="141"/>
  <c r="B125" i="115"/>
  <c r="D137" i="115" s="1"/>
  <c r="D188" i="115" s="1"/>
  <c r="J131" i="115"/>
  <c r="J182" i="115" s="1"/>
  <c r="K272" i="61"/>
  <c r="H285" i="61"/>
  <c r="L321" i="93"/>
  <c r="I334" i="93"/>
  <c r="B181" i="139"/>
  <c r="H195" i="139" s="1"/>
  <c r="H252" i="139" s="1"/>
  <c r="L191" i="139"/>
  <c r="L248" i="139" s="1"/>
  <c r="F269" i="119"/>
  <c r="J147" i="31"/>
  <c r="G156" i="31"/>
  <c r="L207" i="49"/>
  <c r="I218" i="49"/>
  <c r="C121" i="99"/>
  <c r="C131" i="99" s="1"/>
  <c r="C272" i="99" s="1"/>
  <c r="D317" i="99" s="1"/>
  <c r="I125" i="99"/>
  <c r="I266" i="99" s="1"/>
  <c r="H160" i="113"/>
  <c r="D194" i="113"/>
  <c r="F130" i="137"/>
  <c r="J146" i="19"/>
  <c r="G155" i="19"/>
  <c r="J318" i="119"/>
  <c r="F330" i="119"/>
  <c r="G293" i="133"/>
  <c r="D305" i="133"/>
  <c r="D32" i="139"/>
  <c r="D34" i="139"/>
  <c r="D40" i="139" s="1"/>
  <c r="D244" i="139" s="1"/>
  <c r="E289" i="139" s="1"/>
  <c r="B38" i="139"/>
  <c r="B242" i="139" s="1"/>
  <c r="C287" i="139" s="1"/>
  <c r="F204" i="39"/>
  <c r="D215" i="39"/>
  <c r="C86" i="41"/>
  <c r="I98" i="41" s="1"/>
  <c r="I168" i="41" s="1"/>
  <c r="K96" i="41"/>
  <c r="K166" i="41" s="1"/>
  <c r="N300" i="79"/>
  <c r="C93" i="31"/>
  <c r="G99" i="31" s="1"/>
  <c r="G110" i="31" s="1"/>
  <c r="E101" i="31"/>
  <c r="E112" i="31" s="1"/>
  <c r="F145" i="31" s="1"/>
  <c r="N422" i="81"/>
  <c r="K440" i="81"/>
  <c r="G272" i="69"/>
  <c r="D285" i="69"/>
  <c r="C81" i="121"/>
  <c r="I93" i="121" s="1"/>
  <c r="I297" i="121" s="1"/>
  <c r="K91" i="121"/>
  <c r="K295" i="121" s="1"/>
  <c r="F201" i="49"/>
  <c r="D213" i="49"/>
  <c r="D59" i="109"/>
  <c r="H69" i="109" s="1"/>
  <c r="H114" i="109" s="1"/>
  <c r="D57" i="109"/>
  <c r="B63" i="109"/>
  <c r="I133" i="113"/>
  <c r="D94" i="13"/>
  <c r="D120" i="13"/>
  <c r="B200" i="73"/>
  <c r="L210" i="73" s="1"/>
  <c r="L225" i="73" s="1"/>
  <c r="H214" i="73"/>
  <c r="H229" i="73" s="1"/>
  <c r="B53" i="71"/>
  <c r="D61" i="71" s="1"/>
  <c r="D223" i="71" s="1"/>
  <c r="F59" i="71"/>
  <c r="F221" i="71" s="1"/>
  <c r="B47" i="41"/>
  <c r="D55" i="41" s="1"/>
  <c r="D163" i="41" s="1"/>
  <c r="F53" i="41"/>
  <c r="F161" i="41" s="1"/>
  <c r="K340" i="75"/>
  <c r="H356" i="75"/>
  <c r="B179" i="63"/>
  <c r="H193" i="63" s="1"/>
  <c r="H229" i="63" s="1"/>
  <c r="L189" i="63"/>
  <c r="L225" i="63" s="1"/>
  <c r="B27" i="85"/>
  <c r="B33" i="85" s="1"/>
  <c r="B129" i="85" s="1"/>
  <c r="C162" i="85" s="1"/>
  <c r="D31" i="85"/>
  <c r="D127" i="85" s="1"/>
  <c r="H342" i="75"/>
  <c r="F358" i="75"/>
  <c r="M252" i="133"/>
  <c r="K227" i="67"/>
  <c r="E140" i="81"/>
  <c r="M154" i="81" s="1"/>
  <c r="M373" i="81" s="1"/>
  <c r="B139" i="81"/>
  <c r="E138" i="81"/>
  <c r="C144" i="81"/>
  <c r="D175" i="75"/>
  <c r="L189" i="75" s="1"/>
  <c r="D173" i="75"/>
  <c r="D181" i="75"/>
  <c r="C142" i="41"/>
  <c r="E154" i="41" s="1"/>
  <c r="E167" i="41" s="1"/>
  <c r="K148" i="41"/>
  <c r="K161" i="41" s="1"/>
  <c r="D182" i="89"/>
  <c r="L299" i="121"/>
  <c r="J273" i="143"/>
  <c r="D123" i="135"/>
  <c r="H133" i="135" s="1"/>
  <c r="D121" i="135"/>
  <c r="B127" i="135"/>
  <c r="B289" i="135" s="1"/>
  <c r="C334" i="135" s="1"/>
  <c r="D136" i="111"/>
  <c r="D138" i="111"/>
  <c r="J150" i="111" s="1"/>
  <c r="D144" i="111"/>
  <c r="C145" i="127"/>
  <c r="E157" i="127" s="1"/>
  <c r="E189" i="127" s="1"/>
  <c r="K151" i="127"/>
  <c r="K183" i="127" s="1"/>
  <c r="B59" i="87"/>
  <c r="E58" i="87"/>
  <c r="E60" i="87"/>
  <c r="I70" i="87" s="1"/>
  <c r="I132" i="87" s="1"/>
  <c r="G68" i="87"/>
  <c r="G130" i="87" s="1"/>
  <c r="E27" i="107"/>
  <c r="E29" i="107"/>
  <c r="E35" i="107" s="1"/>
  <c r="E162" i="107" s="1"/>
  <c r="F201" i="107" s="1"/>
  <c r="C33" i="107"/>
  <c r="C160" i="107" s="1"/>
  <c r="D199" i="107" s="1"/>
  <c r="F223" i="69"/>
  <c r="F316" i="93"/>
  <c r="D329" i="93"/>
  <c r="B115" i="111"/>
  <c r="E114" i="111"/>
  <c r="E116" i="111"/>
  <c r="I126" i="111" s="1"/>
  <c r="I225" i="111" s="1"/>
  <c r="C120" i="111"/>
  <c r="C96" i="63"/>
  <c r="I104" i="63" s="1"/>
  <c r="I224" i="63" s="1"/>
  <c r="G106" i="63"/>
  <c r="G226" i="63" s="1"/>
  <c r="C85" i="107"/>
  <c r="I91" i="107" s="1"/>
  <c r="I161" i="107" s="1"/>
  <c r="E95" i="107"/>
  <c r="E165" i="107" s="1"/>
  <c r="F204" i="107" s="1"/>
  <c r="B142" i="129"/>
  <c r="J150" i="129" s="1"/>
  <c r="J163" i="129" s="1"/>
  <c r="F154" i="129"/>
  <c r="F167" i="129" s="1"/>
  <c r="J319" i="119"/>
  <c r="F331" i="119"/>
  <c r="J163" i="125"/>
  <c r="F171" i="125"/>
  <c r="C61" i="95"/>
  <c r="G65" i="95" s="1"/>
  <c r="G127" i="95" s="1"/>
  <c r="C69" i="95"/>
  <c r="C131" i="95" s="1"/>
  <c r="D164" i="95" s="1"/>
  <c r="C60" i="97"/>
  <c r="E68" i="97" s="1"/>
  <c r="E293" i="97" s="1"/>
  <c r="G66" i="97"/>
  <c r="G291" i="97" s="1"/>
  <c r="H336" i="97" s="1"/>
  <c r="B225" i="99"/>
  <c r="D239" i="99" s="1"/>
  <c r="D275" i="99" s="1"/>
  <c r="L231" i="99"/>
  <c r="L267" i="99" s="1"/>
  <c r="D138" i="57"/>
  <c r="L152" i="57" s="1"/>
  <c r="D136" i="57"/>
  <c r="F146" i="57"/>
  <c r="C76" i="109"/>
  <c r="E86" i="109" s="1"/>
  <c r="E114" i="109" s="1"/>
  <c r="F147" i="109" s="1"/>
  <c r="I82" i="109"/>
  <c r="I110" i="109" s="1"/>
  <c r="B142" i="41"/>
  <c r="D154" i="41" s="1"/>
  <c r="D167" i="41" s="1"/>
  <c r="J148" i="41"/>
  <c r="J161" i="41" s="1"/>
  <c r="B221" i="125"/>
  <c r="C36" i="75"/>
  <c r="C42" i="75" s="1"/>
  <c r="C289" i="75" s="1"/>
  <c r="D340" i="75" s="1"/>
  <c r="E40" i="75"/>
  <c r="E287" i="75" s="1"/>
  <c r="C127" i="85"/>
  <c r="D160" i="85" s="1"/>
  <c r="C220" i="71"/>
  <c r="D265" i="71" s="1"/>
  <c r="D117" i="59"/>
  <c r="L131" i="59" s="1"/>
  <c r="L230" i="59" s="1"/>
  <c r="D115" i="59"/>
  <c r="J129" i="59"/>
  <c r="E92" i="9"/>
  <c r="E102" i="9"/>
  <c r="D161" i="47"/>
  <c r="P343" i="75"/>
  <c r="M359" i="75"/>
  <c r="C247" i="93"/>
  <c r="K255" i="93" s="1"/>
  <c r="K270" i="93" s="1"/>
  <c r="G259" i="93"/>
  <c r="G274" i="93" s="1"/>
  <c r="H319" i="93" s="1"/>
  <c r="B87" i="127"/>
  <c r="H99" i="127" s="1"/>
  <c r="H188" i="127" s="1"/>
  <c r="J97" i="127"/>
  <c r="J186" i="127" s="1"/>
  <c r="F346" i="75"/>
  <c r="D361" i="75"/>
  <c r="B288" i="121"/>
  <c r="C333" i="121" s="1"/>
  <c r="G269" i="99"/>
  <c r="H314" i="99" s="1"/>
  <c r="C47" i="49"/>
  <c r="E55" i="49" s="1"/>
  <c r="E163" i="49" s="1"/>
  <c r="G53" i="49"/>
  <c r="G161" i="49" s="1"/>
  <c r="H200" i="49" s="1"/>
  <c r="B123" i="37"/>
  <c r="H129" i="37" s="1"/>
  <c r="H161" i="37" s="1"/>
  <c r="D133" i="37"/>
  <c r="D165" i="37" s="1"/>
  <c r="M298" i="75"/>
  <c r="D74" i="23"/>
  <c r="D76" i="23"/>
  <c r="B80" i="23" s="1"/>
  <c r="H86" i="23"/>
  <c r="G159" i="87"/>
  <c r="D196" i="87"/>
  <c r="C106" i="89"/>
  <c r="I118" i="89" s="1"/>
  <c r="I188" i="89" s="1"/>
  <c r="K116" i="89"/>
  <c r="K186" i="89" s="1"/>
  <c r="B93" i="21"/>
  <c r="B101" i="21" s="1"/>
  <c r="B112" i="21" s="1"/>
  <c r="C145" i="21" s="1"/>
  <c r="F97" i="21"/>
  <c r="F108" i="21" s="1"/>
  <c r="G340" i="75"/>
  <c r="E356" i="75"/>
  <c r="I295" i="123"/>
  <c r="C115" i="81"/>
  <c r="I127" i="81" s="1"/>
  <c r="I371" i="81" s="1"/>
  <c r="K125" i="81"/>
  <c r="K369" i="81" s="1"/>
  <c r="L426" i="81" s="1"/>
  <c r="D31" i="111"/>
  <c r="D33" i="111"/>
  <c r="D39" i="111" s="1"/>
  <c r="B37" i="111"/>
  <c r="F164" i="129"/>
  <c r="C99" i="143"/>
  <c r="K113" i="143" s="1"/>
  <c r="K275" i="143" s="1"/>
  <c r="M111" i="143"/>
  <c r="M273" i="143" s="1"/>
  <c r="F310" i="93"/>
  <c r="D363" i="93"/>
  <c r="D74" i="21"/>
  <c r="D76" i="21"/>
  <c r="D82" i="21" s="1"/>
  <c r="F84" i="21"/>
  <c r="P351" i="77"/>
  <c r="M366" i="77"/>
  <c r="F259" i="2"/>
  <c r="F224" i="61"/>
  <c r="C66" i="53"/>
  <c r="C76" i="53" s="1"/>
  <c r="C165" i="53" s="1"/>
  <c r="D204" i="53" s="1"/>
  <c r="I70" i="53"/>
  <c r="I159" i="53" s="1"/>
  <c r="D143" i="135"/>
  <c r="J155" i="135" s="1"/>
  <c r="J296" i="135" s="1"/>
  <c r="D141" i="135"/>
  <c r="D149" i="135"/>
  <c r="D290" i="135" s="1"/>
  <c r="D58" i="123"/>
  <c r="D60" i="123"/>
  <c r="F68" i="123" s="1"/>
  <c r="F293" i="123" s="1"/>
  <c r="G338" i="123" s="1"/>
  <c r="D66" i="123"/>
  <c r="B44" i="95"/>
  <c r="D52" i="95" s="1"/>
  <c r="D131" i="95" s="1"/>
  <c r="F50" i="95"/>
  <c r="F129" i="95" s="1"/>
  <c r="I310" i="119"/>
  <c r="E360" i="119"/>
  <c r="F143" i="17"/>
  <c r="D153" i="17"/>
  <c r="D64" i="81"/>
  <c r="D66" i="81"/>
  <c r="F74" i="81" s="1"/>
  <c r="F368" i="81" s="1"/>
  <c r="D72" i="81"/>
  <c r="H159" i="87"/>
  <c r="E196" i="87"/>
  <c r="B96" i="55"/>
  <c r="J110" i="55" s="1"/>
  <c r="J230" i="55" s="1"/>
  <c r="L108" i="55"/>
  <c r="L228" i="55" s="1"/>
  <c r="I226" i="57"/>
  <c r="J271" i="57" s="1"/>
  <c r="J205" i="47"/>
  <c r="G216" i="47"/>
  <c r="N318" i="117"/>
  <c r="J330" i="117"/>
  <c r="D136" i="73"/>
  <c r="D138" i="73"/>
  <c r="D144" i="73" s="1"/>
  <c r="J150" i="73"/>
  <c r="J228" i="73" s="1"/>
  <c r="E191" i="83"/>
  <c r="Q209" i="83" s="1"/>
  <c r="Q378" i="83" s="1"/>
  <c r="E189" i="83"/>
  <c r="O207" i="83"/>
  <c r="O376" i="83" s="1"/>
  <c r="E144" i="135"/>
  <c r="K156" i="135" s="1"/>
  <c r="K297" i="135" s="1"/>
  <c r="E142" i="135"/>
  <c r="E150" i="135"/>
  <c r="E291" i="135" s="1"/>
  <c r="H72" i="89"/>
  <c r="H180" i="89" s="1"/>
  <c r="B68" i="89"/>
  <c r="B78" i="89" s="1"/>
  <c r="B186" i="89" s="1"/>
  <c r="C225" i="89" s="1"/>
  <c r="D105" i="45"/>
  <c r="F113" i="45" s="1"/>
  <c r="F164" i="45" s="1"/>
  <c r="D103" i="45"/>
  <c r="B109" i="45"/>
  <c r="B78" i="93"/>
  <c r="H90" i="93" s="1"/>
  <c r="H273" i="93" s="1"/>
  <c r="J88" i="93"/>
  <c r="J271" i="93" s="1"/>
  <c r="E94" i="9"/>
  <c r="E120" i="9"/>
  <c r="G268" i="55"/>
  <c r="E282" i="55"/>
  <c r="B316" i="83"/>
  <c r="F334" i="83" s="1"/>
  <c r="F378" i="83" s="1"/>
  <c r="P324" i="83"/>
  <c r="P368" i="83" s="1"/>
  <c r="B107" i="33"/>
  <c r="C140" i="33" s="1"/>
  <c r="K312" i="117"/>
  <c r="G326" i="117"/>
  <c r="E366" i="83"/>
  <c r="E268" i="143"/>
  <c r="F313" i="143" s="1"/>
  <c r="D66" i="7"/>
  <c r="D90" i="11"/>
  <c r="D100" i="11"/>
  <c r="K321" i="141"/>
  <c r="G333" i="141"/>
  <c r="D57" i="105"/>
  <c r="D59" i="105"/>
  <c r="H69" i="105" s="1"/>
  <c r="H114" i="105" s="1"/>
  <c r="F67" i="105"/>
  <c r="F112" i="105" s="1"/>
  <c r="I114" i="23"/>
  <c r="C75" i="19"/>
  <c r="I83" i="19" s="1"/>
  <c r="I111" i="19" s="1"/>
  <c r="G85" i="19"/>
  <c r="G113" i="19" s="1"/>
  <c r="H146" i="19" s="1"/>
  <c r="E92" i="5"/>
  <c r="E102" i="5"/>
  <c r="E223" i="115"/>
  <c r="C234" i="115"/>
  <c r="F202" i="53"/>
  <c r="D214" i="53"/>
  <c r="G223" i="111"/>
  <c r="H268" i="111" s="1"/>
  <c r="K167" i="43"/>
  <c r="B265" i="99"/>
  <c r="C310" i="99" s="1"/>
  <c r="C60" i="75"/>
  <c r="E68" i="75" s="1"/>
  <c r="E292" i="75" s="1"/>
  <c r="G66" i="75"/>
  <c r="G290" i="75" s="1"/>
  <c r="F206" i="91"/>
  <c r="B39" i="123"/>
  <c r="B45" i="123" s="1"/>
  <c r="B291" i="123" s="1"/>
  <c r="C336" i="123" s="1"/>
  <c r="D43" i="123"/>
  <c r="D289" i="123" s="1"/>
  <c r="L314" i="93"/>
  <c r="I328" i="93"/>
  <c r="C152" i="77"/>
  <c r="K166" i="77" s="1"/>
  <c r="K298" i="77" s="1"/>
  <c r="M164" i="77"/>
  <c r="M296" i="77" s="1"/>
  <c r="E35" i="139"/>
  <c r="E41" i="139" s="1"/>
  <c r="E245" i="139" s="1"/>
  <c r="F290" i="139" s="1"/>
  <c r="E33" i="139"/>
  <c r="C39" i="139"/>
  <c r="C243" i="139" s="1"/>
  <c r="D288" i="139" s="1"/>
  <c r="C121" i="117"/>
  <c r="C131" i="117" s="1"/>
  <c r="C272" i="117" s="1"/>
  <c r="D317" i="117" s="1"/>
  <c r="I125" i="117"/>
  <c r="I266" i="117" s="1"/>
  <c r="B85" i="37"/>
  <c r="H97" i="37" s="1"/>
  <c r="H167" i="37" s="1"/>
  <c r="J95" i="37"/>
  <c r="J165" i="37" s="1"/>
  <c r="E228" i="123"/>
  <c r="M242" i="123" s="1"/>
  <c r="M299" i="123" s="1"/>
  <c r="E226" i="123"/>
  <c r="E234" i="123"/>
  <c r="E291" i="123" s="1"/>
  <c r="F336" i="123" s="1"/>
  <c r="D138" i="63"/>
  <c r="F146" i="63" s="1"/>
  <c r="D136" i="63"/>
  <c r="B142" i="63"/>
  <c r="B200" i="57"/>
  <c r="D214" i="57" s="1"/>
  <c r="D229" i="57" s="1"/>
  <c r="L206" i="57"/>
  <c r="L221" i="57" s="1"/>
  <c r="D56" i="141"/>
  <c r="D58" i="141"/>
  <c r="H68" i="141" s="1"/>
  <c r="B62" i="141"/>
  <c r="C117" i="65"/>
  <c r="K131" i="65" s="1"/>
  <c r="K230" i="65" s="1"/>
  <c r="M129" i="65"/>
  <c r="M228" i="65" s="1"/>
  <c r="C182" i="139"/>
  <c r="I196" i="139" s="1"/>
  <c r="I253" i="139" s="1"/>
  <c r="M192" i="139"/>
  <c r="M249" i="139" s="1"/>
  <c r="B247" i="93"/>
  <c r="J255" i="93" s="1"/>
  <c r="J270" i="93" s="1"/>
  <c r="F259" i="93"/>
  <c r="F274" i="93" s="1"/>
  <c r="B126" i="89"/>
  <c r="D138" i="89" s="1"/>
  <c r="D189" i="89" s="1"/>
  <c r="J132" i="89"/>
  <c r="J183" i="89" s="1"/>
  <c r="D119" i="117"/>
  <c r="D121" i="117"/>
  <c r="H131" i="117" s="1"/>
  <c r="B125" i="117"/>
  <c r="B266" i="117" s="1"/>
  <c r="C311" i="117" s="1"/>
  <c r="C58" i="131"/>
  <c r="E66" i="131" s="1"/>
  <c r="E270" i="131" s="1"/>
  <c r="G64" i="131"/>
  <c r="G268" i="131" s="1"/>
  <c r="M293" i="133"/>
  <c r="H305" i="133"/>
  <c r="B27" i="39"/>
  <c r="E28" i="39"/>
  <c r="E34" i="39" s="1"/>
  <c r="E161" i="39" s="1"/>
  <c r="E26" i="39"/>
  <c r="C32" i="39"/>
  <c r="C159" i="39" s="1"/>
  <c r="D198" i="39" s="1"/>
  <c r="K168" i="53"/>
  <c r="D75" i="15"/>
  <c r="H85" i="15" s="1"/>
  <c r="H113" i="15" s="1"/>
  <c r="D73" i="15"/>
  <c r="F83" i="15"/>
  <c r="F111" i="15" s="1"/>
  <c r="D31" i="55"/>
  <c r="D33" i="55"/>
  <c r="D39" i="55" s="1"/>
  <c r="D222" i="55" s="1"/>
  <c r="B37" i="55"/>
  <c r="B220" i="55" s="1"/>
  <c r="C265" i="55" s="1"/>
  <c r="D157" i="61"/>
  <c r="D159" i="61"/>
  <c r="H169" i="61" s="1"/>
  <c r="D165" i="61"/>
  <c r="D222" i="61" s="1"/>
  <c r="B108" i="105"/>
  <c r="C141" i="105" s="1"/>
  <c r="G142" i="19"/>
  <c r="E152" i="19"/>
  <c r="L274" i="63"/>
  <c r="I287" i="63"/>
  <c r="B122" i="97"/>
  <c r="B132" i="97" s="1"/>
  <c r="B294" i="97" s="1"/>
  <c r="C339" i="97" s="1"/>
  <c r="H126" i="97"/>
  <c r="H288" i="97" s="1"/>
  <c r="F264" i="61"/>
  <c r="D317" i="61"/>
  <c r="D140" i="43"/>
  <c r="D142" i="43"/>
  <c r="J154" i="43" s="1"/>
  <c r="J167" i="43" s="1"/>
  <c r="H152" i="43"/>
  <c r="H165" i="43" s="1"/>
  <c r="G163" i="51"/>
  <c r="B28" i="51"/>
  <c r="B34" i="51" s="1"/>
  <c r="B161" i="51" s="1"/>
  <c r="C200" i="51" s="1"/>
  <c r="D32" i="51"/>
  <c r="D159" i="51" s="1"/>
  <c r="E198" i="51" s="1"/>
  <c r="E221" i="67"/>
  <c r="D50" i="103"/>
  <c r="B54" i="103" s="1"/>
  <c r="B63" i="103" s="1"/>
  <c r="C90" i="103" s="1"/>
  <c r="D48" i="103"/>
  <c r="F58" i="103"/>
  <c r="F67" i="103" s="1"/>
  <c r="G94" i="103" s="1"/>
  <c r="C180" i="89"/>
  <c r="D219" i="89" s="1"/>
  <c r="J260" i="3"/>
  <c r="I260" i="3"/>
  <c r="H260" i="3"/>
  <c r="G260" i="3"/>
  <c r="F260" i="3"/>
  <c r="E260" i="3"/>
  <c r="C260" i="3"/>
  <c r="D260" i="3"/>
  <c r="A260" i="3"/>
  <c r="L271" i="3" s="1"/>
  <c r="D178" i="73"/>
  <c r="D180" i="73"/>
  <c r="F188" i="73" s="1"/>
  <c r="L194" i="73"/>
  <c r="C21" i="5"/>
  <c r="C27" i="5" s="1"/>
  <c r="C66" i="5" s="1"/>
  <c r="E25" i="5"/>
  <c r="E64" i="5" s="1"/>
  <c r="F91" i="5" s="1"/>
  <c r="I268" i="55"/>
  <c r="G282" i="55"/>
  <c r="C67" i="35"/>
  <c r="C77" i="35" s="1"/>
  <c r="C166" i="35" s="1"/>
  <c r="D205" i="35" s="1"/>
  <c r="I71" i="35"/>
  <c r="I160" i="35" s="1"/>
  <c r="N350" i="79"/>
  <c r="K365" i="79"/>
  <c r="C47" i="41"/>
  <c r="E55" i="41" s="1"/>
  <c r="E163" i="41" s="1"/>
  <c r="G53" i="41"/>
  <c r="G161" i="41" s="1"/>
  <c r="H200" i="41" s="1"/>
  <c r="M263" i="146" l="1"/>
  <c r="A275" i="146" s="1"/>
  <c r="A287" i="146" s="1"/>
  <c r="J256" i="146"/>
  <c r="J296" i="146" s="1"/>
  <c r="H296" i="146"/>
  <c r="H294" i="146"/>
  <c r="H295" i="146"/>
  <c r="H259" i="146"/>
  <c r="H258" i="146"/>
  <c r="H257" i="146"/>
  <c r="F294" i="146"/>
  <c r="F296" i="146"/>
  <c r="F257" i="146"/>
  <c r="F295" i="146"/>
  <c r="F258" i="146"/>
  <c r="J294" i="146"/>
  <c r="N265" i="146"/>
  <c r="N261" i="146"/>
  <c r="K256" i="146"/>
  <c r="M265" i="146"/>
  <c r="A277" i="146" s="1"/>
  <c r="A289" i="146" s="1"/>
  <c r="M262" i="146"/>
  <c r="A274" i="146" s="1"/>
  <c r="A286" i="146" s="1"/>
  <c r="N263" i="146"/>
  <c r="G260" i="146"/>
  <c r="G295" i="146"/>
  <c r="G257" i="146"/>
  <c r="G294" i="146"/>
  <c r="G296" i="146"/>
  <c r="G259" i="146"/>
  <c r="A260" i="146"/>
  <c r="M272" i="146" s="1"/>
  <c r="F260" i="146"/>
  <c r="D260" i="146"/>
  <c r="H260" i="146"/>
  <c r="E260" i="146"/>
  <c r="C260" i="146"/>
  <c r="J260" i="146"/>
  <c r="J257" i="146"/>
  <c r="F259" i="146"/>
  <c r="N262" i="146"/>
  <c r="M264" i="146"/>
  <c r="A276" i="146" s="1"/>
  <c r="A288" i="146" s="1"/>
  <c r="N264" i="146"/>
  <c r="I256" i="146"/>
  <c r="D321" i="146"/>
  <c r="F257" i="145"/>
  <c r="G295" i="145"/>
  <c r="C257" i="145"/>
  <c r="C269" i="145" s="1" a="1"/>
  <c r="C261" i="145"/>
  <c r="D257" i="145"/>
  <c r="C260" i="145"/>
  <c r="G257" i="145"/>
  <c r="H295" i="145"/>
  <c r="J295" i="145"/>
  <c r="K295" i="145"/>
  <c r="D295" i="145"/>
  <c r="G296" i="145"/>
  <c r="D296" i="145"/>
  <c r="C296" i="145"/>
  <c r="E296" i="145"/>
  <c r="E295" i="145"/>
  <c r="F257" i="144"/>
  <c r="D260" i="144"/>
  <c r="F259" i="144"/>
  <c r="C263" i="144"/>
  <c r="C260" i="144"/>
  <c r="F258" i="144"/>
  <c r="G259" i="144"/>
  <c r="G295" i="144"/>
  <c r="J261" i="144"/>
  <c r="F261" i="144"/>
  <c r="A263" i="144"/>
  <c r="M275" i="144" s="1"/>
  <c r="C261" i="144"/>
  <c r="D261" i="144"/>
  <c r="G261" i="144"/>
  <c r="G263" i="144"/>
  <c r="D263" i="144"/>
  <c r="E263" i="144"/>
  <c r="A261" i="144"/>
  <c r="M273" i="144" s="1"/>
  <c r="J263" i="144"/>
  <c r="G257" i="144"/>
  <c r="G294" i="144"/>
  <c r="I261" i="144"/>
  <c r="E262" i="144"/>
  <c r="F262" i="144"/>
  <c r="G258" i="144"/>
  <c r="G296" i="144"/>
  <c r="C262" i="144"/>
  <c r="A262" i="144"/>
  <c r="M274" i="144" s="1"/>
  <c r="D262" i="144"/>
  <c r="G260" i="144"/>
  <c r="G262" i="144"/>
  <c r="K262" i="144"/>
  <c r="K261" i="144"/>
  <c r="D322" i="144"/>
  <c r="D319" i="144"/>
  <c r="D321" i="144"/>
  <c r="D320" i="144"/>
  <c r="H294" i="144"/>
  <c r="H296" i="144"/>
  <c r="H257" i="144"/>
  <c r="H295" i="144"/>
  <c r="H260" i="144"/>
  <c r="H259" i="144"/>
  <c r="H258" i="144"/>
  <c r="K263" i="144"/>
  <c r="K265" i="144"/>
  <c r="A265" i="144"/>
  <c r="M277" i="144" s="1"/>
  <c r="D265" i="144"/>
  <c r="C265" i="144"/>
  <c r="J265" i="144"/>
  <c r="H265" i="144"/>
  <c r="G265" i="144"/>
  <c r="F265" i="144"/>
  <c r="E265" i="144"/>
  <c r="I265" i="144"/>
  <c r="H261" i="144"/>
  <c r="K294" i="144"/>
  <c r="K257" i="144"/>
  <c r="K296" i="144"/>
  <c r="K295" i="144"/>
  <c r="K258" i="144"/>
  <c r="K259" i="144"/>
  <c r="K260" i="144"/>
  <c r="I295" i="144"/>
  <c r="I294" i="144"/>
  <c r="I296" i="144"/>
  <c r="I257" i="144"/>
  <c r="I260" i="144"/>
  <c r="I258" i="144"/>
  <c r="I259" i="144"/>
  <c r="H262" i="144"/>
  <c r="H263" i="144"/>
  <c r="J264" i="144"/>
  <c r="I264" i="144"/>
  <c r="H264" i="144"/>
  <c r="G264" i="144"/>
  <c r="K264" i="144"/>
  <c r="F264" i="144"/>
  <c r="E264" i="144"/>
  <c r="C264" i="144"/>
  <c r="D264" i="144"/>
  <c r="A264" i="144"/>
  <c r="M276" i="144" s="1"/>
  <c r="I262" i="144"/>
  <c r="I263" i="144"/>
  <c r="A260" i="2"/>
  <c r="M272" i="2" s="1"/>
  <c r="K258" i="2"/>
  <c r="F260" i="2"/>
  <c r="J260" i="2"/>
  <c r="I258" i="2"/>
  <c r="K263" i="2"/>
  <c r="D319" i="2"/>
  <c r="K259" i="2"/>
  <c r="D260" i="2"/>
  <c r="H260" i="2"/>
  <c r="G262" i="2"/>
  <c r="I259" i="2"/>
  <c r="D322" i="2"/>
  <c r="D320" i="2"/>
  <c r="I257" i="2"/>
  <c r="I263" i="2"/>
  <c r="D321" i="2"/>
  <c r="I260" i="2"/>
  <c r="E263" i="2"/>
  <c r="F263" i="2"/>
  <c r="I294" i="2"/>
  <c r="I261" i="2"/>
  <c r="I295" i="2"/>
  <c r="J263" i="2"/>
  <c r="C262" i="2"/>
  <c r="K257" i="2"/>
  <c r="K260" i="2"/>
  <c r="H263" i="2"/>
  <c r="E262" i="2"/>
  <c r="K295" i="2"/>
  <c r="C263" i="2"/>
  <c r="D262" i="2"/>
  <c r="G263" i="2"/>
  <c r="A263" i="2"/>
  <c r="M275" i="2" s="1"/>
  <c r="H265" i="2"/>
  <c r="G265" i="2"/>
  <c r="K265" i="2"/>
  <c r="D265" i="2"/>
  <c r="C265" i="2"/>
  <c r="J265" i="2"/>
  <c r="F265" i="2"/>
  <c r="E265" i="2"/>
  <c r="I265" i="2"/>
  <c r="G268" i="73"/>
  <c r="E282" i="73"/>
  <c r="F340" i="77"/>
  <c r="D356" i="77"/>
  <c r="E340" i="77"/>
  <c r="C356" i="77"/>
  <c r="I204" i="129"/>
  <c r="E214" i="129"/>
  <c r="J205" i="129"/>
  <c r="F215" i="129"/>
  <c r="L230" i="73"/>
  <c r="D162" i="37"/>
  <c r="E201" i="37" s="1"/>
  <c r="L199" i="49"/>
  <c r="I244" i="49"/>
  <c r="B75" i="69"/>
  <c r="D85" i="69" s="1"/>
  <c r="D226" i="69" s="1"/>
  <c r="H81" i="69"/>
  <c r="H222" i="69" s="1"/>
  <c r="F274" i="65"/>
  <c r="D287" i="65"/>
  <c r="B66" i="129"/>
  <c r="B76" i="129" s="1"/>
  <c r="B165" i="129" s="1"/>
  <c r="C204" i="129" s="1"/>
  <c r="H70" i="129"/>
  <c r="H159" i="129" s="1"/>
  <c r="B81" i="123"/>
  <c r="H93" i="123" s="1"/>
  <c r="H297" i="123" s="1"/>
  <c r="J91" i="123"/>
  <c r="J295" i="123" s="1"/>
  <c r="F311" i="117"/>
  <c r="D361" i="117"/>
  <c r="D222" i="73"/>
  <c r="M450" i="81"/>
  <c r="C67" i="129"/>
  <c r="C77" i="129" s="1"/>
  <c r="C166" i="129" s="1"/>
  <c r="D205" i="129" s="1"/>
  <c r="I71" i="129"/>
  <c r="I160" i="129" s="1"/>
  <c r="F131" i="137"/>
  <c r="D268" i="93"/>
  <c r="E313" i="93" s="1"/>
  <c r="B220" i="63"/>
  <c r="C265" i="63" s="1"/>
  <c r="D175" i="77"/>
  <c r="L189" i="77" s="1"/>
  <c r="D173" i="77"/>
  <c r="D181" i="77"/>
  <c r="D290" i="77" s="1"/>
  <c r="B174" i="77"/>
  <c r="D188" i="77" s="1"/>
  <c r="D297" i="77" s="1"/>
  <c r="L180" i="77"/>
  <c r="L289" i="77" s="1"/>
  <c r="L340" i="123"/>
  <c r="G351" i="123"/>
  <c r="H321" i="131"/>
  <c r="F334" i="131"/>
  <c r="D129" i="85"/>
  <c r="D67" i="129"/>
  <c r="H77" i="129" s="1"/>
  <c r="D65" i="129"/>
  <c r="B71" i="129"/>
  <c r="B160" i="129" s="1"/>
  <c r="C199" i="129" s="1"/>
  <c r="J342" i="123"/>
  <c r="E353" i="123"/>
  <c r="C174" i="77"/>
  <c r="E188" i="77" s="1"/>
  <c r="E297" i="77" s="1"/>
  <c r="M180" i="77"/>
  <c r="M289" i="77" s="1"/>
  <c r="N315" i="131"/>
  <c r="K329" i="131"/>
  <c r="D222" i="71"/>
  <c r="F224" i="71"/>
  <c r="L299" i="135"/>
  <c r="C66" i="129"/>
  <c r="C76" i="129" s="1"/>
  <c r="C165" i="129" s="1"/>
  <c r="D204" i="129" s="1"/>
  <c r="I70" i="129"/>
  <c r="I159" i="129" s="1"/>
  <c r="L253" i="133"/>
  <c r="L339" i="123"/>
  <c r="G350" i="123"/>
  <c r="C175" i="77"/>
  <c r="E189" i="77" s="1"/>
  <c r="E298" i="77" s="1"/>
  <c r="M181" i="77"/>
  <c r="M290" i="77" s="1"/>
  <c r="F224" i="69"/>
  <c r="J341" i="123"/>
  <c r="E352" i="123"/>
  <c r="H166" i="129"/>
  <c r="E264" i="69"/>
  <c r="C317" i="69"/>
  <c r="B201" i="65"/>
  <c r="D215" i="65" s="1"/>
  <c r="D230" i="65" s="1"/>
  <c r="L207" i="65"/>
  <c r="L222" i="65" s="1"/>
  <c r="J267" i="69"/>
  <c r="G319" i="69"/>
  <c r="M266" i="65"/>
  <c r="J280" i="65"/>
  <c r="K339" i="123"/>
  <c r="F350" i="123"/>
  <c r="E274" i="65"/>
  <c r="C287" i="65"/>
  <c r="G280" i="69"/>
  <c r="J266" i="69"/>
  <c r="I341" i="123"/>
  <c r="D352" i="123"/>
  <c r="B33" i="69"/>
  <c r="B39" i="69" s="1"/>
  <c r="B222" i="69" s="1"/>
  <c r="C267" i="69" s="1"/>
  <c r="D37" i="69"/>
  <c r="D220" i="69" s="1"/>
  <c r="K447" i="83"/>
  <c r="N267" i="65"/>
  <c r="K281" i="65"/>
  <c r="I266" i="69"/>
  <c r="F280" i="69"/>
  <c r="F292" i="77"/>
  <c r="G343" i="77" s="1"/>
  <c r="E214" i="43"/>
  <c r="F275" i="65"/>
  <c r="D288" i="65"/>
  <c r="E270" i="69"/>
  <c r="C283" i="69"/>
  <c r="C268" i="3" a="1"/>
  <c r="J271" i="3" s="1"/>
  <c r="B67" i="49"/>
  <c r="B79" i="49" s="1"/>
  <c r="B168" i="49" s="1"/>
  <c r="C207" i="49" s="1"/>
  <c r="J71" i="49"/>
  <c r="J160" i="49" s="1"/>
  <c r="L198" i="49"/>
  <c r="I243" i="49"/>
  <c r="N266" i="65"/>
  <c r="K280" i="65"/>
  <c r="J270" i="67"/>
  <c r="G283" i="67"/>
  <c r="E359" i="77"/>
  <c r="L318" i="131"/>
  <c r="I331" i="131"/>
  <c r="G292" i="139"/>
  <c r="C304" i="139"/>
  <c r="J275" i="3"/>
  <c r="J273" i="3"/>
  <c r="J269" i="3"/>
  <c r="E271" i="3"/>
  <c r="I275" i="3"/>
  <c r="G271" i="3"/>
  <c r="G269" i="3"/>
  <c r="F275" i="3"/>
  <c r="F271" i="3"/>
  <c r="F269" i="3"/>
  <c r="H268" i="3"/>
  <c r="G274" i="3"/>
  <c r="E274" i="3"/>
  <c r="F270" i="3"/>
  <c r="E270" i="3"/>
  <c r="F268" i="3"/>
  <c r="E272" i="3"/>
  <c r="D272" i="3"/>
  <c r="D275" i="3"/>
  <c r="C275" i="3"/>
  <c r="G145" i="23"/>
  <c r="D154" i="23"/>
  <c r="P433" i="83"/>
  <c r="M450" i="83"/>
  <c r="E290" i="133"/>
  <c r="C336" i="133"/>
  <c r="F335" i="135"/>
  <c r="D349" i="135"/>
  <c r="E143" i="17"/>
  <c r="C153" i="17"/>
  <c r="K318" i="119"/>
  <c r="G330" i="119"/>
  <c r="G145" i="105"/>
  <c r="C153" i="105"/>
  <c r="J270" i="111"/>
  <c r="F282" i="111"/>
  <c r="L341" i="135"/>
  <c r="I354" i="135"/>
  <c r="M275" i="73"/>
  <c r="J288" i="73"/>
  <c r="J205" i="43"/>
  <c r="G216" i="43"/>
  <c r="J316" i="141"/>
  <c r="F328" i="141"/>
  <c r="K341" i="135"/>
  <c r="H354" i="135"/>
  <c r="K206" i="43"/>
  <c r="H217" i="43"/>
  <c r="N344" i="123"/>
  <c r="I355" i="123"/>
  <c r="K273" i="73"/>
  <c r="H286" i="73"/>
  <c r="E243" i="91"/>
  <c r="C255" i="91"/>
  <c r="L318" i="93"/>
  <c r="I331" i="93"/>
  <c r="N343" i="123"/>
  <c r="I354" i="123"/>
  <c r="I147" i="21"/>
  <c r="F156" i="21"/>
  <c r="E336" i="97"/>
  <c r="C350" i="97"/>
  <c r="E267" i="73"/>
  <c r="C281" i="73"/>
  <c r="N343" i="97"/>
  <c r="K356" i="97"/>
  <c r="E143" i="15"/>
  <c r="C179" i="15"/>
  <c r="C327" i="93"/>
  <c r="N274" i="111"/>
  <c r="J286" i="111"/>
  <c r="M321" i="117"/>
  <c r="I333" i="117"/>
  <c r="F313" i="131"/>
  <c r="D327" i="131"/>
  <c r="I270" i="67"/>
  <c r="F283" i="67"/>
  <c r="N344" i="97"/>
  <c r="K357" i="97"/>
  <c r="G203" i="47"/>
  <c r="E245" i="47"/>
  <c r="I271" i="71"/>
  <c r="G319" i="71"/>
  <c r="E200" i="41"/>
  <c r="C212" i="41"/>
  <c r="N275" i="111"/>
  <c r="J287" i="111"/>
  <c r="E162" i="85"/>
  <c r="C198" i="85"/>
  <c r="L207" i="43"/>
  <c r="I218" i="43"/>
  <c r="G203" i="45"/>
  <c r="D214" i="45"/>
  <c r="I270" i="111"/>
  <c r="E282" i="111"/>
  <c r="J147" i="29"/>
  <c r="G156" i="29"/>
  <c r="G343" i="75"/>
  <c r="E359" i="75"/>
  <c r="F200" i="41"/>
  <c r="D212" i="41"/>
  <c r="M274" i="111"/>
  <c r="I286" i="111"/>
  <c r="L296" i="133"/>
  <c r="G307" i="133"/>
  <c r="N275" i="73"/>
  <c r="K288" i="73"/>
  <c r="G203" i="35"/>
  <c r="E245" i="35"/>
  <c r="H269" i="73"/>
  <c r="F283" i="73"/>
  <c r="I147" i="27"/>
  <c r="F156" i="27"/>
  <c r="M320" i="143"/>
  <c r="G330" i="143"/>
  <c r="J204" i="41"/>
  <c r="G215" i="41"/>
  <c r="K207" i="35"/>
  <c r="H218" i="35"/>
  <c r="H163" i="87"/>
  <c r="E172" i="87"/>
  <c r="M321" i="93"/>
  <c r="J334" i="93"/>
  <c r="E267" i="61"/>
  <c r="C281" i="61"/>
  <c r="L318" i="119"/>
  <c r="H330" i="119"/>
  <c r="D90" i="103"/>
  <c r="C113" i="103"/>
  <c r="M320" i="131"/>
  <c r="J333" i="131"/>
  <c r="M275" i="61"/>
  <c r="J288" i="61"/>
  <c r="J317" i="141"/>
  <c r="F329" i="141"/>
  <c r="K318" i="131"/>
  <c r="H331" i="131"/>
  <c r="H269" i="69"/>
  <c r="E282" i="69"/>
  <c r="J205" i="41"/>
  <c r="G216" i="41"/>
  <c r="I317" i="119"/>
  <c r="E329" i="119"/>
  <c r="O433" i="81"/>
  <c r="L450" i="81"/>
  <c r="M431" i="83"/>
  <c r="J448" i="83"/>
  <c r="K295" i="133"/>
  <c r="F306" i="133"/>
  <c r="L319" i="119"/>
  <c r="H331" i="119"/>
  <c r="E201" i="53"/>
  <c r="C213" i="53"/>
  <c r="F201" i="41"/>
  <c r="D213" i="41"/>
  <c r="G269" i="67"/>
  <c r="D282" i="67"/>
  <c r="G337" i="97"/>
  <c r="E351" i="97"/>
  <c r="L342" i="135"/>
  <c r="I355" i="135"/>
  <c r="M343" i="97"/>
  <c r="J356" i="97"/>
  <c r="M275" i="55"/>
  <c r="J288" i="55"/>
  <c r="I147" i="33"/>
  <c r="F156" i="33"/>
  <c r="K347" i="75"/>
  <c r="H362" i="75"/>
  <c r="H160" i="95"/>
  <c r="E197" i="95"/>
  <c r="K221" i="115"/>
  <c r="G233" i="115"/>
  <c r="K264" i="59"/>
  <c r="H317" i="59"/>
  <c r="H264" i="63"/>
  <c r="E317" i="63"/>
  <c r="I198" i="37"/>
  <c r="F243" i="37"/>
  <c r="J333" i="135"/>
  <c r="G386" i="135"/>
  <c r="H162" i="113"/>
  <c r="D196" i="113"/>
  <c r="C31" i="127"/>
  <c r="C37" i="127" s="1"/>
  <c r="C183" i="127" s="1"/>
  <c r="D222" i="127" s="1"/>
  <c r="E35" i="127"/>
  <c r="E181" i="127" s="1"/>
  <c r="F273" i="71"/>
  <c r="D286" i="71"/>
  <c r="F267" i="59"/>
  <c r="D281" i="59"/>
  <c r="E143" i="29"/>
  <c r="C179" i="29"/>
  <c r="K207" i="49"/>
  <c r="H218" i="49"/>
  <c r="F315" i="99"/>
  <c r="D365" i="99"/>
  <c r="K274" i="71"/>
  <c r="H287" i="71"/>
  <c r="B100" i="119"/>
  <c r="J114" i="119" s="1"/>
  <c r="J276" i="119" s="1"/>
  <c r="L112" i="119"/>
  <c r="L274" i="119" s="1"/>
  <c r="B141" i="143"/>
  <c r="D153" i="143" s="1"/>
  <c r="D273" i="143" s="1"/>
  <c r="E318" i="143" s="1"/>
  <c r="J147" i="143"/>
  <c r="J267" i="143" s="1"/>
  <c r="B247" i="131"/>
  <c r="B261" i="131" s="1"/>
  <c r="B276" i="131" s="1"/>
  <c r="C321" i="131" s="1"/>
  <c r="L251" i="131"/>
  <c r="L266" i="131" s="1"/>
  <c r="P349" i="75"/>
  <c r="M364" i="75"/>
  <c r="H272" i="67"/>
  <c r="E285" i="67"/>
  <c r="H159" i="125"/>
  <c r="D193" i="125"/>
  <c r="F224" i="89"/>
  <c r="D266" i="89"/>
  <c r="G142" i="31"/>
  <c r="D152" i="31"/>
  <c r="C74" i="65"/>
  <c r="C84" i="65" s="1"/>
  <c r="C225" i="65" s="1"/>
  <c r="D270" i="65" s="1"/>
  <c r="I78" i="65"/>
  <c r="I219" i="65" s="1"/>
  <c r="B58" i="143"/>
  <c r="D66" i="143" s="1"/>
  <c r="D270" i="143" s="1"/>
  <c r="E315" i="143" s="1"/>
  <c r="F64" i="143"/>
  <c r="F268" i="143" s="1"/>
  <c r="G313" i="143" s="1"/>
  <c r="D142" i="143"/>
  <c r="J154" i="143" s="1"/>
  <c r="D140" i="143"/>
  <c r="D148" i="143"/>
  <c r="K272" i="59"/>
  <c r="H285" i="59"/>
  <c r="J312" i="117"/>
  <c r="F326" i="117"/>
  <c r="O430" i="83"/>
  <c r="L447" i="83"/>
  <c r="G224" i="127"/>
  <c r="E266" i="127"/>
  <c r="B247" i="141"/>
  <c r="F261" i="141" s="1"/>
  <c r="F276" i="141" s="1"/>
  <c r="L255" i="141"/>
  <c r="L270" i="141" s="1"/>
  <c r="L318" i="117"/>
  <c r="H330" i="117"/>
  <c r="J265" i="63"/>
  <c r="G318" i="63"/>
  <c r="J143" i="33"/>
  <c r="G153" i="33"/>
  <c r="E339" i="135"/>
  <c r="C352" i="135"/>
  <c r="L220" i="89"/>
  <c r="I265" i="89"/>
  <c r="E248" i="91"/>
  <c r="C259" i="91"/>
  <c r="I159" i="113"/>
  <c r="E193" i="113"/>
  <c r="I198" i="107"/>
  <c r="E240" i="107"/>
  <c r="F268" i="73"/>
  <c r="D282" i="73"/>
  <c r="E204" i="49"/>
  <c r="C215" i="49"/>
  <c r="B36" i="101"/>
  <c r="D44" i="101" s="1"/>
  <c r="D68" i="101" s="1"/>
  <c r="E95" i="101" s="1"/>
  <c r="F42" i="101"/>
  <c r="F66" i="101" s="1"/>
  <c r="G93" i="101" s="1"/>
  <c r="H313" i="141"/>
  <c r="D363" i="141"/>
  <c r="F422" i="83"/>
  <c r="D440" i="83"/>
  <c r="J207" i="39"/>
  <c r="G218" i="39"/>
  <c r="K268" i="63"/>
  <c r="H281" i="63"/>
  <c r="J297" i="121"/>
  <c r="I333" i="121"/>
  <c r="D380" i="121"/>
  <c r="B123" i="123"/>
  <c r="B133" i="123" s="1"/>
  <c r="B295" i="123" s="1"/>
  <c r="C340" i="123" s="1"/>
  <c r="H127" i="123"/>
  <c r="H289" i="123" s="1"/>
  <c r="G146" i="33"/>
  <c r="E155" i="33"/>
  <c r="L269" i="67"/>
  <c r="I282" i="67"/>
  <c r="C74" i="63"/>
  <c r="E86" i="63" s="1"/>
  <c r="E227" i="63" s="1"/>
  <c r="K80" i="63"/>
  <c r="K221" i="63" s="1"/>
  <c r="P424" i="81"/>
  <c r="M442" i="81"/>
  <c r="B152" i="77"/>
  <c r="J166" i="77" s="1"/>
  <c r="J298" i="77" s="1"/>
  <c r="L164" i="77"/>
  <c r="L296" i="77" s="1"/>
  <c r="J165" i="85"/>
  <c r="G174" i="85"/>
  <c r="E272" i="57"/>
  <c r="C285" i="57"/>
  <c r="H312" i="141"/>
  <c r="D362" i="141"/>
  <c r="K333" i="121"/>
  <c r="F380" i="121"/>
  <c r="H433" i="83"/>
  <c r="F450" i="83"/>
  <c r="I268" i="59"/>
  <c r="G282" i="59"/>
  <c r="F313" i="117"/>
  <c r="D327" i="117"/>
  <c r="B180" i="67"/>
  <c r="D188" i="67" s="1"/>
  <c r="D224" i="67" s="1"/>
  <c r="E269" i="67" s="1"/>
  <c r="F186" i="67"/>
  <c r="F222" i="67" s="1"/>
  <c r="J145" i="33"/>
  <c r="G179" i="33"/>
  <c r="N274" i="71"/>
  <c r="K287" i="71"/>
  <c r="P349" i="79"/>
  <c r="M364" i="79"/>
  <c r="G147" i="27"/>
  <c r="D156" i="27"/>
  <c r="L346" i="79"/>
  <c r="I361" i="79"/>
  <c r="F199" i="43"/>
  <c r="C244" i="43"/>
  <c r="F206" i="35"/>
  <c r="D217" i="35"/>
  <c r="L321" i="119"/>
  <c r="H333" i="119"/>
  <c r="N266" i="55"/>
  <c r="K280" i="55"/>
  <c r="N343" i="75"/>
  <c r="K359" i="75"/>
  <c r="J198" i="51"/>
  <c r="G243" i="51"/>
  <c r="J275" i="67"/>
  <c r="G288" i="67"/>
  <c r="B117" i="71"/>
  <c r="J131" i="71" s="1"/>
  <c r="J230" i="71" s="1"/>
  <c r="L129" i="71"/>
  <c r="L228" i="71" s="1"/>
  <c r="B164" i="127"/>
  <c r="B176" i="127" s="1"/>
  <c r="B189" i="127" s="1"/>
  <c r="C228" i="127" s="1"/>
  <c r="J168" i="127"/>
  <c r="J181" i="127" s="1"/>
  <c r="G146" i="29"/>
  <c r="D155" i="29"/>
  <c r="G264" i="67"/>
  <c r="D317" i="67"/>
  <c r="J165" i="137"/>
  <c r="F173" i="137"/>
  <c r="C94" i="9"/>
  <c r="C120" i="9"/>
  <c r="J202" i="51"/>
  <c r="G213" i="51"/>
  <c r="J333" i="123"/>
  <c r="E380" i="123"/>
  <c r="G274" i="57"/>
  <c r="E287" i="57"/>
  <c r="H341" i="79"/>
  <c r="F357" i="79"/>
  <c r="B184" i="143"/>
  <c r="B196" i="143" s="1"/>
  <c r="B274" i="143" s="1"/>
  <c r="C319" i="143" s="1"/>
  <c r="J188" i="143"/>
  <c r="J266" i="143" s="1"/>
  <c r="F224" i="65"/>
  <c r="I147" i="25"/>
  <c r="F156" i="25"/>
  <c r="J140" i="105"/>
  <c r="F174" i="105"/>
  <c r="G314" i="99"/>
  <c r="E328" i="99"/>
  <c r="B67" i="51"/>
  <c r="F77" i="51" s="1"/>
  <c r="F166" i="51" s="1"/>
  <c r="H75" i="51"/>
  <c r="H164" i="51" s="1"/>
  <c r="H144" i="31"/>
  <c r="E153" i="31"/>
  <c r="B29" i="35"/>
  <c r="B35" i="35" s="1"/>
  <c r="B162" i="35" s="1"/>
  <c r="C201" i="35" s="1"/>
  <c r="D33" i="35"/>
  <c r="D160" i="35" s="1"/>
  <c r="F268" i="65"/>
  <c r="D282" i="65"/>
  <c r="E140" i="27"/>
  <c r="C177" i="27"/>
  <c r="B226" i="141"/>
  <c r="H238" i="141" s="1"/>
  <c r="H274" i="141" s="1"/>
  <c r="J236" i="141"/>
  <c r="J272" i="141" s="1"/>
  <c r="I272" i="111"/>
  <c r="E284" i="111"/>
  <c r="K274" i="111"/>
  <c r="G286" i="111"/>
  <c r="M295" i="133"/>
  <c r="H306" i="133"/>
  <c r="F145" i="23"/>
  <c r="C154" i="23"/>
  <c r="M268" i="111"/>
  <c r="I281" i="111"/>
  <c r="M342" i="77"/>
  <c r="J358" i="77"/>
  <c r="E200" i="37"/>
  <c r="C212" i="37"/>
  <c r="B96" i="71"/>
  <c r="B108" i="71" s="1"/>
  <c r="B228" i="71" s="1"/>
  <c r="C273" i="71" s="1"/>
  <c r="J100" i="71"/>
  <c r="J220" i="71" s="1"/>
  <c r="M267" i="61"/>
  <c r="J281" i="61"/>
  <c r="B244" i="79"/>
  <c r="N252" i="79" s="1"/>
  <c r="N292" i="79" s="1"/>
  <c r="F260" i="79"/>
  <c r="F300" i="79" s="1"/>
  <c r="H147" i="21"/>
  <c r="E156" i="21"/>
  <c r="H274" i="55"/>
  <c r="F287" i="55"/>
  <c r="L245" i="91"/>
  <c r="I287" i="91"/>
  <c r="I162" i="125"/>
  <c r="E196" i="125"/>
  <c r="B30" i="127"/>
  <c r="B36" i="127" s="1"/>
  <c r="B182" i="127" s="1"/>
  <c r="C221" i="127" s="1"/>
  <c r="D34" i="127"/>
  <c r="D180" i="127" s="1"/>
  <c r="F205" i="51"/>
  <c r="C216" i="51"/>
  <c r="I435" i="83"/>
  <c r="G452" i="83"/>
  <c r="K320" i="131"/>
  <c r="H333" i="131"/>
  <c r="J240" i="91"/>
  <c r="G285" i="91"/>
  <c r="O345" i="75"/>
  <c r="L401" i="75"/>
  <c r="G344" i="77"/>
  <c r="E360" i="77"/>
  <c r="L266" i="55"/>
  <c r="I280" i="55"/>
  <c r="K339" i="75"/>
  <c r="H400" i="75"/>
  <c r="B77" i="133"/>
  <c r="F87" i="133" s="1"/>
  <c r="F249" i="133" s="1"/>
  <c r="H85" i="133"/>
  <c r="H247" i="133" s="1"/>
  <c r="E311" i="93"/>
  <c r="C364" i="93"/>
  <c r="K275" i="61"/>
  <c r="H288" i="61"/>
  <c r="G479" i="143"/>
  <c r="C401" i="143"/>
  <c r="H479" i="143" s="1"/>
  <c r="H294" i="139"/>
  <c r="D306" i="139"/>
  <c r="H264" i="69"/>
  <c r="E317" i="69"/>
  <c r="K200" i="35"/>
  <c r="H212" i="35"/>
  <c r="N335" i="135"/>
  <c r="K349" i="135"/>
  <c r="Q434" i="83"/>
  <c r="N451" i="83"/>
  <c r="N270" i="73"/>
  <c r="K284" i="73"/>
  <c r="D247" i="117"/>
  <c r="F255" i="117" s="1"/>
  <c r="D245" i="117"/>
  <c r="J259" i="117"/>
  <c r="L268" i="59"/>
  <c r="I282" i="59"/>
  <c r="B221" i="77"/>
  <c r="L237" i="77" s="1"/>
  <c r="L300" i="77" s="1"/>
  <c r="N235" i="77"/>
  <c r="N298" i="77" s="1"/>
  <c r="N340" i="79"/>
  <c r="K356" i="79"/>
  <c r="G143" i="105"/>
  <c r="C177" i="105"/>
  <c r="F319" i="93"/>
  <c r="D332" i="93"/>
  <c r="I144" i="21"/>
  <c r="F153" i="21"/>
  <c r="J266" i="61"/>
  <c r="G280" i="61"/>
  <c r="G166" i="103"/>
  <c r="C152" i="103"/>
  <c r="H166" i="103" s="1"/>
  <c r="E140" i="33"/>
  <c r="C177" i="33"/>
  <c r="E198" i="47"/>
  <c r="C243" i="47"/>
  <c r="D290" i="75"/>
  <c r="M342" i="121"/>
  <c r="H353" i="121"/>
  <c r="I147" i="105"/>
  <c r="E155" i="105"/>
  <c r="B123" i="135"/>
  <c r="B133" i="135" s="1"/>
  <c r="B295" i="135" s="1"/>
  <c r="C340" i="135" s="1"/>
  <c r="H127" i="135"/>
  <c r="H289" i="135" s="1"/>
  <c r="H143" i="31"/>
  <c r="E179" i="31"/>
  <c r="G163" i="137"/>
  <c r="C171" i="137"/>
  <c r="K266" i="71"/>
  <c r="H280" i="71"/>
  <c r="L343" i="97"/>
  <c r="I356" i="97"/>
  <c r="G142" i="29"/>
  <c r="D152" i="29"/>
  <c r="E339" i="123"/>
  <c r="C350" i="123"/>
  <c r="B163" i="93"/>
  <c r="F177" i="93" s="1"/>
  <c r="F276" i="93" s="1"/>
  <c r="L171" i="93"/>
  <c r="L270" i="93" s="1"/>
  <c r="I142" i="29"/>
  <c r="F152" i="29"/>
  <c r="I316" i="131"/>
  <c r="G330" i="131"/>
  <c r="E227" i="89"/>
  <c r="C238" i="89"/>
  <c r="B116" i="111"/>
  <c r="B126" i="111" s="1"/>
  <c r="B225" i="111" s="1"/>
  <c r="C270" i="111" s="1"/>
  <c r="H120" i="111"/>
  <c r="H219" i="111" s="1"/>
  <c r="E314" i="119"/>
  <c r="C327" i="119"/>
  <c r="C75" i="65"/>
  <c r="C85" i="65" s="1"/>
  <c r="C226" i="65" s="1"/>
  <c r="D271" i="65" s="1"/>
  <c r="I79" i="65"/>
  <c r="I220" i="65" s="1"/>
  <c r="B160" i="45"/>
  <c r="C199" i="45" s="1"/>
  <c r="L267" i="61"/>
  <c r="I281" i="61"/>
  <c r="L298" i="139"/>
  <c r="H310" i="139"/>
  <c r="B48" i="107"/>
  <c r="D56" i="107" s="1"/>
  <c r="D164" i="107" s="1"/>
  <c r="F54" i="107"/>
  <c r="F162" i="107" s="1"/>
  <c r="G200" i="37"/>
  <c r="E212" i="37"/>
  <c r="C28" i="39"/>
  <c r="C34" i="39" s="1"/>
  <c r="C161" i="39" s="1"/>
  <c r="D200" i="39" s="1"/>
  <c r="E32" i="39"/>
  <c r="E159" i="39" s="1"/>
  <c r="N273" i="65"/>
  <c r="K286" i="65"/>
  <c r="B105" i="45"/>
  <c r="B113" i="45" s="1"/>
  <c r="B164" i="45" s="1"/>
  <c r="C203" i="45" s="1"/>
  <c r="F109" i="45"/>
  <c r="F160" i="45" s="1"/>
  <c r="G141" i="21"/>
  <c r="D178" i="21"/>
  <c r="F338" i="75"/>
  <c r="D399" i="75"/>
  <c r="J166" i="113"/>
  <c r="F174" i="113"/>
  <c r="O351" i="79"/>
  <c r="L366" i="79"/>
  <c r="E227" i="115"/>
  <c r="C237" i="115"/>
  <c r="E272" i="71"/>
  <c r="C285" i="71"/>
  <c r="O432" i="83"/>
  <c r="L449" i="83"/>
  <c r="E144" i="29"/>
  <c r="C153" i="29"/>
  <c r="J144" i="17"/>
  <c r="G154" i="17"/>
  <c r="I335" i="123"/>
  <c r="D349" i="123"/>
  <c r="E264" i="73"/>
  <c r="C317" i="73"/>
  <c r="H422" i="81"/>
  <c r="F440" i="81"/>
  <c r="E146" i="29"/>
  <c r="C155" i="29"/>
  <c r="I205" i="129"/>
  <c r="E215" i="129"/>
  <c r="J334" i="135"/>
  <c r="G387" i="135"/>
  <c r="H147" i="31"/>
  <c r="E156" i="31"/>
  <c r="F222" i="127"/>
  <c r="D234" i="127"/>
  <c r="J271" i="65"/>
  <c r="G284" i="65"/>
  <c r="B29" i="45"/>
  <c r="B35" i="45" s="1"/>
  <c r="B162" i="45" s="1"/>
  <c r="C201" i="45" s="1"/>
  <c r="D33" i="45"/>
  <c r="D160" i="45" s="1"/>
  <c r="L205" i="107"/>
  <c r="H215" i="107"/>
  <c r="L201" i="37"/>
  <c r="I213" i="37"/>
  <c r="E266" i="111"/>
  <c r="C280" i="111"/>
  <c r="K310" i="119"/>
  <c r="G360" i="119"/>
  <c r="B205" i="117"/>
  <c r="H211" i="117" s="1"/>
  <c r="H268" i="117" s="1"/>
  <c r="D215" i="117"/>
  <c r="D272" i="117" s="1"/>
  <c r="C48" i="41"/>
  <c r="E56" i="41" s="1"/>
  <c r="E164" i="41" s="1"/>
  <c r="G54" i="41"/>
  <c r="G162" i="41" s="1"/>
  <c r="H201" i="41" s="1"/>
  <c r="F273" i="61"/>
  <c r="D286" i="61"/>
  <c r="B86" i="49"/>
  <c r="J96" i="49" s="1"/>
  <c r="J166" i="49" s="1"/>
  <c r="H98" i="49"/>
  <c r="H168" i="49" s="1"/>
  <c r="N314" i="141"/>
  <c r="J326" i="141"/>
  <c r="B78" i="137"/>
  <c r="H82" i="137" s="1"/>
  <c r="H127" i="137" s="1"/>
  <c r="B88" i="137"/>
  <c r="B133" i="137" s="1"/>
  <c r="C166" i="137" s="1"/>
  <c r="C76" i="29"/>
  <c r="I80" i="29" s="1"/>
  <c r="I108" i="29" s="1"/>
  <c r="C86" i="29"/>
  <c r="C114" i="29" s="1"/>
  <c r="D147" i="29" s="1"/>
  <c r="J201" i="49"/>
  <c r="G213" i="49"/>
  <c r="N298" i="133"/>
  <c r="I309" i="133"/>
  <c r="R425" i="83"/>
  <c r="O443" i="83"/>
  <c r="E202" i="37"/>
  <c r="C214" i="37"/>
  <c r="B112" i="85"/>
  <c r="D122" i="85" s="1"/>
  <c r="D133" i="85" s="1"/>
  <c r="H118" i="85"/>
  <c r="H129" i="85" s="1"/>
  <c r="E264" i="111"/>
  <c r="C314" i="111"/>
  <c r="L340" i="135"/>
  <c r="I353" i="135"/>
  <c r="I269" i="73"/>
  <c r="G283" i="73"/>
  <c r="N351" i="75"/>
  <c r="K366" i="75"/>
  <c r="L347" i="79"/>
  <c r="I362" i="79"/>
  <c r="L336" i="121"/>
  <c r="G382" i="121"/>
  <c r="F203" i="49"/>
  <c r="D245" i="49"/>
  <c r="D75" i="65"/>
  <c r="H85" i="65" s="1"/>
  <c r="H226" i="65" s="1"/>
  <c r="D73" i="65"/>
  <c r="B79" i="65"/>
  <c r="B220" i="65" s="1"/>
  <c r="C265" i="65" s="1"/>
  <c r="H433" i="81"/>
  <c r="F450" i="81"/>
  <c r="M432" i="83"/>
  <c r="J449" i="83"/>
  <c r="L206" i="49"/>
  <c r="I217" i="49"/>
  <c r="J202" i="49"/>
  <c r="G214" i="49"/>
  <c r="B78" i="113"/>
  <c r="H82" i="113" s="1"/>
  <c r="H127" i="113" s="1"/>
  <c r="B88" i="113"/>
  <c r="B133" i="113" s="1"/>
  <c r="C166" i="113" s="1"/>
  <c r="F147" i="33"/>
  <c r="D156" i="33"/>
  <c r="I335" i="135"/>
  <c r="F349" i="135"/>
  <c r="G432" i="83"/>
  <c r="E449" i="83"/>
  <c r="H143" i="15"/>
  <c r="E179" i="15"/>
  <c r="G202" i="51"/>
  <c r="D213" i="51"/>
  <c r="H164" i="113"/>
  <c r="D172" i="113"/>
  <c r="E312" i="119"/>
  <c r="C326" i="119"/>
  <c r="N338" i="123"/>
  <c r="I384" i="123"/>
  <c r="M338" i="135"/>
  <c r="J388" i="135"/>
  <c r="H273" i="67"/>
  <c r="E286" i="67"/>
  <c r="L272" i="63"/>
  <c r="I285" i="63"/>
  <c r="L298" i="77"/>
  <c r="F199" i="35"/>
  <c r="D244" i="35"/>
  <c r="J336" i="121"/>
  <c r="E382" i="121"/>
  <c r="D76" i="85"/>
  <c r="D78" i="85"/>
  <c r="B82" i="85" s="1"/>
  <c r="B127" i="85" s="1"/>
  <c r="C160" i="85" s="1"/>
  <c r="H88" i="85"/>
  <c r="H133" i="85" s="1"/>
  <c r="G200" i="129"/>
  <c r="D212" i="129"/>
  <c r="P425" i="83"/>
  <c r="M443" i="83"/>
  <c r="G270" i="59"/>
  <c r="E284" i="59"/>
  <c r="C30" i="115"/>
  <c r="C36" i="115" s="1"/>
  <c r="C182" i="115" s="1"/>
  <c r="D221" i="115" s="1"/>
  <c r="E34" i="115"/>
  <c r="E180" i="115" s="1"/>
  <c r="F219" i="115" s="1"/>
  <c r="L264" i="73"/>
  <c r="I317" i="73"/>
  <c r="H268" i="57"/>
  <c r="F282" i="57"/>
  <c r="N275" i="67"/>
  <c r="K288" i="67"/>
  <c r="E318" i="131"/>
  <c r="C331" i="131"/>
  <c r="N351" i="79"/>
  <c r="K366" i="79"/>
  <c r="I165" i="85"/>
  <c r="F174" i="85"/>
  <c r="I198" i="35"/>
  <c r="F243" i="35"/>
  <c r="N314" i="117"/>
  <c r="J362" i="117"/>
  <c r="F274" i="55"/>
  <c r="D287" i="55"/>
  <c r="Q425" i="81"/>
  <c r="N443" i="81"/>
  <c r="L230" i="71"/>
  <c r="I159" i="95"/>
  <c r="F196" i="95"/>
  <c r="K311" i="119"/>
  <c r="G361" i="119"/>
  <c r="H204" i="51"/>
  <c r="E215" i="51"/>
  <c r="E287" i="133"/>
  <c r="C334" i="133"/>
  <c r="F343" i="79"/>
  <c r="D359" i="79"/>
  <c r="C224" i="133"/>
  <c r="K232" i="133" s="1"/>
  <c r="K247" i="133" s="1"/>
  <c r="G236" i="133"/>
  <c r="G251" i="133" s="1"/>
  <c r="H296" i="133" s="1"/>
  <c r="C184" i="93"/>
  <c r="C196" i="93" s="1"/>
  <c r="C274" i="93" s="1"/>
  <c r="D319" i="93" s="1"/>
  <c r="K188" i="93"/>
  <c r="K266" i="93" s="1"/>
  <c r="E159" i="87"/>
  <c r="C196" i="87"/>
  <c r="I265" i="69"/>
  <c r="F318" i="69"/>
  <c r="H187" i="127"/>
  <c r="I316" i="99"/>
  <c r="F329" i="99"/>
  <c r="B129" i="77"/>
  <c r="J135" i="77" s="1"/>
  <c r="J290" i="77" s="1"/>
  <c r="D141" i="77"/>
  <c r="D296" i="77" s="1"/>
  <c r="B59" i="25"/>
  <c r="F69" i="25" s="1"/>
  <c r="F114" i="25" s="1"/>
  <c r="H67" i="25"/>
  <c r="H112" i="25" s="1"/>
  <c r="F319" i="131"/>
  <c r="D332" i="131"/>
  <c r="C43" i="125"/>
  <c r="E51" i="125" s="1"/>
  <c r="E130" i="125" s="1"/>
  <c r="F163" i="125" s="1"/>
  <c r="G49" i="125"/>
  <c r="G128" i="125" s="1"/>
  <c r="I206" i="49"/>
  <c r="F217" i="49"/>
  <c r="N291" i="139"/>
  <c r="J303" i="139"/>
  <c r="I425" i="81"/>
  <c r="G443" i="81"/>
  <c r="D162" i="35"/>
  <c r="L200" i="47"/>
  <c r="I212" i="47"/>
  <c r="J226" i="127"/>
  <c r="G237" i="127"/>
  <c r="K297" i="133"/>
  <c r="F308" i="133"/>
  <c r="B181" i="127"/>
  <c r="C220" i="127" s="1"/>
  <c r="I345" i="75"/>
  <c r="G401" i="75"/>
  <c r="G274" i="111"/>
  <c r="D286" i="111"/>
  <c r="B27" i="125"/>
  <c r="B33" i="125" s="1"/>
  <c r="B129" i="125" s="1"/>
  <c r="C162" i="125" s="1"/>
  <c r="D31" i="125"/>
  <c r="D127" i="125" s="1"/>
  <c r="E160" i="125" s="1"/>
  <c r="G270" i="63"/>
  <c r="D283" i="63"/>
  <c r="B117" i="57"/>
  <c r="D129" i="57" s="1"/>
  <c r="D228" i="57" s="1"/>
  <c r="J123" i="57"/>
  <c r="J222" i="57" s="1"/>
  <c r="J228" i="71"/>
  <c r="E275" i="61"/>
  <c r="C288" i="61"/>
  <c r="K268" i="67"/>
  <c r="H281" i="67"/>
  <c r="H342" i="79"/>
  <c r="F358" i="79"/>
  <c r="J145" i="21"/>
  <c r="G154" i="21"/>
  <c r="L313" i="117"/>
  <c r="H327" i="117"/>
  <c r="B198" i="79"/>
  <c r="L206" i="79" s="1"/>
  <c r="L292" i="79" s="1"/>
  <c r="F212" i="79"/>
  <c r="F298" i="79" s="1"/>
  <c r="N268" i="55"/>
  <c r="K282" i="55"/>
  <c r="K272" i="63"/>
  <c r="H285" i="63"/>
  <c r="B88" i="127"/>
  <c r="H100" i="127" s="1"/>
  <c r="H189" i="127" s="1"/>
  <c r="J98" i="127"/>
  <c r="J187" i="127" s="1"/>
  <c r="O348" i="77"/>
  <c r="L363" i="77"/>
  <c r="Q427" i="83"/>
  <c r="N445" i="83"/>
  <c r="G342" i="135"/>
  <c r="E355" i="135"/>
  <c r="H145" i="31"/>
  <c r="E154" i="31"/>
  <c r="B78" i="87"/>
  <c r="H82" i="87" s="1"/>
  <c r="H127" i="87" s="1"/>
  <c r="B88" i="87"/>
  <c r="B133" i="87" s="1"/>
  <c r="C166" i="87" s="1"/>
  <c r="I294" i="133"/>
  <c r="E338" i="133"/>
  <c r="H267" i="55"/>
  <c r="F281" i="55"/>
  <c r="I204" i="47"/>
  <c r="F215" i="47"/>
  <c r="E206" i="35"/>
  <c r="C217" i="35"/>
  <c r="F343" i="135"/>
  <c r="D356" i="135"/>
  <c r="K241" i="91"/>
  <c r="H286" i="91"/>
  <c r="L207" i="41"/>
  <c r="I218" i="41"/>
  <c r="H270" i="55"/>
  <c r="F284" i="55"/>
  <c r="B93" i="109"/>
  <c r="F103" i="109" s="1"/>
  <c r="F114" i="109" s="1"/>
  <c r="G147" i="109" s="1"/>
  <c r="H101" i="109"/>
  <c r="H112" i="109" s="1"/>
  <c r="G321" i="131"/>
  <c r="E334" i="131"/>
  <c r="F348" i="79"/>
  <c r="D363" i="79"/>
  <c r="N315" i="93"/>
  <c r="K365" i="93"/>
  <c r="G159" i="85"/>
  <c r="D196" i="85"/>
  <c r="F270" i="61"/>
  <c r="D283" i="61"/>
  <c r="F164" i="49"/>
  <c r="H345" i="79"/>
  <c r="F401" i="79"/>
  <c r="K344" i="121"/>
  <c r="F355" i="121"/>
  <c r="E320" i="99"/>
  <c r="C333" i="99"/>
  <c r="G163" i="87"/>
  <c r="D172" i="87"/>
  <c r="G268" i="69"/>
  <c r="D281" i="69"/>
  <c r="K318" i="143"/>
  <c r="E328" i="143"/>
  <c r="E160" i="85"/>
  <c r="C197" i="85"/>
  <c r="L205" i="41"/>
  <c r="I216" i="41"/>
  <c r="H204" i="45"/>
  <c r="E215" i="45"/>
  <c r="N321" i="131"/>
  <c r="K334" i="131"/>
  <c r="N313" i="119"/>
  <c r="J362" i="119"/>
  <c r="B140" i="133"/>
  <c r="J146" i="133" s="1"/>
  <c r="J245" i="133" s="1"/>
  <c r="D152" i="133"/>
  <c r="D251" i="133" s="1"/>
  <c r="H315" i="131"/>
  <c r="F329" i="131"/>
  <c r="B54" i="111"/>
  <c r="D62" i="111" s="1"/>
  <c r="D224" i="111" s="1"/>
  <c r="F60" i="111"/>
  <c r="F222" i="111" s="1"/>
  <c r="G266" i="55"/>
  <c r="E280" i="55"/>
  <c r="F424" i="81"/>
  <c r="D442" i="81"/>
  <c r="B186" i="121"/>
  <c r="B198" i="121" s="1"/>
  <c r="B297" i="121" s="1"/>
  <c r="C342" i="121" s="1"/>
  <c r="J190" i="121"/>
  <c r="J289" i="121" s="1"/>
  <c r="H425" i="81"/>
  <c r="F443" i="81"/>
  <c r="N347" i="75"/>
  <c r="K362" i="75"/>
  <c r="J145" i="31"/>
  <c r="G154" i="31"/>
  <c r="K336" i="97"/>
  <c r="H350" i="97"/>
  <c r="K316" i="117"/>
  <c r="G328" i="117"/>
  <c r="B126" i="115"/>
  <c r="D138" i="115" s="1"/>
  <c r="D189" i="115" s="1"/>
  <c r="J132" i="115"/>
  <c r="J183" i="115" s="1"/>
  <c r="E201" i="45"/>
  <c r="C245" i="45"/>
  <c r="J141" i="23"/>
  <c r="G178" i="23"/>
  <c r="J207" i="107"/>
  <c r="F217" i="107"/>
  <c r="G201" i="53"/>
  <c r="E213" i="53"/>
  <c r="B116" i="67"/>
  <c r="H130" i="67" s="1"/>
  <c r="H229" i="67" s="1"/>
  <c r="L126" i="67"/>
  <c r="L225" i="67" s="1"/>
  <c r="E266" i="73"/>
  <c r="C280" i="73"/>
  <c r="F207" i="37"/>
  <c r="D218" i="37"/>
  <c r="I264" i="61"/>
  <c r="F317" i="61"/>
  <c r="L311" i="119"/>
  <c r="H361" i="119"/>
  <c r="I166" i="125"/>
  <c r="E174" i="125"/>
  <c r="H166" i="49"/>
  <c r="H320" i="141"/>
  <c r="D332" i="141"/>
  <c r="B95" i="125"/>
  <c r="B103" i="125" s="1"/>
  <c r="B131" i="125" s="1"/>
  <c r="C164" i="125" s="1"/>
  <c r="F99" i="125"/>
  <c r="F127" i="125" s="1"/>
  <c r="G432" i="81"/>
  <c r="E449" i="81"/>
  <c r="I313" i="143"/>
  <c r="C357" i="143"/>
  <c r="B143" i="35"/>
  <c r="J151" i="35" s="1"/>
  <c r="J164" i="35" s="1"/>
  <c r="F155" i="35"/>
  <c r="F168" i="35" s="1"/>
  <c r="F205" i="49"/>
  <c r="D216" i="49"/>
  <c r="F204" i="53"/>
  <c r="D215" i="53"/>
  <c r="H435" i="83"/>
  <c r="F452" i="83"/>
  <c r="L204" i="45"/>
  <c r="I215" i="45"/>
  <c r="J342" i="135"/>
  <c r="G355" i="135"/>
  <c r="G271" i="73"/>
  <c r="E319" i="73"/>
  <c r="L202" i="37"/>
  <c r="I214" i="37"/>
  <c r="C91" i="5"/>
  <c r="C101" i="5"/>
  <c r="N318" i="119"/>
  <c r="J330" i="119"/>
  <c r="B112" i="87"/>
  <c r="D122" i="87" s="1"/>
  <c r="D133" i="87" s="1"/>
  <c r="H118" i="87"/>
  <c r="H129" i="87" s="1"/>
  <c r="J270" i="65"/>
  <c r="G283" i="65"/>
  <c r="D245" i="119"/>
  <c r="D247" i="119"/>
  <c r="F255" i="119" s="1"/>
  <c r="J259" i="119"/>
  <c r="J274" i="119" s="1"/>
  <c r="B124" i="37"/>
  <c r="H130" i="37" s="1"/>
  <c r="H162" i="37" s="1"/>
  <c r="D134" i="37"/>
  <c r="D166" i="37" s="1"/>
  <c r="I271" i="73"/>
  <c r="G319" i="73"/>
  <c r="P425" i="81"/>
  <c r="M443" i="81"/>
  <c r="M291" i="139"/>
  <c r="I303" i="139"/>
  <c r="L289" i="133"/>
  <c r="G303" i="133"/>
  <c r="B86" i="35"/>
  <c r="H92" i="35" s="1"/>
  <c r="H162" i="35" s="1"/>
  <c r="D96" i="35"/>
  <c r="D166" i="35" s="1"/>
  <c r="L273" i="59"/>
  <c r="I286" i="59"/>
  <c r="O424" i="83"/>
  <c r="L442" i="83"/>
  <c r="L310" i="99"/>
  <c r="I363" i="99"/>
  <c r="G140" i="25"/>
  <c r="D177" i="25"/>
  <c r="B207" i="121"/>
  <c r="H213" i="121" s="1"/>
  <c r="H291" i="121" s="1"/>
  <c r="D217" i="121"/>
  <c r="D295" i="121" s="1"/>
  <c r="F226" i="127"/>
  <c r="D237" i="127"/>
  <c r="B270" i="135"/>
  <c r="B284" i="135" s="1"/>
  <c r="B299" i="135" s="1"/>
  <c r="C344" i="135" s="1"/>
  <c r="L274" i="135"/>
  <c r="L289" i="135" s="1"/>
  <c r="B37" i="77"/>
  <c r="B43" i="77" s="1"/>
  <c r="B290" i="77" s="1"/>
  <c r="C341" i="77" s="1"/>
  <c r="D41" i="77"/>
  <c r="D288" i="77" s="1"/>
  <c r="G268" i="59"/>
  <c r="E282" i="59"/>
  <c r="C183" i="141"/>
  <c r="I197" i="141" s="1"/>
  <c r="I275" i="141" s="1"/>
  <c r="M193" i="141"/>
  <c r="M271" i="141" s="1"/>
  <c r="G344" i="135"/>
  <c r="E357" i="135"/>
  <c r="L271" i="111"/>
  <c r="H283" i="111"/>
  <c r="M335" i="97"/>
  <c r="J349" i="97"/>
  <c r="E264" i="71"/>
  <c r="C317" i="71"/>
  <c r="J147" i="15"/>
  <c r="G156" i="15"/>
  <c r="B163" i="119"/>
  <c r="F177" i="119" s="1"/>
  <c r="F276" i="119" s="1"/>
  <c r="L171" i="119"/>
  <c r="L270" i="119" s="1"/>
  <c r="L337" i="123"/>
  <c r="G383" i="123"/>
  <c r="L334" i="123"/>
  <c r="G381" i="123"/>
  <c r="P351" i="79"/>
  <c r="M366" i="79"/>
  <c r="E202" i="129"/>
  <c r="C213" i="129"/>
  <c r="H319" i="141"/>
  <c r="D331" i="141"/>
  <c r="B41" i="83"/>
  <c r="B47" i="83" s="1"/>
  <c r="B366" i="83" s="1"/>
  <c r="C423" i="83" s="1"/>
  <c r="D45" i="83"/>
  <c r="D364" i="83" s="1"/>
  <c r="F265" i="73"/>
  <c r="D318" i="73"/>
  <c r="D29" i="115"/>
  <c r="D31" i="115"/>
  <c r="D37" i="115" s="1"/>
  <c r="D183" i="115" s="1"/>
  <c r="B35" i="115"/>
  <c r="H162" i="87"/>
  <c r="E198" i="87"/>
  <c r="B159" i="67"/>
  <c r="J173" i="67" s="1"/>
  <c r="J230" i="67" s="1"/>
  <c r="L171" i="67"/>
  <c r="L228" i="67" s="1"/>
  <c r="K312" i="131"/>
  <c r="H326" i="131"/>
  <c r="H270" i="63"/>
  <c r="E283" i="63"/>
  <c r="M273" i="69"/>
  <c r="J286" i="69"/>
  <c r="J228" i="111"/>
  <c r="B183" i="141"/>
  <c r="H197" i="141" s="1"/>
  <c r="H275" i="141" s="1"/>
  <c r="L193" i="141"/>
  <c r="L271" i="141" s="1"/>
  <c r="L291" i="139"/>
  <c r="H303" i="139"/>
  <c r="H266" i="67"/>
  <c r="E319" i="67"/>
  <c r="I198" i="45"/>
  <c r="F243" i="45"/>
  <c r="G435" i="81"/>
  <c r="E452" i="81"/>
  <c r="K203" i="45"/>
  <c r="H214" i="45"/>
  <c r="L292" i="139"/>
  <c r="H304" i="139"/>
  <c r="N271" i="73"/>
  <c r="K319" i="73"/>
  <c r="B124" i="35"/>
  <c r="D136" i="35" s="1"/>
  <c r="D168" i="35" s="1"/>
  <c r="J130" i="35"/>
  <c r="J162" i="35" s="1"/>
  <c r="H344" i="77"/>
  <c r="F360" i="77"/>
  <c r="B69" i="127"/>
  <c r="B79" i="127" s="1"/>
  <c r="B187" i="127" s="1"/>
  <c r="C226" i="127" s="1"/>
  <c r="H73" i="127"/>
  <c r="H181" i="127" s="1"/>
  <c r="L265" i="71"/>
  <c r="I318" i="71"/>
  <c r="J144" i="23"/>
  <c r="G153" i="23"/>
  <c r="J145" i="25"/>
  <c r="G154" i="25"/>
  <c r="L313" i="131"/>
  <c r="I327" i="131"/>
  <c r="D42" i="125"/>
  <c r="D44" i="125"/>
  <c r="F52" i="125" s="1"/>
  <c r="F131" i="125" s="1"/>
  <c r="D50" i="125"/>
  <c r="D129" i="125" s="1"/>
  <c r="E162" i="125" s="1"/>
  <c r="K204" i="49"/>
  <c r="H215" i="49"/>
  <c r="H297" i="139"/>
  <c r="D309" i="139"/>
  <c r="B123" i="121"/>
  <c r="B133" i="121" s="1"/>
  <c r="B295" i="121" s="1"/>
  <c r="C340" i="121" s="1"/>
  <c r="H127" i="121"/>
  <c r="H289" i="121" s="1"/>
  <c r="K318" i="117"/>
  <c r="G330" i="117"/>
  <c r="G427" i="81"/>
  <c r="E445" i="81"/>
  <c r="J226" i="115"/>
  <c r="F236" i="115"/>
  <c r="K201" i="37"/>
  <c r="H213" i="37"/>
  <c r="E334" i="135"/>
  <c r="C387" i="135"/>
  <c r="H146" i="21"/>
  <c r="E155" i="21"/>
  <c r="J160" i="87"/>
  <c r="G197" i="87"/>
  <c r="F206" i="47"/>
  <c r="D217" i="47"/>
  <c r="C190" i="83"/>
  <c r="O208" i="83" s="1"/>
  <c r="O377" i="83" s="1"/>
  <c r="Q206" i="83"/>
  <c r="Q375" i="83" s="1"/>
  <c r="B31" i="127"/>
  <c r="B37" i="127" s="1"/>
  <c r="B183" i="127" s="1"/>
  <c r="C222" i="127" s="1"/>
  <c r="D35" i="127"/>
  <c r="D181" i="127" s="1"/>
  <c r="B83" i="75"/>
  <c r="F93" i="75" s="1"/>
  <c r="F294" i="75" s="1"/>
  <c r="H91" i="75"/>
  <c r="H292" i="75" s="1"/>
  <c r="I268" i="63"/>
  <c r="F281" i="63"/>
  <c r="G272" i="67"/>
  <c r="D285" i="67"/>
  <c r="M272" i="57"/>
  <c r="J285" i="57"/>
  <c r="G316" i="141"/>
  <c r="C328" i="141"/>
  <c r="F319" i="117"/>
  <c r="D331" i="117"/>
  <c r="I271" i="59"/>
  <c r="G319" i="59"/>
  <c r="B74" i="63"/>
  <c r="D86" i="63" s="1"/>
  <c r="D227" i="63" s="1"/>
  <c r="E272" i="63" s="1"/>
  <c r="J80" i="63"/>
  <c r="J221" i="63" s="1"/>
  <c r="J189" i="127"/>
  <c r="M350" i="77"/>
  <c r="J365" i="77"/>
  <c r="G269" i="69"/>
  <c r="D282" i="69"/>
  <c r="K338" i="135"/>
  <c r="H388" i="135"/>
  <c r="C42" i="31"/>
  <c r="C50" i="31" s="1"/>
  <c r="C112" i="31" s="1"/>
  <c r="D145" i="31" s="1"/>
  <c r="G46" i="31"/>
  <c r="G108" i="31" s="1"/>
  <c r="J204" i="43"/>
  <c r="G215" i="43"/>
  <c r="D162" i="129"/>
  <c r="F198" i="35"/>
  <c r="D243" i="35"/>
  <c r="F199" i="41"/>
  <c r="D244" i="41"/>
  <c r="F269" i="55"/>
  <c r="D283" i="55"/>
  <c r="I311" i="119"/>
  <c r="E361" i="119"/>
  <c r="P431" i="83"/>
  <c r="M448" i="83"/>
  <c r="N346" i="75"/>
  <c r="K361" i="75"/>
  <c r="B180" i="57"/>
  <c r="H194" i="57" s="1"/>
  <c r="H230" i="57" s="1"/>
  <c r="L190" i="57"/>
  <c r="L226" i="57" s="1"/>
  <c r="F341" i="79"/>
  <c r="D357" i="79"/>
  <c r="L222" i="115"/>
  <c r="H263" i="115"/>
  <c r="J160" i="95"/>
  <c r="G197" i="95"/>
  <c r="F272" i="59"/>
  <c r="D285" i="59"/>
  <c r="B221" i="75"/>
  <c r="L237" i="75" s="1"/>
  <c r="L300" i="75" s="1"/>
  <c r="N235" i="75"/>
  <c r="N298" i="75" s="1"/>
  <c r="N292" i="133"/>
  <c r="I337" i="133"/>
  <c r="F219" i="89"/>
  <c r="D264" i="89"/>
  <c r="C246" i="117"/>
  <c r="K254" i="117" s="1"/>
  <c r="K269" i="117" s="1"/>
  <c r="G258" i="117"/>
  <c r="G273" i="117" s="1"/>
  <c r="H318" i="117" s="1"/>
  <c r="L202" i="43"/>
  <c r="I213" i="43"/>
  <c r="M315" i="131"/>
  <c r="J329" i="131"/>
  <c r="N300" i="77"/>
  <c r="J221" i="115"/>
  <c r="F233" i="115"/>
  <c r="F199" i="49"/>
  <c r="D244" i="49"/>
  <c r="J141" i="31"/>
  <c r="G178" i="31"/>
  <c r="B28" i="39"/>
  <c r="B34" i="39" s="1"/>
  <c r="B161" i="39" s="1"/>
  <c r="C200" i="39" s="1"/>
  <c r="D32" i="39"/>
  <c r="D159" i="39" s="1"/>
  <c r="B141" i="141"/>
  <c r="B149" i="141" s="1"/>
  <c r="B269" i="141" s="1"/>
  <c r="C314" i="141" s="1"/>
  <c r="F145" i="141"/>
  <c r="F265" i="141" s="1"/>
  <c r="B48" i="49"/>
  <c r="D56" i="49" s="1"/>
  <c r="D164" i="49" s="1"/>
  <c r="F54" i="49"/>
  <c r="F162" i="49" s="1"/>
  <c r="F200" i="39"/>
  <c r="D212" i="39"/>
  <c r="L275" i="65"/>
  <c r="I288" i="65"/>
  <c r="E93" i="7"/>
  <c r="C121" i="7"/>
  <c r="D27" i="39"/>
  <c r="D29" i="39"/>
  <c r="D35" i="39" s="1"/>
  <c r="D162" i="39" s="1"/>
  <c r="B33" i="39"/>
  <c r="B160" i="39" s="1"/>
  <c r="C199" i="39" s="1"/>
  <c r="C35" i="139"/>
  <c r="C41" i="139" s="1"/>
  <c r="C245" i="139" s="1"/>
  <c r="D290" i="139" s="1"/>
  <c r="E39" i="139"/>
  <c r="E243" i="139" s="1"/>
  <c r="F288" i="139" s="1"/>
  <c r="G162" i="95"/>
  <c r="D198" i="95"/>
  <c r="B76" i="21"/>
  <c r="F82" i="21" s="1"/>
  <c r="F110" i="21" s="1"/>
  <c r="D84" i="21"/>
  <c r="D112" i="21" s="1"/>
  <c r="L225" i="89"/>
  <c r="I236" i="89"/>
  <c r="K225" i="127"/>
  <c r="H236" i="127"/>
  <c r="C224" i="125"/>
  <c r="H269" i="125" s="1"/>
  <c r="G269" i="125"/>
  <c r="M344" i="121"/>
  <c r="H355" i="121"/>
  <c r="B59" i="109"/>
  <c r="B69" i="109" s="1"/>
  <c r="B114" i="109" s="1"/>
  <c r="C147" i="109" s="1"/>
  <c r="H63" i="109"/>
  <c r="H108" i="109" s="1"/>
  <c r="J207" i="41"/>
  <c r="G218" i="41"/>
  <c r="J311" i="99"/>
  <c r="G364" i="99"/>
  <c r="J202" i="45"/>
  <c r="G213" i="45"/>
  <c r="B147" i="91"/>
  <c r="H153" i="91" s="1"/>
  <c r="H204" i="91" s="1"/>
  <c r="D157" i="91"/>
  <c r="D208" i="91" s="1"/>
  <c r="E338" i="79"/>
  <c r="C399" i="79"/>
  <c r="L290" i="133"/>
  <c r="G336" i="133"/>
  <c r="I163" i="125"/>
  <c r="E171" i="125"/>
  <c r="G145" i="29"/>
  <c r="D154" i="29"/>
  <c r="K200" i="37"/>
  <c r="H212" i="37"/>
  <c r="K291" i="139"/>
  <c r="G303" i="139"/>
  <c r="B140" i="139"/>
  <c r="D148" i="139" s="1"/>
  <c r="D247" i="139" s="1"/>
  <c r="E292" i="139" s="1"/>
  <c r="F146" i="139"/>
  <c r="F245" i="139" s="1"/>
  <c r="G269" i="111"/>
  <c r="D317" i="111"/>
  <c r="G203" i="53"/>
  <c r="E245" i="53"/>
  <c r="E268" i="55"/>
  <c r="C282" i="55"/>
  <c r="F310" i="131"/>
  <c r="D363" i="131"/>
  <c r="F141" i="17"/>
  <c r="D178" i="17"/>
  <c r="H314" i="141"/>
  <c r="D326" i="141"/>
  <c r="B86" i="129"/>
  <c r="H92" i="129" s="1"/>
  <c r="H162" i="129" s="1"/>
  <c r="D96" i="129"/>
  <c r="D166" i="129" s="1"/>
  <c r="L349" i="75"/>
  <c r="I364" i="75"/>
  <c r="J293" i="139"/>
  <c r="F305" i="139"/>
  <c r="N338" i="135"/>
  <c r="K388" i="135"/>
  <c r="Q432" i="81"/>
  <c r="N449" i="81"/>
  <c r="E342" i="97"/>
  <c r="C355" i="97"/>
  <c r="I318" i="117"/>
  <c r="E330" i="117"/>
  <c r="G146" i="19"/>
  <c r="E155" i="19"/>
  <c r="E203" i="53"/>
  <c r="C245" i="53"/>
  <c r="M274" i="67"/>
  <c r="J287" i="67"/>
  <c r="B266" i="131"/>
  <c r="C311" i="131" s="1"/>
  <c r="C94" i="5"/>
  <c r="C120" i="5"/>
  <c r="C204" i="131"/>
  <c r="M214" i="131" s="1"/>
  <c r="M271" i="131" s="1"/>
  <c r="I218" i="131"/>
  <c r="I275" i="131" s="1"/>
  <c r="J320" i="131" s="1"/>
  <c r="I316" i="143"/>
  <c r="C326" i="143"/>
  <c r="B75" i="67"/>
  <c r="F87" i="67" s="1"/>
  <c r="F228" i="67" s="1"/>
  <c r="J83" i="67"/>
  <c r="J224" i="67" s="1"/>
  <c r="O424" i="81"/>
  <c r="L442" i="81"/>
  <c r="F315" i="117"/>
  <c r="D363" i="117"/>
  <c r="J200" i="53"/>
  <c r="G212" i="53"/>
  <c r="C180" i="73"/>
  <c r="M188" i="73" s="1"/>
  <c r="M224" i="73" s="1"/>
  <c r="G194" i="73"/>
  <c r="G230" i="73" s="1"/>
  <c r="J206" i="45"/>
  <c r="G217" i="45"/>
  <c r="J289" i="139"/>
  <c r="F339" i="139"/>
  <c r="G348" i="79"/>
  <c r="E363" i="79"/>
  <c r="E316" i="99"/>
  <c r="C329" i="99"/>
  <c r="K271" i="67"/>
  <c r="H284" i="67"/>
  <c r="L295" i="133"/>
  <c r="G306" i="133"/>
  <c r="L199" i="51"/>
  <c r="I244" i="51"/>
  <c r="E200" i="35"/>
  <c r="C212" i="35"/>
  <c r="B21" i="5"/>
  <c r="B27" i="5" s="1"/>
  <c r="B66" i="5" s="1"/>
  <c r="D25" i="5"/>
  <c r="D64" i="5" s="1"/>
  <c r="L320" i="119"/>
  <c r="H332" i="119"/>
  <c r="L201" i="35"/>
  <c r="I213" i="35"/>
  <c r="M310" i="131"/>
  <c r="J363" i="131"/>
  <c r="C95" i="101"/>
  <c r="C119" i="101"/>
  <c r="J142" i="29"/>
  <c r="G152" i="29"/>
  <c r="G297" i="139"/>
  <c r="C309" i="139"/>
  <c r="K317" i="119"/>
  <c r="G329" i="119"/>
  <c r="B76" i="31"/>
  <c r="H84" i="31" s="1"/>
  <c r="H112" i="31" s="1"/>
  <c r="F86" i="31"/>
  <c r="F114" i="31" s="1"/>
  <c r="H166" i="45"/>
  <c r="B180" i="63"/>
  <c r="H194" i="63" s="1"/>
  <c r="H230" i="63" s="1"/>
  <c r="L190" i="63"/>
  <c r="L226" i="63" s="1"/>
  <c r="J161" i="87"/>
  <c r="G171" i="87"/>
  <c r="B74" i="65"/>
  <c r="B84" i="65" s="1"/>
  <c r="B225" i="65" s="1"/>
  <c r="C270" i="65" s="1"/>
  <c r="H78" i="65"/>
  <c r="H219" i="65" s="1"/>
  <c r="E264" i="59"/>
  <c r="C317" i="59"/>
  <c r="M275" i="69"/>
  <c r="J288" i="69"/>
  <c r="F338" i="79"/>
  <c r="D399" i="79"/>
  <c r="G202" i="129"/>
  <c r="D213" i="129"/>
  <c r="J222" i="127"/>
  <c r="G234" i="127"/>
  <c r="N273" i="71"/>
  <c r="K286" i="71"/>
  <c r="L271" i="67"/>
  <c r="I284" i="67"/>
  <c r="E226" i="127"/>
  <c r="C237" i="127"/>
  <c r="D184" i="141"/>
  <c r="L198" i="141" s="1"/>
  <c r="L276" i="141" s="1"/>
  <c r="D182" i="141"/>
  <c r="H194" i="141"/>
  <c r="J273" i="111"/>
  <c r="F285" i="111"/>
  <c r="E343" i="97"/>
  <c r="C356" i="97"/>
  <c r="K204" i="47"/>
  <c r="H215" i="47"/>
  <c r="C76" i="15"/>
  <c r="G86" i="15" s="1"/>
  <c r="G114" i="15" s="1"/>
  <c r="I84" i="15"/>
  <c r="I112" i="15" s="1"/>
  <c r="K204" i="51"/>
  <c r="H215" i="51"/>
  <c r="M319" i="93"/>
  <c r="J332" i="93"/>
  <c r="C77" i="85"/>
  <c r="I81" i="85" s="1"/>
  <c r="I126" i="85" s="1"/>
  <c r="C87" i="85"/>
  <c r="C132" i="85" s="1"/>
  <c r="D165" i="85" s="1"/>
  <c r="L315" i="141"/>
  <c r="H327" i="141"/>
  <c r="D366" i="83"/>
  <c r="G291" i="133"/>
  <c r="D304" i="133"/>
  <c r="I144" i="105"/>
  <c r="E152" i="105"/>
  <c r="J268" i="63"/>
  <c r="G281" i="63"/>
  <c r="B77" i="85"/>
  <c r="H81" i="85" s="1"/>
  <c r="H126" i="85" s="1"/>
  <c r="B87" i="85"/>
  <c r="B132" i="85" s="1"/>
  <c r="C165" i="85" s="1"/>
  <c r="B29" i="41"/>
  <c r="B35" i="41" s="1"/>
  <c r="B162" i="41" s="1"/>
  <c r="C201" i="41" s="1"/>
  <c r="D33" i="41"/>
  <c r="D160" i="41" s="1"/>
  <c r="K275" i="69"/>
  <c r="H288" i="69"/>
  <c r="B75" i="111"/>
  <c r="H87" i="111" s="1"/>
  <c r="H228" i="111" s="1"/>
  <c r="J85" i="111"/>
  <c r="J226" i="111" s="1"/>
  <c r="B58" i="131"/>
  <c r="D66" i="131" s="1"/>
  <c r="D270" i="131" s="1"/>
  <c r="F64" i="131"/>
  <c r="F268" i="131" s="1"/>
  <c r="M320" i="141"/>
  <c r="I332" i="141"/>
  <c r="K310" i="131"/>
  <c r="H363" i="131"/>
  <c r="H295" i="139"/>
  <c r="D307" i="139"/>
  <c r="F268" i="67"/>
  <c r="C281" i="67"/>
  <c r="E264" i="55"/>
  <c r="C317" i="55"/>
  <c r="G207" i="45"/>
  <c r="D218" i="45"/>
  <c r="M348" i="77"/>
  <c r="J363" i="77"/>
  <c r="M274" i="55"/>
  <c r="J287" i="55"/>
  <c r="O431" i="81"/>
  <c r="L448" i="81"/>
  <c r="B59" i="21"/>
  <c r="H67" i="21" s="1"/>
  <c r="H112" i="21" s="1"/>
  <c r="F69" i="21"/>
  <c r="F114" i="21" s="1"/>
  <c r="H296" i="139"/>
  <c r="D308" i="139"/>
  <c r="H268" i="55"/>
  <c r="F282" i="55"/>
  <c r="H114" i="23"/>
  <c r="I289" i="139"/>
  <c r="E339" i="139"/>
  <c r="K271" i="65"/>
  <c r="H284" i="65"/>
  <c r="H140" i="31"/>
  <c r="E177" i="31"/>
  <c r="E266" i="55"/>
  <c r="C280" i="55"/>
  <c r="J164" i="137"/>
  <c r="F172" i="137"/>
  <c r="H146" i="23"/>
  <c r="E155" i="23"/>
  <c r="H147" i="25"/>
  <c r="E156" i="25"/>
  <c r="J145" i="19"/>
  <c r="G179" i="19"/>
  <c r="H163" i="125"/>
  <c r="D171" i="125"/>
  <c r="H161" i="85"/>
  <c r="E171" i="85"/>
  <c r="G290" i="133"/>
  <c r="D336" i="133"/>
  <c r="H208" i="91"/>
  <c r="C69" i="115"/>
  <c r="C79" i="115" s="1"/>
  <c r="C187" i="115" s="1"/>
  <c r="D226" i="115" s="1"/>
  <c r="I73" i="115"/>
  <c r="I181" i="115" s="1"/>
  <c r="E207" i="37"/>
  <c r="C218" i="37"/>
  <c r="J144" i="21"/>
  <c r="G153" i="21"/>
  <c r="F346" i="77"/>
  <c r="D361" i="77"/>
  <c r="D222" i="57"/>
  <c r="I270" i="69"/>
  <c r="F283" i="69"/>
  <c r="D191" i="83"/>
  <c r="P209" i="83" s="1"/>
  <c r="P378" i="83" s="1"/>
  <c r="D189" i="83"/>
  <c r="N207" i="83"/>
  <c r="D183" i="127"/>
  <c r="E143" i="27"/>
  <c r="C179" i="27"/>
  <c r="B93" i="31"/>
  <c r="F99" i="31" s="1"/>
  <c r="F110" i="31" s="1"/>
  <c r="D101" i="31"/>
  <c r="D112" i="31" s="1"/>
  <c r="J317" i="93"/>
  <c r="G330" i="93"/>
  <c r="P348" i="77"/>
  <c r="M363" i="77"/>
  <c r="K274" i="57"/>
  <c r="H287" i="57"/>
  <c r="I314" i="141"/>
  <c r="E326" i="141"/>
  <c r="J141" i="105"/>
  <c r="F175" i="105"/>
  <c r="G144" i="25"/>
  <c r="D153" i="25"/>
  <c r="B75" i="59"/>
  <c r="F85" i="59" s="1"/>
  <c r="F226" i="59" s="1"/>
  <c r="H83" i="59"/>
  <c r="H224" i="59" s="1"/>
  <c r="E198" i="129"/>
  <c r="C240" i="129"/>
  <c r="I141" i="25"/>
  <c r="F178" i="25"/>
  <c r="B54" i="69"/>
  <c r="B62" i="69" s="1"/>
  <c r="B224" i="69" s="1"/>
  <c r="C269" i="69" s="1"/>
  <c r="F58" i="69"/>
  <c r="F220" i="69" s="1"/>
  <c r="J164" i="113"/>
  <c r="F172" i="113"/>
  <c r="G144" i="21"/>
  <c r="D153" i="21"/>
  <c r="B29" i="129"/>
  <c r="B35" i="129" s="1"/>
  <c r="B162" i="129" s="1"/>
  <c r="C201" i="129" s="1"/>
  <c r="D33" i="129"/>
  <c r="D160" i="129" s="1"/>
  <c r="J199" i="51"/>
  <c r="G244" i="51"/>
  <c r="B58" i="119"/>
  <c r="D66" i="119" s="1"/>
  <c r="D270" i="119" s="1"/>
  <c r="F64" i="119"/>
  <c r="F268" i="119" s="1"/>
  <c r="N271" i="59"/>
  <c r="K319" i="59"/>
  <c r="N433" i="83"/>
  <c r="K450" i="83"/>
  <c r="L348" i="75"/>
  <c r="I363" i="75"/>
  <c r="B96" i="59"/>
  <c r="B108" i="59" s="1"/>
  <c r="B228" i="59" s="1"/>
  <c r="C273" i="59" s="1"/>
  <c r="J100" i="59"/>
  <c r="J220" i="59" s="1"/>
  <c r="L220" i="115"/>
  <c r="H262" i="115"/>
  <c r="E199" i="37"/>
  <c r="C244" i="37"/>
  <c r="H270" i="59"/>
  <c r="F284" i="59"/>
  <c r="L266" i="59"/>
  <c r="I280" i="59"/>
  <c r="N300" i="75"/>
  <c r="G161" i="85"/>
  <c r="D171" i="85"/>
  <c r="H206" i="43"/>
  <c r="E217" i="43"/>
  <c r="L266" i="57"/>
  <c r="I280" i="57"/>
  <c r="G206" i="41"/>
  <c r="E217" i="41"/>
  <c r="H267" i="73"/>
  <c r="F281" i="73"/>
  <c r="E346" i="77"/>
  <c r="C361" i="77"/>
  <c r="J203" i="43"/>
  <c r="G214" i="43"/>
  <c r="L225" i="127"/>
  <c r="I236" i="127"/>
  <c r="F221" i="89"/>
  <c r="D233" i="89"/>
  <c r="E200" i="39"/>
  <c r="C212" i="39"/>
  <c r="G201" i="35"/>
  <c r="E213" i="35"/>
  <c r="L223" i="89"/>
  <c r="I235" i="89"/>
  <c r="J199" i="47"/>
  <c r="G244" i="47"/>
  <c r="K429" i="81"/>
  <c r="I491" i="81"/>
  <c r="P348" i="75"/>
  <c r="M363" i="75"/>
  <c r="B143" i="41"/>
  <c r="D155" i="41" s="1"/>
  <c r="D168" i="41" s="1"/>
  <c r="J149" i="41"/>
  <c r="J162" i="41" s="1"/>
  <c r="B60" i="97"/>
  <c r="D68" i="97" s="1"/>
  <c r="D293" i="97" s="1"/>
  <c r="F66" i="97"/>
  <c r="F291" i="97" s="1"/>
  <c r="G144" i="15"/>
  <c r="D153" i="15"/>
  <c r="D93" i="5"/>
  <c r="D119" i="5"/>
  <c r="J227" i="89"/>
  <c r="G238" i="89"/>
  <c r="I147" i="109"/>
  <c r="C153" i="109"/>
  <c r="C157" i="109" s="1" a="1"/>
  <c r="G267" i="63"/>
  <c r="D280" i="63"/>
  <c r="G165" i="125"/>
  <c r="C173" i="125"/>
  <c r="B42" i="29"/>
  <c r="D50" i="29" s="1"/>
  <c r="D112" i="29" s="1"/>
  <c r="F48" i="29"/>
  <c r="F110" i="29" s="1"/>
  <c r="E206" i="37"/>
  <c r="C217" i="37"/>
  <c r="K273" i="61"/>
  <c r="H286" i="61"/>
  <c r="G160" i="87"/>
  <c r="D197" i="87"/>
  <c r="N271" i="57"/>
  <c r="K319" i="57"/>
  <c r="O434" i="81"/>
  <c r="L451" i="81"/>
  <c r="C124" i="41"/>
  <c r="E134" i="41" s="1"/>
  <c r="E166" i="41" s="1"/>
  <c r="I130" i="41"/>
  <c r="I162" i="41" s="1"/>
  <c r="I144" i="19"/>
  <c r="F154" i="19"/>
  <c r="I316" i="93"/>
  <c r="F329" i="93"/>
  <c r="B37" i="131"/>
  <c r="B43" i="131" s="1"/>
  <c r="B268" i="131" s="1"/>
  <c r="C313" i="131" s="1"/>
  <c r="D41" i="131"/>
  <c r="D266" i="131" s="1"/>
  <c r="H349" i="77"/>
  <c r="F364" i="77"/>
  <c r="I314" i="131"/>
  <c r="G328" i="131"/>
  <c r="B143" i="53"/>
  <c r="J151" i="53" s="1"/>
  <c r="J164" i="53" s="1"/>
  <c r="F155" i="53"/>
  <c r="F168" i="53" s="1"/>
  <c r="D203" i="131"/>
  <c r="D205" i="131"/>
  <c r="H215" i="131" s="1"/>
  <c r="H272" i="131" s="1"/>
  <c r="L219" i="131"/>
  <c r="I165" i="87"/>
  <c r="F174" i="87"/>
  <c r="K273" i="67"/>
  <c r="H286" i="67"/>
  <c r="M314" i="117"/>
  <c r="I362" i="117"/>
  <c r="I275" i="55"/>
  <c r="G288" i="55"/>
  <c r="B108" i="109"/>
  <c r="C141" i="109" s="1"/>
  <c r="L207" i="35"/>
  <c r="I218" i="35"/>
  <c r="G423" i="83"/>
  <c r="E441" i="83"/>
  <c r="H226" i="61"/>
  <c r="F223" i="89"/>
  <c r="D235" i="89"/>
  <c r="J146" i="29"/>
  <c r="G155" i="29"/>
  <c r="M342" i="79"/>
  <c r="J358" i="79"/>
  <c r="C41" i="81"/>
  <c r="C47" i="81" s="1"/>
  <c r="C366" i="81" s="1"/>
  <c r="D423" i="81" s="1"/>
  <c r="E45" i="81"/>
  <c r="E364" i="81" s="1"/>
  <c r="I312" i="99"/>
  <c r="F326" i="99"/>
  <c r="I273" i="67"/>
  <c r="F286" i="67"/>
  <c r="N342" i="121"/>
  <c r="I353" i="121"/>
  <c r="D92" i="13"/>
  <c r="D102" i="13"/>
  <c r="M318" i="93"/>
  <c r="J331" i="93"/>
  <c r="E93" i="5"/>
  <c r="E119" i="5"/>
  <c r="J199" i="107"/>
  <c r="F241" i="107"/>
  <c r="N296" i="133"/>
  <c r="I307" i="133"/>
  <c r="H348" i="77"/>
  <c r="F363" i="77"/>
  <c r="F207" i="35"/>
  <c r="D218" i="35"/>
  <c r="C246" i="119"/>
  <c r="K254" i="119" s="1"/>
  <c r="K269" i="119" s="1"/>
  <c r="G258" i="119"/>
  <c r="G273" i="119" s="1"/>
  <c r="H318" i="119" s="1"/>
  <c r="J160" i="85"/>
  <c r="G197" i="85"/>
  <c r="M340" i="75"/>
  <c r="J356" i="75"/>
  <c r="I319" i="119"/>
  <c r="E331" i="119"/>
  <c r="L312" i="93"/>
  <c r="I326" i="93"/>
  <c r="B48" i="45"/>
  <c r="B58" i="45" s="1"/>
  <c r="B166" i="45" s="1"/>
  <c r="C205" i="45" s="1"/>
  <c r="H52" i="45"/>
  <c r="H160" i="45" s="1"/>
  <c r="M275" i="63"/>
  <c r="J288" i="63"/>
  <c r="J220" i="89"/>
  <c r="G265" i="89"/>
  <c r="I270" i="65"/>
  <c r="F283" i="65"/>
  <c r="F224" i="73"/>
  <c r="B246" i="119"/>
  <c r="J254" i="119" s="1"/>
  <c r="J269" i="119" s="1"/>
  <c r="F258" i="119"/>
  <c r="F273" i="119" s="1"/>
  <c r="G200" i="49"/>
  <c r="E212" i="49"/>
  <c r="H146" i="31"/>
  <c r="E155" i="31"/>
  <c r="J226" i="89"/>
  <c r="G237" i="89"/>
  <c r="L337" i="97"/>
  <c r="I351" i="97"/>
  <c r="I200" i="51"/>
  <c r="F245" i="51"/>
  <c r="I246" i="91"/>
  <c r="F257" i="91"/>
  <c r="B162" i="143"/>
  <c r="F176" i="143" s="1"/>
  <c r="F275" i="143" s="1"/>
  <c r="G320" i="143" s="1"/>
  <c r="L170" i="143"/>
  <c r="L269" i="143" s="1"/>
  <c r="L220" i="127"/>
  <c r="I265" i="127"/>
  <c r="L275" i="71"/>
  <c r="I288" i="71"/>
  <c r="J273" i="67"/>
  <c r="G286" i="67"/>
  <c r="N318" i="131"/>
  <c r="K331" i="131"/>
  <c r="I222" i="127"/>
  <c r="F234" i="127"/>
  <c r="N320" i="141"/>
  <c r="J332" i="141"/>
  <c r="F203" i="39"/>
  <c r="D245" i="39"/>
  <c r="H201" i="51"/>
  <c r="E212" i="51"/>
  <c r="N313" i="117"/>
  <c r="J327" i="117"/>
  <c r="I206" i="47"/>
  <c r="F217" i="47"/>
  <c r="D90" i="5"/>
  <c r="D100" i="5"/>
  <c r="N268" i="71"/>
  <c r="K282" i="71"/>
  <c r="H265" i="63"/>
  <c r="E318" i="63"/>
  <c r="I206" i="51"/>
  <c r="F217" i="51"/>
  <c r="K321" i="93"/>
  <c r="H334" i="93"/>
  <c r="C363" i="81"/>
  <c r="D420" i="81" s="1"/>
  <c r="B223" i="133"/>
  <c r="J231" i="133" s="1"/>
  <c r="J246" i="133" s="1"/>
  <c r="F235" i="133"/>
  <c r="F250" i="133" s="1"/>
  <c r="G146" i="105"/>
  <c r="C154" i="105"/>
  <c r="L222" i="89"/>
  <c r="I234" i="89"/>
  <c r="N267" i="55"/>
  <c r="K281" i="55"/>
  <c r="I435" i="81"/>
  <c r="G452" i="81"/>
  <c r="G95" i="7"/>
  <c r="D102" i="7"/>
  <c r="H312" i="131"/>
  <c r="F326" i="131"/>
  <c r="F267" i="57"/>
  <c r="D281" i="57"/>
  <c r="J166" i="137"/>
  <c r="F174" i="137"/>
  <c r="I200" i="43"/>
  <c r="F245" i="43"/>
  <c r="E141" i="15"/>
  <c r="C178" i="15"/>
  <c r="M433" i="81"/>
  <c r="J450" i="81"/>
  <c r="F112" i="21"/>
  <c r="B59" i="23"/>
  <c r="F69" i="23" s="1"/>
  <c r="F114" i="23" s="1"/>
  <c r="H67" i="23"/>
  <c r="H112" i="23" s="1"/>
  <c r="E241" i="91"/>
  <c r="C286" i="91"/>
  <c r="I273" i="65"/>
  <c r="F286" i="65"/>
  <c r="J339" i="97"/>
  <c r="G352" i="97"/>
  <c r="H166" i="137"/>
  <c r="D174" i="137"/>
  <c r="C115" i="83"/>
  <c r="I127" i="83" s="1"/>
  <c r="I371" i="83" s="1"/>
  <c r="K125" i="83"/>
  <c r="K369" i="83" s="1"/>
  <c r="L426" i="83" s="1"/>
  <c r="L340" i="97"/>
  <c r="I353" i="97"/>
  <c r="H267" i="71"/>
  <c r="F281" i="71"/>
  <c r="E204" i="107"/>
  <c r="C214" i="107"/>
  <c r="L272" i="111"/>
  <c r="H284" i="111"/>
  <c r="J141" i="33"/>
  <c r="G178" i="33"/>
  <c r="E292" i="133"/>
  <c r="C337" i="133"/>
  <c r="K249" i="91"/>
  <c r="H260" i="91"/>
  <c r="H267" i="67"/>
  <c r="E280" i="67"/>
  <c r="J225" i="127"/>
  <c r="G236" i="127"/>
  <c r="K316" i="99"/>
  <c r="H329" i="99"/>
  <c r="L340" i="77"/>
  <c r="I356" i="77"/>
  <c r="B33" i="57"/>
  <c r="B39" i="57" s="1"/>
  <c r="B222" i="57" s="1"/>
  <c r="C267" i="57" s="1"/>
  <c r="D37" i="57"/>
  <c r="D220" i="57" s="1"/>
  <c r="B95" i="69"/>
  <c r="F105" i="69" s="1"/>
  <c r="F225" i="69" s="1"/>
  <c r="H103" i="69"/>
  <c r="H223" i="69" s="1"/>
  <c r="R434" i="83"/>
  <c r="O451" i="83"/>
  <c r="M313" i="143"/>
  <c r="G357" i="143"/>
  <c r="B160" i="51"/>
  <c r="C199" i="51" s="1"/>
  <c r="J198" i="39"/>
  <c r="G243" i="39"/>
  <c r="K205" i="107"/>
  <c r="G215" i="107"/>
  <c r="J310" i="143"/>
  <c r="D354" i="143"/>
  <c r="I140" i="25"/>
  <c r="F177" i="25"/>
  <c r="L272" i="57"/>
  <c r="I285" i="57"/>
  <c r="N350" i="77"/>
  <c r="K365" i="77"/>
  <c r="G312" i="131"/>
  <c r="E326" i="131"/>
  <c r="J204" i="47"/>
  <c r="G215" i="47"/>
  <c r="K206" i="53"/>
  <c r="H217" i="53"/>
  <c r="F339" i="79"/>
  <c r="D400" i="79"/>
  <c r="M297" i="133"/>
  <c r="H308" i="133"/>
  <c r="L205" i="51"/>
  <c r="I216" i="51"/>
  <c r="E201" i="49"/>
  <c r="C213" i="49"/>
  <c r="B159" i="59"/>
  <c r="J165" i="59" s="1"/>
  <c r="J222" i="59" s="1"/>
  <c r="D171" i="59"/>
  <c r="D228" i="59" s="1"/>
  <c r="H133" i="113"/>
  <c r="J159" i="113"/>
  <c r="F193" i="113"/>
  <c r="C184" i="141"/>
  <c r="I198" i="141" s="1"/>
  <c r="I276" i="141" s="1"/>
  <c r="M194" i="141"/>
  <c r="M272" i="141" s="1"/>
  <c r="H166" i="113"/>
  <c r="D174" i="113"/>
  <c r="C142" i="43"/>
  <c r="I154" i="43" s="1"/>
  <c r="I167" i="43" s="1"/>
  <c r="K152" i="43"/>
  <c r="K165" i="43" s="1"/>
  <c r="F270" i="119"/>
  <c r="I140" i="31"/>
  <c r="F177" i="31"/>
  <c r="M338" i="121"/>
  <c r="H384" i="121"/>
  <c r="J228" i="59"/>
  <c r="E295" i="133"/>
  <c r="C306" i="133"/>
  <c r="L339" i="135"/>
  <c r="I352" i="135"/>
  <c r="B207" i="123"/>
  <c r="H213" i="123" s="1"/>
  <c r="H291" i="123" s="1"/>
  <c r="D217" i="123"/>
  <c r="D295" i="123" s="1"/>
  <c r="J310" i="99"/>
  <c r="G363" i="99"/>
  <c r="E163" i="85"/>
  <c r="C172" i="85"/>
  <c r="K316" i="141"/>
  <c r="G328" i="141"/>
  <c r="F272" i="57"/>
  <c r="D285" i="57"/>
  <c r="K202" i="41"/>
  <c r="H214" i="41"/>
  <c r="F269" i="73"/>
  <c r="D283" i="73"/>
  <c r="B143" i="51"/>
  <c r="D153" i="51" s="1"/>
  <c r="D166" i="51" s="1"/>
  <c r="E205" i="51" s="1"/>
  <c r="H149" i="51"/>
  <c r="H162" i="51" s="1"/>
  <c r="H140" i="105"/>
  <c r="D174" i="105"/>
  <c r="K340" i="77"/>
  <c r="H356" i="77"/>
  <c r="H205" i="43"/>
  <c r="E216" i="43"/>
  <c r="J311" i="143"/>
  <c r="D355" i="143"/>
  <c r="J227" i="127"/>
  <c r="G238" i="127"/>
  <c r="N321" i="143"/>
  <c r="H331" i="143"/>
  <c r="G145" i="17"/>
  <c r="E179" i="17"/>
  <c r="J270" i="63"/>
  <c r="G283" i="63"/>
  <c r="E203" i="35"/>
  <c r="C245" i="35"/>
  <c r="H343" i="75"/>
  <c r="F359" i="75"/>
  <c r="L204" i="51"/>
  <c r="I215" i="51"/>
  <c r="E340" i="97"/>
  <c r="C353" i="97"/>
  <c r="B116" i="81"/>
  <c r="H128" i="81" s="1"/>
  <c r="H372" i="81" s="1"/>
  <c r="J126" i="81"/>
  <c r="J370" i="81" s="1"/>
  <c r="I202" i="51"/>
  <c r="F213" i="51"/>
  <c r="N350" i="75"/>
  <c r="K365" i="75"/>
  <c r="B175" i="79"/>
  <c r="D189" i="79" s="1"/>
  <c r="D298" i="79" s="1"/>
  <c r="L181" i="79"/>
  <c r="L290" i="79" s="1"/>
  <c r="G160" i="113"/>
  <c r="C194" i="113"/>
  <c r="R435" i="83"/>
  <c r="O452" i="83"/>
  <c r="J311" i="117"/>
  <c r="F361" i="117"/>
  <c r="B50" i="103"/>
  <c r="F54" i="103" s="1"/>
  <c r="F63" i="103" s="1"/>
  <c r="G90" i="103" s="1"/>
  <c r="B58" i="103"/>
  <c r="B67" i="103" s="1"/>
  <c r="C94" i="103" s="1"/>
  <c r="E164" i="95"/>
  <c r="C173" i="95"/>
  <c r="I227" i="127"/>
  <c r="F238" i="127"/>
  <c r="E221" i="89"/>
  <c r="C233" i="89"/>
  <c r="E140" i="31"/>
  <c r="C177" i="31"/>
  <c r="G295" i="139"/>
  <c r="C307" i="139"/>
  <c r="E206" i="41"/>
  <c r="C217" i="41"/>
  <c r="C29" i="107"/>
  <c r="C35" i="107" s="1"/>
  <c r="C162" i="107" s="1"/>
  <c r="D201" i="107" s="1"/>
  <c r="E33" i="107"/>
  <c r="E160" i="107" s="1"/>
  <c r="F199" i="107" s="1"/>
  <c r="L200" i="41"/>
  <c r="I212" i="41"/>
  <c r="I274" i="63"/>
  <c r="F287" i="63"/>
  <c r="J140" i="109"/>
  <c r="D168" i="109"/>
  <c r="G273" i="69"/>
  <c r="D286" i="69"/>
  <c r="N320" i="131"/>
  <c r="K333" i="131"/>
  <c r="E166" i="95"/>
  <c r="C175" i="95"/>
  <c r="G289" i="139"/>
  <c r="C339" i="139"/>
  <c r="G145" i="25"/>
  <c r="D154" i="25"/>
  <c r="D117" i="67"/>
  <c r="L131" i="67" s="1"/>
  <c r="L230" i="67" s="1"/>
  <c r="D115" i="67"/>
  <c r="H127" i="67"/>
  <c r="L198" i="51"/>
  <c r="I243" i="51"/>
  <c r="B121" i="131"/>
  <c r="B133" i="131" s="1"/>
  <c r="B274" i="131" s="1"/>
  <c r="C319" i="131" s="1"/>
  <c r="J125" i="131"/>
  <c r="J266" i="131" s="1"/>
  <c r="K271" i="61"/>
  <c r="H284" i="61"/>
  <c r="G202" i="37"/>
  <c r="E214" i="37"/>
  <c r="G340" i="79"/>
  <c r="E356" i="79"/>
  <c r="J144" i="29"/>
  <c r="G153" i="29"/>
  <c r="G316" i="131"/>
  <c r="E330" i="131"/>
  <c r="E91" i="9"/>
  <c r="E101" i="9"/>
  <c r="B60" i="87"/>
  <c r="F70" i="87" s="1"/>
  <c r="F132" i="87" s="1"/>
  <c r="H68" i="87"/>
  <c r="H130" i="87" s="1"/>
  <c r="F220" i="89"/>
  <c r="D265" i="89"/>
  <c r="C91" i="13"/>
  <c r="C101" i="13"/>
  <c r="M271" i="55"/>
  <c r="J319" i="55"/>
  <c r="G206" i="39"/>
  <c r="E217" i="39"/>
  <c r="J266" i="67"/>
  <c r="G319" i="67"/>
  <c r="L339" i="79"/>
  <c r="I400" i="79"/>
  <c r="B76" i="27"/>
  <c r="H80" i="27" s="1"/>
  <c r="H108" i="27" s="1"/>
  <c r="B86" i="27"/>
  <c r="B114" i="27" s="1"/>
  <c r="C147" i="27" s="1"/>
  <c r="G145" i="19"/>
  <c r="E179" i="19"/>
  <c r="E425" i="83"/>
  <c r="C443" i="83"/>
  <c r="B75" i="61"/>
  <c r="B85" i="61" s="1"/>
  <c r="B226" i="61" s="1"/>
  <c r="C271" i="61" s="1"/>
  <c r="H79" i="61"/>
  <c r="H220" i="61" s="1"/>
  <c r="L226" i="89"/>
  <c r="I237" i="89"/>
  <c r="B93" i="29"/>
  <c r="D103" i="29" s="1"/>
  <c r="D114" i="29" s="1"/>
  <c r="H99" i="29"/>
  <c r="H110" i="29" s="1"/>
  <c r="F423" i="81"/>
  <c r="D441" i="81"/>
  <c r="I342" i="79"/>
  <c r="G358" i="79"/>
  <c r="F313" i="93"/>
  <c r="D327" i="93"/>
  <c r="L344" i="121"/>
  <c r="G355" i="121"/>
  <c r="B86" i="45"/>
  <c r="H94" i="45" s="1"/>
  <c r="H164" i="45" s="1"/>
  <c r="F96" i="45"/>
  <c r="F166" i="45" s="1"/>
  <c r="K320" i="93"/>
  <c r="H333" i="93"/>
  <c r="L298" i="133"/>
  <c r="G309" i="133"/>
  <c r="N342" i="77"/>
  <c r="K358" i="77"/>
  <c r="H350" i="75"/>
  <c r="F365" i="75"/>
  <c r="G275" i="59"/>
  <c r="E288" i="59"/>
  <c r="E422" i="83"/>
  <c r="C440" i="83"/>
  <c r="J201" i="107"/>
  <c r="F242" i="107"/>
  <c r="E348" i="75"/>
  <c r="C363" i="75"/>
  <c r="J274" i="131"/>
  <c r="F318" i="93"/>
  <c r="D331" i="93"/>
  <c r="F199" i="53"/>
  <c r="D244" i="53"/>
  <c r="N314" i="119"/>
  <c r="J327" i="119"/>
  <c r="B54" i="73"/>
  <c r="D62" i="73" s="1"/>
  <c r="D224" i="73" s="1"/>
  <c r="F60" i="73"/>
  <c r="F222" i="73" s="1"/>
  <c r="E202" i="49"/>
  <c r="C214" i="49"/>
  <c r="I310" i="141"/>
  <c r="E360" i="141"/>
  <c r="J144" i="31"/>
  <c r="G153" i="31"/>
  <c r="K202" i="43"/>
  <c r="H213" i="43"/>
  <c r="N270" i="71"/>
  <c r="K284" i="71"/>
  <c r="L317" i="99"/>
  <c r="I330" i="99"/>
  <c r="L320" i="131"/>
  <c r="I333" i="131"/>
  <c r="K334" i="97"/>
  <c r="H387" i="97"/>
  <c r="N320" i="99"/>
  <c r="K333" i="99"/>
  <c r="F203" i="51"/>
  <c r="C214" i="51"/>
  <c r="F321" i="117"/>
  <c r="D333" i="117"/>
  <c r="C95" i="13"/>
  <c r="C121" i="13"/>
  <c r="J199" i="53"/>
  <c r="G244" i="53"/>
  <c r="H274" i="71"/>
  <c r="F287" i="71"/>
  <c r="E246" i="91"/>
  <c r="C257" i="91"/>
  <c r="B227" i="123"/>
  <c r="D241" i="123" s="1"/>
  <c r="D298" i="123" s="1"/>
  <c r="L233" i="123"/>
  <c r="L290" i="123" s="1"/>
  <c r="B88" i="89"/>
  <c r="H94" i="89" s="1"/>
  <c r="H183" i="89" s="1"/>
  <c r="D98" i="89"/>
  <c r="D187" i="89" s="1"/>
  <c r="F430" i="83"/>
  <c r="D447" i="83"/>
  <c r="D41" i="81"/>
  <c r="D47" i="81" s="1"/>
  <c r="D366" i="81" s="1"/>
  <c r="D39" i="81"/>
  <c r="B45" i="81"/>
  <c r="D268" i="119"/>
  <c r="H294" i="77"/>
  <c r="J426" i="83"/>
  <c r="H444" i="83"/>
  <c r="F201" i="35"/>
  <c r="D213" i="35"/>
  <c r="F228" i="89"/>
  <c r="D239" i="89"/>
  <c r="F275" i="55"/>
  <c r="D288" i="55"/>
  <c r="I271" i="57"/>
  <c r="G319" i="57"/>
  <c r="Q427" i="81"/>
  <c r="N445" i="81"/>
  <c r="B36" i="7"/>
  <c r="D44" i="7" s="1"/>
  <c r="D68" i="7" s="1"/>
  <c r="F42" i="7"/>
  <c r="F66" i="7" s="1"/>
  <c r="C124" i="129"/>
  <c r="E136" i="129" s="1"/>
  <c r="E168" i="129" s="1"/>
  <c r="F207" i="129" s="1"/>
  <c r="K130" i="129"/>
  <c r="K162" i="129" s="1"/>
  <c r="F314" i="131"/>
  <c r="D328" i="131"/>
  <c r="B117" i="73"/>
  <c r="B129" i="73" s="1"/>
  <c r="B228" i="73" s="1"/>
  <c r="C273" i="73" s="1"/>
  <c r="J121" i="73"/>
  <c r="J220" i="73" s="1"/>
  <c r="H432" i="83"/>
  <c r="F449" i="83"/>
  <c r="L341" i="97"/>
  <c r="I354" i="97"/>
  <c r="G266" i="65"/>
  <c r="E280" i="65"/>
  <c r="N267" i="57"/>
  <c r="K281" i="57"/>
  <c r="F202" i="39"/>
  <c r="D214" i="39"/>
  <c r="E265" i="73"/>
  <c r="C318" i="73"/>
  <c r="C225" i="131"/>
  <c r="K233" i="131" s="1"/>
  <c r="K269" i="131" s="1"/>
  <c r="G237" i="131"/>
  <c r="G273" i="131" s="1"/>
  <c r="G163" i="125"/>
  <c r="C171" i="125"/>
  <c r="L202" i="129"/>
  <c r="H213" i="129"/>
  <c r="B105" i="39"/>
  <c r="D117" i="39" s="1"/>
  <c r="D168" i="39" s="1"/>
  <c r="J111" i="39"/>
  <c r="J162" i="39" s="1"/>
  <c r="H114" i="31"/>
  <c r="G144" i="23"/>
  <c r="D153" i="23"/>
  <c r="G203" i="43"/>
  <c r="D214" i="43"/>
  <c r="F340" i="135"/>
  <c r="D353" i="135"/>
  <c r="M346" i="77"/>
  <c r="J361" i="77"/>
  <c r="G319" i="141"/>
  <c r="C331" i="141"/>
  <c r="N272" i="71"/>
  <c r="K285" i="71"/>
  <c r="L192" i="139"/>
  <c r="L249" i="139" s="1"/>
  <c r="B182" i="139"/>
  <c r="H196" i="139" s="1"/>
  <c r="H253" i="139" s="1"/>
  <c r="D116" i="83"/>
  <c r="J128" i="83" s="1"/>
  <c r="J372" i="83" s="1"/>
  <c r="D114" i="83"/>
  <c r="H126" i="83"/>
  <c r="H370" i="83" s="1"/>
  <c r="B105" i="53"/>
  <c r="H117" i="53" s="1"/>
  <c r="H168" i="53" s="1"/>
  <c r="J115" i="53"/>
  <c r="J166" i="53" s="1"/>
  <c r="J342" i="97"/>
  <c r="G355" i="97"/>
  <c r="F269" i="71"/>
  <c r="D283" i="71"/>
  <c r="I200" i="107"/>
  <c r="E212" i="107"/>
  <c r="J142" i="109"/>
  <c r="D170" i="109"/>
  <c r="E140" i="17"/>
  <c r="C177" i="17"/>
  <c r="E430" i="81"/>
  <c r="C447" i="81"/>
  <c r="B226" i="99"/>
  <c r="D240" i="99" s="1"/>
  <c r="D276" i="99" s="1"/>
  <c r="L232" i="99"/>
  <c r="L268" i="99" s="1"/>
  <c r="B71" i="91"/>
  <c r="H83" i="91" s="1"/>
  <c r="H210" i="91" s="1"/>
  <c r="J81" i="91"/>
  <c r="J208" i="91" s="1"/>
  <c r="E141" i="27"/>
  <c r="C178" i="27"/>
  <c r="F269" i="67"/>
  <c r="C282" i="67"/>
  <c r="H271" i="59"/>
  <c r="F319" i="59"/>
  <c r="I318" i="99"/>
  <c r="F331" i="99"/>
  <c r="J147" i="25"/>
  <c r="G156" i="25"/>
  <c r="B29" i="51"/>
  <c r="B35" i="51" s="1"/>
  <c r="B162" i="51" s="1"/>
  <c r="C201" i="51" s="1"/>
  <c r="D33" i="51"/>
  <c r="D160" i="51" s="1"/>
  <c r="E199" i="51" s="1"/>
  <c r="H160" i="125"/>
  <c r="D194" i="125"/>
  <c r="I207" i="107"/>
  <c r="E217" i="107"/>
  <c r="L316" i="141"/>
  <c r="H328" i="141"/>
  <c r="E314" i="131"/>
  <c r="C328" i="131"/>
  <c r="F198" i="43"/>
  <c r="C243" i="43"/>
  <c r="B228" i="97"/>
  <c r="D242" i="97" s="1"/>
  <c r="D299" i="97" s="1"/>
  <c r="L234" i="97"/>
  <c r="L291" i="97" s="1"/>
  <c r="K339" i="135"/>
  <c r="H352" i="135"/>
  <c r="J207" i="51"/>
  <c r="G218" i="51"/>
  <c r="B61" i="113"/>
  <c r="F71" i="113" s="1"/>
  <c r="F133" i="113" s="1"/>
  <c r="H69" i="113"/>
  <c r="H131" i="113" s="1"/>
  <c r="N273" i="111"/>
  <c r="J285" i="111"/>
  <c r="L206" i="107"/>
  <c r="H216" i="107"/>
  <c r="N321" i="141"/>
  <c r="J333" i="141"/>
  <c r="B127" i="87"/>
  <c r="C160" i="87" s="1"/>
  <c r="D141" i="43"/>
  <c r="D143" i="43"/>
  <c r="J155" i="43" s="1"/>
  <c r="H153" i="43"/>
  <c r="H166" i="43" s="1"/>
  <c r="B54" i="63"/>
  <c r="B64" i="63" s="1"/>
  <c r="B226" i="63" s="1"/>
  <c r="C271" i="63" s="1"/>
  <c r="H58" i="63"/>
  <c r="H220" i="63" s="1"/>
  <c r="J266" i="65"/>
  <c r="G280" i="65"/>
  <c r="B226" i="93"/>
  <c r="D240" i="93" s="1"/>
  <c r="D276" i="93" s="1"/>
  <c r="L232" i="93"/>
  <c r="L268" i="93" s="1"/>
  <c r="K289" i="133"/>
  <c r="F303" i="133"/>
  <c r="J341" i="135"/>
  <c r="G354" i="135"/>
  <c r="N342" i="123"/>
  <c r="I353" i="123"/>
  <c r="N270" i="59"/>
  <c r="K284" i="59"/>
  <c r="J316" i="93"/>
  <c r="G329" i="93"/>
  <c r="I318" i="141"/>
  <c r="E330" i="141"/>
  <c r="L272" i="71"/>
  <c r="I285" i="71"/>
  <c r="K312" i="119"/>
  <c r="G326" i="119"/>
  <c r="F269" i="65"/>
  <c r="D319" i="65"/>
  <c r="I204" i="51"/>
  <c r="F215" i="51"/>
  <c r="G142" i="25"/>
  <c r="D179" i="25"/>
  <c r="C163" i="143"/>
  <c r="G177" i="143" s="1"/>
  <c r="G276" i="143" s="1"/>
  <c r="H321" i="143" s="1"/>
  <c r="M171" i="143"/>
  <c r="M270" i="143" s="1"/>
  <c r="B138" i="59"/>
  <c r="L148" i="59" s="1"/>
  <c r="L226" i="59" s="1"/>
  <c r="H152" i="59"/>
  <c r="H230" i="59" s="1"/>
  <c r="J427" i="83"/>
  <c r="H445" i="83"/>
  <c r="M266" i="73"/>
  <c r="J280" i="73"/>
  <c r="G143" i="27"/>
  <c r="D179" i="27"/>
  <c r="J206" i="51"/>
  <c r="G217" i="51"/>
  <c r="I336" i="97"/>
  <c r="F350" i="97"/>
  <c r="J334" i="123"/>
  <c r="E381" i="123"/>
  <c r="G204" i="51"/>
  <c r="D215" i="51"/>
  <c r="H272" i="63"/>
  <c r="E285" i="63"/>
  <c r="B86" i="107"/>
  <c r="H92" i="107" s="1"/>
  <c r="H162" i="107" s="1"/>
  <c r="D96" i="107"/>
  <c r="D166" i="107" s="1"/>
  <c r="E204" i="53"/>
  <c r="C215" i="53"/>
  <c r="C228" i="123"/>
  <c r="E242" i="123" s="1"/>
  <c r="E299" i="123" s="1"/>
  <c r="F344" i="123" s="1"/>
  <c r="M234" i="123"/>
  <c r="M291" i="123" s="1"/>
  <c r="J298" i="139"/>
  <c r="F310" i="139"/>
  <c r="H272" i="141"/>
  <c r="F423" i="83"/>
  <c r="D441" i="83"/>
  <c r="K200" i="41"/>
  <c r="H212" i="41"/>
  <c r="M270" i="63"/>
  <c r="J283" i="63"/>
  <c r="J160" i="137"/>
  <c r="F194" i="137"/>
  <c r="K269" i="69"/>
  <c r="H282" i="69"/>
  <c r="I162" i="95"/>
  <c r="F198" i="95"/>
  <c r="B58" i="141"/>
  <c r="B68" i="141" s="1"/>
  <c r="B272" i="141" s="1"/>
  <c r="C317" i="141" s="1"/>
  <c r="H62" i="141"/>
  <c r="H266" i="141" s="1"/>
  <c r="N347" i="77"/>
  <c r="K362" i="77"/>
  <c r="G206" i="129"/>
  <c r="D216" i="129"/>
  <c r="G161" i="113"/>
  <c r="C195" i="113"/>
  <c r="H142" i="21"/>
  <c r="E152" i="21"/>
  <c r="B180" i="111"/>
  <c r="B192" i="111" s="1"/>
  <c r="B228" i="111" s="1"/>
  <c r="C273" i="111" s="1"/>
  <c r="J184" i="111"/>
  <c r="J220" i="111" s="1"/>
  <c r="N343" i="77"/>
  <c r="K359" i="77"/>
  <c r="F266" i="67"/>
  <c r="C319" i="67"/>
  <c r="H313" i="131"/>
  <c r="F327" i="131"/>
  <c r="M266" i="57"/>
  <c r="J280" i="57"/>
  <c r="L349" i="77"/>
  <c r="I364" i="77"/>
  <c r="I219" i="89"/>
  <c r="F264" i="89"/>
  <c r="N318" i="143"/>
  <c r="H328" i="143"/>
  <c r="L315" i="93"/>
  <c r="I365" i="93"/>
  <c r="J143" i="109"/>
  <c r="D171" i="109"/>
  <c r="K202" i="129"/>
  <c r="G213" i="129"/>
  <c r="F206" i="41"/>
  <c r="D217" i="41"/>
  <c r="K207" i="129"/>
  <c r="G217" i="129"/>
  <c r="K204" i="41"/>
  <c r="H215" i="41"/>
  <c r="F205" i="39"/>
  <c r="D216" i="39"/>
  <c r="K311" i="117"/>
  <c r="G361" i="117"/>
  <c r="N274" i="67"/>
  <c r="K287" i="67"/>
  <c r="C143" i="135"/>
  <c r="E155" i="135" s="1"/>
  <c r="E296" i="135" s="1"/>
  <c r="K149" i="135"/>
  <c r="K290" i="135" s="1"/>
  <c r="L312" i="141"/>
  <c r="H362" i="141"/>
  <c r="I140" i="105"/>
  <c r="E174" i="105"/>
  <c r="H290" i="139"/>
  <c r="D340" i="139"/>
  <c r="H199" i="45"/>
  <c r="E244" i="45"/>
  <c r="J159" i="137"/>
  <c r="F193" i="137"/>
  <c r="G144" i="29"/>
  <c r="D153" i="29"/>
  <c r="I273" i="61"/>
  <c r="F286" i="61"/>
  <c r="K226" i="115"/>
  <c r="G236" i="115"/>
  <c r="C393" i="143"/>
  <c r="H478" i="143" s="1"/>
  <c r="G478" i="143"/>
  <c r="E342" i="79"/>
  <c r="C358" i="79"/>
  <c r="H146" i="29"/>
  <c r="E155" i="29"/>
  <c r="C93" i="9"/>
  <c r="C119" i="9"/>
  <c r="B21" i="13"/>
  <c r="B27" i="13" s="1"/>
  <c r="B66" i="13" s="1"/>
  <c r="D25" i="13"/>
  <c r="D64" i="13" s="1"/>
  <c r="F339" i="75"/>
  <c r="D400" i="75"/>
  <c r="I140" i="23"/>
  <c r="F177" i="23"/>
  <c r="K202" i="39"/>
  <c r="H214" i="39"/>
  <c r="B25" i="109"/>
  <c r="B31" i="109" s="1"/>
  <c r="B110" i="109" s="1"/>
  <c r="C143" i="109" s="1"/>
  <c r="D29" i="109"/>
  <c r="D108" i="109" s="1"/>
  <c r="E141" i="109" s="1"/>
  <c r="F270" i="67"/>
  <c r="C283" i="67"/>
  <c r="J265" i="61"/>
  <c r="G318" i="61"/>
  <c r="N336" i="121"/>
  <c r="I382" i="121"/>
  <c r="I199" i="41"/>
  <c r="F244" i="41"/>
  <c r="E312" i="117"/>
  <c r="C326" i="117"/>
  <c r="B95" i="85"/>
  <c r="B103" i="85" s="1"/>
  <c r="B131" i="85" s="1"/>
  <c r="C164" i="85" s="1"/>
  <c r="F99" i="85"/>
  <c r="F127" i="85" s="1"/>
  <c r="J228" i="89"/>
  <c r="G239" i="89"/>
  <c r="L202" i="47"/>
  <c r="I214" i="47"/>
  <c r="G344" i="79"/>
  <c r="E360" i="79"/>
  <c r="F198" i="47"/>
  <c r="D243" i="47"/>
  <c r="H273" i="59"/>
  <c r="F286" i="59"/>
  <c r="L202" i="35"/>
  <c r="I214" i="35"/>
  <c r="L333" i="135"/>
  <c r="I386" i="135"/>
  <c r="C92" i="11"/>
  <c r="C119" i="11"/>
  <c r="P342" i="75"/>
  <c r="M358" i="75"/>
  <c r="M269" i="59"/>
  <c r="J283" i="59"/>
  <c r="M341" i="135"/>
  <c r="J354" i="135"/>
  <c r="L267" i="57"/>
  <c r="I281" i="57"/>
  <c r="I266" i="61"/>
  <c r="F280" i="61"/>
  <c r="J145" i="29"/>
  <c r="G154" i="29"/>
  <c r="B100" i="131"/>
  <c r="J114" i="131" s="1"/>
  <c r="J276" i="131" s="1"/>
  <c r="L112" i="131"/>
  <c r="L274" i="131" s="1"/>
  <c r="G200" i="53"/>
  <c r="E212" i="53"/>
  <c r="C50" i="103"/>
  <c r="G54" i="103" s="1"/>
  <c r="G63" i="103" s="1"/>
  <c r="H90" i="103" s="1"/>
  <c r="C58" i="103"/>
  <c r="C67" i="103" s="1"/>
  <c r="B127" i="95"/>
  <c r="C160" i="95" s="1"/>
  <c r="B42" i="109"/>
  <c r="D50" i="109" s="1"/>
  <c r="D112" i="109" s="1"/>
  <c r="E145" i="109" s="1"/>
  <c r="F48" i="109"/>
  <c r="F110" i="109" s="1"/>
  <c r="G143" i="109" s="1"/>
  <c r="G200" i="51"/>
  <c r="D245" i="51"/>
  <c r="B25" i="21"/>
  <c r="B31" i="21" s="1"/>
  <c r="B110" i="21" s="1"/>
  <c r="C143" i="21" s="1"/>
  <c r="D29" i="21"/>
  <c r="D108" i="21" s="1"/>
  <c r="G206" i="43"/>
  <c r="D217" i="43"/>
  <c r="B205" i="119"/>
  <c r="H211" i="119" s="1"/>
  <c r="H268" i="119" s="1"/>
  <c r="D215" i="119"/>
  <c r="D272" i="119" s="1"/>
  <c r="I198" i="53"/>
  <c r="F243" i="53"/>
  <c r="M341" i="123"/>
  <c r="H352" i="123"/>
  <c r="J319" i="99"/>
  <c r="G332" i="99"/>
  <c r="M349" i="79"/>
  <c r="J364" i="79"/>
  <c r="B108" i="33"/>
  <c r="C141" i="33" s="1"/>
  <c r="I270" i="59"/>
  <c r="G284" i="59"/>
  <c r="F431" i="81"/>
  <c r="D448" i="81"/>
  <c r="I144" i="17"/>
  <c r="F154" i="17"/>
  <c r="F338" i="77"/>
  <c r="D399" i="77"/>
  <c r="N268" i="111"/>
  <c r="J281" i="111"/>
  <c r="B159" i="55"/>
  <c r="D173" i="55" s="1"/>
  <c r="D230" i="55" s="1"/>
  <c r="L165" i="55"/>
  <c r="L222" i="55" s="1"/>
  <c r="E159" i="95"/>
  <c r="C196" i="95"/>
  <c r="F205" i="53"/>
  <c r="D216" i="53"/>
  <c r="I242" i="91"/>
  <c r="F254" i="91"/>
  <c r="K336" i="123"/>
  <c r="F382" i="123"/>
  <c r="B249" i="97"/>
  <c r="J257" i="97" s="1"/>
  <c r="J293" i="97" s="1"/>
  <c r="F261" i="97"/>
  <c r="F297" i="97" s="1"/>
  <c r="K204" i="45"/>
  <c r="H215" i="45"/>
  <c r="N422" i="83"/>
  <c r="K440" i="83"/>
  <c r="L316" i="143"/>
  <c r="F326" i="143"/>
  <c r="P430" i="83"/>
  <c r="M447" i="83"/>
  <c r="C40" i="81"/>
  <c r="C46" i="81" s="1"/>
  <c r="C365" i="81" s="1"/>
  <c r="D422" i="81" s="1"/>
  <c r="E44" i="81"/>
  <c r="E363" i="81" s="1"/>
  <c r="L200" i="53"/>
  <c r="I212" i="53"/>
  <c r="B37" i="119"/>
  <c r="B43" i="119" s="1"/>
  <c r="B268" i="119" s="1"/>
  <c r="C313" i="119" s="1"/>
  <c r="D41" i="119"/>
  <c r="D266" i="119" s="1"/>
  <c r="B83" i="77"/>
  <c r="F93" i="77" s="1"/>
  <c r="F294" i="77" s="1"/>
  <c r="H91" i="77"/>
  <c r="H292" i="77" s="1"/>
  <c r="N346" i="77"/>
  <c r="K361" i="77"/>
  <c r="M312" i="93"/>
  <c r="J326" i="93"/>
  <c r="M334" i="121"/>
  <c r="H381" i="121"/>
  <c r="B75" i="57"/>
  <c r="F85" i="57" s="1"/>
  <c r="F226" i="57" s="1"/>
  <c r="H83" i="57"/>
  <c r="H224" i="57" s="1"/>
  <c r="B163" i="141"/>
  <c r="D171" i="141" s="1"/>
  <c r="D270" i="141" s="1"/>
  <c r="E315" i="141" s="1"/>
  <c r="F169" i="141"/>
  <c r="F268" i="141" s="1"/>
  <c r="E430" i="83"/>
  <c r="C447" i="83"/>
  <c r="L206" i="41"/>
  <c r="I217" i="41"/>
  <c r="L207" i="129"/>
  <c r="H217" i="129"/>
  <c r="C162" i="131"/>
  <c r="E176" i="131" s="1"/>
  <c r="E275" i="131" s="1"/>
  <c r="M168" i="131"/>
  <c r="M267" i="131" s="1"/>
  <c r="P424" i="83"/>
  <c r="M442" i="83"/>
  <c r="D95" i="11"/>
  <c r="D102" i="11"/>
  <c r="E268" i="65"/>
  <c r="C282" i="65"/>
  <c r="G266" i="111"/>
  <c r="D280" i="111"/>
  <c r="F275" i="57"/>
  <c r="D288" i="57"/>
  <c r="K310" i="99"/>
  <c r="H363" i="99"/>
  <c r="D226" i="131"/>
  <c r="F234" i="131" s="1"/>
  <c r="F270" i="131" s="1"/>
  <c r="D224" i="131"/>
  <c r="J238" i="131"/>
  <c r="B25" i="19"/>
  <c r="B31" i="19" s="1"/>
  <c r="B110" i="19" s="1"/>
  <c r="C143" i="19" s="1"/>
  <c r="D29" i="19"/>
  <c r="D108" i="19" s="1"/>
  <c r="N311" i="131"/>
  <c r="K364" i="131"/>
  <c r="B43" i="125"/>
  <c r="D51" i="125" s="1"/>
  <c r="D130" i="125" s="1"/>
  <c r="E163" i="125" s="1"/>
  <c r="F49" i="125"/>
  <c r="F128" i="125" s="1"/>
  <c r="K200" i="129"/>
  <c r="G212" i="129"/>
  <c r="I147" i="19"/>
  <c r="F156" i="19"/>
  <c r="B108" i="23"/>
  <c r="C141" i="23" s="1"/>
  <c r="N271" i="71"/>
  <c r="K319" i="71"/>
  <c r="J336" i="135"/>
  <c r="G350" i="135"/>
  <c r="K348" i="77"/>
  <c r="H363" i="77"/>
  <c r="K315" i="141"/>
  <c r="G327" i="141"/>
  <c r="L274" i="71"/>
  <c r="I287" i="71"/>
  <c r="L253" i="139"/>
  <c r="I146" i="29"/>
  <c r="F155" i="29"/>
  <c r="J168" i="53"/>
  <c r="B44" i="87"/>
  <c r="D52" i="87" s="1"/>
  <c r="D131" i="87" s="1"/>
  <c r="F50" i="87"/>
  <c r="F129" i="87" s="1"/>
  <c r="M319" i="117"/>
  <c r="I331" i="117"/>
  <c r="M422" i="81"/>
  <c r="J440" i="81"/>
  <c r="C143" i="107"/>
  <c r="K151" i="107" s="1"/>
  <c r="K164" i="107" s="1"/>
  <c r="G155" i="107"/>
  <c r="G168" i="107" s="1"/>
  <c r="H207" i="107" s="1"/>
  <c r="F221" i="127"/>
  <c r="D233" i="127"/>
  <c r="H267" i="59"/>
  <c r="F281" i="59"/>
  <c r="B115" i="83"/>
  <c r="H127" i="83" s="1"/>
  <c r="H371" i="83" s="1"/>
  <c r="J125" i="83"/>
  <c r="J369" i="83" s="1"/>
  <c r="B143" i="129"/>
  <c r="J151" i="129" s="1"/>
  <c r="J164" i="129" s="1"/>
  <c r="F155" i="129"/>
  <c r="F168" i="129" s="1"/>
  <c r="D95" i="5"/>
  <c r="D121" i="5"/>
  <c r="F266" i="65"/>
  <c r="D280" i="65"/>
  <c r="J318" i="141"/>
  <c r="F330" i="141"/>
  <c r="B159" i="65"/>
  <c r="D169" i="65" s="1"/>
  <c r="D226" i="65" s="1"/>
  <c r="H165" i="65"/>
  <c r="H222" i="65" s="1"/>
  <c r="E338" i="75"/>
  <c r="C399" i="75"/>
  <c r="I198" i="47"/>
  <c r="F243" i="47"/>
  <c r="I341" i="135"/>
  <c r="F354" i="135"/>
  <c r="L273" i="67"/>
  <c r="I286" i="67"/>
  <c r="L275" i="111"/>
  <c r="H287" i="111"/>
  <c r="C142" i="107"/>
  <c r="K150" i="107" s="1"/>
  <c r="K163" i="107" s="1"/>
  <c r="G154" i="107"/>
  <c r="G167" i="107" s="1"/>
  <c r="H206" i="107" s="1"/>
  <c r="K339" i="121"/>
  <c r="F350" i="121"/>
  <c r="B27" i="87"/>
  <c r="B33" i="87" s="1"/>
  <c r="B129" i="87" s="1"/>
  <c r="C162" i="87" s="1"/>
  <c r="D31" i="87"/>
  <c r="D127" i="87" s="1"/>
  <c r="B181" i="89"/>
  <c r="C220" i="89" s="1"/>
  <c r="F198" i="51"/>
  <c r="C243" i="51"/>
  <c r="H226" i="63"/>
  <c r="F270" i="65"/>
  <c r="D283" i="65"/>
  <c r="B93" i="105"/>
  <c r="B101" i="105" s="1"/>
  <c r="B112" i="105" s="1"/>
  <c r="C145" i="105" s="1"/>
  <c r="F97" i="105"/>
  <c r="F108" i="105" s="1"/>
  <c r="G314" i="131"/>
  <c r="E328" i="131"/>
  <c r="D93" i="9"/>
  <c r="D119" i="9"/>
  <c r="B117" i="63"/>
  <c r="J125" i="63" s="1"/>
  <c r="J224" i="63" s="1"/>
  <c r="F129" i="63"/>
  <c r="F228" i="63" s="1"/>
  <c r="L344" i="123"/>
  <c r="G355" i="123"/>
  <c r="J207" i="49"/>
  <c r="G218" i="49"/>
  <c r="B138" i="55"/>
  <c r="J144" i="55" s="1"/>
  <c r="J222" i="55" s="1"/>
  <c r="D150" i="55"/>
  <c r="D228" i="55" s="1"/>
  <c r="M421" i="83"/>
  <c r="J490" i="83"/>
  <c r="B76" i="19"/>
  <c r="H84" i="19" s="1"/>
  <c r="H112" i="19" s="1"/>
  <c r="F86" i="19"/>
  <c r="F114" i="19" s="1"/>
  <c r="J159" i="87"/>
  <c r="G196" i="87"/>
  <c r="N334" i="135"/>
  <c r="K387" i="135"/>
  <c r="E318" i="119"/>
  <c r="C330" i="119"/>
  <c r="K333" i="123"/>
  <c r="F380" i="123"/>
  <c r="F267" i="71"/>
  <c r="D281" i="71"/>
  <c r="G201" i="47"/>
  <c r="E213" i="47"/>
  <c r="B76" i="17"/>
  <c r="F86" i="17" s="1"/>
  <c r="F114" i="17" s="1"/>
  <c r="H84" i="17"/>
  <c r="H112" i="17" s="1"/>
  <c r="E274" i="73"/>
  <c r="C287" i="73"/>
  <c r="E145" i="27"/>
  <c r="C154" i="27"/>
  <c r="E90" i="5"/>
  <c r="E100" i="5"/>
  <c r="H198" i="45"/>
  <c r="E243" i="45"/>
  <c r="H271" i="57"/>
  <c r="F319" i="57"/>
  <c r="N268" i="69"/>
  <c r="K281" i="69"/>
  <c r="H275" i="59"/>
  <c r="F288" i="59"/>
  <c r="L268" i="63"/>
  <c r="I281" i="63"/>
  <c r="I200" i="53"/>
  <c r="F212" i="53"/>
  <c r="I291" i="139"/>
  <c r="E303" i="139"/>
  <c r="P345" i="75"/>
  <c r="M401" i="75"/>
  <c r="B98" i="133"/>
  <c r="J112" i="133" s="1"/>
  <c r="J253" i="133" s="1"/>
  <c r="L110" i="133"/>
  <c r="L251" i="133" s="1"/>
  <c r="N315" i="141"/>
  <c r="J327" i="141"/>
  <c r="E143" i="31"/>
  <c r="C179" i="31"/>
  <c r="D91" i="5"/>
  <c r="D101" i="5"/>
  <c r="I206" i="41"/>
  <c r="F217" i="41"/>
  <c r="J201" i="39"/>
  <c r="G213" i="39"/>
  <c r="J310" i="117"/>
  <c r="F360" i="117"/>
  <c r="H205" i="45"/>
  <c r="E216" i="45"/>
  <c r="C116" i="67"/>
  <c r="I130" i="67" s="1"/>
  <c r="I229" i="67" s="1"/>
  <c r="M126" i="67"/>
  <c r="M225" i="67" s="1"/>
  <c r="B144" i="121"/>
  <c r="D156" i="121" s="1"/>
  <c r="D297" i="121" s="1"/>
  <c r="J150" i="121"/>
  <c r="J291" i="121" s="1"/>
  <c r="G342" i="79"/>
  <c r="E358" i="79"/>
  <c r="K221" i="127"/>
  <c r="H233" i="127"/>
  <c r="B164" i="97"/>
  <c r="F178" i="97" s="1"/>
  <c r="F298" i="97" s="1"/>
  <c r="L172" i="97"/>
  <c r="L292" i="97" s="1"/>
  <c r="E205" i="39"/>
  <c r="C216" i="39"/>
  <c r="B186" i="135"/>
  <c r="B198" i="135" s="1"/>
  <c r="B297" i="135" s="1"/>
  <c r="C342" i="135" s="1"/>
  <c r="J190" i="135"/>
  <c r="J289" i="135" s="1"/>
  <c r="I228" i="115"/>
  <c r="E238" i="115"/>
  <c r="H423" i="81"/>
  <c r="F441" i="81"/>
  <c r="B77" i="139"/>
  <c r="D87" i="139" s="1"/>
  <c r="D249" i="139" s="1"/>
  <c r="E294" i="139" s="1"/>
  <c r="H83" i="139"/>
  <c r="H245" i="139" s="1"/>
  <c r="C164" i="97"/>
  <c r="G178" i="97" s="1"/>
  <c r="G298" i="97" s="1"/>
  <c r="H343" i="97" s="1"/>
  <c r="M172" i="97"/>
  <c r="M292" i="97" s="1"/>
  <c r="F117" i="37"/>
  <c r="F168" i="37" s="1"/>
  <c r="B105" i="37"/>
  <c r="J113" i="37" s="1"/>
  <c r="J164" i="37" s="1"/>
  <c r="N295" i="133"/>
  <c r="I306" i="133"/>
  <c r="J142" i="17"/>
  <c r="G152" i="17"/>
  <c r="E93" i="13"/>
  <c r="E119" i="13"/>
  <c r="F337" i="135"/>
  <c r="D351" i="135"/>
  <c r="I164" i="125"/>
  <c r="E172" i="125"/>
  <c r="I163" i="113"/>
  <c r="E171" i="113"/>
  <c r="L269" i="59"/>
  <c r="I283" i="59"/>
  <c r="J164" i="125"/>
  <c r="F172" i="125"/>
  <c r="F341" i="75"/>
  <c r="D357" i="75"/>
  <c r="K343" i="135"/>
  <c r="H356" i="135"/>
  <c r="F273" i="57"/>
  <c r="D286" i="57"/>
  <c r="E270" i="61"/>
  <c r="C283" i="61"/>
  <c r="B119" i="139"/>
  <c r="B129" i="139" s="1"/>
  <c r="B249" i="139" s="1"/>
  <c r="C294" i="139" s="1"/>
  <c r="H123" i="139"/>
  <c r="H243" i="139" s="1"/>
  <c r="H147" i="29"/>
  <c r="E156" i="29"/>
  <c r="G248" i="91"/>
  <c r="E259" i="91"/>
  <c r="E202" i="53"/>
  <c r="C214" i="53"/>
  <c r="D51" i="103"/>
  <c r="B55" i="103" s="1"/>
  <c r="F59" i="103"/>
  <c r="F68" i="103" s="1"/>
  <c r="G95" i="103" s="1"/>
  <c r="D49" i="103"/>
  <c r="E316" i="119"/>
  <c r="C328" i="119"/>
  <c r="B27" i="95"/>
  <c r="B33" i="95" s="1"/>
  <c r="B129" i="95" s="1"/>
  <c r="C162" i="95" s="1"/>
  <c r="D31" i="95"/>
  <c r="D127" i="95" s="1"/>
  <c r="H143" i="25"/>
  <c r="E152" i="25"/>
  <c r="D110" i="21"/>
  <c r="B180" i="71"/>
  <c r="F194" i="71" s="1"/>
  <c r="F230" i="71" s="1"/>
  <c r="L188" i="71"/>
  <c r="L224" i="71" s="1"/>
  <c r="C94" i="11"/>
  <c r="C121" i="11"/>
  <c r="B91" i="83"/>
  <c r="F101" i="83" s="1"/>
  <c r="F370" i="83" s="1"/>
  <c r="H99" i="83"/>
  <c r="H368" i="83" s="1"/>
  <c r="K343" i="123"/>
  <c r="F354" i="123"/>
  <c r="M273" i="65"/>
  <c r="J286" i="65"/>
  <c r="H267" i="57"/>
  <c r="F281" i="57"/>
  <c r="E337" i="123"/>
  <c r="C383" i="123"/>
  <c r="K205" i="39"/>
  <c r="H216" i="39"/>
  <c r="E143" i="33"/>
  <c r="C153" i="33"/>
  <c r="N423" i="81"/>
  <c r="K441" i="81"/>
  <c r="I287" i="139"/>
  <c r="E337" i="139"/>
  <c r="G146" i="17"/>
  <c r="E155" i="17"/>
  <c r="B123" i="41"/>
  <c r="D133" i="41" s="1"/>
  <c r="D165" i="41" s="1"/>
  <c r="H129" i="41"/>
  <c r="H161" i="41" s="1"/>
  <c r="H314" i="131"/>
  <c r="F328" i="131"/>
  <c r="N342" i="135"/>
  <c r="K355" i="135"/>
  <c r="J201" i="53"/>
  <c r="G213" i="53"/>
  <c r="E342" i="123"/>
  <c r="C353" i="123"/>
  <c r="C205" i="131"/>
  <c r="M215" i="131" s="1"/>
  <c r="M272" i="131" s="1"/>
  <c r="I219" i="131"/>
  <c r="I276" i="131" s="1"/>
  <c r="J321" i="131" s="1"/>
  <c r="I206" i="45"/>
  <c r="F217" i="45"/>
  <c r="L226" i="127"/>
  <c r="I237" i="127"/>
  <c r="J318" i="143"/>
  <c r="D328" i="143"/>
  <c r="N432" i="83"/>
  <c r="K449" i="83"/>
  <c r="F422" i="81"/>
  <c r="D440" i="81"/>
  <c r="F206" i="53"/>
  <c r="D217" i="53"/>
  <c r="I316" i="141"/>
  <c r="E328" i="141"/>
  <c r="J267" i="65"/>
  <c r="G281" i="65"/>
  <c r="L348" i="77"/>
  <c r="I363" i="77"/>
  <c r="E320" i="93"/>
  <c r="C333" i="93"/>
  <c r="G203" i="39"/>
  <c r="E245" i="39"/>
  <c r="M272" i="65"/>
  <c r="J285" i="65"/>
  <c r="M422" i="83"/>
  <c r="J440" i="83"/>
  <c r="H143" i="21"/>
  <c r="E179" i="21"/>
  <c r="M273" i="73"/>
  <c r="J286" i="73"/>
  <c r="M321" i="99"/>
  <c r="J334" i="99"/>
  <c r="D163" i="131"/>
  <c r="L177" i="131" s="1"/>
  <c r="L276" i="131" s="1"/>
  <c r="D161" i="131"/>
  <c r="D169" i="131"/>
  <c r="D268" i="131" s="1"/>
  <c r="B162" i="131"/>
  <c r="D176" i="131" s="1"/>
  <c r="D275" i="131" s="1"/>
  <c r="L168" i="131"/>
  <c r="L267" i="131" s="1"/>
  <c r="H91" i="11"/>
  <c r="E101" i="11"/>
  <c r="E268" i="111"/>
  <c r="C281" i="111"/>
  <c r="N272" i="67"/>
  <c r="K285" i="67"/>
  <c r="B93" i="25"/>
  <c r="B101" i="25" s="1"/>
  <c r="B112" i="25" s="1"/>
  <c r="C145" i="25" s="1"/>
  <c r="F97" i="25"/>
  <c r="F108" i="25" s="1"/>
  <c r="J219" i="127"/>
  <c r="G264" i="127"/>
  <c r="L273" i="71"/>
  <c r="I286" i="71"/>
  <c r="M274" i="65"/>
  <c r="J287" i="65"/>
  <c r="E143" i="19"/>
  <c r="C153" i="19"/>
  <c r="M341" i="97"/>
  <c r="J354" i="97"/>
  <c r="E206" i="129"/>
  <c r="C216" i="129"/>
  <c r="M333" i="135"/>
  <c r="J386" i="135"/>
  <c r="B59" i="31"/>
  <c r="B69" i="31" s="1"/>
  <c r="B114" i="31" s="1"/>
  <c r="C147" i="31" s="1"/>
  <c r="H63" i="31"/>
  <c r="H108" i="31" s="1"/>
  <c r="C223" i="133"/>
  <c r="K231" i="133" s="1"/>
  <c r="K246" i="133" s="1"/>
  <c r="G235" i="133"/>
  <c r="G250" i="133" s="1"/>
  <c r="H295" i="133" s="1"/>
  <c r="M266" i="55"/>
  <c r="J280" i="55"/>
  <c r="M312" i="143"/>
  <c r="G356" i="143"/>
  <c r="M320" i="117"/>
  <c r="I332" i="117"/>
  <c r="K321" i="117"/>
  <c r="G333" i="117"/>
  <c r="L219" i="89"/>
  <c r="I264" i="89"/>
  <c r="F431" i="83"/>
  <c r="D448" i="83"/>
  <c r="N273" i="67"/>
  <c r="K286" i="67"/>
  <c r="B163" i="117"/>
  <c r="F177" i="117" s="1"/>
  <c r="F276" i="117" s="1"/>
  <c r="G321" i="117" s="1"/>
  <c r="L171" i="117"/>
  <c r="L270" i="117" s="1"/>
  <c r="G142" i="23"/>
  <c r="D179" i="23"/>
  <c r="F269" i="59"/>
  <c r="D283" i="59"/>
  <c r="K428" i="83"/>
  <c r="I446" i="83"/>
  <c r="B60" i="121"/>
  <c r="D68" i="121" s="1"/>
  <c r="D293" i="121" s="1"/>
  <c r="F66" i="121"/>
  <c r="F291" i="121" s="1"/>
  <c r="G336" i="121" s="1"/>
  <c r="N267" i="73"/>
  <c r="K281" i="73"/>
  <c r="L264" i="59"/>
  <c r="I317" i="59"/>
  <c r="F265" i="67"/>
  <c r="C318" i="67"/>
  <c r="L201" i="47"/>
  <c r="I213" i="47"/>
  <c r="F273" i="55"/>
  <c r="D286" i="55"/>
  <c r="L206" i="37"/>
  <c r="I217" i="37"/>
  <c r="K318" i="99"/>
  <c r="H331" i="99"/>
  <c r="J200" i="51"/>
  <c r="G245" i="51"/>
  <c r="I163" i="137"/>
  <c r="E171" i="137"/>
  <c r="F264" i="57"/>
  <c r="D317" i="57"/>
  <c r="B75" i="29"/>
  <c r="H79" i="29" s="1"/>
  <c r="H107" i="29" s="1"/>
  <c r="B85" i="29"/>
  <c r="B113" i="29" s="1"/>
  <c r="C146" i="29" s="1"/>
  <c r="B228" i="135"/>
  <c r="D242" i="135" s="1"/>
  <c r="D299" i="135" s="1"/>
  <c r="L234" i="135"/>
  <c r="L291" i="135" s="1"/>
  <c r="L273" i="57"/>
  <c r="I286" i="57"/>
  <c r="I270" i="63"/>
  <c r="F283" i="63"/>
  <c r="I341" i="121"/>
  <c r="D352" i="121"/>
  <c r="B201" i="73"/>
  <c r="L211" i="73" s="1"/>
  <c r="L226" i="73" s="1"/>
  <c r="H215" i="73"/>
  <c r="H230" i="73" s="1"/>
  <c r="D129" i="87"/>
  <c r="G202" i="107"/>
  <c r="D213" i="107"/>
  <c r="D183" i="89"/>
  <c r="N313" i="143"/>
  <c r="H357" i="143"/>
  <c r="N431" i="81"/>
  <c r="K448" i="81"/>
  <c r="E198" i="37"/>
  <c r="C243" i="37"/>
  <c r="E198" i="41"/>
  <c r="C243" i="41"/>
  <c r="I266" i="65"/>
  <c r="F280" i="65"/>
  <c r="E144" i="21"/>
  <c r="C153" i="21"/>
  <c r="B127" i="137"/>
  <c r="C160" i="137" s="1"/>
  <c r="M273" i="111"/>
  <c r="I285" i="111"/>
  <c r="K315" i="143"/>
  <c r="E359" i="143"/>
  <c r="G341" i="77"/>
  <c r="E357" i="77"/>
  <c r="E319" i="131"/>
  <c r="C332" i="131"/>
  <c r="L205" i="49"/>
  <c r="I216" i="49"/>
  <c r="I271" i="69"/>
  <c r="F284" i="69"/>
  <c r="D222" i="67"/>
  <c r="E267" i="67" s="1"/>
  <c r="C247" i="117"/>
  <c r="K255" i="117" s="1"/>
  <c r="K270" i="117" s="1"/>
  <c r="G259" i="117"/>
  <c r="G274" i="117" s="1"/>
  <c r="H319" i="117" s="1"/>
  <c r="J168" i="51"/>
  <c r="G221" i="89"/>
  <c r="E233" i="89"/>
  <c r="B143" i="39"/>
  <c r="J151" i="39" s="1"/>
  <c r="J164" i="39" s="1"/>
  <c r="F155" i="39"/>
  <c r="F168" i="39" s="1"/>
  <c r="J198" i="47"/>
  <c r="G243" i="47"/>
  <c r="J291" i="139"/>
  <c r="F303" i="139"/>
  <c r="E203" i="47"/>
  <c r="C245" i="47"/>
  <c r="L201" i="41"/>
  <c r="I213" i="41"/>
  <c r="F164" i="41"/>
  <c r="F264" i="67"/>
  <c r="C317" i="67"/>
  <c r="B266" i="99"/>
  <c r="C311" i="99" s="1"/>
  <c r="C116" i="83"/>
  <c r="I128" i="83" s="1"/>
  <c r="I372" i="83" s="1"/>
  <c r="K126" i="83"/>
  <c r="K370" i="83" s="1"/>
  <c r="L427" i="83" s="1"/>
  <c r="K206" i="37"/>
  <c r="H217" i="37"/>
  <c r="K267" i="65"/>
  <c r="H281" i="65"/>
  <c r="C92" i="5"/>
  <c r="C102" i="5"/>
  <c r="H274" i="69"/>
  <c r="E287" i="69"/>
  <c r="N269" i="59"/>
  <c r="K283" i="59"/>
  <c r="P423" i="81"/>
  <c r="M441" i="81"/>
  <c r="G293" i="139"/>
  <c r="C305" i="139"/>
  <c r="G319" i="99"/>
  <c r="E332" i="99"/>
  <c r="E274" i="57"/>
  <c r="C287" i="57"/>
  <c r="F336" i="135"/>
  <c r="D350" i="135"/>
  <c r="M273" i="55"/>
  <c r="J286" i="55"/>
  <c r="L340" i="121"/>
  <c r="G351" i="121"/>
  <c r="C144" i="135"/>
  <c r="E156" i="135" s="1"/>
  <c r="E297" i="135" s="1"/>
  <c r="K150" i="135"/>
  <c r="K291" i="135" s="1"/>
  <c r="K275" i="55"/>
  <c r="H288" i="55"/>
  <c r="G203" i="129"/>
  <c r="D243" i="129"/>
  <c r="J200" i="107"/>
  <c r="F212" i="107"/>
  <c r="C60" i="87"/>
  <c r="G70" i="87" s="1"/>
  <c r="G132" i="87" s="1"/>
  <c r="I68" i="87"/>
  <c r="I130" i="87" s="1"/>
  <c r="B175" i="75"/>
  <c r="D189" i="75" s="1"/>
  <c r="D298" i="75" s="1"/>
  <c r="L181" i="75"/>
  <c r="L290" i="75" s="1"/>
  <c r="G200" i="41"/>
  <c r="E212" i="41"/>
  <c r="J342" i="121"/>
  <c r="E353" i="121"/>
  <c r="B34" i="139"/>
  <c r="B40" i="139" s="1"/>
  <c r="B244" i="139" s="1"/>
  <c r="C289" i="139" s="1"/>
  <c r="D38" i="139"/>
  <c r="D242" i="139" s="1"/>
  <c r="E287" i="139" s="1"/>
  <c r="E221" i="115"/>
  <c r="C233" i="115"/>
  <c r="M298" i="133"/>
  <c r="H309" i="133"/>
  <c r="H321" i="141"/>
  <c r="D333" i="141"/>
  <c r="N319" i="131"/>
  <c r="K332" i="131"/>
  <c r="M347" i="79"/>
  <c r="J362" i="79"/>
  <c r="B123" i="97"/>
  <c r="B133" i="97" s="1"/>
  <c r="B295" i="97" s="1"/>
  <c r="C340" i="97" s="1"/>
  <c r="H127" i="97"/>
  <c r="H289" i="97" s="1"/>
  <c r="B25" i="31"/>
  <c r="B31" i="31" s="1"/>
  <c r="B110" i="31" s="1"/>
  <c r="C143" i="31" s="1"/>
  <c r="D29" i="31"/>
  <c r="D108" i="31" s="1"/>
  <c r="H274" i="73"/>
  <c r="F287" i="73"/>
  <c r="I426" i="83"/>
  <c r="G444" i="83"/>
  <c r="J203" i="45"/>
  <c r="G214" i="45"/>
  <c r="F421" i="83"/>
  <c r="D490" i="83"/>
  <c r="K318" i="93"/>
  <c r="H331" i="93"/>
  <c r="J161" i="85"/>
  <c r="G171" i="85"/>
  <c r="D144" i="135"/>
  <c r="J156" i="135" s="1"/>
  <c r="J297" i="135" s="1"/>
  <c r="D142" i="135"/>
  <c r="D150" i="135"/>
  <c r="D291" i="135" s="1"/>
  <c r="I201" i="43"/>
  <c r="F212" i="43"/>
  <c r="B59" i="29"/>
  <c r="F69" i="29" s="1"/>
  <c r="F114" i="29" s="1"/>
  <c r="H67" i="29"/>
  <c r="H112" i="29" s="1"/>
  <c r="G159" i="95"/>
  <c r="D196" i="95"/>
  <c r="E227" i="127"/>
  <c r="C238" i="127"/>
  <c r="E141" i="29"/>
  <c r="C178" i="29"/>
  <c r="I201" i="39"/>
  <c r="F213" i="39"/>
  <c r="K266" i="61"/>
  <c r="H280" i="61"/>
  <c r="H272" i="117"/>
  <c r="H142" i="29"/>
  <c r="E152" i="29"/>
  <c r="L335" i="121"/>
  <c r="G349" i="121"/>
  <c r="F425" i="81"/>
  <c r="D443" i="81"/>
  <c r="E337" i="121"/>
  <c r="C383" i="121"/>
  <c r="I294" i="139"/>
  <c r="E306" i="139"/>
  <c r="G144" i="31"/>
  <c r="D153" i="31"/>
  <c r="H141" i="27"/>
  <c r="E178" i="27"/>
  <c r="D165" i="97"/>
  <c r="L179" i="97" s="1"/>
  <c r="L299" i="97" s="1"/>
  <c r="D163" i="97"/>
  <c r="F173" i="97"/>
  <c r="F293" i="97" s="1"/>
  <c r="L297" i="133"/>
  <c r="G308" i="133"/>
  <c r="F146" i="17"/>
  <c r="D155" i="17"/>
  <c r="J205" i="107"/>
  <c r="F215" i="107"/>
  <c r="F265" i="59"/>
  <c r="D318" i="59"/>
  <c r="K219" i="89"/>
  <c r="H264" i="89"/>
  <c r="L202" i="53"/>
  <c r="I214" i="53"/>
  <c r="H159" i="95"/>
  <c r="E196" i="95"/>
  <c r="E206" i="49"/>
  <c r="C217" i="49"/>
  <c r="G166" i="125"/>
  <c r="C174" i="125"/>
  <c r="N319" i="117"/>
  <c r="J331" i="117"/>
  <c r="G165" i="113"/>
  <c r="C173" i="113"/>
  <c r="H268" i="59"/>
  <c r="F282" i="59"/>
  <c r="L205" i="35"/>
  <c r="I216" i="35"/>
  <c r="C183" i="93"/>
  <c r="C195" i="93" s="1"/>
  <c r="C273" i="93" s="1"/>
  <c r="D318" i="93" s="1"/>
  <c r="K187" i="93"/>
  <c r="K265" i="93" s="1"/>
  <c r="K200" i="47"/>
  <c r="H212" i="47"/>
  <c r="G228" i="115"/>
  <c r="D238" i="115"/>
  <c r="G224" i="89"/>
  <c r="E266" i="89"/>
  <c r="H166" i="125"/>
  <c r="D174" i="125"/>
  <c r="F273" i="73"/>
  <c r="D286" i="73"/>
  <c r="D94" i="9"/>
  <c r="D120" i="9"/>
  <c r="K244" i="91"/>
  <c r="H256" i="91"/>
  <c r="M272" i="59"/>
  <c r="J285" i="59"/>
  <c r="H145" i="25"/>
  <c r="E154" i="25"/>
  <c r="I312" i="119"/>
  <c r="E326" i="119"/>
  <c r="B184" i="99"/>
  <c r="B196" i="99" s="1"/>
  <c r="B274" i="99" s="1"/>
  <c r="C319" i="99" s="1"/>
  <c r="J188" i="99"/>
  <c r="J266" i="99" s="1"/>
  <c r="E162" i="95"/>
  <c r="C198" i="95"/>
  <c r="E198" i="45"/>
  <c r="C243" i="45"/>
  <c r="N337" i="123"/>
  <c r="I383" i="123"/>
  <c r="F225" i="89"/>
  <c r="D236" i="89"/>
  <c r="F145" i="25"/>
  <c r="C154" i="25"/>
  <c r="B291" i="81"/>
  <c r="N299" i="81" s="1"/>
  <c r="N368" i="81" s="1"/>
  <c r="F307" i="81"/>
  <c r="F376" i="81" s="1"/>
  <c r="N348" i="77"/>
  <c r="K363" i="77"/>
  <c r="K275" i="65"/>
  <c r="H288" i="65"/>
  <c r="F269" i="57"/>
  <c r="D283" i="57"/>
  <c r="G159" i="137"/>
  <c r="C193" i="137"/>
  <c r="I207" i="39"/>
  <c r="F218" i="39"/>
  <c r="B25" i="33"/>
  <c r="B31" i="33" s="1"/>
  <c r="B110" i="33" s="1"/>
  <c r="C143" i="33" s="1"/>
  <c r="D29" i="33"/>
  <c r="D108" i="33" s="1"/>
  <c r="I143" i="19"/>
  <c r="F153" i="19"/>
  <c r="B159" i="111"/>
  <c r="F173" i="111" s="1"/>
  <c r="F230" i="111" s="1"/>
  <c r="L167" i="111"/>
  <c r="L224" i="111" s="1"/>
  <c r="G274" i="61"/>
  <c r="E287" i="61"/>
  <c r="I204" i="41"/>
  <c r="F215" i="41"/>
  <c r="J162" i="113"/>
  <c r="F196" i="113"/>
  <c r="L344" i="135"/>
  <c r="I357" i="135"/>
  <c r="B40" i="81"/>
  <c r="B46" i="81" s="1"/>
  <c r="B365" i="81" s="1"/>
  <c r="C422" i="81" s="1"/>
  <c r="D44" i="81"/>
  <c r="D363" i="81" s="1"/>
  <c r="H349" i="79"/>
  <c r="F364" i="79"/>
  <c r="E204" i="35"/>
  <c r="C215" i="35"/>
  <c r="I198" i="43"/>
  <c r="F243" i="43"/>
  <c r="L249" i="91"/>
  <c r="I260" i="91"/>
  <c r="E147" i="15"/>
  <c r="C156" i="15"/>
  <c r="F140" i="19"/>
  <c r="D177" i="19"/>
  <c r="J228" i="127"/>
  <c r="G239" i="127"/>
  <c r="F141" i="23"/>
  <c r="C178" i="23"/>
  <c r="N271" i="63"/>
  <c r="K284" i="63"/>
  <c r="L317" i="117"/>
  <c r="H329" i="117"/>
  <c r="F271" i="65"/>
  <c r="D284" i="65"/>
  <c r="G268" i="65"/>
  <c r="E282" i="65"/>
  <c r="K206" i="107"/>
  <c r="G216" i="107"/>
  <c r="L219" i="127"/>
  <c r="I264" i="127"/>
  <c r="B48" i="39"/>
  <c r="D56" i="39" s="1"/>
  <c r="D164" i="39" s="1"/>
  <c r="F54" i="39"/>
  <c r="F162" i="39" s="1"/>
  <c r="L221" i="127"/>
  <c r="I233" i="127"/>
  <c r="K274" i="65"/>
  <c r="H287" i="65"/>
  <c r="M270" i="57"/>
  <c r="J284" i="57"/>
  <c r="K275" i="73"/>
  <c r="H288" i="73"/>
  <c r="B163" i="99"/>
  <c r="F177" i="99" s="1"/>
  <c r="F276" i="99" s="1"/>
  <c r="L171" i="99"/>
  <c r="L270" i="99" s="1"/>
  <c r="L319" i="117"/>
  <c r="H331" i="117"/>
  <c r="F112" i="31"/>
  <c r="L274" i="67"/>
  <c r="I287" i="67"/>
  <c r="L204" i="53"/>
  <c r="I215" i="53"/>
  <c r="B145" i="127"/>
  <c r="D157" i="127" s="1"/>
  <c r="D189" i="127" s="1"/>
  <c r="J151" i="127"/>
  <c r="J183" i="127" s="1"/>
  <c r="F312" i="117"/>
  <c r="D326" i="117"/>
  <c r="K343" i="97"/>
  <c r="H356" i="97"/>
  <c r="E265" i="61"/>
  <c r="C318" i="61"/>
  <c r="I204" i="49"/>
  <c r="F215" i="49"/>
  <c r="F316" i="99"/>
  <c r="D329" i="99"/>
  <c r="K267" i="71"/>
  <c r="H281" i="71"/>
  <c r="B25" i="23"/>
  <c r="B31" i="23" s="1"/>
  <c r="B110" i="23" s="1"/>
  <c r="C143" i="23" s="1"/>
  <c r="D29" i="23"/>
  <c r="D108" i="23" s="1"/>
  <c r="E141" i="23" s="1"/>
  <c r="D222" i="133"/>
  <c r="D224" i="133"/>
  <c r="F232" i="133" s="1"/>
  <c r="F247" i="133" s="1"/>
  <c r="J236" i="133"/>
  <c r="J251" i="133" s="1"/>
  <c r="E274" i="55"/>
  <c r="C287" i="55"/>
  <c r="L317" i="93"/>
  <c r="I330" i="93"/>
  <c r="B96" i="63"/>
  <c r="H104" i="63" s="1"/>
  <c r="H224" i="63" s="1"/>
  <c r="F106" i="63"/>
  <c r="F226" i="63" s="1"/>
  <c r="B54" i="55"/>
  <c r="D62" i="55" s="1"/>
  <c r="D224" i="55" s="1"/>
  <c r="F60" i="55"/>
  <c r="F222" i="55" s="1"/>
  <c r="H270" i="57"/>
  <c r="F284" i="57"/>
  <c r="E333" i="97"/>
  <c r="C386" i="97"/>
  <c r="G265" i="67"/>
  <c r="D318" i="67"/>
  <c r="N423" i="83"/>
  <c r="K441" i="83"/>
  <c r="L275" i="67"/>
  <c r="I288" i="67"/>
  <c r="B67" i="37"/>
  <c r="B77" i="37" s="1"/>
  <c r="B166" i="37" s="1"/>
  <c r="C205" i="37" s="1"/>
  <c r="H71" i="37"/>
  <c r="H160" i="37" s="1"/>
  <c r="B291" i="83"/>
  <c r="N299" i="83" s="1"/>
  <c r="N368" i="83" s="1"/>
  <c r="F307" i="83"/>
  <c r="F376" i="83" s="1"/>
  <c r="H273" i="71"/>
  <c r="F286" i="71"/>
  <c r="F275" i="73"/>
  <c r="D288" i="73"/>
  <c r="N348" i="75"/>
  <c r="K363" i="75"/>
  <c r="I271" i="55"/>
  <c r="G319" i="55"/>
  <c r="F207" i="47"/>
  <c r="D218" i="47"/>
  <c r="L267" i="55"/>
  <c r="I281" i="55"/>
  <c r="B201" i="59"/>
  <c r="J209" i="59" s="1"/>
  <c r="J224" i="59" s="1"/>
  <c r="F213" i="59"/>
  <c r="F228" i="59" s="1"/>
  <c r="E141" i="17"/>
  <c r="C178" i="17"/>
  <c r="F204" i="51"/>
  <c r="C215" i="51"/>
  <c r="G165" i="137"/>
  <c r="C173" i="137"/>
  <c r="J145" i="105"/>
  <c r="F153" i="105"/>
  <c r="H265" i="69"/>
  <c r="E318" i="69"/>
  <c r="L338" i="123"/>
  <c r="G384" i="123"/>
  <c r="H93" i="11"/>
  <c r="E120" i="11"/>
  <c r="H295" i="135"/>
  <c r="I316" i="117"/>
  <c r="E328" i="117"/>
  <c r="D141" i="107"/>
  <c r="D143" i="107"/>
  <c r="F151" i="107" s="1"/>
  <c r="F164" i="107" s="1"/>
  <c r="J155" i="107"/>
  <c r="J168" i="107" s="1"/>
  <c r="M335" i="135"/>
  <c r="J349" i="135"/>
  <c r="G200" i="107"/>
  <c r="D212" i="107"/>
  <c r="K200" i="53"/>
  <c r="H212" i="53"/>
  <c r="I315" i="131"/>
  <c r="G329" i="131"/>
  <c r="B31" i="89"/>
  <c r="B37" i="89" s="1"/>
  <c r="B183" i="89" s="1"/>
  <c r="C222" i="89" s="1"/>
  <c r="D35" i="89"/>
  <c r="D181" i="89" s="1"/>
  <c r="C141" i="81"/>
  <c r="C155" i="81" s="1"/>
  <c r="C374" i="81" s="1"/>
  <c r="D431" i="81" s="1"/>
  <c r="M145" i="81"/>
  <c r="M364" i="81" s="1"/>
  <c r="E270" i="65"/>
  <c r="C283" i="65"/>
  <c r="G142" i="21"/>
  <c r="D152" i="21"/>
  <c r="D129" i="137"/>
  <c r="E162" i="137" s="1"/>
  <c r="K275" i="111"/>
  <c r="G287" i="111"/>
  <c r="E343" i="77"/>
  <c r="C359" i="77"/>
  <c r="K313" i="131"/>
  <c r="H327" i="131"/>
  <c r="F203" i="47"/>
  <c r="D245" i="47"/>
  <c r="F141" i="19"/>
  <c r="D178" i="19"/>
  <c r="B96" i="69"/>
  <c r="F106" i="69" s="1"/>
  <c r="F226" i="69" s="1"/>
  <c r="H104" i="69"/>
  <c r="H224" i="69" s="1"/>
  <c r="B33" i="67"/>
  <c r="B39" i="67" s="1"/>
  <c r="B222" i="67" s="1"/>
  <c r="C267" i="67" s="1"/>
  <c r="D37" i="67"/>
  <c r="D220" i="67" s="1"/>
  <c r="E265" i="67" s="1"/>
  <c r="G145" i="27"/>
  <c r="D154" i="27"/>
  <c r="L204" i="37"/>
  <c r="I215" i="37"/>
  <c r="B86" i="51"/>
  <c r="H98" i="51" s="1"/>
  <c r="H168" i="51" s="1"/>
  <c r="J96" i="51"/>
  <c r="J166" i="51" s="1"/>
  <c r="E223" i="89"/>
  <c r="C235" i="89"/>
  <c r="M318" i="143"/>
  <c r="G328" i="143"/>
  <c r="H293" i="139"/>
  <c r="D305" i="139"/>
  <c r="F207" i="41"/>
  <c r="D218" i="41"/>
  <c r="B48" i="41"/>
  <c r="D56" i="41" s="1"/>
  <c r="D164" i="41" s="1"/>
  <c r="F54" i="41"/>
  <c r="F162" i="41" s="1"/>
  <c r="B67" i="39"/>
  <c r="B77" i="39" s="1"/>
  <c r="B166" i="39" s="1"/>
  <c r="C205" i="39" s="1"/>
  <c r="H71" i="39"/>
  <c r="H160" i="39" s="1"/>
  <c r="H289" i="139"/>
  <c r="D339" i="139"/>
  <c r="E273" i="65"/>
  <c r="C286" i="65"/>
  <c r="J146" i="105"/>
  <c r="F154" i="105"/>
  <c r="F68" i="11"/>
  <c r="G95" i="11" s="1"/>
  <c r="J200" i="129"/>
  <c r="F212" i="129"/>
  <c r="F265" i="71"/>
  <c r="D318" i="71"/>
  <c r="G224" i="115"/>
  <c r="D264" i="115"/>
  <c r="F433" i="81"/>
  <c r="D450" i="81"/>
  <c r="B140" i="81"/>
  <c r="B154" i="81" s="1"/>
  <c r="B373" i="81" s="1"/>
  <c r="C430" i="81" s="1"/>
  <c r="L144" i="81"/>
  <c r="L363" i="81" s="1"/>
  <c r="K315" i="99"/>
  <c r="H365" i="99"/>
  <c r="E228" i="89"/>
  <c r="C239" i="89"/>
  <c r="F315" i="131"/>
  <c r="D329" i="131"/>
  <c r="B60" i="123"/>
  <c r="D68" i="123" s="1"/>
  <c r="D293" i="123" s="1"/>
  <c r="F66" i="123"/>
  <c r="F291" i="123" s="1"/>
  <c r="G336" i="123" s="1"/>
  <c r="B159" i="61"/>
  <c r="D169" i="61" s="1"/>
  <c r="D226" i="61" s="1"/>
  <c r="H165" i="61"/>
  <c r="H222" i="61" s="1"/>
  <c r="Q425" i="83"/>
  <c r="N443" i="83"/>
  <c r="E335" i="135"/>
  <c r="C349" i="135"/>
  <c r="J144" i="19"/>
  <c r="G154" i="19"/>
  <c r="B76" i="23"/>
  <c r="H80" i="23" s="1"/>
  <c r="H108" i="23" s="1"/>
  <c r="B86" i="23"/>
  <c r="B114" i="23" s="1"/>
  <c r="C147" i="23" s="1"/>
  <c r="E200" i="47"/>
  <c r="C212" i="47"/>
  <c r="B138" i="57"/>
  <c r="F152" i="57" s="1"/>
  <c r="F230" i="57" s="1"/>
  <c r="L146" i="57"/>
  <c r="L224" i="57" s="1"/>
  <c r="D61" i="87"/>
  <c r="H71" i="87" s="1"/>
  <c r="H133" i="87" s="1"/>
  <c r="D59" i="87"/>
  <c r="F69" i="87"/>
  <c r="F131" i="87" s="1"/>
  <c r="M268" i="71"/>
  <c r="J282" i="71"/>
  <c r="K349" i="79"/>
  <c r="H364" i="79"/>
  <c r="N268" i="73"/>
  <c r="K282" i="73"/>
  <c r="N298" i="139"/>
  <c r="J310" i="139"/>
  <c r="G243" i="91"/>
  <c r="E255" i="91"/>
  <c r="K335" i="121"/>
  <c r="F349" i="121"/>
  <c r="K228" i="115"/>
  <c r="G238" i="115"/>
  <c r="I270" i="61"/>
  <c r="F283" i="61"/>
  <c r="H159" i="85"/>
  <c r="E196" i="85"/>
  <c r="E313" i="99"/>
  <c r="C327" i="99"/>
  <c r="I333" i="135"/>
  <c r="F386" i="135"/>
  <c r="E272" i="61"/>
  <c r="C285" i="61"/>
  <c r="B79" i="117"/>
  <c r="H91" i="117" s="1"/>
  <c r="H274" i="117" s="1"/>
  <c r="J89" i="117"/>
  <c r="J272" i="117" s="1"/>
  <c r="F266" i="55"/>
  <c r="D280" i="55"/>
  <c r="D96" i="53"/>
  <c r="D166" i="53" s="1"/>
  <c r="B86" i="53"/>
  <c r="H92" i="53" s="1"/>
  <c r="H162" i="53" s="1"/>
  <c r="G143" i="25"/>
  <c r="D152" i="25"/>
  <c r="I204" i="37"/>
  <c r="F215" i="37"/>
  <c r="M268" i="69"/>
  <c r="J281" i="69"/>
  <c r="B41" i="31"/>
  <c r="B49" i="31" s="1"/>
  <c r="B111" i="31" s="1"/>
  <c r="C144" i="31" s="1"/>
  <c r="F45" i="31"/>
  <c r="F107" i="31" s="1"/>
  <c r="F311" i="93"/>
  <c r="D364" i="93"/>
  <c r="H266" i="59"/>
  <c r="F280" i="59"/>
  <c r="J140" i="33"/>
  <c r="G177" i="33"/>
  <c r="N273" i="59"/>
  <c r="K286" i="59"/>
  <c r="D94" i="11"/>
  <c r="D121" i="11"/>
  <c r="B105" i="51"/>
  <c r="J109" i="51" s="1"/>
  <c r="J160" i="51" s="1"/>
  <c r="B117" i="51"/>
  <c r="B168" i="51" s="1"/>
  <c r="C207" i="51" s="1"/>
  <c r="J313" i="143"/>
  <c r="D357" i="143"/>
  <c r="L264" i="111"/>
  <c r="H314" i="111"/>
  <c r="B198" i="77"/>
  <c r="L206" i="77" s="1"/>
  <c r="L292" i="77" s="1"/>
  <c r="F212" i="77"/>
  <c r="F298" i="77" s="1"/>
  <c r="B159" i="73"/>
  <c r="D173" i="73" s="1"/>
  <c r="D230" i="73" s="1"/>
  <c r="L165" i="73"/>
  <c r="L222" i="73" s="1"/>
  <c r="J166" i="125"/>
  <c r="F174" i="125"/>
  <c r="H345" i="77"/>
  <c r="F401" i="77"/>
  <c r="C91" i="9"/>
  <c r="C101" i="9"/>
  <c r="N315" i="117"/>
  <c r="J363" i="117"/>
  <c r="K200" i="49"/>
  <c r="H212" i="49"/>
  <c r="L317" i="141"/>
  <c r="H329" i="141"/>
  <c r="C37" i="119"/>
  <c r="C43" i="119" s="1"/>
  <c r="C268" i="119" s="1"/>
  <c r="D313" i="119" s="1"/>
  <c r="E41" i="119"/>
  <c r="E266" i="119" s="1"/>
  <c r="F311" i="119" s="1"/>
  <c r="L321" i="117"/>
  <c r="H333" i="117"/>
  <c r="K220" i="115"/>
  <c r="G262" i="115"/>
  <c r="L316" i="117"/>
  <c r="H328" i="117"/>
  <c r="B105" i="49"/>
  <c r="H113" i="49" s="1"/>
  <c r="H164" i="49" s="1"/>
  <c r="F115" i="49"/>
  <c r="F166" i="49" s="1"/>
  <c r="K200" i="39"/>
  <c r="H212" i="39"/>
  <c r="J207" i="35"/>
  <c r="G218" i="35"/>
  <c r="G425" i="83"/>
  <c r="E443" i="83"/>
  <c r="D182" i="93"/>
  <c r="D184" i="93"/>
  <c r="J196" i="93" s="1"/>
  <c r="J274" i="93" s="1"/>
  <c r="B188" i="93"/>
  <c r="B266" i="93" s="1"/>
  <c r="C311" i="93" s="1"/>
  <c r="E206" i="47"/>
  <c r="C217" i="47"/>
  <c r="K224" i="115"/>
  <c r="G264" i="115"/>
  <c r="B165" i="123"/>
  <c r="F179" i="123" s="1"/>
  <c r="F299" i="123" s="1"/>
  <c r="G344" i="123" s="1"/>
  <c r="L173" i="123"/>
  <c r="L293" i="123" s="1"/>
  <c r="B50" i="89"/>
  <c r="D58" i="89" s="1"/>
  <c r="D185" i="89" s="1"/>
  <c r="F56" i="89"/>
  <c r="F183" i="89" s="1"/>
  <c r="K246" i="91"/>
  <c r="H257" i="91"/>
  <c r="L267" i="73"/>
  <c r="I281" i="73"/>
  <c r="G200" i="39"/>
  <c r="E212" i="39"/>
  <c r="K274" i="59"/>
  <c r="H287" i="59"/>
  <c r="E266" i="59"/>
  <c r="C280" i="59"/>
  <c r="B138" i="71"/>
  <c r="L148" i="71" s="1"/>
  <c r="L226" i="71" s="1"/>
  <c r="H152" i="71"/>
  <c r="H230" i="71" s="1"/>
  <c r="J221" i="89"/>
  <c r="G233" i="89"/>
  <c r="F203" i="35"/>
  <c r="D245" i="35"/>
  <c r="G297" i="133"/>
  <c r="D308" i="133"/>
  <c r="H145" i="29"/>
  <c r="E154" i="29"/>
  <c r="L318" i="143"/>
  <c r="F328" i="143"/>
  <c r="J333" i="97"/>
  <c r="G386" i="97"/>
  <c r="J287" i="139"/>
  <c r="F337" i="139"/>
  <c r="F223" i="127"/>
  <c r="D235" i="127"/>
  <c r="E147" i="19"/>
  <c r="C156" i="19"/>
  <c r="J241" i="91"/>
  <c r="G286" i="91"/>
  <c r="M268" i="61"/>
  <c r="J282" i="61"/>
  <c r="C123" i="41"/>
  <c r="E133" i="41" s="1"/>
  <c r="E165" i="41" s="1"/>
  <c r="I129" i="41"/>
  <c r="I161" i="41" s="1"/>
  <c r="P432" i="83"/>
  <c r="M449" i="83"/>
  <c r="L334" i="135"/>
  <c r="I387" i="135"/>
  <c r="E422" i="81"/>
  <c r="C440" i="81"/>
  <c r="L339" i="97"/>
  <c r="I352" i="97"/>
  <c r="N343" i="79"/>
  <c r="K359" i="79"/>
  <c r="I200" i="35"/>
  <c r="F212" i="35"/>
  <c r="I143" i="15"/>
  <c r="F179" i="15"/>
  <c r="L311" i="99"/>
  <c r="I364" i="99"/>
  <c r="J162" i="85"/>
  <c r="G198" i="85"/>
  <c r="J335" i="121"/>
  <c r="E349" i="121"/>
  <c r="H92" i="7"/>
  <c r="E100" i="7"/>
  <c r="J275" i="63"/>
  <c r="G288" i="63"/>
  <c r="B44" i="113"/>
  <c r="D52" i="113" s="1"/>
  <c r="D131" i="113" s="1"/>
  <c r="E164" i="113" s="1"/>
  <c r="F50" i="113"/>
  <c r="F129" i="113" s="1"/>
  <c r="H143" i="105"/>
  <c r="D177" i="105"/>
  <c r="B54" i="71"/>
  <c r="D62" i="71" s="1"/>
  <c r="D224" i="71" s="1"/>
  <c r="F60" i="71"/>
  <c r="F222" i="71" s="1"/>
  <c r="L203" i="41"/>
  <c r="I245" i="41"/>
  <c r="J319" i="117"/>
  <c r="F331" i="117"/>
  <c r="H295" i="97"/>
  <c r="F247" i="91"/>
  <c r="D258" i="91"/>
  <c r="D226" i="123"/>
  <c r="D228" i="123"/>
  <c r="L242" i="123" s="1"/>
  <c r="L299" i="123" s="1"/>
  <c r="D234" i="123"/>
  <c r="D291" i="123" s="1"/>
  <c r="F227" i="127"/>
  <c r="D238" i="127"/>
  <c r="I274" i="57"/>
  <c r="G287" i="57"/>
  <c r="E289" i="133"/>
  <c r="C303" i="133"/>
  <c r="O348" i="79"/>
  <c r="L363" i="79"/>
  <c r="G341" i="75"/>
  <c r="E357" i="75"/>
  <c r="F207" i="49"/>
  <c r="D218" i="49"/>
  <c r="B42" i="31"/>
  <c r="B50" i="31" s="1"/>
  <c r="B112" i="31" s="1"/>
  <c r="C145" i="31" s="1"/>
  <c r="F46" i="31"/>
  <c r="F108" i="31" s="1"/>
  <c r="G145" i="33"/>
  <c r="E179" i="33"/>
  <c r="J143" i="17"/>
  <c r="G153" i="17"/>
  <c r="L203" i="129"/>
  <c r="H243" i="129"/>
  <c r="J206" i="53"/>
  <c r="G217" i="53"/>
  <c r="B102" i="135"/>
  <c r="J116" i="135" s="1"/>
  <c r="J299" i="135" s="1"/>
  <c r="L114" i="135"/>
  <c r="L297" i="135" s="1"/>
  <c r="C28" i="107"/>
  <c r="C34" i="107" s="1"/>
  <c r="C161" i="107" s="1"/>
  <c r="D200" i="107" s="1"/>
  <c r="E32" i="107"/>
  <c r="E159" i="107" s="1"/>
  <c r="F198" i="107" s="1"/>
  <c r="J429" i="81"/>
  <c r="H491" i="81"/>
  <c r="J265" i="69"/>
  <c r="G318" i="69"/>
  <c r="J312" i="99"/>
  <c r="G326" i="99"/>
  <c r="E273" i="71"/>
  <c r="C286" i="71"/>
  <c r="K288" i="133"/>
  <c r="F335" i="133"/>
  <c r="E288" i="133"/>
  <c r="C335" i="133"/>
  <c r="J319" i="93"/>
  <c r="G332" i="93"/>
  <c r="F224" i="63"/>
  <c r="G269" i="55"/>
  <c r="E283" i="55"/>
  <c r="N341" i="135"/>
  <c r="K354" i="135"/>
  <c r="B28" i="107"/>
  <c r="B34" i="107" s="1"/>
  <c r="B161" i="107" s="1"/>
  <c r="C200" i="107" s="1"/>
  <c r="D32" i="107"/>
  <c r="D159" i="107" s="1"/>
  <c r="J220" i="127"/>
  <c r="G265" i="127"/>
  <c r="F339" i="77"/>
  <c r="D400" i="77"/>
  <c r="C201" i="111"/>
  <c r="E215" i="111" s="1"/>
  <c r="E230" i="111" s="1"/>
  <c r="F275" i="111" s="1"/>
  <c r="M207" i="111"/>
  <c r="M222" i="111" s="1"/>
  <c r="H166" i="37"/>
  <c r="F140" i="23"/>
  <c r="C177" i="23"/>
  <c r="L269" i="71"/>
  <c r="I283" i="71"/>
  <c r="I144" i="109"/>
  <c r="C172" i="109"/>
  <c r="N293" i="139"/>
  <c r="J305" i="139"/>
  <c r="H340" i="79"/>
  <c r="F356" i="79"/>
  <c r="G143" i="23"/>
  <c r="D152" i="23"/>
  <c r="J145" i="109"/>
  <c r="D173" i="109"/>
  <c r="J333" i="121"/>
  <c r="E380" i="121"/>
  <c r="B75" i="55"/>
  <c r="F85" i="55" s="1"/>
  <c r="F226" i="55" s="1"/>
  <c r="H83" i="55"/>
  <c r="H224" i="55" s="1"/>
  <c r="J267" i="61"/>
  <c r="G281" i="61"/>
  <c r="H351" i="79"/>
  <c r="F366" i="79"/>
  <c r="G350" i="79"/>
  <c r="E365" i="79"/>
  <c r="B88" i="115"/>
  <c r="H94" i="115" s="1"/>
  <c r="H183" i="115" s="1"/>
  <c r="D98" i="115"/>
  <c r="D187" i="115" s="1"/>
  <c r="B142" i="119"/>
  <c r="D154" i="119" s="1"/>
  <c r="D274" i="119" s="1"/>
  <c r="J148" i="119"/>
  <c r="J268" i="119" s="1"/>
  <c r="H147" i="105"/>
  <c r="D155" i="105"/>
  <c r="B81" i="135"/>
  <c r="H93" i="135" s="1"/>
  <c r="H297" i="135" s="1"/>
  <c r="J91" i="135"/>
  <c r="J295" i="135" s="1"/>
  <c r="I164" i="85"/>
  <c r="F173" i="85"/>
  <c r="G164" i="137"/>
  <c r="C172" i="137"/>
  <c r="E343" i="135"/>
  <c r="C356" i="135"/>
  <c r="I145" i="33"/>
  <c r="F179" i="33"/>
  <c r="E202" i="107"/>
  <c r="C213" i="107"/>
  <c r="E206" i="53"/>
  <c r="C217" i="53"/>
  <c r="G317" i="131"/>
  <c r="E365" i="131"/>
  <c r="F219" i="127"/>
  <c r="D264" i="127"/>
  <c r="L265" i="73"/>
  <c r="I318" i="73"/>
  <c r="G268" i="63"/>
  <c r="D281" i="63"/>
  <c r="C226" i="131"/>
  <c r="K234" i="131" s="1"/>
  <c r="K270" i="131" s="1"/>
  <c r="G238" i="131"/>
  <c r="G274" i="131" s="1"/>
  <c r="D94" i="5"/>
  <c r="D120" i="5"/>
  <c r="K338" i="79"/>
  <c r="H399" i="79"/>
  <c r="D31" i="137"/>
  <c r="D127" i="137" s="1"/>
  <c r="E160" i="137" s="1"/>
  <c r="B27" i="137"/>
  <c r="B33" i="137" s="1"/>
  <c r="B129" i="137" s="1"/>
  <c r="C162" i="137" s="1"/>
  <c r="H348" i="79"/>
  <c r="F363" i="79"/>
  <c r="F206" i="49"/>
  <c r="D217" i="49"/>
  <c r="F337" i="97"/>
  <c r="D351" i="97"/>
  <c r="C92" i="9"/>
  <c r="C102" i="9"/>
  <c r="L242" i="91"/>
  <c r="I254" i="91"/>
  <c r="J200" i="49"/>
  <c r="G212" i="49"/>
  <c r="I142" i="33"/>
  <c r="F152" i="33"/>
  <c r="M318" i="119"/>
  <c r="I330" i="119"/>
  <c r="J206" i="37"/>
  <c r="G217" i="37"/>
  <c r="J144" i="105"/>
  <c r="F152" i="105"/>
  <c r="B201" i="69"/>
  <c r="F215" i="69" s="1"/>
  <c r="F230" i="69" s="1"/>
  <c r="L209" i="69"/>
  <c r="L224" i="69" s="1"/>
  <c r="K320" i="143"/>
  <c r="E330" i="143"/>
  <c r="D95" i="9"/>
  <c r="D121" i="9"/>
  <c r="B121" i="99"/>
  <c r="B131" i="99" s="1"/>
  <c r="B272" i="99" s="1"/>
  <c r="C317" i="99" s="1"/>
  <c r="H125" i="99"/>
  <c r="H266" i="99" s="1"/>
  <c r="I205" i="39"/>
  <c r="F216" i="39"/>
  <c r="I310" i="99"/>
  <c r="F363" i="99"/>
  <c r="E91" i="7"/>
  <c r="C120" i="7"/>
  <c r="B36" i="11"/>
  <c r="D44" i="11" s="1"/>
  <c r="D68" i="11" s="1"/>
  <c r="E95" i="11" s="1"/>
  <c r="F42" i="11"/>
  <c r="F66" i="11" s="1"/>
  <c r="G93" i="11" s="1"/>
  <c r="B67" i="53"/>
  <c r="B77" i="53" s="1"/>
  <c r="B166" i="53" s="1"/>
  <c r="C205" i="53" s="1"/>
  <c r="H71" i="53"/>
  <c r="H160" i="53" s="1"/>
  <c r="B50" i="115"/>
  <c r="D58" i="115" s="1"/>
  <c r="D185" i="115" s="1"/>
  <c r="F56" i="115"/>
  <c r="F183" i="115" s="1"/>
  <c r="M430" i="81"/>
  <c r="J447" i="81"/>
  <c r="G312" i="99"/>
  <c r="E326" i="99"/>
  <c r="J269" i="63"/>
  <c r="G282" i="63"/>
  <c r="G266" i="71"/>
  <c r="E280" i="71"/>
  <c r="K316" i="143"/>
  <c r="E326" i="143"/>
  <c r="O349" i="79"/>
  <c r="L364" i="79"/>
  <c r="E341" i="121"/>
  <c r="C352" i="121"/>
  <c r="B51" i="11"/>
  <c r="F55" i="11" s="1"/>
  <c r="F64" i="11" s="1"/>
  <c r="G91" i="11" s="1"/>
  <c r="B59" i="11"/>
  <c r="B68" i="11" s="1"/>
  <c r="G274" i="69"/>
  <c r="D287" i="69"/>
  <c r="N272" i="59"/>
  <c r="K285" i="59"/>
  <c r="H317" i="131"/>
  <c r="F365" i="131"/>
  <c r="F268" i="59"/>
  <c r="D282" i="59"/>
  <c r="G349" i="75"/>
  <c r="E364" i="75"/>
  <c r="H90" i="11"/>
  <c r="E100" i="11"/>
  <c r="L221" i="115"/>
  <c r="H233" i="115"/>
  <c r="P344" i="77"/>
  <c r="M360" i="77"/>
  <c r="H424" i="81"/>
  <c r="F442" i="81"/>
  <c r="N292" i="139"/>
  <c r="J304" i="139"/>
  <c r="J318" i="117"/>
  <c r="F330" i="117"/>
  <c r="G227" i="89"/>
  <c r="E238" i="89"/>
  <c r="K334" i="123"/>
  <c r="F381" i="123"/>
  <c r="E225" i="89"/>
  <c r="C236" i="89"/>
  <c r="M291" i="133"/>
  <c r="H304" i="133"/>
  <c r="L201" i="53"/>
  <c r="I213" i="53"/>
  <c r="D122" i="41"/>
  <c r="D124" i="41"/>
  <c r="H134" i="41" s="1"/>
  <c r="H166" i="41" s="1"/>
  <c r="D130" i="41"/>
  <c r="D162" i="41" s="1"/>
  <c r="J341" i="97"/>
  <c r="G354" i="97"/>
  <c r="E95" i="9"/>
  <c r="E121" i="9"/>
  <c r="I204" i="53"/>
  <c r="F215" i="53"/>
  <c r="N341" i="123"/>
  <c r="I352" i="123"/>
  <c r="D268" i="117"/>
  <c r="E199" i="49"/>
  <c r="C244" i="49"/>
  <c r="K342" i="97"/>
  <c r="H355" i="97"/>
  <c r="J243" i="91"/>
  <c r="G255" i="91"/>
  <c r="F266" i="59"/>
  <c r="D280" i="59"/>
  <c r="J163" i="137"/>
  <c r="F171" i="137"/>
  <c r="M350" i="79"/>
  <c r="J365" i="79"/>
  <c r="B124" i="129"/>
  <c r="D136" i="129" s="1"/>
  <c r="D168" i="129" s="1"/>
  <c r="J130" i="129"/>
  <c r="J162" i="129" s="1"/>
  <c r="E343" i="75"/>
  <c r="C359" i="75"/>
  <c r="I269" i="71"/>
  <c r="G283" i="71"/>
  <c r="L201" i="49"/>
  <c r="I213" i="49"/>
  <c r="I141" i="17"/>
  <c r="F178" i="17"/>
  <c r="B54" i="57"/>
  <c r="D62" i="57" s="1"/>
  <c r="D224" i="57" s="1"/>
  <c r="F60" i="57"/>
  <c r="F222" i="57" s="1"/>
  <c r="B42" i="33"/>
  <c r="D50" i="33" s="1"/>
  <c r="D112" i="33" s="1"/>
  <c r="F48" i="33"/>
  <c r="F110" i="33" s="1"/>
  <c r="F147" i="17"/>
  <c r="D156" i="17"/>
  <c r="M314" i="93"/>
  <c r="J328" i="93"/>
  <c r="H268" i="63"/>
  <c r="E281" i="63"/>
  <c r="F340" i="97"/>
  <c r="D353" i="97"/>
  <c r="M344" i="135"/>
  <c r="J357" i="135"/>
  <c r="D27" i="107"/>
  <c r="D29" i="107"/>
  <c r="D35" i="107" s="1"/>
  <c r="D162" i="107" s="1"/>
  <c r="B33" i="107"/>
  <c r="B160" i="107" s="1"/>
  <c r="C199" i="107" s="1"/>
  <c r="J141" i="25"/>
  <c r="G178" i="25"/>
  <c r="N268" i="61"/>
  <c r="K282" i="61"/>
  <c r="N269" i="61"/>
  <c r="K319" i="61"/>
  <c r="L343" i="135"/>
  <c r="I356" i="135"/>
  <c r="E200" i="107"/>
  <c r="C212" i="107"/>
  <c r="J204" i="37"/>
  <c r="G215" i="37"/>
  <c r="G91" i="7"/>
  <c r="D120" i="7"/>
  <c r="I198" i="51"/>
  <c r="F243" i="51"/>
  <c r="G92" i="7"/>
  <c r="D100" i="7"/>
  <c r="M335" i="121"/>
  <c r="H349" i="121"/>
  <c r="J297" i="139"/>
  <c r="F309" i="139"/>
  <c r="B121" i="93"/>
  <c r="B131" i="93" s="1"/>
  <c r="B272" i="93" s="1"/>
  <c r="C317" i="93" s="1"/>
  <c r="H125" i="93"/>
  <c r="H266" i="93" s="1"/>
  <c r="F342" i="79"/>
  <c r="D358" i="79"/>
  <c r="B226" i="117"/>
  <c r="D240" i="117" s="1"/>
  <c r="D276" i="117" s="1"/>
  <c r="L232" i="117"/>
  <c r="L268" i="117" s="1"/>
  <c r="F200" i="35"/>
  <c r="D212" i="35"/>
  <c r="F271" i="61"/>
  <c r="D284" i="61"/>
  <c r="P343" i="79"/>
  <c r="M359" i="79"/>
  <c r="I162" i="137"/>
  <c r="E196" i="137"/>
  <c r="O342" i="79"/>
  <c r="L358" i="79"/>
  <c r="N341" i="79"/>
  <c r="K357" i="79"/>
  <c r="I142" i="17"/>
  <c r="F152" i="17"/>
  <c r="G166" i="85"/>
  <c r="D175" i="85"/>
  <c r="B44" i="137"/>
  <c r="D52" i="137" s="1"/>
  <c r="D131" i="137" s="1"/>
  <c r="E164" i="137" s="1"/>
  <c r="F50" i="137"/>
  <c r="F129" i="137" s="1"/>
  <c r="H159" i="137"/>
  <c r="D193" i="137"/>
  <c r="G147" i="33"/>
  <c r="E156" i="33"/>
  <c r="B90" i="91"/>
  <c r="B100" i="91" s="1"/>
  <c r="B208" i="91" s="1"/>
  <c r="C247" i="91" s="1"/>
  <c r="H94" i="91"/>
  <c r="H202" i="91" s="1"/>
  <c r="G161" i="137"/>
  <c r="C195" i="137"/>
  <c r="B228" i="121"/>
  <c r="D242" i="121" s="1"/>
  <c r="D299" i="121" s="1"/>
  <c r="L234" i="121"/>
  <c r="L291" i="121" s="1"/>
  <c r="L316" i="93"/>
  <c r="I329" i="93"/>
  <c r="B64" i="11"/>
  <c r="L202" i="39"/>
  <c r="I214" i="39"/>
  <c r="H166" i="47"/>
  <c r="L288" i="133"/>
  <c r="G335" i="133"/>
  <c r="N342" i="79"/>
  <c r="K358" i="79"/>
  <c r="L200" i="49"/>
  <c r="I212" i="49"/>
  <c r="L203" i="43"/>
  <c r="I214" i="43"/>
  <c r="E90" i="9"/>
  <c r="E100" i="9"/>
  <c r="C106" i="9" s="1" a="1"/>
  <c r="F248" i="91"/>
  <c r="D259" i="91"/>
  <c r="F204" i="49"/>
  <c r="D215" i="49"/>
  <c r="E146" i="33"/>
  <c r="C155" i="33"/>
  <c r="K320" i="119"/>
  <c r="G332" i="119"/>
  <c r="E334" i="97"/>
  <c r="C387" i="97"/>
  <c r="H146" i="105"/>
  <c r="D154" i="105"/>
  <c r="B225" i="131"/>
  <c r="J233" i="131" s="1"/>
  <c r="J269" i="131" s="1"/>
  <c r="F237" i="131"/>
  <c r="F273" i="131" s="1"/>
  <c r="E333" i="121"/>
  <c r="C380" i="121"/>
  <c r="J203" i="49"/>
  <c r="G245" i="49"/>
  <c r="J335" i="123"/>
  <c r="E349" i="123"/>
  <c r="F164" i="51"/>
  <c r="H160" i="85"/>
  <c r="E197" i="85"/>
  <c r="G228" i="127"/>
  <c r="E239" i="127"/>
  <c r="H166" i="53"/>
  <c r="N268" i="57"/>
  <c r="K282" i="57"/>
  <c r="E314" i="99"/>
  <c r="C328" i="99"/>
  <c r="B180" i="73"/>
  <c r="L188" i="73" s="1"/>
  <c r="L224" i="73" s="1"/>
  <c r="F194" i="73"/>
  <c r="F230" i="73" s="1"/>
  <c r="L320" i="143"/>
  <c r="F330" i="143"/>
  <c r="J165" i="87"/>
  <c r="G174" i="87"/>
  <c r="H202" i="51"/>
  <c r="E213" i="51"/>
  <c r="B138" i="63"/>
  <c r="B146" i="63" s="1"/>
  <c r="B224" i="63" s="1"/>
  <c r="C269" i="63" s="1"/>
  <c r="F142" i="63"/>
  <c r="F220" i="63" s="1"/>
  <c r="E334" i="123"/>
  <c r="C381" i="123"/>
  <c r="G435" i="83"/>
  <c r="E452" i="83"/>
  <c r="B143" i="135"/>
  <c r="D155" i="135" s="1"/>
  <c r="D296" i="135" s="1"/>
  <c r="J149" i="135"/>
  <c r="J290" i="135" s="1"/>
  <c r="H271" i="63"/>
  <c r="E284" i="63"/>
  <c r="E202" i="41"/>
  <c r="C214" i="41"/>
  <c r="G314" i="119"/>
  <c r="D327" i="119"/>
  <c r="B30" i="115"/>
  <c r="B36" i="115" s="1"/>
  <c r="B182" i="115" s="1"/>
  <c r="C221" i="115" s="1"/>
  <c r="D34" i="115"/>
  <c r="D180" i="115" s="1"/>
  <c r="L321" i="131"/>
  <c r="I334" i="131"/>
  <c r="I204" i="43"/>
  <c r="F215" i="43"/>
  <c r="E267" i="55"/>
  <c r="C281" i="55"/>
  <c r="B121" i="117"/>
  <c r="B131" i="117" s="1"/>
  <c r="B272" i="117" s="1"/>
  <c r="C317" i="117" s="1"/>
  <c r="H125" i="117"/>
  <c r="H266" i="117" s="1"/>
  <c r="J147" i="23"/>
  <c r="G156" i="23"/>
  <c r="N349" i="75"/>
  <c r="K364" i="75"/>
  <c r="L222" i="127"/>
  <c r="I234" i="127"/>
  <c r="M293" i="139"/>
  <c r="I305" i="139"/>
  <c r="H344" i="79"/>
  <c r="F360" i="79"/>
  <c r="G274" i="71"/>
  <c r="E287" i="71"/>
  <c r="M312" i="117"/>
  <c r="I326" i="117"/>
  <c r="F203" i="37"/>
  <c r="D245" i="37"/>
  <c r="J310" i="141"/>
  <c r="F360" i="141"/>
  <c r="E245" i="91"/>
  <c r="C287" i="91"/>
  <c r="J264" i="61"/>
  <c r="G317" i="61"/>
  <c r="J204" i="53"/>
  <c r="G215" i="53"/>
  <c r="N320" i="143"/>
  <c r="H330" i="143"/>
  <c r="G315" i="99"/>
  <c r="E365" i="99"/>
  <c r="J274" i="117"/>
  <c r="E314" i="117"/>
  <c r="C362" i="117"/>
  <c r="I270" i="57"/>
  <c r="G284" i="57"/>
  <c r="M314" i="99"/>
  <c r="J328" i="99"/>
  <c r="I345" i="79"/>
  <c r="G401" i="79"/>
  <c r="L275" i="59"/>
  <c r="I288" i="59"/>
  <c r="F312" i="131"/>
  <c r="D326" i="131"/>
  <c r="H316" i="141"/>
  <c r="D328" i="141"/>
  <c r="G318" i="93"/>
  <c r="E331" i="93"/>
  <c r="J319" i="141"/>
  <c r="F331" i="141"/>
  <c r="E335" i="123"/>
  <c r="C349" i="123"/>
  <c r="B96" i="67"/>
  <c r="D106" i="67" s="1"/>
  <c r="D226" i="67" s="1"/>
  <c r="E271" i="67" s="1"/>
  <c r="H102" i="67"/>
  <c r="H222" i="67" s="1"/>
  <c r="J143" i="23"/>
  <c r="G152" i="23"/>
  <c r="E206" i="39"/>
  <c r="C217" i="39"/>
  <c r="I310" i="93"/>
  <c r="F363" i="93"/>
  <c r="I248" i="91"/>
  <c r="F259" i="91"/>
  <c r="E202" i="39"/>
  <c r="C214" i="39"/>
  <c r="M313" i="119"/>
  <c r="I362" i="119"/>
  <c r="B93" i="17"/>
  <c r="D103" i="17" s="1"/>
  <c r="D114" i="17" s="1"/>
  <c r="H99" i="17"/>
  <c r="H110" i="17" s="1"/>
  <c r="G327" i="3"/>
  <c r="G359" i="3"/>
  <c r="G353" i="3"/>
  <c r="M273" i="63"/>
  <c r="J286" i="63"/>
  <c r="J141" i="27"/>
  <c r="G178" i="27"/>
  <c r="J312" i="119"/>
  <c r="F326" i="119"/>
  <c r="E346" i="79"/>
  <c r="C361" i="79"/>
  <c r="H164" i="125"/>
  <c r="D172" i="125"/>
  <c r="G274" i="65"/>
  <c r="E287" i="65"/>
  <c r="E140" i="19"/>
  <c r="C177" i="19"/>
  <c r="F314" i="117"/>
  <c r="D362" i="117"/>
  <c r="L243" i="91"/>
  <c r="I255" i="91"/>
  <c r="Q435" i="81"/>
  <c r="N452" i="81"/>
  <c r="G206" i="37"/>
  <c r="E217" i="37"/>
  <c r="K207" i="39"/>
  <c r="H218" i="39"/>
  <c r="H164" i="87"/>
  <c r="E173" i="87"/>
  <c r="K264" i="73"/>
  <c r="H317" i="73"/>
  <c r="G164" i="113"/>
  <c r="C172" i="113"/>
  <c r="G269" i="71"/>
  <c r="E283" i="71"/>
  <c r="B48" i="37"/>
  <c r="D56" i="37" s="1"/>
  <c r="D164" i="37" s="1"/>
  <c r="F54" i="37"/>
  <c r="F162" i="37" s="1"/>
  <c r="B33" i="55"/>
  <c r="B39" i="55" s="1"/>
  <c r="B222" i="55" s="1"/>
  <c r="C267" i="55" s="1"/>
  <c r="D37" i="55"/>
  <c r="D220" i="55" s="1"/>
  <c r="K222" i="89"/>
  <c r="H234" i="89"/>
  <c r="G245" i="91"/>
  <c r="E287" i="91"/>
  <c r="C191" i="83"/>
  <c r="O209" i="83" s="1"/>
  <c r="O378" i="83" s="1"/>
  <c r="Q207" i="83"/>
  <c r="Q376" i="83" s="1"/>
  <c r="J198" i="53"/>
  <c r="G243" i="53"/>
  <c r="B33" i="111"/>
  <c r="B39" i="111" s="1"/>
  <c r="B222" i="111" s="1"/>
  <c r="C267" i="111" s="1"/>
  <c r="D37" i="111"/>
  <c r="D220" i="111" s="1"/>
  <c r="E204" i="37"/>
  <c r="C215" i="37"/>
  <c r="M312" i="99"/>
  <c r="J326" i="99"/>
  <c r="F228" i="127"/>
  <c r="D239" i="127"/>
  <c r="C140" i="81"/>
  <c r="C154" i="81" s="1"/>
  <c r="C373" i="81" s="1"/>
  <c r="D430" i="81" s="1"/>
  <c r="M144" i="81"/>
  <c r="M363" i="81" s="1"/>
  <c r="E268" i="71"/>
  <c r="C282" i="71"/>
  <c r="I297" i="139"/>
  <c r="E309" i="139"/>
  <c r="I318" i="143"/>
  <c r="C328" i="143"/>
  <c r="M351" i="79"/>
  <c r="J366" i="79"/>
  <c r="I312" i="143"/>
  <c r="C356" i="143"/>
  <c r="E320" i="117"/>
  <c r="C332" i="117"/>
  <c r="I161" i="113"/>
  <c r="E195" i="113"/>
  <c r="M340" i="79"/>
  <c r="J356" i="79"/>
  <c r="J163" i="113"/>
  <c r="F171" i="113"/>
  <c r="P345" i="77"/>
  <c r="M401" i="77"/>
  <c r="I220" i="89"/>
  <c r="F265" i="89"/>
  <c r="G161" i="87"/>
  <c r="D171" i="87"/>
  <c r="G267" i="61"/>
  <c r="E281" i="61"/>
  <c r="G201" i="129"/>
  <c r="D242" i="129"/>
  <c r="I142" i="23"/>
  <c r="F179" i="23"/>
  <c r="B58" i="99"/>
  <c r="D66" i="99" s="1"/>
  <c r="D270" i="99" s="1"/>
  <c r="F64" i="99"/>
  <c r="F268" i="99" s="1"/>
  <c r="M320" i="99"/>
  <c r="J333" i="99"/>
  <c r="N334" i="97"/>
  <c r="K387" i="97"/>
  <c r="J162" i="125"/>
  <c r="F196" i="125"/>
  <c r="K206" i="41"/>
  <c r="H217" i="41"/>
  <c r="J140" i="27"/>
  <c r="G177" i="27"/>
  <c r="M274" i="71"/>
  <c r="J287" i="71"/>
  <c r="I226" i="89"/>
  <c r="F237" i="89"/>
  <c r="K207" i="45"/>
  <c r="H218" i="45"/>
  <c r="L333" i="121"/>
  <c r="G380" i="121"/>
  <c r="P349" i="77"/>
  <c r="M364" i="77"/>
  <c r="I240" i="91"/>
  <c r="F285" i="91"/>
  <c r="E317" i="93"/>
  <c r="C330" i="93"/>
  <c r="L274" i="59"/>
  <c r="I287" i="59"/>
  <c r="G320" i="99"/>
  <c r="E333" i="99"/>
  <c r="B83" i="79"/>
  <c r="F93" i="79" s="1"/>
  <c r="F294" i="79" s="1"/>
  <c r="H91" i="79"/>
  <c r="H292" i="79" s="1"/>
  <c r="E338" i="77"/>
  <c r="C399" i="77"/>
  <c r="N269" i="65"/>
  <c r="K319" i="65"/>
  <c r="F264" i="71"/>
  <c r="D317" i="71"/>
  <c r="M343" i="75"/>
  <c r="J359" i="75"/>
  <c r="I264" i="63"/>
  <c r="F317" i="63"/>
  <c r="G274" i="55"/>
  <c r="E287" i="55"/>
  <c r="L207" i="107"/>
  <c r="H217" i="107"/>
  <c r="G198" i="45"/>
  <c r="D243" i="45"/>
  <c r="G273" i="71"/>
  <c r="E286" i="71"/>
  <c r="J314" i="141"/>
  <c r="F326" i="141"/>
  <c r="H298" i="139"/>
  <c r="D310" i="139"/>
  <c r="K314" i="93"/>
  <c r="H328" i="93"/>
  <c r="B35" i="139"/>
  <c r="B41" i="139" s="1"/>
  <c r="B245" i="139" s="1"/>
  <c r="C290" i="139" s="1"/>
  <c r="D39" i="139"/>
  <c r="D243" i="139" s="1"/>
  <c r="E288" i="139" s="1"/>
  <c r="F273" i="59"/>
  <c r="D286" i="59"/>
  <c r="G141" i="27"/>
  <c r="D178" i="27"/>
  <c r="H226" i="67"/>
  <c r="F147" i="23"/>
  <c r="C156" i="23"/>
  <c r="K223" i="89"/>
  <c r="H235" i="89"/>
  <c r="E312" i="131"/>
  <c r="C326" i="131"/>
  <c r="L205" i="45"/>
  <c r="I216" i="45"/>
  <c r="E321" i="119"/>
  <c r="C333" i="119"/>
  <c r="B142" i="93"/>
  <c r="D154" i="93" s="1"/>
  <c r="D274" i="93" s="1"/>
  <c r="J148" i="93"/>
  <c r="J268" i="93" s="1"/>
  <c r="N321" i="99"/>
  <c r="K334" i="99"/>
  <c r="N333" i="135"/>
  <c r="K386" i="135"/>
  <c r="F201" i="39"/>
  <c r="D213" i="39"/>
  <c r="K275" i="63"/>
  <c r="H288" i="63"/>
  <c r="E225" i="115"/>
  <c r="C235" i="115"/>
  <c r="G350" i="75"/>
  <c r="E365" i="75"/>
  <c r="I221" i="89"/>
  <c r="F233" i="89"/>
  <c r="B244" i="75"/>
  <c r="N252" i="75" s="1"/>
  <c r="N292" i="75" s="1"/>
  <c r="F260" i="75"/>
  <c r="F300" i="75" s="1"/>
  <c r="C200" i="111"/>
  <c r="E214" i="111" s="1"/>
  <c r="E229" i="111" s="1"/>
  <c r="F274" i="111" s="1"/>
  <c r="M206" i="111"/>
  <c r="M221" i="111" s="1"/>
  <c r="J205" i="53"/>
  <c r="G216" i="53"/>
  <c r="K340" i="79"/>
  <c r="H356" i="79"/>
  <c r="C44" i="125"/>
  <c r="E52" i="125" s="1"/>
  <c r="E131" i="125" s="1"/>
  <c r="F164" i="125" s="1"/>
  <c r="G50" i="125"/>
  <c r="G129" i="125" s="1"/>
  <c r="M268" i="65"/>
  <c r="J282" i="65"/>
  <c r="F249" i="91"/>
  <c r="D260" i="91"/>
  <c r="D268" i="141"/>
  <c r="E313" i="141" s="1"/>
  <c r="B191" i="81"/>
  <c r="N209" i="81" s="1"/>
  <c r="N378" i="81" s="1"/>
  <c r="P207" i="81"/>
  <c r="P376" i="81" s="1"/>
  <c r="K202" i="37"/>
  <c r="H214" i="37"/>
  <c r="I225" i="115"/>
  <c r="E235" i="115"/>
  <c r="F207" i="53"/>
  <c r="D218" i="53"/>
  <c r="R432" i="81"/>
  <c r="O449" i="81"/>
  <c r="B102" i="97"/>
  <c r="J116" i="97" s="1"/>
  <c r="J299" i="97" s="1"/>
  <c r="L114" i="97"/>
  <c r="L297" i="97" s="1"/>
  <c r="B124" i="53"/>
  <c r="D136" i="53" s="1"/>
  <c r="D168" i="53" s="1"/>
  <c r="J130" i="53"/>
  <c r="J162" i="53" s="1"/>
  <c r="B224" i="139"/>
  <c r="F238" i="139" s="1"/>
  <c r="F253" i="139" s="1"/>
  <c r="L232" i="139"/>
  <c r="L247" i="139" s="1"/>
  <c r="J141" i="109"/>
  <c r="D169" i="109"/>
  <c r="D76" i="29"/>
  <c r="B80" i="29" s="1"/>
  <c r="B108" i="29" s="1"/>
  <c r="C141" i="29" s="1"/>
  <c r="D74" i="29"/>
  <c r="H86" i="29"/>
  <c r="H114" i="29" s="1"/>
  <c r="M271" i="69"/>
  <c r="J284" i="69"/>
  <c r="F340" i="79"/>
  <c r="D356" i="79"/>
  <c r="N421" i="83"/>
  <c r="K490" i="83"/>
  <c r="L315" i="143"/>
  <c r="F359" i="143"/>
  <c r="N313" i="93"/>
  <c r="K327" i="93"/>
  <c r="I162" i="113"/>
  <c r="E196" i="113"/>
  <c r="L343" i="123"/>
  <c r="G354" i="123"/>
  <c r="B58" i="117"/>
  <c r="D66" i="117" s="1"/>
  <c r="D270" i="117" s="1"/>
  <c r="F64" i="117"/>
  <c r="F268" i="117" s="1"/>
  <c r="G313" i="117" s="1"/>
  <c r="L204" i="41"/>
  <c r="I215" i="41"/>
  <c r="H141" i="105"/>
  <c r="D175" i="105"/>
  <c r="G204" i="49"/>
  <c r="E215" i="49"/>
  <c r="B81" i="97"/>
  <c r="H93" i="97" s="1"/>
  <c r="H297" i="97" s="1"/>
  <c r="J91" i="97"/>
  <c r="J295" i="97" s="1"/>
  <c r="C227" i="123"/>
  <c r="E241" i="123" s="1"/>
  <c r="E298" i="123" s="1"/>
  <c r="F343" i="123" s="1"/>
  <c r="M233" i="123"/>
  <c r="M290" i="123" s="1"/>
  <c r="B67" i="107"/>
  <c r="B77" i="107" s="1"/>
  <c r="B166" i="107" s="1"/>
  <c r="C205" i="107" s="1"/>
  <c r="H71" i="107"/>
  <c r="H160" i="107" s="1"/>
  <c r="H345" i="75"/>
  <c r="F401" i="75"/>
  <c r="F164" i="37"/>
  <c r="K339" i="97"/>
  <c r="H352" i="97"/>
  <c r="H165" i="137"/>
  <c r="D173" i="137"/>
  <c r="C162" i="143"/>
  <c r="G176" i="143" s="1"/>
  <c r="G275" i="143" s="1"/>
  <c r="H320" i="143" s="1"/>
  <c r="M170" i="143"/>
  <c r="M269" i="143" s="1"/>
  <c r="I274" i="55"/>
  <c r="G287" i="55"/>
  <c r="G271" i="71"/>
  <c r="E319" i="71"/>
  <c r="F224" i="57"/>
  <c r="G201" i="43"/>
  <c r="D212" i="43"/>
  <c r="I146" i="105"/>
  <c r="E154" i="105"/>
  <c r="G320" i="93"/>
  <c r="E333" i="93"/>
  <c r="J336" i="97"/>
  <c r="G350" i="97"/>
  <c r="J198" i="37"/>
  <c r="G243" i="37"/>
  <c r="B86" i="41"/>
  <c r="H98" i="41" s="1"/>
  <c r="H168" i="41" s="1"/>
  <c r="J96" i="41"/>
  <c r="J166" i="41" s="1"/>
  <c r="L270" i="111"/>
  <c r="H282" i="111"/>
  <c r="E199" i="53"/>
  <c r="C244" i="53"/>
  <c r="J317" i="117"/>
  <c r="F329" i="117"/>
  <c r="H266" i="57"/>
  <c r="F280" i="57"/>
  <c r="B266" i="143"/>
  <c r="C311" i="143" s="1"/>
  <c r="C93" i="101"/>
  <c r="C117" i="101"/>
  <c r="L202" i="41"/>
  <c r="I214" i="41"/>
  <c r="I142" i="109"/>
  <c r="C170" i="109"/>
  <c r="K272" i="111"/>
  <c r="G284" i="111"/>
  <c r="F264" i="59"/>
  <c r="D317" i="59"/>
  <c r="I274" i="59"/>
  <c r="G287" i="59"/>
  <c r="G335" i="97"/>
  <c r="E349" i="97"/>
  <c r="G312" i="93"/>
  <c r="E326" i="93"/>
  <c r="L200" i="39"/>
  <c r="I212" i="39"/>
  <c r="E94" i="7"/>
  <c r="C101" i="7"/>
  <c r="R433" i="81"/>
  <c r="O450" i="81"/>
  <c r="E343" i="121"/>
  <c r="C354" i="121"/>
  <c r="J228" i="57"/>
  <c r="B93" i="33"/>
  <c r="D103" i="33" s="1"/>
  <c r="D114" i="33" s="1"/>
  <c r="H99" i="33"/>
  <c r="H110" i="33" s="1"/>
  <c r="M274" i="57"/>
  <c r="J287" i="57"/>
  <c r="J311" i="141"/>
  <c r="F361" i="141"/>
  <c r="H265" i="67"/>
  <c r="E318" i="67"/>
  <c r="F267" i="63"/>
  <c r="C280" i="63"/>
  <c r="K198" i="51"/>
  <c r="H243" i="51"/>
  <c r="H272" i="93"/>
  <c r="L316" i="99"/>
  <c r="I329" i="99"/>
  <c r="J340" i="97"/>
  <c r="G353" i="97"/>
  <c r="K205" i="35"/>
  <c r="H216" i="35"/>
  <c r="F349" i="79"/>
  <c r="D364" i="79"/>
  <c r="E146" i="17"/>
  <c r="C155" i="17"/>
  <c r="E312" i="99"/>
  <c r="C326" i="99"/>
  <c r="N269" i="57"/>
  <c r="K283" i="57"/>
  <c r="H164" i="137"/>
  <c r="D172" i="137"/>
  <c r="J318" i="93"/>
  <c r="G331" i="93"/>
  <c r="J168" i="37"/>
  <c r="K333" i="135"/>
  <c r="H386" i="135"/>
  <c r="H350" i="79"/>
  <c r="F365" i="79"/>
  <c r="G312" i="141"/>
  <c r="C362" i="141"/>
  <c r="B67" i="47"/>
  <c r="B77" i="47" s="1"/>
  <c r="B166" i="47" s="1"/>
  <c r="C205" i="47" s="1"/>
  <c r="H71" i="47"/>
  <c r="H160" i="47" s="1"/>
  <c r="K204" i="53"/>
  <c r="H215" i="53"/>
  <c r="O423" i="81"/>
  <c r="L441" i="81"/>
  <c r="H207" i="43"/>
  <c r="E218" i="43"/>
  <c r="G266" i="67"/>
  <c r="D319" i="67"/>
  <c r="H200" i="51"/>
  <c r="E245" i="51"/>
  <c r="J264" i="63"/>
  <c r="G317" i="63"/>
  <c r="F317" i="99"/>
  <c r="D330" i="99"/>
  <c r="L265" i="55"/>
  <c r="I318" i="55"/>
  <c r="M346" i="75"/>
  <c r="J361" i="75"/>
  <c r="J205" i="35"/>
  <c r="G216" i="35"/>
  <c r="B48" i="51"/>
  <c r="D56" i="51" s="1"/>
  <c r="D164" i="51" s="1"/>
  <c r="E203" i="51" s="1"/>
  <c r="F54" i="51"/>
  <c r="F162" i="51" s="1"/>
  <c r="D74" i="15"/>
  <c r="D76" i="15"/>
  <c r="H86" i="15" s="1"/>
  <c r="H114" i="15" s="1"/>
  <c r="F84" i="15"/>
  <c r="F112" i="15" s="1"/>
  <c r="B246" i="117"/>
  <c r="J254" i="117" s="1"/>
  <c r="J269" i="117" s="1"/>
  <c r="F258" i="117"/>
  <c r="F273" i="117" s="1"/>
  <c r="G318" i="117" s="1"/>
  <c r="K224" i="127"/>
  <c r="H266" i="127"/>
  <c r="J144" i="109"/>
  <c r="D172" i="109"/>
  <c r="E142" i="21"/>
  <c r="C152" i="21"/>
  <c r="H274" i="57"/>
  <c r="F287" i="57"/>
  <c r="B98" i="139"/>
  <c r="F108" i="139" s="1"/>
  <c r="F249" i="139" s="1"/>
  <c r="H106" i="139"/>
  <c r="H247" i="139" s="1"/>
  <c r="H341" i="75"/>
  <c r="F357" i="75"/>
  <c r="I200" i="37"/>
  <c r="F212" i="37"/>
  <c r="I274" i="73"/>
  <c r="G287" i="73"/>
  <c r="H142" i="15"/>
  <c r="E152" i="15"/>
  <c r="G266" i="73"/>
  <c r="E280" i="73"/>
  <c r="E269" i="61"/>
  <c r="C319" i="61"/>
  <c r="C165" i="97"/>
  <c r="G179" i="97" s="1"/>
  <c r="G299" i="97" s="1"/>
  <c r="H344" i="97" s="1"/>
  <c r="M173" i="97"/>
  <c r="M293" i="97" s="1"/>
  <c r="G143" i="19"/>
  <c r="E153" i="19"/>
  <c r="N351" i="77"/>
  <c r="K366" i="77"/>
  <c r="I313" i="93"/>
  <c r="F327" i="93"/>
  <c r="L205" i="37"/>
  <c r="I216" i="37"/>
  <c r="E201" i="47"/>
  <c r="C213" i="47"/>
  <c r="J199" i="37"/>
  <c r="G244" i="37"/>
  <c r="H317" i="141"/>
  <c r="D329" i="141"/>
  <c r="D69" i="115"/>
  <c r="H79" i="115" s="1"/>
  <c r="H187" i="115" s="1"/>
  <c r="D67" i="115"/>
  <c r="B73" i="115"/>
  <c r="M268" i="55"/>
  <c r="J282" i="55"/>
  <c r="M312" i="119"/>
  <c r="I326" i="119"/>
  <c r="J313" i="119"/>
  <c r="F362" i="119"/>
  <c r="K269" i="71"/>
  <c r="H283" i="71"/>
  <c r="B289" i="121"/>
  <c r="C334" i="121" s="1"/>
  <c r="I268" i="57"/>
  <c r="G282" i="57"/>
  <c r="N347" i="79"/>
  <c r="K362" i="79"/>
  <c r="D245" i="139"/>
  <c r="E290" i="139" s="1"/>
  <c r="L267" i="59"/>
  <c r="I281" i="59"/>
  <c r="J271" i="61"/>
  <c r="G284" i="61"/>
  <c r="F269" i="61"/>
  <c r="D319" i="61"/>
  <c r="H144" i="15"/>
  <c r="E153" i="15"/>
  <c r="I310" i="143"/>
  <c r="C354" i="143"/>
  <c r="N310" i="131"/>
  <c r="K363" i="131"/>
  <c r="H315" i="141"/>
  <c r="D327" i="141"/>
  <c r="J207" i="45"/>
  <c r="G218" i="45"/>
  <c r="P351" i="75"/>
  <c r="M366" i="75"/>
  <c r="C29" i="39"/>
  <c r="C35" i="39" s="1"/>
  <c r="C162" i="39" s="1"/>
  <c r="D201" i="39" s="1"/>
  <c r="E33" i="39"/>
  <c r="E160" i="39" s="1"/>
  <c r="G318" i="99"/>
  <c r="E331" i="99"/>
  <c r="L201" i="39"/>
  <c r="I213" i="39"/>
  <c r="I199" i="35"/>
  <c r="F244" i="35"/>
  <c r="I221" i="115"/>
  <c r="E233" i="115"/>
  <c r="O342" i="75"/>
  <c r="L358" i="75"/>
  <c r="M343" i="123"/>
  <c r="H354" i="123"/>
  <c r="D199" i="111"/>
  <c r="D201" i="111"/>
  <c r="L215" i="111" s="1"/>
  <c r="L230" i="111" s="1"/>
  <c r="D207" i="111"/>
  <c r="D222" i="111" s="1"/>
  <c r="L224" i="89"/>
  <c r="I266" i="89"/>
  <c r="B249" i="123"/>
  <c r="J257" i="123" s="1"/>
  <c r="J293" i="123" s="1"/>
  <c r="F261" i="123"/>
  <c r="F297" i="123" s="1"/>
  <c r="G342" i="123" s="1"/>
  <c r="E140" i="29"/>
  <c r="C177" i="29"/>
  <c r="L247" i="91"/>
  <c r="I258" i="91"/>
  <c r="J204" i="107"/>
  <c r="F214" i="107"/>
  <c r="I144" i="25"/>
  <c r="F153" i="25"/>
  <c r="F204" i="37"/>
  <c r="D215" i="37"/>
  <c r="B37" i="141"/>
  <c r="B43" i="141" s="1"/>
  <c r="B268" i="141" s="1"/>
  <c r="C313" i="141" s="1"/>
  <c r="D41" i="141"/>
  <c r="D266" i="141" s="1"/>
  <c r="E311" i="141" s="1"/>
  <c r="B166" i="83"/>
  <c r="L182" i="83" s="1"/>
  <c r="L376" i="83" s="1"/>
  <c r="N180" i="83"/>
  <c r="N374" i="83" s="1"/>
  <c r="B68" i="115"/>
  <c r="B78" i="115" s="1"/>
  <c r="B186" i="115" s="1"/>
  <c r="C225" i="115" s="1"/>
  <c r="H72" i="115"/>
  <c r="H180" i="115" s="1"/>
  <c r="P434" i="81"/>
  <c r="M451" i="81"/>
  <c r="N313" i="99"/>
  <c r="K327" i="99"/>
  <c r="J334" i="121"/>
  <c r="E381" i="121"/>
  <c r="H266" i="71"/>
  <c r="F280" i="71"/>
  <c r="J198" i="45"/>
  <c r="G243" i="45"/>
  <c r="I275" i="69"/>
  <c r="F288" i="69"/>
  <c r="L265" i="111"/>
  <c r="H315" i="111"/>
  <c r="H145" i="15"/>
  <c r="E154" i="15"/>
  <c r="E204" i="129"/>
  <c r="C214" i="129"/>
  <c r="F321" i="93"/>
  <c r="D334" i="93"/>
  <c r="F270" i="117"/>
  <c r="G315" i="117" s="1"/>
  <c r="H143" i="29"/>
  <c r="E179" i="29"/>
  <c r="J206" i="41"/>
  <c r="G217" i="41"/>
  <c r="E310" i="119"/>
  <c r="C360" i="119"/>
  <c r="I202" i="49"/>
  <c r="F214" i="49"/>
  <c r="G206" i="35"/>
  <c r="E217" i="35"/>
  <c r="I147" i="17"/>
  <c r="F156" i="17"/>
  <c r="J247" i="91"/>
  <c r="G258" i="91"/>
  <c r="L296" i="139"/>
  <c r="H308" i="139"/>
  <c r="L206" i="53"/>
  <c r="I217" i="53"/>
  <c r="J297" i="123"/>
  <c r="I341" i="97"/>
  <c r="F354" i="97"/>
  <c r="I293" i="139"/>
  <c r="E305" i="139"/>
  <c r="M270" i="55"/>
  <c r="J284" i="55"/>
  <c r="J140" i="31"/>
  <c r="G177" i="31"/>
  <c r="B207" i="135"/>
  <c r="H213" i="135" s="1"/>
  <c r="H291" i="135" s="1"/>
  <c r="D217" i="135"/>
  <c r="D295" i="135" s="1"/>
  <c r="M318" i="117"/>
  <c r="I330" i="117"/>
  <c r="I225" i="127"/>
  <c r="F236" i="127"/>
  <c r="C142" i="141"/>
  <c r="C150" i="141" s="1"/>
  <c r="C270" i="141" s="1"/>
  <c r="D315" i="141" s="1"/>
  <c r="G146" i="141"/>
  <c r="G266" i="141" s="1"/>
  <c r="K207" i="41"/>
  <c r="H218" i="41"/>
  <c r="J272" i="111"/>
  <c r="F284" i="111"/>
  <c r="B161" i="133"/>
  <c r="D175" i="133" s="1"/>
  <c r="D253" i="133" s="1"/>
  <c r="L167" i="133"/>
  <c r="L245" i="133" s="1"/>
  <c r="N290" i="133"/>
  <c r="I336" i="133"/>
  <c r="F268" i="57"/>
  <c r="D282" i="57"/>
  <c r="F339" i="135"/>
  <c r="D352" i="135"/>
  <c r="B121" i="143"/>
  <c r="B131" i="143" s="1"/>
  <c r="B272" i="143" s="1"/>
  <c r="C317" i="143" s="1"/>
  <c r="H125" i="143"/>
  <c r="H266" i="143" s="1"/>
  <c r="I161" i="85"/>
  <c r="F171" i="85"/>
  <c r="N272" i="57"/>
  <c r="K285" i="57"/>
  <c r="B143" i="47"/>
  <c r="D155" i="47" s="1"/>
  <c r="D168" i="47" s="1"/>
  <c r="J149" i="47"/>
  <c r="J162" i="47" s="1"/>
  <c r="J159" i="95"/>
  <c r="G196" i="95"/>
  <c r="M270" i="59"/>
  <c r="J284" i="59"/>
  <c r="I144" i="23"/>
  <c r="F153" i="23"/>
  <c r="N335" i="97"/>
  <c r="K349" i="97"/>
  <c r="E337" i="97"/>
  <c r="C351" i="97"/>
  <c r="E314" i="93"/>
  <c r="C328" i="93"/>
  <c r="F206" i="39"/>
  <c r="D217" i="39"/>
  <c r="N273" i="57"/>
  <c r="K286" i="57"/>
  <c r="P435" i="81"/>
  <c r="M452" i="81"/>
  <c r="H142" i="31"/>
  <c r="E152" i="31"/>
  <c r="L319" i="93"/>
  <c r="I332" i="93"/>
  <c r="B96" i="57"/>
  <c r="J110" i="57" s="1"/>
  <c r="J230" i="57" s="1"/>
  <c r="L108" i="57"/>
  <c r="L228" i="57" s="1"/>
  <c r="H161" i="87"/>
  <c r="E171" i="87"/>
  <c r="B164" i="89"/>
  <c r="B176" i="89" s="1"/>
  <c r="B189" i="89" s="1"/>
  <c r="C228" i="89" s="1"/>
  <c r="J168" i="89"/>
  <c r="J181" i="89" s="1"/>
  <c r="B138" i="61"/>
  <c r="L146" i="61" s="1"/>
  <c r="L224" i="61" s="1"/>
  <c r="F152" i="61"/>
  <c r="F230" i="61" s="1"/>
  <c r="L273" i="63"/>
  <c r="I286" i="63"/>
  <c r="H162" i="137"/>
  <c r="D196" i="137"/>
  <c r="F141" i="33"/>
  <c r="D178" i="33"/>
  <c r="N341" i="75"/>
  <c r="K357" i="75"/>
  <c r="J142" i="33"/>
  <c r="G152" i="33"/>
  <c r="B51" i="5"/>
  <c r="F55" i="5" s="1"/>
  <c r="F64" i="5" s="1"/>
  <c r="G91" i="5" s="1"/>
  <c r="B59" i="5"/>
  <c r="B68" i="5" s="1"/>
  <c r="J318" i="99"/>
  <c r="G331" i="99"/>
  <c r="B204" i="131"/>
  <c r="L214" i="131" s="1"/>
  <c r="L271" i="131" s="1"/>
  <c r="H218" i="131"/>
  <c r="H275" i="131" s="1"/>
  <c r="I207" i="35"/>
  <c r="F218" i="35"/>
  <c r="N312" i="99"/>
  <c r="K326" i="99"/>
  <c r="F131" i="85"/>
  <c r="G140" i="105"/>
  <c r="C174" i="105"/>
  <c r="B58" i="93"/>
  <c r="D66" i="93" s="1"/>
  <c r="D270" i="93" s="1"/>
  <c r="F64" i="93"/>
  <c r="F268" i="93" s="1"/>
  <c r="B142" i="107"/>
  <c r="J150" i="107" s="1"/>
  <c r="J163" i="107" s="1"/>
  <c r="F154" i="107"/>
  <c r="F167" i="107" s="1"/>
  <c r="I310" i="117"/>
  <c r="E360" i="117"/>
  <c r="H275" i="57"/>
  <c r="F288" i="57"/>
  <c r="H145" i="23"/>
  <c r="E154" i="23"/>
  <c r="M295" i="139"/>
  <c r="I307" i="139"/>
  <c r="M320" i="119"/>
  <c r="I332" i="119"/>
  <c r="B86" i="37"/>
  <c r="H98" i="37" s="1"/>
  <c r="H168" i="37" s="1"/>
  <c r="J96" i="37"/>
  <c r="J166" i="37" s="1"/>
  <c r="B21" i="11"/>
  <c r="B27" i="11" s="1"/>
  <c r="B66" i="11" s="1"/>
  <c r="D25" i="11"/>
  <c r="D64" i="11" s="1"/>
  <c r="E91" i="11" s="1"/>
  <c r="L264" i="71"/>
  <c r="I317" i="71"/>
  <c r="P342" i="79"/>
  <c r="M358" i="79"/>
  <c r="I206" i="53"/>
  <c r="F217" i="53"/>
  <c r="E433" i="81"/>
  <c r="C450" i="81"/>
  <c r="B180" i="55"/>
  <c r="L188" i="55" s="1"/>
  <c r="L224" i="55" s="1"/>
  <c r="F194" i="55"/>
  <c r="F230" i="55" s="1"/>
  <c r="I333" i="123"/>
  <c r="D380" i="123"/>
  <c r="E310" i="93"/>
  <c r="C363" i="93"/>
  <c r="N270" i="57"/>
  <c r="K284" i="57"/>
  <c r="F202" i="51"/>
  <c r="C213" i="51"/>
  <c r="C61" i="87"/>
  <c r="G71" i="87" s="1"/>
  <c r="G133" i="87" s="1"/>
  <c r="I69" i="87"/>
  <c r="I131" i="87" s="1"/>
  <c r="J313" i="99"/>
  <c r="G327" i="99"/>
  <c r="D91" i="9"/>
  <c r="D101" i="9"/>
  <c r="K348" i="75"/>
  <c r="H363" i="75"/>
  <c r="C163" i="131"/>
  <c r="E177" i="131" s="1"/>
  <c r="E276" i="131" s="1"/>
  <c r="M169" i="131"/>
  <c r="M268" i="131" s="1"/>
  <c r="J146" i="15"/>
  <c r="G155" i="15"/>
  <c r="N275" i="65"/>
  <c r="K288" i="65"/>
  <c r="N349" i="77"/>
  <c r="K364" i="77"/>
  <c r="J189" i="89"/>
  <c r="J201" i="43"/>
  <c r="G212" i="43"/>
  <c r="E316" i="117"/>
  <c r="C328" i="117"/>
  <c r="F205" i="37"/>
  <c r="D216" i="37"/>
  <c r="G425" i="81"/>
  <c r="E443" i="81"/>
  <c r="D139" i="81"/>
  <c r="D141" i="81"/>
  <c r="L155" i="81" s="1"/>
  <c r="L374" i="81" s="1"/>
  <c r="B145" i="81"/>
  <c r="E219" i="89"/>
  <c r="C264" i="89"/>
  <c r="F266" i="71"/>
  <c r="D280" i="71"/>
  <c r="E203" i="129"/>
  <c r="C243" i="129"/>
  <c r="I424" i="83"/>
  <c r="G442" i="83"/>
  <c r="B75" i="15"/>
  <c r="F85" i="15" s="1"/>
  <c r="F113" i="15" s="1"/>
  <c r="H83" i="15"/>
  <c r="H111" i="15" s="1"/>
  <c r="F343" i="75"/>
  <c r="D359" i="75"/>
  <c r="B59" i="105"/>
  <c r="F69" i="105" s="1"/>
  <c r="F114" i="105" s="1"/>
  <c r="H67" i="105"/>
  <c r="H112" i="105" s="1"/>
  <c r="B66" i="81"/>
  <c r="D74" i="81" s="1"/>
  <c r="D368" i="81" s="1"/>
  <c r="F72" i="81"/>
  <c r="F366" i="81" s="1"/>
  <c r="J428" i="81"/>
  <c r="H446" i="81"/>
  <c r="C116" i="111"/>
  <c r="C126" i="111" s="1"/>
  <c r="C225" i="111" s="1"/>
  <c r="D270" i="111" s="1"/>
  <c r="I120" i="111"/>
  <c r="I219" i="111" s="1"/>
  <c r="N430" i="81"/>
  <c r="K447" i="81"/>
  <c r="M270" i="73"/>
  <c r="J284" i="73"/>
  <c r="B54" i="59"/>
  <c r="D62" i="59" s="1"/>
  <c r="D224" i="59" s="1"/>
  <c r="F60" i="59"/>
  <c r="F222" i="59" s="1"/>
  <c r="J271" i="69"/>
  <c r="G284" i="69"/>
  <c r="C90" i="5"/>
  <c r="C100" i="5"/>
  <c r="E268" i="73"/>
  <c r="C282" i="73"/>
  <c r="G164" i="95"/>
  <c r="D173" i="95"/>
  <c r="C179" i="95" s="1" a="1"/>
  <c r="B105" i="47"/>
  <c r="J113" i="47" s="1"/>
  <c r="J164" i="47" s="1"/>
  <c r="F117" i="47"/>
  <c r="F168" i="47" s="1"/>
  <c r="N295" i="139"/>
  <c r="J307" i="139"/>
  <c r="I269" i="67"/>
  <c r="F282" i="67"/>
  <c r="J207" i="37"/>
  <c r="G218" i="37"/>
  <c r="B29" i="47"/>
  <c r="B35" i="47" s="1"/>
  <c r="B162" i="47" s="1"/>
  <c r="C201" i="47" s="1"/>
  <c r="D33" i="47"/>
  <c r="D160" i="47" s="1"/>
  <c r="M289" i="133"/>
  <c r="H303" i="133"/>
  <c r="B33" i="71"/>
  <c r="B39" i="71" s="1"/>
  <c r="B222" i="71" s="1"/>
  <c r="C267" i="71" s="1"/>
  <c r="D37" i="71"/>
  <c r="D220" i="71" s="1"/>
  <c r="J315" i="141"/>
  <c r="F327" i="141"/>
  <c r="F317" i="93"/>
  <c r="D330" i="93"/>
  <c r="C68" i="115"/>
  <c r="C78" i="115" s="1"/>
  <c r="C186" i="115" s="1"/>
  <c r="D225" i="115" s="1"/>
  <c r="I72" i="115"/>
  <c r="I180" i="115" s="1"/>
  <c r="E198" i="35"/>
  <c r="C243" i="35"/>
  <c r="E320" i="119"/>
  <c r="C332" i="119"/>
  <c r="G159" i="125"/>
  <c r="C193" i="125"/>
  <c r="B39" i="121"/>
  <c r="B45" i="121" s="1"/>
  <c r="B291" i="121" s="1"/>
  <c r="C336" i="121" s="1"/>
  <c r="D43" i="121"/>
  <c r="D289" i="121" s="1"/>
  <c r="E310" i="131"/>
  <c r="C363" i="131"/>
  <c r="G270" i="57"/>
  <c r="E284" i="57"/>
  <c r="B51" i="9"/>
  <c r="F55" i="9" s="1"/>
  <c r="F64" i="9" s="1"/>
  <c r="G91" i="9" s="1"/>
  <c r="B59" i="9"/>
  <c r="B68" i="9" s="1"/>
  <c r="L349" i="79"/>
  <c r="I364" i="79"/>
  <c r="J206" i="49"/>
  <c r="G217" i="49"/>
  <c r="F246" i="91"/>
  <c r="D257" i="91"/>
  <c r="J271" i="63"/>
  <c r="G284" i="63"/>
  <c r="M272" i="67"/>
  <c r="J285" i="67"/>
  <c r="N266" i="73"/>
  <c r="K280" i="73"/>
  <c r="K312" i="141"/>
  <c r="G362" i="141"/>
  <c r="J199" i="45"/>
  <c r="G244" i="45"/>
  <c r="F313" i="99"/>
  <c r="D327" i="99"/>
  <c r="K314" i="99"/>
  <c r="H328" i="99"/>
  <c r="B64" i="103"/>
  <c r="C91" i="103" s="1"/>
  <c r="F207" i="39"/>
  <c r="D218" i="39"/>
  <c r="O422" i="81"/>
  <c r="L440" i="81"/>
  <c r="K313" i="117"/>
  <c r="G327" i="117"/>
  <c r="N336" i="97"/>
  <c r="K350" i="97"/>
  <c r="I266" i="67"/>
  <c r="F319" i="67"/>
  <c r="J204" i="45"/>
  <c r="G215" i="45"/>
  <c r="N270" i="63"/>
  <c r="K283" i="63"/>
  <c r="J249" i="91"/>
  <c r="G260" i="91"/>
  <c r="G266" i="57"/>
  <c r="E280" i="57"/>
  <c r="G146" i="25"/>
  <c r="D155" i="25"/>
  <c r="J200" i="37"/>
  <c r="G212" i="37"/>
  <c r="B138" i="65"/>
  <c r="L146" i="65" s="1"/>
  <c r="L224" i="65" s="1"/>
  <c r="F152" i="65"/>
  <c r="F230" i="65" s="1"/>
  <c r="K312" i="93"/>
  <c r="H326" i="93"/>
  <c r="N376" i="83"/>
  <c r="E333" i="123"/>
  <c r="C380" i="123"/>
  <c r="H161" i="113"/>
  <c r="D195" i="113"/>
  <c r="F321" i="99"/>
  <c r="D334" i="99"/>
  <c r="G201" i="45"/>
  <c r="D245" i="45"/>
  <c r="F268" i="71"/>
  <c r="D282" i="71"/>
  <c r="C75" i="29"/>
  <c r="I79" i="29" s="1"/>
  <c r="I107" i="29" s="1"/>
  <c r="C85" i="29"/>
  <c r="C113" i="29" s="1"/>
  <c r="D146" i="29" s="1"/>
  <c r="B200" i="111"/>
  <c r="D214" i="111" s="1"/>
  <c r="D229" i="111" s="1"/>
  <c r="L206" i="111"/>
  <c r="L221" i="111" s="1"/>
  <c r="J424" i="83"/>
  <c r="H442" i="83"/>
  <c r="J198" i="107"/>
  <c r="F240" i="107"/>
  <c r="I200" i="129"/>
  <c r="E212" i="129"/>
  <c r="O423" i="83"/>
  <c r="L441" i="83"/>
  <c r="H145" i="105"/>
  <c r="D153" i="105"/>
  <c r="K202" i="35"/>
  <c r="H214" i="35"/>
  <c r="F201" i="51"/>
  <c r="C212" i="51"/>
  <c r="F144" i="33"/>
  <c r="D154" i="33"/>
  <c r="G335" i="135"/>
  <c r="E349" i="135"/>
  <c r="I143" i="23"/>
  <c r="F152" i="23"/>
  <c r="I205" i="107"/>
  <c r="E215" i="107"/>
  <c r="D163" i="143"/>
  <c r="L177" i="143" s="1"/>
  <c r="D161" i="143"/>
  <c r="F171" i="143"/>
  <c r="I317" i="143"/>
  <c r="C327" i="143"/>
  <c r="L264" i="55"/>
  <c r="I317" i="55"/>
  <c r="M334" i="97"/>
  <c r="J387" i="97"/>
  <c r="B86" i="47"/>
  <c r="H98" i="47" s="1"/>
  <c r="H168" i="47" s="1"/>
  <c r="J96" i="47"/>
  <c r="J166" i="47" s="1"/>
  <c r="B205" i="99"/>
  <c r="H211" i="99" s="1"/>
  <c r="H268" i="99" s="1"/>
  <c r="D215" i="99"/>
  <c r="D272" i="99" s="1"/>
  <c r="N271" i="55"/>
  <c r="K319" i="55"/>
  <c r="J147" i="33"/>
  <c r="G156" i="33"/>
  <c r="I342" i="75"/>
  <c r="G358" i="75"/>
  <c r="L310" i="143"/>
  <c r="F354" i="143"/>
  <c r="K320" i="117"/>
  <c r="G332" i="117"/>
  <c r="B105" i="41"/>
  <c r="J113" i="41" s="1"/>
  <c r="J164" i="41" s="1"/>
  <c r="F117" i="41"/>
  <c r="F168" i="41" s="1"/>
  <c r="F198" i="41"/>
  <c r="D243" i="41"/>
  <c r="I166" i="95"/>
  <c r="F175" i="95"/>
  <c r="D222" i="59"/>
  <c r="G249" i="91"/>
  <c r="E260" i="91"/>
  <c r="L200" i="129"/>
  <c r="H212" i="129"/>
  <c r="J335" i="135"/>
  <c r="G349" i="135"/>
  <c r="H140" i="25"/>
  <c r="E177" i="25"/>
  <c r="E165" i="85"/>
  <c r="C174" i="85"/>
  <c r="L274" i="57"/>
  <c r="I287" i="57"/>
  <c r="E347" i="75"/>
  <c r="C362" i="75"/>
  <c r="H275" i="55"/>
  <c r="F288" i="55"/>
  <c r="G146" i="23"/>
  <c r="D155" i="23"/>
  <c r="F343" i="97"/>
  <c r="D356" i="97"/>
  <c r="I298" i="133"/>
  <c r="E309" i="133"/>
  <c r="N289" i="133"/>
  <c r="I303" i="133"/>
  <c r="I141" i="19"/>
  <c r="F178" i="19"/>
  <c r="J165" i="113"/>
  <c r="F173" i="113"/>
  <c r="L275" i="57"/>
  <c r="I288" i="57"/>
  <c r="L205" i="47"/>
  <c r="I216" i="47"/>
  <c r="C91" i="101"/>
  <c r="C101" i="101"/>
  <c r="C105" i="101" s="1" a="1"/>
  <c r="L230" i="57"/>
  <c r="H266" i="55"/>
  <c r="F280" i="55"/>
  <c r="I140" i="33"/>
  <c r="F177" i="33"/>
  <c r="H141" i="25"/>
  <c r="E178" i="25"/>
  <c r="C75" i="63"/>
  <c r="E87" i="63" s="1"/>
  <c r="E228" i="63" s="1"/>
  <c r="K81" i="63"/>
  <c r="K222" i="63" s="1"/>
  <c r="B79" i="93"/>
  <c r="H91" i="93" s="1"/>
  <c r="H274" i="93" s="1"/>
  <c r="J89" i="93"/>
  <c r="J272" i="93" s="1"/>
  <c r="D142" i="141"/>
  <c r="F150" i="141" s="1"/>
  <c r="F270" i="141" s="1"/>
  <c r="D140" i="141"/>
  <c r="B146" i="141"/>
  <c r="B266" i="141" s="1"/>
  <c r="C311" i="141" s="1"/>
  <c r="I161" i="87"/>
  <c r="F171" i="87"/>
  <c r="F349" i="75"/>
  <c r="D364" i="75"/>
  <c r="J310" i="93"/>
  <c r="G363" i="93"/>
  <c r="F146" i="33"/>
  <c r="D155" i="33"/>
  <c r="L298" i="75"/>
  <c r="L272" i="59"/>
  <c r="I285" i="59"/>
  <c r="N312" i="117"/>
  <c r="J326" i="117"/>
  <c r="B124" i="49"/>
  <c r="J130" i="49" s="1"/>
  <c r="J162" i="49" s="1"/>
  <c r="D136" i="49"/>
  <c r="D168" i="49" s="1"/>
  <c r="F320" i="99"/>
  <c r="D333" i="99"/>
  <c r="E90" i="13"/>
  <c r="E100" i="13"/>
  <c r="B44" i="85"/>
  <c r="D52" i="85" s="1"/>
  <c r="D131" i="85" s="1"/>
  <c r="F50" i="85"/>
  <c r="F129" i="85" s="1"/>
  <c r="F270" i="93"/>
  <c r="B95" i="137"/>
  <c r="B103" i="137" s="1"/>
  <c r="B131" i="137" s="1"/>
  <c r="C164" i="137" s="1"/>
  <c r="F99" i="137"/>
  <c r="F127" i="137" s="1"/>
  <c r="J268" i="69"/>
  <c r="G281" i="69"/>
  <c r="H344" i="75"/>
  <c r="F360" i="75"/>
  <c r="K297" i="139"/>
  <c r="G309" i="139"/>
  <c r="F311" i="131"/>
  <c r="D364" i="131"/>
  <c r="E198" i="49"/>
  <c r="C243" i="49"/>
  <c r="H272" i="99"/>
  <c r="E340" i="75"/>
  <c r="C356" i="75"/>
  <c r="G206" i="47"/>
  <c r="E217" i="47"/>
  <c r="J311" i="93"/>
  <c r="G364" i="93"/>
  <c r="B203" i="139"/>
  <c r="J217" i="139" s="1"/>
  <c r="J253" i="139" s="1"/>
  <c r="L215" i="139"/>
  <c r="L251" i="139" s="1"/>
  <c r="F200" i="51"/>
  <c r="C245" i="51"/>
  <c r="J166" i="87"/>
  <c r="G175" i="87"/>
  <c r="K219" i="127"/>
  <c r="H264" i="127"/>
  <c r="F205" i="35"/>
  <c r="D216" i="35"/>
  <c r="N342" i="97"/>
  <c r="K355" i="97"/>
  <c r="G272" i="59"/>
  <c r="E285" i="59"/>
  <c r="C75" i="15"/>
  <c r="G85" i="15" s="1"/>
  <c r="G113" i="15" s="1"/>
  <c r="I83" i="15"/>
  <c r="I111" i="15" s="1"/>
  <c r="F272" i="73"/>
  <c r="D285" i="73"/>
  <c r="B107" i="89"/>
  <c r="H119" i="89" s="1"/>
  <c r="H189" i="89" s="1"/>
  <c r="J117" i="89"/>
  <c r="J187" i="89" s="1"/>
  <c r="F205" i="43"/>
  <c r="C216" i="43"/>
  <c r="I312" i="117"/>
  <c r="E326" i="117"/>
  <c r="J160" i="113"/>
  <c r="F194" i="113"/>
  <c r="J201" i="37"/>
  <c r="G213" i="37"/>
  <c r="B142" i="43"/>
  <c r="H154" i="43" s="1"/>
  <c r="H167" i="43" s="1"/>
  <c r="J152" i="43"/>
  <c r="J165" i="43" s="1"/>
  <c r="E420" i="83"/>
  <c r="C489" i="83"/>
  <c r="E348" i="79"/>
  <c r="C363" i="79"/>
  <c r="H165" i="113"/>
  <c r="D173" i="113"/>
  <c r="K339" i="77"/>
  <c r="H400" i="77"/>
  <c r="M337" i="123"/>
  <c r="H383" i="123"/>
  <c r="E163" i="87"/>
  <c r="C172" i="87"/>
  <c r="J203" i="51"/>
  <c r="G214" i="51"/>
  <c r="K347" i="77"/>
  <c r="H362" i="77"/>
  <c r="B124" i="45"/>
  <c r="H136" i="45" s="1"/>
  <c r="H168" i="45" s="1"/>
  <c r="J134" i="45"/>
  <c r="J166" i="45" s="1"/>
  <c r="G319" i="93"/>
  <c r="E332" i="93"/>
  <c r="G269" i="61"/>
  <c r="E319" i="61"/>
  <c r="B117" i="59"/>
  <c r="J131" i="59" s="1"/>
  <c r="J230" i="59" s="1"/>
  <c r="L129" i="59"/>
  <c r="L228" i="59" s="1"/>
  <c r="H205" i="51"/>
  <c r="E216" i="51"/>
  <c r="G338" i="135"/>
  <c r="E388" i="135"/>
  <c r="E145" i="19"/>
  <c r="C179" i="19"/>
  <c r="B129" i="79"/>
  <c r="J135" i="79" s="1"/>
  <c r="J290" i="79" s="1"/>
  <c r="D141" i="79"/>
  <c r="D296" i="79" s="1"/>
  <c r="L339" i="121"/>
  <c r="G350" i="121"/>
  <c r="I427" i="81"/>
  <c r="G445" i="81"/>
  <c r="J145" i="23"/>
  <c r="G154" i="23"/>
  <c r="F346" i="79"/>
  <c r="D361" i="79"/>
  <c r="K273" i="55"/>
  <c r="H286" i="55"/>
  <c r="K264" i="55"/>
  <c r="H317" i="55"/>
  <c r="J143" i="29"/>
  <c r="G179" i="29"/>
  <c r="L266" i="111"/>
  <c r="H280" i="111"/>
  <c r="G268" i="71"/>
  <c r="E282" i="71"/>
  <c r="L334" i="121"/>
  <c r="G381" i="121"/>
  <c r="B60" i="135"/>
  <c r="D68" i="135" s="1"/>
  <c r="D293" i="135" s="1"/>
  <c r="F66" i="135"/>
  <c r="F291" i="135" s="1"/>
  <c r="L297" i="139"/>
  <c r="H309" i="139"/>
  <c r="D92" i="103"/>
  <c r="C114" i="103"/>
  <c r="F145" i="33"/>
  <c r="D179" i="33"/>
  <c r="B267" i="77"/>
  <c r="N277" i="77" s="1"/>
  <c r="N294" i="77" s="1"/>
  <c r="H283" i="77"/>
  <c r="H300" i="77" s="1"/>
  <c r="N314" i="93"/>
  <c r="K328" i="93"/>
  <c r="G271" i="67"/>
  <c r="D284" i="67"/>
  <c r="K319" i="141"/>
  <c r="G331" i="141"/>
  <c r="F314" i="99"/>
  <c r="D328" i="99"/>
  <c r="B61" i="95"/>
  <c r="F65" i="95" s="1"/>
  <c r="F127" i="95" s="1"/>
  <c r="B69" i="95"/>
  <c r="B131" i="95" s="1"/>
  <c r="C164" i="95" s="1"/>
  <c r="H273" i="63"/>
  <c r="E286" i="63"/>
  <c r="E297" i="133"/>
  <c r="C308" i="133"/>
  <c r="E267" i="71"/>
  <c r="C281" i="71"/>
  <c r="J313" i="93"/>
  <c r="G327" i="93"/>
  <c r="J225" i="115"/>
  <c r="F235" i="115"/>
  <c r="D91" i="103"/>
  <c r="C100" i="103"/>
  <c r="C104" i="103" s="1" a="1"/>
  <c r="C104" i="103" s="1"/>
  <c r="C108" i="103" s="1" a="1"/>
  <c r="C108" i="103" s="1"/>
  <c r="L310" i="131"/>
  <c r="I363" i="131"/>
  <c r="D291" i="121"/>
  <c r="F312" i="99"/>
  <c r="D326" i="99"/>
  <c r="I140" i="109"/>
  <c r="C168" i="109"/>
  <c r="F347" i="79"/>
  <c r="D362" i="79"/>
  <c r="N315" i="99"/>
  <c r="K365" i="99"/>
  <c r="L204" i="49"/>
  <c r="I215" i="49"/>
  <c r="J242" i="91"/>
  <c r="G254" i="91"/>
  <c r="I199" i="43"/>
  <c r="F244" i="43"/>
  <c r="I140" i="27"/>
  <c r="F177" i="27"/>
  <c r="K274" i="67"/>
  <c r="H287" i="67"/>
  <c r="F274" i="73"/>
  <c r="D287" i="73"/>
  <c r="D268" i="143"/>
  <c r="E313" i="143" s="1"/>
  <c r="B36" i="5"/>
  <c r="D44" i="5" s="1"/>
  <c r="D68" i="5" s="1"/>
  <c r="F42" i="5"/>
  <c r="F66" i="5" s="1"/>
  <c r="G93" i="5" s="1"/>
  <c r="K205" i="129"/>
  <c r="G215" i="129"/>
  <c r="J222" i="115"/>
  <c r="F263" i="115"/>
  <c r="L319" i="131"/>
  <c r="I332" i="131"/>
  <c r="C143" i="43"/>
  <c r="I155" i="43" s="1"/>
  <c r="I168" i="43" s="1"/>
  <c r="K153" i="43"/>
  <c r="K166" i="43" s="1"/>
  <c r="D92" i="5"/>
  <c r="D102" i="5"/>
  <c r="D290" i="79"/>
  <c r="E432" i="81"/>
  <c r="C449" i="81"/>
  <c r="E319" i="117"/>
  <c r="C331" i="117"/>
  <c r="F344" i="97"/>
  <c r="D357" i="97"/>
  <c r="F201" i="53"/>
  <c r="D213" i="53"/>
  <c r="I203" i="43"/>
  <c r="F214" i="43"/>
  <c r="J274" i="63"/>
  <c r="G287" i="63"/>
  <c r="F204" i="35"/>
  <c r="D215" i="35"/>
  <c r="I205" i="35"/>
  <c r="F216" i="35"/>
  <c r="E268" i="57"/>
  <c r="C282" i="57"/>
  <c r="L265" i="59"/>
  <c r="I318" i="59"/>
  <c r="G202" i="49"/>
  <c r="E214" i="49"/>
  <c r="E318" i="93"/>
  <c r="C331" i="93"/>
  <c r="N314" i="99"/>
  <c r="K328" i="99"/>
  <c r="L313" i="143"/>
  <c r="F357" i="143"/>
  <c r="H295" i="121"/>
  <c r="E203" i="45"/>
  <c r="C214" i="45"/>
  <c r="F266" i="63"/>
  <c r="C319" i="63"/>
  <c r="H426" i="83"/>
  <c r="F444" i="83"/>
  <c r="K204" i="107"/>
  <c r="G214" i="107"/>
  <c r="L311" i="143"/>
  <c r="F355" i="143"/>
  <c r="G266" i="59"/>
  <c r="E280" i="59"/>
  <c r="F347" i="75"/>
  <c r="D362" i="75"/>
  <c r="E433" i="83"/>
  <c r="C450" i="83"/>
  <c r="J336" i="123"/>
  <c r="E382" i="123"/>
  <c r="I204" i="45"/>
  <c r="F215" i="45"/>
  <c r="E337" i="135"/>
  <c r="C351" i="135"/>
  <c r="B102" i="123"/>
  <c r="J116" i="123" s="1"/>
  <c r="J299" i="123" s="1"/>
  <c r="L114" i="123"/>
  <c r="L297" i="123" s="1"/>
  <c r="C105" i="79"/>
  <c r="C117" i="79" s="1"/>
  <c r="C295" i="79" s="1"/>
  <c r="D346" i="79" s="1"/>
  <c r="K109" i="79"/>
  <c r="K287" i="79" s="1"/>
  <c r="O348" i="75"/>
  <c r="L363" i="75"/>
  <c r="B79" i="143"/>
  <c r="H91" i="143" s="1"/>
  <c r="H274" i="143" s="1"/>
  <c r="J89" i="143"/>
  <c r="J272" i="143" s="1"/>
  <c r="J168" i="47"/>
  <c r="E431" i="81"/>
  <c r="C448" i="81"/>
  <c r="F199" i="51"/>
  <c r="C244" i="51"/>
  <c r="G344" i="75"/>
  <c r="E360" i="75"/>
  <c r="N274" i="57"/>
  <c r="K287" i="57"/>
  <c r="J144" i="25"/>
  <c r="G153" i="25"/>
  <c r="B78" i="95"/>
  <c r="B88" i="95" s="1"/>
  <c r="B133" i="95" s="1"/>
  <c r="C166" i="95" s="1"/>
  <c r="H82" i="95"/>
  <c r="H127" i="95" s="1"/>
  <c r="B33" i="59"/>
  <c r="B39" i="59" s="1"/>
  <c r="B222" i="59" s="1"/>
  <c r="C267" i="59" s="1"/>
  <c r="D37" i="59"/>
  <c r="D220" i="59" s="1"/>
  <c r="M346" i="79"/>
  <c r="J361" i="79"/>
  <c r="B76" i="105"/>
  <c r="H80" i="105" s="1"/>
  <c r="H108" i="105" s="1"/>
  <c r="B86" i="105"/>
  <c r="B114" i="105" s="1"/>
  <c r="C147" i="105" s="1"/>
  <c r="K245" i="91"/>
  <c r="H287" i="91"/>
  <c r="L207" i="47"/>
  <c r="I218" i="47"/>
  <c r="B124" i="51"/>
  <c r="B134" i="51" s="1"/>
  <c r="B166" i="51" s="1"/>
  <c r="C205" i="51" s="1"/>
  <c r="H128" i="51"/>
  <c r="H160" i="51" s="1"/>
  <c r="E267" i="65"/>
  <c r="C281" i="65"/>
  <c r="F202" i="37"/>
  <c r="D214" i="37"/>
  <c r="K341" i="75"/>
  <c r="H357" i="75"/>
  <c r="B29" i="43"/>
  <c r="B35" i="43" s="1"/>
  <c r="B162" i="43" s="1"/>
  <c r="C201" i="43" s="1"/>
  <c r="D33" i="43"/>
  <c r="D160" i="43" s="1"/>
  <c r="E199" i="43" s="1"/>
  <c r="B61" i="137"/>
  <c r="F71" i="137" s="1"/>
  <c r="F133" i="137" s="1"/>
  <c r="H69" i="137"/>
  <c r="H131" i="137" s="1"/>
  <c r="N269" i="55"/>
  <c r="K283" i="55"/>
  <c r="M294" i="133"/>
  <c r="H338" i="133"/>
  <c r="L204" i="47"/>
  <c r="I215" i="47"/>
  <c r="H161" i="137"/>
  <c r="D195" i="137"/>
  <c r="J207" i="47"/>
  <c r="G218" i="47"/>
  <c r="E264" i="57"/>
  <c r="C317" i="57"/>
  <c r="L338" i="97"/>
  <c r="I388" i="97"/>
  <c r="E272" i="73"/>
  <c r="C285" i="73"/>
  <c r="F268" i="55"/>
  <c r="D282" i="55"/>
  <c r="F347" i="77"/>
  <c r="D362" i="77"/>
  <c r="N343" i="135"/>
  <c r="K356" i="135"/>
  <c r="G314" i="141"/>
  <c r="C326" i="141"/>
  <c r="G274" i="73"/>
  <c r="E287" i="73"/>
  <c r="E266" i="57"/>
  <c r="C280" i="57"/>
  <c r="C141" i="141"/>
  <c r="C149" i="141" s="1"/>
  <c r="C269" i="141" s="1"/>
  <c r="D314" i="141" s="1"/>
  <c r="G145" i="141"/>
  <c r="G265" i="141" s="1"/>
  <c r="E165" i="87"/>
  <c r="C174" i="87"/>
  <c r="N297" i="139"/>
  <c r="J309" i="139"/>
  <c r="I141" i="21"/>
  <c r="F178" i="21"/>
  <c r="B152" i="75"/>
  <c r="J166" i="75" s="1"/>
  <c r="J298" i="75" s="1"/>
  <c r="L164" i="75"/>
  <c r="L296" i="75" s="1"/>
  <c r="H269" i="67"/>
  <c r="E282" i="67"/>
  <c r="L246" i="91"/>
  <c r="I257" i="91"/>
  <c r="F320" i="117"/>
  <c r="D332" i="117"/>
  <c r="C92" i="13"/>
  <c r="C102" i="13"/>
  <c r="B161" i="139"/>
  <c r="F173" i="139" s="1"/>
  <c r="F251" i="139" s="1"/>
  <c r="J169" i="139"/>
  <c r="J247" i="139" s="1"/>
  <c r="H160" i="137"/>
  <c r="D194" i="137"/>
  <c r="I198" i="39"/>
  <c r="F243" i="39"/>
  <c r="H270" i="69"/>
  <c r="E283" i="69"/>
  <c r="L206" i="51"/>
  <c r="I217" i="51"/>
  <c r="B60" i="79"/>
  <c r="D68" i="79" s="1"/>
  <c r="D292" i="79" s="1"/>
  <c r="F66" i="79"/>
  <c r="F290" i="79" s="1"/>
  <c r="J274" i="99"/>
  <c r="L312" i="119"/>
  <c r="H326" i="119"/>
  <c r="K202" i="47"/>
  <c r="H214" i="47"/>
  <c r="B109" i="91"/>
  <c r="D121" i="91" s="1"/>
  <c r="D210" i="91" s="1"/>
  <c r="J115" i="91"/>
  <c r="J204" i="91" s="1"/>
  <c r="L266" i="61"/>
  <c r="I280" i="61"/>
  <c r="J145" i="17"/>
  <c r="G179" i="17"/>
  <c r="N335" i="121"/>
  <c r="I349" i="121"/>
  <c r="L203" i="37"/>
  <c r="I245" i="37"/>
  <c r="I201" i="47"/>
  <c r="F213" i="47"/>
  <c r="B145" i="89"/>
  <c r="J153" i="89" s="1"/>
  <c r="J185" i="89" s="1"/>
  <c r="F157" i="89"/>
  <c r="F189" i="89" s="1"/>
  <c r="M267" i="57"/>
  <c r="J281" i="57"/>
  <c r="N312" i="93"/>
  <c r="K326" i="93"/>
  <c r="J201" i="35"/>
  <c r="G213" i="35"/>
  <c r="L344" i="97"/>
  <c r="I357" i="97"/>
  <c r="B180" i="61"/>
  <c r="D192" i="61" s="1"/>
  <c r="D228" i="61" s="1"/>
  <c r="J186" i="61"/>
  <c r="J222" i="61" s="1"/>
  <c r="K268" i="59"/>
  <c r="H282" i="59"/>
  <c r="L205" i="53"/>
  <c r="I216" i="53"/>
  <c r="H93" i="7"/>
  <c r="E121" i="7"/>
  <c r="J168" i="43"/>
  <c r="L266" i="73"/>
  <c r="I280" i="73"/>
  <c r="L276" i="143"/>
  <c r="G264" i="69"/>
  <c r="D317" i="69"/>
  <c r="G204" i="45"/>
  <c r="D215" i="45"/>
  <c r="F202" i="41"/>
  <c r="D214" i="41"/>
  <c r="G426" i="83"/>
  <c r="E444" i="83"/>
  <c r="L203" i="35"/>
  <c r="I245" i="35"/>
  <c r="I146" i="15"/>
  <c r="F155" i="15"/>
  <c r="K315" i="93"/>
  <c r="H365" i="93"/>
  <c r="K204" i="37"/>
  <c r="H215" i="37"/>
  <c r="K316" i="93"/>
  <c r="H329" i="93"/>
  <c r="J340" i="123"/>
  <c r="E351" i="123"/>
  <c r="F202" i="49"/>
  <c r="D214" i="49"/>
  <c r="M275" i="59"/>
  <c r="J288" i="59"/>
  <c r="F338" i="97"/>
  <c r="D388" i="97"/>
  <c r="D117" i="111"/>
  <c r="H127" i="111" s="1"/>
  <c r="H226" i="111" s="1"/>
  <c r="D115" i="111"/>
  <c r="B121" i="111"/>
  <c r="B220" i="111" s="1"/>
  <c r="C265" i="111" s="1"/>
  <c r="B138" i="111"/>
  <c r="D150" i="111" s="1"/>
  <c r="D228" i="111" s="1"/>
  <c r="J144" i="111"/>
  <c r="J222" i="111" s="1"/>
  <c r="L272" i="67"/>
  <c r="I285" i="67"/>
  <c r="N340" i="75"/>
  <c r="K356" i="75"/>
  <c r="G269" i="59"/>
  <c r="E283" i="59"/>
  <c r="C96" i="69"/>
  <c r="G106" i="69" s="1"/>
  <c r="G226" i="69" s="1"/>
  <c r="I104" i="69"/>
  <c r="I224" i="69" s="1"/>
  <c r="H162" i="85"/>
  <c r="E198" i="85"/>
  <c r="J199" i="35"/>
  <c r="G244" i="35"/>
  <c r="I333" i="97"/>
  <c r="F386" i="97"/>
  <c r="L207" i="53"/>
  <c r="I218" i="53"/>
  <c r="N294" i="139"/>
  <c r="J306" i="139"/>
  <c r="I206" i="37"/>
  <c r="F217" i="37"/>
  <c r="L206" i="43"/>
  <c r="I217" i="43"/>
  <c r="I318" i="93"/>
  <c r="F331" i="93"/>
  <c r="B138" i="73"/>
  <c r="J144" i="73" s="1"/>
  <c r="J222" i="73" s="1"/>
  <c r="D150" i="73"/>
  <c r="D228" i="73" s="1"/>
  <c r="N297" i="133"/>
  <c r="I308" i="133"/>
  <c r="F348" i="75"/>
  <c r="D363" i="75"/>
  <c r="J334" i="97"/>
  <c r="G387" i="97"/>
  <c r="C247" i="119"/>
  <c r="K255" i="119" s="1"/>
  <c r="K270" i="119" s="1"/>
  <c r="G259" i="119"/>
  <c r="G274" i="119" s="1"/>
  <c r="H319" i="119" s="1"/>
  <c r="N341" i="97"/>
  <c r="K354" i="97"/>
  <c r="J341" i="121"/>
  <c r="E352" i="121"/>
  <c r="F264" i="55"/>
  <c r="D317" i="55"/>
  <c r="K337" i="123"/>
  <c r="F383" i="123"/>
  <c r="N291" i="133"/>
  <c r="I304" i="133"/>
  <c r="H147" i="23"/>
  <c r="E156" i="23"/>
  <c r="L340" i="79"/>
  <c r="I356" i="79"/>
  <c r="E140" i="21"/>
  <c r="C177" i="21"/>
  <c r="J201" i="129"/>
  <c r="F242" i="129"/>
  <c r="K221" i="89"/>
  <c r="H233" i="89"/>
  <c r="G312" i="119"/>
  <c r="D326" i="119"/>
  <c r="M275" i="65"/>
  <c r="J288" i="65"/>
  <c r="L267" i="71"/>
  <c r="I281" i="71"/>
  <c r="B182" i="133"/>
  <c r="L190" i="133" s="1"/>
  <c r="L247" i="133" s="1"/>
  <c r="F196" i="133"/>
  <c r="F253" i="133" s="1"/>
  <c r="B59" i="15"/>
  <c r="F65" i="15" s="1"/>
  <c r="F110" i="15" s="1"/>
  <c r="D67" i="15"/>
  <c r="D112" i="15" s="1"/>
  <c r="H271" i="55"/>
  <c r="F319" i="55"/>
  <c r="B100" i="141"/>
  <c r="H108" i="141" s="1"/>
  <c r="H270" i="141" s="1"/>
  <c r="F110" i="141"/>
  <c r="F272" i="141" s="1"/>
  <c r="B79" i="141"/>
  <c r="D91" i="141" s="1"/>
  <c r="D274" i="141" s="1"/>
  <c r="E319" i="141" s="1"/>
  <c r="J85" i="141"/>
  <c r="J268" i="141" s="1"/>
  <c r="L269" i="63"/>
  <c r="I282" i="63"/>
  <c r="N296" i="139"/>
  <c r="J308" i="139"/>
  <c r="D93" i="13"/>
  <c r="D119" i="13"/>
  <c r="F420" i="83"/>
  <c r="D489" i="83"/>
  <c r="H144" i="29"/>
  <c r="E153" i="29"/>
  <c r="J199" i="43"/>
  <c r="G244" i="43"/>
  <c r="C51" i="103"/>
  <c r="G55" i="103" s="1"/>
  <c r="G64" i="103" s="1"/>
  <c r="H91" i="103" s="1"/>
  <c r="C59" i="103"/>
  <c r="C68" i="103" s="1"/>
  <c r="M272" i="71"/>
  <c r="J285" i="71"/>
  <c r="M321" i="119"/>
  <c r="I333" i="119"/>
  <c r="B183" i="93"/>
  <c r="B195" i="93" s="1"/>
  <c r="B273" i="93" s="1"/>
  <c r="C318" i="93" s="1"/>
  <c r="J187" i="93"/>
  <c r="J265" i="93" s="1"/>
  <c r="L341" i="79"/>
  <c r="I357" i="79"/>
  <c r="L268" i="67"/>
  <c r="I281" i="67"/>
  <c r="I160" i="125"/>
  <c r="E194" i="125"/>
  <c r="G288" i="139"/>
  <c r="C338" i="139"/>
  <c r="E144" i="31"/>
  <c r="C153" i="31"/>
  <c r="F270" i="143"/>
  <c r="G315" i="143" s="1"/>
  <c r="C141" i="143"/>
  <c r="E153" i="143" s="1"/>
  <c r="E273" i="143" s="1"/>
  <c r="F318" i="143" s="1"/>
  <c r="K147" i="143"/>
  <c r="K267" i="143" s="1"/>
  <c r="F316" i="117"/>
  <c r="D328" i="117"/>
  <c r="I207" i="129"/>
  <c r="E217" i="129"/>
  <c r="F140" i="33"/>
  <c r="D177" i="33"/>
  <c r="B50" i="127"/>
  <c r="D58" i="127" s="1"/>
  <c r="D185" i="127" s="1"/>
  <c r="F56" i="127"/>
  <c r="F183" i="127" s="1"/>
  <c r="B21" i="103"/>
  <c r="B27" i="103" s="1"/>
  <c r="B66" i="103" s="1"/>
  <c r="C93" i="103" s="1"/>
  <c r="D25" i="103"/>
  <c r="D64" i="103" s="1"/>
  <c r="E91" i="103" s="1"/>
  <c r="F203" i="53"/>
  <c r="D245" i="53"/>
  <c r="B37" i="79"/>
  <c r="B43" i="79" s="1"/>
  <c r="B290" i="79" s="1"/>
  <c r="C341" i="79" s="1"/>
  <c r="D41" i="79"/>
  <c r="D288" i="79" s="1"/>
  <c r="G268" i="57"/>
  <c r="E282" i="57"/>
  <c r="K242" i="91"/>
  <c r="H254" i="91"/>
  <c r="G205" i="43"/>
  <c r="D216" i="43"/>
  <c r="J200" i="35"/>
  <c r="G212" i="35"/>
  <c r="H266" i="73"/>
  <c r="F280" i="73"/>
  <c r="I200" i="49"/>
  <c r="F212" i="49"/>
  <c r="L228" i="127"/>
  <c r="I239" i="127"/>
  <c r="B117" i="55"/>
  <c r="B129" i="55" s="1"/>
  <c r="B228" i="55" s="1"/>
  <c r="C273" i="55" s="1"/>
  <c r="J121" i="55"/>
  <c r="J220" i="55" s="1"/>
  <c r="F334" i="97"/>
  <c r="D387" i="97"/>
  <c r="J316" i="117"/>
  <c r="F328" i="117"/>
  <c r="L205" i="39"/>
  <c r="I216" i="39"/>
  <c r="G272" i="63"/>
  <c r="D285" i="63"/>
  <c r="B81" i="121"/>
  <c r="H93" i="121" s="1"/>
  <c r="H297" i="121" s="1"/>
  <c r="J91" i="121"/>
  <c r="J295" i="121" s="1"/>
  <c r="I340" i="123"/>
  <c r="D351" i="123"/>
  <c r="I144" i="33"/>
  <c r="F154" i="33"/>
  <c r="D73" i="63"/>
  <c r="D75" i="63"/>
  <c r="J87" i="63" s="1"/>
  <c r="J228" i="63" s="1"/>
  <c r="D81" i="63"/>
  <c r="D222" i="63" s="1"/>
  <c r="E267" i="63" s="1"/>
  <c r="C31" i="115"/>
  <c r="C37" i="115" s="1"/>
  <c r="C183" i="115" s="1"/>
  <c r="D222" i="115" s="1"/>
  <c r="E35" i="115"/>
  <c r="E181" i="115" s="1"/>
  <c r="F220" i="115" s="1"/>
  <c r="H432" i="81"/>
  <c r="F449" i="81"/>
  <c r="I206" i="107"/>
  <c r="E216" i="107"/>
  <c r="I204" i="107"/>
  <c r="E214" i="107"/>
  <c r="K266" i="57"/>
  <c r="H280" i="57"/>
  <c r="B76" i="33"/>
  <c r="H80" i="33" s="1"/>
  <c r="H108" i="33" s="1"/>
  <c r="B86" i="33"/>
  <c r="B114" i="33" s="1"/>
  <c r="C147" i="33" s="1"/>
  <c r="N268" i="65"/>
  <c r="K282" i="65"/>
  <c r="E268" i="59"/>
  <c r="C282" i="59"/>
  <c r="L341" i="75"/>
  <c r="I357" i="75"/>
  <c r="C180" i="115"/>
  <c r="D219" i="115" s="1"/>
  <c r="F265" i="57"/>
  <c r="D318" i="57"/>
  <c r="N431" i="83"/>
  <c r="K448" i="83"/>
  <c r="I219" i="127"/>
  <c r="F264" i="127"/>
  <c r="I145" i="27"/>
  <c r="F154" i="27"/>
  <c r="C160" i="27" s="1" a="1"/>
  <c r="J317" i="99"/>
  <c r="G330" i="99"/>
  <c r="D104" i="79"/>
  <c r="D106" i="79"/>
  <c r="J118" i="79" s="1"/>
  <c r="J296" i="79" s="1"/>
  <c r="B110" i="79"/>
  <c r="B288" i="79" s="1"/>
  <c r="C339" i="79" s="1"/>
  <c r="M350" i="75"/>
  <c r="J365" i="75"/>
  <c r="B241" i="83"/>
  <c r="L247" i="83" s="1"/>
  <c r="L366" i="83" s="1"/>
  <c r="D255" i="83"/>
  <c r="D374" i="83" s="1"/>
  <c r="J274" i="143"/>
  <c r="L200" i="35"/>
  <c r="I212" i="35"/>
  <c r="N319" i="119"/>
  <c r="J331" i="119"/>
  <c r="M423" i="81"/>
  <c r="J441" i="81"/>
  <c r="H349" i="75"/>
  <c r="F364" i="75"/>
  <c r="N271" i="67"/>
  <c r="K284" i="67"/>
  <c r="I144" i="29"/>
  <c r="F153" i="29"/>
  <c r="H146" i="25"/>
  <c r="E155" i="25"/>
  <c r="K348" i="79"/>
  <c r="H363" i="79"/>
  <c r="B76" i="109"/>
  <c r="D86" i="109" s="1"/>
  <c r="D114" i="109" s="1"/>
  <c r="E147" i="109" s="1"/>
  <c r="H82" i="109"/>
  <c r="H110" i="109" s="1"/>
  <c r="M268" i="57"/>
  <c r="J282" i="57"/>
  <c r="G326" i="3"/>
  <c r="G358" i="3"/>
  <c r="G352" i="3"/>
  <c r="J265" i="111"/>
  <c r="F315" i="111"/>
  <c r="H269" i="59"/>
  <c r="F283" i="59"/>
  <c r="B54" i="65"/>
  <c r="D62" i="65" s="1"/>
  <c r="D224" i="65" s="1"/>
  <c r="F60" i="65"/>
  <c r="F222" i="65" s="1"/>
  <c r="L203" i="47"/>
  <c r="I245" i="47"/>
  <c r="H133" i="137"/>
  <c r="J206" i="47"/>
  <c r="G217" i="47"/>
  <c r="H166" i="51"/>
  <c r="K266" i="73"/>
  <c r="H280" i="73"/>
  <c r="L341" i="77"/>
  <c r="I357" i="77"/>
  <c r="K270" i="111"/>
  <c r="G282" i="111"/>
  <c r="M333" i="97"/>
  <c r="J386" i="97"/>
  <c r="M272" i="111"/>
  <c r="I284" i="111"/>
  <c r="B36" i="13"/>
  <c r="D44" i="13" s="1"/>
  <c r="D68" i="13" s="1"/>
  <c r="F42" i="13"/>
  <c r="F66" i="13" s="1"/>
  <c r="G93" i="13" s="1"/>
  <c r="M268" i="73"/>
  <c r="J282" i="73"/>
  <c r="H143" i="23"/>
  <c r="E152" i="23"/>
  <c r="B127" i="125"/>
  <c r="C160" i="125" s="1"/>
  <c r="G348" i="77"/>
  <c r="E363" i="77"/>
  <c r="J162" i="87"/>
  <c r="G198" i="87"/>
  <c r="K346" i="79"/>
  <c r="H361" i="79"/>
  <c r="J248" i="91"/>
  <c r="G259" i="91"/>
  <c r="J251" i="139"/>
  <c r="E221" i="127"/>
  <c r="C233" i="127"/>
  <c r="J201" i="51"/>
  <c r="G212" i="51"/>
  <c r="M318" i="131"/>
  <c r="J331" i="131"/>
  <c r="I351" i="75"/>
  <c r="G366" i="75"/>
  <c r="B143" i="49"/>
  <c r="D153" i="49" s="1"/>
  <c r="D166" i="49" s="1"/>
  <c r="H149" i="49"/>
  <c r="H162" i="49" s="1"/>
  <c r="I342" i="77"/>
  <c r="G358" i="77"/>
  <c r="F272" i="55"/>
  <c r="D285" i="55"/>
  <c r="H92" i="11"/>
  <c r="E119" i="11"/>
  <c r="P350" i="77"/>
  <c r="M365" i="77"/>
  <c r="F292" i="79"/>
  <c r="B79" i="99"/>
  <c r="H91" i="99" s="1"/>
  <c r="H274" i="99" s="1"/>
  <c r="J89" i="99"/>
  <c r="J272" i="99" s="1"/>
  <c r="M273" i="61"/>
  <c r="J286" i="61"/>
  <c r="F315" i="93"/>
  <c r="D365" i="93"/>
  <c r="J292" i="139"/>
  <c r="F304" i="139"/>
  <c r="F272" i="61"/>
  <c r="D285" i="61"/>
  <c r="B190" i="83"/>
  <c r="N208" i="83" s="1"/>
  <c r="N377" i="83" s="1"/>
  <c r="P206" i="83"/>
  <c r="P375" i="83" s="1"/>
  <c r="E205" i="47"/>
  <c r="C216" i="47"/>
  <c r="D92" i="11"/>
  <c r="D119" i="11"/>
  <c r="H272" i="59"/>
  <c r="F285" i="59"/>
  <c r="E275" i="57"/>
  <c r="C288" i="57"/>
  <c r="F320" i="93"/>
  <c r="D333" i="93"/>
  <c r="L313" i="93"/>
  <c r="I327" i="93"/>
  <c r="G146" i="21"/>
  <c r="D155" i="21"/>
  <c r="J207" i="53"/>
  <c r="G218" i="53"/>
  <c r="B124" i="43"/>
  <c r="F136" i="43" s="1"/>
  <c r="F168" i="43" s="1"/>
  <c r="J132" i="43"/>
  <c r="J164" i="43" s="1"/>
  <c r="B100" i="143"/>
  <c r="J114" i="143" s="1"/>
  <c r="J276" i="143" s="1"/>
  <c r="L112" i="143"/>
  <c r="L274" i="143" s="1"/>
  <c r="J140" i="23"/>
  <c r="G177" i="23"/>
  <c r="B37" i="75"/>
  <c r="B43" i="75" s="1"/>
  <c r="B290" i="75" s="1"/>
  <c r="C341" i="75" s="1"/>
  <c r="D41" i="75"/>
  <c r="D288" i="75" s="1"/>
  <c r="F314" i="93"/>
  <c r="D328" i="93"/>
  <c r="I202" i="45"/>
  <c r="F213" i="45"/>
  <c r="J295" i="146" l="1"/>
  <c r="D322" i="146"/>
  <c r="J259" i="146"/>
  <c r="J258" i="146"/>
  <c r="C261" i="146"/>
  <c r="D261" i="146"/>
  <c r="F261" i="146"/>
  <c r="E261" i="146"/>
  <c r="I261" i="146"/>
  <c r="G261" i="146"/>
  <c r="K261" i="146"/>
  <c r="J261" i="146"/>
  <c r="H261" i="146"/>
  <c r="A261" i="146"/>
  <c r="M273" i="146" s="1"/>
  <c r="C265" i="146"/>
  <c r="A265" i="146"/>
  <c r="M277" i="146" s="1"/>
  <c r="K265" i="146"/>
  <c r="F265" i="146"/>
  <c r="I265" i="146"/>
  <c r="H265" i="146"/>
  <c r="G265" i="146"/>
  <c r="J265" i="146"/>
  <c r="E265" i="146"/>
  <c r="D265" i="146"/>
  <c r="J264" i="146"/>
  <c r="D264" i="146"/>
  <c r="K264" i="146"/>
  <c r="I264" i="146"/>
  <c r="F264" i="146"/>
  <c r="H264" i="146"/>
  <c r="G264" i="146"/>
  <c r="E264" i="146"/>
  <c r="A264" i="146"/>
  <c r="M276" i="146" s="1"/>
  <c r="C264" i="146"/>
  <c r="I296" i="146"/>
  <c r="I260" i="146"/>
  <c r="I257" i="146"/>
  <c r="I295" i="146"/>
  <c r="I294" i="146"/>
  <c r="I259" i="146"/>
  <c r="I258" i="146"/>
  <c r="E262" i="146"/>
  <c r="I262" i="146"/>
  <c r="D262" i="146"/>
  <c r="J262" i="146"/>
  <c r="A262" i="146"/>
  <c r="M274" i="146" s="1"/>
  <c r="K262" i="146"/>
  <c r="G262" i="146"/>
  <c r="F262" i="146"/>
  <c r="C262" i="146"/>
  <c r="H262" i="146"/>
  <c r="C263" i="146"/>
  <c r="I263" i="146"/>
  <c r="A263" i="146"/>
  <c r="M275" i="146" s="1"/>
  <c r="J263" i="146"/>
  <c r="G263" i="146"/>
  <c r="K263" i="146"/>
  <c r="E263" i="146"/>
  <c r="H263" i="146"/>
  <c r="F263" i="146"/>
  <c r="D263" i="146"/>
  <c r="D319" i="146"/>
  <c r="K296" i="146"/>
  <c r="K259" i="146"/>
  <c r="K258" i="146"/>
  <c r="K260" i="146"/>
  <c r="K257" i="146"/>
  <c r="K294" i="146"/>
  <c r="K295" i="146"/>
  <c r="D320" i="146"/>
  <c r="E276" i="145"/>
  <c r="G274" i="145"/>
  <c r="I272" i="145"/>
  <c r="K270" i="145"/>
  <c r="D269" i="145"/>
  <c r="K277" i="145"/>
  <c r="D276" i="145"/>
  <c r="F274" i="145"/>
  <c r="H272" i="145"/>
  <c r="J270" i="145"/>
  <c r="C269" i="145"/>
  <c r="J277" i="145"/>
  <c r="C276" i="145"/>
  <c r="E274" i="145"/>
  <c r="G272" i="145"/>
  <c r="I270" i="145"/>
  <c r="I277" i="145"/>
  <c r="K275" i="145"/>
  <c r="D274" i="145"/>
  <c r="F272" i="145"/>
  <c r="H270" i="145"/>
  <c r="G277" i="145"/>
  <c r="I275" i="145"/>
  <c r="K273" i="145"/>
  <c r="D272" i="145"/>
  <c r="F270" i="145"/>
  <c r="D277" i="145"/>
  <c r="J274" i="145"/>
  <c r="K271" i="145"/>
  <c r="H269" i="145"/>
  <c r="C277" i="145"/>
  <c r="I274" i="145"/>
  <c r="J271" i="145"/>
  <c r="G269" i="145"/>
  <c r="K276" i="145"/>
  <c r="H274" i="145"/>
  <c r="I271" i="145"/>
  <c r="F269" i="145"/>
  <c r="J276" i="145"/>
  <c r="C274" i="145"/>
  <c r="H271" i="145"/>
  <c r="E269" i="145"/>
  <c r="E277" i="145"/>
  <c r="K274" i="145"/>
  <c r="C272" i="145"/>
  <c r="I269" i="145"/>
  <c r="G275" i="145"/>
  <c r="G271" i="145"/>
  <c r="F275" i="145"/>
  <c r="F271" i="145"/>
  <c r="E275" i="145"/>
  <c r="E271" i="145"/>
  <c r="D275" i="145"/>
  <c r="D271" i="145"/>
  <c r="C275" i="145"/>
  <c r="C271" i="145"/>
  <c r="H275" i="145"/>
  <c r="E272" i="145"/>
  <c r="E273" i="145"/>
  <c r="D273" i="145"/>
  <c r="H277" i="145"/>
  <c r="J272" i="145"/>
  <c r="C273" i="145"/>
  <c r="K272" i="145"/>
  <c r="F277" i="145"/>
  <c r="G270" i="145"/>
  <c r="I276" i="145"/>
  <c r="E270" i="145"/>
  <c r="F273" i="145"/>
  <c r="G273" i="145"/>
  <c r="D270" i="145"/>
  <c r="C270" i="145"/>
  <c r="K269" i="145"/>
  <c r="J269" i="145"/>
  <c r="G276" i="145"/>
  <c r="H276" i="145"/>
  <c r="F276" i="145"/>
  <c r="J275" i="145"/>
  <c r="J273" i="145"/>
  <c r="I273" i="145"/>
  <c r="H273" i="145"/>
  <c r="C269" i="144" a="1"/>
  <c r="E276" i="144" s="1"/>
  <c r="C269" i="2" a="1"/>
  <c r="C275" i="2" s="1"/>
  <c r="E341" i="77"/>
  <c r="C357" i="77"/>
  <c r="E271" i="69"/>
  <c r="C284" i="69"/>
  <c r="G268" i="3"/>
  <c r="F272" i="3"/>
  <c r="H270" i="3"/>
  <c r="G273" i="3"/>
  <c r="N341" i="77"/>
  <c r="K357" i="77"/>
  <c r="J199" i="129"/>
  <c r="F241" i="129"/>
  <c r="J270" i="3"/>
  <c r="D273" i="3"/>
  <c r="H272" i="3"/>
  <c r="G275" i="3"/>
  <c r="F349" i="77"/>
  <c r="D364" i="77"/>
  <c r="B67" i="129"/>
  <c r="B77" i="129" s="1"/>
  <c r="B166" i="129" s="1"/>
  <c r="C205" i="129" s="1"/>
  <c r="H71" i="129"/>
  <c r="H160" i="129" s="1"/>
  <c r="J268" i="3"/>
  <c r="C270" i="3"/>
  <c r="H274" i="3"/>
  <c r="H269" i="3"/>
  <c r="C271" i="3"/>
  <c r="C274" i="3"/>
  <c r="I268" i="3"/>
  <c r="H271" i="3"/>
  <c r="D271" i="3"/>
  <c r="C269" i="3"/>
  <c r="I270" i="3"/>
  <c r="H273" i="3"/>
  <c r="C272" i="3"/>
  <c r="D269" i="3"/>
  <c r="I272" i="3"/>
  <c r="H275" i="3"/>
  <c r="J198" i="129"/>
  <c r="F240" i="129"/>
  <c r="C213" i="37"/>
  <c r="G272" i="3"/>
  <c r="D270" i="3"/>
  <c r="I274" i="3"/>
  <c r="I269" i="3"/>
  <c r="J272" i="3"/>
  <c r="D274" i="3"/>
  <c r="E269" i="3"/>
  <c r="I271" i="3"/>
  <c r="K340" i="123"/>
  <c r="F351" i="123"/>
  <c r="J274" i="3"/>
  <c r="C273" i="3"/>
  <c r="E273" i="3"/>
  <c r="C279" i="3" s="1" a="1"/>
  <c r="I273" i="3"/>
  <c r="M267" i="65"/>
  <c r="J281" i="65"/>
  <c r="M340" i="77"/>
  <c r="J356" i="77"/>
  <c r="I342" i="123"/>
  <c r="D353" i="123"/>
  <c r="E275" i="65"/>
  <c r="C288" i="65"/>
  <c r="E348" i="77"/>
  <c r="C363" i="77"/>
  <c r="I198" i="129"/>
  <c r="E240" i="129"/>
  <c r="E265" i="69"/>
  <c r="C318" i="69"/>
  <c r="B327" i="3"/>
  <c r="D268" i="3"/>
  <c r="F274" i="3"/>
  <c r="F273" i="3"/>
  <c r="C268" i="3"/>
  <c r="B175" i="77"/>
  <c r="D189" i="77" s="1"/>
  <c r="D298" i="77" s="1"/>
  <c r="L181" i="77"/>
  <c r="L290" i="77" s="1"/>
  <c r="K199" i="49"/>
  <c r="H244" i="49"/>
  <c r="N340" i="77"/>
  <c r="K356" i="77"/>
  <c r="E268" i="3"/>
  <c r="G270" i="3"/>
  <c r="E275" i="3"/>
  <c r="F348" i="77"/>
  <c r="D363" i="77"/>
  <c r="I267" i="69"/>
  <c r="F319" i="69"/>
  <c r="D157" i="109"/>
  <c r="D158" i="109"/>
  <c r="C158" i="109"/>
  <c r="C157" i="109"/>
  <c r="I147" i="29"/>
  <c r="F156" i="29"/>
  <c r="F162" i="27"/>
  <c r="C162" i="27"/>
  <c r="G161" i="27"/>
  <c r="F161" i="27"/>
  <c r="G164" i="27"/>
  <c r="E161" i="27"/>
  <c r="E164" i="27"/>
  <c r="F164" i="27"/>
  <c r="D161" i="27"/>
  <c r="C161" i="27"/>
  <c r="F163" i="27"/>
  <c r="D160" i="27"/>
  <c r="E163" i="27"/>
  <c r="F160" i="27"/>
  <c r="E160" i="27"/>
  <c r="C160" i="27"/>
  <c r="G163" i="27"/>
  <c r="D163" i="27"/>
  <c r="C163" i="27"/>
  <c r="D164" i="27"/>
  <c r="C164" i="27"/>
  <c r="G160" i="27"/>
  <c r="D162" i="27"/>
  <c r="E162" i="27"/>
  <c r="G162" i="27"/>
  <c r="E313" i="131"/>
  <c r="C327" i="131"/>
  <c r="G315" i="141"/>
  <c r="C327" i="141"/>
  <c r="G203" i="107"/>
  <c r="D243" i="107"/>
  <c r="I427" i="83"/>
  <c r="G445" i="83"/>
  <c r="G338" i="97"/>
  <c r="E388" i="97"/>
  <c r="E336" i="135"/>
  <c r="C350" i="135"/>
  <c r="K296" i="133"/>
  <c r="F307" i="133"/>
  <c r="C106" i="9"/>
  <c r="C108" i="9"/>
  <c r="E107" i="9"/>
  <c r="D108" i="9"/>
  <c r="D107" i="9"/>
  <c r="C107" i="9"/>
  <c r="E106" i="9"/>
  <c r="D106" i="9"/>
  <c r="E108" i="9"/>
  <c r="G183" i="95"/>
  <c r="F180" i="95"/>
  <c r="F183" i="95"/>
  <c r="E180" i="95"/>
  <c r="G182" i="95"/>
  <c r="F179" i="95"/>
  <c r="D180" i="95"/>
  <c r="G179" i="95"/>
  <c r="D183" i="95"/>
  <c r="D179" i="95"/>
  <c r="F182" i="95"/>
  <c r="E182" i="95"/>
  <c r="D182" i="95"/>
  <c r="C182" i="95"/>
  <c r="G181" i="95"/>
  <c r="C181" i="95"/>
  <c r="E181" i="95"/>
  <c r="C180" i="95"/>
  <c r="E183" i="95"/>
  <c r="C183" i="95"/>
  <c r="F181" i="95"/>
  <c r="D181" i="95"/>
  <c r="G180" i="95"/>
  <c r="E179" i="95"/>
  <c r="C179" i="95"/>
  <c r="M344" i="97"/>
  <c r="J357" i="97"/>
  <c r="K342" i="135"/>
  <c r="H355" i="135"/>
  <c r="I271" i="111"/>
  <c r="E283" i="111"/>
  <c r="G164" i="87"/>
  <c r="D173" i="87"/>
  <c r="G145" i="15"/>
  <c r="D154" i="15"/>
  <c r="E336" i="123"/>
  <c r="C382" i="123"/>
  <c r="M344" i="123"/>
  <c r="H355" i="123"/>
  <c r="G292" i="133"/>
  <c r="D337" i="133"/>
  <c r="E267" i="111"/>
  <c r="C316" i="111"/>
  <c r="E201" i="41"/>
  <c r="C213" i="41"/>
  <c r="M275" i="111"/>
  <c r="I287" i="111"/>
  <c r="D106" i="101"/>
  <c r="C105" i="101"/>
  <c r="D105" i="101"/>
  <c r="C106" i="101"/>
  <c r="K319" i="93"/>
  <c r="H332" i="93"/>
  <c r="I199" i="107"/>
  <c r="E241" i="107"/>
  <c r="G351" i="75"/>
  <c r="E366" i="75"/>
  <c r="B29" i="107"/>
  <c r="B35" i="107" s="1"/>
  <c r="B162" i="107" s="1"/>
  <c r="C201" i="107" s="1"/>
  <c r="D33" i="107"/>
  <c r="D160" i="107" s="1"/>
  <c r="B124" i="41"/>
  <c r="D134" i="41" s="1"/>
  <c r="D166" i="41" s="1"/>
  <c r="H130" i="41"/>
  <c r="H162" i="41" s="1"/>
  <c r="E198" i="107"/>
  <c r="C240" i="107"/>
  <c r="M271" i="71"/>
  <c r="J319" i="71"/>
  <c r="E205" i="53"/>
  <c r="C216" i="53"/>
  <c r="M269" i="57"/>
  <c r="J283" i="57"/>
  <c r="E338" i="123"/>
  <c r="C384" i="123"/>
  <c r="I340" i="135"/>
  <c r="F353" i="135"/>
  <c r="K269" i="59"/>
  <c r="H283" i="59"/>
  <c r="I199" i="37"/>
  <c r="F244" i="37"/>
  <c r="M269" i="111"/>
  <c r="I317" i="111"/>
  <c r="G433" i="81"/>
  <c r="E450" i="81"/>
  <c r="M336" i="135"/>
  <c r="J350" i="135"/>
  <c r="I425" i="83"/>
  <c r="G443" i="83"/>
  <c r="G343" i="97"/>
  <c r="E356" i="97"/>
  <c r="I145" i="19"/>
  <c r="F179" i="19"/>
  <c r="K203" i="129"/>
  <c r="G243" i="129"/>
  <c r="K265" i="73"/>
  <c r="H318" i="73"/>
  <c r="I143" i="29"/>
  <c r="F179" i="29"/>
  <c r="K276" i="2"/>
  <c r="D275" i="2"/>
  <c r="F273" i="2"/>
  <c r="J269" i="2"/>
  <c r="F276" i="2"/>
  <c r="J276" i="2"/>
  <c r="F271" i="2"/>
  <c r="H276" i="2"/>
  <c r="J274" i="2"/>
  <c r="C271" i="2"/>
  <c r="K275" i="2"/>
  <c r="D274" i="2"/>
  <c r="H270" i="2"/>
  <c r="H277" i="2"/>
  <c r="F274" i="2"/>
  <c r="I271" i="2"/>
  <c r="G277" i="2"/>
  <c r="K270" i="2"/>
  <c r="H273" i="2"/>
  <c r="D277" i="2"/>
  <c r="J273" i="2"/>
  <c r="G270" i="2"/>
  <c r="G272" i="2"/>
  <c r="E272" i="2"/>
  <c r="J271" i="2"/>
  <c r="D270" i="2"/>
  <c r="K277" i="2"/>
  <c r="C269" i="2"/>
  <c r="D276" i="2"/>
  <c r="J277" i="2"/>
  <c r="K271" i="2"/>
  <c r="D272" i="2"/>
  <c r="C272" i="2"/>
  <c r="G315" i="131"/>
  <c r="E329" i="131"/>
  <c r="M271" i="63"/>
  <c r="J284" i="63"/>
  <c r="I343" i="75"/>
  <c r="G359" i="75"/>
  <c r="G203" i="49"/>
  <c r="E245" i="49"/>
  <c r="M275" i="71"/>
  <c r="J288" i="71"/>
  <c r="I160" i="113"/>
  <c r="E194" i="113"/>
  <c r="F203" i="41"/>
  <c r="D245" i="41"/>
  <c r="M347" i="77"/>
  <c r="J362" i="77"/>
  <c r="O343" i="75"/>
  <c r="L359" i="75"/>
  <c r="E319" i="93"/>
  <c r="C332" i="93"/>
  <c r="E265" i="111"/>
  <c r="C315" i="111"/>
  <c r="I267" i="67"/>
  <c r="F280" i="67"/>
  <c r="H319" i="131"/>
  <c r="F332" i="131"/>
  <c r="G141" i="31"/>
  <c r="D178" i="31"/>
  <c r="B228" i="123"/>
  <c r="D242" i="123" s="1"/>
  <c r="D299" i="123" s="1"/>
  <c r="L234" i="123"/>
  <c r="L291" i="123" s="1"/>
  <c r="G275" i="57"/>
  <c r="E288" i="57"/>
  <c r="E220" i="89"/>
  <c r="C265" i="89"/>
  <c r="G275" i="111"/>
  <c r="D287" i="111"/>
  <c r="O425" i="81"/>
  <c r="L443" i="81"/>
  <c r="M341" i="75"/>
  <c r="J357" i="75"/>
  <c r="E344" i="135"/>
  <c r="C357" i="135"/>
  <c r="M315" i="117"/>
  <c r="I363" i="117"/>
  <c r="G427" i="83"/>
  <c r="E445" i="83"/>
  <c r="K203" i="37"/>
  <c r="H245" i="37"/>
  <c r="I145" i="17"/>
  <c r="F179" i="17"/>
  <c r="K426" i="83"/>
  <c r="I444" i="83"/>
  <c r="I269" i="57"/>
  <c r="G283" i="57"/>
  <c r="E147" i="29"/>
  <c r="C156" i="29"/>
  <c r="G315" i="119"/>
  <c r="D363" i="119"/>
  <c r="I145" i="23"/>
  <c r="F154" i="23"/>
  <c r="G265" i="69"/>
  <c r="D318" i="69"/>
  <c r="I159" i="85"/>
  <c r="F196" i="85"/>
  <c r="J145" i="15"/>
  <c r="G154" i="15"/>
  <c r="I275" i="63"/>
  <c r="F288" i="63"/>
  <c r="K228" i="127"/>
  <c r="H239" i="127"/>
  <c r="G345" i="75"/>
  <c r="E401" i="75"/>
  <c r="E340" i="121"/>
  <c r="C351" i="121"/>
  <c r="K222" i="115"/>
  <c r="G263" i="115"/>
  <c r="B78" i="85"/>
  <c r="H82" i="85" s="1"/>
  <c r="H127" i="85" s="1"/>
  <c r="B88" i="85"/>
  <c r="B133" i="85" s="1"/>
  <c r="C166" i="85" s="1"/>
  <c r="E317" i="117"/>
  <c r="C329" i="117"/>
  <c r="J265" i="65"/>
  <c r="G318" i="65"/>
  <c r="E341" i="75"/>
  <c r="C357" i="75"/>
  <c r="K220" i="127"/>
  <c r="H265" i="127"/>
  <c r="K349" i="77"/>
  <c r="H364" i="77"/>
  <c r="G269" i="57"/>
  <c r="E283" i="57"/>
  <c r="N335" i="123"/>
  <c r="I349" i="123"/>
  <c r="M292" i="139"/>
  <c r="I304" i="139"/>
  <c r="C91" i="11"/>
  <c r="C101" i="11"/>
  <c r="M313" i="117"/>
  <c r="I327" i="117"/>
  <c r="L315" i="131"/>
  <c r="I329" i="131"/>
  <c r="M267" i="73"/>
  <c r="J281" i="73"/>
  <c r="L310" i="93"/>
  <c r="I363" i="93"/>
  <c r="E349" i="75"/>
  <c r="C364" i="75"/>
  <c r="L291" i="133"/>
  <c r="G304" i="133"/>
  <c r="N317" i="131"/>
  <c r="K365" i="131"/>
  <c r="M321" i="131"/>
  <c r="J334" i="131"/>
  <c r="G207" i="37"/>
  <c r="E218" i="37"/>
  <c r="G147" i="17"/>
  <c r="E156" i="17"/>
  <c r="I428" i="83"/>
  <c r="G446" i="83"/>
  <c r="M298" i="139"/>
  <c r="I310" i="139"/>
  <c r="G161" i="125"/>
  <c r="C195" i="125"/>
  <c r="G271" i="57"/>
  <c r="E319" i="57"/>
  <c r="H318" i="131"/>
  <c r="F331" i="131"/>
  <c r="L204" i="43"/>
  <c r="I215" i="43"/>
  <c r="G147" i="23"/>
  <c r="D156" i="23"/>
  <c r="H147" i="15"/>
  <c r="E156" i="15"/>
  <c r="I205" i="45"/>
  <c r="F216" i="45"/>
  <c r="N316" i="131"/>
  <c r="K330" i="131"/>
  <c r="K266" i="63"/>
  <c r="H319" i="63"/>
  <c r="E220" i="127"/>
  <c r="C265" i="127"/>
  <c r="I336" i="121"/>
  <c r="D382" i="121"/>
  <c r="G207" i="35"/>
  <c r="E218" i="35"/>
  <c r="E228" i="115"/>
  <c r="C238" i="115"/>
  <c r="L311" i="93"/>
  <c r="I364" i="93"/>
  <c r="I313" i="117"/>
  <c r="E327" i="117"/>
  <c r="G199" i="45"/>
  <c r="D244" i="45"/>
  <c r="O349" i="77"/>
  <c r="L364" i="77"/>
  <c r="E199" i="35"/>
  <c r="C244" i="35"/>
  <c r="I319" i="93"/>
  <c r="F332" i="93"/>
  <c r="E207" i="47"/>
  <c r="C218" i="47"/>
  <c r="B76" i="15"/>
  <c r="F86" i="15" s="1"/>
  <c r="F114" i="15" s="1"/>
  <c r="H84" i="15"/>
  <c r="H112" i="15" s="1"/>
  <c r="K207" i="37"/>
  <c r="H218" i="37"/>
  <c r="I143" i="17"/>
  <c r="F153" i="17"/>
  <c r="C160" i="17" s="1" a="1"/>
  <c r="G275" i="73"/>
  <c r="E288" i="73"/>
  <c r="E321" i="117"/>
  <c r="C333" i="117"/>
  <c r="C95" i="11"/>
  <c r="C102" i="11"/>
  <c r="G222" i="115"/>
  <c r="D263" i="115"/>
  <c r="E275" i="73"/>
  <c r="C288" i="73"/>
  <c r="K317" i="117"/>
  <c r="G329" i="117"/>
  <c r="J163" i="87"/>
  <c r="G172" i="87"/>
  <c r="G207" i="39"/>
  <c r="E218" i="39"/>
  <c r="I140" i="29"/>
  <c r="F177" i="29"/>
  <c r="I141" i="31"/>
  <c r="F178" i="31"/>
  <c r="G141" i="25"/>
  <c r="D178" i="25"/>
  <c r="N337" i="97"/>
  <c r="K351" i="97"/>
  <c r="E273" i="55"/>
  <c r="C286" i="55"/>
  <c r="I271" i="63"/>
  <c r="F284" i="63"/>
  <c r="M267" i="55"/>
  <c r="J281" i="55"/>
  <c r="I317" i="141"/>
  <c r="E329" i="141"/>
  <c r="L314" i="131"/>
  <c r="I328" i="131"/>
  <c r="J206" i="43"/>
  <c r="G217" i="43"/>
  <c r="G145" i="21"/>
  <c r="D154" i="21"/>
  <c r="I199" i="45"/>
  <c r="F244" i="45"/>
  <c r="F421" i="81"/>
  <c r="D490" i="81"/>
  <c r="E311" i="131"/>
  <c r="C364" i="131"/>
  <c r="G336" i="97"/>
  <c r="E350" i="97"/>
  <c r="G147" i="31"/>
  <c r="D156" i="31"/>
  <c r="E91" i="5"/>
  <c r="E101" i="5"/>
  <c r="O351" i="77"/>
  <c r="L366" i="77"/>
  <c r="K203" i="35"/>
  <c r="H245" i="35"/>
  <c r="G267" i="111"/>
  <c r="D316" i="111"/>
  <c r="H161" i="125"/>
  <c r="D195" i="125"/>
  <c r="M351" i="77"/>
  <c r="J366" i="77"/>
  <c r="M273" i="71"/>
  <c r="J286" i="71"/>
  <c r="K275" i="59"/>
  <c r="H288" i="59"/>
  <c r="E431" i="83"/>
  <c r="C448" i="83"/>
  <c r="I319" i="143"/>
  <c r="C329" i="143"/>
  <c r="E317" i="99"/>
  <c r="C330" i="99"/>
  <c r="F199" i="39"/>
  <c r="D244" i="39"/>
  <c r="I147" i="15"/>
  <c r="F156" i="15"/>
  <c r="G267" i="65"/>
  <c r="E281" i="65"/>
  <c r="K205" i="47"/>
  <c r="H216" i="47"/>
  <c r="I320" i="131"/>
  <c r="G333" i="131"/>
  <c r="E147" i="33"/>
  <c r="C156" i="33"/>
  <c r="G298" i="139"/>
  <c r="C310" i="139"/>
  <c r="Q432" i="83"/>
  <c r="N449" i="83"/>
  <c r="E269" i="65"/>
  <c r="C319" i="65"/>
  <c r="J269" i="69"/>
  <c r="G282" i="69"/>
  <c r="L338" i="79"/>
  <c r="I399" i="79"/>
  <c r="M296" i="139"/>
  <c r="I308" i="139"/>
  <c r="L267" i="63"/>
  <c r="I280" i="63"/>
  <c r="I207" i="47"/>
  <c r="F218" i="47"/>
  <c r="C95" i="9"/>
  <c r="C121" i="9"/>
  <c r="G207" i="47"/>
  <c r="E218" i="47"/>
  <c r="J264" i="111"/>
  <c r="F314" i="111"/>
  <c r="M316" i="131"/>
  <c r="J330" i="131"/>
  <c r="G275" i="61"/>
  <c r="E288" i="61"/>
  <c r="B201" i="111"/>
  <c r="D215" i="111" s="1"/>
  <c r="D230" i="111" s="1"/>
  <c r="L207" i="111"/>
  <c r="L222" i="111" s="1"/>
  <c r="G201" i="51"/>
  <c r="D212" i="51"/>
  <c r="K273" i="57"/>
  <c r="H286" i="57"/>
  <c r="K340" i="97"/>
  <c r="H353" i="97"/>
  <c r="K201" i="53"/>
  <c r="H213" i="53"/>
  <c r="E147" i="17"/>
  <c r="C156" i="17"/>
  <c r="M269" i="73"/>
  <c r="J283" i="73"/>
  <c r="E224" i="115"/>
  <c r="C264" i="115"/>
  <c r="I340" i="97"/>
  <c r="F353" i="97"/>
  <c r="G349" i="77"/>
  <c r="E364" i="77"/>
  <c r="I319" i="117"/>
  <c r="E331" i="117"/>
  <c r="E141" i="33"/>
  <c r="C178" i="33"/>
  <c r="H165" i="87"/>
  <c r="E174" i="87"/>
  <c r="K203" i="39"/>
  <c r="H245" i="39"/>
  <c r="E222" i="89"/>
  <c r="C234" i="89"/>
  <c r="M269" i="71"/>
  <c r="J283" i="71"/>
  <c r="K267" i="55"/>
  <c r="H281" i="55"/>
  <c r="E275" i="55"/>
  <c r="C288" i="55"/>
  <c r="L201" i="129"/>
  <c r="H242" i="129"/>
  <c r="I345" i="77"/>
  <c r="G401" i="77"/>
  <c r="E338" i="97"/>
  <c r="C388" i="97"/>
  <c r="G147" i="21"/>
  <c r="D156" i="21"/>
  <c r="I145" i="31"/>
  <c r="F154" i="31"/>
  <c r="C93" i="5"/>
  <c r="C119" i="5"/>
  <c r="E247" i="91"/>
  <c r="C258" i="91"/>
  <c r="R432" i="83"/>
  <c r="O449" i="83"/>
  <c r="E269" i="111"/>
  <c r="C317" i="111"/>
  <c r="K275" i="71"/>
  <c r="H288" i="71"/>
  <c r="L266" i="63"/>
  <c r="I319" i="63"/>
  <c r="K319" i="143"/>
  <c r="E329" i="143"/>
  <c r="G336" i="135"/>
  <c r="E350" i="135"/>
  <c r="E95" i="13"/>
  <c r="E121" i="13"/>
  <c r="O434" i="83"/>
  <c r="L451" i="83"/>
  <c r="L312" i="143"/>
  <c r="F356" i="143"/>
  <c r="H271" i="69"/>
  <c r="E284" i="69"/>
  <c r="K267" i="61"/>
  <c r="H281" i="61"/>
  <c r="K205" i="45"/>
  <c r="H216" i="45"/>
  <c r="K298" i="139"/>
  <c r="G310" i="139"/>
  <c r="F273" i="63"/>
  <c r="C286" i="63"/>
  <c r="G207" i="41"/>
  <c r="E218" i="41"/>
  <c r="M266" i="111"/>
  <c r="I280" i="111"/>
  <c r="K203" i="47"/>
  <c r="H245" i="47"/>
  <c r="K228" i="89"/>
  <c r="H239" i="89"/>
  <c r="J164" i="87"/>
  <c r="G173" i="87"/>
  <c r="M269" i="61"/>
  <c r="J319" i="61"/>
  <c r="I292" i="139"/>
  <c r="E304" i="139"/>
  <c r="I342" i="97"/>
  <c r="F355" i="97"/>
  <c r="E207" i="53"/>
  <c r="C218" i="53"/>
  <c r="R433" i="83"/>
  <c r="O450" i="83"/>
  <c r="I311" i="117"/>
  <c r="E361" i="117"/>
  <c r="K335" i="135"/>
  <c r="H349" i="135"/>
  <c r="M336" i="121"/>
  <c r="H382" i="121"/>
  <c r="E313" i="117"/>
  <c r="C327" i="117"/>
  <c r="I199" i="53"/>
  <c r="F244" i="53"/>
  <c r="M269" i="69"/>
  <c r="J282" i="69"/>
  <c r="B184" i="93"/>
  <c r="B196" i="93" s="1"/>
  <c r="B274" i="93" s="1"/>
  <c r="C319" i="93" s="1"/>
  <c r="J188" i="93"/>
  <c r="J266" i="93" s="1"/>
  <c r="M343" i="77"/>
  <c r="J359" i="77"/>
  <c r="I141" i="23"/>
  <c r="F178" i="23"/>
  <c r="K222" i="127"/>
  <c r="H234" i="127"/>
  <c r="G275" i="71"/>
  <c r="E288" i="71"/>
  <c r="I290" i="139"/>
  <c r="E340" i="139"/>
  <c r="I311" i="141"/>
  <c r="E361" i="141"/>
  <c r="E313" i="119"/>
  <c r="C362" i="119"/>
  <c r="K319" i="131"/>
  <c r="H332" i="131"/>
  <c r="E340" i="123"/>
  <c r="C351" i="123"/>
  <c r="G143" i="29"/>
  <c r="D179" i="29"/>
  <c r="K201" i="41"/>
  <c r="H213" i="41"/>
  <c r="E145" i="31"/>
  <c r="C154" i="31"/>
  <c r="I145" i="21"/>
  <c r="F154" i="21"/>
  <c r="H275" i="73"/>
  <c r="F288" i="73"/>
  <c r="I243" i="91"/>
  <c r="F255" i="91"/>
  <c r="P434" i="83"/>
  <c r="M451" i="83"/>
  <c r="M273" i="67"/>
  <c r="J286" i="67"/>
  <c r="E205" i="37"/>
  <c r="C216" i="37"/>
  <c r="L292" i="133"/>
  <c r="G337" i="133"/>
  <c r="J141" i="29"/>
  <c r="G178" i="29"/>
  <c r="I264" i="111"/>
  <c r="E314" i="111"/>
  <c r="F272" i="63"/>
  <c r="C285" i="63"/>
  <c r="E267" i="59"/>
  <c r="C281" i="59"/>
  <c r="M269" i="55"/>
  <c r="J283" i="55"/>
  <c r="Q433" i="81"/>
  <c r="N450" i="81"/>
  <c r="J219" i="115"/>
  <c r="F261" i="115"/>
  <c r="K296" i="139"/>
  <c r="G308" i="139"/>
  <c r="E343" i="79"/>
  <c r="C359" i="79"/>
  <c r="I160" i="95"/>
  <c r="F197" i="95"/>
  <c r="I228" i="89"/>
  <c r="F239" i="89"/>
  <c r="O433" i="83"/>
  <c r="L450" i="83"/>
  <c r="K347" i="79"/>
  <c r="H362" i="79"/>
  <c r="K265" i="55"/>
  <c r="H318" i="55"/>
  <c r="M347" i="75"/>
  <c r="J362" i="75"/>
  <c r="E274" i="111"/>
  <c r="C286" i="111"/>
  <c r="G275" i="65"/>
  <c r="E288" i="65"/>
  <c r="H166" i="87"/>
  <c r="E175" i="87"/>
  <c r="K220" i="89"/>
  <c r="H265" i="89"/>
  <c r="H311" i="141"/>
  <c r="D361" i="141"/>
  <c r="K342" i="123"/>
  <c r="F353" i="123"/>
  <c r="B69" i="115"/>
  <c r="B79" i="115" s="1"/>
  <c r="B187" i="115" s="1"/>
  <c r="C226" i="115" s="1"/>
  <c r="H73" i="115"/>
  <c r="H181" i="115" s="1"/>
  <c r="N338" i="97"/>
  <c r="K388" i="97"/>
  <c r="G294" i="139"/>
  <c r="C306" i="139"/>
  <c r="I317" i="93"/>
  <c r="F330" i="93"/>
  <c r="K205" i="41"/>
  <c r="H216" i="41"/>
  <c r="M342" i="97"/>
  <c r="J355" i="97"/>
  <c r="P435" i="83"/>
  <c r="M452" i="83"/>
  <c r="E341" i="135"/>
  <c r="C354" i="135"/>
  <c r="G318" i="131"/>
  <c r="E331" i="131"/>
  <c r="E344" i="121"/>
  <c r="C355" i="121"/>
  <c r="I311" i="93"/>
  <c r="F364" i="93"/>
  <c r="G275" i="69"/>
  <c r="D288" i="69"/>
  <c r="G269" i="63"/>
  <c r="D282" i="63"/>
  <c r="K205" i="51"/>
  <c r="H216" i="51"/>
  <c r="B224" i="133"/>
  <c r="J232" i="133" s="1"/>
  <c r="J247" i="133" s="1"/>
  <c r="F236" i="133"/>
  <c r="F251" i="133" s="1"/>
  <c r="E228" i="127"/>
  <c r="C239" i="127"/>
  <c r="E420" i="81"/>
  <c r="C489" i="81"/>
  <c r="J429" i="83"/>
  <c r="H491" i="83"/>
  <c r="E143" i="21"/>
  <c r="C179" i="21"/>
  <c r="K336" i="121"/>
  <c r="F382" i="121"/>
  <c r="E141" i="19"/>
  <c r="C178" i="19"/>
  <c r="D94" i="103"/>
  <c r="C116" i="103"/>
  <c r="N336" i="123"/>
  <c r="I382" i="123"/>
  <c r="G93" i="7"/>
  <c r="D121" i="7"/>
  <c r="B364" i="81"/>
  <c r="C421" i="81" s="1"/>
  <c r="G205" i="45"/>
  <c r="D216" i="45"/>
  <c r="I265" i="61"/>
  <c r="F318" i="61"/>
  <c r="I336" i="123"/>
  <c r="D382" i="123"/>
  <c r="N317" i="141"/>
  <c r="J329" i="141"/>
  <c r="E145" i="29"/>
  <c r="C154" i="29"/>
  <c r="E207" i="41"/>
  <c r="C218" i="41"/>
  <c r="O351" i="75"/>
  <c r="L366" i="75"/>
  <c r="G143" i="31"/>
  <c r="D179" i="31"/>
  <c r="J220" i="115"/>
  <c r="F262" i="115"/>
  <c r="N269" i="73"/>
  <c r="K283" i="73"/>
  <c r="G290" i="139"/>
  <c r="C340" i="139"/>
  <c r="E145" i="21"/>
  <c r="C154" i="21"/>
  <c r="E201" i="129"/>
  <c r="C242" i="129"/>
  <c r="I334" i="121"/>
  <c r="D381" i="121"/>
  <c r="K275" i="67"/>
  <c r="H288" i="67"/>
  <c r="I201" i="37"/>
  <c r="F213" i="37"/>
  <c r="M349" i="77"/>
  <c r="J364" i="77"/>
  <c r="F198" i="39"/>
  <c r="D243" i="39"/>
  <c r="I203" i="51"/>
  <c r="F214" i="51"/>
  <c r="K201" i="49"/>
  <c r="H213" i="49"/>
  <c r="E273" i="61"/>
  <c r="C286" i="61"/>
  <c r="I207" i="45"/>
  <c r="F218" i="45"/>
  <c r="K203" i="41"/>
  <c r="H245" i="41"/>
  <c r="B75" i="63"/>
  <c r="D87" i="63" s="1"/>
  <c r="D228" i="63" s="1"/>
  <c r="E273" i="63" s="1"/>
  <c r="J81" i="63"/>
  <c r="J222" i="63" s="1"/>
  <c r="I199" i="51"/>
  <c r="F244" i="51"/>
  <c r="K344" i="123"/>
  <c r="F355" i="123"/>
  <c r="E95" i="5"/>
  <c r="E121" i="5"/>
  <c r="E347" i="79"/>
  <c r="C362" i="79"/>
  <c r="I207" i="41"/>
  <c r="F218" i="41"/>
  <c r="N314" i="143"/>
  <c r="H358" i="143"/>
  <c r="K344" i="97"/>
  <c r="H357" i="97"/>
  <c r="H162" i="125"/>
  <c r="D196" i="125"/>
  <c r="K319" i="117"/>
  <c r="G331" i="117"/>
  <c r="K314" i="131"/>
  <c r="H328" i="131"/>
  <c r="K201" i="129"/>
  <c r="G242" i="129"/>
  <c r="K340" i="135"/>
  <c r="H353" i="135"/>
  <c r="I269" i="55"/>
  <c r="G283" i="55"/>
  <c r="M342" i="135"/>
  <c r="J355" i="135"/>
  <c r="J200" i="41"/>
  <c r="G212" i="41"/>
  <c r="G140" i="31"/>
  <c r="D177" i="31"/>
  <c r="I207" i="51"/>
  <c r="F218" i="51"/>
  <c r="K207" i="51"/>
  <c r="H218" i="51"/>
  <c r="E162" i="87"/>
  <c r="C198" i="87"/>
  <c r="I288" i="139"/>
  <c r="E338" i="139"/>
  <c r="E342" i="121"/>
  <c r="C353" i="121"/>
  <c r="E160" i="87"/>
  <c r="C197" i="87"/>
  <c r="I267" i="65"/>
  <c r="F281" i="65"/>
  <c r="N312" i="131"/>
  <c r="K326" i="131"/>
  <c r="M313" i="93"/>
  <c r="J327" i="93"/>
  <c r="I164" i="113"/>
  <c r="E172" i="113"/>
  <c r="K247" i="91"/>
  <c r="H258" i="91"/>
  <c r="E95" i="7"/>
  <c r="C102" i="7"/>
  <c r="C106" i="7" s="1" a="1"/>
  <c r="B41" i="81"/>
  <c r="B47" i="81" s="1"/>
  <c r="B366" i="81" s="1"/>
  <c r="C423" i="81" s="1"/>
  <c r="D45" i="81"/>
  <c r="D364" i="81" s="1"/>
  <c r="I203" i="45"/>
  <c r="F214" i="45"/>
  <c r="M341" i="79"/>
  <c r="J357" i="79"/>
  <c r="I201" i="51"/>
  <c r="F212" i="51"/>
  <c r="J321" i="141"/>
  <c r="F333" i="141"/>
  <c r="G313" i="119"/>
  <c r="D362" i="119"/>
  <c r="I269" i="59"/>
  <c r="G283" i="59"/>
  <c r="G143" i="21"/>
  <c r="D179" i="21"/>
  <c r="G201" i="49"/>
  <c r="E213" i="49"/>
  <c r="I220" i="127"/>
  <c r="F265" i="127"/>
  <c r="N316" i="141"/>
  <c r="J328" i="141"/>
  <c r="K319" i="119"/>
  <c r="G331" i="119"/>
  <c r="M270" i="67"/>
  <c r="J283" i="67"/>
  <c r="E296" i="133"/>
  <c r="C307" i="133"/>
  <c r="K226" i="127"/>
  <c r="H237" i="127"/>
  <c r="I145" i="25"/>
  <c r="F154" i="25"/>
  <c r="B247" i="117"/>
  <c r="J255" i="117" s="1"/>
  <c r="J270" i="117" s="1"/>
  <c r="F259" i="117"/>
  <c r="F274" i="117" s="1"/>
  <c r="G319" i="117" s="1"/>
  <c r="G351" i="79"/>
  <c r="E366" i="79"/>
  <c r="G205" i="51"/>
  <c r="D216" i="51"/>
  <c r="K314" i="117"/>
  <c r="G362" i="117"/>
  <c r="M342" i="123"/>
  <c r="H353" i="123"/>
  <c r="J144" i="15"/>
  <c r="G153" i="15"/>
  <c r="M349" i="75"/>
  <c r="J364" i="75"/>
  <c r="B106" i="79"/>
  <c r="B118" i="79" s="1"/>
  <c r="B296" i="79" s="1"/>
  <c r="C347" i="79" s="1"/>
  <c r="J110" i="79"/>
  <c r="J288" i="79" s="1"/>
  <c r="E339" i="79"/>
  <c r="C400" i="79"/>
  <c r="K349" i="75"/>
  <c r="H364" i="75"/>
  <c r="H146" i="15"/>
  <c r="E155" i="15"/>
  <c r="G160" i="137"/>
  <c r="C194" i="137"/>
  <c r="M269" i="65"/>
  <c r="J319" i="65"/>
  <c r="G206" i="107"/>
  <c r="D216" i="107"/>
  <c r="C95" i="5"/>
  <c r="C121" i="5"/>
  <c r="I226" i="115"/>
  <c r="E236" i="115"/>
  <c r="D95" i="103"/>
  <c r="C117" i="103"/>
  <c r="G317" i="141"/>
  <c r="C329" i="141"/>
  <c r="I351" i="77"/>
  <c r="G366" i="77"/>
  <c r="K341" i="79"/>
  <c r="H357" i="79"/>
  <c r="K204" i="43"/>
  <c r="H215" i="43"/>
  <c r="J140" i="29"/>
  <c r="G177" i="29"/>
  <c r="E265" i="71"/>
  <c r="C318" i="71"/>
  <c r="G423" i="81"/>
  <c r="E441" i="81"/>
  <c r="K202" i="107"/>
  <c r="G213" i="107"/>
  <c r="I311" i="143"/>
  <c r="C355" i="143"/>
  <c r="E207" i="129"/>
  <c r="C217" i="129"/>
  <c r="I342" i="135"/>
  <c r="F355" i="135"/>
  <c r="G271" i="55"/>
  <c r="E319" i="55"/>
  <c r="K344" i="135"/>
  <c r="H357" i="135"/>
  <c r="F204" i="41"/>
  <c r="D215" i="41"/>
  <c r="M420" i="81"/>
  <c r="J489" i="81"/>
  <c r="G201" i="39"/>
  <c r="E213" i="39"/>
  <c r="I275" i="73"/>
  <c r="G288" i="73"/>
  <c r="N270" i="67"/>
  <c r="K283" i="67"/>
  <c r="M296" i="133"/>
  <c r="H307" i="133"/>
  <c r="E271" i="65"/>
  <c r="C284" i="65"/>
  <c r="L203" i="107"/>
  <c r="H243" i="107"/>
  <c r="F320" i="131"/>
  <c r="D333" i="131"/>
  <c r="G160" i="85"/>
  <c r="D197" i="85"/>
  <c r="L335" i="135"/>
  <c r="I349" i="135"/>
  <c r="E321" i="93"/>
  <c r="C334" i="93"/>
  <c r="G166" i="113"/>
  <c r="C174" i="113"/>
  <c r="I249" i="91"/>
  <c r="F260" i="91"/>
  <c r="K205" i="53"/>
  <c r="H216" i="53"/>
  <c r="E423" i="81"/>
  <c r="C441" i="81"/>
  <c r="E349" i="79"/>
  <c r="C364" i="79"/>
  <c r="J428" i="83"/>
  <c r="H446" i="83"/>
  <c r="E315" i="119"/>
  <c r="C363" i="119"/>
  <c r="G271" i="59"/>
  <c r="E319" i="59"/>
  <c r="I247" i="91"/>
  <c r="F258" i="91"/>
  <c r="G313" i="131"/>
  <c r="E327" i="131"/>
  <c r="E423" i="83"/>
  <c r="C441" i="83"/>
  <c r="E205" i="129"/>
  <c r="C215" i="129"/>
  <c r="E203" i="49"/>
  <c r="C245" i="49"/>
  <c r="M271" i="57"/>
  <c r="J319" i="57"/>
  <c r="J320" i="141"/>
  <c r="F332" i="141"/>
  <c r="G160" i="125"/>
  <c r="C194" i="125"/>
  <c r="I274" i="67"/>
  <c r="F287" i="67"/>
  <c r="K290" i="133"/>
  <c r="F336" i="133"/>
  <c r="I228" i="127"/>
  <c r="F239" i="127"/>
  <c r="G147" i="25"/>
  <c r="D156" i="25"/>
  <c r="I160" i="137"/>
  <c r="E194" i="137"/>
  <c r="O343" i="79"/>
  <c r="L359" i="79"/>
  <c r="B142" i="143"/>
  <c r="D154" i="143" s="1"/>
  <c r="D274" i="143" s="1"/>
  <c r="E319" i="143" s="1"/>
  <c r="J148" i="143"/>
  <c r="J268" i="143" s="1"/>
  <c r="M311" i="131"/>
  <c r="J364" i="131"/>
  <c r="K321" i="143"/>
  <c r="E331" i="143"/>
  <c r="K317" i="143"/>
  <c r="E327" i="143"/>
  <c r="B142" i="141"/>
  <c r="B150" i="141" s="1"/>
  <c r="B270" i="141" s="1"/>
  <c r="C315" i="141" s="1"/>
  <c r="F146" i="141"/>
  <c r="F266" i="141" s="1"/>
  <c r="M290" i="133"/>
  <c r="H336" i="133"/>
  <c r="E265" i="59"/>
  <c r="C318" i="59"/>
  <c r="M423" i="83"/>
  <c r="J441" i="83"/>
  <c r="E273" i="73"/>
  <c r="C286" i="73"/>
  <c r="K317" i="93"/>
  <c r="H330" i="93"/>
  <c r="K267" i="73"/>
  <c r="H281" i="73"/>
  <c r="K273" i="63"/>
  <c r="H286" i="63"/>
  <c r="K313" i="141"/>
  <c r="G363" i="141"/>
  <c r="I201" i="49"/>
  <c r="F213" i="49"/>
  <c r="I315" i="141"/>
  <c r="E327" i="141"/>
  <c r="O345" i="77"/>
  <c r="L401" i="77"/>
  <c r="I206" i="43"/>
  <c r="F217" i="43"/>
  <c r="G315" i="93"/>
  <c r="E365" i="93"/>
  <c r="E425" i="81"/>
  <c r="C443" i="81"/>
  <c r="M431" i="81"/>
  <c r="J448" i="81"/>
  <c r="G313" i="99"/>
  <c r="E327" i="99"/>
  <c r="N420" i="81"/>
  <c r="K489" i="81"/>
  <c r="I241" i="91"/>
  <c r="F286" i="91"/>
  <c r="I205" i="37"/>
  <c r="F216" i="37"/>
  <c r="G267" i="71"/>
  <c r="E281" i="71"/>
  <c r="E203" i="39"/>
  <c r="C245" i="39"/>
  <c r="L315" i="117"/>
  <c r="H363" i="117"/>
  <c r="M271" i="73"/>
  <c r="J319" i="73"/>
  <c r="E338" i="121"/>
  <c r="C384" i="121"/>
  <c r="E160" i="95"/>
  <c r="C197" i="95"/>
  <c r="J274" i="67"/>
  <c r="G287" i="67"/>
  <c r="K298" i="133"/>
  <c r="F309" i="133"/>
  <c r="G273" i="63"/>
  <c r="D286" i="63"/>
  <c r="B226" i="131"/>
  <c r="J234" i="131" s="1"/>
  <c r="J270" i="131" s="1"/>
  <c r="F238" i="131"/>
  <c r="F274" i="131" s="1"/>
  <c r="I343" i="77"/>
  <c r="G359" i="77"/>
  <c r="G342" i="97"/>
  <c r="E355" i="97"/>
  <c r="F341" i="135"/>
  <c r="D354" i="135"/>
  <c r="M313" i="99"/>
  <c r="J327" i="99"/>
  <c r="I207" i="53"/>
  <c r="F218" i="53"/>
  <c r="K311" i="131"/>
  <c r="H364" i="131"/>
  <c r="J201" i="41"/>
  <c r="G213" i="41"/>
  <c r="E222" i="127"/>
  <c r="C234" i="127"/>
  <c r="E315" i="131"/>
  <c r="C329" i="131"/>
  <c r="I201" i="129"/>
  <c r="E242" i="129"/>
  <c r="G310" i="141"/>
  <c r="C360" i="141"/>
  <c r="L314" i="117"/>
  <c r="H362" i="117"/>
  <c r="I275" i="57"/>
  <c r="G288" i="57"/>
  <c r="H141" i="31"/>
  <c r="E178" i="31"/>
  <c r="B181" i="115"/>
  <c r="C220" i="115" s="1"/>
  <c r="B247" i="119"/>
  <c r="J255" i="119" s="1"/>
  <c r="J270" i="119" s="1"/>
  <c r="F259" i="119"/>
  <c r="F274" i="119" s="1"/>
  <c r="E347" i="77"/>
  <c r="C362" i="77"/>
  <c r="K224" i="89"/>
  <c r="H266" i="89"/>
  <c r="O431" i="83"/>
  <c r="L448" i="83"/>
  <c r="K313" i="93"/>
  <c r="H327" i="93"/>
  <c r="O435" i="81"/>
  <c r="L452" i="81"/>
  <c r="K310" i="93"/>
  <c r="H363" i="93"/>
  <c r="K226" i="89"/>
  <c r="H237" i="89"/>
  <c r="I313" i="99"/>
  <c r="F327" i="99"/>
  <c r="K201" i="47"/>
  <c r="H213" i="47"/>
  <c r="E205" i="49"/>
  <c r="C216" i="49"/>
  <c r="I141" i="33"/>
  <c r="F178" i="33"/>
  <c r="G162" i="85"/>
  <c r="D198" i="85"/>
  <c r="E334" i="121"/>
  <c r="C381" i="121"/>
  <c r="C106" i="5" a="1"/>
  <c r="I145" i="105"/>
  <c r="E153" i="105"/>
  <c r="C159" i="105" s="1" a="1"/>
  <c r="B141" i="81"/>
  <c r="B155" i="81" s="1"/>
  <c r="B374" i="81" s="1"/>
  <c r="C431" i="81" s="1"/>
  <c r="L145" i="81"/>
  <c r="L364" i="81" s="1"/>
  <c r="C93" i="11"/>
  <c r="C120" i="11"/>
  <c r="G313" i="93"/>
  <c r="E327" i="93"/>
  <c r="M273" i="57"/>
  <c r="J286" i="57"/>
  <c r="E315" i="99"/>
  <c r="C365" i="99"/>
  <c r="I205" i="53"/>
  <c r="F216" i="53"/>
  <c r="N267" i="111"/>
  <c r="J316" i="111"/>
  <c r="E269" i="71"/>
  <c r="C283" i="71"/>
  <c r="I199" i="39"/>
  <c r="F244" i="39"/>
  <c r="I145" i="29"/>
  <c r="F154" i="29"/>
  <c r="G203" i="41"/>
  <c r="E245" i="41"/>
  <c r="K269" i="63"/>
  <c r="H282" i="63"/>
  <c r="G345" i="77"/>
  <c r="E401" i="77"/>
  <c r="K338" i="97"/>
  <c r="H388" i="97"/>
  <c r="E317" i="119"/>
  <c r="C329" i="119"/>
  <c r="M319" i="131"/>
  <c r="J332" i="131"/>
  <c r="E321" i="99"/>
  <c r="C334" i="99"/>
  <c r="I163" i="87"/>
  <c r="F172" i="87"/>
  <c r="I166" i="113"/>
  <c r="E174" i="113"/>
  <c r="G318" i="119"/>
  <c r="D330" i="119"/>
  <c r="I317" i="131"/>
  <c r="G365" i="131"/>
  <c r="F205" i="41"/>
  <c r="D216" i="41"/>
  <c r="K271" i="111"/>
  <c r="G283" i="111"/>
  <c r="B184" i="141"/>
  <c r="H198" i="141" s="1"/>
  <c r="H276" i="141" s="1"/>
  <c r="L194" i="141"/>
  <c r="L272" i="141" s="1"/>
  <c r="E222" i="115"/>
  <c r="C263" i="115"/>
  <c r="K273" i="71"/>
  <c r="H286" i="71"/>
  <c r="K341" i="77"/>
  <c r="H357" i="77"/>
  <c r="B75" i="65"/>
  <c r="B85" i="65" s="1"/>
  <c r="B226" i="65" s="1"/>
  <c r="C271" i="65" s="1"/>
  <c r="H79" i="65"/>
  <c r="H220" i="65" s="1"/>
  <c r="I162" i="85"/>
  <c r="F198" i="85"/>
  <c r="G201" i="107"/>
  <c r="D242" i="107"/>
  <c r="I334" i="123"/>
  <c r="D381" i="123"/>
  <c r="K312" i="143"/>
  <c r="E356" i="143"/>
  <c r="F220" i="127"/>
  <c r="D265" i="127"/>
  <c r="G343" i="79"/>
  <c r="E359" i="79"/>
  <c r="E207" i="49"/>
  <c r="C218" i="49"/>
  <c r="E113" i="103"/>
  <c r="C119" i="103" s="1" a="1"/>
  <c r="D129" i="103"/>
  <c r="G341" i="79"/>
  <c r="E357" i="79"/>
  <c r="E339" i="75"/>
  <c r="C400" i="75"/>
  <c r="G391" i="3"/>
  <c r="C330" i="3"/>
  <c r="H391" i="3" s="1"/>
  <c r="L315" i="119"/>
  <c r="H363" i="119"/>
  <c r="M321" i="143"/>
  <c r="G331" i="143"/>
  <c r="K243" i="91"/>
  <c r="H255" i="91"/>
  <c r="E341" i="79"/>
  <c r="C357" i="79"/>
  <c r="E164" i="85"/>
  <c r="C173" i="85"/>
  <c r="G147" i="105"/>
  <c r="C155" i="105"/>
  <c r="K205" i="37"/>
  <c r="H216" i="37"/>
  <c r="E315" i="93"/>
  <c r="C365" i="93"/>
  <c r="K275" i="57"/>
  <c r="H288" i="57"/>
  <c r="I199" i="47"/>
  <c r="F244" i="47"/>
  <c r="I343" i="79"/>
  <c r="G359" i="79"/>
  <c r="E265" i="55"/>
  <c r="C318" i="55"/>
  <c r="G265" i="63"/>
  <c r="D318" i="63"/>
  <c r="G143" i="33"/>
  <c r="E153" i="33"/>
  <c r="K313" i="119"/>
  <c r="G362" i="119"/>
  <c r="G222" i="89"/>
  <c r="E234" i="89"/>
  <c r="C243" i="89" s="1" a="1"/>
  <c r="K199" i="51"/>
  <c r="H244" i="51"/>
  <c r="K207" i="107"/>
  <c r="G217" i="107"/>
  <c r="G145" i="31"/>
  <c r="D154" i="31"/>
  <c r="G147" i="29"/>
  <c r="D156" i="29"/>
  <c r="L336" i="135"/>
  <c r="I350" i="135"/>
  <c r="M312" i="131"/>
  <c r="J326" i="131"/>
  <c r="I200" i="41"/>
  <c r="F212" i="41"/>
  <c r="K334" i="135"/>
  <c r="H387" i="135"/>
  <c r="E311" i="119"/>
  <c r="C361" i="119"/>
  <c r="I313" i="119"/>
  <c r="E362" i="119"/>
  <c r="K321" i="131"/>
  <c r="H334" i="131"/>
  <c r="K265" i="111"/>
  <c r="G315" i="111"/>
  <c r="E205" i="107"/>
  <c r="C215" i="107"/>
  <c r="I265" i="63"/>
  <c r="F318" i="63"/>
  <c r="B116" i="83"/>
  <c r="H128" i="83" s="1"/>
  <c r="H372" i="83" s="1"/>
  <c r="J126" i="83"/>
  <c r="J370" i="83" s="1"/>
  <c r="I147" i="31"/>
  <c r="F156" i="31"/>
  <c r="E226" i="89"/>
  <c r="C237" i="89"/>
  <c r="G165" i="87"/>
  <c r="D174" i="87"/>
  <c r="K273" i="59"/>
  <c r="H286" i="59"/>
  <c r="E273" i="59"/>
  <c r="C286" i="59"/>
  <c r="G295" i="133"/>
  <c r="D306" i="133"/>
  <c r="K314" i="119"/>
  <c r="G327" i="119"/>
  <c r="I271" i="61"/>
  <c r="F284" i="61"/>
  <c r="B205" i="131"/>
  <c r="L215" i="131" s="1"/>
  <c r="L272" i="131" s="1"/>
  <c r="H219" i="131"/>
  <c r="H276" i="131" s="1"/>
  <c r="E199" i="129"/>
  <c r="C241" i="129"/>
  <c r="B191" i="83"/>
  <c r="N209" i="83" s="1"/>
  <c r="N378" i="83" s="1"/>
  <c r="P207" i="83"/>
  <c r="P376" i="83" s="1"/>
  <c r="I273" i="111"/>
  <c r="E285" i="111"/>
  <c r="M321" i="141"/>
  <c r="I333" i="141"/>
  <c r="E198" i="39"/>
  <c r="C243" i="39"/>
  <c r="K201" i="35"/>
  <c r="H213" i="35"/>
  <c r="M316" i="141"/>
  <c r="I328" i="141"/>
  <c r="B31" i="115"/>
  <c r="B37" i="115" s="1"/>
  <c r="B183" i="115" s="1"/>
  <c r="C222" i="115" s="1"/>
  <c r="D35" i="115"/>
  <c r="D181" i="115" s="1"/>
  <c r="M315" i="119"/>
  <c r="I363" i="119"/>
  <c r="E339" i="77"/>
  <c r="C400" i="77"/>
  <c r="E205" i="35"/>
  <c r="C216" i="35"/>
  <c r="I145" i="109"/>
  <c r="C173" i="109"/>
  <c r="K267" i="57"/>
  <c r="H281" i="57"/>
  <c r="I271" i="65"/>
  <c r="F284" i="65"/>
  <c r="E166" i="85"/>
  <c r="C175" i="85"/>
  <c r="I207" i="49"/>
  <c r="F218" i="49"/>
  <c r="E199" i="45"/>
  <c r="C244" i="45"/>
  <c r="E203" i="107"/>
  <c r="C243" i="107"/>
  <c r="I334" i="135"/>
  <c r="F387" i="135"/>
  <c r="I292" i="133"/>
  <c r="E337" i="133"/>
  <c r="K265" i="71"/>
  <c r="H318" i="71"/>
  <c r="I271" i="67"/>
  <c r="F284" i="67"/>
  <c r="G345" i="79"/>
  <c r="E401" i="79"/>
  <c r="E145" i="33"/>
  <c r="C179" i="33"/>
  <c r="E319" i="119"/>
  <c r="C331" i="119"/>
  <c r="E224" i="89"/>
  <c r="C266" i="89"/>
  <c r="G205" i="49"/>
  <c r="E216" i="49"/>
  <c r="G201" i="41"/>
  <c r="E213" i="41"/>
  <c r="G267" i="55"/>
  <c r="E281" i="55"/>
  <c r="K311" i="99"/>
  <c r="H364" i="99"/>
  <c r="F342" i="135"/>
  <c r="D355" i="135"/>
  <c r="E320" i="131"/>
  <c r="C333" i="131"/>
  <c r="E204" i="41"/>
  <c r="C215" i="41"/>
  <c r="L202" i="107"/>
  <c r="H213" i="107"/>
  <c r="I201" i="107"/>
  <c r="E242" i="107"/>
  <c r="K429" i="83"/>
  <c r="I491" i="83"/>
  <c r="K201" i="39"/>
  <c r="H213" i="39"/>
  <c r="I222" i="89"/>
  <c r="F234" i="89"/>
  <c r="K267" i="59"/>
  <c r="H281" i="59"/>
  <c r="I268" i="69"/>
  <c r="F281" i="69"/>
  <c r="C292" i="69" s="1" a="1"/>
  <c r="K291" i="133"/>
  <c r="F304" i="133"/>
  <c r="M314" i="143"/>
  <c r="G358" i="143"/>
  <c r="G269" i="73"/>
  <c r="E283" i="73"/>
  <c r="Q435" i="83"/>
  <c r="N452" i="83"/>
  <c r="J159" i="85"/>
  <c r="G196" i="85"/>
  <c r="I264" i="65"/>
  <c r="F317" i="65"/>
  <c r="I141" i="109"/>
  <c r="C169" i="109"/>
  <c r="E207" i="35"/>
  <c r="C218" i="35"/>
  <c r="I320" i="141"/>
  <c r="E332" i="141"/>
  <c r="G321" i="119"/>
  <c r="D333" i="119"/>
  <c r="I201" i="35"/>
  <c r="F213" i="35"/>
  <c r="I162" i="87"/>
  <c r="F198" i="87"/>
  <c r="I205" i="49"/>
  <c r="F216" i="49"/>
  <c r="E273" i="57"/>
  <c r="C286" i="57"/>
  <c r="E201" i="35"/>
  <c r="C213" i="35"/>
  <c r="K205" i="49"/>
  <c r="H216" i="49"/>
  <c r="G294" i="133"/>
  <c r="D338" i="133"/>
  <c r="K317" i="141"/>
  <c r="G329" i="141"/>
  <c r="J264" i="65"/>
  <c r="G317" i="65"/>
  <c r="M319" i="119"/>
  <c r="I331" i="119"/>
  <c r="K203" i="43"/>
  <c r="H214" i="43"/>
  <c r="M433" i="83"/>
  <c r="J450" i="83"/>
  <c r="G207" i="43"/>
  <c r="D218" i="43"/>
  <c r="I143" i="33"/>
  <c r="F153" i="33"/>
  <c r="K267" i="111"/>
  <c r="G316" i="111"/>
  <c r="K292" i="139"/>
  <c r="G304" i="139"/>
  <c r="I164" i="137"/>
  <c r="E172" i="137"/>
  <c r="I317" i="99"/>
  <c r="F330" i="99"/>
  <c r="B163" i="143"/>
  <c r="F177" i="143" s="1"/>
  <c r="F276" i="143" s="1"/>
  <c r="G321" i="143" s="1"/>
  <c r="L171" i="143"/>
  <c r="L270" i="143" s="1"/>
  <c r="E199" i="47"/>
  <c r="C244" i="47"/>
  <c r="N313" i="131"/>
  <c r="K327" i="131"/>
  <c r="I207" i="37"/>
  <c r="F218" i="37"/>
  <c r="I205" i="51"/>
  <c r="F216" i="51"/>
  <c r="I342" i="121"/>
  <c r="D353" i="121"/>
  <c r="G222" i="127"/>
  <c r="E234" i="127"/>
  <c r="G143" i="15"/>
  <c r="D179" i="15"/>
  <c r="E273" i="111"/>
  <c r="C285" i="111"/>
  <c r="G296" i="139"/>
  <c r="C308" i="139"/>
  <c r="G166" i="137"/>
  <c r="C174" i="137"/>
  <c r="M275" i="57"/>
  <c r="J288" i="57"/>
  <c r="F321" i="131"/>
  <c r="D334" i="131"/>
  <c r="I336" i="135"/>
  <c r="F350" i="135"/>
  <c r="G203" i="37"/>
  <c r="E245" i="37"/>
  <c r="G201" i="37"/>
  <c r="E213" i="37"/>
  <c r="C222" i="37" s="1" a="1"/>
  <c r="E219" i="115"/>
  <c r="C261" i="115"/>
  <c r="G267" i="57"/>
  <c r="E281" i="57"/>
  <c r="G162" i="113"/>
  <c r="C196" i="113"/>
  <c r="M338" i="123"/>
  <c r="H384" i="123"/>
  <c r="I203" i="49"/>
  <c r="F245" i="49"/>
  <c r="I267" i="61"/>
  <c r="F281" i="61"/>
  <c r="E203" i="41"/>
  <c r="C245" i="41"/>
  <c r="B143" i="107"/>
  <c r="J151" i="107" s="1"/>
  <c r="J164" i="107" s="1"/>
  <c r="F155" i="107"/>
  <c r="F168" i="107" s="1"/>
  <c r="E269" i="55"/>
  <c r="C283" i="55"/>
  <c r="E141" i="31"/>
  <c r="C178" i="31"/>
  <c r="B51" i="103"/>
  <c r="F55" i="103" s="1"/>
  <c r="F64" i="103" s="1"/>
  <c r="G91" i="103" s="1"/>
  <c r="B59" i="103"/>
  <c r="B68" i="103" s="1"/>
  <c r="C95" i="103" s="1"/>
  <c r="G162" i="87"/>
  <c r="D198" i="87"/>
  <c r="I275" i="59"/>
  <c r="G288" i="59"/>
  <c r="I205" i="43"/>
  <c r="F216" i="43"/>
  <c r="M336" i="97"/>
  <c r="J350" i="97"/>
  <c r="I298" i="139"/>
  <c r="E310" i="139"/>
  <c r="E207" i="39"/>
  <c r="C218" i="39"/>
  <c r="M335" i="123"/>
  <c r="H349" i="123"/>
  <c r="G267" i="73"/>
  <c r="E281" i="73"/>
  <c r="C292" i="73" s="1" a="1"/>
  <c r="I141" i="27"/>
  <c r="F178" i="27"/>
  <c r="K427" i="81"/>
  <c r="I445" i="81"/>
  <c r="G270" i="69"/>
  <c r="D283" i="69"/>
  <c r="G207" i="53"/>
  <c r="E218" i="53"/>
  <c r="K269" i="67"/>
  <c r="H282" i="67"/>
  <c r="E201" i="39"/>
  <c r="C213" i="39"/>
  <c r="C222" i="39" s="1" a="1"/>
  <c r="G164" i="125"/>
  <c r="C172" i="125"/>
  <c r="C178" i="125" s="1" a="1"/>
  <c r="K273" i="111"/>
  <c r="G285" i="111"/>
  <c r="M334" i="135"/>
  <c r="J387" i="135"/>
  <c r="E166" i="87"/>
  <c r="C175" i="87"/>
  <c r="K334" i="121"/>
  <c r="F381" i="121"/>
  <c r="G349" i="79"/>
  <c r="E364" i="79"/>
  <c r="I226" i="127"/>
  <c r="F237" i="127"/>
  <c r="M315" i="93"/>
  <c r="J365" i="93"/>
  <c r="E219" i="127"/>
  <c r="C264" i="127"/>
  <c r="I319" i="141"/>
  <c r="E331" i="141"/>
  <c r="M315" i="141"/>
  <c r="I327" i="141"/>
  <c r="K321" i="119"/>
  <c r="G333" i="119"/>
  <c r="K319" i="99"/>
  <c r="H332" i="99"/>
  <c r="E340" i="135"/>
  <c r="C353" i="135"/>
  <c r="E224" i="127"/>
  <c r="C266" i="127"/>
  <c r="K207" i="43"/>
  <c r="H218" i="43"/>
  <c r="L205" i="43"/>
  <c r="I216" i="43"/>
  <c r="E336" i="121"/>
  <c r="C382" i="121"/>
  <c r="G267" i="59"/>
  <c r="E281" i="59"/>
  <c r="G164" i="85"/>
  <c r="D173" i="85"/>
  <c r="N266" i="111"/>
  <c r="J280" i="111"/>
  <c r="E203" i="37"/>
  <c r="C245" i="37"/>
  <c r="E269" i="57"/>
  <c r="C283" i="57"/>
  <c r="E226" i="115"/>
  <c r="C236" i="115"/>
  <c r="C242" i="115" s="1" a="1"/>
  <c r="B61" i="87"/>
  <c r="F71" i="87" s="1"/>
  <c r="F133" i="87" s="1"/>
  <c r="H69" i="87"/>
  <c r="H131" i="87" s="1"/>
  <c r="E271" i="61"/>
  <c r="C284" i="61"/>
  <c r="I269" i="69"/>
  <c r="F282" i="69"/>
  <c r="G433" i="83"/>
  <c r="E450" i="83"/>
  <c r="G271" i="63"/>
  <c r="D284" i="63"/>
  <c r="M315" i="99"/>
  <c r="J365" i="99"/>
  <c r="B163" i="131"/>
  <c r="D177" i="131" s="1"/>
  <c r="D276" i="131" s="1"/>
  <c r="L169" i="131"/>
  <c r="L268" i="131" s="1"/>
  <c r="E164" i="87"/>
  <c r="C173" i="87"/>
  <c r="E141" i="21"/>
  <c r="C178" i="21"/>
  <c r="E91" i="13"/>
  <c r="E101" i="13"/>
  <c r="C106" i="13" s="1" a="1"/>
  <c r="M271" i="59"/>
  <c r="J319" i="59"/>
  <c r="E344" i="97"/>
  <c r="C357" i="97"/>
  <c r="M294" i="139"/>
  <c r="I306" i="139"/>
  <c r="E343" i="123"/>
  <c r="C354" i="123"/>
  <c r="E269" i="73"/>
  <c r="C283" i="73"/>
  <c r="B117" i="67"/>
  <c r="H131" i="67" s="1"/>
  <c r="H230" i="67" s="1"/>
  <c r="L127" i="67"/>
  <c r="L226" i="67" s="1"/>
  <c r="I429" i="81"/>
  <c r="G491" i="81"/>
  <c r="E265" i="57"/>
  <c r="C318" i="57"/>
  <c r="L314" i="119"/>
  <c r="H327" i="119"/>
  <c r="K203" i="53"/>
  <c r="H245" i="53"/>
  <c r="E199" i="41"/>
  <c r="C244" i="41"/>
  <c r="G273" i="67"/>
  <c r="D286" i="67"/>
  <c r="B29" i="39"/>
  <c r="B35" i="39" s="1"/>
  <c r="B162" i="39" s="1"/>
  <c r="C201" i="39" s="1"/>
  <c r="D33" i="39"/>
  <c r="D160" i="39" s="1"/>
  <c r="O349" i="75"/>
  <c r="L364" i="75"/>
  <c r="B44" i="125"/>
  <c r="D52" i="125" s="1"/>
  <c r="D131" i="125" s="1"/>
  <c r="E164" i="125" s="1"/>
  <c r="F50" i="125"/>
  <c r="F129" i="125" s="1"/>
  <c r="E421" i="83"/>
  <c r="C490" i="83"/>
  <c r="I160" i="87"/>
  <c r="F197" i="87"/>
  <c r="M343" i="79"/>
  <c r="J359" i="79"/>
  <c r="G321" i="93"/>
  <c r="E334" i="93"/>
  <c r="G269" i="65"/>
  <c r="E319" i="65"/>
  <c r="G267" i="67"/>
  <c r="D280" i="67"/>
  <c r="K342" i="121"/>
  <c r="F353" i="121"/>
  <c r="G321" i="141"/>
  <c r="C333" i="141"/>
  <c r="I166" i="137"/>
  <c r="E174" i="137"/>
  <c r="E298" i="133"/>
  <c r="C309" i="133"/>
  <c r="E338" i="135"/>
  <c r="C388" i="135"/>
  <c r="K340" i="121"/>
  <c r="F351" i="121"/>
  <c r="E145" i="15"/>
  <c r="C154" i="15"/>
  <c r="E249" i="91"/>
  <c r="C260" i="91"/>
  <c r="K317" i="99"/>
  <c r="H330" i="99"/>
  <c r="I143" i="109"/>
  <c r="C171" i="109"/>
  <c r="G298" i="133"/>
  <c r="D309" i="133"/>
  <c r="H310" i="141"/>
  <c r="D360" i="141"/>
  <c r="I141" i="105"/>
  <c r="E175" i="105"/>
  <c r="I340" i="121"/>
  <c r="D351" i="121"/>
  <c r="G160" i="95"/>
  <c r="D197" i="95"/>
  <c r="I144" i="15"/>
  <c r="F153" i="15"/>
  <c r="I219" i="115"/>
  <c r="E261" i="115"/>
  <c r="E315" i="117"/>
  <c r="C363" i="117"/>
  <c r="B76" i="29"/>
  <c r="H80" i="29" s="1"/>
  <c r="H108" i="29" s="1"/>
  <c r="B86" i="29"/>
  <c r="B114" i="29" s="1"/>
  <c r="C147" i="29" s="1"/>
  <c r="M319" i="143"/>
  <c r="G329" i="143"/>
  <c r="I319" i="99"/>
  <c r="F332" i="99"/>
  <c r="M292" i="133"/>
  <c r="H337" i="133"/>
  <c r="B117" i="111"/>
  <c r="B127" i="111" s="1"/>
  <c r="B226" i="111" s="1"/>
  <c r="C271" i="111" s="1"/>
  <c r="H121" i="111"/>
  <c r="H220" i="111" s="1"/>
  <c r="G228" i="89"/>
  <c r="E239" i="89"/>
  <c r="K207" i="47"/>
  <c r="H218" i="47"/>
  <c r="J207" i="43"/>
  <c r="G218" i="43"/>
  <c r="M273" i="59"/>
  <c r="J286" i="59"/>
  <c r="E269" i="59"/>
  <c r="C283" i="59"/>
  <c r="G146" i="15"/>
  <c r="D155" i="15"/>
  <c r="G275" i="55"/>
  <c r="E288" i="55"/>
  <c r="K338" i="123"/>
  <c r="F384" i="123"/>
  <c r="G203" i="51"/>
  <c r="D214" i="51"/>
  <c r="I205" i="47"/>
  <c r="F216" i="47"/>
  <c r="G162" i="137"/>
  <c r="C196" i="137"/>
  <c r="E201" i="107"/>
  <c r="C242" i="107"/>
  <c r="I205" i="41"/>
  <c r="F216" i="41"/>
  <c r="I311" i="99"/>
  <c r="F364" i="99"/>
  <c r="I222" i="115"/>
  <c r="E263" i="115"/>
  <c r="I275" i="71"/>
  <c r="G288" i="71"/>
  <c r="I201" i="53"/>
  <c r="F213" i="53"/>
  <c r="I166" i="87"/>
  <c r="F175" i="87"/>
  <c r="G271" i="69"/>
  <c r="D284" i="69"/>
  <c r="N421" i="81"/>
  <c r="K490" i="81"/>
  <c r="G273" i="59"/>
  <c r="E286" i="59"/>
  <c r="O425" i="83"/>
  <c r="L443" i="83"/>
  <c r="I269" i="63"/>
  <c r="F282" i="63"/>
  <c r="G321" i="99"/>
  <c r="E334" i="99"/>
  <c r="B165" i="97"/>
  <c r="F179" i="97" s="1"/>
  <c r="F299" i="97" s="1"/>
  <c r="L173" i="97"/>
  <c r="L293" i="97" s="1"/>
  <c r="I317" i="117"/>
  <c r="E329" i="117"/>
  <c r="B144" i="135"/>
  <c r="D156" i="135" s="1"/>
  <c r="D297" i="135" s="1"/>
  <c r="J150" i="135"/>
  <c r="J291" i="135" s="1"/>
  <c r="I334" i="97"/>
  <c r="F387" i="97"/>
  <c r="M337" i="97"/>
  <c r="J351" i="97"/>
  <c r="G147" i="19"/>
  <c r="E156" i="19"/>
  <c r="C160" i="19" s="1" a="1"/>
  <c r="G141" i="105"/>
  <c r="C175" i="105"/>
  <c r="G207" i="129"/>
  <c r="D217" i="129"/>
  <c r="K207" i="53"/>
  <c r="H218" i="53"/>
  <c r="G313" i="141"/>
  <c r="C363" i="141"/>
  <c r="F420" i="81"/>
  <c r="D489" i="81"/>
  <c r="C93" i="13"/>
  <c r="C119" i="13"/>
  <c r="N315" i="143"/>
  <c r="H359" i="143"/>
  <c r="B143" i="43"/>
  <c r="H155" i="43" s="1"/>
  <c r="H168" i="43" s="1"/>
  <c r="J153" i="43"/>
  <c r="J166" i="43" s="1"/>
  <c r="M275" i="67"/>
  <c r="J288" i="67"/>
  <c r="K265" i="59"/>
  <c r="H318" i="59"/>
  <c r="E267" i="57"/>
  <c r="C281" i="57"/>
  <c r="I147" i="23"/>
  <c r="F156" i="23"/>
  <c r="M351" i="75"/>
  <c r="J366" i="75"/>
  <c r="I166" i="85"/>
  <c r="F175" i="85"/>
  <c r="K311" i="143"/>
  <c r="E355" i="143"/>
  <c r="C269" i="146" l="1" a="1"/>
  <c r="C281" i="145" a="1"/>
  <c r="D277" i="144"/>
  <c r="C277" i="144"/>
  <c r="G269" i="144"/>
  <c r="E275" i="144"/>
  <c r="H269" i="144"/>
  <c r="K269" i="144"/>
  <c r="E273" i="144"/>
  <c r="H276" i="144"/>
  <c r="C270" i="144"/>
  <c r="G273" i="144"/>
  <c r="H275" i="144"/>
  <c r="F277" i="144"/>
  <c r="G272" i="144"/>
  <c r="F270" i="144"/>
  <c r="I273" i="144"/>
  <c r="D272" i="144"/>
  <c r="F275" i="144"/>
  <c r="K273" i="144"/>
  <c r="K271" i="144"/>
  <c r="I275" i="144"/>
  <c r="E277" i="144"/>
  <c r="F273" i="144"/>
  <c r="H270" i="144"/>
  <c r="J277" i="144"/>
  <c r="I276" i="144"/>
  <c r="F272" i="144"/>
  <c r="J274" i="144"/>
  <c r="D270" i="144"/>
  <c r="D274" i="144"/>
  <c r="K275" i="144"/>
  <c r="K274" i="144"/>
  <c r="J276" i="144"/>
  <c r="I277" i="144"/>
  <c r="I269" i="144"/>
  <c r="I270" i="144"/>
  <c r="C269" i="144"/>
  <c r="C275" i="144"/>
  <c r="F276" i="144"/>
  <c r="J270" i="144"/>
  <c r="D271" i="144"/>
  <c r="E270" i="144"/>
  <c r="H272" i="144"/>
  <c r="I271" i="144"/>
  <c r="D275" i="144"/>
  <c r="C272" i="144"/>
  <c r="F274" i="144"/>
  <c r="J271" i="144"/>
  <c r="E271" i="144"/>
  <c r="J273" i="144"/>
  <c r="D276" i="144"/>
  <c r="G271" i="144"/>
  <c r="K272" i="144"/>
  <c r="H273" i="144"/>
  <c r="G277" i="144"/>
  <c r="K277" i="144"/>
  <c r="H271" i="144"/>
  <c r="G275" i="144"/>
  <c r="K276" i="144"/>
  <c r="G270" i="144"/>
  <c r="D269" i="144"/>
  <c r="C273" i="144"/>
  <c r="C276" i="144"/>
  <c r="E269" i="144"/>
  <c r="E272" i="144"/>
  <c r="K270" i="144"/>
  <c r="E274" i="144"/>
  <c r="J269" i="144"/>
  <c r="C271" i="144"/>
  <c r="C274" i="144"/>
  <c r="I272" i="144"/>
  <c r="I274" i="144"/>
  <c r="D273" i="144"/>
  <c r="J272" i="144"/>
  <c r="J275" i="144"/>
  <c r="G274" i="144"/>
  <c r="F271" i="144"/>
  <c r="F269" i="144"/>
  <c r="G276" i="144"/>
  <c r="H274" i="144"/>
  <c r="H277" i="144"/>
  <c r="H274" i="2"/>
  <c r="C277" i="2"/>
  <c r="C273" i="2"/>
  <c r="K273" i="2"/>
  <c r="E273" i="2"/>
  <c r="C270" i="2"/>
  <c r="I270" i="2"/>
  <c r="H269" i="2"/>
  <c r="J275" i="2"/>
  <c r="F272" i="2"/>
  <c r="H271" i="2"/>
  <c r="G273" i="2"/>
  <c r="E276" i="2"/>
  <c r="G269" i="2"/>
  <c r="G275" i="2"/>
  <c r="F270" i="2"/>
  <c r="E271" i="2"/>
  <c r="H275" i="2"/>
  <c r="E277" i="2"/>
  <c r="I277" i="2"/>
  <c r="D273" i="2"/>
  <c r="I272" i="2"/>
  <c r="D269" i="2"/>
  <c r="E270" i="2"/>
  <c r="F269" i="2"/>
  <c r="K274" i="2"/>
  <c r="D271" i="2"/>
  <c r="I276" i="2"/>
  <c r="G274" i="2"/>
  <c r="I275" i="2"/>
  <c r="J270" i="2"/>
  <c r="K272" i="2"/>
  <c r="E269" i="2"/>
  <c r="F275" i="2"/>
  <c r="K269" i="2"/>
  <c r="C274" i="2"/>
  <c r="I274" i="2"/>
  <c r="I269" i="2"/>
  <c r="E275" i="2"/>
  <c r="H272" i="2"/>
  <c r="F277" i="2"/>
  <c r="G276" i="2"/>
  <c r="G271" i="2"/>
  <c r="C276" i="2"/>
  <c r="I273" i="2"/>
  <c r="E274" i="2"/>
  <c r="J272" i="2"/>
  <c r="C337" i="117" a="1"/>
  <c r="C292" i="55" a="1"/>
  <c r="C179" i="85" a="1"/>
  <c r="C335" i="143" a="1"/>
  <c r="C292" i="57" a="1"/>
  <c r="C222" i="53" a="1"/>
  <c r="C292" i="65" a="1"/>
  <c r="C222" i="35" a="1"/>
  <c r="C370" i="79" a="1"/>
  <c r="C338" i="93" a="1"/>
  <c r="C160" i="23" a="1"/>
  <c r="C222" i="47" a="1"/>
  <c r="C292" i="59" a="1"/>
  <c r="F293" i="59" s="1"/>
  <c r="C264" i="91" a="1"/>
  <c r="C243" i="127" a="1"/>
  <c r="C222" i="45" a="1"/>
  <c r="C178" i="137" a="1"/>
  <c r="M341" i="77"/>
  <c r="J357" i="77"/>
  <c r="C292" i="61" a="1"/>
  <c r="H298" i="61" s="1"/>
  <c r="C292" i="71" a="1"/>
  <c r="C160" i="29" a="1"/>
  <c r="E349" i="77"/>
  <c r="C364" i="77"/>
  <c r="C160" i="25" a="1"/>
  <c r="C160" i="21" a="1"/>
  <c r="C160" i="31" a="1"/>
  <c r="I199" i="129"/>
  <c r="E241" i="129"/>
  <c r="C221" i="129" a="1"/>
  <c r="C456" i="81" a="1"/>
  <c r="H458" i="81" s="1"/>
  <c r="C178" i="113" a="1"/>
  <c r="C112" i="9" a="1"/>
  <c r="C370" i="75" a="1"/>
  <c r="C222" i="51" a="1"/>
  <c r="C160" i="33" a="1"/>
  <c r="C338" i="99" a="1"/>
  <c r="I300" i="59"/>
  <c r="K298" i="59"/>
  <c r="D297" i="59"/>
  <c r="F295" i="59"/>
  <c r="C297" i="59"/>
  <c r="G293" i="59"/>
  <c r="K296" i="59"/>
  <c r="D295" i="59"/>
  <c r="F300" i="59"/>
  <c r="H298" i="59"/>
  <c r="E293" i="59"/>
  <c r="I296" i="59"/>
  <c r="K294" i="59"/>
  <c r="D293" i="59"/>
  <c r="J299" i="59"/>
  <c r="I292" i="59"/>
  <c r="F297" i="59"/>
  <c r="E294" i="59"/>
  <c r="I299" i="59"/>
  <c r="D294" i="59"/>
  <c r="C294" i="59"/>
  <c r="K293" i="59"/>
  <c r="J293" i="59"/>
  <c r="F298" i="59"/>
  <c r="J295" i="59"/>
  <c r="J292" i="59"/>
  <c r="I295" i="59"/>
  <c r="D300" i="59"/>
  <c r="G295" i="59"/>
  <c r="E299" i="59"/>
  <c r="D299" i="59"/>
  <c r="K300" i="59"/>
  <c r="H292" i="59"/>
  <c r="E298" i="59"/>
  <c r="G292" i="59"/>
  <c r="D298" i="59"/>
  <c r="F292" i="59"/>
  <c r="F294" i="59"/>
  <c r="E292" i="59"/>
  <c r="D296" i="59"/>
  <c r="I297" i="59"/>
  <c r="G297" i="59"/>
  <c r="C296" i="59"/>
  <c r="H300" i="61"/>
  <c r="J298" i="61"/>
  <c r="C297" i="61"/>
  <c r="G300" i="61"/>
  <c r="I298" i="61"/>
  <c r="K296" i="61"/>
  <c r="D295" i="61"/>
  <c r="J296" i="61"/>
  <c r="C295" i="61"/>
  <c r="E293" i="61"/>
  <c r="E300" i="61"/>
  <c r="G298" i="61"/>
  <c r="K294" i="61"/>
  <c r="F298" i="61"/>
  <c r="H296" i="61"/>
  <c r="J294" i="61"/>
  <c r="C293" i="61"/>
  <c r="D296" i="61"/>
  <c r="F294" i="61"/>
  <c r="H292" i="61"/>
  <c r="D298" i="61"/>
  <c r="G292" i="61"/>
  <c r="C298" i="61"/>
  <c r="G295" i="61"/>
  <c r="J297" i="61"/>
  <c r="F295" i="61"/>
  <c r="J300" i="61"/>
  <c r="D292" i="61"/>
  <c r="I300" i="61"/>
  <c r="H297" i="61"/>
  <c r="H294" i="61"/>
  <c r="H299" i="61"/>
  <c r="D297" i="61"/>
  <c r="C294" i="61"/>
  <c r="F297" i="61"/>
  <c r="G296" i="61"/>
  <c r="I292" i="61"/>
  <c r="F296" i="61"/>
  <c r="G299" i="61"/>
  <c r="I295" i="61"/>
  <c r="K295" i="61"/>
  <c r="J295" i="61"/>
  <c r="G294" i="61"/>
  <c r="E294" i="61"/>
  <c r="C300" i="61"/>
  <c r="J299" i="61"/>
  <c r="F299" i="61"/>
  <c r="E299" i="61"/>
  <c r="D299" i="61"/>
  <c r="E298" i="61"/>
  <c r="G297" i="61"/>
  <c r="J293" i="61"/>
  <c r="I293" i="61"/>
  <c r="H293" i="61"/>
  <c r="C164" i="19"/>
  <c r="G160" i="19"/>
  <c r="G163" i="19"/>
  <c r="F160" i="19"/>
  <c r="F163" i="19"/>
  <c r="E160" i="19"/>
  <c r="E163" i="19"/>
  <c r="D160" i="19"/>
  <c r="C160" i="19"/>
  <c r="D163" i="19"/>
  <c r="C163" i="19"/>
  <c r="D162" i="19"/>
  <c r="C162" i="19"/>
  <c r="F161" i="19"/>
  <c r="D161" i="19"/>
  <c r="E161" i="19"/>
  <c r="C161" i="19"/>
  <c r="F164" i="19"/>
  <c r="E164" i="19"/>
  <c r="D164" i="19"/>
  <c r="E162" i="19"/>
  <c r="G161" i="19"/>
  <c r="G164" i="19"/>
  <c r="G162" i="19"/>
  <c r="F162" i="19"/>
  <c r="E299" i="69"/>
  <c r="G297" i="69"/>
  <c r="I295" i="69"/>
  <c r="K293" i="69"/>
  <c r="D292" i="69"/>
  <c r="K300" i="69"/>
  <c r="D299" i="69"/>
  <c r="F297" i="69"/>
  <c r="H295" i="69"/>
  <c r="J293" i="69"/>
  <c r="J300" i="69"/>
  <c r="C299" i="69"/>
  <c r="E297" i="69"/>
  <c r="G295" i="69"/>
  <c r="I293" i="69"/>
  <c r="C292" i="69"/>
  <c r="I300" i="69"/>
  <c r="K298" i="69"/>
  <c r="D297" i="69"/>
  <c r="F295" i="69"/>
  <c r="H293" i="69"/>
  <c r="H300" i="69"/>
  <c r="J298" i="69"/>
  <c r="C297" i="69"/>
  <c r="E295" i="69"/>
  <c r="G293" i="69"/>
  <c r="G300" i="69"/>
  <c r="I298" i="69"/>
  <c r="K296" i="69"/>
  <c r="D295" i="69"/>
  <c r="F293" i="69"/>
  <c r="K299" i="69"/>
  <c r="J296" i="69"/>
  <c r="F294" i="69"/>
  <c r="J299" i="69"/>
  <c r="I296" i="69"/>
  <c r="E294" i="69"/>
  <c r="I299" i="69"/>
  <c r="H296" i="69"/>
  <c r="D294" i="69"/>
  <c r="H299" i="69"/>
  <c r="G296" i="69"/>
  <c r="C294" i="69"/>
  <c r="G299" i="69"/>
  <c r="F296" i="69"/>
  <c r="E293" i="69"/>
  <c r="F298" i="69"/>
  <c r="K295" i="69"/>
  <c r="J292" i="69"/>
  <c r="H297" i="69"/>
  <c r="G292" i="69"/>
  <c r="E296" i="69"/>
  <c r="F292" i="69"/>
  <c r="D296" i="69"/>
  <c r="E292" i="69"/>
  <c r="F300" i="69"/>
  <c r="C296" i="69"/>
  <c r="E300" i="69"/>
  <c r="J295" i="69"/>
  <c r="H298" i="69"/>
  <c r="I294" i="69"/>
  <c r="C295" i="69"/>
  <c r="K294" i="69"/>
  <c r="J294" i="69"/>
  <c r="H294" i="69"/>
  <c r="G294" i="69"/>
  <c r="F299" i="69"/>
  <c r="I292" i="69"/>
  <c r="K292" i="69"/>
  <c r="H292" i="69"/>
  <c r="D300" i="69"/>
  <c r="C300" i="69"/>
  <c r="E298" i="69"/>
  <c r="J297" i="69"/>
  <c r="I297" i="69"/>
  <c r="D293" i="69"/>
  <c r="C293" i="69"/>
  <c r="G298" i="69"/>
  <c r="D298" i="69"/>
  <c r="C298" i="69"/>
  <c r="K297" i="69"/>
  <c r="F249" i="89"/>
  <c r="D247" i="89"/>
  <c r="I244" i="89"/>
  <c r="E249" i="89"/>
  <c r="C247" i="89"/>
  <c r="H244" i="89"/>
  <c r="D249" i="89"/>
  <c r="I246" i="89"/>
  <c r="G244" i="89"/>
  <c r="C249" i="89"/>
  <c r="H246" i="89"/>
  <c r="F244" i="89"/>
  <c r="I248" i="89"/>
  <c r="G246" i="89"/>
  <c r="E244" i="89"/>
  <c r="E248" i="89"/>
  <c r="C246" i="89"/>
  <c r="H243" i="89"/>
  <c r="D248" i="89"/>
  <c r="C245" i="89"/>
  <c r="C248" i="89"/>
  <c r="D244" i="89"/>
  <c r="I247" i="89"/>
  <c r="C244" i="89"/>
  <c r="H247" i="89"/>
  <c r="I243" i="89"/>
  <c r="G247" i="89"/>
  <c r="G243" i="89"/>
  <c r="E246" i="89"/>
  <c r="H249" i="89"/>
  <c r="E243" i="89"/>
  <c r="G249" i="89"/>
  <c r="D243" i="89"/>
  <c r="H248" i="89"/>
  <c r="C243" i="89"/>
  <c r="F248" i="89"/>
  <c r="F245" i="89"/>
  <c r="E245" i="89"/>
  <c r="D245" i="89"/>
  <c r="F243" i="89"/>
  <c r="I249" i="89"/>
  <c r="G248" i="89"/>
  <c r="F247" i="89"/>
  <c r="E247" i="89"/>
  <c r="G245" i="89"/>
  <c r="D246" i="89"/>
  <c r="I245" i="89"/>
  <c r="H245" i="89"/>
  <c r="F246" i="89"/>
  <c r="G227" i="47"/>
  <c r="E225" i="47"/>
  <c r="C223" i="47"/>
  <c r="D227" i="47"/>
  <c r="H224" i="47"/>
  <c r="E222" i="47"/>
  <c r="H226" i="47"/>
  <c r="E224" i="47"/>
  <c r="C222" i="47"/>
  <c r="G226" i="47"/>
  <c r="I223" i="47"/>
  <c r="E227" i="47"/>
  <c r="H223" i="47"/>
  <c r="C227" i="47"/>
  <c r="G223" i="47"/>
  <c r="F226" i="47"/>
  <c r="F223" i="47"/>
  <c r="E226" i="47"/>
  <c r="G225" i="47"/>
  <c r="F222" i="47"/>
  <c r="I225" i="47"/>
  <c r="H225" i="47"/>
  <c r="I228" i="47"/>
  <c r="G224" i="47"/>
  <c r="F228" i="47"/>
  <c r="E228" i="47"/>
  <c r="D228" i="47"/>
  <c r="C228" i="47"/>
  <c r="I227" i="47"/>
  <c r="H227" i="47"/>
  <c r="F225" i="47"/>
  <c r="I222" i="47"/>
  <c r="D223" i="47"/>
  <c r="H222" i="47"/>
  <c r="C226" i="47"/>
  <c r="H228" i="47"/>
  <c r="D226" i="47"/>
  <c r="C108" i="13"/>
  <c r="E108" i="13"/>
  <c r="D108" i="13"/>
  <c r="E106" i="13"/>
  <c r="D106" i="13"/>
  <c r="C106" i="13"/>
  <c r="E107" i="13"/>
  <c r="D107" i="13"/>
  <c r="C107" i="13"/>
  <c r="C467" i="81"/>
  <c r="D462" i="81"/>
  <c r="K459" i="81"/>
  <c r="E457" i="81"/>
  <c r="C456" i="81"/>
  <c r="N467" i="81"/>
  <c r="K462" i="81"/>
  <c r="G461" i="81"/>
  <c r="C460" i="81"/>
  <c r="M467" i="81"/>
  <c r="E465" i="81"/>
  <c r="J462" i="81"/>
  <c r="O459" i="81"/>
  <c r="H466" i="81"/>
  <c r="D465" i="81"/>
  <c r="M463" i="81"/>
  <c r="J458" i="81"/>
  <c r="F457" i="81"/>
  <c r="O468" i="81"/>
  <c r="G466" i="81"/>
  <c r="L463" i="81"/>
  <c r="I458" i="81"/>
  <c r="N468" i="81"/>
  <c r="K463" i="81"/>
  <c r="G462" i="81"/>
  <c r="C461" i="81"/>
  <c r="G458" i="81"/>
  <c r="C457" i="81"/>
  <c r="J468" i="81"/>
  <c r="F463" i="81"/>
  <c r="K460" i="81"/>
  <c r="E467" i="81"/>
  <c r="C463" i="81"/>
  <c r="O458" i="81"/>
  <c r="K456" i="81"/>
  <c r="D467" i="81"/>
  <c r="N458" i="81"/>
  <c r="J456" i="81"/>
  <c r="O466" i="81"/>
  <c r="M458" i="81"/>
  <c r="M468" i="81"/>
  <c r="L464" i="81"/>
  <c r="I460" i="81"/>
  <c r="M466" i="81"/>
  <c r="I464" i="81"/>
  <c r="L462" i="81"/>
  <c r="K468" i="81"/>
  <c r="L466" i="81"/>
  <c r="H464" i="81"/>
  <c r="G460" i="81"/>
  <c r="F456" i="81"/>
  <c r="I457" i="81"/>
  <c r="J463" i="81"/>
  <c r="I463" i="81"/>
  <c r="D460" i="81"/>
  <c r="N456" i="81"/>
  <c r="H463" i="81"/>
  <c r="J459" i="81"/>
  <c r="M456" i="81"/>
  <c r="I459" i="81"/>
  <c r="E456" i="81"/>
  <c r="J465" i="81"/>
  <c r="O460" i="81"/>
  <c r="H459" i="81"/>
  <c r="F459" i="81"/>
  <c r="G464" i="81"/>
  <c r="E459" i="81"/>
  <c r="O457" i="81"/>
  <c r="E462" i="81"/>
  <c r="C462" i="81"/>
  <c r="I468" i="81"/>
  <c r="K461" i="81"/>
  <c r="N457" i="81"/>
  <c r="J461" i="81"/>
  <c r="H461" i="81"/>
  <c r="D468" i="81"/>
  <c r="N465" i="81"/>
  <c r="L465" i="81"/>
  <c r="C466" i="81"/>
  <c r="L457" i="81"/>
  <c r="K457" i="81"/>
  <c r="J457" i="81"/>
  <c r="C179" i="113"/>
  <c r="D178" i="113"/>
  <c r="F181" i="113"/>
  <c r="E181" i="113"/>
  <c r="C181" i="113"/>
  <c r="E178" i="113"/>
  <c r="F180" i="113"/>
  <c r="C178" i="113"/>
  <c r="D180" i="113"/>
  <c r="D181" i="113"/>
  <c r="F178" i="113"/>
  <c r="F179" i="113"/>
  <c r="E179" i="113"/>
  <c r="D179" i="113"/>
  <c r="C180" i="113"/>
  <c r="E180" i="113"/>
  <c r="C123" i="103"/>
  <c r="C122" i="103"/>
  <c r="C121" i="103"/>
  <c r="C120" i="103"/>
  <c r="C119" i="103"/>
  <c r="H227" i="35"/>
  <c r="F225" i="35"/>
  <c r="D223" i="35"/>
  <c r="G227" i="35"/>
  <c r="F228" i="35"/>
  <c r="I225" i="35"/>
  <c r="E223" i="35"/>
  <c r="E228" i="35"/>
  <c r="H225" i="35"/>
  <c r="I222" i="35"/>
  <c r="C228" i="35"/>
  <c r="D225" i="35"/>
  <c r="C225" i="35"/>
  <c r="F222" i="35"/>
  <c r="I226" i="35"/>
  <c r="E224" i="35"/>
  <c r="H226" i="35"/>
  <c r="F223" i="35"/>
  <c r="H228" i="35"/>
  <c r="C224" i="35"/>
  <c r="D228" i="35"/>
  <c r="I223" i="35"/>
  <c r="F227" i="35"/>
  <c r="H223" i="35"/>
  <c r="D227" i="35"/>
  <c r="H222" i="35"/>
  <c r="C227" i="35"/>
  <c r="E222" i="35"/>
  <c r="C222" i="35"/>
  <c r="G226" i="35"/>
  <c r="I228" i="35"/>
  <c r="E226" i="35"/>
  <c r="G225" i="35"/>
  <c r="I224" i="35"/>
  <c r="H224" i="35"/>
  <c r="D222" i="35"/>
  <c r="D224" i="35"/>
  <c r="C227" i="51"/>
  <c r="H224" i="51"/>
  <c r="F222" i="51"/>
  <c r="E222" i="51"/>
  <c r="H226" i="51"/>
  <c r="F224" i="51"/>
  <c r="D222" i="51"/>
  <c r="F228" i="51"/>
  <c r="D226" i="51"/>
  <c r="I223" i="51"/>
  <c r="D227" i="51"/>
  <c r="G223" i="51"/>
  <c r="F226" i="51"/>
  <c r="F223" i="51"/>
  <c r="E226" i="51"/>
  <c r="D223" i="51"/>
  <c r="H227" i="51"/>
  <c r="I222" i="51"/>
  <c r="G227" i="51"/>
  <c r="H222" i="51"/>
  <c r="F227" i="51"/>
  <c r="G222" i="51"/>
  <c r="E227" i="51"/>
  <c r="I228" i="51"/>
  <c r="D225" i="51"/>
  <c r="H228" i="51"/>
  <c r="G228" i="51"/>
  <c r="H225" i="51"/>
  <c r="G225" i="51"/>
  <c r="F225" i="51"/>
  <c r="E225" i="51"/>
  <c r="C225" i="51"/>
  <c r="I224" i="51"/>
  <c r="E224" i="51"/>
  <c r="I227" i="51"/>
  <c r="C223" i="51"/>
  <c r="E228" i="51"/>
  <c r="E180" i="137"/>
  <c r="C181" i="137"/>
  <c r="D179" i="137"/>
  <c r="C179" i="137"/>
  <c r="F178" i="137"/>
  <c r="E178" i="137"/>
  <c r="D178" i="137"/>
  <c r="F181" i="137"/>
  <c r="E181" i="137"/>
  <c r="D181" i="137"/>
  <c r="F179" i="137"/>
  <c r="F180" i="137"/>
  <c r="C180" i="137"/>
  <c r="D180" i="137"/>
  <c r="E179" i="137"/>
  <c r="C178" i="137"/>
  <c r="E299" i="73"/>
  <c r="G297" i="73"/>
  <c r="I295" i="73"/>
  <c r="K293" i="73"/>
  <c r="D292" i="73"/>
  <c r="C300" i="73"/>
  <c r="D298" i="73"/>
  <c r="E296" i="73"/>
  <c r="F294" i="73"/>
  <c r="G292" i="73"/>
  <c r="K299" i="73"/>
  <c r="C298" i="73"/>
  <c r="D296" i="73"/>
  <c r="E294" i="73"/>
  <c r="F292" i="73"/>
  <c r="J299" i="73"/>
  <c r="K297" i="73"/>
  <c r="C296" i="73"/>
  <c r="D294" i="73"/>
  <c r="E292" i="73"/>
  <c r="I299" i="73"/>
  <c r="J297" i="73"/>
  <c r="K295" i="73"/>
  <c r="C294" i="73"/>
  <c r="H299" i="73"/>
  <c r="I297" i="73"/>
  <c r="J295" i="73"/>
  <c r="J293" i="73"/>
  <c r="C292" i="73"/>
  <c r="G299" i="73"/>
  <c r="H297" i="73"/>
  <c r="H295" i="73"/>
  <c r="I293" i="73"/>
  <c r="K300" i="73"/>
  <c r="F298" i="73"/>
  <c r="C295" i="73"/>
  <c r="J300" i="73"/>
  <c r="E298" i="73"/>
  <c r="K294" i="73"/>
  <c r="I300" i="73"/>
  <c r="F297" i="73"/>
  <c r="J294" i="73"/>
  <c r="H300" i="73"/>
  <c r="E297" i="73"/>
  <c r="I294" i="73"/>
  <c r="G300" i="73"/>
  <c r="D297" i="73"/>
  <c r="H294" i="73"/>
  <c r="F299" i="73"/>
  <c r="I296" i="73"/>
  <c r="F293" i="73"/>
  <c r="F300" i="73"/>
  <c r="G295" i="73"/>
  <c r="E300" i="73"/>
  <c r="F295" i="73"/>
  <c r="D300" i="73"/>
  <c r="E295" i="73"/>
  <c r="D299" i="73"/>
  <c r="D295" i="73"/>
  <c r="C299" i="73"/>
  <c r="G294" i="73"/>
  <c r="H298" i="73"/>
  <c r="D293" i="73"/>
  <c r="J298" i="73"/>
  <c r="H292" i="73"/>
  <c r="I298" i="73"/>
  <c r="G298" i="73"/>
  <c r="C297" i="73"/>
  <c r="K296" i="73"/>
  <c r="F296" i="73"/>
  <c r="K298" i="73"/>
  <c r="J296" i="73"/>
  <c r="H296" i="73"/>
  <c r="H293" i="73"/>
  <c r="J292" i="73"/>
  <c r="I292" i="73"/>
  <c r="G296" i="73"/>
  <c r="G293" i="73"/>
  <c r="E293" i="73"/>
  <c r="C293" i="73"/>
  <c r="K292" i="73"/>
  <c r="E225" i="129"/>
  <c r="E222" i="129"/>
  <c r="D226" i="129"/>
  <c r="D223" i="129"/>
  <c r="H223" i="129"/>
  <c r="F226" i="129"/>
  <c r="E223" i="129"/>
  <c r="E226" i="129"/>
  <c r="C223" i="129"/>
  <c r="F223" i="129"/>
  <c r="H222" i="129"/>
  <c r="F222" i="129"/>
  <c r="H226" i="129"/>
  <c r="H221" i="129"/>
  <c r="G225" i="129"/>
  <c r="C225" i="129"/>
  <c r="H224" i="129"/>
  <c r="G224" i="129"/>
  <c r="F224" i="129"/>
  <c r="G223" i="129"/>
  <c r="G221" i="129"/>
  <c r="D221" i="129"/>
  <c r="C221" i="129"/>
  <c r="C226" i="129"/>
  <c r="H225" i="129"/>
  <c r="C224" i="129"/>
  <c r="F346" i="99"/>
  <c r="H344" i="99"/>
  <c r="J342" i="99"/>
  <c r="C341" i="99"/>
  <c r="E339" i="99"/>
  <c r="I345" i="99"/>
  <c r="J343" i="99"/>
  <c r="D338" i="99"/>
  <c r="H345" i="99"/>
  <c r="I343" i="99"/>
  <c r="J341" i="99"/>
  <c r="E343" i="99"/>
  <c r="F341" i="99"/>
  <c r="G339" i="99"/>
  <c r="G345" i="99"/>
  <c r="D343" i="99"/>
  <c r="J340" i="99"/>
  <c r="H338" i="99"/>
  <c r="F345" i="99"/>
  <c r="G338" i="99"/>
  <c r="E345" i="99"/>
  <c r="K342" i="99"/>
  <c r="H340" i="99"/>
  <c r="I342" i="99"/>
  <c r="G340" i="99"/>
  <c r="E338" i="99"/>
  <c r="K344" i="99"/>
  <c r="H342" i="99"/>
  <c r="F340" i="99"/>
  <c r="C338" i="99"/>
  <c r="J344" i="99"/>
  <c r="G344" i="99"/>
  <c r="E341" i="99"/>
  <c r="F344" i="99"/>
  <c r="D341" i="99"/>
  <c r="D344" i="99"/>
  <c r="D340" i="99"/>
  <c r="C344" i="99"/>
  <c r="J339" i="99"/>
  <c r="H346" i="99"/>
  <c r="F343" i="99"/>
  <c r="D339" i="99"/>
  <c r="E342" i="99"/>
  <c r="C342" i="99"/>
  <c r="J346" i="99"/>
  <c r="I341" i="99"/>
  <c r="I346" i="99"/>
  <c r="F339" i="99"/>
  <c r="J338" i="99"/>
  <c r="G346" i="99"/>
  <c r="I338" i="99"/>
  <c r="E346" i="99"/>
  <c r="D346" i="99"/>
  <c r="K345" i="99"/>
  <c r="I339" i="99"/>
  <c r="K343" i="99"/>
  <c r="H343" i="99"/>
  <c r="G343" i="99"/>
  <c r="F342" i="99"/>
  <c r="C339" i="99"/>
  <c r="K338" i="99"/>
  <c r="F343" i="117"/>
  <c r="F341" i="117"/>
  <c r="F339" i="117"/>
  <c r="F337" i="117"/>
  <c r="D343" i="117"/>
  <c r="D341" i="117"/>
  <c r="D339" i="117"/>
  <c r="D337" i="117"/>
  <c r="J344" i="117"/>
  <c r="H342" i="117"/>
  <c r="F340" i="117"/>
  <c r="D338" i="117"/>
  <c r="I344" i="117"/>
  <c r="G342" i="117"/>
  <c r="E340" i="117"/>
  <c r="C338" i="117"/>
  <c r="H344" i="117"/>
  <c r="F342" i="117"/>
  <c r="D340" i="117"/>
  <c r="J337" i="117"/>
  <c r="G344" i="117"/>
  <c r="E342" i="117"/>
  <c r="C340" i="117"/>
  <c r="I337" i="117"/>
  <c r="E344" i="117"/>
  <c r="C342" i="117"/>
  <c r="I339" i="117"/>
  <c r="G337" i="117"/>
  <c r="J341" i="117"/>
  <c r="I338" i="117"/>
  <c r="I341" i="117"/>
  <c r="H338" i="117"/>
  <c r="H341" i="117"/>
  <c r="G338" i="117"/>
  <c r="G341" i="117"/>
  <c r="F338" i="117"/>
  <c r="F344" i="117"/>
  <c r="E341" i="117"/>
  <c r="E338" i="117"/>
  <c r="I343" i="117"/>
  <c r="H340" i="117"/>
  <c r="C337" i="117"/>
  <c r="J339" i="117"/>
  <c r="J343" i="117"/>
  <c r="C339" i="117"/>
  <c r="D344" i="117"/>
  <c r="J338" i="117"/>
  <c r="G339" i="117"/>
  <c r="H337" i="117"/>
  <c r="C344" i="117"/>
  <c r="E337" i="117"/>
  <c r="H343" i="117"/>
  <c r="G343" i="117"/>
  <c r="E343" i="117"/>
  <c r="C343" i="117"/>
  <c r="J340" i="117"/>
  <c r="J342" i="117"/>
  <c r="I342" i="117"/>
  <c r="D342" i="117"/>
  <c r="E339" i="117"/>
  <c r="C341" i="117"/>
  <c r="I340" i="117"/>
  <c r="G340" i="117"/>
  <c r="H339" i="117"/>
  <c r="G246" i="115"/>
  <c r="C244" i="115"/>
  <c r="E246" i="115"/>
  <c r="G243" i="115"/>
  <c r="D246" i="115"/>
  <c r="F243" i="115"/>
  <c r="H245" i="115"/>
  <c r="D243" i="115"/>
  <c r="H247" i="115"/>
  <c r="F244" i="115"/>
  <c r="G247" i="115"/>
  <c r="E244" i="115"/>
  <c r="F247" i="115"/>
  <c r="D244" i="115"/>
  <c r="E247" i="115"/>
  <c r="H243" i="115"/>
  <c r="D247" i="115"/>
  <c r="E243" i="115"/>
  <c r="G245" i="115"/>
  <c r="C247" i="115"/>
  <c r="C246" i="115"/>
  <c r="E245" i="115"/>
  <c r="D245" i="115"/>
  <c r="C245" i="115"/>
  <c r="H244" i="115"/>
  <c r="G244" i="115"/>
  <c r="E242" i="115"/>
  <c r="C243" i="115"/>
  <c r="H242" i="115"/>
  <c r="G242" i="115"/>
  <c r="F242" i="115"/>
  <c r="D242" i="115"/>
  <c r="F246" i="115"/>
  <c r="F245" i="115"/>
  <c r="C242" i="115"/>
  <c r="H246" i="115"/>
  <c r="E380" i="75"/>
  <c r="K378" i="75"/>
  <c r="G374" i="75"/>
  <c r="M372" i="75"/>
  <c r="H371" i="75"/>
  <c r="D380" i="75"/>
  <c r="K375" i="75"/>
  <c r="F374" i="75"/>
  <c r="L372" i="75"/>
  <c r="G371" i="75"/>
  <c r="C370" i="75"/>
  <c r="C380" i="75"/>
  <c r="I378" i="75"/>
  <c r="D377" i="75"/>
  <c r="K372" i="75"/>
  <c r="F371" i="75"/>
  <c r="M379" i="75"/>
  <c r="H378" i="75"/>
  <c r="D374" i="75"/>
  <c r="J372" i="75"/>
  <c r="E371" i="75"/>
  <c r="L379" i="75"/>
  <c r="G378" i="75"/>
  <c r="M376" i="75"/>
  <c r="H375" i="75"/>
  <c r="C374" i="75"/>
  <c r="K379" i="75"/>
  <c r="F378" i="75"/>
  <c r="L376" i="75"/>
  <c r="G375" i="75"/>
  <c r="C371" i="75"/>
  <c r="L380" i="75"/>
  <c r="L378" i="75"/>
  <c r="F376" i="75"/>
  <c r="K373" i="75"/>
  <c r="K371" i="75"/>
  <c r="M380" i="75"/>
  <c r="E378" i="75"/>
  <c r="L370" i="75"/>
  <c r="K380" i="75"/>
  <c r="D378" i="75"/>
  <c r="C376" i="75"/>
  <c r="J380" i="75"/>
  <c r="C378" i="75"/>
  <c r="M375" i="75"/>
  <c r="F373" i="75"/>
  <c r="J370" i="75"/>
  <c r="I380" i="75"/>
  <c r="M377" i="75"/>
  <c r="F375" i="75"/>
  <c r="H380" i="75"/>
  <c r="L377" i="75"/>
  <c r="E375" i="75"/>
  <c r="D373" i="75"/>
  <c r="K377" i="75"/>
  <c r="D375" i="75"/>
  <c r="C373" i="75"/>
  <c r="G370" i="75"/>
  <c r="C379" i="75"/>
  <c r="J374" i="75"/>
  <c r="F370" i="75"/>
  <c r="M378" i="75"/>
  <c r="J377" i="75"/>
  <c r="H374" i="75"/>
  <c r="D370" i="75"/>
  <c r="I377" i="75"/>
  <c r="J373" i="75"/>
  <c r="F380" i="75"/>
  <c r="I376" i="75"/>
  <c r="E372" i="75"/>
  <c r="H379" i="75"/>
  <c r="G372" i="75"/>
  <c r="G379" i="75"/>
  <c r="F372" i="75"/>
  <c r="E379" i="75"/>
  <c r="C372" i="75"/>
  <c r="D379" i="75"/>
  <c r="M371" i="75"/>
  <c r="J379" i="75"/>
  <c r="I379" i="75"/>
  <c r="G377" i="75"/>
  <c r="K376" i="75"/>
  <c r="J376" i="75"/>
  <c r="M374" i="75"/>
  <c r="L374" i="75"/>
  <c r="G376" i="75"/>
  <c r="J371" i="75"/>
  <c r="I371" i="75"/>
  <c r="C375" i="75"/>
  <c r="K374" i="75"/>
  <c r="C181" i="125"/>
  <c r="E181" i="125"/>
  <c r="D181" i="125"/>
  <c r="F180" i="125"/>
  <c r="E180" i="125"/>
  <c r="D180" i="125"/>
  <c r="F181" i="125"/>
  <c r="C180" i="125"/>
  <c r="F179" i="125"/>
  <c r="F178" i="125"/>
  <c r="C178" i="125"/>
  <c r="E179" i="125"/>
  <c r="D179" i="125"/>
  <c r="C179" i="125"/>
  <c r="E178" i="125"/>
  <c r="D178" i="125"/>
  <c r="G164" i="33"/>
  <c r="F161" i="33"/>
  <c r="F163" i="33"/>
  <c r="C163" i="33"/>
  <c r="E161" i="33"/>
  <c r="D163" i="33"/>
  <c r="D161" i="33"/>
  <c r="C161" i="33"/>
  <c r="E160" i="33"/>
  <c r="F164" i="33"/>
  <c r="D160" i="33"/>
  <c r="G163" i="33"/>
  <c r="C164" i="33"/>
  <c r="D164" i="33"/>
  <c r="G162" i="33"/>
  <c r="F162" i="33"/>
  <c r="D162" i="33"/>
  <c r="E162" i="33"/>
  <c r="C162" i="33"/>
  <c r="C160" i="33"/>
  <c r="G228" i="39"/>
  <c r="E226" i="39"/>
  <c r="C224" i="39"/>
  <c r="F228" i="39"/>
  <c r="D226" i="39"/>
  <c r="I223" i="39"/>
  <c r="E228" i="39"/>
  <c r="C226" i="39"/>
  <c r="H223" i="39"/>
  <c r="I228" i="39"/>
  <c r="H225" i="39"/>
  <c r="C223" i="39"/>
  <c r="H228" i="39"/>
  <c r="G225" i="39"/>
  <c r="I222" i="39"/>
  <c r="D228" i="39"/>
  <c r="F225" i="39"/>
  <c r="H222" i="39"/>
  <c r="C228" i="39"/>
  <c r="E225" i="39"/>
  <c r="G222" i="39"/>
  <c r="I227" i="39"/>
  <c r="D225" i="39"/>
  <c r="F222" i="39"/>
  <c r="D227" i="39"/>
  <c r="F224" i="39"/>
  <c r="F227" i="39"/>
  <c r="E223" i="39"/>
  <c r="F226" i="39"/>
  <c r="G227" i="39"/>
  <c r="E222" i="39"/>
  <c r="E227" i="39"/>
  <c r="D222" i="39"/>
  <c r="C227" i="39"/>
  <c r="I226" i="39"/>
  <c r="C222" i="39"/>
  <c r="H226" i="39"/>
  <c r="G226" i="39"/>
  <c r="H224" i="39"/>
  <c r="G224" i="39"/>
  <c r="D223" i="39"/>
  <c r="H227" i="39"/>
  <c r="I225" i="39"/>
  <c r="C225" i="39"/>
  <c r="I224" i="39"/>
  <c r="F223" i="39"/>
  <c r="E224" i="39"/>
  <c r="D224" i="39"/>
  <c r="G223" i="39"/>
  <c r="H298" i="55"/>
  <c r="J296" i="55"/>
  <c r="C295" i="55"/>
  <c r="E293" i="55"/>
  <c r="I296" i="55"/>
  <c r="K294" i="55"/>
  <c r="D293" i="55"/>
  <c r="D300" i="55"/>
  <c r="F298" i="55"/>
  <c r="H296" i="55"/>
  <c r="J294" i="55"/>
  <c r="C293" i="55"/>
  <c r="G296" i="55"/>
  <c r="I294" i="55"/>
  <c r="K292" i="55"/>
  <c r="K299" i="55"/>
  <c r="H294" i="55"/>
  <c r="J292" i="55"/>
  <c r="G299" i="55"/>
  <c r="I297" i="55"/>
  <c r="K295" i="55"/>
  <c r="D294" i="55"/>
  <c r="F292" i="55"/>
  <c r="D299" i="55"/>
  <c r="C299" i="55"/>
  <c r="C296" i="55"/>
  <c r="G293" i="55"/>
  <c r="K298" i="55"/>
  <c r="J298" i="55"/>
  <c r="I295" i="55"/>
  <c r="I292" i="55"/>
  <c r="I298" i="55"/>
  <c r="H295" i="55"/>
  <c r="H292" i="55"/>
  <c r="C298" i="55"/>
  <c r="F294" i="55"/>
  <c r="J297" i="55"/>
  <c r="C294" i="55"/>
  <c r="H297" i="55"/>
  <c r="K293" i="55"/>
  <c r="F297" i="55"/>
  <c r="I293" i="55"/>
  <c r="H300" i="55"/>
  <c r="K296" i="55"/>
  <c r="J299" i="55"/>
  <c r="D292" i="55"/>
  <c r="I299" i="55"/>
  <c r="C292" i="55"/>
  <c r="E299" i="55"/>
  <c r="D297" i="55"/>
  <c r="J300" i="55"/>
  <c r="I300" i="55"/>
  <c r="G295" i="55"/>
  <c r="C297" i="55"/>
  <c r="E296" i="55"/>
  <c r="D295" i="55"/>
  <c r="G294" i="55"/>
  <c r="E292" i="55"/>
  <c r="K300" i="55"/>
  <c r="G292" i="55"/>
  <c r="F181" i="85"/>
  <c r="E181" i="85"/>
  <c r="D181" i="85"/>
  <c r="C181" i="85"/>
  <c r="C180" i="85"/>
  <c r="D180" i="85"/>
  <c r="G179" i="85"/>
  <c r="F179" i="85"/>
  <c r="E179" i="85"/>
  <c r="G183" i="85"/>
  <c r="D179" i="85"/>
  <c r="G182" i="85"/>
  <c r="F180" i="85"/>
  <c r="E180" i="85"/>
  <c r="C179" i="85"/>
  <c r="F182" i="85"/>
  <c r="E182" i="85"/>
  <c r="D182" i="85"/>
  <c r="C182" i="85"/>
  <c r="F340" i="143"/>
  <c r="H337" i="143"/>
  <c r="D335" i="143"/>
  <c r="G339" i="143"/>
  <c r="C337" i="143"/>
  <c r="E339" i="143"/>
  <c r="G336" i="143"/>
  <c r="D339" i="143"/>
  <c r="H335" i="143"/>
  <c r="H338" i="143"/>
  <c r="F335" i="143"/>
  <c r="E338" i="143"/>
  <c r="C335" i="143"/>
  <c r="G338" i="143"/>
  <c r="F337" i="143"/>
  <c r="D336" i="143"/>
  <c r="C336" i="143"/>
  <c r="E340" i="143"/>
  <c r="H339" i="143"/>
  <c r="C340" i="143"/>
  <c r="F338" i="143"/>
  <c r="D337" i="143"/>
  <c r="H340" i="143"/>
  <c r="D338" i="143"/>
  <c r="C338" i="143"/>
  <c r="E337" i="143"/>
  <c r="F336" i="143"/>
  <c r="E336" i="143"/>
  <c r="J300" i="65"/>
  <c r="G295" i="65"/>
  <c r="I293" i="65"/>
  <c r="C292" i="65"/>
  <c r="F300" i="65"/>
  <c r="I294" i="65"/>
  <c r="J292" i="65"/>
  <c r="E300" i="65"/>
  <c r="F298" i="65"/>
  <c r="G296" i="65"/>
  <c r="H294" i="65"/>
  <c r="I292" i="65"/>
  <c r="D300" i="65"/>
  <c r="G294" i="65"/>
  <c r="H292" i="65"/>
  <c r="C300" i="65"/>
  <c r="D298" i="65"/>
  <c r="G292" i="65"/>
  <c r="K299" i="65"/>
  <c r="C298" i="65"/>
  <c r="D296" i="65"/>
  <c r="E294" i="65"/>
  <c r="F292" i="65"/>
  <c r="G299" i="65"/>
  <c r="H297" i="65"/>
  <c r="I299" i="65"/>
  <c r="K296" i="65"/>
  <c r="H293" i="65"/>
  <c r="H299" i="65"/>
  <c r="F299" i="65"/>
  <c r="I296" i="65"/>
  <c r="F293" i="65"/>
  <c r="E299" i="65"/>
  <c r="C296" i="65"/>
  <c r="E293" i="65"/>
  <c r="D299" i="65"/>
  <c r="K295" i="65"/>
  <c r="E295" i="65"/>
  <c r="D292" i="65"/>
  <c r="G300" i="65"/>
  <c r="C295" i="65"/>
  <c r="K298" i="65"/>
  <c r="J294" i="65"/>
  <c r="J298" i="65"/>
  <c r="D294" i="65"/>
  <c r="I298" i="65"/>
  <c r="C294" i="65"/>
  <c r="G297" i="65"/>
  <c r="E292" i="65"/>
  <c r="D295" i="65"/>
  <c r="K293" i="65"/>
  <c r="C293" i="65"/>
  <c r="K300" i="65"/>
  <c r="K297" i="65"/>
  <c r="J297" i="65"/>
  <c r="I297" i="65"/>
  <c r="J295" i="65"/>
  <c r="F297" i="65"/>
  <c r="C297" i="65"/>
  <c r="D297" i="65"/>
  <c r="K292" i="65"/>
  <c r="G346" i="93"/>
  <c r="I344" i="93"/>
  <c r="K342" i="93"/>
  <c r="D341" i="93"/>
  <c r="F339" i="93"/>
  <c r="J346" i="93"/>
  <c r="K344" i="93"/>
  <c r="C343" i="93"/>
  <c r="C341" i="93"/>
  <c r="D339" i="93"/>
  <c r="I346" i="93"/>
  <c r="J344" i="93"/>
  <c r="J342" i="93"/>
  <c r="K340" i="93"/>
  <c r="C339" i="93"/>
  <c r="H346" i="93"/>
  <c r="H344" i="93"/>
  <c r="I342" i="93"/>
  <c r="J340" i="93"/>
  <c r="K338" i="93"/>
  <c r="F346" i="93"/>
  <c r="G344" i="93"/>
  <c r="H342" i="93"/>
  <c r="I340" i="93"/>
  <c r="J338" i="93"/>
  <c r="E346" i="93"/>
  <c r="F344" i="93"/>
  <c r="G342" i="93"/>
  <c r="H340" i="93"/>
  <c r="I338" i="93"/>
  <c r="J345" i="93"/>
  <c r="K343" i="93"/>
  <c r="C342" i="93"/>
  <c r="D340" i="93"/>
  <c r="E338" i="93"/>
  <c r="C345" i="93"/>
  <c r="I341" i="93"/>
  <c r="G338" i="93"/>
  <c r="E344" i="93"/>
  <c r="H341" i="93"/>
  <c r="F338" i="93"/>
  <c r="D344" i="93"/>
  <c r="G341" i="93"/>
  <c r="D338" i="93"/>
  <c r="C344" i="93"/>
  <c r="F341" i="93"/>
  <c r="J343" i="93"/>
  <c r="E341" i="93"/>
  <c r="C338" i="93"/>
  <c r="C346" i="93"/>
  <c r="F343" i="93"/>
  <c r="C340" i="93"/>
  <c r="F345" i="93"/>
  <c r="K339" i="93"/>
  <c r="E345" i="93"/>
  <c r="J339" i="93"/>
  <c r="D345" i="93"/>
  <c r="I339" i="93"/>
  <c r="I343" i="93"/>
  <c r="H339" i="93"/>
  <c r="H343" i="93"/>
  <c r="G339" i="93"/>
  <c r="K345" i="93"/>
  <c r="J341" i="93"/>
  <c r="E339" i="93"/>
  <c r="K346" i="93"/>
  <c r="H338" i="93"/>
  <c r="D346" i="93"/>
  <c r="I345" i="93"/>
  <c r="H345" i="93"/>
  <c r="G345" i="93"/>
  <c r="E342" i="93"/>
  <c r="D342" i="93"/>
  <c r="K341" i="93"/>
  <c r="G340" i="93"/>
  <c r="F340" i="93"/>
  <c r="D343" i="93"/>
  <c r="F342" i="93"/>
  <c r="E340" i="93"/>
  <c r="G343" i="93"/>
  <c r="E343" i="93"/>
  <c r="C163" i="23"/>
  <c r="C160" i="23"/>
  <c r="F162" i="23"/>
  <c r="F161" i="23"/>
  <c r="E162" i="23"/>
  <c r="D162" i="23"/>
  <c r="C162" i="23"/>
  <c r="G161" i="23"/>
  <c r="D164" i="23"/>
  <c r="G160" i="23"/>
  <c r="C164" i="23"/>
  <c r="F160" i="23"/>
  <c r="D160" i="23"/>
  <c r="F164" i="23"/>
  <c r="E164" i="23"/>
  <c r="G164" i="23"/>
  <c r="E163" i="23"/>
  <c r="D163" i="23"/>
  <c r="G162" i="23"/>
  <c r="G163" i="23"/>
  <c r="F163" i="23"/>
  <c r="E161" i="23"/>
  <c r="D161" i="23"/>
  <c r="C161" i="23"/>
  <c r="E160" i="23"/>
  <c r="D270" i="91"/>
  <c r="I267" i="91"/>
  <c r="G265" i="91"/>
  <c r="C270" i="91"/>
  <c r="H267" i="91"/>
  <c r="F265" i="91"/>
  <c r="E265" i="91"/>
  <c r="H269" i="91"/>
  <c r="F267" i="91"/>
  <c r="D265" i="91"/>
  <c r="C265" i="91"/>
  <c r="C269" i="91"/>
  <c r="H266" i="91"/>
  <c r="F264" i="91"/>
  <c r="D269" i="91"/>
  <c r="I265" i="91"/>
  <c r="I268" i="91"/>
  <c r="H265" i="91"/>
  <c r="G268" i="91"/>
  <c r="H264" i="91"/>
  <c r="F268" i="91"/>
  <c r="G264" i="91"/>
  <c r="E270" i="91"/>
  <c r="F269" i="91"/>
  <c r="E269" i="91"/>
  <c r="D268" i="91"/>
  <c r="E264" i="91"/>
  <c r="D264" i="91"/>
  <c r="I270" i="91"/>
  <c r="H270" i="91"/>
  <c r="C267" i="91"/>
  <c r="I266" i="91"/>
  <c r="G266" i="91"/>
  <c r="F266" i="91"/>
  <c r="E266" i="91"/>
  <c r="D266" i="91"/>
  <c r="C266" i="91"/>
  <c r="E228" i="45"/>
  <c r="C226" i="45"/>
  <c r="H223" i="45"/>
  <c r="I228" i="45"/>
  <c r="F226" i="45"/>
  <c r="C224" i="45"/>
  <c r="G228" i="45"/>
  <c r="D226" i="45"/>
  <c r="G223" i="45"/>
  <c r="F228" i="45"/>
  <c r="I225" i="45"/>
  <c r="F223" i="45"/>
  <c r="D228" i="45"/>
  <c r="H225" i="45"/>
  <c r="E223" i="45"/>
  <c r="G225" i="45"/>
  <c r="G222" i="45"/>
  <c r="F225" i="45"/>
  <c r="F222" i="45"/>
  <c r="E225" i="45"/>
  <c r="E222" i="45"/>
  <c r="H228" i="45"/>
  <c r="D225" i="45"/>
  <c r="D222" i="45"/>
  <c r="C228" i="45"/>
  <c r="C225" i="45"/>
  <c r="E227" i="45"/>
  <c r="E224" i="45"/>
  <c r="H226" i="45"/>
  <c r="G226" i="45"/>
  <c r="I224" i="45"/>
  <c r="H224" i="45"/>
  <c r="F224" i="45"/>
  <c r="D227" i="45"/>
  <c r="C227" i="45"/>
  <c r="I226" i="45"/>
  <c r="E226" i="45"/>
  <c r="G224" i="45"/>
  <c r="D224" i="45"/>
  <c r="I222" i="45"/>
  <c r="H222" i="45"/>
  <c r="D223" i="45"/>
  <c r="C223" i="45"/>
  <c r="C222" i="45"/>
  <c r="I227" i="45"/>
  <c r="I223" i="45"/>
  <c r="H227" i="45"/>
  <c r="G227" i="45"/>
  <c r="F227" i="45"/>
  <c r="I228" i="53"/>
  <c r="G226" i="53"/>
  <c r="E224" i="53"/>
  <c r="H228" i="53"/>
  <c r="C222" i="53"/>
  <c r="G228" i="53"/>
  <c r="E226" i="53"/>
  <c r="C224" i="53"/>
  <c r="I223" i="53"/>
  <c r="E228" i="53"/>
  <c r="C226" i="53"/>
  <c r="H223" i="53"/>
  <c r="H227" i="53"/>
  <c r="F225" i="53"/>
  <c r="D223" i="53"/>
  <c r="G227" i="53"/>
  <c r="G223" i="53"/>
  <c r="E227" i="53"/>
  <c r="F223" i="53"/>
  <c r="D227" i="53"/>
  <c r="C223" i="53"/>
  <c r="H224" i="53"/>
  <c r="G224" i="53"/>
  <c r="I222" i="53"/>
  <c r="H222" i="53"/>
  <c r="D228" i="53"/>
  <c r="G222" i="53"/>
  <c r="I225" i="53"/>
  <c r="H225" i="53"/>
  <c r="G225" i="53"/>
  <c r="D225" i="53"/>
  <c r="C225" i="53"/>
  <c r="E222" i="53"/>
  <c r="D222" i="53"/>
  <c r="E225" i="53"/>
  <c r="C228" i="53"/>
  <c r="H226" i="53"/>
  <c r="G248" i="127"/>
  <c r="E246" i="127"/>
  <c r="C244" i="127"/>
  <c r="H243" i="127"/>
  <c r="F247" i="127"/>
  <c r="I244" i="127"/>
  <c r="G249" i="127"/>
  <c r="F249" i="127"/>
  <c r="I246" i="127"/>
  <c r="E244" i="127"/>
  <c r="I248" i="127"/>
  <c r="C246" i="127"/>
  <c r="F243" i="127"/>
  <c r="D248" i="127"/>
  <c r="C245" i="127"/>
  <c r="I247" i="127"/>
  <c r="G244" i="127"/>
  <c r="H247" i="127"/>
  <c r="D244" i="127"/>
  <c r="F248" i="127"/>
  <c r="E248" i="127"/>
  <c r="C243" i="127"/>
  <c r="E247" i="127"/>
  <c r="D247" i="127"/>
  <c r="H246" i="127"/>
  <c r="H245" i="127"/>
  <c r="G246" i="127"/>
  <c r="G245" i="127"/>
  <c r="E245" i="127"/>
  <c r="I249" i="127"/>
  <c r="E249" i="127"/>
  <c r="D245" i="127"/>
  <c r="G243" i="127"/>
  <c r="E243" i="127"/>
  <c r="D243" i="127"/>
  <c r="D249" i="127"/>
  <c r="H249" i="127"/>
  <c r="K299" i="57"/>
  <c r="D298" i="57"/>
  <c r="J292" i="57"/>
  <c r="I300" i="57"/>
  <c r="J298" i="57"/>
  <c r="K296" i="57"/>
  <c r="H300" i="57"/>
  <c r="I298" i="57"/>
  <c r="J296" i="57"/>
  <c r="K294" i="57"/>
  <c r="C293" i="57"/>
  <c r="G300" i="57"/>
  <c r="H298" i="57"/>
  <c r="I296" i="57"/>
  <c r="F300" i="57"/>
  <c r="G298" i="57"/>
  <c r="H296" i="57"/>
  <c r="I294" i="57"/>
  <c r="F298" i="57"/>
  <c r="G296" i="57"/>
  <c r="G294" i="57"/>
  <c r="H292" i="57"/>
  <c r="I299" i="57"/>
  <c r="J297" i="57"/>
  <c r="K295" i="57"/>
  <c r="C294" i="57"/>
  <c r="C297" i="57"/>
  <c r="I293" i="57"/>
  <c r="G299" i="57"/>
  <c r="E296" i="57"/>
  <c r="D296" i="57"/>
  <c r="G293" i="57"/>
  <c r="E299" i="57"/>
  <c r="C296" i="57"/>
  <c r="F293" i="57"/>
  <c r="D299" i="57"/>
  <c r="J295" i="57"/>
  <c r="E293" i="57"/>
  <c r="D300" i="57"/>
  <c r="G295" i="57"/>
  <c r="C300" i="57"/>
  <c r="F295" i="57"/>
  <c r="F294" i="57"/>
  <c r="E294" i="57"/>
  <c r="J300" i="57"/>
  <c r="D294" i="57"/>
  <c r="C299" i="57"/>
  <c r="K293" i="57"/>
  <c r="K298" i="57"/>
  <c r="J293" i="57"/>
  <c r="H297" i="57"/>
  <c r="C292" i="57"/>
  <c r="C298" i="57"/>
  <c r="K297" i="57"/>
  <c r="F297" i="57"/>
  <c r="D297" i="57"/>
  <c r="E292" i="57"/>
  <c r="E297" i="57"/>
  <c r="H295" i="57"/>
  <c r="D295" i="57"/>
  <c r="F292" i="57"/>
  <c r="J380" i="79"/>
  <c r="F376" i="79"/>
  <c r="L374" i="79"/>
  <c r="G373" i="79"/>
  <c r="M371" i="79"/>
  <c r="D379" i="79"/>
  <c r="J377" i="79"/>
  <c r="E376" i="79"/>
  <c r="K374" i="79"/>
  <c r="F373" i="79"/>
  <c r="L371" i="79"/>
  <c r="G370" i="79"/>
  <c r="H380" i="79"/>
  <c r="D376" i="79"/>
  <c r="J374" i="79"/>
  <c r="E373" i="79"/>
  <c r="K371" i="79"/>
  <c r="M378" i="79"/>
  <c r="H377" i="79"/>
  <c r="C376" i="79"/>
  <c r="I374" i="79"/>
  <c r="D373" i="79"/>
  <c r="J371" i="79"/>
  <c r="E370" i="79"/>
  <c r="F380" i="79"/>
  <c r="M375" i="79"/>
  <c r="H374" i="79"/>
  <c r="C373" i="79"/>
  <c r="I371" i="79"/>
  <c r="H378" i="79"/>
  <c r="C377" i="79"/>
  <c r="I375" i="79"/>
  <c r="D374" i="79"/>
  <c r="J372" i="79"/>
  <c r="E371" i="79"/>
  <c r="L379" i="79"/>
  <c r="L377" i="79"/>
  <c r="K370" i="79"/>
  <c r="K379" i="79"/>
  <c r="F377" i="79"/>
  <c r="E375" i="79"/>
  <c r="J379" i="79"/>
  <c r="E377" i="79"/>
  <c r="D375" i="79"/>
  <c r="I372" i="79"/>
  <c r="I370" i="79"/>
  <c r="I379" i="79"/>
  <c r="D377" i="79"/>
  <c r="C375" i="79"/>
  <c r="M376" i="79"/>
  <c r="M374" i="79"/>
  <c r="G372" i="79"/>
  <c r="C370" i="79"/>
  <c r="G374" i="79"/>
  <c r="F372" i="79"/>
  <c r="D380" i="79"/>
  <c r="G376" i="79"/>
  <c r="E372" i="79"/>
  <c r="C380" i="79"/>
  <c r="L375" i="79"/>
  <c r="D372" i="79"/>
  <c r="C372" i="79"/>
  <c r="K378" i="79"/>
  <c r="J375" i="79"/>
  <c r="H371" i="79"/>
  <c r="G371" i="79"/>
  <c r="D378" i="79"/>
  <c r="M373" i="79"/>
  <c r="L370" i="79"/>
  <c r="L380" i="79"/>
  <c r="C374" i="79"/>
  <c r="K380" i="79"/>
  <c r="L373" i="79"/>
  <c r="I378" i="79"/>
  <c r="J373" i="79"/>
  <c r="G378" i="79"/>
  <c r="I373" i="79"/>
  <c r="C371" i="79"/>
  <c r="M370" i="79"/>
  <c r="M380" i="79"/>
  <c r="E378" i="79"/>
  <c r="C378" i="79"/>
  <c r="I376" i="79"/>
  <c r="M377" i="79"/>
  <c r="G375" i="79"/>
  <c r="M372" i="79"/>
  <c r="F371" i="79"/>
  <c r="D371" i="79"/>
  <c r="K376" i="79"/>
  <c r="K300" i="71"/>
  <c r="D299" i="71"/>
  <c r="F297" i="71"/>
  <c r="H295" i="71"/>
  <c r="J293" i="71"/>
  <c r="J300" i="71"/>
  <c r="C299" i="71"/>
  <c r="E297" i="71"/>
  <c r="C292" i="71"/>
  <c r="I300" i="71"/>
  <c r="K298" i="71"/>
  <c r="D297" i="71"/>
  <c r="H300" i="71"/>
  <c r="J298" i="71"/>
  <c r="C297" i="71"/>
  <c r="E295" i="71"/>
  <c r="G293" i="71"/>
  <c r="G300" i="71"/>
  <c r="I298" i="71"/>
  <c r="K296" i="71"/>
  <c r="F300" i="71"/>
  <c r="H298" i="71"/>
  <c r="J296" i="71"/>
  <c r="C295" i="71"/>
  <c r="F296" i="71"/>
  <c r="K293" i="71"/>
  <c r="F299" i="71"/>
  <c r="E296" i="71"/>
  <c r="D293" i="71"/>
  <c r="E299" i="71"/>
  <c r="D296" i="71"/>
  <c r="C293" i="71"/>
  <c r="G298" i="71"/>
  <c r="K292" i="71"/>
  <c r="F298" i="71"/>
  <c r="K295" i="71"/>
  <c r="J292" i="71"/>
  <c r="F292" i="71"/>
  <c r="I299" i="71"/>
  <c r="H294" i="71"/>
  <c r="H299" i="71"/>
  <c r="G294" i="71"/>
  <c r="E298" i="71"/>
  <c r="F294" i="71"/>
  <c r="D298" i="71"/>
  <c r="E294" i="71"/>
  <c r="D294" i="71"/>
  <c r="G297" i="71"/>
  <c r="G292" i="71"/>
  <c r="J295" i="71"/>
  <c r="I294" i="71"/>
  <c r="C294" i="71"/>
  <c r="K299" i="71"/>
  <c r="D292" i="71"/>
  <c r="C300" i="71"/>
  <c r="J299" i="71"/>
  <c r="J297" i="71"/>
  <c r="I297" i="71"/>
  <c r="H297" i="71"/>
  <c r="I296" i="71"/>
  <c r="H296" i="71"/>
  <c r="I292" i="71"/>
  <c r="E300" i="71"/>
  <c r="G296" i="71"/>
  <c r="H292" i="71"/>
  <c r="E292" i="71"/>
  <c r="D300" i="71"/>
  <c r="D162" i="29"/>
  <c r="C163" i="29"/>
  <c r="F161" i="29"/>
  <c r="E161" i="29"/>
  <c r="G164" i="29"/>
  <c r="D161" i="29"/>
  <c r="F164" i="29"/>
  <c r="C161" i="29"/>
  <c r="E164" i="29"/>
  <c r="G160" i="29"/>
  <c r="D164" i="29"/>
  <c r="F160" i="29"/>
  <c r="E163" i="29"/>
  <c r="C160" i="29"/>
  <c r="D163" i="29"/>
  <c r="G163" i="29"/>
  <c r="F163" i="29"/>
  <c r="C164" i="29"/>
  <c r="E162" i="29"/>
  <c r="C162" i="29"/>
  <c r="G161" i="29"/>
  <c r="G162" i="29"/>
  <c r="F162" i="29"/>
  <c r="E160" i="29"/>
  <c r="D160" i="29"/>
  <c r="C337" i="119" a="1"/>
  <c r="C160" i="105"/>
  <c r="E162" i="105"/>
  <c r="D162" i="105"/>
  <c r="C162" i="105"/>
  <c r="E161" i="105"/>
  <c r="F162" i="105"/>
  <c r="F161" i="105"/>
  <c r="D161" i="105"/>
  <c r="C161" i="105"/>
  <c r="F160" i="105"/>
  <c r="E160" i="105"/>
  <c r="D159" i="105"/>
  <c r="D160" i="105"/>
  <c r="F159" i="105"/>
  <c r="E159" i="105"/>
  <c r="C159" i="105"/>
  <c r="G162" i="25"/>
  <c r="E162" i="25"/>
  <c r="D162" i="25"/>
  <c r="C162" i="25"/>
  <c r="G161" i="25"/>
  <c r="F161" i="25"/>
  <c r="G164" i="25"/>
  <c r="E161" i="25"/>
  <c r="C164" i="25"/>
  <c r="F160" i="25"/>
  <c r="G163" i="25"/>
  <c r="E160" i="25"/>
  <c r="D160" i="25"/>
  <c r="C160" i="25"/>
  <c r="E164" i="25"/>
  <c r="F164" i="25"/>
  <c r="E163" i="25"/>
  <c r="D163" i="25"/>
  <c r="C163" i="25"/>
  <c r="D161" i="25"/>
  <c r="G160" i="25"/>
  <c r="D164" i="25"/>
  <c r="F163" i="25"/>
  <c r="F162" i="25"/>
  <c r="C161" i="25"/>
  <c r="D107" i="7"/>
  <c r="E108" i="7"/>
  <c r="D108" i="7"/>
  <c r="C108" i="7"/>
  <c r="E107" i="7"/>
  <c r="C106" i="7"/>
  <c r="C107" i="7"/>
  <c r="D106" i="7"/>
  <c r="E106" i="7"/>
  <c r="G163" i="21"/>
  <c r="F160" i="21"/>
  <c r="G162" i="21"/>
  <c r="F163" i="21"/>
  <c r="E160" i="21"/>
  <c r="E163" i="21"/>
  <c r="D160" i="21"/>
  <c r="D163" i="21"/>
  <c r="C163" i="21"/>
  <c r="C160" i="21"/>
  <c r="C162" i="21"/>
  <c r="G161" i="21"/>
  <c r="G164" i="21"/>
  <c r="E164" i="21"/>
  <c r="F164" i="21"/>
  <c r="D164" i="21"/>
  <c r="F162" i="21"/>
  <c r="E162" i="21"/>
  <c r="C164" i="21"/>
  <c r="E161" i="21"/>
  <c r="D161" i="21"/>
  <c r="C161" i="21"/>
  <c r="D162" i="21"/>
  <c r="G160" i="21"/>
  <c r="F161" i="21"/>
  <c r="C162" i="31"/>
  <c r="G161" i="31"/>
  <c r="C164" i="31"/>
  <c r="E160" i="31"/>
  <c r="D162" i="31"/>
  <c r="D163" i="31"/>
  <c r="F162" i="31"/>
  <c r="E162" i="31"/>
  <c r="F161" i="31"/>
  <c r="E161" i="31"/>
  <c r="D161" i="31"/>
  <c r="C161" i="31"/>
  <c r="E164" i="31"/>
  <c r="D164" i="31"/>
  <c r="C160" i="31"/>
  <c r="G164" i="31"/>
  <c r="F164" i="31"/>
  <c r="G163" i="31"/>
  <c r="F163" i="31"/>
  <c r="C163" i="31"/>
  <c r="E163" i="31"/>
  <c r="F160" i="31"/>
  <c r="D160" i="31"/>
  <c r="G162" i="31"/>
  <c r="G160" i="31"/>
  <c r="I265" i="65"/>
  <c r="F318" i="65"/>
  <c r="C359" i="121" a="1"/>
  <c r="M336" i="123"/>
  <c r="H382" i="123"/>
  <c r="K292" i="133"/>
  <c r="F337" i="133"/>
  <c r="E344" i="123"/>
  <c r="C355" i="123"/>
  <c r="C359" i="123" s="1" a="1"/>
  <c r="C370" i="77" a="1"/>
  <c r="I145" i="15"/>
  <c r="F154" i="15"/>
  <c r="C110" i="101" a="1"/>
  <c r="M338" i="97"/>
  <c r="J388" i="97"/>
  <c r="G344" i="97"/>
  <c r="E357" i="97"/>
  <c r="C361" i="97" s="1" a="1"/>
  <c r="I164" i="87"/>
  <c r="F173" i="87"/>
  <c r="G147" i="15"/>
  <c r="D156" i="15"/>
  <c r="C187" i="95" a="1"/>
  <c r="C227" i="37"/>
  <c r="H224" i="37"/>
  <c r="F222" i="37"/>
  <c r="I226" i="37"/>
  <c r="G224" i="37"/>
  <c r="E222" i="37"/>
  <c r="I227" i="37"/>
  <c r="E225" i="37"/>
  <c r="H222" i="37"/>
  <c r="H227" i="37"/>
  <c r="D225" i="37"/>
  <c r="G222" i="37"/>
  <c r="G227" i="37"/>
  <c r="C225" i="37"/>
  <c r="D222" i="37"/>
  <c r="F227" i="37"/>
  <c r="I224" i="37"/>
  <c r="E227" i="37"/>
  <c r="F224" i="37"/>
  <c r="C222" i="37"/>
  <c r="I228" i="37"/>
  <c r="E226" i="37"/>
  <c r="H223" i="37"/>
  <c r="H228" i="37"/>
  <c r="E224" i="37"/>
  <c r="D227" i="37"/>
  <c r="E223" i="37"/>
  <c r="G226" i="37"/>
  <c r="F226" i="37"/>
  <c r="D226" i="37"/>
  <c r="C226" i="37"/>
  <c r="I225" i="37"/>
  <c r="H225" i="37"/>
  <c r="C224" i="37"/>
  <c r="G228" i="37"/>
  <c r="I223" i="37"/>
  <c r="F228" i="37"/>
  <c r="E228" i="37"/>
  <c r="H226" i="37"/>
  <c r="D228" i="37"/>
  <c r="C228" i="37"/>
  <c r="F225" i="37"/>
  <c r="D224" i="37"/>
  <c r="G223" i="37"/>
  <c r="F223" i="37"/>
  <c r="G225" i="37"/>
  <c r="D223" i="37"/>
  <c r="C223" i="37"/>
  <c r="I222" i="37"/>
  <c r="K339" i="79"/>
  <c r="H400" i="79"/>
  <c r="E421" i="81"/>
  <c r="C490" i="81"/>
  <c r="G162" i="125"/>
  <c r="C196" i="125"/>
  <c r="I265" i="111"/>
  <c r="E315" i="111"/>
  <c r="C292" i="67" a="1"/>
  <c r="M271" i="67"/>
  <c r="J284" i="67"/>
  <c r="G166" i="87"/>
  <c r="D175" i="87"/>
  <c r="Q433" i="83"/>
  <c r="N450" i="83"/>
  <c r="K313" i="143"/>
  <c r="E357" i="143"/>
  <c r="I275" i="67"/>
  <c r="F288" i="67"/>
  <c r="O435" i="83"/>
  <c r="L452" i="83"/>
  <c r="I201" i="41"/>
  <c r="F213" i="41"/>
  <c r="C168" i="27" a="1"/>
  <c r="M313" i="131"/>
  <c r="J327" i="131"/>
  <c r="E205" i="41"/>
  <c r="C216" i="41"/>
  <c r="E321" i="131"/>
  <c r="C334" i="131"/>
  <c r="K311" i="93"/>
  <c r="H364" i="93"/>
  <c r="E199" i="107"/>
  <c r="C241" i="107"/>
  <c r="K205" i="43"/>
  <c r="H216" i="43"/>
  <c r="E220" i="115"/>
  <c r="C262" i="115"/>
  <c r="I321" i="131"/>
  <c r="G334" i="131"/>
  <c r="C162" i="109" a="1"/>
  <c r="I207" i="43"/>
  <c r="F218" i="43"/>
  <c r="C222" i="43" s="1" a="1"/>
  <c r="M317" i="131"/>
  <c r="J365" i="131"/>
  <c r="M317" i="141"/>
  <c r="I329" i="141"/>
  <c r="C337" i="141" s="1" a="1"/>
  <c r="C106" i="11" a="1"/>
  <c r="C112" i="9"/>
  <c r="C114" i="9"/>
  <c r="C113" i="9"/>
  <c r="K427" i="83"/>
  <c r="I445" i="83"/>
  <c r="C456" i="83" s="1" a="1"/>
  <c r="I321" i="141"/>
  <c r="E333" i="141"/>
  <c r="M421" i="81"/>
  <c r="J490" i="81"/>
  <c r="E199" i="39"/>
  <c r="C244" i="39"/>
  <c r="G207" i="107"/>
  <c r="D217" i="107"/>
  <c r="C221" i="107" s="1" a="1"/>
  <c r="M315" i="143"/>
  <c r="G359" i="143"/>
  <c r="I429" i="83"/>
  <c r="G491" i="83"/>
  <c r="K267" i="63"/>
  <c r="H280" i="63"/>
  <c r="C292" i="63" s="1" a="1"/>
  <c r="C314" i="139" a="1"/>
  <c r="I220" i="115"/>
  <c r="E262" i="115"/>
  <c r="M267" i="111"/>
  <c r="I316" i="111"/>
  <c r="G319" i="119"/>
  <c r="D331" i="119"/>
  <c r="K315" i="131"/>
  <c r="H329" i="131"/>
  <c r="E275" i="111"/>
  <c r="C287" i="111"/>
  <c r="C291" i="111" s="1" a="1"/>
  <c r="I160" i="85"/>
  <c r="F197" i="85"/>
  <c r="K203" i="107"/>
  <c r="G243" i="107"/>
  <c r="G319" i="131"/>
  <c r="E332" i="131"/>
  <c r="G311" i="141"/>
  <c r="C361" i="141"/>
  <c r="K336" i="135"/>
  <c r="H350" i="135"/>
  <c r="K315" i="119"/>
  <c r="G363" i="119"/>
  <c r="C284" i="3"/>
  <c r="L296" i="3" s="1"/>
  <c r="C283" i="3"/>
  <c r="L295" i="3" s="1"/>
  <c r="C282" i="3"/>
  <c r="C281" i="3"/>
  <c r="C280" i="3"/>
  <c r="C279" i="3"/>
  <c r="C285" i="3"/>
  <c r="L297" i="3" s="1"/>
  <c r="C286" i="3"/>
  <c r="L298" i="3" s="1"/>
  <c r="D164" i="17"/>
  <c r="C161" i="17"/>
  <c r="C164" i="17"/>
  <c r="G160" i="17"/>
  <c r="G163" i="17"/>
  <c r="F160" i="17"/>
  <c r="D163" i="17"/>
  <c r="F163" i="17"/>
  <c r="E160" i="17"/>
  <c r="E163" i="17"/>
  <c r="D160" i="17"/>
  <c r="E162" i="17"/>
  <c r="D162" i="17"/>
  <c r="E161" i="17"/>
  <c r="C160" i="17"/>
  <c r="D161" i="17"/>
  <c r="E164" i="17"/>
  <c r="C163" i="17"/>
  <c r="G162" i="17"/>
  <c r="G164" i="17"/>
  <c r="F164" i="17"/>
  <c r="F162" i="17"/>
  <c r="G161" i="17"/>
  <c r="C162" i="17"/>
  <c r="F161" i="17"/>
  <c r="I141" i="29"/>
  <c r="F178" i="29"/>
  <c r="C107" i="5"/>
  <c r="E106" i="5"/>
  <c r="D106" i="5"/>
  <c r="C106" i="5"/>
  <c r="E108" i="5"/>
  <c r="D108" i="5"/>
  <c r="E107" i="5"/>
  <c r="C108" i="5"/>
  <c r="D107" i="5"/>
  <c r="E342" i="135"/>
  <c r="C355" i="135"/>
  <c r="G159" i="103"/>
  <c r="B157" i="103" s="1"/>
  <c r="G141" i="103"/>
  <c r="B141" i="103" s="1"/>
  <c r="K315" i="117"/>
  <c r="G363" i="117"/>
  <c r="C222" i="49" a="1"/>
  <c r="G296" i="133"/>
  <c r="D307" i="133"/>
  <c r="C313" i="133" s="1" a="1"/>
  <c r="E276" i="146" l="1"/>
  <c r="J269" i="146"/>
  <c r="D271" i="146"/>
  <c r="I275" i="146"/>
  <c r="J276" i="146"/>
  <c r="H274" i="146"/>
  <c r="D272" i="146"/>
  <c r="J273" i="146"/>
  <c r="K271" i="146"/>
  <c r="C275" i="146"/>
  <c r="H275" i="146"/>
  <c r="I276" i="146"/>
  <c r="F270" i="146"/>
  <c r="D277" i="146"/>
  <c r="F273" i="146"/>
  <c r="C276" i="146"/>
  <c r="G270" i="146"/>
  <c r="D275" i="146"/>
  <c r="H270" i="146"/>
  <c r="E272" i="146"/>
  <c r="J277" i="146"/>
  <c r="C272" i="146"/>
  <c r="K270" i="146"/>
  <c r="I269" i="146"/>
  <c r="H273" i="146"/>
  <c r="J274" i="146"/>
  <c r="D273" i="146"/>
  <c r="F274" i="146"/>
  <c r="F275" i="146"/>
  <c r="D274" i="146"/>
  <c r="F277" i="146"/>
  <c r="H277" i="146"/>
  <c r="E273" i="146"/>
  <c r="K274" i="146"/>
  <c r="I270" i="146"/>
  <c r="K269" i="146"/>
  <c r="C269" i="146"/>
  <c r="E269" i="146"/>
  <c r="K273" i="146"/>
  <c r="C271" i="146"/>
  <c r="D269" i="146"/>
  <c r="F276" i="146"/>
  <c r="G269" i="146"/>
  <c r="I274" i="146"/>
  <c r="I272" i="146"/>
  <c r="G271" i="146"/>
  <c r="C277" i="146"/>
  <c r="C273" i="146"/>
  <c r="E270" i="146"/>
  <c r="J270" i="146"/>
  <c r="D276" i="146"/>
  <c r="J272" i="146"/>
  <c r="E277" i="146"/>
  <c r="G276" i="146"/>
  <c r="J271" i="146"/>
  <c r="K272" i="146"/>
  <c r="H276" i="146"/>
  <c r="G273" i="146"/>
  <c r="H272" i="146"/>
  <c r="J275" i="146"/>
  <c r="K275" i="146"/>
  <c r="G272" i="146"/>
  <c r="F269" i="146"/>
  <c r="K276" i="146"/>
  <c r="G274" i="146"/>
  <c r="E271" i="146"/>
  <c r="C274" i="146"/>
  <c r="K277" i="146"/>
  <c r="G275" i="146"/>
  <c r="E274" i="146"/>
  <c r="G277" i="146"/>
  <c r="C270" i="146"/>
  <c r="D270" i="146"/>
  <c r="H271" i="146"/>
  <c r="E275" i="146"/>
  <c r="I271" i="146"/>
  <c r="H269" i="146"/>
  <c r="I273" i="146"/>
  <c r="F271" i="146"/>
  <c r="F272" i="146"/>
  <c r="I277" i="146"/>
  <c r="C289" i="145"/>
  <c r="M302" i="145" s="1"/>
  <c r="C281" i="145"/>
  <c r="C282" i="145"/>
  <c r="D312" i="145" s="1"/>
  <c r="C283" i="145"/>
  <c r="D313" i="145" s="1"/>
  <c r="C288" i="145"/>
  <c r="M301" i="145" s="1"/>
  <c r="C287" i="145"/>
  <c r="M300" i="145" s="1"/>
  <c r="C285" i="145"/>
  <c r="C286" i="145"/>
  <c r="M299" i="145" s="1"/>
  <c r="C284" i="145"/>
  <c r="D314" i="145" s="1"/>
  <c r="C281" i="144" a="1"/>
  <c r="C289" i="144" s="1"/>
  <c r="M302" i="144" s="1"/>
  <c r="C281" i="2" a="1"/>
  <c r="C281" i="2" s="1"/>
  <c r="C160" i="15" a="1"/>
  <c r="G468" i="81"/>
  <c r="H465" i="81"/>
  <c r="K466" i="81"/>
  <c r="L468" i="81"/>
  <c r="M460" i="81"/>
  <c r="O464" i="81"/>
  <c r="L467" i="81"/>
  <c r="C296" i="61"/>
  <c r="E292" i="61"/>
  <c r="I296" i="61"/>
  <c r="H297" i="59"/>
  <c r="J294" i="59"/>
  <c r="E297" i="59"/>
  <c r="C179" i="87" a="1"/>
  <c r="G180" i="87" s="1"/>
  <c r="J464" i="81"/>
  <c r="H457" i="81"/>
  <c r="E461" i="81"/>
  <c r="F466" i="81"/>
  <c r="C458" i="81"/>
  <c r="N462" i="81"/>
  <c r="E458" i="81"/>
  <c r="O456" i="81"/>
  <c r="C459" i="81"/>
  <c r="L461" i="81"/>
  <c r="O467" i="81"/>
  <c r="J466" i="81"/>
  <c r="K458" i="81"/>
  <c r="H462" i="81"/>
  <c r="F467" i="81"/>
  <c r="N464" i="81"/>
  <c r="F458" i="81"/>
  <c r="H467" i="81"/>
  <c r="D466" i="81"/>
  <c r="F464" i="81"/>
  <c r="M457" i="81"/>
  <c r="F465" i="81"/>
  <c r="G457" i="81"/>
  <c r="D461" i="81"/>
  <c r="O465" i="81"/>
  <c r="O462" i="81"/>
  <c r="H456" i="81"/>
  <c r="C464" i="81"/>
  <c r="E463" i="81"/>
  <c r="D459" i="81"/>
  <c r="E468" i="81"/>
  <c r="M465" i="81"/>
  <c r="L458" i="81"/>
  <c r="I462" i="81"/>
  <c r="J467" i="81"/>
  <c r="G459" i="81"/>
  <c r="M464" i="81"/>
  <c r="H460" i="81"/>
  <c r="E460" i="81"/>
  <c r="M461" i="81"/>
  <c r="N461" i="81"/>
  <c r="D464" i="81"/>
  <c r="F244" i="127"/>
  <c r="I243" i="127"/>
  <c r="F245" i="127"/>
  <c r="H248" i="127"/>
  <c r="C248" i="127"/>
  <c r="F246" i="127"/>
  <c r="D246" i="127"/>
  <c r="H244" i="127"/>
  <c r="I245" i="127"/>
  <c r="C247" i="127"/>
  <c r="G247" i="127"/>
  <c r="C249" i="127"/>
  <c r="I461" i="81"/>
  <c r="I465" i="81"/>
  <c r="G467" i="81"/>
  <c r="M462" i="81"/>
  <c r="G465" i="81"/>
  <c r="D457" i="81"/>
  <c r="F461" i="81"/>
  <c r="N460" i="81"/>
  <c r="D225" i="129"/>
  <c r="G226" i="129"/>
  <c r="D224" i="129"/>
  <c r="F225" i="129"/>
  <c r="F221" i="129"/>
  <c r="C222" i="129"/>
  <c r="E221" i="129"/>
  <c r="G222" i="129"/>
  <c r="D222" i="129"/>
  <c r="E224" i="129"/>
  <c r="C230" i="129" s="1" a="1"/>
  <c r="E267" i="91"/>
  <c r="C264" i="91"/>
  <c r="E268" i="91"/>
  <c r="I269" i="91"/>
  <c r="H268" i="91"/>
  <c r="G270" i="91"/>
  <c r="G267" i="91"/>
  <c r="I264" i="91"/>
  <c r="C268" i="91"/>
  <c r="G269" i="91"/>
  <c r="D267" i="91"/>
  <c r="F270" i="91"/>
  <c r="I298" i="59"/>
  <c r="E296" i="59"/>
  <c r="F296" i="59"/>
  <c r="C293" i="59"/>
  <c r="K295" i="59"/>
  <c r="H293" i="59"/>
  <c r="E300" i="59"/>
  <c r="H299" i="59"/>
  <c r="H295" i="59"/>
  <c r="J297" i="59"/>
  <c r="H300" i="59"/>
  <c r="G298" i="59"/>
  <c r="H296" i="59"/>
  <c r="C300" i="59"/>
  <c r="D292" i="59"/>
  <c r="G300" i="59"/>
  <c r="C298" i="59"/>
  <c r="F299" i="59"/>
  <c r="I294" i="59"/>
  <c r="K297" i="59"/>
  <c r="C338" i="131" a="1"/>
  <c r="J346" i="131" s="1"/>
  <c r="D463" i="81"/>
  <c r="K465" i="81"/>
  <c r="F460" i="81"/>
  <c r="N466" i="81"/>
  <c r="L456" i="81"/>
  <c r="M459" i="81"/>
  <c r="N463" i="81"/>
  <c r="G463" i="81"/>
  <c r="I293" i="59"/>
  <c r="C292" i="59"/>
  <c r="K299" i="59"/>
  <c r="E295" i="59"/>
  <c r="F227" i="47"/>
  <c r="C225" i="47"/>
  <c r="D222" i="47"/>
  <c r="I226" i="47"/>
  <c r="E223" i="47"/>
  <c r="I224" i="47"/>
  <c r="F224" i="47"/>
  <c r="G228" i="47"/>
  <c r="C224" i="47"/>
  <c r="D224" i="47"/>
  <c r="D225" i="47"/>
  <c r="G222" i="47"/>
  <c r="C468" i="81"/>
  <c r="H468" i="81"/>
  <c r="D458" i="81"/>
  <c r="I456" i="81"/>
  <c r="O461" i="81"/>
  <c r="C465" i="81"/>
  <c r="I466" i="81"/>
  <c r="F468" i="81"/>
  <c r="K298" i="61"/>
  <c r="J292" i="61"/>
  <c r="H295" i="61"/>
  <c r="H294" i="59"/>
  <c r="J300" i="59"/>
  <c r="G294" i="59"/>
  <c r="J298" i="59"/>
  <c r="C361" i="135" a="1"/>
  <c r="E366" i="135" s="1"/>
  <c r="I380" i="79"/>
  <c r="G380" i="79"/>
  <c r="M379" i="79"/>
  <c r="J370" i="79"/>
  <c r="L376" i="79"/>
  <c r="H375" i="79"/>
  <c r="H373" i="79"/>
  <c r="H376" i="79"/>
  <c r="E379" i="79"/>
  <c r="C379" i="79"/>
  <c r="L378" i="79"/>
  <c r="F375" i="79"/>
  <c r="H372" i="79"/>
  <c r="F379" i="79"/>
  <c r="E380" i="79"/>
  <c r="F374" i="79"/>
  <c r="K377" i="79"/>
  <c r="I377" i="79"/>
  <c r="G377" i="79"/>
  <c r="L372" i="79"/>
  <c r="H379" i="79"/>
  <c r="K375" i="79"/>
  <c r="K373" i="79"/>
  <c r="E374" i="79"/>
  <c r="H370" i="79"/>
  <c r="F370" i="79"/>
  <c r="D370" i="79"/>
  <c r="K372" i="79"/>
  <c r="G379" i="79"/>
  <c r="C384" i="79" s="1" a="1"/>
  <c r="J378" i="79"/>
  <c r="F378" i="79"/>
  <c r="J376" i="79"/>
  <c r="C222" i="41" a="1"/>
  <c r="F462" i="81"/>
  <c r="J460" i="81"/>
  <c r="K464" i="81"/>
  <c r="K467" i="81"/>
  <c r="D456" i="81"/>
  <c r="C223" i="35"/>
  <c r="C232" i="35" s="1" a="1"/>
  <c r="F224" i="35"/>
  <c r="C226" i="35"/>
  <c r="G222" i="35"/>
  <c r="E227" i="35"/>
  <c r="F226" i="35"/>
  <c r="I227" i="35"/>
  <c r="G223" i="35"/>
  <c r="G224" i="35"/>
  <c r="E225" i="35"/>
  <c r="G228" i="35"/>
  <c r="D226" i="35"/>
  <c r="H296" i="65"/>
  <c r="F294" i="65"/>
  <c r="G293" i="65"/>
  <c r="C304" i="65" s="1" a="1"/>
  <c r="K294" i="65"/>
  <c r="H300" i="65"/>
  <c r="C299" i="65"/>
  <c r="E298" i="65"/>
  <c r="I295" i="65"/>
  <c r="D293" i="65"/>
  <c r="H295" i="65"/>
  <c r="E297" i="65"/>
  <c r="F296" i="65"/>
  <c r="J293" i="65"/>
  <c r="H298" i="65"/>
  <c r="F295" i="65"/>
  <c r="G298" i="65"/>
  <c r="E296" i="65"/>
  <c r="J296" i="65"/>
  <c r="J299" i="65"/>
  <c r="I300" i="65"/>
  <c r="C185" i="137" a="1"/>
  <c r="C188" i="137" s="1"/>
  <c r="D226" i="53"/>
  <c r="C227" i="53"/>
  <c r="F222" i="53"/>
  <c r="F226" i="53"/>
  <c r="F224" i="53"/>
  <c r="I227" i="53"/>
  <c r="D224" i="53"/>
  <c r="F227" i="53"/>
  <c r="I226" i="53"/>
  <c r="F228" i="53"/>
  <c r="E223" i="53"/>
  <c r="I224" i="53"/>
  <c r="D345" i="99"/>
  <c r="C345" i="99"/>
  <c r="K340" i="99"/>
  <c r="C346" i="99"/>
  <c r="H339" i="99"/>
  <c r="K341" i="99"/>
  <c r="C343" i="99"/>
  <c r="G342" i="99"/>
  <c r="D342" i="99"/>
  <c r="J345" i="99"/>
  <c r="C340" i="99"/>
  <c r="I340" i="99"/>
  <c r="E340" i="99"/>
  <c r="K346" i="99"/>
  <c r="I344" i="99"/>
  <c r="K339" i="99"/>
  <c r="F338" i="99"/>
  <c r="C350" i="99" s="1" a="1"/>
  <c r="E344" i="99"/>
  <c r="H341" i="99"/>
  <c r="G341" i="99"/>
  <c r="H293" i="71"/>
  <c r="C304" i="71" s="1" a="1"/>
  <c r="G299" i="71"/>
  <c r="J294" i="71"/>
  <c r="K294" i="71"/>
  <c r="G295" i="71"/>
  <c r="D295" i="71"/>
  <c r="I293" i="71"/>
  <c r="F293" i="71"/>
  <c r="C296" i="71"/>
  <c r="C298" i="71"/>
  <c r="F295" i="71"/>
  <c r="E293" i="71"/>
  <c r="K297" i="71"/>
  <c r="I295" i="71"/>
  <c r="D293" i="57"/>
  <c r="E300" i="57"/>
  <c r="F299" i="57"/>
  <c r="E295" i="57"/>
  <c r="G297" i="57"/>
  <c r="F296" i="57"/>
  <c r="J294" i="57"/>
  <c r="D292" i="57"/>
  <c r="C304" i="57" s="1" a="1"/>
  <c r="K300" i="57"/>
  <c r="E298" i="57"/>
  <c r="H294" i="57"/>
  <c r="K292" i="57"/>
  <c r="H299" i="57"/>
  <c r="I295" i="57"/>
  <c r="G292" i="57"/>
  <c r="C295" i="57"/>
  <c r="I292" i="57"/>
  <c r="H293" i="57"/>
  <c r="J299" i="57"/>
  <c r="I297" i="57"/>
  <c r="I467" i="81"/>
  <c r="E464" i="81"/>
  <c r="E466" i="81"/>
  <c r="G456" i="81"/>
  <c r="L460" i="81"/>
  <c r="L459" i="81"/>
  <c r="N459" i="81"/>
  <c r="O463" i="81"/>
  <c r="C299" i="59"/>
  <c r="G296" i="59"/>
  <c r="C295" i="59"/>
  <c r="G161" i="33"/>
  <c r="E164" i="33"/>
  <c r="G160" i="33"/>
  <c r="F160" i="33"/>
  <c r="C168" i="33" s="1" a="1"/>
  <c r="E163" i="33"/>
  <c r="F300" i="61"/>
  <c r="K297" i="61"/>
  <c r="I294" i="61"/>
  <c r="E296" i="61"/>
  <c r="D294" i="61"/>
  <c r="E295" i="61"/>
  <c r="D293" i="61"/>
  <c r="F292" i="61"/>
  <c r="K292" i="61"/>
  <c r="K293" i="61"/>
  <c r="G293" i="61"/>
  <c r="D300" i="61"/>
  <c r="K300" i="61"/>
  <c r="E297" i="61"/>
  <c r="C304" i="61" s="1" a="1"/>
  <c r="K299" i="61"/>
  <c r="F293" i="61"/>
  <c r="I299" i="61"/>
  <c r="I297" i="61"/>
  <c r="C292" i="61"/>
  <c r="C299" i="61"/>
  <c r="G335" i="143"/>
  <c r="C344" i="143" s="1" a="1"/>
  <c r="G337" i="143"/>
  <c r="F339" i="143"/>
  <c r="D340" i="143"/>
  <c r="H336" i="143"/>
  <c r="E335" i="143"/>
  <c r="C339" i="143"/>
  <c r="G340" i="143"/>
  <c r="K292" i="59"/>
  <c r="C304" i="59" s="1" a="1"/>
  <c r="G299" i="59"/>
  <c r="J296" i="59"/>
  <c r="G224" i="51"/>
  <c r="C226" i="51"/>
  <c r="C228" i="51"/>
  <c r="H223" i="51"/>
  <c r="I225" i="51"/>
  <c r="D224" i="51"/>
  <c r="G226" i="51"/>
  <c r="C222" i="51"/>
  <c r="C224" i="51"/>
  <c r="I226" i="51"/>
  <c r="E223" i="51"/>
  <c r="D228" i="51"/>
  <c r="D183" i="85"/>
  <c r="C183" i="85"/>
  <c r="F183" i="85"/>
  <c r="G181" i="85"/>
  <c r="G180" i="85"/>
  <c r="E183" i="85"/>
  <c r="E377" i="75"/>
  <c r="I375" i="75"/>
  <c r="H372" i="75"/>
  <c r="C384" i="75" s="1" a="1"/>
  <c r="K370" i="75"/>
  <c r="G380" i="75"/>
  <c r="H377" i="75"/>
  <c r="M370" i="75"/>
  <c r="F377" i="75"/>
  <c r="J375" i="75"/>
  <c r="I372" i="75"/>
  <c r="D376" i="75"/>
  <c r="E373" i="75"/>
  <c r="I374" i="75"/>
  <c r="F379" i="75"/>
  <c r="I373" i="75"/>
  <c r="L375" i="75"/>
  <c r="E374" i="75"/>
  <c r="D371" i="75"/>
  <c r="H373" i="75"/>
  <c r="I370" i="75"/>
  <c r="E370" i="75"/>
  <c r="D372" i="75"/>
  <c r="L371" i="75"/>
  <c r="J378" i="75"/>
  <c r="C377" i="75"/>
  <c r="M373" i="75"/>
  <c r="G373" i="75"/>
  <c r="H370" i="75"/>
  <c r="L373" i="75"/>
  <c r="H376" i="75"/>
  <c r="E376" i="75"/>
  <c r="G298" i="55"/>
  <c r="F296" i="55"/>
  <c r="F293" i="55"/>
  <c r="J293" i="55"/>
  <c r="E297" i="55"/>
  <c r="C300" i="55"/>
  <c r="D296" i="55"/>
  <c r="K297" i="55"/>
  <c r="H299" i="55"/>
  <c r="F295" i="55"/>
  <c r="F300" i="55"/>
  <c r="E298" i="55"/>
  <c r="H293" i="55"/>
  <c r="E294" i="55"/>
  <c r="C304" i="55" s="1" a="1"/>
  <c r="F299" i="55"/>
  <c r="E295" i="55"/>
  <c r="E300" i="55"/>
  <c r="D298" i="55"/>
  <c r="J295" i="55"/>
  <c r="G297" i="55"/>
  <c r="G300" i="55"/>
  <c r="E164" i="15"/>
  <c r="D161" i="15"/>
  <c r="D164" i="15"/>
  <c r="C161" i="15"/>
  <c r="D160" i="15"/>
  <c r="C164" i="15"/>
  <c r="G160" i="15"/>
  <c r="G163" i="15"/>
  <c r="F160" i="15"/>
  <c r="F163" i="15"/>
  <c r="E160" i="15"/>
  <c r="E163" i="15"/>
  <c r="F162" i="15"/>
  <c r="E162" i="15"/>
  <c r="C160" i="15"/>
  <c r="G164" i="15"/>
  <c r="C163" i="15"/>
  <c r="G162" i="15"/>
  <c r="D162" i="15"/>
  <c r="F164" i="15"/>
  <c r="D163" i="15"/>
  <c r="C162" i="15"/>
  <c r="G161" i="15"/>
  <c r="F161" i="15"/>
  <c r="E161" i="15"/>
  <c r="D228" i="41"/>
  <c r="I225" i="41"/>
  <c r="G223" i="41"/>
  <c r="I227" i="41"/>
  <c r="G225" i="41"/>
  <c r="E223" i="41"/>
  <c r="H227" i="41"/>
  <c r="F225" i="41"/>
  <c r="D223" i="41"/>
  <c r="G227" i="41"/>
  <c r="E225" i="41"/>
  <c r="C223" i="41"/>
  <c r="D226" i="41"/>
  <c r="H222" i="41"/>
  <c r="I228" i="41"/>
  <c r="C226" i="41"/>
  <c r="G222" i="41"/>
  <c r="H228" i="41"/>
  <c r="H225" i="41"/>
  <c r="F222" i="41"/>
  <c r="G228" i="41"/>
  <c r="D225" i="41"/>
  <c r="E222" i="41"/>
  <c r="F228" i="41"/>
  <c r="C225" i="41"/>
  <c r="D222" i="41"/>
  <c r="D227" i="41"/>
  <c r="E224" i="41"/>
  <c r="I224" i="41"/>
  <c r="F224" i="41"/>
  <c r="E228" i="41"/>
  <c r="I223" i="41"/>
  <c r="I226" i="41"/>
  <c r="H226" i="41"/>
  <c r="G226" i="41"/>
  <c r="F226" i="41"/>
  <c r="E226" i="41"/>
  <c r="H224" i="41"/>
  <c r="H223" i="41"/>
  <c r="F223" i="41"/>
  <c r="E227" i="41"/>
  <c r="G224" i="41"/>
  <c r="C227" i="41"/>
  <c r="D224" i="41"/>
  <c r="C224" i="41"/>
  <c r="I222" i="41"/>
  <c r="F227" i="41"/>
  <c r="C228" i="41"/>
  <c r="C222" i="41"/>
  <c r="C182" i="87"/>
  <c r="F181" i="87"/>
  <c r="E181" i="87"/>
  <c r="D181" i="87"/>
  <c r="F183" i="87"/>
  <c r="F180" i="87"/>
  <c r="D180" i="87"/>
  <c r="C180" i="87"/>
  <c r="G179" i="87"/>
  <c r="E183" i="87"/>
  <c r="D183" i="87"/>
  <c r="C183" i="87"/>
  <c r="G182" i="87"/>
  <c r="F182" i="87"/>
  <c r="C181" i="87"/>
  <c r="F179" i="87"/>
  <c r="E179" i="87"/>
  <c r="F342" i="131"/>
  <c r="J338" i="131"/>
  <c r="E345" i="131"/>
  <c r="F343" i="131"/>
  <c r="G341" i="131"/>
  <c r="J341" i="131"/>
  <c r="J339" i="131"/>
  <c r="I345" i="131"/>
  <c r="J340" i="131"/>
  <c r="K344" i="131"/>
  <c r="G342" i="131"/>
  <c r="D340" i="131"/>
  <c r="C338" i="131"/>
  <c r="H344" i="131"/>
  <c r="D342" i="131"/>
  <c r="K339" i="131"/>
  <c r="I346" i="131"/>
  <c r="K341" i="131"/>
  <c r="G339" i="131"/>
  <c r="E346" i="131"/>
  <c r="H343" i="131"/>
  <c r="C341" i="131"/>
  <c r="C345" i="131"/>
  <c r="K340" i="131"/>
  <c r="K343" i="131"/>
  <c r="H346" i="131"/>
  <c r="C343" i="131"/>
  <c r="D339" i="131"/>
  <c r="F345" i="131"/>
  <c r="E343" i="131"/>
  <c r="E338" i="131"/>
  <c r="D343" i="131"/>
  <c r="K338" i="131"/>
  <c r="H338" i="131"/>
  <c r="F346" i="131"/>
  <c r="G345" i="131"/>
  <c r="H345" i="131"/>
  <c r="F341" i="131"/>
  <c r="D341" i="131"/>
  <c r="E340" i="131"/>
  <c r="I368" i="135"/>
  <c r="K366" i="135"/>
  <c r="D365" i="135"/>
  <c r="F363" i="135"/>
  <c r="H361" i="135"/>
  <c r="F368" i="135"/>
  <c r="G366" i="135"/>
  <c r="G368" i="135"/>
  <c r="F366" i="135"/>
  <c r="F364" i="135"/>
  <c r="F362" i="135"/>
  <c r="E368" i="135"/>
  <c r="E364" i="135"/>
  <c r="E362" i="135"/>
  <c r="D368" i="135"/>
  <c r="D366" i="135"/>
  <c r="D364" i="135"/>
  <c r="D362" i="135"/>
  <c r="C368" i="135"/>
  <c r="C366" i="135"/>
  <c r="H369" i="135"/>
  <c r="H367" i="135"/>
  <c r="H365" i="135"/>
  <c r="H363" i="135"/>
  <c r="G361" i="135"/>
  <c r="E367" i="135"/>
  <c r="G364" i="135"/>
  <c r="E361" i="135"/>
  <c r="J369" i="135"/>
  <c r="D367" i="135"/>
  <c r="K363" i="135"/>
  <c r="D361" i="135"/>
  <c r="I369" i="135"/>
  <c r="G369" i="135"/>
  <c r="J366" i="135"/>
  <c r="I363" i="135"/>
  <c r="C361" i="135"/>
  <c r="F369" i="135"/>
  <c r="G363" i="135"/>
  <c r="K368" i="135"/>
  <c r="I365" i="135"/>
  <c r="K362" i="135"/>
  <c r="F367" i="135"/>
  <c r="G362" i="135"/>
  <c r="H366" i="135"/>
  <c r="K361" i="135"/>
  <c r="J365" i="135"/>
  <c r="I361" i="135"/>
  <c r="G365" i="135"/>
  <c r="F361" i="135"/>
  <c r="D369" i="135"/>
  <c r="J368" i="135"/>
  <c r="H368" i="135"/>
  <c r="K367" i="135"/>
  <c r="J367" i="135"/>
  <c r="I367" i="135"/>
  <c r="C365" i="135"/>
  <c r="G367" i="135"/>
  <c r="F365" i="135"/>
  <c r="I364" i="135"/>
  <c r="J362" i="135"/>
  <c r="E369" i="135"/>
  <c r="C369" i="135"/>
  <c r="E363" i="135"/>
  <c r="H362" i="135"/>
  <c r="D363" i="135"/>
  <c r="H226" i="43"/>
  <c r="F224" i="43"/>
  <c r="D222" i="43"/>
  <c r="G228" i="43"/>
  <c r="D226" i="43"/>
  <c r="H223" i="43"/>
  <c r="E228" i="43"/>
  <c r="I225" i="43"/>
  <c r="F223" i="43"/>
  <c r="D228" i="43"/>
  <c r="H225" i="43"/>
  <c r="E223" i="43"/>
  <c r="C228" i="43"/>
  <c r="G225" i="43"/>
  <c r="D223" i="43"/>
  <c r="H228" i="43"/>
  <c r="D225" i="43"/>
  <c r="F228" i="43"/>
  <c r="C225" i="43"/>
  <c r="C222" i="43"/>
  <c r="I227" i="43"/>
  <c r="I224" i="43"/>
  <c r="H227" i="43"/>
  <c r="H224" i="43"/>
  <c r="G227" i="43"/>
  <c r="G224" i="43"/>
  <c r="I226" i="43"/>
  <c r="G223" i="43"/>
  <c r="F225" i="43"/>
  <c r="E225" i="43"/>
  <c r="D224" i="43"/>
  <c r="C224" i="43"/>
  <c r="C223" i="43"/>
  <c r="F222" i="43"/>
  <c r="E222" i="43"/>
  <c r="I228" i="43"/>
  <c r="F227" i="43"/>
  <c r="E227" i="43"/>
  <c r="D227" i="43"/>
  <c r="E226" i="43"/>
  <c r="C226" i="43"/>
  <c r="I223" i="43"/>
  <c r="I222" i="43"/>
  <c r="H222" i="43"/>
  <c r="G222" i="43"/>
  <c r="E224" i="43"/>
  <c r="C227" i="43"/>
  <c r="G226" i="43"/>
  <c r="F226" i="43"/>
  <c r="E369" i="97"/>
  <c r="G367" i="97"/>
  <c r="I365" i="97"/>
  <c r="K363" i="97"/>
  <c r="D362" i="97"/>
  <c r="D369" i="97"/>
  <c r="F367" i="97"/>
  <c r="H365" i="97"/>
  <c r="J363" i="97"/>
  <c r="C362" i="97"/>
  <c r="I368" i="97"/>
  <c r="K366" i="97"/>
  <c r="D365" i="97"/>
  <c r="F363" i="97"/>
  <c r="H361" i="97"/>
  <c r="D368" i="97"/>
  <c r="C366" i="97"/>
  <c r="I363" i="97"/>
  <c r="G361" i="97"/>
  <c r="C368" i="97"/>
  <c r="K365" i="97"/>
  <c r="H363" i="97"/>
  <c r="F361" i="97"/>
  <c r="K367" i="97"/>
  <c r="J365" i="97"/>
  <c r="G363" i="97"/>
  <c r="E361" i="97"/>
  <c r="K369" i="97"/>
  <c r="J367" i="97"/>
  <c r="G365" i="97"/>
  <c r="E363" i="97"/>
  <c r="D361" i="97"/>
  <c r="J369" i="97"/>
  <c r="I367" i="97"/>
  <c r="F365" i="97"/>
  <c r="D363" i="97"/>
  <c r="I369" i="97"/>
  <c r="H367" i="97"/>
  <c r="E365" i="97"/>
  <c r="C363" i="97"/>
  <c r="C361" i="97"/>
  <c r="G369" i="97"/>
  <c r="F366" i="97"/>
  <c r="H362" i="97"/>
  <c r="F369" i="97"/>
  <c r="E366" i="97"/>
  <c r="G362" i="97"/>
  <c r="C369" i="97"/>
  <c r="D366" i="97"/>
  <c r="F362" i="97"/>
  <c r="K368" i="97"/>
  <c r="C365" i="97"/>
  <c r="E362" i="97"/>
  <c r="J368" i="97"/>
  <c r="K364" i="97"/>
  <c r="K361" i="97"/>
  <c r="E368" i="97"/>
  <c r="G364" i="97"/>
  <c r="G368" i="97"/>
  <c r="K362" i="97"/>
  <c r="F368" i="97"/>
  <c r="J362" i="97"/>
  <c r="E367" i="97"/>
  <c r="I362" i="97"/>
  <c r="D367" i="97"/>
  <c r="J361" i="97"/>
  <c r="C367" i="97"/>
  <c r="I361" i="97"/>
  <c r="G366" i="97"/>
  <c r="H369" i="97"/>
  <c r="H368" i="97"/>
  <c r="J366" i="97"/>
  <c r="I366" i="97"/>
  <c r="C364" i="97"/>
  <c r="H366" i="97"/>
  <c r="J364" i="97"/>
  <c r="I364" i="97"/>
  <c r="H364" i="97"/>
  <c r="D364" i="97"/>
  <c r="E364" i="97"/>
  <c r="F364" i="97"/>
  <c r="M468" i="83"/>
  <c r="J467" i="83"/>
  <c r="G466" i="83"/>
  <c r="D465" i="83"/>
  <c r="N463" i="83"/>
  <c r="K462" i="83"/>
  <c r="H461" i="83"/>
  <c r="E460" i="83"/>
  <c r="O458" i="83"/>
  <c r="L457" i="83"/>
  <c r="I456" i="83"/>
  <c r="L468" i="83"/>
  <c r="I467" i="83"/>
  <c r="F466" i="83"/>
  <c r="C465" i="83"/>
  <c r="M463" i="83"/>
  <c r="J462" i="83"/>
  <c r="G461" i="83"/>
  <c r="D460" i="83"/>
  <c r="N458" i="83"/>
  <c r="K457" i="83"/>
  <c r="H456" i="83"/>
  <c r="K468" i="83"/>
  <c r="H467" i="83"/>
  <c r="E466" i="83"/>
  <c r="O464" i="83"/>
  <c r="L463" i="83"/>
  <c r="I462" i="83"/>
  <c r="F461" i="83"/>
  <c r="C460" i="83"/>
  <c r="M458" i="83"/>
  <c r="J457" i="83"/>
  <c r="G456" i="83"/>
  <c r="J468" i="83"/>
  <c r="G467" i="83"/>
  <c r="D466" i="83"/>
  <c r="N464" i="83"/>
  <c r="K463" i="83"/>
  <c r="H462" i="83"/>
  <c r="E461" i="83"/>
  <c r="O459" i="83"/>
  <c r="L458" i="83"/>
  <c r="I457" i="83"/>
  <c r="F456" i="83"/>
  <c r="I468" i="83"/>
  <c r="F467" i="83"/>
  <c r="C466" i="83"/>
  <c r="M464" i="83"/>
  <c r="J463" i="83"/>
  <c r="G462" i="83"/>
  <c r="D461" i="83"/>
  <c r="N459" i="83"/>
  <c r="K458" i="83"/>
  <c r="H457" i="83"/>
  <c r="E456" i="83"/>
  <c r="E468" i="83"/>
  <c r="O466" i="83"/>
  <c r="L465" i="83"/>
  <c r="I464" i="83"/>
  <c r="F463" i="83"/>
  <c r="C462" i="83"/>
  <c r="M460" i="83"/>
  <c r="J459" i="83"/>
  <c r="G458" i="83"/>
  <c r="D457" i="83"/>
  <c r="O468" i="83"/>
  <c r="M466" i="83"/>
  <c r="L464" i="83"/>
  <c r="O462" i="83"/>
  <c r="N460" i="83"/>
  <c r="D459" i="83"/>
  <c r="O456" i="83"/>
  <c r="N468" i="83"/>
  <c r="L466" i="83"/>
  <c r="K464" i="83"/>
  <c r="N462" i="83"/>
  <c r="L460" i="83"/>
  <c r="C459" i="83"/>
  <c r="N456" i="83"/>
  <c r="H468" i="83"/>
  <c r="K466" i="83"/>
  <c r="J464" i="83"/>
  <c r="M462" i="83"/>
  <c r="K460" i="83"/>
  <c r="J458" i="83"/>
  <c r="M456" i="83"/>
  <c r="G468" i="83"/>
  <c r="J466" i="83"/>
  <c r="H464" i="83"/>
  <c r="L462" i="83"/>
  <c r="J460" i="83"/>
  <c r="I458" i="83"/>
  <c r="L456" i="83"/>
  <c r="F468" i="83"/>
  <c r="I466" i="83"/>
  <c r="G464" i="83"/>
  <c r="F462" i="83"/>
  <c r="I460" i="83"/>
  <c r="H458" i="83"/>
  <c r="K456" i="83"/>
  <c r="N467" i="83"/>
  <c r="M465" i="83"/>
  <c r="C464" i="83"/>
  <c r="N461" i="83"/>
  <c r="M459" i="83"/>
  <c r="C458" i="83"/>
  <c r="C456" i="83"/>
  <c r="N466" i="83"/>
  <c r="H463" i="83"/>
  <c r="G460" i="83"/>
  <c r="F457" i="83"/>
  <c r="K465" i="83"/>
  <c r="C463" i="83"/>
  <c r="I459" i="83"/>
  <c r="D456" i="83"/>
  <c r="D468" i="83"/>
  <c r="F465" i="83"/>
  <c r="J461" i="83"/>
  <c r="N457" i="83"/>
  <c r="C468" i="83"/>
  <c r="E465" i="83"/>
  <c r="I461" i="83"/>
  <c r="M457" i="83"/>
  <c r="O467" i="83"/>
  <c r="F464" i="83"/>
  <c r="C461" i="83"/>
  <c r="G457" i="83"/>
  <c r="M467" i="83"/>
  <c r="E464" i="83"/>
  <c r="O460" i="83"/>
  <c r="E457" i="83"/>
  <c r="L467" i="83"/>
  <c r="D464" i="83"/>
  <c r="H460" i="83"/>
  <c r="C457" i="83"/>
  <c r="K467" i="83"/>
  <c r="O463" i="83"/>
  <c r="F460" i="83"/>
  <c r="J456" i="83"/>
  <c r="I463" i="83"/>
  <c r="F458" i="83"/>
  <c r="G463" i="83"/>
  <c r="E458" i="83"/>
  <c r="E463" i="83"/>
  <c r="D458" i="83"/>
  <c r="D463" i="83"/>
  <c r="O457" i="83"/>
  <c r="E462" i="83"/>
  <c r="H466" i="83"/>
  <c r="K461" i="83"/>
  <c r="C467" i="83"/>
  <c r="E459" i="83"/>
  <c r="O465" i="83"/>
  <c r="N465" i="83"/>
  <c r="J465" i="83"/>
  <c r="I465" i="83"/>
  <c r="H465" i="83"/>
  <c r="L461" i="83"/>
  <c r="L459" i="83"/>
  <c r="K459" i="83"/>
  <c r="H459" i="83"/>
  <c r="G459" i="83"/>
  <c r="F459" i="83"/>
  <c r="D462" i="83"/>
  <c r="O461" i="83"/>
  <c r="M461" i="83"/>
  <c r="E467" i="83"/>
  <c r="D467" i="83"/>
  <c r="G465" i="83"/>
  <c r="F365" i="123"/>
  <c r="D363" i="123"/>
  <c r="I360" i="123"/>
  <c r="E365" i="123"/>
  <c r="I362" i="123"/>
  <c r="F360" i="123"/>
  <c r="D365" i="123"/>
  <c r="H362" i="123"/>
  <c r="E360" i="123"/>
  <c r="H364" i="123"/>
  <c r="E362" i="123"/>
  <c r="I359" i="123"/>
  <c r="G364" i="123"/>
  <c r="H361" i="123"/>
  <c r="C359" i="123"/>
  <c r="F364" i="123"/>
  <c r="G361" i="123"/>
  <c r="E364" i="123"/>
  <c r="F361" i="123"/>
  <c r="D364" i="123"/>
  <c r="E361" i="123"/>
  <c r="C364" i="123"/>
  <c r="D361" i="123"/>
  <c r="F363" i="123"/>
  <c r="D360" i="123"/>
  <c r="C361" i="123"/>
  <c r="I365" i="123"/>
  <c r="H360" i="123"/>
  <c r="H365" i="123"/>
  <c r="G360" i="123"/>
  <c r="G365" i="123"/>
  <c r="C360" i="123"/>
  <c r="I364" i="123"/>
  <c r="G359" i="123"/>
  <c r="C362" i="123"/>
  <c r="I361" i="123"/>
  <c r="H359" i="123"/>
  <c r="F359" i="123"/>
  <c r="D359" i="123"/>
  <c r="E363" i="123"/>
  <c r="C363" i="123"/>
  <c r="G362" i="123"/>
  <c r="F362" i="123"/>
  <c r="D362" i="123"/>
  <c r="C365" i="123"/>
  <c r="E359" i="123"/>
  <c r="I363" i="123"/>
  <c r="H363" i="123"/>
  <c r="G363" i="123"/>
  <c r="F318" i="133"/>
  <c r="F319" i="133"/>
  <c r="C317" i="133"/>
  <c r="H314" i="133"/>
  <c r="E318" i="133"/>
  <c r="I315" i="133"/>
  <c r="F313" i="133"/>
  <c r="H317" i="133"/>
  <c r="E315" i="133"/>
  <c r="C313" i="133"/>
  <c r="H319" i="133"/>
  <c r="D317" i="133"/>
  <c r="G314" i="133"/>
  <c r="I317" i="133"/>
  <c r="I314" i="133"/>
  <c r="G317" i="133"/>
  <c r="F314" i="133"/>
  <c r="F317" i="133"/>
  <c r="E314" i="133"/>
  <c r="E317" i="133"/>
  <c r="D314" i="133"/>
  <c r="I316" i="133"/>
  <c r="C314" i="133"/>
  <c r="E319" i="133"/>
  <c r="E316" i="133"/>
  <c r="E313" i="133"/>
  <c r="C318" i="133"/>
  <c r="H316" i="133"/>
  <c r="G316" i="133"/>
  <c r="F316" i="133"/>
  <c r="D316" i="133"/>
  <c r="I319" i="133"/>
  <c r="F315" i="133"/>
  <c r="G315" i="133"/>
  <c r="D315" i="133"/>
  <c r="C315" i="133"/>
  <c r="I313" i="133"/>
  <c r="H313" i="133"/>
  <c r="D319" i="133"/>
  <c r="G319" i="133"/>
  <c r="C319" i="133"/>
  <c r="D318" i="133"/>
  <c r="I318" i="133"/>
  <c r="H318" i="133"/>
  <c r="C316" i="133"/>
  <c r="G318" i="133"/>
  <c r="H315" i="133"/>
  <c r="G313" i="133"/>
  <c r="D313" i="133"/>
  <c r="I298" i="111"/>
  <c r="I296" i="111"/>
  <c r="I294" i="111"/>
  <c r="I292" i="111"/>
  <c r="H298" i="111"/>
  <c r="H296" i="111"/>
  <c r="H294" i="111"/>
  <c r="H292" i="111"/>
  <c r="G298" i="111"/>
  <c r="G296" i="111"/>
  <c r="G294" i="111"/>
  <c r="G292" i="111"/>
  <c r="E298" i="111"/>
  <c r="E296" i="111"/>
  <c r="E294" i="111"/>
  <c r="E292" i="111"/>
  <c r="C298" i="111"/>
  <c r="G295" i="111"/>
  <c r="C293" i="111"/>
  <c r="J295" i="111"/>
  <c r="E293" i="111"/>
  <c r="I297" i="111"/>
  <c r="D295" i="111"/>
  <c r="C292" i="111"/>
  <c r="F296" i="111"/>
  <c r="F293" i="111"/>
  <c r="D296" i="111"/>
  <c r="D293" i="111"/>
  <c r="C296" i="111"/>
  <c r="J292" i="111"/>
  <c r="I295" i="111"/>
  <c r="F292" i="111"/>
  <c r="H295" i="111"/>
  <c r="D292" i="111"/>
  <c r="H297" i="111"/>
  <c r="F294" i="111"/>
  <c r="F291" i="111"/>
  <c r="J298" i="111"/>
  <c r="J293" i="111"/>
  <c r="F298" i="111"/>
  <c r="I293" i="111"/>
  <c r="D298" i="111"/>
  <c r="H293" i="111"/>
  <c r="J297" i="111"/>
  <c r="G293" i="111"/>
  <c r="C297" i="111"/>
  <c r="E291" i="111"/>
  <c r="C294" i="111"/>
  <c r="G291" i="111"/>
  <c r="D291" i="111"/>
  <c r="E297" i="111"/>
  <c r="G297" i="111"/>
  <c r="F297" i="111"/>
  <c r="D297" i="111"/>
  <c r="F295" i="111"/>
  <c r="E295" i="111"/>
  <c r="C295" i="111"/>
  <c r="J294" i="111"/>
  <c r="D294" i="111"/>
  <c r="C291" i="111"/>
  <c r="J296" i="111"/>
  <c r="J291" i="111"/>
  <c r="H291" i="111"/>
  <c r="I291" i="111"/>
  <c r="J344" i="141"/>
  <c r="J342" i="141"/>
  <c r="J340" i="141"/>
  <c r="J338" i="141"/>
  <c r="C337" i="141"/>
  <c r="E344" i="141"/>
  <c r="E342" i="141"/>
  <c r="E340" i="141"/>
  <c r="E338" i="141"/>
  <c r="I343" i="141"/>
  <c r="G341" i="141"/>
  <c r="E339" i="141"/>
  <c r="G343" i="141"/>
  <c r="D341" i="141"/>
  <c r="H338" i="141"/>
  <c r="D343" i="141"/>
  <c r="G340" i="141"/>
  <c r="J337" i="141"/>
  <c r="I342" i="141"/>
  <c r="D340" i="141"/>
  <c r="H337" i="141"/>
  <c r="F342" i="141"/>
  <c r="I339" i="141"/>
  <c r="E337" i="141"/>
  <c r="H344" i="141"/>
  <c r="H341" i="141"/>
  <c r="F338" i="141"/>
  <c r="C343" i="141"/>
  <c r="G339" i="141"/>
  <c r="C344" i="141"/>
  <c r="F340" i="141"/>
  <c r="F343" i="141"/>
  <c r="H339" i="141"/>
  <c r="F341" i="141"/>
  <c r="F337" i="141"/>
  <c r="I344" i="141"/>
  <c r="H340" i="141"/>
  <c r="G344" i="141"/>
  <c r="C340" i="141"/>
  <c r="F344" i="141"/>
  <c r="J339" i="141"/>
  <c r="D344" i="141"/>
  <c r="F339" i="141"/>
  <c r="J343" i="141"/>
  <c r="D339" i="141"/>
  <c r="H343" i="141"/>
  <c r="C339" i="141"/>
  <c r="G338" i="141"/>
  <c r="G337" i="141"/>
  <c r="I341" i="141"/>
  <c r="I340" i="141"/>
  <c r="E343" i="141"/>
  <c r="I337" i="141"/>
  <c r="D337" i="141"/>
  <c r="D342" i="141"/>
  <c r="C342" i="141"/>
  <c r="J341" i="141"/>
  <c r="E341" i="141"/>
  <c r="C341" i="141"/>
  <c r="I338" i="141"/>
  <c r="H342" i="141"/>
  <c r="G342" i="141"/>
  <c r="D338" i="141"/>
  <c r="C338" i="141"/>
  <c r="L291" i="3"/>
  <c r="D312" i="3"/>
  <c r="C112" i="7" a="1"/>
  <c r="C160" i="103"/>
  <c r="H167" i="103" s="1"/>
  <c r="G167" i="103"/>
  <c r="C232" i="53" a="1"/>
  <c r="C187" i="85" a="1"/>
  <c r="C253" i="89" a="1"/>
  <c r="C172" i="27"/>
  <c r="C171" i="27"/>
  <c r="C168" i="27"/>
  <c r="C169" i="27"/>
  <c r="C170" i="27"/>
  <c r="C253" i="127" a="1"/>
  <c r="C191" i="95"/>
  <c r="C190" i="95"/>
  <c r="C187" i="95"/>
  <c r="C189" i="95"/>
  <c r="C188" i="95"/>
  <c r="C168" i="21" a="1"/>
  <c r="C168" i="23" a="1"/>
  <c r="C284" i="2"/>
  <c r="D314" i="2" s="1"/>
  <c r="G364" i="2" s="1"/>
  <c r="C283" i="2"/>
  <c r="C282" i="2"/>
  <c r="D312" i="2" s="1"/>
  <c r="C288" i="2"/>
  <c r="M301" i="2" s="1"/>
  <c r="C287" i="2"/>
  <c r="M300" i="2" s="1"/>
  <c r="C286" i="2"/>
  <c r="M299" i="2" s="1"/>
  <c r="C285" i="2"/>
  <c r="C289" i="2"/>
  <c r="M302" i="2" s="1"/>
  <c r="C232" i="39" a="1"/>
  <c r="C168" i="31" a="1"/>
  <c r="C350" i="93" a="1"/>
  <c r="C163" i="109"/>
  <c r="C162" i="109"/>
  <c r="C364" i="121"/>
  <c r="H361" i="121"/>
  <c r="F359" i="121"/>
  <c r="F365" i="121"/>
  <c r="C363" i="121"/>
  <c r="G360" i="121"/>
  <c r="E365" i="121"/>
  <c r="I362" i="121"/>
  <c r="F360" i="121"/>
  <c r="D365" i="121"/>
  <c r="H362" i="121"/>
  <c r="E360" i="121"/>
  <c r="C365" i="121"/>
  <c r="G362" i="121"/>
  <c r="D360" i="121"/>
  <c r="I364" i="121"/>
  <c r="F362" i="121"/>
  <c r="C360" i="121"/>
  <c r="E364" i="121"/>
  <c r="I361" i="121"/>
  <c r="E359" i="121"/>
  <c r="C362" i="121"/>
  <c r="I365" i="121"/>
  <c r="G361" i="121"/>
  <c r="H365" i="121"/>
  <c r="F361" i="121"/>
  <c r="G365" i="121"/>
  <c r="E361" i="121"/>
  <c r="G364" i="121"/>
  <c r="C361" i="121"/>
  <c r="I363" i="121"/>
  <c r="C359" i="121"/>
  <c r="H363" i="121"/>
  <c r="G363" i="121"/>
  <c r="F363" i="121"/>
  <c r="D363" i="121"/>
  <c r="F364" i="121"/>
  <c r="D364" i="121"/>
  <c r="E363" i="121"/>
  <c r="E362" i="121"/>
  <c r="D362" i="121"/>
  <c r="I359" i="121"/>
  <c r="H360" i="121"/>
  <c r="H359" i="121"/>
  <c r="D359" i="121"/>
  <c r="H364" i="121"/>
  <c r="G359" i="121"/>
  <c r="D361" i="121"/>
  <c r="I360" i="121"/>
  <c r="C348" i="117" a="1"/>
  <c r="C304" i="69" a="1"/>
  <c r="C168" i="19" a="1"/>
  <c r="C185" i="125" a="1"/>
  <c r="C185" i="113" a="1"/>
  <c r="C232" i="47" a="1"/>
  <c r="C168" i="17" a="1"/>
  <c r="C304" i="73" a="1"/>
  <c r="C232" i="51" a="1"/>
  <c r="G120" i="9"/>
  <c r="D131" i="9"/>
  <c r="C168" i="29" a="1"/>
  <c r="C112" i="13" a="1"/>
  <c r="G320" i="139"/>
  <c r="G318" i="139"/>
  <c r="G316" i="139"/>
  <c r="G314" i="139"/>
  <c r="C321" i="139"/>
  <c r="J318" i="139"/>
  <c r="I316" i="139"/>
  <c r="H314" i="139"/>
  <c r="C320" i="139"/>
  <c r="I317" i="139"/>
  <c r="G315" i="139"/>
  <c r="J319" i="139"/>
  <c r="G317" i="139"/>
  <c r="D315" i="139"/>
  <c r="F320" i="139"/>
  <c r="J317" i="139"/>
  <c r="E315" i="139"/>
  <c r="G321" i="139"/>
  <c r="I318" i="139"/>
  <c r="C316" i="139"/>
  <c r="F321" i="139"/>
  <c r="H318" i="139"/>
  <c r="J315" i="139"/>
  <c r="E321" i="139"/>
  <c r="F318" i="139"/>
  <c r="I315" i="139"/>
  <c r="D321" i="139"/>
  <c r="E318" i="139"/>
  <c r="H315" i="139"/>
  <c r="J320" i="139"/>
  <c r="D318" i="139"/>
  <c r="F315" i="139"/>
  <c r="D320" i="139"/>
  <c r="E317" i="139"/>
  <c r="F314" i="139"/>
  <c r="D319" i="139"/>
  <c r="D314" i="139"/>
  <c r="C319" i="139"/>
  <c r="C318" i="139"/>
  <c r="C314" i="139"/>
  <c r="H317" i="139"/>
  <c r="F317" i="139"/>
  <c r="I320" i="139"/>
  <c r="H316" i="139"/>
  <c r="H319" i="139"/>
  <c r="G319" i="139"/>
  <c r="F319" i="139"/>
  <c r="E319" i="139"/>
  <c r="D317" i="139"/>
  <c r="E316" i="139"/>
  <c r="I319" i="139"/>
  <c r="C317" i="139"/>
  <c r="J316" i="139"/>
  <c r="F316" i="139"/>
  <c r="D316" i="139"/>
  <c r="E314" i="139"/>
  <c r="I314" i="139"/>
  <c r="I321" i="139"/>
  <c r="H320" i="139"/>
  <c r="J314" i="139"/>
  <c r="J321" i="139"/>
  <c r="H321" i="139"/>
  <c r="E320" i="139"/>
  <c r="C315" i="139"/>
  <c r="C111" i="101"/>
  <c r="C110" i="101"/>
  <c r="L293" i="3"/>
  <c r="D314" i="3"/>
  <c r="G121" i="9"/>
  <c r="D132" i="9"/>
  <c r="C472" i="81" a="1"/>
  <c r="I300" i="67"/>
  <c r="K298" i="67"/>
  <c r="D297" i="67"/>
  <c r="F295" i="67"/>
  <c r="H293" i="67"/>
  <c r="F300" i="67"/>
  <c r="G298" i="67"/>
  <c r="H296" i="67"/>
  <c r="I294" i="67"/>
  <c r="J292" i="67"/>
  <c r="E300" i="67"/>
  <c r="F298" i="67"/>
  <c r="G296" i="67"/>
  <c r="H294" i="67"/>
  <c r="I292" i="67"/>
  <c r="D300" i="67"/>
  <c r="E298" i="67"/>
  <c r="F296" i="67"/>
  <c r="G294" i="67"/>
  <c r="H292" i="67"/>
  <c r="C300" i="67"/>
  <c r="D298" i="67"/>
  <c r="E296" i="67"/>
  <c r="F294" i="67"/>
  <c r="G292" i="67"/>
  <c r="K299" i="67"/>
  <c r="C298" i="67"/>
  <c r="D296" i="67"/>
  <c r="E294" i="67"/>
  <c r="F292" i="67"/>
  <c r="G299" i="67"/>
  <c r="H297" i="67"/>
  <c r="I295" i="67"/>
  <c r="J293" i="67"/>
  <c r="C292" i="67"/>
  <c r="G300" i="67"/>
  <c r="E297" i="67"/>
  <c r="C294" i="67"/>
  <c r="J299" i="67"/>
  <c r="C297" i="67"/>
  <c r="K293" i="67"/>
  <c r="I299" i="67"/>
  <c r="K296" i="67"/>
  <c r="I293" i="67"/>
  <c r="H299" i="67"/>
  <c r="J296" i="67"/>
  <c r="G293" i="67"/>
  <c r="F299" i="67"/>
  <c r="I296" i="67"/>
  <c r="F293" i="67"/>
  <c r="J298" i="67"/>
  <c r="H295" i="67"/>
  <c r="K292" i="67"/>
  <c r="K295" i="67"/>
  <c r="J295" i="67"/>
  <c r="K300" i="67"/>
  <c r="G295" i="67"/>
  <c r="J300" i="67"/>
  <c r="E295" i="67"/>
  <c r="H300" i="67"/>
  <c r="D295" i="67"/>
  <c r="I298" i="67"/>
  <c r="D294" i="67"/>
  <c r="J297" i="67"/>
  <c r="I297" i="67"/>
  <c r="G297" i="67"/>
  <c r="F297" i="67"/>
  <c r="C296" i="67"/>
  <c r="C295" i="67"/>
  <c r="K294" i="67"/>
  <c r="E293" i="67"/>
  <c r="H298" i="67"/>
  <c r="K297" i="67"/>
  <c r="J294" i="67"/>
  <c r="D293" i="67"/>
  <c r="C293" i="67"/>
  <c r="E292" i="67"/>
  <c r="C299" i="67"/>
  <c r="D292" i="67"/>
  <c r="E299" i="67"/>
  <c r="D299" i="67"/>
  <c r="C112" i="5" a="1"/>
  <c r="C274" i="91" a="1"/>
  <c r="C232" i="37" a="1"/>
  <c r="E225" i="107"/>
  <c r="G222" i="107"/>
  <c r="D224" i="107"/>
  <c r="E221" i="107"/>
  <c r="D226" i="107"/>
  <c r="E223" i="107"/>
  <c r="G225" i="107"/>
  <c r="E222" i="107"/>
  <c r="F225" i="107"/>
  <c r="D222" i="107"/>
  <c r="D225" i="107"/>
  <c r="C222" i="107"/>
  <c r="F226" i="107"/>
  <c r="F222" i="107"/>
  <c r="E226" i="107"/>
  <c r="H221" i="107"/>
  <c r="C226" i="107"/>
  <c r="G221" i="107"/>
  <c r="H224" i="107"/>
  <c r="C225" i="107"/>
  <c r="G224" i="107"/>
  <c r="F224" i="107"/>
  <c r="E224" i="107"/>
  <c r="C224" i="107"/>
  <c r="H223" i="107"/>
  <c r="H226" i="107"/>
  <c r="G226" i="107"/>
  <c r="D223" i="107"/>
  <c r="G223" i="107"/>
  <c r="F223" i="107"/>
  <c r="C223" i="107"/>
  <c r="H222" i="107"/>
  <c r="F221" i="107"/>
  <c r="D221" i="107"/>
  <c r="H225" i="107"/>
  <c r="C221" i="107"/>
  <c r="G300" i="63"/>
  <c r="I298" i="63"/>
  <c r="K296" i="63"/>
  <c r="D295" i="63"/>
  <c r="F293" i="63"/>
  <c r="F300" i="63"/>
  <c r="H298" i="63"/>
  <c r="J296" i="63"/>
  <c r="C295" i="63"/>
  <c r="E293" i="63"/>
  <c r="E300" i="63"/>
  <c r="G298" i="63"/>
  <c r="I296" i="63"/>
  <c r="K294" i="63"/>
  <c r="D293" i="63"/>
  <c r="D300" i="63"/>
  <c r="F298" i="63"/>
  <c r="H296" i="63"/>
  <c r="J294" i="63"/>
  <c r="C293" i="63"/>
  <c r="C300" i="63"/>
  <c r="E298" i="63"/>
  <c r="G296" i="63"/>
  <c r="I294" i="63"/>
  <c r="K292" i="63"/>
  <c r="H299" i="63"/>
  <c r="J297" i="63"/>
  <c r="C296" i="63"/>
  <c r="E294" i="63"/>
  <c r="G292" i="63"/>
  <c r="K298" i="63"/>
  <c r="J295" i="63"/>
  <c r="J292" i="63"/>
  <c r="J298" i="63"/>
  <c r="I295" i="63"/>
  <c r="I292" i="63"/>
  <c r="D298" i="63"/>
  <c r="H295" i="63"/>
  <c r="H292" i="63"/>
  <c r="C298" i="63"/>
  <c r="G295" i="63"/>
  <c r="F292" i="63"/>
  <c r="K300" i="63"/>
  <c r="K297" i="63"/>
  <c r="F295" i="63"/>
  <c r="E292" i="63"/>
  <c r="K299" i="63"/>
  <c r="F297" i="63"/>
  <c r="F294" i="63"/>
  <c r="I300" i="63"/>
  <c r="E296" i="63"/>
  <c r="H300" i="63"/>
  <c r="D296" i="63"/>
  <c r="J299" i="63"/>
  <c r="K295" i="63"/>
  <c r="I299" i="63"/>
  <c r="E295" i="63"/>
  <c r="G299" i="63"/>
  <c r="H294" i="63"/>
  <c r="C299" i="63"/>
  <c r="K293" i="63"/>
  <c r="F299" i="63"/>
  <c r="G293" i="63"/>
  <c r="E299" i="63"/>
  <c r="D292" i="63"/>
  <c r="D299" i="63"/>
  <c r="I297" i="63"/>
  <c r="C292" i="63"/>
  <c r="H297" i="63"/>
  <c r="E297" i="63"/>
  <c r="J300" i="63"/>
  <c r="G297" i="63"/>
  <c r="G294" i="63"/>
  <c r="D297" i="63"/>
  <c r="C297" i="63"/>
  <c r="F296" i="63"/>
  <c r="D294" i="63"/>
  <c r="C294" i="63"/>
  <c r="J293" i="63"/>
  <c r="I293" i="63"/>
  <c r="H293" i="63"/>
  <c r="L292" i="3"/>
  <c r="D313" i="3"/>
  <c r="L294" i="3"/>
  <c r="D315" i="3"/>
  <c r="C251" i="115" a="1"/>
  <c r="E343" i="119"/>
  <c r="E341" i="119"/>
  <c r="E339" i="119"/>
  <c r="E337" i="119"/>
  <c r="J344" i="119"/>
  <c r="J342" i="119"/>
  <c r="J340" i="119"/>
  <c r="J338" i="119"/>
  <c r="C337" i="119"/>
  <c r="I344" i="119"/>
  <c r="I342" i="119"/>
  <c r="I340" i="119"/>
  <c r="I338" i="119"/>
  <c r="E344" i="119"/>
  <c r="E342" i="119"/>
  <c r="E340" i="119"/>
  <c r="E338" i="119"/>
  <c r="D344" i="119"/>
  <c r="H341" i="119"/>
  <c r="C339" i="119"/>
  <c r="C344" i="119"/>
  <c r="G341" i="119"/>
  <c r="H338" i="119"/>
  <c r="J343" i="119"/>
  <c r="F341" i="119"/>
  <c r="G338" i="119"/>
  <c r="I343" i="119"/>
  <c r="D341" i="119"/>
  <c r="F338" i="119"/>
  <c r="G343" i="119"/>
  <c r="H340" i="119"/>
  <c r="C338" i="119"/>
  <c r="I341" i="119"/>
  <c r="G337" i="119"/>
  <c r="C341" i="119"/>
  <c r="F337" i="119"/>
  <c r="G340" i="119"/>
  <c r="D337" i="119"/>
  <c r="H344" i="119"/>
  <c r="F340" i="119"/>
  <c r="F344" i="119"/>
  <c r="C340" i="119"/>
  <c r="J341" i="119"/>
  <c r="D340" i="119"/>
  <c r="J339" i="119"/>
  <c r="I339" i="119"/>
  <c r="H339" i="119"/>
  <c r="F343" i="119"/>
  <c r="D338" i="119"/>
  <c r="D343" i="119"/>
  <c r="C343" i="119"/>
  <c r="F342" i="119"/>
  <c r="J337" i="119"/>
  <c r="H337" i="119"/>
  <c r="F339" i="119"/>
  <c r="D339" i="119"/>
  <c r="I337" i="119"/>
  <c r="H343" i="119"/>
  <c r="H342" i="119"/>
  <c r="G342" i="119"/>
  <c r="G344" i="119"/>
  <c r="D342" i="119"/>
  <c r="C342" i="119"/>
  <c r="G339" i="119"/>
  <c r="F227" i="49"/>
  <c r="D225" i="49"/>
  <c r="I222" i="49"/>
  <c r="I226" i="49"/>
  <c r="G224" i="49"/>
  <c r="E222" i="49"/>
  <c r="C227" i="49"/>
  <c r="E224" i="49"/>
  <c r="H226" i="49"/>
  <c r="D224" i="49"/>
  <c r="G226" i="49"/>
  <c r="C224" i="49"/>
  <c r="F226" i="49"/>
  <c r="I223" i="49"/>
  <c r="I228" i="49"/>
  <c r="E226" i="49"/>
  <c r="H223" i="49"/>
  <c r="H228" i="49"/>
  <c r="F225" i="49"/>
  <c r="C222" i="49"/>
  <c r="G228" i="49"/>
  <c r="E225" i="49"/>
  <c r="F228" i="49"/>
  <c r="C225" i="49"/>
  <c r="E228" i="49"/>
  <c r="I224" i="49"/>
  <c r="D228" i="49"/>
  <c r="H224" i="49"/>
  <c r="E227" i="49"/>
  <c r="D223" i="49"/>
  <c r="G223" i="49"/>
  <c r="F223" i="49"/>
  <c r="C223" i="49"/>
  <c r="H222" i="49"/>
  <c r="I227" i="49"/>
  <c r="F222" i="49"/>
  <c r="H225" i="49"/>
  <c r="G225" i="49"/>
  <c r="F224" i="49"/>
  <c r="E223" i="49"/>
  <c r="G222" i="49"/>
  <c r="D222" i="49"/>
  <c r="C228" i="49"/>
  <c r="H227" i="49"/>
  <c r="C226" i="49"/>
  <c r="G227" i="49"/>
  <c r="D226" i="49"/>
  <c r="D227" i="49"/>
  <c r="I225" i="49"/>
  <c r="G119" i="9"/>
  <c r="C123" i="9" s="1" a="1"/>
  <c r="D130" i="9"/>
  <c r="C232" i="45" a="1"/>
  <c r="E107" i="11"/>
  <c r="D107" i="11"/>
  <c r="C107" i="11"/>
  <c r="E106" i="11"/>
  <c r="D106" i="11"/>
  <c r="D108" i="11"/>
  <c r="C106" i="11"/>
  <c r="C108" i="11"/>
  <c r="E108" i="11"/>
  <c r="C166" i="105" a="1"/>
  <c r="G380" i="77"/>
  <c r="M378" i="77"/>
  <c r="H377" i="77"/>
  <c r="C376" i="77"/>
  <c r="I374" i="77"/>
  <c r="D373" i="77"/>
  <c r="J371" i="77"/>
  <c r="E370" i="77"/>
  <c r="M379" i="77"/>
  <c r="G378" i="77"/>
  <c r="L376" i="77"/>
  <c r="F375" i="77"/>
  <c r="K373" i="77"/>
  <c r="E372" i="77"/>
  <c r="J370" i="77"/>
  <c r="L379" i="77"/>
  <c r="F378" i="77"/>
  <c r="K376" i="77"/>
  <c r="E375" i="77"/>
  <c r="J373" i="77"/>
  <c r="D372" i="77"/>
  <c r="I370" i="77"/>
  <c r="K379" i="77"/>
  <c r="E378" i="77"/>
  <c r="J376" i="77"/>
  <c r="D375" i="77"/>
  <c r="I373" i="77"/>
  <c r="C372" i="77"/>
  <c r="H370" i="77"/>
  <c r="J379" i="77"/>
  <c r="D378" i="77"/>
  <c r="I376" i="77"/>
  <c r="C375" i="77"/>
  <c r="H373" i="77"/>
  <c r="M371" i="77"/>
  <c r="G370" i="77"/>
  <c r="I379" i="77"/>
  <c r="C378" i="77"/>
  <c r="H376" i="77"/>
  <c r="M374" i="77"/>
  <c r="G373" i="77"/>
  <c r="L371" i="77"/>
  <c r="F370" i="77"/>
  <c r="H379" i="77"/>
  <c r="M377" i="77"/>
  <c r="G376" i="77"/>
  <c r="L374" i="77"/>
  <c r="F373" i="77"/>
  <c r="K371" i="77"/>
  <c r="D370" i="77"/>
  <c r="D380" i="77"/>
  <c r="G377" i="77"/>
  <c r="K374" i="77"/>
  <c r="I372" i="77"/>
  <c r="C379" i="77"/>
  <c r="E376" i="77"/>
  <c r="M373" i="77"/>
  <c r="D371" i="77"/>
  <c r="L378" i="77"/>
  <c r="D376" i="77"/>
  <c r="L373" i="77"/>
  <c r="C371" i="77"/>
  <c r="K378" i="77"/>
  <c r="M375" i="77"/>
  <c r="E373" i="77"/>
  <c r="M370" i="77"/>
  <c r="M380" i="77"/>
  <c r="J378" i="77"/>
  <c r="L375" i="77"/>
  <c r="C373" i="77"/>
  <c r="L370" i="77"/>
  <c r="L380" i="77"/>
  <c r="I378" i="77"/>
  <c r="K375" i="77"/>
  <c r="M372" i="77"/>
  <c r="K370" i="77"/>
  <c r="K380" i="77"/>
  <c r="H378" i="77"/>
  <c r="J375" i="77"/>
  <c r="L372" i="77"/>
  <c r="G379" i="77"/>
  <c r="G375" i="77"/>
  <c r="F371" i="77"/>
  <c r="F379" i="77"/>
  <c r="J374" i="77"/>
  <c r="E371" i="77"/>
  <c r="E379" i="77"/>
  <c r="H374" i="77"/>
  <c r="C370" i="77"/>
  <c r="D379" i="77"/>
  <c r="G374" i="77"/>
  <c r="L377" i="77"/>
  <c r="F374" i="77"/>
  <c r="F377" i="77"/>
  <c r="K372" i="77"/>
  <c r="F376" i="77"/>
  <c r="I375" i="77"/>
  <c r="H375" i="77"/>
  <c r="J380" i="77"/>
  <c r="E374" i="77"/>
  <c r="I380" i="77"/>
  <c r="D374" i="77"/>
  <c r="C380" i="77"/>
  <c r="G372" i="77"/>
  <c r="H371" i="77"/>
  <c r="H380" i="77"/>
  <c r="G371" i="77"/>
  <c r="F380" i="77"/>
  <c r="E380" i="77"/>
  <c r="K377" i="77"/>
  <c r="D377" i="77"/>
  <c r="C377" i="77"/>
  <c r="M376" i="77"/>
  <c r="J377" i="77"/>
  <c r="E377" i="77"/>
  <c r="I377" i="77"/>
  <c r="F372" i="77"/>
  <c r="C374" i="77"/>
  <c r="J372" i="77"/>
  <c r="H372" i="77"/>
  <c r="I371" i="77"/>
  <c r="G165" i="103"/>
  <c r="C144" i="103"/>
  <c r="H165" i="103" s="1"/>
  <c r="C168" i="25" a="1"/>
  <c r="C281" i="146" l="1" a="1"/>
  <c r="G332" i="145"/>
  <c r="G362" i="145"/>
  <c r="G361" i="145"/>
  <c r="G331" i="145"/>
  <c r="M297" i="145"/>
  <c r="D317" i="145"/>
  <c r="G337" i="145" s="1"/>
  <c r="M298" i="145"/>
  <c r="D318" i="145"/>
  <c r="G338" i="145" s="1"/>
  <c r="M296" i="145"/>
  <c r="D316" i="145"/>
  <c r="G330" i="145" s="1"/>
  <c r="M295" i="145"/>
  <c r="D315" i="145"/>
  <c r="M294" i="145"/>
  <c r="D311" i="145"/>
  <c r="C283" i="144"/>
  <c r="D313" i="144" s="1"/>
  <c r="C284" i="144"/>
  <c r="M297" i="144" s="1"/>
  <c r="C285" i="144"/>
  <c r="C286" i="144"/>
  <c r="M299" i="144" s="1"/>
  <c r="C287" i="144"/>
  <c r="M300" i="144" s="1"/>
  <c r="C281" i="144"/>
  <c r="D311" i="144" s="1"/>
  <c r="C282" i="144"/>
  <c r="C288" i="144"/>
  <c r="M301" i="144" s="1"/>
  <c r="M294" i="144"/>
  <c r="M298" i="144"/>
  <c r="D318" i="144"/>
  <c r="M295" i="144"/>
  <c r="D313" i="2"/>
  <c r="G363" i="2" s="1"/>
  <c r="G330" i="2"/>
  <c r="G348" i="2"/>
  <c r="G338" i="2"/>
  <c r="M298" i="2"/>
  <c r="D318" i="2"/>
  <c r="M297" i="2"/>
  <c r="D317" i="2"/>
  <c r="C346" i="131"/>
  <c r="F339" i="131"/>
  <c r="C344" i="131"/>
  <c r="C342" i="131"/>
  <c r="J344" i="131"/>
  <c r="C186" i="137"/>
  <c r="D211" i="137" s="1"/>
  <c r="H341" i="131"/>
  <c r="D338" i="131"/>
  <c r="E344" i="131"/>
  <c r="K346" i="131"/>
  <c r="I343" i="131"/>
  <c r="D179" i="87"/>
  <c r="E180" i="87"/>
  <c r="C340" i="131"/>
  <c r="J364" i="135"/>
  <c r="J361" i="135"/>
  <c r="J363" i="135"/>
  <c r="C362" i="135"/>
  <c r="C373" i="135" s="1" a="1"/>
  <c r="I362" i="135"/>
  <c r="H342" i="131"/>
  <c r="G343" i="131"/>
  <c r="C339" i="131"/>
  <c r="E342" i="131"/>
  <c r="J345" i="131"/>
  <c r="G183" i="87"/>
  <c r="G181" i="87"/>
  <c r="I341" i="131"/>
  <c r="F338" i="131"/>
  <c r="C350" i="131" s="1" a="1"/>
  <c r="D345" i="131"/>
  <c r="J343" i="131"/>
  <c r="E365" i="135"/>
  <c r="K365" i="135"/>
  <c r="C367" i="135"/>
  <c r="C364" i="135"/>
  <c r="H364" i="135"/>
  <c r="I342" i="131"/>
  <c r="G338" i="131"/>
  <c r="E341" i="131"/>
  <c r="I344" i="131"/>
  <c r="H339" i="131"/>
  <c r="E182" i="87"/>
  <c r="C179" i="87"/>
  <c r="C187" i="87" s="1" a="1"/>
  <c r="G346" i="131"/>
  <c r="F340" i="131"/>
  <c r="F344" i="131"/>
  <c r="I338" i="131"/>
  <c r="H340" i="131"/>
  <c r="C185" i="137"/>
  <c r="E339" i="131"/>
  <c r="G340" i="131"/>
  <c r="I339" i="131"/>
  <c r="J342" i="131"/>
  <c r="D344" i="131"/>
  <c r="C187" i="137"/>
  <c r="H195" i="137" s="1"/>
  <c r="K345" i="131"/>
  <c r="C363" i="135"/>
  <c r="K364" i="135"/>
  <c r="I366" i="135"/>
  <c r="K369" i="135"/>
  <c r="D346" i="131"/>
  <c r="K342" i="131"/>
  <c r="I340" i="131"/>
  <c r="G344" i="131"/>
  <c r="D182" i="87"/>
  <c r="G344" i="3"/>
  <c r="G368" i="3"/>
  <c r="G350" i="3"/>
  <c r="G361" i="3"/>
  <c r="G337" i="3"/>
  <c r="G343" i="3"/>
  <c r="H196" i="137"/>
  <c r="D213" i="137"/>
  <c r="I196" i="95"/>
  <c r="D211" i="95"/>
  <c r="C307" i="57"/>
  <c r="C312" i="57"/>
  <c r="C308" i="57"/>
  <c r="C311" i="57"/>
  <c r="C310" i="57"/>
  <c r="C306" i="57"/>
  <c r="C305" i="57"/>
  <c r="C309" i="57"/>
  <c r="C304" i="57"/>
  <c r="C312" i="59"/>
  <c r="C311" i="59"/>
  <c r="C310" i="59"/>
  <c r="C306" i="59"/>
  <c r="C309" i="59"/>
  <c r="C308" i="59"/>
  <c r="C307" i="59"/>
  <c r="C305" i="59"/>
  <c r="C304" i="59"/>
  <c r="C389" i="79"/>
  <c r="C388" i="79"/>
  <c r="C387" i="79"/>
  <c r="C386" i="79"/>
  <c r="C385" i="79"/>
  <c r="C394" i="79"/>
  <c r="C393" i="79"/>
  <c r="C390" i="79"/>
  <c r="C384" i="79"/>
  <c r="C392" i="79"/>
  <c r="C391" i="79"/>
  <c r="C186" i="113"/>
  <c r="C185" i="113"/>
  <c r="C187" i="113"/>
  <c r="C188" i="113"/>
  <c r="C256" i="127"/>
  <c r="C253" i="127"/>
  <c r="C259" i="127"/>
  <c r="C258" i="127"/>
  <c r="C257" i="127"/>
  <c r="C255" i="127"/>
  <c r="C254" i="127"/>
  <c r="C348" i="119" a="1"/>
  <c r="C230" i="107" a="1"/>
  <c r="F116" i="101"/>
  <c r="D129" i="101"/>
  <c r="C233" i="129"/>
  <c r="C232" i="129"/>
  <c r="C230" i="129"/>
  <c r="C235" i="129"/>
  <c r="C231" i="129"/>
  <c r="C234" i="129"/>
  <c r="I179" i="27"/>
  <c r="D195" i="27"/>
  <c r="C369" i="123" a="1"/>
  <c r="C373" i="97" a="1"/>
  <c r="C168" i="15" a="1"/>
  <c r="C350" i="117"/>
  <c r="C349" i="117"/>
  <c r="C348" i="117"/>
  <c r="C355" i="117"/>
  <c r="C351" i="117"/>
  <c r="C352" i="117"/>
  <c r="C353" i="117"/>
  <c r="C354" i="117"/>
  <c r="G150" i="9"/>
  <c r="B151" i="9" s="1"/>
  <c r="G144" i="9"/>
  <c r="C114" i="13"/>
  <c r="C113" i="13"/>
  <c r="C112" i="13"/>
  <c r="G142" i="9"/>
  <c r="B143" i="9" s="1"/>
  <c r="G160" i="9"/>
  <c r="B159" i="9" s="1"/>
  <c r="C172" i="29"/>
  <c r="C171" i="29"/>
  <c r="I180" i="29" s="1"/>
  <c r="C168" i="29"/>
  <c r="C170" i="29"/>
  <c r="C169" i="29"/>
  <c r="I180" i="27"/>
  <c r="D196" i="27"/>
  <c r="M296" i="2"/>
  <c r="D316" i="2"/>
  <c r="C312" i="71"/>
  <c r="C311" i="71"/>
  <c r="C307" i="71"/>
  <c r="C308" i="71"/>
  <c r="C306" i="71"/>
  <c r="C305" i="71"/>
  <c r="C304" i="71"/>
  <c r="C310" i="71"/>
  <c r="C309" i="71"/>
  <c r="F117" i="101"/>
  <c r="D130" i="101"/>
  <c r="C188" i="125"/>
  <c r="C187" i="125"/>
  <c r="C186" i="125"/>
  <c r="C185" i="125"/>
  <c r="I178" i="27"/>
  <c r="D194" i="27"/>
  <c r="C302" i="111" a="1"/>
  <c r="C172" i="33"/>
  <c r="C170" i="33"/>
  <c r="C171" i="33"/>
  <c r="C169" i="33"/>
  <c r="C168" i="33"/>
  <c r="I177" i="27"/>
  <c r="D192" i="27"/>
  <c r="C168" i="19"/>
  <c r="C172" i="19"/>
  <c r="C170" i="19"/>
  <c r="C171" i="19"/>
  <c r="C169" i="19"/>
  <c r="C235" i="37"/>
  <c r="C234" i="37"/>
  <c r="C236" i="37"/>
  <c r="C233" i="37"/>
  <c r="C237" i="37"/>
  <c r="C232" i="37"/>
  <c r="C238" i="37"/>
  <c r="G143" i="9"/>
  <c r="G161" i="9"/>
  <c r="C312" i="69"/>
  <c r="C304" i="69"/>
  <c r="C311" i="69"/>
  <c r="C308" i="69"/>
  <c r="C306" i="69"/>
  <c r="C305" i="69"/>
  <c r="C310" i="69"/>
  <c r="C309" i="69"/>
  <c r="C307" i="69"/>
  <c r="M294" i="2"/>
  <c r="D311" i="2"/>
  <c r="I181" i="27"/>
  <c r="D197" i="27"/>
  <c r="C323" i="133" a="1"/>
  <c r="C384" i="77" a="1"/>
  <c r="C233" i="45"/>
  <c r="C232" i="45"/>
  <c r="C238" i="45"/>
  <c r="C237" i="45"/>
  <c r="C236" i="45"/>
  <c r="C234" i="45"/>
  <c r="C235" i="45"/>
  <c r="C232" i="49" a="1"/>
  <c r="C277" i="91"/>
  <c r="C274" i="91"/>
  <c r="C279" i="91"/>
  <c r="C280" i="91"/>
  <c r="C275" i="91"/>
  <c r="C278" i="91"/>
  <c r="C276" i="91"/>
  <c r="C304" i="67" a="1"/>
  <c r="C312" i="61"/>
  <c r="C311" i="61"/>
  <c r="C310" i="61"/>
  <c r="C309" i="61"/>
  <c r="C305" i="61"/>
  <c r="C308" i="61"/>
  <c r="C307" i="61"/>
  <c r="C306" i="61"/>
  <c r="C304" i="61"/>
  <c r="M295" i="2"/>
  <c r="D315" i="2"/>
  <c r="G353" i="2" s="1"/>
  <c r="C258" i="89"/>
  <c r="C253" i="89"/>
  <c r="C256" i="89"/>
  <c r="C255" i="89"/>
  <c r="C254" i="89"/>
  <c r="C257" i="89"/>
  <c r="C259" i="89"/>
  <c r="C232" i="41" a="1"/>
  <c r="C232" i="43" a="1"/>
  <c r="C310" i="73"/>
  <c r="C309" i="73"/>
  <c r="C308" i="73"/>
  <c r="C307" i="73"/>
  <c r="C306" i="73"/>
  <c r="C305" i="73"/>
  <c r="C312" i="73"/>
  <c r="C311" i="73"/>
  <c r="C304" i="73"/>
  <c r="C311" i="55"/>
  <c r="C310" i="55"/>
  <c r="C309" i="55"/>
  <c r="C308" i="55"/>
  <c r="C307" i="55"/>
  <c r="C304" i="55"/>
  <c r="C312" i="55"/>
  <c r="C305" i="55"/>
  <c r="C306" i="55"/>
  <c r="C232" i="53"/>
  <c r="C235" i="53"/>
  <c r="C234" i="53"/>
  <c r="C233" i="53"/>
  <c r="C238" i="53"/>
  <c r="C237" i="53"/>
  <c r="C236" i="53"/>
  <c r="C124" i="9"/>
  <c r="C125" i="9"/>
  <c r="C123" i="9"/>
  <c r="C483" i="81"/>
  <c r="C481" i="81"/>
  <c r="C480" i="81"/>
  <c r="C479" i="81"/>
  <c r="C478" i="81"/>
  <c r="C477" i="81"/>
  <c r="C473" i="81"/>
  <c r="C475" i="81"/>
  <c r="C474" i="81"/>
  <c r="C472" i="81"/>
  <c r="C476" i="81"/>
  <c r="C484" i="81"/>
  <c r="C482" i="81"/>
  <c r="C344" i="143"/>
  <c r="C348" i="143"/>
  <c r="C347" i="143"/>
  <c r="C345" i="143"/>
  <c r="C346" i="143"/>
  <c r="C349" i="143"/>
  <c r="C170" i="23"/>
  <c r="C169" i="23"/>
  <c r="C168" i="23"/>
  <c r="C172" i="23"/>
  <c r="C171" i="23"/>
  <c r="C348" i="141" a="1"/>
  <c r="C169" i="17"/>
  <c r="C168" i="17"/>
  <c r="C171" i="17"/>
  <c r="C170" i="17"/>
  <c r="C172" i="17"/>
  <c r="F168" i="109"/>
  <c r="D191" i="109"/>
  <c r="C114" i="5"/>
  <c r="C113" i="5"/>
  <c r="C112" i="5"/>
  <c r="H193" i="137"/>
  <c r="D210" i="137"/>
  <c r="F169" i="109"/>
  <c r="D192" i="109"/>
  <c r="C168" i="21"/>
  <c r="C171" i="21"/>
  <c r="C170" i="21"/>
  <c r="C169" i="21"/>
  <c r="C172" i="21"/>
  <c r="G351" i="3"/>
  <c r="G369" i="3"/>
  <c r="G345" i="3"/>
  <c r="C358" i="93"/>
  <c r="C354" i="93"/>
  <c r="C357" i="93"/>
  <c r="C356" i="93"/>
  <c r="C351" i="93"/>
  <c r="C353" i="93"/>
  <c r="C352" i="93"/>
  <c r="C350" i="93"/>
  <c r="C355" i="93"/>
  <c r="I198" i="95"/>
  <c r="D214" i="95"/>
  <c r="G360" i="3"/>
  <c r="G336" i="3"/>
  <c r="B335" i="3" s="1"/>
  <c r="G342" i="3"/>
  <c r="C235" i="51"/>
  <c r="C234" i="51"/>
  <c r="C233" i="51"/>
  <c r="C237" i="51"/>
  <c r="C236" i="51"/>
  <c r="C232" i="51"/>
  <c r="C238" i="51"/>
  <c r="C188" i="85"/>
  <c r="C189" i="85"/>
  <c r="C191" i="85"/>
  <c r="C190" i="85"/>
  <c r="C187" i="85"/>
  <c r="C256" i="115"/>
  <c r="C255" i="115"/>
  <c r="C254" i="115"/>
  <c r="C253" i="115"/>
  <c r="C252" i="115"/>
  <c r="C251" i="115"/>
  <c r="I197" i="95"/>
  <c r="D213" i="95"/>
  <c r="C169" i="105"/>
  <c r="C168" i="105"/>
  <c r="C167" i="105"/>
  <c r="C166" i="105"/>
  <c r="C304" i="63" a="1"/>
  <c r="C312" i="65"/>
  <c r="C311" i="65"/>
  <c r="C310" i="65"/>
  <c r="C309" i="65"/>
  <c r="C305" i="65"/>
  <c r="C308" i="65"/>
  <c r="C307" i="65"/>
  <c r="C304" i="65"/>
  <c r="C306" i="65"/>
  <c r="C300" i="3" a="1"/>
  <c r="C369" i="121" a="1"/>
  <c r="C325" i="139" a="1"/>
  <c r="C112" i="7"/>
  <c r="C114" i="7"/>
  <c r="C113" i="7"/>
  <c r="C170" i="31"/>
  <c r="C172" i="31"/>
  <c r="C169" i="31"/>
  <c r="C168" i="31"/>
  <c r="C171" i="31"/>
  <c r="C357" i="99"/>
  <c r="C353" i="99"/>
  <c r="C352" i="99"/>
  <c r="C358" i="99"/>
  <c r="C356" i="99"/>
  <c r="C355" i="99"/>
  <c r="C354" i="99"/>
  <c r="C350" i="99"/>
  <c r="C351" i="99"/>
  <c r="H194" i="137"/>
  <c r="C232" i="35"/>
  <c r="C238" i="35"/>
  <c r="C237" i="35"/>
  <c r="C236" i="35"/>
  <c r="C235" i="35"/>
  <c r="C234" i="35"/>
  <c r="C233" i="35"/>
  <c r="I199" i="95"/>
  <c r="D215" i="95"/>
  <c r="C472" i="83" a="1"/>
  <c r="C169" i="25"/>
  <c r="C168" i="25"/>
  <c r="C172" i="25"/>
  <c r="C170" i="25"/>
  <c r="C171" i="25"/>
  <c r="C112" i="11" a="1"/>
  <c r="C384" i="75"/>
  <c r="C387" i="75"/>
  <c r="C389" i="75"/>
  <c r="C388" i="75"/>
  <c r="C386" i="75"/>
  <c r="C385" i="75"/>
  <c r="C394" i="75"/>
  <c r="C390" i="75"/>
  <c r="C393" i="75"/>
  <c r="C392" i="75"/>
  <c r="C391" i="75"/>
  <c r="C238" i="47"/>
  <c r="C236" i="47"/>
  <c r="C235" i="47"/>
  <c r="C234" i="47"/>
  <c r="C232" i="47"/>
  <c r="C237" i="47"/>
  <c r="C233" i="47"/>
  <c r="C235" i="39"/>
  <c r="C234" i="39"/>
  <c r="C233" i="39"/>
  <c r="C232" i="39"/>
  <c r="C238" i="39"/>
  <c r="C237" i="39"/>
  <c r="C236" i="39"/>
  <c r="I200" i="95"/>
  <c r="D216" i="95"/>
  <c r="C286" i="146" l="1"/>
  <c r="M299" i="146" s="1"/>
  <c r="C289" i="146"/>
  <c r="M302" i="146" s="1"/>
  <c r="C285" i="146"/>
  <c r="C284" i="146"/>
  <c r="D314" i="146" s="1"/>
  <c r="C283" i="146"/>
  <c r="C282" i="146"/>
  <c r="D312" i="146" s="1"/>
  <c r="C281" i="146"/>
  <c r="D311" i="146" s="1"/>
  <c r="C287" i="146"/>
  <c r="M300" i="146" s="1"/>
  <c r="C288" i="146"/>
  <c r="M301" i="146" s="1"/>
  <c r="G356" i="145"/>
  <c r="C304" i="145" a="1"/>
  <c r="C304" i="145" s="1"/>
  <c r="G329" i="145"/>
  <c r="B330" i="145" s="1"/>
  <c r="G355" i="145"/>
  <c r="G339" i="145"/>
  <c r="G345" i="145"/>
  <c r="G354" i="145"/>
  <c r="G364" i="145"/>
  <c r="G348" i="145"/>
  <c r="G340" i="145"/>
  <c r="G346" i="145"/>
  <c r="G363" i="145"/>
  <c r="G353" i="145"/>
  <c r="G347" i="145"/>
  <c r="D317" i="144"/>
  <c r="G347" i="144" s="1"/>
  <c r="D316" i="144"/>
  <c r="G354" i="144" s="1"/>
  <c r="D314" i="144"/>
  <c r="G364" i="144" s="1"/>
  <c r="M296" i="144"/>
  <c r="C304" i="144" s="1" a="1"/>
  <c r="G329" i="144"/>
  <c r="G337" i="144"/>
  <c r="D315" i="144"/>
  <c r="G339" i="144" s="1"/>
  <c r="D312" i="144"/>
  <c r="G356" i="144" s="1"/>
  <c r="G362" i="144"/>
  <c r="G355" i="144"/>
  <c r="G331" i="144"/>
  <c r="G355" i="2"/>
  <c r="G361" i="2"/>
  <c r="G356" i="2"/>
  <c r="G362" i="2"/>
  <c r="G346" i="2"/>
  <c r="G354" i="2"/>
  <c r="G345" i="2"/>
  <c r="G337" i="2"/>
  <c r="D212" i="137"/>
  <c r="C202" i="95" a="1"/>
  <c r="C121" i="101" a="1"/>
  <c r="M364" i="93"/>
  <c r="D383" i="93"/>
  <c r="M319" i="55"/>
  <c r="D338" i="55"/>
  <c r="I178" i="19"/>
  <c r="D193" i="19"/>
  <c r="K243" i="51"/>
  <c r="D261" i="51"/>
  <c r="M319" i="69"/>
  <c r="D339" i="69"/>
  <c r="H195" i="125"/>
  <c r="D212" i="125"/>
  <c r="L363" i="117"/>
  <c r="D384" i="117"/>
  <c r="K247" i="47"/>
  <c r="D265" i="47"/>
  <c r="M325" i="55"/>
  <c r="D345" i="55"/>
  <c r="C374" i="135"/>
  <c r="C377" i="135"/>
  <c r="C376" i="135"/>
  <c r="C375" i="135"/>
  <c r="C373" i="135"/>
  <c r="C381" i="135"/>
  <c r="C380" i="135"/>
  <c r="C379" i="135"/>
  <c r="C378" i="135"/>
  <c r="M367" i="99"/>
  <c r="D387" i="99"/>
  <c r="K248" i="51"/>
  <c r="D266" i="51"/>
  <c r="M367" i="93"/>
  <c r="D387" i="93"/>
  <c r="J359" i="143"/>
  <c r="D382" i="143"/>
  <c r="M317" i="55"/>
  <c r="D336" i="55"/>
  <c r="C237" i="41"/>
  <c r="C236" i="41"/>
  <c r="C235" i="41"/>
  <c r="C234" i="41"/>
  <c r="C233" i="41"/>
  <c r="C238" i="41"/>
  <c r="C232" i="41"/>
  <c r="C234" i="107"/>
  <c r="C230" i="107"/>
  <c r="C235" i="107"/>
  <c r="C231" i="107"/>
  <c r="C233" i="107"/>
  <c r="C232" i="107"/>
  <c r="M325" i="59"/>
  <c r="D345" i="59"/>
  <c r="C303" i="3"/>
  <c r="C302" i="3"/>
  <c r="C301" i="3"/>
  <c r="C300" i="3"/>
  <c r="M371" i="93"/>
  <c r="D391" i="93"/>
  <c r="M320" i="55"/>
  <c r="D339" i="55"/>
  <c r="K243" i="45"/>
  <c r="D260" i="45"/>
  <c r="M317" i="69"/>
  <c r="D336" i="69"/>
  <c r="I177" i="29"/>
  <c r="D192" i="29"/>
  <c r="C349" i="119"/>
  <c r="C348" i="119"/>
  <c r="C354" i="119"/>
  <c r="C353" i="119"/>
  <c r="C352" i="119"/>
  <c r="C351" i="119"/>
  <c r="C350" i="119"/>
  <c r="C355" i="119"/>
  <c r="O408" i="79"/>
  <c r="D430" i="79"/>
  <c r="M317" i="57"/>
  <c r="D336" i="57"/>
  <c r="K248" i="39"/>
  <c r="D266" i="39"/>
  <c r="O405" i="75"/>
  <c r="D427" i="75"/>
  <c r="M365" i="99"/>
  <c r="D384" i="99"/>
  <c r="M320" i="65"/>
  <c r="D340" i="65"/>
  <c r="J263" i="115"/>
  <c r="D282" i="115"/>
  <c r="B343" i="3"/>
  <c r="C175" i="109" a="1"/>
  <c r="J358" i="143"/>
  <c r="D381" i="143"/>
  <c r="M323" i="55"/>
  <c r="D343" i="55"/>
  <c r="K266" i="89"/>
  <c r="D283" i="89"/>
  <c r="K287" i="91"/>
  <c r="D304" i="91"/>
  <c r="C353" i="131"/>
  <c r="C350" i="131"/>
  <c r="C357" i="131"/>
  <c r="C356" i="131"/>
  <c r="C358" i="131"/>
  <c r="C355" i="131"/>
  <c r="C354" i="131"/>
  <c r="C352" i="131"/>
  <c r="C351" i="131"/>
  <c r="I177" i="33"/>
  <c r="D192" i="33"/>
  <c r="M317" i="71"/>
  <c r="D336" i="71"/>
  <c r="C162" i="9"/>
  <c r="H169" i="9" s="1"/>
  <c r="G169" i="9"/>
  <c r="C379" i="97"/>
  <c r="C378" i="97"/>
  <c r="C374" i="97"/>
  <c r="C376" i="97"/>
  <c r="C375" i="97"/>
  <c r="C373" i="97"/>
  <c r="C381" i="97"/>
  <c r="C380" i="97"/>
  <c r="C377" i="97"/>
  <c r="K268" i="127"/>
  <c r="D286" i="127"/>
  <c r="O401" i="79"/>
  <c r="D422" i="79"/>
  <c r="M319" i="57"/>
  <c r="D338" i="57"/>
  <c r="K248" i="47"/>
  <c r="D266" i="47"/>
  <c r="I177" i="21"/>
  <c r="D192" i="21"/>
  <c r="G340" i="2"/>
  <c r="G332" i="2"/>
  <c r="K243" i="53"/>
  <c r="D260" i="53"/>
  <c r="I177" i="23"/>
  <c r="D193" i="23"/>
  <c r="M321" i="61"/>
  <c r="D341" i="61"/>
  <c r="G236" i="137"/>
  <c r="G230" i="137"/>
  <c r="B229" i="137" s="1"/>
  <c r="G254" i="137"/>
  <c r="M318" i="55"/>
  <c r="D337" i="55"/>
  <c r="I180" i="19"/>
  <c r="D196" i="19"/>
  <c r="C198" i="137" a="1"/>
  <c r="C233" i="43"/>
  <c r="C232" i="43"/>
  <c r="C237" i="43"/>
  <c r="C236" i="43"/>
  <c r="C235" i="43"/>
  <c r="C234" i="43"/>
  <c r="C238" i="43"/>
  <c r="K244" i="35"/>
  <c r="D261" i="35"/>
  <c r="I181" i="17"/>
  <c r="D197" i="17"/>
  <c r="G167" i="9"/>
  <c r="C146" i="9"/>
  <c r="H167" i="9" s="1"/>
  <c r="M323" i="57"/>
  <c r="D343" i="57"/>
  <c r="H176" i="105"/>
  <c r="D193" i="105"/>
  <c r="M369" i="93"/>
  <c r="D389" i="93"/>
  <c r="Q496" i="81"/>
  <c r="D520" i="81"/>
  <c r="K249" i="39"/>
  <c r="D267" i="39"/>
  <c r="O409" i="75"/>
  <c r="D431" i="75"/>
  <c r="M366" i="99"/>
  <c r="D386" i="99"/>
  <c r="J354" i="143"/>
  <c r="D377" i="143"/>
  <c r="K289" i="91"/>
  <c r="D307" i="91"/>
  <c r="K245" i="35"/>
  <c r="D262" i="35"/>
  <c r="C312" i="63"/>
  <c r="C311" i="63"/>
  <c r="C310" i="63"/>
  <c r="C309" i="63"/>
  <c r="C308" i="63"/>
  <c r="C307" i="63"/>
  <c r="C306" i="63"/>
  <c r="C305" i="63"/>
  <c r="C304" i="63"/>
  <c r="L366" i="117"/>
  <c r="D387" i="117"/>
  <c r="K246" i="45"/>
  <c r="D264" i="45"/>
  <c r="K246" i="47"/>
  <c r="D264" i="47"/>
  <c r="G119" i="7"/>
  <c r="D132" i="7"/>
  <c r="C328" i="139"/>
  <c r="C329" i="139"/>
  <c r="C331" i="139"/>
  <c r="C326" i="139"/>
  <c r="C325" i="139"/>
  <c r="C330" i="139"/>
  <c r="C332" i="139"/>
  <c r="C327" i="139"/>
  <c r="K247" i="51"/>
  <c r="D265" i="51"/>
  <c r="J264" i="115"/>
  <c r="D283" i="115"/>
  <c r="C369" i="123"/>
  <c r="C375" i="123"/>
  <c r="C371" i="123"/>
  <c r="C370" i="123"/>
  <c r="C373" i="123"/>
  <c r="C374" i="123"/>
  <c r="C372" i="123"/>
  <c r="M322" i="69"/>
  <c r="D342" i="69"/>
  <c r="G237" i="137"/>
  <c r="G231" i="137"/>
  <c r="G255" i="137"/>
  <c r="H174" i="105"/>
  <c r="D191" i="105"/>
  <c r="M366" i="93"/>
  <c r="D386" i="93"/>
  <c r="I181" i="23"/>
  <c r="D197" i="23"/>
  <c r="K245" i="47"/>
  <c r="D262" i="47"/>
  <c r="M318" i="69"/>
  <c r="D338" i="69"/>
  <c r="M318" i="61"/>
  <c r="D337" i="61"/>
  <c r="I181" i="25"/>
  <c r="D197" i="25"/>
  <c r="H177" i="105"/>
  <c r="D194" i="105"/>
  <c r="C329" i="133"/>
  <c r="C328" i="133"/>
  <c r="C324" i="133"/>
  <c r="C326" i="133"/>
  <c r="C325" i="133"/>
  <c r="C323" i="133"/>
  <c r="C327" i="133"/>
  <c r="M318" i="71"/>
  <c r="D337" i="71"/>
  <c r="M365" i="93"/>
  <c r="D384" i="93"/>
  <c r="Q492" i="81"/>
  <c r="D515" i="81"/>
  <c r="M319" i="61"/>
  <c r="D338" i="61"/>
  <c r="M321" i="59"/>
  <c r="D340" i="59"/>
  <c r="I179" i="25"/>
  <c r="D195" i="25"/>
  <c r="Q495" i="81"/>
  <c r="D518" i="81"/>
  <c r="K247" i="45"/>
  <c r="D265" i="45"/>
  <c r="M321" i="65"/>
  <c r="D341" i="65"/>
  <c r="M324" i="55"/>
  <c r="D344" i="55"/>
  <c r="K249" i="37"/>
  <c r="D267" i="37"/>
  <c r="O402" i="79"/>
  <c r="D423" i="79"/>
  <c r="K243" i="39"/>
  <c r="D260" i="39"/>
  <c r="M370" i="99"/>
  <c r="D390" i="99"/>
  <c r="M318" i="65"/>
  <c r="D337" i="65"/>
  <c r="J265" i="115"/>
  <c r="D284" i="115"/>
  <c r="I179" i="17"/>
  <c r="D194" i="17"/>
  <c r="K247" i="53"/>
  <c r="D265" i="53"/>
  <c r="M317" i="73"/>
  <c r="D336" i="73"/>
  <c r="K264" i="89"/>
  <c r="D281" i="89"/>
  <c r="K286" i="91"/>
  <c r="D303" i="91"/>
  <c r="I180" i="33"/>
  <c r="D196" i="33"/>
  <c r="G239" i="27"/>
  <c r="G215" i="27"/>
  <c r="G221" i="27"/>
  <c r="K270" i="127"/>
  <c r="D288" i="127"/>
  <c r="M324" i="57"/>
  <c r="D344" i="57"/>
  <c r="K244" i="39"/>
  <c r="D261" i="39"/>
  <c r="O401" i="75"/>
  <c r="D422" i="75"/>
  <c r="K246" i="35"/>
  <c r="D264" i="35"/>
  <c r="I180" i="31"/>
  <c r="D196" i="31"/>
  <c r="M322" i="65"/>
  <c r="D342" i="65"/>
  <c r="J266" i="115"/>
  <c r="D285" i="115"/>
  <c r="I181" i="21"/>
  <c r="D197" i="21"/>
  <c r="I180" i="17"/>
  <c r="D196" i="17"/>
  <c r="K269" i="89"/>
  <c r="D287" i="89"/>
  <c r="I179" i="33"/>
  <c r="D194" i="33"/>
  <c r="M321" i="71"/>
  <c r="D340" i="71"/>
  <c r="K264" i="127"/>
  <c r="D281" i="127"/>
  <c r="O404" i="79"/>
  <c r="D426" i="79"/>
  <c r="O403" i="75"/>
  <c r="D424" i="75"/>
  <c r="I196" i="85"/>
  <c r="D211" i="85"/>
  <c r="G331" i="2"/>
  <c r="G339" i="2"/>
  <c r="G347" i="2"/>
  <c r="G329" i="2"/>
  <c r="K244" i="37"/>
  <c r="D261" i="37"/>
  <c r="I181" i="33"/>
  <c r="D197" i="33"/>
  <c r="G121" i="13"/>
  <c r="D132" i="13"/>
  <c r="K267" i="127"/>
  <c r="D285" i="127"/>
  <c r="M325" i="57"/>
  <c r="D345" i="57"/>
  <c r="K246" i="39"/>
  <c r="D264" i="39"/>
  <c r="O404" i="75"/>
  <c r="D426" i="75"/>
  <c r="K248" i="35"/>
  <c r="D266" i="35"/>
  <c r="I178" i="31"/>
  <c r="D194" i="31"/>
  <c r="M324" i="65"/>
  <c r="D344" i="65"/>
  <c r="I199" i="85"/>
  <c r="D215" i="85"/>
  <c r="M368" i="93"/>
  <c r="D388" i="93"/>
  <c r="I179" i="21"/>
  <c r="D195" i="21"/>
  <c r="I178" i="17"/>
  <c r="D193" i="17"/>
  <c r="Q489" i="81"/>
  <c r="D512" i="81"/>
  <c r="K244" i="53"/>
  <c r="D261" i="53"/>
  <c r="M318" i="73"/>
  <c r="D337" i="73"/>
  <c r="K285" i="91"/>
  <c r="D302" i="91"/>
  <c r="C304" i="2" a="1"/>
  <c r="K247" i="37"/>
  <c r="D265" i="37"/>
  <c r="C302" i="111"/>
  <c r="C306" i="111"/>
  <c r="C309" i="111"/>
  <c r="C303" i="111"/>
  <c r="C305" i="111"/>
  <c r="C304" i="111"/>
  <c r="C308" i="111"/>
  <c r="C307" i="111"/>
  <c r="M324" i="71"/>
  <c r="D344" i="71"/>
  <c r="J241" i="129"/>
  <c r="D259" i="129"/>
  <c r="H196" i="113"/>
  <c r="D213" i="113"/>
  <c r="M318" i="59"/>
  <c r="D337" i="59"/>
  <c r="M320" i="57"/>
  <c r="D339" i="57"/>
  <c r="I179" i="31"/>
  <c r="D195" i="31"/>
  <c r="M323" i="69"/>
  <c r="D343" i="69"/>
  <c r="C338" i="3"/>
  <c r="H392" i="3" s="1"/>
  <c r="G392" i="3"/>
  <c r="K267" i="89"/>
  <c r="D285" i="89"/>
  <c r="I178" i="33"/>
  <c r="D193" i="33"/>
  <c r="K269" i="127"/>
  <c r="D287" i="127"/>
  <c r="O400" i="75"/>
  <c r="D421" i="75"/>
  <c r="B359" i="3"/>
  <c r="Q499" i="81"/>
  <c r="D523" i="81"/>
  <c r="G229" i="27"/>
  <c r="G223" i="27"/>
  <c r="K243" i="37"/>
  <c r="D260" i="37"/>
  <c r="M319" i="71"/>
  <c r="D338" i="71"/>
  <c r="G119" i="13"/>
  <c r="D130" i="13"/>
  <c r="O403" i="79"/>
  <c r="D424" i="79"/>
  <c r="G264" i="95"/>
  <c r="G240" i="95"/>
  <c r="G234" i="95"/>
  <c r="Q501" i="81"/>
  <c r="D525" i="81"/>
  <c r="K248" i="53"/>
  <c r="D266" i="53"/>
  <c r="M324" i="73"/>
  <c r="D344" i="73"/>
  <c r="K291" i="91"/>
  <c r="D309" i="91"/>
  <c r="K248" i="37"/>
  <c r="D266" i="37"/>
  <c r="G120" i="13"/>
  <c r="D131" i="13"/>
  <c r="M321" i="57"/>
  <c r="D340" i="57"/>
  <c r="K245" i="39"/>
  <c r="D262" i="39"/>
  <c r="K247" i="35"/>
  <c r="D265" i="35"/>
  <c r="I177" i="31"/>
  <c r="D192" i="31"/>
  <c r="M323" i="65"/>
  <c r="D343" i="65"/>
  <c r="I178" i="21"/>
  <c r="D194" i="21"/>
  <c r="I177" i="17"/>
  <c r="D192" i="17"/>
  <c r="Q493" i="81"/>
  <c r="D516" i="81"/>
  <c r="K249" i="53"/>
  <c r="D267" i="53"/>
  <c r="M325" i="73"/>
  <c r="D345" i="73"/>
  <c r="K290" i="91"/>
  <c r="D308" i="91"/>
  <c r="M320" i="71"/>
  <c r="D339" i="71"/>
  <c r="J244" i="129"/>
  <c r="D263" i="129"/>
  <c r="M317" i="59"/>
  <c r="D336" i="59"/>
  <c r="K244" i="47"/>
  <c r="D261" i="47"/>
  <c r="O402" i="75"/>
  <c r="D423" i="75"/>
  <c r="K249" i="35"/>
  <c r="D267" i="35"/>
  <c r="I181" i="31"/>
  <c r="D197" i="31"/>
  <c r="M325" i="65"/>
  <c r="D345" i="65"/>
  <c r="I200" i="85"/>
  <c r="D216" i="85"/>
  <c r="M363" i="93"/>
  <c r="D382" i="93"/>
  <c r="I180" i="21"/>
  <c r="D196" i="21"/>
  <c r="C348" i="141"/>
  <c r="C355" i="141"/>
  <c r="C352" i="141"/>
  <c r="C354" i="141"/>
  <c r="C351" i="141"/>
  <c r="C353" i="141"/>
  <c r="C349" i="141"/>
  <c r="C350" i="141"/>
  <c r="Q491" i="81"/>
  <c r="D514" i="81"/>
  <c r="K245" i="53"/>
  <c r="D262" i="53"/>
  <c r="M319" i="73"/>
  <c r="D338" i="73"/>
  <c r="M317" i="61"/>
  <c r="D336" i="61"/>
  <c r="K288" i="91"/>
  <c r="D306" i="91"/>
  <c r="M320" i="69"/>
  <c r="D340" i="69"/>
  <c r="K245" i="37"/>
  <c r="D262" i="37"/>
  <c r="G238" i="27"/>
  <c r="G220" i="27"/>
  <c r="G214" i="27"/>
  <c r="M325" i="71"/>
  <c r="D345" i="71"/>
  <c r="G168" i="9"/>
  <c r="C154" i="9"/>
  <c r="H168" i="9" s="1"/>
  <c r="J245" i="129"/>
  <c r="D264" i="129"/>
  <c r="H195" i="113"/>
  <c r="D212" i="113"/>
  <c r="M320" i="59"/>
  <c r="D339" i="59"/>
  <c r="G225" i="95"/>
  <c r="B224" i="95" s="1"/>
  <c r="G231" i="95"/>
  <c r="G255" i="95"/>
  <c r="I198" i="85"/>
  <c r="D214" i="85"/>
  <c r="C202" i="95"/>
  <c r="C203" i="95"/>
  <c r="C204" i="95"/>
  <c r="O399" i="75"/>
  <c r="D420" i="75"/>
  <c r="C238" i="49"/>
  <c r="C234" i="49"/>
  <c r="C237" i="49"/>
  <c r="C236" i="49"/>
  <c r="C235" i="49"/>
  <c r="C233" i="49"/>
  <c r="C232" i="49"/>
  <c r="C190" i="87"/>
  <c r="C187" i="87"/>
  <c r="C189" i="87"/>
  <c r="C188" i="87"/>
  <c r="C191" i="87"/>
  <c r="H193" i="125"/>
  <c r="D210" i="125"/>
  <c r="L365" i="117"/>
  <c r="D386" i="117"/>
  <c r="J242" i="129"/>
  <c r="D261" i="129"/>
  <c r="H194" i="113"/>
  <c r="D211" i="113"/>
  <c r="M322" i="59"/>
  <c r="D342" i="59"/>
  <c r="G239" i="137"/>
  <c r="G245" i="137"/>
  <c r="G263" i="137"/>
  <c r="I180" i="23"/>
  <c r="D196" i="23"/>
  <c r="H194" i="125"/>
  <c r="D211" i="125"/>
  <c r="G222" i="27"/>
  <c r="G228" i="27"/>
  <c r="B229" i="27" s="1"/>
  <c r="L364" i="117"/>
  <c r="D385" i="117"/>
  <c r="J243" i="129"/>
  <c r="D262" i="129"/>
  <c r="O406" i="79"/>
  <c r="D428" i="79"/>
  <c r="M319" i="59"/>
  <c r="D338" i="59"/>
  <c r="M323" i="59"/>
  <c r="D343" i="59"/>
  <c r="M320" i="73"/>
  <c r="D339" i="73"/>
  <c r="M370" i="93"/>
  <c r="D390" i="93"/>
  <c r="H196" i="125"/>
  <c r="D213" i="125"/>
  <c r="C124" i="101"/>
  <c r="C122" i="101"/>
  <c r="C123" i="101"/>
  <c r="C121" i="101"/>
  <c r="O399" i="79"/>
  <c r="D420" i="79"/>
  <c r="M324" i="59"/>
  <c r="D344" i="59"/>
  <c r="K246" i="37"/>
  <c r="D264" i="37"/>
  <c r="M321" i="73"/>
  <c r="D340" i="73"/>
  <c r="H175" i="105"/>
  <c r="D192" i="105"/>
  <c r="Q494" i="81"/>
  <c r="D517" i="81"/>
  <c r="M322" i="73"/>
  <c r="D342" i="73"/>
  <c r="K245" i="45"/>
  <c r="D263" i="45"/>
  <c r="M363" i="99"/>
  <c r="D382" i="99"/>
  <c r="M322" i="61"/>
  <c r="D342" i="61"/>
  <c r="M323" i="61"/>
  <c r="D343" i="61"/>
  <c r="H193" i="113"/>
  <c r="D210" i="113"/>
  <c r="L367" i="117"/>
  <c r="D388" i="117"/>
  <c r="I177" i="25"/>
  <c r="D193" i="25"/>
  <c r="I181" i="19"/>
  <c r="D197" i="19"/>
  <c r="I178" i="25"/>
  <c r="D194" i="25"/>
  <c r="K246" i="53"/>
  <c r="D264" i="53"/>
  <c r="J240" i="129"/>
  <c r="D257" i="129"/>
  <c r="K243" i="47"/>
  <c r="D260" i="47"/>
  <c r="G218" i="109"/>
  <c r="G234" i="109"/>
  <c r="G226" i="109"/>
  <c r="M320" i="61"/>
  <c r="D340" i="61"/>
  <c r="I180" i="25"/>
  <c r="D196" i="25"/>
  <c r="G121" i="7"/>
  <c r="D135" i="7"/>
  <c r="K249" i="51"/>
  <c r="D267" i="51"/>
  <c r="M364" i="99"/>
  <c r="D383" i="99"/>
  <c r="I178" i="23"/>
  <c r="D194" i="23"/>
  <c r="G141" i="101"/>
  <c r="G159" i="101"/>
  <c r="M321" i="69"/>
  <c r="D341" i="69"/>
  <c r="I179" i="19"/>
  <c r="D194" i="19"/>
  <c r="C372" i="121"/>
  <c r="C375" i="121"/>
  <c r="C373" i="121"/>
  <c r="C374" i="121"/>
  <c r="K385" i="121" s="1"/>
  <c r="C371" i="121"/>
  <c r="C369" i="121"/>
  <c r="C370" i="121"/>
  <c r="Q497" i="81"/>
  <c r="D521" i="81"/>
  <c r="K249" i="45"/>
  <c r="D267" i="45"/>
  <c r="I179" i="29"/>
  <c r="D195" i="29"/>
  <c r="K243" i="35"/>
  <c r="D260" i="35"/>
  <c r="C114" i="11"/>
  <c r="C113" i="11"/>
  <c r="C112" i="11"/>
  <c r="G120" i="7"/>
  <c r="D134" i="7"/>
  <c r="I197" i="85"/>
  <c r="D213" i="85"/>
  <c r="Q490" i="81"/>
  <c r="D513" i="81"/>
  <c r="M323" i="73"/>
  <c r="D343" i="73"/>
  <c r="O407" i="79"/>
  <c r="D429" i="79"/>
  <c r="I179" i="23"/>
  <c r="D195" i="23"/>
  <c r="K248" i="45"/>
  <c r="D266" i="45"/>
  <c r="I178" i="29"/>
  <c r="D194" i="29"/>
  <c r="K249" i="47"/>
  <c r="D267" i="47"/>
  <c r="G239" i="95"/>
  <c r="B240" i="95" s="1"/>
  <c r="G263" i="95"/>
  <c r="G233" i="95"/>
  <c r="G119" i="5"/>
  <c r="D130" i="5"/>
  <c r="M324" i="69"/>
  <c r="D344" i="69"/>
  <c r="G160" i="101"/>
  <c r="G142" i="101"/>
  <c r="L360" i="117"/>
  <c r="D379" i="117"/>
  <c r="O405" i="79"/>
  <c r="D427" i="79"/>
  <c r="G266" i="95"/>
  <c r="G250" i="95"/>
  <c r="G258" i="95"/>
  <c r="O406" i="75"/>
  <c r="D428" i="75"/>
  <c r="M368" i="99"/>
  <c r="D388" i="99"/>
  <c r="K244" i="51"/>
  <c r="D262" i="51"/>
  <c r="G120" i="5"/>
  <c r="D131" i="5"/>
  <c r="J356" i="143"/>
  <c r="D379" i="143"/>
  <c r="Q498" i="81"/>
  <c r="D522" i="81"/>
  <c r="K270" i="89"/>
  <c r="D288" i="89"/>
  <c r="M324" i="61"/>
  <c r="D344" i="61"/>
  <c r="I177" i="19"/>
  <c r="D192" i="19"/>
  <c r="L361" i="117"/>
  <c r="D380" i="117"/>
  <c r="B351" i="3"/>
  <c r="O407" i="75"/>
  <c r="D429" i="75"/>
  <c r="C474" i="83"/>
  <c r="C473" i="83"/>
  <c r="C472" i="83"/>
  <c r="C482" i="83"/>
  <c r="C480" i="83"/>
  <c r="C483" i="83"/>
  <c r="C481" i="83"/>
  <c r="C479" i="83"/>
  <c r="C478" i="83"/>
  <c r="C477" i="83"/>
  <c r="C476" i="83"/>
  <c r="C475" i="83"/>
  <c r="C484" i="83"/>
  <c r="M369" i="99"/>
  <c r="D389" i="99"/>
  <c r="M319" i="65"/>
  <c r="D338" i="65"/>
  <c r="J261" i="115"/>
  <c r="D278" i="115"/>
  <c r="K245" i="51"/>
  <c r="D263" i="51"/>
  <c r="G238" i="137"/>
  <c r="G262" i="137"/>
  <c r="B261" i="137" s="1"/>
  <c r="G244" i="137"/>
  <c r="B245" i="137" s="1"/>
  <c r="G121" i="5"/>
  <c r="D132" i="5"/>
  <c r="J355" i="143"/>
  <c r="D378" i="143"/>
  <c r="Q500" i="81"/>
  <c r="D524" i="81"/>
  <c r="M321" i="55"/>
  <c r="D340" i="55"/>
  <c r="K268" i="89"/>
  <c r="D286" i="89"/>
  <c r="M325" i="61"/>
  <c r="D345" i="61"/>
  <c r="K244" i="45"/>
  <c r="D262" i="45"/>
  <c r="M325" i="69"/>
  <c r="D345" i="69"/>
  <c r="G212" i="27"/>
  <c r="G206" i="27"/>
  <c r="B205" i="27" s="1"/>
  <c r="M322" i="71"/>
  <c r="D342" i="71"/>
  <c r="L362" i="117"/>
  <c r="D383" i="117"/>
  <c r="K265" i="127"/>
  <c r="D282" i="127"/>
  <c r="O409" i="79"/>
  <c r="D431" i="79"/>
  <c r="M322" i="57"/>
  <c r="D342" i="57"/>
  <c r="B367" i="3"/>
  <c r="K247" i="39"/>
  <c r="D265" i="39"/>
  <c r="O408" i="75"/>
  <c r="D430" i="75"/>
  <c r="G257" i="95"/>
  <c r="G265" i="95"/>
  <c r="G249" i="95"/>
  <c r="M371" i="99"/>
  <c r="D391" i="99"/>
  <c r="M317" i="65"/>
  <c r="D336" i="65"/>
  <c r="J262" i="115"/>
  <c r="D280" i="115"/>
  <c r="K246" i="51"/>
  <c r="D264" i="51"/>
  <c r="G233" i="109"/>
  <c r="B232" i="109" s="1"/>
  <c r="G225" i="109"/>
  <c r="B224" i="109" s="1"/>
  <c r="G217" i="109"/>
  <c r="B216" i="109" s="1"/>
  <c r="J357" i="143"/>
  <c r="D380" i="143"/>
  <c r="M322" i="55"/>
  <c r="D342" i="55"/>
  <c r="K265" i="89"/>
  <c r="D282" i="89"/>
  <c r="C312" i="67"/>
  <c r="C311" i="67"/>
  <c r="C310" i="67"/>
  <c r="C309" i="67"/>
  <c r="C305" i="67"/>
  <c r="C304" i="67"/>
  <c r="C308" i="67"/>
  <c r="C307" i="67"/>
  <c r="C306" i="67"/>
  <c r="C386" i="77"/>
  <c r="C384" i="77"/>
  <c r="C394" i="77"/>
  <c r="C393" i="77"/>
  <c r="C392" i="77"/>
  <c r="C391" i="77"/>
  <c r="C390" i="77"/>
  <c r="C389" i="77"/>
  <c r="C388" i="77"/>
  <c r="C387" i="77"/>
  <c r="C385" i="77"/>
  <c r="C183" i="27" a="1"/>
  <c r="M323" i="71"/>
  <c r="D343" i="71"/>
  <c r="I181" i="29"/>
  <c r="D197" i="29"/>
  <c r="D196" i="29"/>
  <c r="C170" i="15"/>
  <c r="C169" i="15"/>
  <c r="C168" i="15"/>
  <c r="C172" i="15"/>
  <c r="C171" i="15"/>
  <c r="K266" i="127"/>
  <c r="D283" i="127"/>
  <c r="O400" i="79"/>
  <c r="D421" i="79"/>
  <c r="M318" i="57"/>
  <c r="D337" i="57"/>
  <c r="G345" i="146" l="1"/>
  <c r="G363" i="146"/>
  <c r="G346" i="146"/>
  <c r="G364" i="146"/>
  <c r="G362" i="146"/>
  <c r="G354" i="146"/>
  <c r="G332" i="146"/>
  <c r="D313" i="146"/>
  <c r="M294" i="146"/>
  <c r="M295" i="146"/>
  <c r="D315" i="146"/>
  <c r="D316" i="146"/>
  <c r="M296" i="146"/>
  <c r="D318" i="146"/>
  <c r="M298" i="146"/>
  <c r="D317" i="146"/>
  <c r="M297" i="146"/>
  <c r="B354" i="145"/>
  <c r="C306" i="145"/>
  <c r="C305" i="145"/>
  <c r="B338" i="145"/>
  <c r="G395" i="145" s="1"/>
  <c r="C357" i="145"/>
  <c r="H397" i="145" s="1"/>
  <c r="G397" i="145"/>
  <c r="B362" i="145"/>
  <c r="B346" i="145"/>
  <c r="C333" i="145"/>
  <c r="H394" i="145" s="1"/>
  <c r="G394" i="145"/>
  <c r="G363" i="144"/>
  <c r="G353" i="144"/>
  <c r="G361" i="144"/>
  <c r="G345" i="144"/>
  <c r="G346" i="144"/>
  <c r="G340" i="144"/>
  <c r="G348" i="144"/>
  <c r="G332" i="144"/>
  <c r="G338" i="144"/>
  <c r="G330" i="144"/>
  <c r="B354" i="144"/>
  <c r="B362" i="144"/>
  <c r="C304" i="144"/>
  <c r="C305" i="144"/>
  <c r="C306" i="144"/>
  <c r="B354" i="2"/>
  <c r="G397" i="2" s="1"/>
  <c r="B362" i="2"/>
  <c r="B346" i="2"/>
  <c r="C349" i="2" s="1"/>
  <c r="H396" i="2" s="1"/>
  <c r="B338" i="2"/>
  <c r="G395" i="2" s="1"/>
  <c r="B213" i="27"/>
  <c r="C327" i="61" a="1"/>
  <c r="C327" i="59" a="1"/>
  <c r="C373" i="93" a="1"/>
  <c r="B142" i="101"/>
  <c r="G166" i="101" s="1"/>
  <c r="C179" i="105" a="1"/>
  <c r="C327" i="65" a="1"/>
  <c r="B232" i="95"/>
  <c r="M320" i="67"/>
  <c r="D340" i="67"/>
  <c r="G402" i="61"/>
  <c r="G370" i="61"/>
  <c r="G376" i="61"/>
  <c r="G385" i="71"/>
  <c r="G403" i="71"/>
  <c r="G417" i="71"/>
  <c r="G379" i="71"/>
  <c r="G387" i="61"/>
  <c r="G419" i="61"/>
  <c r="G393" i="61"/>
  <c r="G276" i="35"/>
  <c r="G300" i="35"/>
  <c r="G282" i="35"/>
  <c r="G314" i="35"/>
  <c r="G470" i="117"/>
  <c r="G446" i="117"/>
  <c r="G422" i="117"/>
  <c r="G255" i="125"/>
  <c r="G231" i="125"/>
  <c r="G237" i="125"/>
  <c r="G542" i="81"/>
  <c r="G614" i="81"/>
  <c r="G548" i="81"/>
  <c r="G620" i="81"/>
  <c r="G293" i="35"/>
  <c r="G299" i="35"/>
  <c r="G307" i="35"/>
  <c r="G583" i="81"/>
  <c r="G589" i="81"/>
  <c r="G629" i="81"/>
  <c r="G623" i="81"/>
  <c r="G369" i="57"/>
  <c r="G363" i="57"/>
  <c r="G393" i="57"/>
  <c r="L318" i="111"/>
  <c r="D339" i="111"/>
  <c r="G401" i="65"/>
  <c r="G409" i="65"/>
  <c r="G417" i="65"/>
  <c r="G355" i="65"/>
  <c r="G361" i="65"/>
  <c r="G558" i="81"/>
  <c r="G590" i="81"/>
  <c r="K336" i="133"/>
  <c r="D357" i="133"/>
  <c r="M317" i="67"/>
  <c r="D337" i="67"/>
  <c r="Q489" i="83"/>
  <c r="D512" i="83"/>
  <c r="G413" i="143"/>
  <c r="G431" i="143"/>
  <c r="G447" i="143"/>
  <c r="G407" i="143"/>
  <c r="G469" i="143"/>
  <c r="G215" i="23"/>
  <c r="G221" i="23"/>
  <c r="C251" i="35" a="1"/>
  <c r="K337" i="133"/>
  <c r="D359" i="133"/>
  <c r="G432" i="93"/>
  <c r="G414" i="93"/>
  <c r="G462" i="93"/>
  <c r="G311" i="115"/>
  <c r="G317" i="115"/>
  <c r="G325" i="115"/>
  <c r="M392" i="97"/>
  <c r="D412" i="97"/>
  <c r="G417" i="55"/>
  <c r="G409" i="55"/>
  <c r="G379" i="55"/>
  <c r="G403" i="55"/>
  <c r="O400" i="77"/>
  <c r="D421" i="77"/>
  <c r="M322" i="67"/>
  <c r="D342" i="67"/>
  <c r="G362" i="65"/>
  <c r="G394" i="65"/>
  <c r="Q491" i="83"/>
  <c r="D514" i="83"/>
  <c r="G161" i="5"/>
  <c r="G143" i="5"/>
  <c r="G489" i="79"/>
  <c r="G503" i="79"/>
  <c r="G495" i="79"/>
  <c r="G481" i="79"/>
  <c r="B158" i="101"/>
  <c r="C198" i="113" a="1"/>
  <c r="I198" i="87"/>
  <c r="D214" i="87"/>
  <c r="B237" i="27"/>
  <c r="L361" i="141"/>
  <c r="D382" i="141"/>
  <c r="G247" i="85"/>
  <c r="G241" i="85"/>
  <c r="G265" i="85"/>
  <c r="G150" i="13"/>
  <c r="B151" i="13" s="1"/>
  <c r="G144" i="13"/>
  <c r="G303" i="127"/>
  <c r="G337" i="127"/>
  <c r="G297" i="127"/>
  <c r="G343" i="127"/>
  <c r="G228" i="31"/>
  <c r="G222" i="31"/>
  <c r="K339" i="133"/>
  <c r="D361" i="133"/>
  <c r="G235" i="105"/>
  <c r="G211" i="105"/>
  <c r="G217" i="105"/>
  <c r="G317" i="51"/>
  <c r="G293" i="51"/>
  <c r="G325" i="51"/>
  <c r="G299" i="51"/>
  <c r="G469" i="117"/>
  <c r="G421" i="117"/>
  <c r="G445" i="117"/>
  <c r="B444" i="117" s="1"/>
  <c r="C361" i="143" a="1"/>
  <c r="G368" i="57"/>
  <c r="G392" i="57"/>
  <c r="G362" i="57"/>
  <c r="G305" i="89"/>
  <c r="G345" i="89"/>
  <c r="G322" i="39"/>
  <c r="G300" i="39"/>
  <c r="G308" i="39"/>
  <c r="G368" i="69"/>
  <c r="G354" i="69"/>
  <c r="B353" i="69" s="1"/>
  <c r="J241" i="107"/>
  <c r="D259" i="107"/>
  <c r="G299" i="47"/>
  <c r="G317" i="47"/>
  <c r="G293" i="47"/>
  <c r="G289" i="129"/>
  <c r="G303" i="129"/>
  <c r="G295" i="129"/>
  <c r="G315" i="39"/>
  <c r="G293" i="39"/>
  <c r="G299" i="39"/>
  <c r="G441" i="79"/>
  <c r="G447" i="79"/>
  <c r="G473" i="79"/>
  <c r="G487" i="79"/>
  <c r="O402" i="77"/>
  <c r="D423" i="77"/>
  <c r="M323" i="67"/>
  <c r="D343" i="67"/>
  <c r="G360" i="65"/>
  <c r="G354" i="65"/>
  <c r="G408" i="65"/>
  <c r="G416" i="65"/>
  <c r="G400" i="65"/>
  <c r="G338" i="127"/>
  <c r="G304" i="127"/>
  <c r="G298" i="127"/>
  <c r="G344" i="127"/>
  <c r="G418" i="55"/>
  <c r="G370" i="55"/>
  <c r="G481" i="75"/>
  <c r="G489" i="75"/>
  <c r="G503" i="75"/>
  <c r="G495" i="75"/>
  <c r="G410" i="69"/>
  <c r="G418" i="69"/>
  <c r="G402" i="69"/>
  <c r="G325" i="45"/>
  <c r="G317" i="45"/>
  <c r="C145" i="101"/>
  <c r="H166" i="101" s="1"/>
  <c r="G276" i="47"/>
  <c r="G314" i="47"/>
  <c r="G282" i="47"/>
  <c r="G322" i="47"/>
  <c r="G385" i="61"/>
  <c r="G411" i="61"/>
  <c r="G379" i="61"/>
  <c r="G292" i="37"/>
  <c r="G298" i="37"/>
  <c r="G314" i="37"/>
  <c r="G417" i="59"/>
  <c r="G401" i="59"/>
  <c r="G385" i="59"/>
  <c r="G379" i="59"/>
  <c r="I196" i="87"/>
  <c r="D211" i="87"/>
  <c r="B256" i="95"/>
  <c r="G284" i="37"/>
  <c r="G308" i="37"/>
  <c r="L365" i="141"/>
  <c r="D386" i="141"/>
  <c r="G309" i="35"/>
  <c r="G317" i="35"/>
  <c r="G323" i="35"/>
  <c r="G323" i="53"/>
  <c r="G309" i="53"/>
  <c r="G317" i="53"/>
  <c r="G408" i="57"/>
  <c r="G370" i="57"/>
  <c r="G327" i="127"/>
  <c r="G345" i="127"/>
  <c r="G353" i="127"/>
  <c r="G321" i="127"/>
  <c r="G239" i="113"/>
  <c r="G263" i="113"/>
  <c r="G245" i="113"/>
  <c r="C305" i="2"/>
  <c r="C306" i="2"/>
  <c r="C304" i="2"/>
  <c r="C272" i="127" a="1"/>
  <c r="G349" i="91"/>
  <c r="G319" i="91"/>
  <c r="G367" i="91"/>
  <c r="G325" i="91"/>
  <c r="G373" i="91"/>
  <c r="G316" i="39"/>
  <c r="G282" i="39"/>
  <c r="G306" i="39"/>
  <c r="G276" i="39"/>
  <c r="G394" i="59"/>
  <c r="G370" i="59"/>
  <c r="K340" i="133"/>
  <c r="D362" i="133"/>
  <c r="C182" i="105"/>
  <c r="C181" i="105"/>
  <c r="C180" i="105"/>
  <c r="C179" i="105"/>
  <c r="G414" i="99"/>
  <c r="G462" i="99"/>
  <c r="G432" i="99"/>
  <c r="G223" i="17"/>
  <c r="G239" i="17"/>
  <c r="G231" i="17"/>
  <c r="B253" i="137"/>
  <c r="G360" i="71"/>
  <c r="G354" i="71"/>
  <c r="G400" i="71"/>
  <c r="C327" i="69" a="1"/>
  <c r="J245" i="107"/>
  <c r="D264" i="107"/>
  <c r="G306" i="51"/>
  <c r="G300" i="51"/>
  <c r="G510" i="75"/>
  <c r="G518" i="75"/>
  <c r="G504" i="75"/>
  <c r="Q495" i="83"/>
  <c r="D518" i="83"/>
  <c r="O403" i="77"/>
  <c r="D424" i="77"/>
  <c r="C327" i="65"/>
  <c r="C328" i="65"/>
  <c r="C329" i="65"/>
  <c r="G441" i="99"/>
  <c r="G423" i="99"/>
  <c r="G479" i="99"/>
  <c r="G417" i="99"/>
  <c r="G457" i="99"/>
  <c r="G387" i="73"/>
  <c r="G377" i="73"/>
  <c r="G393" i="73"/>
  <c r="G220" i="23"/>
  <c r="G214" i="23"/>
  <c r="C251" i="47" a="1"/>
  <c r="I199" i="87"/>
  <c r="D215" i="87"/>
  <c r="C235" i="95"/>
  <c r="H273" i="95" s="1"/>
  <c r="G273" i="95"/>
  <c r="L363" i="141"/>
  <c r="D384" i="141"/>
  <c r="G456" i="79"/>
  <c r="G520" i="79"/>
  <c r="G392" i="65"/>
  <c r="G418" i="65"/>
  <c r="G386" i="65"/>
  <c r="G223" i="33"/>
  <c r="G229" i="33"/>
  <c r="G239" i="33"/>
  <c r="G298" i="35"/>
  <c r="G292" i="35"/>
  <c r="G306" i="35"/>
  <c r="C251" i="39" a="1"/>
  <c r="G226" i="105"/>
  <c r="G220" i="105"/>
  <c r="L339" i="139"/>
  <c r="D360" i="139"/>
  <c r="M317" i="63"/>
  <c r="D337" i="63"/>
  <c r="C232" i="137"/>
  <c r="H270" i="137" s="1"/>
  <c r="G270" i="137"/>
  <c r="G448" i="79"/>
  <c r="G496" i="79"/>
  <c r="G512" i="79"/>
  <c r="G454" i="79"/>
  <c r="C327" i="71" a="1"/>
  <c r="G387" i="55"/>
  <c r="G377" i="55"/>
  <c r="G393" i="55"/>
  <c r="G384" i="57"/>
  <c r="G416" i="57"/>
  <c r="G354" i="57"/>
  <c r="G360" i="57"/>
  <c r="G290" i="45"/>
  <c r="G276" i="45"/>
  <c r="B275" i="45" s="1"/>
  <c r="J240" i="107"/>
  <c r="D257" i="107"/>
  <c r="G430" i="117"/>
  <c r="G412" i="117"/>
  <c r="G460" i="117"/>
  <c r="G301" i="35"/>
  <c r="G315" i="35"/>
  <c r="G283" i="35"/>
  <c r="G277" i="35"/>
  <c r="B237" i="137"/>
  <c r="G212" i="33"/>
  <c r="G236" i="33"/>
  <c r="G206" i="33"/>
  <c r="C327" i="57" a="1"/>
  <c r="C251" i="45" a="1"/>
  <c r="J244" i="107"/>
  <c r="D263" i="107"/>
  <c r="G433" i="99"/>
  <c r="G463" i="99"/>
  <c r="G415" i="99"/>
  <c r="G324" i="91"/>
  <c r="G348" i="91"/>
  <c r="G318" i="91"/>
  <c r="G372" i="91"/>
  <c r="G366" i="91"/>
  <c r="G394" i="71"/>
  <c r="G370" i="71"/>
  <c r="O404" i="77"/>
  <c r="D426" i="77"/>
  <c r="G411" i="117"/>
  <c r="G429" i="117"/>
  <c r="B428" i="117" s="1"/>
  <c r="G459" i="117"/>
  <c r="G394" i="3"/>
  <c r="C354" i="3"/>
  <c r="H394" i="3" s="1"/>
  <c r="G369" i="59"/>
  <c r="G419" i="59"/>
  <c r="G411" i="59"/>
  <c r="G363" i="59"/>
  <c r="K243" i="49"/>
  <c r="D260" i="49"/>
  <c r="G386" i="69"/>
  <c r="G400" i="69"/>
  <c r="G378" i="69"/>
  <c r="G370" i="69"/>
  <c r="G455" i="75"/>
  <c r="G513" i="75"/>
  <c r="G449" i="75"/>
  <c r="G497" i="75"/>
  <c r="G161" i="13"/>
  <c r="G143" i="13"/>
  <c r="G321" i="129"/>
  <c r="G281" i="129"/>
  <c r="G303" i="89"/>
  <c r="G321" i="89"/>
  <c r="G335" i="89"/>
  <c r="G297" i="89"/>
  <c r="L344" i="139"/>
  <c r="D365" i="139"/>
  <c r="G505" i="75"/>
  <c r="G519" i="75"/>
  <c r="G511" i="75"/>
  <c r="O405" i="77"/>
  <c r="D427" i="77"/>
  <c r="G298" i="89"/>
  <c r="G304" i="89"/>
  <c r="G336" i="89"/>
  <c r="G322" i="89"/>
  <c r="L364" i="141"/>
  <c r="D385" i="141"/>
  <c r="G160" i="13"/>
  <c r="G142" i="13"/>
  <c r="G230" i="31"/>
  <c r="G236" i="31"/>
  <c r="G214" i="31"/>
  <c r="G317" i="37"/>
  <c r="G283" i="37"/>
  <c r="G323" i="37"/>
  <c r="G277" i="37"/>
  <c r="G220" i="33"/>
  <c r="G214" i="33"/>
  <c r="G496" i="75"/>
  <c r="G454" i="75"/>
  <c r="G512" i="75"/>
  <c r="G448" i="75"/>
  <c r="C272" i="89" a="1"/>
  <c r="M319" i="63"/>
  <c r="D339" i="63"/>
  <c r="G403" i="61"/>
  <c r="G371" i="61"/>
  <c r="G377" i="61"/>
  <c r="C183" i="33" a="1"/>
  <c r="G510" i="79"/>
  <c r="G504" i="79"/>
  <c r="G518" i="79"/>
  <c r="G369" i="55"/>
  <c r="G363" i="55"/>
  <c r="G411" i="55"/>
  <c r="K243" i="41"/>
  <c r="D260" i="41"/>
  <c r="G262" i="125"/>
  <c r="G244" i="125"/>
  <c r="G238" i="125"/>
  <c r="I180" i="15"/>
  <c r="D196" i="15"/>
  <c r="O406" i="77"/>
  <c r="D428" i="77"/>
  <c r="B248" i="95"/>
  <c r="G402" i="71"/>
  <c r="G378" i="71"/>
  <c r="B377" i="71" s="1"/>
  <c r="G384" i="71"/>
  <c r="G416" i="71"/>
  <c r="G424" i="143"/>
  <c r="G406" i="143"/>
  <c r="G454" i="143"/>
  <c r="Q492" i="83"/>
  <c r="D515" i="83"/>
  <c r="K381" i="121"/>
  <c r="D403" i="121"/>
  <c r="G298" i="53"/>
  <c r="G292" i="53"/>
  <c r="G306" i="53"/>
  <c r="G470" i="99"/>
  <c r="G464" i="99"/>
  <c r="G400" i="99"/>
  <c r="G406" i="99"/>
  <c r="G438" i="99"/>
  <c r="G440" i="79"/>
  <c r="G446" i="79"/>
  <c r="G472" i="79"/>
  <c r="G486" i="79"/>
  <c r="G480" i="79"/>
  <c r="G502" i="79"/>
  <c r="G494" i="79"/>
  <c r="G488" i="79"/>
  <c r="K246" i="49"/>
  <c r="D264" i="49"/>
  <c r="G364" i="91"/>
  <c r="G332" i="91"/>
  <c r="G342" i="91"/>
  <c r="L367" i="141"/>
  <c r="D388" i="141"/>
  <c r="G277" i="47"/>
  <c r="G315" i="47"/>
  <c r="G283" i="47"/>
  <c r="G323" i="47"/>
  <c r="G212" i="17"/>
  <c r="G236" i="17"/>
  <c r="G206" i="17"/>
  <c r="G324" i="37"/>
  <c r="G306" i="37"/>
  <c r="G300" i="37"/>
  <c r="C123" i="13" a="1"/>
  <c r="G319" i="89"/>
  <c r="G327" i="89"/>
  <c r="G313" i="89"/>
  <c r="G386" i="71"/>
  <c r="G392" i="71"/>
  <c r="G410" i="71"/>
  <c r="G394" i="73"/>
  <c r="G400" i="73"/>
  <c r="G354" i="73"/>
  <c r="G360" i="73"/>
  <c r="G325" i="37"/>
  <c r="G301" i="37"/>
  <c r="G307" i="37"/>
  <c r="G615" i="81"/>
  <c r="G621" i="81"/>
  <c r="G549" i="81"/>
  <c r="G543" i="81"/>
  <c r="G394" i="69"/>
  <c r="G408" i="69"/>
  <c r="L337" i="139"/>
  <c r="D358" i="139"/>
  <c r="M320" i="63"/>
  <c r="D340" i="63"/>
  <c r="G323" i="39"/>
  <c r="G301" i="39"/>
  <c r="G309" i="39"/>
  <c r="K249" i="43"/>
  <c r="D267" i="43"/>
  <c r="M364" i="131"/>
  <c r="D383" i="131"/>
  <c r="K249" i="41"/>
  <c r="D267" i="41"/>
  <c r="M391" i="135"/>
  <c r="D411" i="135"/>
  <c r="G305" i="127"/>
  <c r="G329" i="127"/>
  <c r="M325" i="67"/>
  <c r="D345" i="67"/>
  <c r="G449" i="99"/>
  <c r="G473" i="99"/>
  <c r="G425" i="99"/>
  <c r="G582" i="81"/>
  <c r="G622" i="81"/>
  <c r="G628" i="81"/>
  <c r="G588" i="81"/>
  <c r="G160" i="5"/>
  <c r="B159" i="5" s="1"/>
  <c r="G142" i="5"/>
  <c r="G567" i="81"/>
  <c r="G573" i="81"/>
  <c r="G597" i="81"/>
  <c r="G273" i="129"/>
  <c r="B272" i="129" s="1"/>
  <c r="G311" i="129"/>
  <c r="G297" i="129"/>
  <c r="G279" i="129"/>
  <c r="G384" i="61"/>
  <c r="G410" i="61"/>
  <c r="G378" i="61"/>
  <c r="G386" i="59"/>
  <c r="G408" i="59"/>
  <c r="G392" i="59"/>
  <c r="G418" i="59"/>
  <c r="G410" i="59"/>
  <c r="G362" i="59"/>
  <c r="G368" i="59"/>
  <c r="C227" i="95"/>
  <c r="H272" i="95" s="1"/>
  <c r="G272" i="95"/>
  <c r="L366" i="141"/>
  <c r="D387" i="141"/>
  <c r="G550" i="81"/>
  <c r="G630" i="81"/>
  <c r="G556" i="81"/>
  <c r="G237" i="33"/>
  <c r="G213" i="33"/>
  <c r="G207" i="33"/>
  <c r="C293" i="91" a="1"/>
  <c r="G497" i="79"/>
  <c r="G513" i="79"/>
  <c r="G449" i="79"/>
  <c r="G455" i="79"/>
  <c r="G394" i="61"/>
  <c r="G362" i="61"/>
  <c r="M318" i="63"/>
  <c r="D338" i="63"/>
  <c r="Q501" i="83"/>
  <c r="D525" i="83"/>
  <c r="G468" i="117"/>
  <c r="G404" i="117"/>
  <c r="G462" i="117"/>
  <c r="G398" i="117"/>
  <c r="G436" i="117"/>
  <c r="G478" i="99"/>
  <c r="G440" i="99"/>
  <c r="G456" i="99"/>
  <c r="G422" i="99"/>
  <c r="G416" i="99"/>
  <c r="C123" i="5" a="1"/>
  <c r="G605" i="81"/>
  <c r="G599" i="81"/>
  <c r="G535" i="81"/>
  <c r="G541" i="81"/>
  <c r="G407" i="99"/>
  <c r="G465" i="99"/>
  <c r="G439" i="99"/>
  <c r="G471" i="99"/>
  <c r="G401" i="99"/>
  <c r="C247" i="129" a="1"/>
  <c r="G416" i="59"/>
  <c r="B417" i="59" s="1"/>
  <c r="G384" i="59"/>
  <c r="G400" i="59"/>
  <c r="G378" i="59"/>
  <c r="K244" i="49"/>
  <c r="D261" i="49"/>
  <c r="G401" i="73"/>
  <c r="G395" i="73"/>
  <c r="G361" i="73"/>
  <c r="G355" i="73"/>
  <c r="G223" i="25"/>
  <c r="G229" i="25"/>
  <c r="L342" i="139"/>
  <c r="D363" i="139"/>
  <c r="G336" i="127"/>
  <c r="G314" i="127"/>
  <c r="G320" i="127"/>
  <c r="G415" i="143"/>
  <c r="G439" i="143"/>
  <c r="G463" i="143"/>
  <c r="I181" i="15"/>
  <c r="D197" i="15"/>
  <c r="O407" i="77"/>
  <c r="D429" i="77"/>
  <c r="G386" i="55"/>
  <c r="G392" i="55"/>
  <c r="G376" i="55"/>
  <c r="Q493" i="83"/>
  <c r="D516" i="83"/>
  <c r="G236" i="19"/>
  <c r="G212" i="19"/>
  <c r="G206" i="19"/>
  <c r="G494" i="75"/>
  <c r="G502" i="75"/>
  <c r="B503" i="75" s="1"/>
  <c r="G480" i="75"/>
  <c r="G488" i="75"/>
  <c r="B264" i="95"/>
  <c r="G233" i="85"/>
  <c r="G257" i="85"/>
  <c r="G239" i="85"/>
  <c r="K380" i="121"/>
  <c r="D399" i="121"/>
  <c r="G301" i="51"/>
  <c r="G307" i="51"/>
  <c r="C373" i="99" a="1"/>
  <c r="C411" i="79" a="1"/>
  <c r="G237" i="113"/>
  <c r="G231" i="113"/>
  <c r="G255" i="113"/>
  <c r="K247" i="49"/>
  <c r="D265" i="49"/>
  <c r="G238" i="113"/>
  <c r="G262" i="113"/>
  <c r="G244" i="113"/>
  <c r="L360" i="141"/>
  <c r="D381" i="141"/>
  <c r="C183" i="17" a="1"/>
  <c r="G418" i="71"/>
  <c r="G362" i="71"/>
  <c r="G368" i="71"/>
  <c r="G408" i="71"/>
  <c r="G283" i="53"/>
  <c r="G315" i="53"/>
  <c r="G277" i="53"/>
  <c r="G301" i="53"/>
  <c r="G316" i="35"/>
  <c r="G308" i="35"/>
  <c r="G322" i="35"/>
  <c r="B330" i="2"/>
  <c r="G329" i="89"/>
  <c r="G343" i="89"/>
  <c r="G337" i="89"/>
  <c r="G353" i="89"/>
  <c r="G317" i="39"/>
  <c r="G283" i="39"/>
  <c r="G307" i="39"/>
  <c r="G277" i="39"/>
  <c r="C327" i="73" a="1"/>
  <c r="G355" i="61"/>
  <c r="G409" i="61"/>
  <c r="G417" i="61"/>
  <c r="G361" i="61"/>
  <c r="G401" i="61"/>
  <c r="L338" i="139"/>
  <c r="D359" i="139"/>
  <c r="M321" i="63"/>
  <c r="D341" i="63"/>
  <c r="K245" i="43"/>
  <c r="D263" i="43"/>
  <c r="G213" i="23"/>
  <c r="B213" i="23" s="1"/>
  <c r="G207" i="23"/>
  <c r="B205" i="23" s="1"/>
  <c r="G237" i="23"/>
  <c r="M390" i="97"/>
  <c r="D410" i="97"/>
  <c r="M365" i="131"/>
  <c r="D384" i="131"/>
  <c r="C180" i="109"/>
  <c r="C175" i="109"/>
  <c r="C179" i="109"/>
  <c r="C178" i="109"/>
  <c r="C177" i="109"/>
  <c r="C176" i="109"/>
  <c r="L367" i="119"/>
  <c r="D388" i="119"/>
  <c r="G449" i="93"/>
  <c r="G473" i="93"/>
  <c r="G425" i="93"/>
  <c r="K244" i="41"/>
  <c r="D261" i="41"/>
  <c r="M392" i="135"/>
  <c r="D412" i="135"/>
  <c r="G377" i="69"/>
  <c r="G393" i="69"/>
  <c r="G363" i="69"/>
  <c r="G417" i="69"/>
  <c r="O409" i="77"/>
  <c r="D431" i="77"/>
  <c r="M324" i="67"/>
  <c r="D344" i="67"/>
  <c r="G290" i="51"/>
  <c r="G284" i="51"/>
  <c r="I177" i="15"/>
  <c r="D192" i="15"/>
  <c r="O408" i="77"/>
  <c r="D430" i="77"/>
  <c r="G245" i="27"/>
  <c r="C208" i="27"/>
  <c r="H245" i="27" s="1"/>
  <c r="G150" i="5"/>
  <c r="B151" i="5" s="1"/>
  <c r="G144" i="5"/>
  <c r="Q494" i="83"/>
  <c r="D517" i="83"/>
  <c r="C183" i="19" a="1"/>
  <c r="G274" i="95"/>
  <c r="C243" i="95"/>
  <c r="H274" i="95" s="1"/>
  <c r="K382" i="121"/>
  <c r="D404" i="121"/>
  <c r="G238" i="25"/>
  <c r="G220" i="25"/>
  <c r="G214" i="25"/>
  <c r="G293" i="45"/>
  <c r="G301" i="45"/>
  <c r="G323" i="45"/>
  <c r="G309" i="45"/>
  <c r="G304" i="129"/>
  <c r="G290" i="129"/>
  <c r="G296" i="129"/>
  <c r="K248" i="49"/>
  <c r="D266" i="49"/>
  <c r="G416" i="61"/>
  <c r="G354" i="61"/>
  <c r="G400" i="61"/>
  <c r="B401" i="61" s="1"/>
  <c r="G408" i="61"/>
  <c r="G360" i="61"/>
  <c r="G220" i="21"/>
  <c r="G214" i="21"/>
  <c r="G354" i="59"/>
  <c r="G360" i="59"/>
  <c r="G402" i="59"/>
  <c r="G238" i="21"/>
  <c r="G222" i="21"/>
  <c r="G228" i="21"/>
  <c r="G381" i="91"/>
  <c r="G375" i="91"/>
  <c r="G359" i="91"/>
  <c r="G351" i="91"/>
  <c r="G335" i="91"/>
  <c r="L319" i="111"/>
  <c r="D340" i="111"/>
  <c r="G293" i="53"/>
  <c r="G299" i="53"/>
  <c r="G307" i="53"/>
  <c r="G416" i="55"/>
  <c r="G378" i="55"/>
  <c r="G402" i="55"/>
  <c r="G408" i="55"/>
  <c r="G480" i="93"/>
  <c r="G446" i="93"/>
  <c r="G408" i="93"/>
  <c r="K383" i="123"/>
  <c r="D405" i="123"/>
  <c r="L343" i="139"/>
  <c r="D364" i="139"/>
  <c r="M322" i="63"/>
  <c r="D342" i="63"/>
  <c r="G566" i="81"/>
  <c r="G572" i="81"/>
  <c r="G596" i="81"/>
  <c r="K246" i="43"/>
  <c r="D264" i="43"/>
  <c r="C183" i="23" a="1"/>
  <c r="M393" i="97"/>
  <c r="D413" i="97"/>
  <c r="M367" i="131"/>
  <c r="D386" i="131"/>
  <c r="G393" i="3"/>
  <c r="C346" i="3"/>
  <c r="H393" i="3" s="1"/>
  <c r="L362" i="119"/>
  <c r="D383" i="119"/>
  <c r="K245" i="41"/>
  <c r="D262" i="41"/>
  <c r="M393" i="135"/>
  <c r="D413" i="135"/>
  <c r="G314" i="129"/>
  <c r="G320" i="129"/>
  <c r="G306" i="129"/>
  <c r="C327" i="61"/>
  <c r="C329" i="61"/>
  <c r="C328" i="61"/>
  <c r="C328" i="59"/>
  <c r="C329" i="59"/>
  <c r="C327" i="59"/>
  <c r="G276" i="37"/>
  <c r="G322" i="37"/>
  <c r="B323" i="37" s="1"/>
  <c r="G316" i="37"/>
  <c r="G282" i="37"/>
  <c r="L320" i="111"/>
  <c r="D341" i="111"/>
  <c r="G598" i="81"/>
  <c r="G534" i="81"/>
  <c r="B533" i="81" s="1"/>
  <c r="G604" i="81"/>
  <c r="G540" i="81"/>
  <c r="G464" i="75"/>
  <c r="G478" i="75"/>
  <c r="G470" i="75"/>
  <c r="G222" i="17"/>
  <c r="G238" i="17"/>
  <c r="G230" i="17"/>
  <c r="G378" i="57"/>
  <c r="G410" i="57"/>
  <c r="G394" i="57"/>
  <c r="G418" i="57"/>
  <c r="G392" i="69"/>
  <c r="G362" i="69"/>
  <c r="G376" i="69"/>
  <c r="G416" i="69"/>
  <c r="K385" i="123"/>
  <c r="D407" i="123"/>
  <c r="L341" i="139"/>
  <c r="D362" i="139"/>
  <c r="M323" i="63"/>
  <c r="D343" i="63"/>
  <c r="K247" i="43"/>
  <c r="D265" i="43"/>
  <c r="G282" i="53"/>
  <c r="G314" i="53"/>
  <c r="G300" i="53"/>
  <c r="G276" i="53"/>
  <c r="M394" i="97"/>
  <c r="D414" i="97"/>
  <c r="M368" i="131"/>
  <c r="D388" i="131"/>
  <c r="G324" i="115"/>
  <c r="G310" i="115"/>
  <c r="B309" i="115" s="1"/>
  <c r="G316" i="115"/>
  <c r="B317" i="115" s="1"/>
  <c r="L363" i="119"/>
  <c r="D384" i="119"/>
  <c r="K246" i="41"/>
  <c r="D264" i="41"/>
  <c r="M394" i="135"/>
  <c r="D414" i="135"/>
  <c r="G283" i="51"/>
  <c r="G277" i="51"/>
  <c r="B275" i="51" s="1"/>
  <c r="G323" i="51"/>
  <c r="G246" i="27"/>
  <c r="C216" i="27"/>
  <c r="H246" i="27" s="1"/>
  <c r="G152" i="7"/>
  <c r="G158" i="7"/>
  <c r="I179" i="15"/>
  <c r="D195" i="15"/>
  <c r="O399" i="77"/>
  <c r="C411" i="77" s="1" a="1"/>
  <c r="D420" i="77"/>
  <c r="G419" i="69"/>
  <c r="G411" i="69"/>
  <c r="G403" i="69"/>
  <c r="C248" i="137"/>
  <c r="H272" i="137" s="1"/>
  <c r="G272" i="137"/>
  <c r="Q496" i="83"/>
  <c r="D520" i="83"/>
  <c r="K384" i="121"/>
  <c r="D406" i="121"/>
  <c r="G229" i="19"/>
  <c r="G239" i="19"/>
  <c r="G223" i="19"/>
  <c r="G376" i="73"/>
  <c r="G386" i="73"/>
  <c r="B385" i="73" s="1"/>
  <c r="G392" i="73"/>
  <c r="G437" i="117"/>
  <c r="G419" i="117"/>
  <c r="G475" i="117"/>
  <c r="G453" i="117"/>
  <c r="G413" i="117"/>
  <c r="K249" i="49"/>
  <c r="D267" i="49"/>
  <c r="G368" i="73"/>
  <c r="B369" i="73" s="1"/>
  <c r="G410" i="73"/>
  <c r="G362" i="73"/>
  <c r="G400" i="93"/>
  <c r="B399" i="93" s="1"/>
  <c r="G464" i="93"/>
  <c r="G406" i="93"/>
  <c r="G438" i="93"/>
  <c r="G470" i="93"/>
  <c r="G313" i="129"/>
  <c r="G319" i="129"/>
  <c r="G305" i="129"/>
  <c r="G411" i="65"/>
  <c r="G385" i="65"/>
  <c r="G379" i="65"/>
  <c r="G416" i="73"/>
  <c r="G378" i="73"/>
  <c r="G402" i="73"/>
  <c r="G408" i="73"/>
  <c r="C251" i="37" a="1"/>
  <c r="G395" i="69"/>
  <c r="G409" i="69"/>
  <c r="L316" i="111"/>
  <c r="D337" i="111"/>
  <c r="C503" i="81" a="1"/>
  <c r="G214" i="17"/>
  <c r="G228" i="17"/>
  <c r="G377" i="65"/>
  <c r="G403" i="65"/>
  <c r="G371" i="65"/>
  <c r="G361" i="71"/>
  <c r="G401" i="71"/>
  <c r="G355" i="71"/>
  <c r="K384" i="123"/>
  <c r="D406" i="123"/>
  <c r="L340" i="139"/>
  <c r="D361" i="139"/>
  <c r="M324" i="63"/>
  <c r="D344" i="63"/>
  <c r="G479" i="93"/>
  <c r="G457" i="93"/>
  <c r="G417" i="93"/>
  <c r="G441" i="93"/>
  <c r="G423" i="93"/>
  <c r="K248" i="43"/>
  <c r="D266" i="43"/>
  <c r="C251" i="53" a="1"/>
  <c r="M386" i="97"/>
  <c r="D405" i="97"/>
  <c r="M371" i="131"/>
  <c r="D391" i="131"/>
  <c r="L364" i="119"/>
  <c r="D385" i="119"/>
  <c r="K247" i="41"/>
  <c r="D265" i="41"/>
  <c r="M386" i="135"/>
  <c r="D405" i="135"/>
  <c r="C251" i="51" a="1"/>
  <c r="G159" i="7"/>
  <c r="G153" i="7"/>
  <c r="G222" i="29"/>
  <c r="G238" i="29"/>
  <c r="G228" i="29"/>
  <c r="G220" i="29"/>
  <c r="G214" i="29"/>
  <c r="G119" i="11"/>
  <c r="C123" i="11" s="1" a="1"/>
  <c r="D130" i="11"/>
  <c r="K386" i="121"/>
  <c r="D407" i="121"/>
  <c r="D408" i="121"/>
  <c r="G228" i="25"/>
  <c r="G222" i="25"/>
  <c r="G476" i="117"/>
  <c r="G420" i="117"/>
  <c r="G414" i="117"/>
  <c r="G438" i="117"/>
  <c r="G454" i="117"/>
  <c r="G486" i="75"/>
  <c r="G472" i="75"/>
  <c r="G440" i="75"/>
  <c r="G446" i="75"/>
  <c r="C375" i="93"/>
  <c r="C374" i="93"/>
  <c r="C373" i="93"/>
  <c r="L317" i="111"/>
  <c r="D338" i="111"/>
  <c r="G213" i="17"/>
  <c r="G237" i="17"/>
  <c r="G207" i="17"/>
  <c r="G314" i="39"/>
  <c r="G298" i="39"/>
  <c r="G292" i="39"/>
  <c r="B291" i="39" s="1"/>
  <c r="G263" i="85"/>
  <c r="G225" i="85"/>
  <c r="B224" i="85" s="1"/>
  <c r="G231" i="85"/>
  <c r="G215" i="21"/>
  <c r="G221" i="21"/>
  <c r="G328" i="127"/>
  <c r="G354" i="127"/>
  <c r="G346" i="127"/>
  <c r="G322" i="127"/>
  <c r="G308" i="47"/>
  <c r="G284" i="47"/>
  <c r="K381" i="123"/>
  <c r="D403" i="123"/>
  <c r="G144" i="7"/>
  <c r="B143" i="7" s="1"/>
  <c r="G150" i="7"/>
  <c r="M325" i="63"/>
  <c r="D345" i="63"/>
  <c r="K243" i="43"/>
  <c r="D261" i="43"/>
  <c r="M388" i="97"/>
  <c r="D407" i="97"/>
  <c r="M369" i="131"/>
  <c r="D389" i="131"/>
  <c r="G370" i="65"/>
  <c r="B369" i="65" s="1"/>
  <c r="G376" i="65"/>
  <c r="B377" i="65" s="1"/>
  <c r="G402" i="65"/>
  <c r="L365" i="119"/>
  <c r="D386" i="119"/>
  <c r="K248" i="41"/>
  <c r="D266" i="41"/>
  <c r="M388" i="135"/>
  <c r="D407" i="135"/>
  <c r="G213" i="19"/>
  <c r="G237" i="19"/>
  <c r="G207" i="19"/>
  <c r="I178" i="15"/>
  <c r="D194" i="15"/>
  <c r="G386" i="61"/>
  <c r="G392" i="61"/>
  <c r="G418" i="61"/>
  <c r="C264" i="137"/>
  <c r="H274" i="137" s="1"/>
  <c r="G274" i="137"/>
  <c r="Q498" i="83"/>
  <c r="D522" i="83"/>
  <c r="G242" i="85"/>
  <c r="G266" i="85"/>
  <c r="G248" i="85"/>
  <c r="G419" i="71"/>
  <c r="G363" i="71"/>
  <c r="G369" i="71"/>
  <c r="G409" i="71"/>
  <c r="G206" i="31"/>
  <c r="B205" i="31" s="1"/>
  <c r="G238" i="31"/>
  <c r="G316" i="53"/>
  <c r="G308" i="53"/>
  <c r="G322" i="53"/>
  <c r="G215" i="31"/>
  <c r="G237" i="31"/>
  <c r="G231" i="31"/>
  <c r="L315" i="111"/>
  <c r="D335" i="111"/>
  <c r="C202" i="85" a="1"/>
  <c r="G340" i="115"/>
  <c r="G334" i="115"/>
  <c r="G326" i="115"/>
  <c r="G350" i="115"/>
  <c r="G299" i="45"/>
  <c r="G285" i="45"/>
  <c r="G315" i="45"/>
  <c r="K338" i="133"/>
  <c r="D360" i="133"/>
  <c r="K382" i="123"/>
  <c r="D404" i="123"/>
  <c r="C123" i="7" a="1"/>
  <c r="G284" i="35"/>
  <c r="G324" i="35"/>
  <c r="G225" i="105"/>
  <c r="B226" i="105" s="1"/>
  <c r="G219" i="105"/>
  <c r="K244" i="43"/>
  <c r="D262" i="43"/>
  <c r="M389" i="97"/>
  <c r="D409" i="97"/>
  <c r="M370" i="131"/>
  <c r="D390" i="131"/>
  <c r="L366" i="119"/>
  <c r="D387" i="119"/>
  <c r="G360" i="55"/>
  <c r="G400" i="55"/>
  <c r="B401" i="55" s="1"/>
  <c r="G394" i="55"/>
  <c r="G354" i="55"/>
  <c r="B353" i="55" s="1"/>
  <c r="M389" i="135"/>
  <c r="D409" i="135"/>
  <c r="C183" i="31" a="1"/>
  <c r="G607" i="81"/>
  <c r="G581" i="81"/>
  <c r="G575" i="81"/>
  <c r="G613" i="81"/>
  <c r="L321" i="111"/>
  <c r="D342" i="111"/>
  <c r="G223" i="21"/>
  <c r="G229" i="21"/>
  <c r="G239" i="21"/>
  <c r="G379" i="57"/>
  <c r="G419" i="57"/>
  <c r="G395" i="57"/>
  <c r="G411" i="57"/>
  <c r="G456" i="75"/>
  <c r="G520" i="75"/>
  <c r="G327" i="115"/>
  <c r="G341" i="115"/>
  <c r="G335" i="115"/>
  <c r="G351" i="115"/>
  <c r="K334" i="133"/>
  <c r="D353" i="133"/>
  <c r="G239" i="23"/>
  <c r="G229" i="23"/>
  <c r="G223" i="23"/>
  <c r="K386" i="123"/>
  <c r="D408" i="123"/>
  <c r="G298" i="47"/>
  <c r="G292" i="47"/>
  <c r="B291" i="47" s="1"/>
  <c r="G316" i="47"/>
  <c r="C199" i="137"/>
  <c r="C201" i="137"/>
  <c r="C198" i="137"/>
  <c r="C200" i="137"/>
  <c r="G230" i="21"/>
  <c r="G206" i="21"/>
  <c r="B205" i="21" s="1"/>
  <c r="M387" i="97"/>
  <c r="D406" i="97"/>
  <c r="M363" i="131"/>
  <c r="D382" i="131"/>
  <c r="G480" i="99"/>
  <c r="G408" i="99"/>
  <c r="G446" i="99"/>
  <c r="L360" i="119"/>
  <c r="D379" i="119"/>
  <c r="G393" i="59"/>
  <c r="G387" i="59"/>
  <c r="G409" i="59"/>
  <c r="C327" i="55" a="1"/>
  <c r="M390" i="135"/>
  <c r="D410" i="135"/>
  <c r="G410" i="55"/>
  <c r="G362" i="55"/>
  <c r="G368" i="55"/>
  <c r="G330" i="89"/>
  <c r="G338" i="89"/>
  <c r="G344" i="89"/>
  <c r="G354" i="89"/>
  <c r="M319" i="67"/>
  <c r="D339" i="67"/>
  <c r="G244" i="109"/>
  <c r="C235" i="109"/>
  <c r="H244" i="109" s="1"/>
  <c r="Q497" i="83"/>
  <c r="D521" i="83"/>
  <c r="G324" i="45"/>
  <c r="G316" i="45"/>
  <c r="G230" i="125"/>
  <c r="B229" i="125" s="1"/>
  <c r="G236" i="125"/>
  <c r="B237" i="125" s="1"/>
  <c r="G254" i="125"/>
  <c r="B253" i="125" s="1"/>
  <c r="G292" i="51"/>
  <c r="G316" i="51"/>
  <c r="G324" i="51"/>
  <c r="G298" i="51"/>
  <c r="B299" i="51" s="1"/>
  <c r="G467" i="117"/>
  <c r="G435" i="117"/>
  <c r="B436" i="117" s="1"/>
  <c r="G397" i="117"/>
  <c r="G461" i="117"/>
  <c r="G403" i="117"/>
  <c r="G236" i="105"/>
  <c r="G218" i="105"/>
  <c r="G212" i="105"/>
  <c r="G333" i="91"/>
  <c r="G365" i="91"/>
  <c r="G343" i="91"/>
  <c r="G387" i="57"/>
  <c r="G403" i="57"/>
  <c r="G377" i="57"/>
  <c r="G222" i="19"/>
  <c r="G228" i="19"/>
  <c r="G238" i="19"/>
  <c r="C183" i="21" a="1"/>
  <c r="M391" i="97"/>
  <c r="D411" i="97"/>
  <c r="M366" i="131"/>
  <c r="D385" i="131"/>
  <c r="L361" i="119"/>
  <c r="D381" i="119"/>
  <c r="G416" i="143"/>
  <c r="G440" i="143"/>
  <c r="G464" i="143"/>
  <c r="M387" i="135"/>
  <c r="D406" i="135"/>
  <c r="G432" i="143"/>
  <c r="G414" i="143"/>
  <c r="G448" i="143"/>
  <c r="G470" i="143"/>
  <c r="G408" i="143"/>
  <c r="G307" i="47"/>
  <c r="G325" i="47"/>
  <c r="G301" i="47"/>
  <c r="G242" i="109"/>
  <c r="C219" i="109"/>
  <c r="H242" i="109" s="1"/>
  <c r="G223" i="29"/>
  <c r="G239" i="29"/>
  <c r="G229" i="29"/>
  <c r="G300" i="45"/>
  <c r="G292" i="45"/>
  <c r="G322" i="45"/>
  <c r="G308" i="45"/>
  <c r="G120" i="11"/>
  <c r="D131" i="11"/>
  <c r="C232" i="27"/>
  <c r="H248" i="27" s="1"/>
  <c r="G248" i="27"/>
  <c r="G284" i="53"/>
  <c r="G324" i="53"/>
  <c r="C370" i="3"/>
  <c r="H396" i="3" s="1"/>
  <c r="G396" i="3"/>
  <c r="G291" i="51"/>
  <c r="G285" i="51"/>
  <c r="G230" i="19"/>
  <c r="G214" i="19"/>
  <c r="C183" i="25" a="1"/>
  <c r="G393" i="71"/>
  <c r="G387" i="71"/>
  <c r="G411" i="71"/>
  <c r="G376" i="57"/>
  <c r="G386" i="57"/>
  <c r="G402" i="57"/>
  <c r="B401" i="57" s="1"/>
  <c r="Q499" i="83"/>
  <c r="D523" i="83"/>
  <c r="G448" i="93"/>
  <c r="G424" i="93"/>
  <c r="G472" i="93"/>
  <c r="C198" i="125" a="1"/>
  <c r="G358" i="91"/>
  <c r="B357" i="91" s="1"/>
  <c r="G374" i="91"/>
  <c r="G350" i="91"/>
  <c r="G334" i="91"/>
  <c r="G380" i="91"/>
  <c r="G313" i="127"/>
  <c r="G319" i="127"/>
  <c r="G335" i="127"/>
  <c r="G478" i="79"/>
  <c r="G464" i="79"/>
  <c r="B463" i="79" s="1"/>
  <c r="G470" i="79"/>
  <c r="G324" i="47"/>
  <c r="G300" i="47"/>
  <c r="G306" i="47"/>
  <c r="B307" i="47" s="1"/>
  <c r="J242" i="107"/>
  <c r="D261" i="107"/>
  <c r="K245" i="49"/>
  <c r="D262" i="49"/>
  <c r="O401" i="77"/>
  <c r="D422" i="77"/>
  <c r="C227" i="109"/>
  <c r="H243" i="109" s="1"/>
  <c r="G243" i="109"/>
  <c r="Q500" i="83"/>
  <c r="D524" i="83"/>
  <c r="G479" i="79"/>
  <c r="G471" i="79"/>
  <c r="G465" i="79"/>
  <c r="K383" i="121"/>
  <c r="D405" i="121"/>
  <c r="G213" i="25"/>
  <c r="G207" i="25"/>
  <c r="B205" i="25" s="1"/>
  <c r="G551" i="81"/>
  <c r="G631" i="81"/>
  <c r="G557" i="81"/>
  <c r="G239" i="125"/>
  <c r="G263" i="125"/>
  <c r="G245" i="125"/>
  <c r="C411" i="75" a="1"/>
  <c r="G574" i="81"/>
  <c r="G580" i="81"/>
  <c r="B581" i="81" s="1"/>
  <c r="G606" i="81"/>
  <c r="G612" i="81"/>
  <c r="B613" i="81" s="1"/>
  <c r="G121" i="11"/>
  <c r="D135" i="11"/>
  <c r="M321" i="67"/>
  <c r="D341" i="67"/>
  <c r="G419" i="65"/>
  <c r="G387" i="65"/>
  <c r="G393" i="65"/>
  <c r="K380" i="123"/>
  <c r="D399" i="123"/>
  <c r="G318" i="115"/>
  <c r="G294" i="115"/>
  <c r="B293" i="115" s="1"/>
  <c r="G300" i="115"/>
  <c r="G332" i="115"/>
  <c r="C369" i="117" a="1"/>
  <c r="G379" i="69"/>
  <c r="G387" i="69"/>
  <c r="G401" i="69"/>
  <c r="G371" i="69"/>
  <c r="I200" i="87"/>
  <c r="D216" i="87"/>
  <c r="C362" i="3"/>
  <c r="H395" i="3" s="1"/>
  <c r="G395" i="3"/>
  <c r="L314" i="111"/>
  <c r="D333" i="111"/>
  <c r="G478" i="93"/>
  <c r="G456" i="93"/>
  <c r="G416" i="93"/>
  <c r="G440" i="93"/>
  <c r="G422" i="93"/>
  <c r="G384" i="65"/>
  <c r="G378" i="65"/>
  <c r="G410" i="65"/>
  <c r="G298" i="45"/>
  <c r="G314" i="45"/>
  <c r="G284" i="45"/>
  <c r="B283" i="45" s="1"/>
  <c r="G326" i="91"/>
  <c r="G382" i="91"/>
  <c r="G471" i="75"/>
  <c r="G465" i="75"/>
  <c r="G479" i="75"/>
  <c r="G206" i="29"/>
  <c r="B205" i="29" s="1"/>
  <c r="G236" i="29"/>
  <c r="G212" i="29"/>
  <c r="G465" i="93"/>
  <c r="G401" i="93"/>
  <c r="G407" i="93"/>
  <c r="G471" i="93"/>
  <c r="G439" i="93"/>
  <c r="G385" i="57"/>
  <c r="G417" i="57"/>
  <c r="G355" i="57"/>
  <c r="G361" i="57"/>
  <c r="C185" i="27"/>
  <c r="C184" i="27"/>
  <c r="C183" i="27"/>
  <c r="M318" i="67"/>
  <c r="D338" i="67"/>
  <c r="G302" i="115"/>
  <c r="G342" i="115"/>
  <c r="G511" i="79"/>
  <c r="G505" i="79"/>
  <c r="G519" i="79"/>
  <c r="G328" i="89"/>
  <c r="G314" i="89"/>
  <c r="G320" i="89"/>
  <c r="C268" i="115" a="1"/>
  <c r="Q490" i="83"/>
  <c r="D513" i="83"/>
  <c r="G215" i="29"/>
  <c r="G221" i="29"/>
  <c r="G254" i="113"/>
  <c r="B253" i="113" s="1"/>
  <c r="G230" i="113"/>
  <c r="B229" i="113" s="1"/>
  <c r="G236" i="113"/>
  <c r="G370" i="73"/>
  <c r="G418" i="73"/>
  <c r="G369" i="73"/>
  <c r="G363" i="73"/>
  <c r="G411" i="73"/>
  <c r="G228" i="23"/>
  <c r="G222" i="23"/>
  <c r="G238" i="23"/>
  <c r="I197" i="87"/>
  <c r="D213" i="87"/>
  <c r="G234" i="85"/>
  <c r="G240" i="85"/>
  <c r="G258" i="85"/>
  <c r="B221" i="27"/>
  <c r="L362" i="141"/>
  <c r="D383" i="141"/>
  <c r="G223" i="31"/>
  <c r="G229" i="31"/>
  <c r="G409" i="73"/>
  <c r="G379" i="73"/>
  <c r="G403" i="73"/>
  <c r="G417" i="73"/>
  <c r="G284" i="39"/>
  <c r="G324" i="39"/>
  <c r="G441" i="75"/>
  <c r="G473" i="75"/>
  <c r="G447" i="75"/>
  <c r="G487" i="75"/>
  <c r="G361" i="59"/>
  <c r="G355" i="59"/>
  <c r="G403" i="59"/>
  <c r="G293" i="37"/>
  <c r="G315" i="37"/>
  <c r="G299" i="37"/>
  <c r="G228" i="33"/>
  <c r="B229" i="33" s="1"/>
  <c r="G238" i="33"/>
  <c r="G222" i="33"/>
  <c r="G424" i="99"/>
  <c r="G448" i="99"/>
  <c r="G472" i="99"/>
  <c r="G239" i="25"/>
  <c r="G215" i="25"/>
  <c r="G221" i="25"/>
  <c r="K335" i="133"/>
  <c r="D355" i="133"/>
  <c r="G453" i="143"/>
  <c r="B454" i="143" s="1"/>
  <c r="G423" i="143"/>
  <c r="B422" i="143" s="1"/>
  <c r="G405" i="143"/>
  <c r="G401" i="55"/>
  <c r="G355" i="55"/>
  <c r="G395" i="55"/>
  <c r="G361" i="55"/>
  <c r="C183" i="29" a="1"/>
  <c r="J243" i="107"/>
  <c r="D262" i="107"/>
  <c r="G415" i="93"/>
  <c r="G433" i="93"/>
  <c r="G463" i="93"/>
  <c r="C304" i="146" l="1" a="1"/>
  <c r="G347" i="146"/>
  <c r="G355" i="146"/>
  <c r="G337" i="146"/>
  <c r="G356" i="146"/>
  <c r="G348" i="146"/>
  <c r="G338" i="146"/>
  <c r="G340" i="146"/>
  <c r="G330" i="146"/>
  <c r="G329" i="146"/>
  <c r="G339" i="146"/>
  <c r="C305" i="146"/>
  <c r="C304" i="146"/>
  <c r="C306" i="146"/>
  <c r="G361" i="146"/>
  <c r="B362" i="146" s="1"/>
  <c r="G353" i="146"/>
  <c r="G331" i="146"/>
  <c r="C341" i="145"/>
  <c r="H395" i="145" s="1"/>
  <c r="C349" i="145"/>
  <c r="H396" i="145" s="1"/>
  <c r="G396" i="145"/>
  <c r="C365" i="145"/>
  <c r="H398" i="145" s="1"/>
  <c r="G398" i="145"/>
  <c r="B330" i="144"/>
  <c r="G394" i="144" s="1"/>
  <c r="B338" i="144"/>
  <c r="C341" i="144" s="1"/>
  <c r="H395" i="144" s="1"/>
  <c r="B346" i="144"/>
  <c r="C349" i="144" s="1"/>
  <c r="H396" i="144" s="1"/>
  <c r="C365" i="144"/>
  <c r="H398" i="144" s="1"/>
  <c r="G398" i="144"/>
  <c r="C357" i="144"/>
  <c r="H397" i="144" s="1"/>
  <c r="G397" i="144"/>
  <c r="C341" i="2"/>
  <c r="H395" i="2" s="1"/>
  <c r="C357" i="2"/>
  <c r="H397" i="2" s="1"/>
  <c r="C365" i="2"/>
  <c r="H398" i="2" s="1"/>
  <c r="G398" i="2"/>
  <c r="G396" i="2"/>
  <c r="B221" i="17"/>
  <c r="B143" i="5"/>
  <c r="B317" i="91"/>
  <c r="B353" i="65"/>
  <c r="B377" i="59"/>
  <c r="B229" i="17"/>
  <c r="B315" i="39"/>
  <c r="B393" i="73"/>
  <c r="B471" i="75"/>
  <c r="C388" i="123" a="1"/>
  <c r="B439" i="93"/>
  <c r="B377" i="73"/>
  <c r="B205" i="19"/>
  <c r="B487" i="79"/>
  <c r="G533" i="79" s="1"/>
  <c r="B229" i="25"/>
  <c r="B407" i="93"/>
  <c r="G488" i="93" s="1"/>
  <c r="B159" i="7"/>
  <c r="B417" i="69"/>
  <c r="B541" i="81"/>
  <c r="B237" i="21"/>
  <c r="B213" i="19"/>
  <c r="B353" i="73"/>
  <c r="B248" i="85"/>
  <c r="C251" i="85" s="1"/>
  <c r="H275" i="85" s="1"/>
  <c r="B213" i="25"/>
  <c r="B404" i="117"/>
  <c r="B377" i="69"/>
  <c r="B417" i="55"/>
  <c r="B447" i="79"/>
  <c r="B275" i="35"/>
  <c r="B393" i="69"/>
  <c r="B573" i="81"/>
  <c r="B237" i="23"/>
  <c r="B369" i="71"/>
  <c r="B280" i="129"/>
  <c r="B385" i="71"/>
  <c r="B519" i="79"/>
  <c r="B412" i="117"/>
  <c r="B401" i="71"/>
  <c r="B323" i="39"/>
  <c r="G337" i="39" s="1"/>
  <c r="B299" i="45"/>
  <c r="B393" i="61"/>
  <c r="G430" i="61" s="1"/>
  <c r="B323" i="51"/>
  <c r="B565" i="81"/>
  <c r="B229" i="23"/>
  <c r="B283" i="37"/>
  <c r="B385" i="55"/>
  <c r="G437" i="135"/>
  <c r="G455" i="135"/>
  <c r="G485" i="135"/>
  <c r="G612" i="83"/>
  <c r="G574" i="83"/>
  <c r="G606" i="83"/>
  <c r="G580" i="83"/>
  <c r="G476" i="119"/>
  <c r="G454" i="119"/>
  <c r="G438" i="119"/>
  <c r="G414" i="119"/>
  <c r="G420" i="119"/>
  <c r="C396" i="135" a="1"/>
  <c r="G365" i="111"/>
  <c r="G383" i="111"/>
  <c r="C442" i="93"/>
  <c r="H492" i="93" s="1"/>
  <c r="G492" i="93"/>
  <c r="C380" i="73"/>
  <c r="H428" i="73" s="1"/>
  <c r="G428" i="73"/>
  <c r="B325" i="115"/>
  <c r="B463" i="75"/>
  <c r="C183" i="23"/>
  <c r="C185" i="23"/>
  <c r="C184" i="23"/>
  <c r="C154" i="5"/>
  <c r="H168" i="5" s="1"/>
  <c r="G168" i="5"/>
  <c r="G408" i="131"/>
  <c r="G456" i="131"/>
  <c r="G414" i="131"/>
  <c r="G472" i="131"/>
  <c r="C208" i="19"/>
  <c r="H245" i="19" s="1"/>
  <c r="G245" i="19"/>
  <c r="C250" i="129"/>
  <c r="C249" i="129"/>
  <c r="C248" i="129"/>
  <c r="C247" i="129"/>
  <c r="B361" i="73"/>
  <c r="B213" i="17"/>
  <c r="C490" i="79"/>
  <c r="H533" i="79" s="1"/>
  <c r="C251" i="41" a="1"/>
  <c r="B455" i="75"/>
  <c r="G297" i="107"/>
  <c r="G279" i="107"/>
  <c r="G311" i="107"/>
  <c r="G273" i="107"/>
  <c r="B272" i="107" s="1"/>
  <c r="B307" i="51"/>
  <c r="C356" i="69"/>
  <c r="H425" i="69" s="1"/>
  <c r="G425" i="69"/>
  <c r="B463" i="93"/>
  <c r="C327" i="67" a="1"/>
  <c r="B315" i="35"/>
  <c r="C356" i="73"/>
  <c r="H425" i="73" s="1"/>
  <c r="G425" i="73"/>
  <c r="G319" i="107"/>
  <c r="G313" i="107"/>
  <c r="G305" i="107"/>
  <c r="C247" i="107" a="1"/>
  <c r="B393" i="65"/>
  <c r="G314" i="107"/>
  <c r="G306" i="107"/>
  <c r="G320" i="107"/>
  <c r="B369" i="69"/>
  <c r="B415" i="93"/>
  <c r="G387" i="133"/>
  <c r="G435" i="133"/>
  <c r="B283" i="35"/>
  <c r="G270" i="113"/>
  <c r="C232" i="113"/>
  <c r="H270" i="113" s="1"/>
  <c r="G335" i="47"/>
  <c r="C310" i="47"/>
  <c r="H335" i="47" s="1"/>
  <c r="G438" i="97"/>
  <c r="G456" i="97"/>
  <c r="G486" i="97"/>
  <c r="C329" i="73"/>
  <c r="C328" i="73"/>
  <c r="C327" i="73"/>
  <c r="C413" i="79"/>
  <c r="C411" i="79"/>
  <c r="C412" i="79"/>
  <c r="B237" i="19"/>
  <c r="G423" i="139"/>
  <c r="G437" i="139"/>
  <c r="B401" i="73"/>
  <c r="G528" i="79"/>
  <c r="C450" i="79"/>
  <c r="H528" i="79" s="1"/>
  <c r="B460" i="117"/>
  <c r="G331" i="45"/>
  <c r="C278" i="45"/>
  <c r="H331" i="45" s="1"/>
  <c r="G355" i="63"/>
  <c r="B353" i="63" s="1"/>
  <c r="G369" i="63"/>
  <c r="G401" i="63"/>
  <c r="G420" i="133"/>
  <c r="G434" i="133"/>
  <c r="G426" i="133"/>
  <c r="G396" i="133"/>
  <c r="G470" i="141"/>
  <c r="G428" i="141"/>
  <c r="G460" i="141"/>
  <c r="G414" i="141"/>
  <c r="B218" i="105"/>
  <c r="G430" i="141"/>
  <c r="G438" i="141"/>
  <c r="G476" i="141"/>
  <c r="G422" i="141"/>
  <c r="G446" i="141"/>
  <c r="B431" i="93"/>
  <c r="C388" i="123"/>
  <c r="C392" i="123"/>
  <c r="C390" i="123"/>
  <c r="C391" i="123"/>
  <c r="C389" i="123"/>
  <c r="C204" i="85"/>
  <c r="C203" i="85"/>
  <c r="C202" i="85"/>
  <c r="C162" i="7"/>
  <c r="H169" i="7" s="1"/>
  <c r="G169" i="7"/>
  <c r="G457" i="121"/>
  <c r="G433" i="121"/>
  <c r="G495" i="121"/>
  <c r="G473" i="121"/>
  <c r="G439" i="121"/>
  <c r="G463" i="97"/>
  <c r="G479" i="97"/>
  <c r="G439" i="97"/>
  <c r="G445" i="97"/>
  <c r="G501" i="97"/>
  <c r="G461" i="119"/>
  <c r="G397" i="119"/>
  <c r="B396" i="119" s="1"/>
  <c r="G435" i="119"/>
  <c r="G467" i="119"/>
  <c r="G403" i="119"/>
  <c r="C294" i="47"/>
  <c r="H333" i="47" s="1"/>
  <c r="G333" i="47"/>
  <c r="G504" i="123"/>
  <c r="G432" i="123"/>
  <c r="G480" i="123"/>
  <c r="G450" i="123"/>
  <c r="G428" i="65"/>
  <c r="C380" i="65"/>
  <c r="H428" i="65" s="1"/>
  <c r="G505" i="121"/>
  <c r="G465" i="121"/>
  <c r="B464" i="121" s="1"/>
  <c r="G441" i="121"/>
  <c r="G489" i="121"/>
  <c r="G475" i="119"/>
  <c r="G413" i="119"/>
  <c r="G437" i="119"/>
  <c r="G419" i="119"/>
  <c r="G453" i="119"/>
  <c r="G391" i="139"/>
  <c r="G429" i="139"/>
  <c r="G407" i="139"/>
  <c r="G399" i="139"/>
  <c r="C402" i="93"/>
  <c r="H487" i="93" s="1"/>
  <c r="G487" i="93"/>
  <c r="G512" i="97"/>
  <c r="G448" i="97"/>
  <c r="G496" i="97"/>
  <c r="G472" i="97"/>
  <c r="B361" i="69"/>
  <c r="C536" i="81"/>
  <c r="H637" i="81" s="1"/>
  <c r="G637" i="81"/>
  <c r="B597" i="81"/>
  <c r="B361" i="59"/>
  <c r="G504" i="77"/>
  <c r="G518" i="77"/>
  <c r="G510" i="77"/>
  <c r="G315" i="41"/>
  <c r="G323" i="41"/>
  <c r="G283" i="41"/>
  <c r="G277" i="41"/>
  <c r="B409" i="71"/>
  <c r="C373" i="99"/>
  <c r="C375" i="99"/>
  <c r="C374" i="99"/>
  <c r="G630" i="83"/>
  <c r="G556" i="83"/>
  <c r="G550" i="83"/>
  <c r="B557" i="81"/>
  <c r="B385" i="61"/>
  <c r="G408" i="63"/>
  <c r="G376" i="63"/>
  <c r="G362" i="63"/>
  <c r="B439" i="79"/>
  <c r="B417" i="71"/>
  <c r="B221" i="33"/>
  <c r="G479" i="77"/>
  <c r="G471" i="77"/>
  <c r="G465" i="77"/>
  <c r="G488" i="117"/>
  <c r="C431" i="117"/>
  <c r="H488" i="117" s="1"/>
  <c r="C252" i="45"/>
  <c r="C251" i="45"/>
  <c r="C253" i="45"/>
  <c r="B291" i="45"/>
  <c r="C327" i="63" a="1"/>
  <c r="C327" i="69"/>
  <c r="C329" i="69"/>
  <c r="C328" i="69"/>
  <c r="B323" i="47"/>
  <c r="B210" i="105"/>
  <c r="G400" i="67"/>
  <c r="G370" i="67"/>
  <c r="G418" i="67"/>
  <c r="G441" i="133"/>
  <c r="G393" i="133"/>
  <c r="G403" i="133"/>
  <c r="G409" i="133"/>
  <c r="G331" i="35"/>
  <c r="C278" i="35"/>
  <c r="H331" i="35" s="1"/>
  <c r="C326" i="39"/>
  <c r="H337" i="39" s="1"/>
  <c r="B234" i="105"/>
  <c r="G249" i="27"/>
  <c r="C240" i="27"/>
  <c r="H249" i="27" s="1"/>
  <c r="G351" i="111"/>
  <c r="B350" i="111" s="1"/>
  <c r="G413" i="111"/>
  <c r="G357" i="111"/>
  <c r="G389" i="111"/>
  <c r="G284" i="49"/>
  <c r="G308" i="49"/>
  <c r="C396" i="73"/>
  <c r="H430" i="73" s="1"/>
  <c r="G430" i="73"/>
  <c r="G245" i="25"/>
  <c r="C208" i="25"/>
  <c r="H245" i="25" s="1"/>
  <c r="G432" i="131"/>
  <c r="G470" i="131"/>
  <c r="G438" i="131"/>
  <c r="G422" i="131"/>
  <c r="C240" i="21"/>
  <c r="H249" i="21" s="1"/>
  <c r="G249" i="21"/>
  <c r="G605" i="83"/>
  <c r="G541" i="83"/>
  <c r="G535" i="83"/>
  <c r="G599" i="83"/>
  <c r="C216" i="25"/>
  <c r="H246" i="25" s="1"/>
  <c r="G246" i="25"/>
  <c r="C356" i="55"/>
  <c r="H425" i="55" s="1"/>
  <c r="G425" i="55"/>
  <c r="G466" i="121"/>
  <c r="G490" i="121"/>
  <c r="G442" i="121"/>
  <c r="G506" i="121"/>
  <c r="C420" i="55"/>
  <c r="H433" i="55" s="1"/>
  <c r="G433" i="55"/>
  <c r="C329" i="57"/>
  <c r="C328" i="57"/>
  <c r="C327" i="57"/>
  <c r="B283" i="47"/>
  <c r="G334" i="45"/>
  <c r="C302" i="45"/>
  <c r="H334" i="45" s="1"/>
  <c r="B471" i="79"/>
  <c r="C184" i="21"/>
  <c r="C183" i="21"/>
  <c r="C185" i="21"/>
  <c r="C439" i="117"/>
  <c r="H489" i="117" s="1"/>
  <c r="G489" i="117"/>
  <c r="B447" i="99"/>
  <c r="G442" i="123"/>
  <c r="G490" i="123"/>
  <c r="G466" i="123"/>
  <c r="B361" i="55"/>
  <c r="G404" i="133"/>
  <c r="G410" i="133"/>
  <c r="G442" i="133"/>
  <c r="G394" i="133"/>
  <c r="G423" i="131"/>
  <c r="G433" i="131"/>
  <c r="G471" i="131"/>
  <c r="G439" i="131"/>
  <c r="G142" i="11"/>
  <c r="G160" i="11"/>
  <c r="G455" i="131"/>
  <c r="G425" i="131"/>
  <c r="G481" i="131"/>
  <c r="G449" i="131"/>
  <c r="G463" i="131"/>
  <c r="G440" i="123"/>
  <c r="G474" i="123"/>
  <c r="G434" i="123"/>
  <c r="G458" i="123"/>
  <c r="G496" i="123"/>
  <c r="B409" i="73"/>
  <c r="G337" i="51"/>
  <c r="C326" i="51"/>
  <c r="H337" i="51" s="1"/>
  <c r="B275" i="53"/>
  <c r="G399" i="111"/>
  <c r="G415" i="111"/>
  <c r="G375" i="111"/>
  <c r="C568" i="81"/>
  <c r="H641" i="81" s="1"/>
  <c r="G641" i="81"/>
  <c r="B213" i="21"/>
  <c r="G206" i="15"/>
  <c r="B205" i="15" s="1"/>
  <c r="G222" i="15"/>
  <c r="G238" i="15"/>
  <c r="G245" i="23"/>
  <c r="C208" i="23"/>
  <c r="H245" i="23" s="1"/>
  <c r="B377" i="55"/>
  <c r="G623" i="83"/>
  <c r="G629" i="83"/>
  <c r="G589" i="83"/>
  <c r="G583" i="83"/>
  <c r="G396" i="139"/>
  <c r="G382" i="139"/>
  <c r="G414" i="139"/>
  <c r="G420" i="139"/>
  <c r="G444" i="139"/>
  <c r="B393" i="71"/>
  <c r="G462" i="141"/>
  <c r="G478" i="141"/>
  <c r="G454" i="141"/>
  <c r="B407" i="99"/>
  <c r="C380" i="71"/>
  <c r="H428" i="71" s="1"/>
  <c r="G428" i="71"/>
  <c r="G470" i="77"/>
  <c r="G478" i="77"/>
  <c r="G464" i="77"/>
  <c r="B205" i="33"/>
  <c r="B353" i="57"/>
  <c r="B353" i="71"/>
  <c r="B315" i="47"/>
  <c r="G433" i="133"/>
  <c r="B434" i="133" s="1"/>
  <c r="G425" i="133"/>
  <c r="G419" i="133"/>
  <c r="G395" i="133"/>
  <c r="G240" i="87"/>
  <c r="G234" i="87"/>
  <c r="G258" i="87"/>
  <c r="G473" i="77"/>
  <c r="G487" i="77"/>
  <c r="G441" i="77"/>
  <c r="G447" i="77"/>
  <c r="C252" i="35"/>
  <c r="C251" i="35"/>
  <c r="C253" i="35"/>
  <c r="G567" i="83"/>
  <c r="G573" i="83"/>
  <c r="G597" i="83"/>
  <c r="G153" i="11"/>
  <c r="B151" i="11" s="1"/>
  <c r="G159" i="11"/>
  <c r="C369" i="119" a="1"/>
  <c r="G423" i="121"/>
  <c r="B424" i="121" s="1"/>
  <c r="G481" i="121"/>
  <c r="G417" i="121"/>
  <c r="B416" i="121" s="1"/>
  <c r="G455" i="121"/>
  <c r="G487" i="121"/>
  <c r="B393" i="55"/>
  <c r="G477" i="141"/>
  <c r="G461" i="141"/>
  <c r="G453" i="141"/>
  <c r="B312" i="129"/>
  <c r="C346" i="139" a="1"/>
  <c r="B399" i="99"/>
  <c r="B511" i="79"/>
  <c r="B237" i="33"/>
  <c r="B417" i="57"/>
  <c r="B361" i="71"/>
  <c r="B275" i="39"/>
  <c r="G276" i="95"/>
  <c r="C259" i="95"/>
  <c r="H276" i="95" s="1"/>
  <c r="B275" i="47"/>
  <c r="B621" i="81"/>
  <c r="G336" i="39"/>
  <c r="C318" i="39"/>
  <c r="H336" i="39" s="1"/>
  <c r="G299" i="41"/>
  <c r="G317" i="41"/>
  <c r="G293" i="41"/>
  <c r="C407" i="117"/>
  <c r="H485" i="117" s="1"/>
  <c r="G485" i="117"/>
  <c r="G366" i="111"/>
  <c r="G384" i="111"/>
  <c r="C286" i="45"/>
  <c r="H332" i="45" s="1"/>
  <c r="G332" i="45"/>
  <c r="C271" i="115"/>
  <c r="C268" i="115"/>
  <c r="C269" i="115"/>
  <c r="C270" i="115"/>
  <c r="G369" i="67"/>
  <c r="G411" i="67"/>
  <c r="G363" i="67"/>
  <c r="G393" i="67"/>
  <c r="G430" i="69"/>
  <c r="C396" i="69"/>
  <c r="H430" i="69" s="1"/>
  <c r="C283" i="129"/>
  <c r="H329" i="129" s="1"/>
  <c r="G329" i="129"/>
  <c r="B361" i="57"/>
  <c r="C404" i="71"/>
  <c r="H431" i="71" s="1"/>
  <c r="G431" i="71"/>
  <c r="C404" i="57"/>
  <c r="H431" i="57" s="1"/>
  <c r="G431" i="57"/>
  <c r="G284" i="41"/>
  <c r="G308" i="41"/>
  <c r="B221" i="21"/>
  <c r="G248" i="23"/>
  <c r="C232" i="23"/>
  <c r="H248" i="23" s="1"/>
  <c r="G334" i="51"/>
  <c r="C302" i="51"/>
  <c r="H334" i="51" s="1"/>
  <c r="G220" i="15"/>
  <c r="G228" i="15"/>
  <c r="G214" i="15"/>
  <c r="G431" i="97"/>
  <c r="G469" i="97"/>
  <c r="G503" i="97"/>
  <c r="B447" i="75"/>
  <c r="G429" i="97"/>
  <c r="G461" i="97"/>
  <c r="G493" i="97"/>
  <c r="G487" i="97"/>
  <c r="G423" i="97"/>
  <c r="G315" i="49"/>
  <c r="G293" i="49"/>
  <c r="G299" i="49"/>
  <c r="B283" i="51"/>
  <c r="B315" i="53"/>
  <c r="G332" i="37"/>
  <c r="C286" i="37"/>
  <c r="H332" i="37" s="1"/>
  <c r="B361" i="61"/>
  <c r="B237" i="25"/>
  <c r="G315" i="43"/>
  <c r="G285" i="43"/>
  <c r="G291" i="43"/>
  <c r="B352" i="89"/>
  <c r="C185" i="17"/>
  <c r="C184" i="17"/>
  <c r="C183" i="17"/>
  <c r="C388" i="121" a="1"/>
  <c r="G429" i="55"/>
  <c r="C388" i="55"/>
  <c r="H429" i="55" s="1"/>
  <c r="G402" i="63"/>
  <c r="G386" i="63"/>
  <c r="G394" i="63"/>
  <c r="G378" i="63"/>
  <c r="G328" i="129"/>
  <c r="C275" i="129"/>
  <c r="H328" i="129" s="1"/>
  <c r="B409" i="69"/>
  <c r="B312" i="89"/>
  <c r="B341" i="91"/>
  <c r="G275" i="95"/>
  <c r="C251" i="95"/>
  <c r="H275" i="95" s="1"/>
  <c r="C183" i="33"/>
  <c r="C184" i="33"/>
  <c r="C185" i="33"/>
  <c r="B213" i="33"/>
  <c r="B385" i="57"/>
  <c r="C256" i="137"/>
  <c r="H273" i="137" s="1"/>
  <c r="G273" i="137"/>
  <c r="B307" i="39"/>
  <c r="B352" i="127"/>
  <c r="G263" i="87"/>
  <c r="G225" i="87"/>
  <c r="B224" i="87" s="1"/>
  <c r="G231" i="87"/>
  <c r="B221" i="31"/>
  <c r="C201" i="113"/>
  <c r="C199" i="113"/>
  <c r="C200" i="113"/>
  <c r="C198" i="113"/>
  <c r="B549" i="81"/>
  <c r="G443" i="133"/>
  <c r="G379" i="133"/>
  <c r="G385" i="133"/>
  <c r="G427" i="133"/>
  <c r="C201" i="125"/>
  <c r="C200" i="125"/>
  <c r="C199" i="125"/>
  <c r="C198" i="125"/>
  <c r="C123" i="7"/>
  <c r="C124" i="7"/>
  <c r="C125" i="7"/>
  <c r="G428" i="69"/>
  <c r="C380" i="69"/>
  <c r="H428" i="69" s="1"/>
  <c r="B396" i="117"/>
  <c r="B439" i="99"/>
  <c r="G421" i="119"/>
  <c r="G469" i="119"/>
  <c r="G445" i="119"/>
  <c r="G331" i="51"/>
  <c r="C278" i="51"/>
  <c r="H331" i="51" s="1"/>
  <c r="C183" i="15" a="1"/>
  <c r="C584" i="81"/>
  <c r="H643" i="81" s="1"/>
  <c r="G643" i="81"/>
  <c r="B336" i="127"/>
  <c r="C208" i="31"/>
  <c r="H245" i="31" s="1"/>
  <c r="G245" i="31"/>
  <c r="B439" i="75"/>
  <c r="B221" i="29"/>
  <c r="C396" i="97" a="1"/>
  <c r="B417" i="73"/>
  <c r="G496" i="135"/>
  <c r="G472" i="135"/>
  <c r="G512" i="135"/>
  <c r="G448" i="135"/>
  <c r="B283" i="53"/>
  <c r="G411" i="119"/>
  <c r="G429" i="119"/>
  <c r="G459" i="119"/>
  <c r="G430" i="139"/>
  <c r="G446" i="139"/>
  <c r="G438" i="139"/>
  <c r="G368" i="111"/>
  <c r="G408" i="111"/>
  <c r="G374" i="111"/>
  <c r="G392" i="111"/>
  <c r="B409" i="61"/>
  <c r="G450" i="121"/>
  <c r="G432" i="121"/>
  <c r="G480" i="121"/>
  <c r="B291" i="51"/>
  <c r="G446" i="119"/>
  <c r="G422" i="119"/>
  <c r="G470" i="119"/>
  <c r="G445" i="141"/>
  <c r="B444" i="141" s="1"/>
  <c r="G475" i="141"/>
  <c r="G421" i="141"/>
  <c r="G437" i="141"/>
  <c r="G429" i="141"/>
  <c r="B240" i="85"/>
  <c r="G489" i="77"/>
  <c r="G495" i="77"/>
  <c r="G481" i="77"/>
  <c r="G503" i="77"/>
  <c r="G445" i="135"/>
  <c r="G479" i="135"/>
  <c r="G501" i="135"/>
  <c r="G463" i="135"/>
  <c r="G439" i="135"/>
  <c r="B328" i="89"/>
  <c r="B333" i="91"/>
  <c r="B471" i="99"/>
  <c r="G488" i="77"/>
  <c r="G502" i="77"/>
  <c r="G480" i="77"/>
  <c r="G494" i="77"/>
  <c r="B213" i="31"/>
  <c r="G447" i="139"/>
  <c r="G431" i="139"/>
  <c r="G439" i="139"/>
  <c r="B401" i="69"/>
  <c r="G271" i="137"/>
  <c r="C240" i="137"/>
  <c r="H271" i="137" s="1"/>
  <c r="C253" i="39"/>
  <c r="C251" i="39"/>
  <c r="C252" i="39"/>
  <c r="G265" i="87"/>
  <c r="G241" i="87"/>
  <c r="G247" i="87"/>
  <c r="G520" i="77"/>
  <c r="G456" i="77"/>
  <c r="B283" i="39"/>
  <c r="C202" i="87" a="1"/>
  <c r="B401" i="65"/>
  <c r="B296" i="129"/>
  <c r="B393" i="57"/>
  <c r="B229" i="31"/>
  <c r="C161" i="101"/>
  <c r="H168" i="101" s="1"/>
  <c r="G168" i="101"/>
  <c r="B470" i="143"/>
  <c r="G167" i="7"/>
  <c r="C146" i="7"/>
  <c r="H167" i="7" s="1"/>
  <c r="C320" i="115"/>
  <c r="H360" i="115" s="1"/>
  <c r="G360" i="115"/>
  <c r="G295" i="107"/>
  <c r="G289" i="107"/>
  <c r="G303" i="107"/>
  <c r="G410" i="63"/>
  <c r="G418" i="63"/>
  <c r="C544" i="81"/>
  <c r="H638" i="81" s="1"/>
  <c r="G638" i="81"/>
  <c r="G440" i="135"/>
  <c r="G464" i="135"/>
  <c r="G446" i="135"/>
  <c r="G502" i="135"/>
  <c r="G480" i="135"/>
  <c r="G379" i="67"/>
  <c r="G395" i="67"/>
  <c r="G417" i="67"/>
  <c r="G385" i="67"/>
  <c r="G458" i="121"/>
  <c r="G496" i="121"/>
  <c r="G474" i="121"/>
  <c r="G440" i="121"/>
  <c r="G434" i="121"/>
  <c r="C576" i="81"/>
  <c r="H642" i="81" s="1"/>
  <c r="G642" i="81"/>
  <c r="G647" i="81"/>
  <c r="C616" i="81"/>
  <c r="H647" i="81" s="1"/>
  <c r="C125" i="11"/>
  <c r="C124" i="11"/>
  <c r="C123" i="11"/>
  <c r="G566" i="83"/>
  <c r="G572" i="83"/>
  <c r="G596" i="83"/>
  <c r="G370" i="63"/>
  <c r="G384" i="63"/>
  <c r="G416" i="63"/>
  <c r="B221" i="25"/>
  <c r="C216" i="23"/>
  <c r="H246" i="23" s="1"/>
  <c r="G246" i="23"/>
  <c r="B479" i="79"/>
  <c r="B229" i="19"/>
  <c r="C185" i="29"/>
  <c r="C184" i="29"/>
  <c r="C183" i="29"/>
  <c r="B385" i="65"/>
  <c r="C370" i="117"/>
  <c r="C369" i="117"/>
  <c r="C372" i="117"/>
  <c r="C371" i="117"/>
  <c r="G588" i="83"/>
  <c r="G628" i="83"/>
  <c r="G582" i="83"/>
  <c r="G622" i="83"/>
  <c r="B377" i="57"/>
  <c r="B221" i="19"/>
  <c r="G440" i="131"/>
  <c r="G406" i="131"/>
  <c r="G400" i="131"/>
  <c r="G446" i="131"/>
  <c r="G424" i="131"/>
  <c r="G480" i="131"/>
  <c r="G462" i="131"/>
  <c r="G448" i="131"/>
  <c r="G454" i="131"/>
  <c r="B423" i="93"/>
  <c r="B333" i="115"/>
  <c r="B320" i="127"/>
  <c r="B307" i="45"/>
  <c r="B315" i="51"/>
  <c r="C373" i="131" a="1"/>
  <c r="G400" i="111"/>
  <c r="G376" i="111"/>
  <c r="G416" i="111"/>
  <c r="G277" i="43"/>
  <c r="B275" i="43" s="1"/>
  <c r="G307" i="43"/>
  <c r="G283" i="43"/>
  <c r="B283" i="43" s="1"/>
  <c r="B232" i="85"/>
  <c r="B229" i="29"/>
  <c r="C251" i="53"/>
  <c r="C253" i="53"/>
  <c r="C252" i="53"/>
  <c r="G293" i="43"/>
  <c r="G299" i="43"/>
  <c r="G309" i="43"/>
  <c r="G323" i="43"/>
  <c r="G337" i="37"/>
  <c r="C326" i="37"/>
  <c r="H337" i="37" s="1"/>
  <c r="C404" i="61"/>
  <c r="H431" i="61" s="1"/>
  <c r="G431" i="61"/>
  <c r="G386" i="67"/>
  <c r="G402" i="67"/>
  <c r="G409" i="63"/>
  <c r="G363" i="63"/>
  <c r="G377" i="63"/>
  <c r="B344" i="89"/>
  <c r="C369" i="141" a="1"/>
  <c r="B256" i="85"/>
  <c r="B320" i="89"/>
  <c r="B365" i="91"/>
  <c r="B307" i="53"/>
  <c r="B237" i="31"/>
  <c r="B385" i="69"/>
  <c r="B307" i="35"/>
  <c r="B328" i="127"/>
  <c r="B417" i="65"/>
  <c r="B304" i="129"/>
  <c r="B369" i="57"/>
  <c r="B344" i="127"/>
  <c r="C253" i="51"/>
  <c r="C252" i="51"/>
  <c r="C251" i="51"/>
  <c r="G248" i="25"/>
  <c r="C232" i="25"/>
  <c r="H248" i="25" s="1"/>
  <c r="G433" i="69"/>
  <c r="C420" i="69"/>
  <c r="H433" i="69" s="1"/>
  <c r="G292" i="43"/>
  <c r="G308" i="43"/>
  <c r="G298" i="43"/>
  <c r="G322" i="43"/>
  <c r="G239" i="87"/>
  <c r="G257" i="87"/>
  <c r="B256" i="87" s="1"/>
  <c r="G233" i="87"/>
  <c r="B315" i="45"/>
  <c r="G581" i="83"/>
  <c r="G607" i="83"/>
  <c r="G613" i="83"/>
  <c r="G575" i="83"/>
  <c r="B299" i="47"/>
  <c r="B323" i="53"/>
  <c r="C240" i="23"/>
  <c r="H249" i="23" s="1"/>
  <c r="G249" i="23"/>
  <c r="G428" i="139"/>
  <c r="G390" i="139"/>
  <c r="G406" i="139"/>
  <c r="B405" i="139" s="1"/>
  <c r="G398" i="139"/>
  <c r="G290" i="107"/>
  <c r="G296" i="107"/>
  <c r="G304" i="107"/>
  <c r="B468" i="117"/>
  <c r="C372" i="73"/>
  <c r="H427" i="73" s="1"/>
  <c r="G427" i="73"/>
  <c r="G143" i="11"/>
  <c r="G161" i="11"/>
  <c r="C232" i="33"/>
  <c r="H248" i="33" s="1"/>
  <c r="G248" i="33"/>
  <c r="B301" i="115"/>
  <c r="C413" i="75"/>
  <c r="C412" i="75"/>
  <c r="C411" i="75"/>
  <c r="B312" i="127"/>
  <c r="B323" i="45"/>
  <c r="G424" i="135"/>
  <c r="G430" i="135"/>
  <c r="G462" i="135"/>
  <c r="G494" i="135"/>
  <c r="G488" i="135"/>
  <c r="B369" i="55"/>
  <c r="G488" i="97"/>
  <c r="G424" i="97"/>
  <c r="G494" i="97"/>
  <c r="G430" i="97"/>
  <c r="G462" i="97"/>
  <c r="G411" i="133"/>
  <c r="G417" i="133"/>
  <c r="B418" i="133" s="1"/>
  <c r="G377" i="133"/>
  <c r="B378" i="133" s="1"/>
  <c r="G371" i="133"/>
  <c r="B370" i="133" s="1"/>
  <c r="G455" i="97"/>
  <c r="B454" i="97" s="1"/>
  <c r="G437" i="97"/>
  <c r="G485" i="97"/>
  <c r="B349" i="115"/>
  <c r="C251" i="43" a="1"/>
  <c r="G272" i="85"/>
  <c r="C227" i="85"/>
  <c r="H272" i="85" s="1"/>
  <c r="B487" i="75"/>
  <c r="G324" i="43"/>
  <c r="G316" i="43"/>
  <c r="B452" i="117"/>
  <c r="G316" i="41"/>
  <c r="G298" i="41"/>
  <c r="G292" i="41"/>
  <c r="B291" i="41" s="1"/>
  <c r="B275" i="37"/>
  <c r="G433" i="123"/>
  <c r="G473" i="123"/>
  <c r="B472" i="123" s="1"/>
  <c r="G457" i="123"/>
  <c r="G439" i="123"/>
  <c r="G495" i="123"/>
  <c r="B496" i="123" s="1"/>
  <c r="B353" i="61"/>
  <c r="B245" i="113"/>
  <c r="G231" i="15"/>
  <c r="G237" i="15"/>
  <c r="G323" i="49"/>
  <c r="G317" i="49"/>
  <c r="G283" i="49"/>
  <c r="G277" i="49"/>
  <c r="C124" i="5"/>
  <c r="C125" i="5"/>
  <c r="C123" i="5"/>
  <c r="B369" i="59"/>
  <c r="G301" i="41"/>
  <c r="G307" i="41"/>
  <c r="G325" i="41"/>
  <c r="C125" i="13"/>
  <c r="C124" i="13"/>
  <c r="C123" i="13"/>
  <c r="G306" i="49"/>
  <c r="G300" i="49"/>
  <c r="G324" i="49"/>
  <c r="B291" i="53"/>
  <c r="G236" i="15"/>
  <c r="G230" i="15"/>
  <c r="B296" i="89"/>
  <c r="G282" i="49"/>
  <c r="G316" i="49"/>
  <c r="G322" i="49"/>
  <c r="G276" i="49"/>
  <c r="B275" i="49" s="1"/>
  <c r="B373" i="91"/>
  <c r="B291" i="35"/>
  <c r="C252" i="47"/>
  <c r="C253" i="47"/>
  <c r="C251" i="47"/>
  <c r="G590" i="83"/>
  <c r="G558" i="83"/>
  <c r="B409" i="65"/>
  <c r="B288" i="129"/>
  <c r="C365" i="143"/>
  <c r="C361" i="143"/>
  <c r="C363" i="143"/>
  <c r="C362" i="143"/>
  <c r="C364" i="143"/>
  <c r="C366" i="143"/>
  <c r="B296" i="127"/>
  <c r="B446" i="143"/>
  <c r="G407" i="111"/>
  <c r="G391" i="111"/>
  <c r="G367" i="111"/>
  <c r="G373" i="111"/>
  <c r="B374" i="111" s="1"/>
  <c r="G306" i="41"/>
  <c r="G324" i="41"/>
  <c r="G300" i="41"/>
  <c r="C412" i="77"/>
  <c r="C411" i="77"/>
  <c r="C413" i="77"/>
  <c r="G415" i="131"/>
  <c r="G457" i="131"/>
  <c r="G409" i="131"/>
  <c r="G473" i="131"/>
  <c r="C216" i="19"/>
  <c r="H246" i="19" s="1"/>
  <c r="G246" i="19"/>
  <c r="G248" i="87"/>
  <c r="G242" i="87"/>
  <c r="G266" i="87"/>
  <c r="G447" i="135"/>
  <c r="G471" i="135"/>
  <c r="G495" i="135"/>
  <c r="G511" i="135"/>
  <c r="B510" i="135" s="1"/>
  <c r="B353" i="59"/>
  <c r="C372" i="71"/>
  <c r="H427" i="71" s="1"/>
  <c r="G427" i="71"/>
  <c r="G537" i="79"/>
  <c r="C522" i="79"/>
  <c r="H537" i="79" s="1"/>
  <c r="C415" i="117"/>
  <c r="H486" i="117" s="1"/>
  <c r="G486" i="117"/>
  <c r="G530" i="79"/>
  <c r="C466" i="79"/>
  <c r="H530" i="79" s="1"/>
  <c r="B213" i="29"/>
  <c r="B381" i="91"/>
  <c r="G273" i="125"/>
  <c r="C256" i="125"/>
  <c r="H273" i="125" s="1"/>
  <c r="C342" i="133" a="1"/>
  <c r="G419" i="63"/>
  <c r="G411" i="63"/>
  <c r="B264" i="85"/>
  <c r="B476" i="117"/>
  <c r="G417" i="63"/>
  <c r="G385" i="63"/>
  <c r="G371" i="63"/>
  <c r="C224" i="17"/>
  <c r="H247" i="17" s="1"/>
  <c r="G247" i="17"/>
  <c r="B417" i="61"/>
  <c r="G505" i="77"/>
  <c r="G511" i="77"/>
  <c r="G519" i="77"/>
  <c r="G383" i="139"/>
  <c r="G397" i="139"/>
  <c r="G415" i="139"/>
  <c r="G421" i="139"/>
  <c r="G445" i="139"/>
  <c r="C333" i="2"/>
  <c r="H394" i="2" s="1"/>
  <c r="G394" i="2"/>
  <c r="B261" i="113"/>
  <c r="G277" i="95"/>
  <c r="C267" i="95"/>
  <c r="H277" i="95" s="1"/>
  <c r="C146" i="5"/>
  <c r="H167" i="5" s="1"/>
  <c r="G167" i="5"/>
  <c r="B299" i="53"/>
  <c r="G387" i="63"/>
  <c r="G379" i="63"/>
  <c r="G395" i="63"/>
  <c r="G403" i="63"/>
  <c r="B143" i="13"/>
  <c r="B336" i="89"/>
  <c r="C251" i="49" a="1"/>
  <c r="G389" i="91"/>
  <c r="C320" i="91"/>
  <c r="H389" i="91" s="1"/>
  <c r="C327" i="71"/>
  <c r="C329" i="71"/>
  <c r="C328" i="71"/>
  <c r="B299" i="35"/>
  <c r="B431" i="99"/>
  <c r="B409" i="57"/>
  <c r="C356" i="65"/>
  <c r="H425" i="65" s="1"/>
  <c r="G425" i="65"/>
  <c r="G490" i="117"/>
  <c r="C447" i="117"/>
  <c r="H490" i="117" s="1"/>
  <c r="G480" i="97"/>
  <c r="G502" i="97"/>
  <c r="G464" i="97"/>
  <c r="G440" i="97"/>
  <c r="G446" i="97"/>
  <c r="B430" i="143"/>
  <c r="B377" i="61"/>
  <c r="B455" i="93"/>
  <c r="B420" i="117"/>
  <c r="G430" i="119"/>
  <c r="G412" i="119"/>
  <c r="G460" i="119"/>
  <c r="G464" i="131"/>
  <c r="G416" i="131"/>
  <c r="G314" i="49"/>
  <c r="G292" i="49"/>
  <c r="B291" i="49" s="1"/>
  <c r="G298" i="49"/>
  <c r="C185" i="19"/>
  <c r="C184" i="19"/>
  <c r="C183" i="19"/>
  <c r="B323" i="35"/>
  <c r="B462" i="143"/>
  <c r="C380" i="59"/>
  <c r="H428" i="59" s="1"/>
  <c r="G428" i="59"/>
  <c r="B423" i="99"/>
  <c r="G169" i="5"/>
  <c r="C162" i="5"/>
  <c r="H169" i="5" s="1"/>
  <c r="G447" i="131"/>
  <c r="G407" i="131"/>
  <c r="G441" i="131"/>
  <c r="G401" i="131"/>
  <c r="B307" i="37"/>
  <c r="G449" i="121"/>
  <c r="B448" i="121" s="1"/>
  <c r="G479" i="121"/>
  <c r="B480" i="121" s="1"/>
  <c r="G431" i="121"/>
  <c r="B159" i="13"/>
  <c r="B349" i="91"/>
  <c r="B455" i="79"/>
  <c r="B221" i="23"/>
  <c r="B463" i="99"/>
  <c r="B361" i="65"/>
  <c r="B304" i="127"/>
  <c r="B414" i="143"/>
  <c r="B369" i="61"/>
  <c r="G482" i="143"/>
  <c r="C425" i="143"/>
  <c r="H482" i="143" s="1"/>
  <c r="B605" i="81"/>
  <c r="C404" i="55"/>
  <c r="H431" i="55" s="1"/>
  <c r="G431" i="55"/>
  <c r="G427" i="65"/>
  <c r="C372" i="65"/>
  <c r="H427" i="65" s="1"/>
  <c r="C253" i="37"/>
  <c r="C252" i="37"/>
  <c r="C251" i="37"/>
  <c r="G403" i="67"/>
  <c r="G387" i="67"/>
  <c r="G429" i="71"/>
  <c r="C388" i="71"/>
  <c r="H429" i="71" s="1"/>
  <c r="G468" i="141"/>
  <c r="G406" i="141"/>
  <c r="G452" i="141"/>
  <c r="G420" i="141"/>
  <c r="C296" i="115"/>
  <c r="H357" i="115" s="1"/>
  <c r="G357" i="115"/>
  <c r="B237" i="29"/>
  <c r="G454" i="77"/>
  <c r="G512" i="77"/>
  <c r="G448" i="77"/>
  <c r="G496" i="77"/>
  <c r="C185" i="25"/>
  <c r="C184" i="25"/>
  <c r="C183" i="25"/>
  <c r="G271" i="125"/>
  <c r="C240" i="125"/>
  <c r="H271" i="125" s="1"/>
  <c r="G245" i="21"/>
  <c r="C208" i="21"/>
  <c r="H245" i="21" s="1"/>
  <c r="G314" i="43"/>
  <c r="G284" i="43"/>
  <c r="G290" i="43"/>
  <c r="G503" i="135"/>
  <c r="G469" i="135"/>
  <c r="B470" i="135" s="1"/>
  <c r="G431" i="135"/>
  <c r="C294" i="39"/>
  <c r="H333" i="39" s="1"/>
  <c r="G333" i="39"/>
  <c r="B406" i="143"/>
  <c r="G467" i="141"/>
  <c r="G405" i="141"/>
  <c r="G451" i="141"/>
  <c r="G419" i="141"/>
  <c r="B237" i="113"/>
  <c r="G392" i="67"/>
  <c r="G368" i="67"/>
  <c r="G362" i="67"/>
  <c r="B361" i="67" s="1"/>
  <c r="G410" i="67"/>
  <c r="C208" i="29"/>
  <c r="H245" i="29" s="1"/>
  <c r="G245" i="29"/>
  <c r="B479" i="93"/>
  <c r="G487" i="123"/>
  <c r="G481" i="123"/>
  <c r="G423" i="123"/>
  <c r="B424" i="123" s="1"/>
  <c r="G455" i="123"/>
  <c r="B456" i="123" s="1"/>
  <c r="G417" i="123"/>
  <c r="B416" i="123" s="1"/>
  <c r="G270" i="125"/>
  <c r="C232" i="125"/>
  <c r="H270" i="125" s="1"/>
  <c r="G438" i="135"/>
  <c r="G486" i="135"/>
  <c r="G456" i="135"/>
  <c r="B341" i="115"/>
  <c r="B151" i="7"/>
  <c r="B299" i="39"/>
  <c r="C232" i="17"/>
  <c r="H248" i="17" s="1"/>
  <c r="G248" i="17"/>
  <c r="B320" i="129"/>
  <c r="G446" i="77"/>
  <c r="G472" i="77"/>
  <c r="G440" i="77"/>
  <c r="B439" i="77" s="1"/>
  <c r="G486" i="77"/>
  <c r="B487" i="77" s="1"/>
  <c r="G422" i="139"/>
  <c r="G436" i="139"/>
  <c r="B447" i="93"/>
  <c r="G551" i="83"/>
  <c r="G631" i="83"/>
  <c r="G557" i="83"/>
  <c r="G301" i="49"/>
  <c r="G307" i="49"/>
  <c r="G325" i="49"/>
  <c r="B438" i="143"/>
  <c r="B401" i="59"/>
  <c r="B455" i="99"/>
  <c r="B589" i="81"/>
  <c r="B495" i="79"/>
  <c r="B245" i="125"/>
  <c r="C273" i="89"/>
  <c r="C272" i="89"/>
  <c r="C274" i="89"/>
  <c r="G413" i="141"/>
  <c r="B412" i="141" s="1"/>
  <c r="G459" i="141"/>
  <c r="G469" i="141"/>
  <c r="G427" i="141"/>
  <c r="B428" i="141" s="1"/>
  <c r="B304" i="89"/>
  <c r="B325" i="91"/>
  <c r="B519" i="75"/>
  <c r="B415" i="99"/>
  <c r="B315" i="37"/>
  <c r="G371" i="67"/>
  <c r="G401" i="67"/>
  <c r="G419" i="67"/>
  <c r="G604" i="83"/>
  <c r="B605" i="83" s="1"/>
  <c r="G534" i="83"/>
  <c r="B533" i="83" s="1"/>
  <c r="G540" i="83"/>
  <c r="G598" i="83"/>
  <c r="G495" i="97"/>
  <c r="G511" i="97"/>
  <c r="B510" i="97" s="1"/>
  <c r="G447" i="97"/>
  <c r="G471" i="97"/>
  <c r="C506" i="75"/>
  <c r="H535" i="75" s="1"/>
  <c r="G535" i="75"/>
  <c r="B385" i="59"/>
  <c r="B393" i="59"/>
  <c r="B629" i="81"/>
  <c r="G317" i="43"/>
  <c r="G325" i="43"/>
  <c r="B205" i="17"/>
  <c r="B503" i="79"/>
  <c r="G543" i="83"/>
  <c r="G621" i="83"/>
  <c r="G549" i="83"/>
  <c r="G615" i="83"/>
  <c r="B261" i="125"/>
  <c r="B511" i="75"/>
  <c r="B299" i="37"/>
  <c r="G321" i="107"/>
  <c r="G281" i="107"/>
  <c r="G168" i="13"/>
  <c r="C154" i="13"/>
  <c r="H168" i="13" s="1"/>
  <c r="C503" i="83" a="1"/>
  <c r="G416" i="67"/>
  <c r="B417" i="67" s="1"/>
  <c r="G378" i="67"/>
  <c r="G384" i="67"/>
  <c r="G394" i="67"/>
  <c r="C474" i="75"/>
  <c r="H531" i="75" s="1"/>
  <c r="G531" i="75"/>
  <c r="C457" i="143"/>
  <c r="H486" i="143" s="1"/>
  <c r="G486" i="143"/>
  <c r="C224" i="27"/>
  <c r="H247" i="27" s="1"/>
  <c r="G247" i="27"/>
  <c r="G273" i="113"/>
  <c r="C256" i="113"/>
  <c r="H273" i="113" s="1"/>
  <c r="C323" i="111" a="1"/>
  <c r="G394" i="91"/>
  <c r="C360" i="91"/>
  <c r="H394" i="91" s="1"/>
  <c r="G443" i="119"/>
  <c r="G405" i="119"/>
  <c r="G477" i="119"/>
  <c r="C329" i="55"/>
  <c r="C328" i="55"/>
  <c r="C327" i="55"/>
  <c r="C184" i="31"/>
  <c r="C185" i="31"/>
  <c r="C183" i="31"/>
  <c r="G245" i="105"/>
  <c r="C229" i="105"/>
  <c r="H245" i="105" s="1"/>
  <c r="G359" i="111"/>
  <c r="G397" i="111"/>
  <c r="B398" i="111" s="1"/>
  <c r="G479" i="123"/>
  <c r="G503" i="123"/>
  <c r="G431" i="123"/>
  <c r="G449" i="123"/>
  <c r="B448" i="123" s="1"/>
  <c r="G429" i="135"/>
  <c r="B430" i="135" s="1"/>
  <c r="G461" i="135"/>
  <c r="G493" i="135"/>
  <c r="G423" i="135"/>
  <c r="B422" i="135" s="1"/>
  <c r="G487" i="135"/>
  <c r="C504" i="81"/>
  <c r="C503" i="81"/>
  <c r="C505" i="81"/>
  <c r="B471" i="93"/>
  <c r="G429" i="73"/>
  <c r="C388" i="73"/>
  <c r="H429" i="73" s="1"/>
  <c r="G215" i="15"/>
  <c r="G221" i="15"/>
  <c r="G229" i="15"/>
  <c r="C312" i="115"/>
  <c r="H359" i="115" s="1"/>
  <c r="G359" i="115"/>
  <c r="G465" i="123"/>
  <c r="B464" i="123" s="1"/>
  <c r="G441" i="123"/>
  <c r="G489" i="123"/>
  <c r="B479" i="75"/>
  <c r="B409" i="55"/>
  <c r="B229" i="21"/>
  <c r="B495" i="75"/>
  <c r="G433" i="59"/>
  <c r="C420" i="59"/>
  <c r="H433" i="59" s="1"/>
  <c r="B479" i="99"/>
  <c r="C295" i="91"/>
  <c r="C293" i="91"/>
  <c r="C294" i="91"/>
  <c r="B409" i="59"/>
  <c r="B237" i="17"/>
  <c r="G322" i="41"/>
  <c r="G282" i="41"/>
  <c r="B283" i="41" s="1"/>
  <c r="G276" i="41"/>
  <c r="B275" i="41" s="1"/>
  <c r="G314" i="41"/>
  <c r="C274" i="127"/>
  <c r="C273" i="127"/>
  <c r="C272" i="127"/>
  <c r="B291" i="37"/>
  <c r="G455" i="77"/>
  <c r="G513" i="77"/>
  <c r="G449" i="77"/>
  <c r="G497" i="77"/>
  <c r="G542" i="83"/>
  <c r="G614" i="83"/>
  <c r="G548" i="83"/>
  <c r="G620" i="83"/>
  <c r="G377" i="67"/>
  <c r="G355" i="67"/>
  <c r="B353" i="67" s="1"/>
  <c r="G409" i="67"/>
  <c r="B409" i="67" s="1"/>
  <c r="B354" i="146" l="1"/>
  <c r="G397" i="146" s="1"/>
  <c r="B338" i="146"/>
  <c r="B330" i="146"/>
  <c r="G398" i="146"/>
  <c r="C365" i="146"/>
  <c r="H398" i="146" s="1"/>
  <c r="B346" i="146"/>
  <c r="G396" i="144"/>
  <c r="C333" i="144"/>
  <c r="H394" i="144" s="1"/>
  <c r="G395" i="144"/>
  <c r="B315" i="41"/>
  <c r="B385" i="67"/>
  <c r="B479" i="131"/>
  <c r="G275" i="85"/>
  <c r="B462" i="135"/>
  <c r="B478" i="135"/>
  <c r="C396" i="61"/>
  <c r="H430" i="61" s="1"/>
  <c r="B394" i="133"/>
  <c r="B299" i="49"/>
  <c r="B307" i="43"/>
  <c r="B447" i="131"/>
  <c r="B446" i="135"/>
  <c r="B422" i="97"/>
  <c r="G518" i="97" s="1"/>
  <c r="B456" i="121"/>
  <c r="B442" i="133"/>
  <c r="B504" i="121"/>
  <c r="B382" i="111"/>
  <c r="B323" i="41"/>
  <c r="B444" i="119"/>
  <c r="G490" i="119" s="1"/>
  <c r="B432" i="123"/>
  <c r="G514" i="123" s="1"/>
  <c r="B315" i="49"/>
  <c r="B406" i="111"/>
  <c r="B486" i="97"/>
  <c r="B407" i="131"/>
  <c r="B504" i="123"/>
  <c r="B429" i="139"/>
  <c r="C432" i="139" s="1"/>
  <c r="H460" i="139" s="1"/>
  <c r="B417" i="63"/>
  <c r="B288" i="107"/>
  <c r="B503" i="77"/>
  <c r="B436" i="141"/>
  <c r="B470" i="97"/>
  <c r="B452" i="119"/>
  <c r="B452" i="141"/>
  <c r="B437" i="139"/>
  <c r="B404" i="141"/>
  <c r="C407" i="141" s="1"/>
  <c r="H485" i="141" s="1"/>
  <c r="B237" i="15"/>
  <c r="B460" i="119"/>
  <c r="C463" i="119" s="1"/>
  <c r="H492" i="119" s="1"/>
  <c r="B229" i="15"/>
  <c r="B143" i="11"/>
  <c r="C410" i="93"/>
  <c r="H488" i="93" s="1"/>
  <c r="B565" i="83"/>
  <c r="B412" i="119"/>
  <c r="B557" i="83"/>
  <c r="G644" i="81"/>
  <c r="C592" i="81"/>
  <c r="H644" i="81" s="1"/>
  <c r="B447" i="77"/>
  <c r="B488" i="123"/>
  <c r="B455" i="77"/>
  <c r="G520" i="121"/>
  <c r="C483" i="121"/>
  <c r="H520" i="121" s="1"/>
  <c r="C146" i="13"/>
  <c r="H167" i="13" s="1"/>
  <c r="G167" i="13"/>
  <c r="C377" i="111"/>
  <c r="H425" i="111" s="1"/>
  <c r="G425" i="111"/>
  <c r="G272" i="113"/>
  <c r="C248" i="113"/>
  <c r="H272" i="113" s="1"/>
  <c r="C347" i="127"/>
  <c r="H366" i="127" s="1"/>
  <c r="G366" i="127"/>
  <c r="C286" i="43"/>
  <c r="H332" i="43" s="1"/>
  <c r="G332" i="43"/>
  <c r="G525" i="135"/>
  <c r="C481" i="135"/>
  <c r="H525" i="135" s="1"/>
  <c r="C388" i="121"/>
  <c r="C390" i="121"/>
  <c r="C389" i="121"/>
  <c r="C392" i="121"/>
  <c r="C391" i="121"/>
  <c r="C624" i="81"/>
  <c r="H648" i="81" s="1"/>
  <c r="G648" i="81"/>
  <c r="B488" i="121"/>
  <c r="C380" i="55"/>
  <c r="H428" i="55" s="1"/>
  <c r="G428" i="55"/>
  <c r="G531" i="79"/>
  <c r="C474" i="79"/>
  <c r="H531" i="79" s="1"/>
  <c r="G453" i="133"/>
  <c r="C397" i="133"/>
  <c r="H453" i="133" s="1"/>
  <c r="G518" i="121"/>
  <c r="C467" i="121"/>
  <c r="H518" i="121" s="1"/>
  <c r="B446" i="97"/>
  <c r="C224" i="23"/>
  <c r="H247" i="23" s="1"/>
  <c r="G247" i="23"/>
  <c r="C240" i="29"/>
  <c r="H249" i="29" s="1"/>
  <c r="G249" i="29"/>
  <c r="C445" i="133"/>
  <c r="H459" i="133" s="1"/>
  <c r="G459" i="133"/>
  <c r="C372" i="69"/>
  <c r="H427" i="69" s="1"/>
  <c r="G427" i="69"/>
  <c r="C310" i="51"/>
  <c r="H335" i="51" s="1"/>
  <c r="G335" i="51"/>
  <c r="G426" i="111"/>
  <c r="C385" i="111"/>
  <c r="H426" i="111" s="1"/>
  <c r="C440" i="139"/>
  <c r="H461" i="139" s="1"/>
  <c r="G461" i="139"/>
  <c r="G637" i="83"/>
  <c r="C536" i="83"/>
  <c r="H637" i="83" s="1"/>
  <c r="G331" i="41"/>
  <c r="C278" i="41"/>
  <c r="H331" i="41" s="1"/>
  <c r="C286" i="41"/>
  <c r="H332" i="41" s="1"/>
  <c r="G332" i="41"/>
  <c r="C253" i="43"/>
  <c r="C251" i="43"/>
  <c r="C252" i="43"/>
  <c r="G493" i="117"/>
  <c r="C471" i="117"/>
  <c r="H493" i="117" s="1"/>
  <c r="C372" i="57"/>
  <c r="H427" i="57" s="1"/>
  <c r="G427" i="57"/>
  <c r="C449" i="135"/>
  <c r="H521" i="135" s="1"/>
  <c r="G521" i="135"/>
  <c r="C404" i="59"/>
  <c r="H431" i="59" s="1"/>
  <c r="G431" i="59"/>
  <c r="G335" i="37"/>
  <c r="C310" i="37"/>
  <c r="H335" i="37" s="1"/>
  <c r="C499" i="123"/>
  <c r="H522" i="123" s="1"/>
  <c r="G522" i="123"/>
  <c r="C352" i="115"/>
  <c r="H364" i="115" s="1"/>
  <c r="G364" i="115"/>
  <c r="G332" i="129"/>
  <c r="C307" i="129"/>
  <c r="H332" i="129" s="1"/>
  <c r="G331" i="43"/>
  <c r="C278" i="43"/>
  <c r="H331" i="43" s="1"/>
  <c r="B399" i="131"/>
  <c r="G430" i="57"/>
  <c r="C396" i="57"/>
  <c r="H430" i="57" s="1"/>
  <c r="C442" i="99"/>
  <c r="H492" i="99" s="1"/>
  <c r="G492" i="99"/>
  <c r="G512" i="121"/>
  <c r="C419" i="121"/>
  <c r="H512" i="121" s="1"/>
  <c r="G488" i="99"/>
  <c r="C410" i="99"/>
  <c r="H488" i="99" s="1"/>
  <c r="G432" i="71"/>
  <c r="C412" i="71"/>
  <c r="H432" i="71" s="1"/>
  <c r="B478" i="97"/>
  <c r="B401" i="63"/>
  <c r="G328" i="107"/>
  <c r="C275" i="107"/>
  <c r="H328" i="107" s="1"/>
  <c r="B366" i="111"/>
  <c r="G536" i="75"/>
  <c r="C514" i="75"/>
  <c r="H536" i="75" s="1"/>
  <c r="C294" i="37"/>
  <c r="H333" i="37" s="1"/>
  <c r="G333" i="37"/>
  <c r="G433" i="67"/>
  <c r="C420" i="67"/>
  <c r="H433" i="67" s="1"/>
  <c r="C458" i="99"/>
  <c r="H494" i="99" s="1"/>
  <c r="G494" i="99"/>
  <c r="G431" i="69"/>
  <c r="C404" i="69"/>
  <c r="H431" i="69" s="1"/>
  <c r="G517" i="121"/>
  <c r="C459" i="121"/>
  <c r="H517" i="121" s="1"/>
  <c r="G336" i="37"/>
  <c r="C318" i="37"/>
  <c r="H336" i="37" s="1"/>
  <c r="G489" i="99"/>
  <c r="C418" i="99"/>
  <c r="H489" i="99" s="1"/>
  <c r="G526" i="97"/>
  <c r="C489" i="97"/>
  <c r="H526" i="97" s="1"/>
  <c r="G433" i="65"/>
  <c r="C420" i="65"/>
  <c r="H433" i="65" s="1"/>
  <c r="C299" i="129"/>
  <c r="H331" i="129" s="1"/>
  <c r="G331" i="129"/>
  <c r="C412" i="61"/>
  <c r="H432" i="61" s="1"/>
  <c r="G432" i="61"/>
  <c r="C420" i="73"/>
  <c r="H433" i="73" s="1"/>
  <c r="G433" i="73"/>
  <c r="B494" i="97"/>
  <c r="C286" i="47"/>
  <c r="H332" i="47" s="1"/>
  <c r="G332" i="47"/>
  <c r="B390" i="111"/>
  <c r="C434" i="93"/>
  <c r="H491" i="93" s="1"/>
  <c r="G491" i="93"/>
  <c r="B369" i="63"/>
  <c r="B312" i="107"/>
  <c r="B415" i="131"/>
  <c r="C397" i="135"/>
  <c r="C396" i="135"/>
  <c r="C398" i="135"/>
  <c r="C240" i="113"/>
  <c r="H271" i="113" s="1"/>
  <c r="G271" i="113"/>
  <c r="C356" i="67"/>
  <c r="H425" i="67" s="1"/>
  <c r="G425" i="67"/>
  <c r="C323" i="129"/>
  <c r="H334" i="129" s="1"/>
  <c r="G334" i="129"/>
  <c r="C451" i="123"/>
  <c r="H516" i="123" s="1"/>
  <c r="G516" i="123"/>
  <c r="C632" i="81"/>
  <c r="H649" i="81" s="1"/>
  <c r="G649" i="81"/>
  <c r="G276" i="87"/>
  <c r="C259" i="87"/>
  <c r="H276" i="87" s="1"/>
  <c r="C232" i="19"/>
  <c r="H248" i="19" s="1"/>
  <c r="G248" i="19"/>
  <c r="C522" i="75"/>
  <c r="H537" i="75" s="1"/>
  <c r="G537" i="75"/>
  <c r="G334" i="39"/>
  <c r="C302" i="39"/>
  <c r="H334" i="39" s="1"/>
  <c r="G485" i="143"/>
  <c r="C449" i="143"/>
  <c r="H485" i="143" s="1"/>
  <c r="C376" i="91"/>
  <c r="H396" i="91" s="1"/>
  <c r="G396" i="91"/>
  <c r="B438" i="97"/>
  <c r="B240" i="87"/>
  <c r="G364" i="127"/>
  <c r="C331" i="127"/>
  <c r="H364" i="127" s="1"/>
  <c r="C482" i="79"/>
  <c r="H532" i="79" s="1"/>
  <c r="G532" i="79"/>
  <c r="C404" i="65"/>
  <c r="H431" i="65" s="1"/>
  <c r="G431" i="65"/>
  <c r="C397" i="97"/>
  <c r="C396" i="97"/>
  <c r="C398" i="97"/>
  <c r="G367" i="89"/>
  <c r="C355" i="89"/>
  <c r="H367" i="89" s="1"/>
  <c r="B462" i="97"/>
  <c r="C278" i="39"/>
  <c r="H331" i="39" s="1"/>
  <c r="G331" i="39"/>
  <c r="C427" i="121"/>
  <c r="H513" i="121" s="1"/>
  <c r="G513" i="121"/>
  <c r="B358" i="111"/>
  <c r="B401" i="67"/>
  <c r="G247" i="33"/>
  <c r="C224" i="33"/>
  <c r="H247" i="33" s="1"/>
  <c r="B440" i="121"/>
  <c r="C356" i="63"/>
  <c r="H425" i="63" s="1"/>
  <c r="G425" i="63"/>
  <c r="B280" i="107"/>
  <c r="G485" i="141"/>
  <c r="C412" i="55"/>
  <c r="H432" i="55" s="1"/>
  <c r="G432" i="55"/>
  <c r="C412" i="67"/>
  <c r="H432" i="67" s="1"/>
  <c r="G432" i="67"/>
  <c r="C465" i="135"/>
  <c r="H523" i="135" s="1"/>
  <c r="G523" i="135"/>
  <c r="G518" i="123"/>
  <c r="C467" i="123"/>
  <c r="H518" i="123" s="1"/>
  <c r="C482" i="93"/>
  <c r="H497" i="93" s="1"/>
  <c r="G497" i="93"/>
  <c r="G334" i="49"/>
  <c r="C302" i="49"/>
  <c r="H334" i="49" s="1"/>
  <c r="C310" i="43"/>
  <c r="H335" i="43" s="1"/>
  <c r="G335" i="43"/>
  <c r="C447" i="119"/>
  <c r="H490" i="119" s="1"/>
  <c r="C435" i="123"/>
  <c r="H514" i="123" s="1"/>
  <c r="G430" i="59"/>
  <c r="C396" i="59"/>
  <c r="H430" i="59" s="1"/>
  <c r="B291" i="43"/>
  <c r="G646" i="81"/>
  <c r="C608" i="81"/>
  <c r="H646" i="81" s="1"/>
  <c r="G246" i="29"/>
  <c r="C216" i="29"/>
  <c r="H246" i="29" s="1"/>
  <c r="B440" i="123"/>
  <c r="C410" i="131"/>
  <c r="H488" i="131" s="1"/>
  <c r="G488" i="131"/>
  <c r="C399" i="117"/>
  <c r="H484" i="117" s="1"/>
  <c r="G484" i="117"/>
  <c r="B549" i="83"/>
  <c r="C412" i="59"/>
  <c r="H432" i="59" s="1"/>
  <c r="G432" i="59"/>
  <c r="G523" i="123"/>
  <c r="C507" i="123"/>
  <c r="H523" i="123" s="1"/>
  <c r="C388" i="59"/>
  <c r="H429" i="59" s="1"/>
  <c r="G429" i="59"/>
  <c r="B480" i="123"/>
  <c r="C324" i="111"/>
  <c r="C325" i="111"/>
  <c r="C323" i="111"/>
  <c r="C326" i="111"/>
  <c r="C328" i="91"/>
  <c r="H390" i="91" s="1"/>
  <c r="G390" i="91"/>
  <c r="G168" i="7"/>
  <c r="C154" i="7"/>
  <c r="H168" i="7" s="1"/>
  <c r="G426" i="67"/>
  <c r="C364" i="67"/>
  <c r="H426" i="67" s="1"/>
  <c r="B315" i="43"/>
  <c r="G334" i="53"/>
  <c r="C302" i="53"/>
  <c r="H334" i="53" s="1"/>
  <c r="G433" i="61"/>
  <c r="C420" i="61"/>
  <c r="H433" i="61" s="1"/>
  <c r="C299" i="127"/>
  <c r="H360" i="127" s="1"/>
  <c r="G360" i="127"/>
  <c r="C278" i="49"/>
  <c r="H331" i="49" s="1"/>
  <c r="G331" i="49"/>
  <c r="C475" i="123"/>
  <c r="H519" i="123" s="1"/>
  <c r="G519" i="123"/>
  <c r="C457" i="97"/>
  <c r="H522" i="97" s="1"/>
  <c r="G522" i="97"/>
  <c r="C326" i="45"/>
  <c r="H337" i="45" s="1"/>
  <c r="G337" i="45"/>
  <c r="B323" i="43"/>
  <c r="C310" i="35"/>
  <c r="H335" i="35" s="1"/>
  <c r="G335" i="35"/>
  <c r="C224" i="19"/>
  <c r="H247" i="19" s="1"/>
  <c r="G247" i="19"/>
  <c r="C204" i="87"/>
  <c r="C203" i="87"/>
  <c r="C202" i="87"/>
  <c r="G246" i="31"/>
  <c r="C216" i="31"/>
  <c r="H246" i="31" s="1"/>
  <c r="G247" i="29"/>
  <c r="C224" i="29"/>
  <c r="H247" i="29" s="1"/>
  <c r="C344" i="91"/>
  <c r="H392" i="91" s="1"/>
  <c r="G392" i="91"/>
  <c r="B430" i="97"/>
  <c r="C364" i="71"/>
  <c r="H426" i="71" s="1"/>
  <c r="G426" i="71"/>
  <c r="C370" i="119"/>
  <c r="C372" i="119"/>
  <c r="C369" i="119"/>
  <c r="C371" i="119"/>
  <c r="G245" i="15"/>
  <c r="C208" i="15"/>
  <c r="H245" i="15" s="1"/>
  <c r="B414" i="111"/>
  <c r="G243" i="105"/>
  <c r="C213" i="105"/>
  <c r="H243" i="105" s="1"/>
  <c r="G433" i="71"/>
  <c r="C420" i="71"/>
  <c r="H433" i="71" s="1"/>
  <c r="B472" i="121"/>
  <c r="G430" i="65"/>
  <c r="C396" i="65"/>
  <c r="H430" i="65" s="1"/>
  <c r="G519" i="135"/>
  <c r="C433" i="135"/>
  <c r="H519" i="135" s="1"/>
  <c r="C473" i="135"/>
  <c r="H524" i="135" s="1"/>
  <c r="G524" i="135"/>
  <c r="G425" i="61"/>
  <c r="C356" i="61"/>
  <c r="H425" i="61" s="1"/>
  <c r="C450" i="131"/>
  <c r="H493" i="131" s="1"/>
  <c r="G493" i="131"/>
  <c r="G639" i="81"/>
  <c r="C552" i="81"/>
  <c r="H639" i="81" s="1"/>
  <c r="C224" i="21"/>
  <c r="H247" i="21" s="1"/>
  <c r="G247" i="21"/>
  <c r="G523" i="121"/>
  <c r="C507" i="121"/>
  <c r="H523" i="121" s="1"/>
  <c r="B377" i="67"/>
  <c r="C504" i="83"/>
  <c r="C505" i="83"/>
  <c r="C503" i="83"/>
  <c r="G484" i="143"/>
  <c r="C441" i="143"/>
  <c r="H484" i="143" s="1"/>
  <c r="C318" i="49"/>
  <c r="H336" i="49" s="1"/>
  <c r="G336" i="49"/>
  <c r="C294" i="35"/>
  <c r="H333" i="35" s="1"/>
  <c r="G333" i="35"/>
  <c r="C307" i="89"/>
  <c r="H361" i="89" s="1"/>
  <c r="G361" i="89"/>
  <c r="G427" i="61"/>
  <c r="C372" i="61"/>
  <c r="H427" i="61" s="1"/>
  <c r="G432" i="57"/>
  <c r="C412" i="57"/>
  <c r="H432" i="57" s="1"/>
  <c r="B323" i="49"/>
  <c r="C372" i="59"/>
  <c r="H427" i="59" s="1"/>
  <c r="G427" i="59"/>
  <c r="C373" i="133"/>
  <c r="H450" i="133" s="1"/>
  <c r="G450" i="133"/>
  <c r="G362" i="127"/>
  <c r="C315" i="127"/>
  <c r="H362" i="127" s="1"/>
  <c r="C408" i="139"/>
  <c r="H457" i="139" s="1"/>
  <c r="G457" i="139"/>
  <c r="B299" i="43"/>
  <c r="C388" i="69"/>
  <c r="H429" i="69" s="1"/>
  <c r="G429" i="69"/>
  <c r="C373" i="131"/>
  <c r="C375" i="131"/>
  <c r="C374" i="131"/>
  <c r="G428" i="57"/>
  <c r="C380" i="57"/>
  <c r="H428" i="57" s="1"/>
  <c r="C286" i="39"/>
  <c r="H332" i="39" s="1"/>
  <c r="G332" i="39"/>
  <c r="B495" i="77"/>
  <c r="C243" i="85"/>
  <c r="H274" i="85" s="1"/>
  <c r="G274" i="85"/>
  <c r="G527" i="75"/>
  <c r="C442" i="75"/>
  <c r="H527" i="75" s="1"/>
  <c r="C224" i="31"/>
  <c r="H247" i="31" s="1"/>
  <c r="G247" i="31"/>
  <c r="C315" i="89"/>
  <c r="H362" i="89" s="1"/>
  <c r="G362" i="89"/>
  <c r="G528" i="75"/>
  <c r="C450" i="75"/>
  <c r="H528" i="75" s="1"/>
  <c r="G433" i="57"/>
  <c r="C420" i="57"/>
  <c r="H433" i="57" s="1"/>
  <c r="B159" i="11"/>
  <c r="C396" i="71"/>
  <c r="H430" i="71" s="1"/>
  <c r="G430" i="71"/>
  <c r="C216" i="21"/>
  <c r="H246" i="21" s="1"/>
  <c r="G246" i="21"/>
  <c r="G426" i="55"/>
  <c r="C364" i="55"/>
  <c r="H426" i="55" s="1"/>
  <c r="G422" i="111"/>
  <c r="C353" i="111"/>
  <c r="H422" i="111" s="1"/>
  <c r="G337" i="47"/>
  <c r="C326" i="47"/>
  <c r="H337" i="47" s="1"/>
  <c r="G527" i="79"/>
  <c r="C442" i="79"/>
  <c r="H527" i="79" s="1"/>
  <c r="B496" i="121"/>
  <c r="C247" i="107"/>
  <c r="C250" i="107"/>
  <c r="C249" i="107"/>
  <c r="C248" i="107"/>
  <c r="C458" i="75"/>
  <c r="H529" i="75" s="1"/>
  <c r="G529" i="75"/>
  <c r="C451" i="121"/>
  <c r="H516" i="121" s="1"/>
  <c r="G516" i="121"/>
  <c r="G336" i="45"/>
  <c r="C318" i="45"/>
  <c r="H336" i="45" s="1"/>
  <c r="C232" i="31"/>
  <c r="H248" i="31" s="1"/>
  <c r="G248" i="31"/>
  <c r="C425" i="97"/>
  <c r="H518" i="97" s="1"/>
  <c r="G331" i="47"/>
  <c r="C278" i="47"/>
  <c r="H331" i="47" s="1"/>
  <c r="C326" i="41"/>
  <c r="H337" i="41" s="1"/>
  <c r="G337" i="41"/>
  <c r="G333" i="49"/>
  <c r="C294" i="49"/>
  <c r="H333" i="49" s="1"/>
  <c r="G397" i="91"/>
  <c r="C384" i="91"/>
  <c r="H397" i="91" s="1"/>
  <c r="B621" i="83"/>
  <c r="C240" i="17"/>
  <c r="H249" i="17" s="1"/>
  <c r="G249" i="17"/>
  <c r="C409" i="111"/>
  <c r="H429" i="111" s="1"/>
  <c r="G429" i="111"/>
  <c r="C401" i="111"/>
  <c r="H428" i="111" s="1"/>
  <c r="G428" i="111"/>
  <c r="C344" i="115"/>
  <c r="H363" i="115" s="1"/>
  <c r="G363" i="115"/>
  <c r="B369" i="67"/>
  <c r="C302" i="37"/>
  <c r="H334" i="37" s="1"/>
  <c r="G334" i="37"/>
  <c r="C431" i="141"/>
  <c r="H488" i="141" s="1"/>
  <c r="G488" i="141"/>
  <c r="B393" i="67"/>
  <c r="G481" i="143"/>
  <c r="C417" i="143"/>
  <c r="H481" i="143" s="1"/>
  <c r="G491" i="99"/>
  <c r="C434" i="99"/>
  <c r="H491" i="99" s="1"/>
  <c r="G331" i="37"/>
  <c r="C278" i="37"/>
  <c r="H331" i="37" s="1"/>
  <c r="C381" i="133"/>
  <c r="H451" i="133" s="1"/>
  <c r="G451" i="133"/>
  <c r="B389" i="139"/>
  <c r="G249" i="31"/>
  <c r="C240" i="31"/>
  <c r="H249" i="31" s="1"/>
  <c r="C318" i="51"/>
  <c r="H336" i="51" s="1"/>
  <c r="G336" i="51"/>
  <c r="C224" i="25"/>
  <c r="H247" i="25" s="1"/>
  <c r="G247" i="25"/>
  <c r="B304" i="107"/>
  <c r="B232" i="87"/>
  <c r="C412" i="69"/>
  <c r="H432" i="69" s="1"/>
  <c r="G432" i="69"/>
  <c r="C240" i="33"/>
  <c r="H249" i="33" s="1"/>
  <c r="G249" i="33"/>
  <c r="C154" i="11"/>
  <c r="H168" i="11" s="1"/>
  <c r="G168" i="11"/>
  <c r="B426" i="133"/>
  <c r="B445" i="139"/>
  <c r="B423" i="131"/>
  <c r="B361" i="63"/>
  <c r="B511" i="77"/>
  <c r="C463" i="117"/>
  <c r="H492" i="117" s="1"/>
  <c r="G492" i="117"/>
  <c r="C251" i="41"/>
  <c r="C253" i="41"/>
  <c r="C252" i="41"/>
  <c r="G361" i="127"/>
  <c r="C307" i="127"/>
  <c r="H361" i="127" s="1"/>
  <c r="C302" i="35"/>
  <c r="H334" i="35" s="1"/>
  <c r="G334" i="35"/>
  <c r="G456" i="133"/>
  <c r="C421" i="133"/>
  <c r="H456" i="133" s="1"/>
  <c r="G460" i="139"/>
  <c r="G335" i="53"/>
  <c r="C310" i="53"/>
  <c r="H335" i="53" s="1"/>
  <c r="C310" i="45"/>
  <c r="H335" i="45" s="1"/>
  <c r="G335" i="45"/>
  <c r="C420" i="63"/>
  <c r="H433" i="63" s="1"/>
  <c r="G433" i="63"/>
  <c r="G330" i="107"/>
  <c r="C291" i="107"/>
  <c r="H330" i="107" s="1"/>
  <c r="C506" i="77"/>
  <c r="H535" i="77" s="1"/>
  <c r="G535" i="77"/>
  <c r="G489" i="141"/>
  <c r="C439" i="141"/>
  <c r="H489" i="141" s="1"/>
  <c r="C227" i="87"/>
  <c r="H272" i="87" s="1"/>
  <c r="G272" i="87"/>
  <c r="G249" i="25"/>
  <c r="C240" i="25"/>
  <c r="H249" i="25" s="1"/>
  <c r="C473" i="97"/>
  <c r="H524" i="97" s="1"/>
  <c r="G524" i="97"/>
  <c r="G426" i="57"/>
  <c r="C364" i="57"/>
  <c r="H426" i="57" s="1"/>
  <c r="C514" i="79"/>
  <c r="H536" i="79" s="1"/>
  <c r="G536" i="79"/>
  <c r="G458" i="133"/>
  <c r="C437" i="133"/>
  <c r="H458" i="133" s="1"/>
  <c r="B421" i="139"/>
  <c r="B439" i="131"/>
  <c r="B377" i="63"/>
  <c r="B519" i="77"/>
  <c r="G496" i="93"/>
  <c r="C474" i="93"/>
  <c r="H496" i="93" s="1"/>
  <c r="C264" i="125"/>
  <c r="H274" i="125" s="1"/>
  <c r="G274" i="125"/>
  <c r="C513" i="97"/>
  <c r="H529" i="97" s="1"/>
  <c r="G529" i="97"/>
  <c r="B460" i="141"/>
  <c r="B420" i="141"/>
  <c r="C364" i="65"/>
  <c r="H426" i="65" s="1"/>
  <c r="G426" i="65"/>
  <c r="C426" i="99"/>
  <c r="H490" i="99" s="1"/>
  <c r="G490" i="99"/>
  <c r="G487" i="117"/>
  <c r="C423" i="117"/>
  <c r="H487" i="117" s="1"/>
  <c r="G360" i="89"/>
  <c r="C299" i="89"/>
  <c r="H360" i="89" s="1"/>
  <c r="B299" i="41"/>
  <c r="C368" i="91"/>
  <c r="H395" i="91" s="1"/>
  <c r="G395" i="91"/>
  <c r="G363" i="127"/>
  <c r="C323" i="127"/>
  <c r="H363" i="127" s="1"/>
  <c r="B629" i="83"/>
  <c r="B385" i="63"/>
  <c r="B296" i="107"/>
  <c r="B248" i="87"/>
  <c r="G365" i="127"/>
  <c r="C339" i="127"/>
  <c r="H365" i="127" s="1"/>
  <c r="B264" i="87"/>
  <c r="C364" i="61"/>
  <c r="H426" i="61" s="1"/>
  <c r="G426" i="61"/>
  <c r="G487" i="99"/>
  <c r="C402" i="99"/>
  <c r="H487" i="99" s="1"/>
  <c r="G336" i="47"/>
  <c r="C318" i="47"/>
  <c r="H336" i="47" s="1"/>
  <c r="B413" i="139"/>
  <c r="B471" i="131"/>
  <c r="G246" i="105"/>
  <c r="C237" i="105"/>
  <c r="H246" i="105" s="1"/>
  <c r="B409" i="63"/>
  <c r="G491" i="119"/>
  <c r="C455" i="119"/>
  <c r="H491" i="119" s="1"/>
  <c r="G244" i="105"/>
  <c r="C221" i="105"/>
  <c r="H244" i="105" s="1"/>
  <c r="B320" i="107"/>
  <c r="B581" i="83"/>
  <c r="B283" i="49"/>
  <c r="G333" i="41"/>
  <c r="C294" i="41"/>
  <c r="H333" i="41" s="1"/>
  <c r="C415" i="141"/>
  <c r="H486" i="141" s="1"/>
  <c r="G486" i="141"/>
  <c r="G493" i="93"/>
  <c r="C450" i="93"/>
  <c r="H493" i="93" s="1"/>
  <c r="C455" i="141"/>
  <c r="H491" i="141" s="1"/>
  <c r="G491" i="141"/>
  <c r="G495" i="99"/>
  <c r="C466" i="99"/>
  <c r="H495" i="99" s="1"/>
  <c r="G494" i="93"/>
  <c r="C458" i="93"/>
  <c r="H494" i="93" s="1"/>
  <c r="G274" i="113"/>
  <c r="C264" i="113"/>
  <c r="H274" i="113" s="1"/>
  <c r="G358" i="115"/>
  <c r="C304" i="115"/>
  <c r="H358" i="115" s="1"/>
  <c r="C323" i="89"/>
  <c r="H363" i="89" s="1"/>
  <c r="G363" i="89"/>
  <c r="G362" i="115"/>
  <c r="C336" i="115"/>
  <c r="H362" i="115" s="1"/>
  <c r="B589" i="83"/>
  <c r="G496" i="99"/>
  <c r="C474" i="99"/>
  <c r="H496" i="99" s="1"/>
  <c r="B476" i="141"/>
  <c r="C355" i="127"/>
  <c r="H367" i="127" s="1"/>
  <c r="G367" i="127"/>
  <c r="B213" i="15"/>
  <c r="C348" i="139"/>
  <c r="C346" i="139"/>
  <c r="C349" i="139"/>
  <c r="C347" i="139"/>
  <c r="C356" i="71"/>
  <c r="H425" i="71" s="1"/>
  <c r="G425" i="71"/>
  <c r="B381" i="139"/>
  <c r="G493" i="99"/>
  <c r="C450" i="99"/>
  <c r="H493" i="99" s="1"/>
  <c r="B431" i="131"/>
  <c r="C328" i="63"/>
  <c r="C327" i="63"/>
  <c r="C329" i="63"/>
  <c r="C388" i="61"/>
  <c r="H429" i="61" s="1"/>
  <c r="G429" i="61"/>
  <c r="G426" i="59"/>
  <c r="C364" i="59"/>
  <c r="H426" i="59" s="1"/>
  <c r="B420" i="119"/>
  <c r="B404" i="119"/>
  <c r="G431" i="73"/>
  <c r="C404" i="73"/>
  <c r="H431" i="73" s="1"/>
  <c r="C216" i="17"/>
  <c r="H246" i="17" s="1"/>
  <c r="G246" i="17"/>
  <c r="C479" i="117"/>
  <c r="H494" i="117" s="1"/>
  <c r="G494" i="117"/>
  <c r="G249" i="15"/>
  <c r="C240" i="15"/>
  <c r="H249" i="15" s="1"/>
  <c r="G491" i="117"/>
  <c r="C455" i="117"/>
  <c r="H491" i="117" s="1"/>
  <c r="C326" i="53"/>
  <c r="H337" i="53" s="1"/>
  <c r="G337" i="53"/>
  <c r="G276" i="85"/>
  <c r="C259" i="85"/>
  <c r="H276" i="85" s="1"/>
  <c r="G490" i="93"/>
  <c r="C426" i="93"/>
  <c r="H490" i="93" s="1"/>
  <c r="B597" i="83"/>
  <c r="G391" i="91"/>
  <c r="C336" i="91"/>
  <c r="H391" i="91" s="1"/>
  <c r="G490" i="141"/>
  <c r="C447" i="141"/>
  <c r="H490" i="141" s="1"/>
  <c r="G492" i="119"/>
  <c r="C310" i="39"/>
  <c r="H335" i="39" s="1"/>
  <c r="G335" i="39"/>
  <c r="B393" i="63"/>
  <c r="C232" i="15"/>
  <c r="H248" i="15" s="1"/>
  <c r="G248" i="15"/>
  <c r="C315" i="129"/>
  <c r="H333" i="129" s="1"/>
  <c r="G333" i="129"/>
  <c r="G425" i="57"/>
  <c r="C356" i="57"/>
  <c r="H425" i="57" s="1"/>
  <c r="B397" i="139"/>
  <c r="G167" i="11"/>
  <c r="C146" i="11"/>
  <c r="H167" i="11" s="1"/>
  <c r="C294" i="45"/>
  <c r="H333" i="45" s="1"/>
  <c r="G333" i="45"/>
  <c r="C560" i="81"/>
  <c r="H640" i="81" s="1"/>
  <c r="G640" i="81"/>
  <c r="C600" i="81"/>
  <c r="H645" i="81" s="1"/>
  <c r="G645" i="81"/>
  <c r="B468" i="119"/>
  <c r="G332" i="35"/>
  <c r="C286" i="35"/>
  <c r="H332" i="35" s="1"/>
  <c r="C364" i="73"/>
  <c r="H426" i="73" s="1"/>
  <c r="G426" i="73"/>
  <c r="G530" i="75"/>
  <c r="C466" i="75"/>
  <c r="H530" i="75" s="1"/>
  <c r="C482" i="99"/>
  <c r="H497" i="99" s="1"/>
  <c r="G497" i="99"/>
  <c r="C498" i="75"/>
  <c r="H534" i="75" s="1"/>
  <c r="G534" i="75"/>
  <c r="C380" i="61"/>
  <c r="H428" i="61" s="1"/>
  <c r="G428" i="61"/>
  <c r="C232" i="21"/>
  <c r="H248" i="21" s="1"/>
  <c r="G248" i="21"/>
  <c r="B541" i="83"/>
  <c r="G512" i="123"/>
  <c r="C419" i="123"/>
  <c r="H512" i="123" s="1"/>
  <c r="B468" i="141"/>
  <c r="G529" i="79"/>
  <c r="C458" i="79"/>
  <c r="H529" i="79" s="1"/>
  <c r="G487" i="143"/>
  <c r="C465" i="143"/>
  <c r="H487" i="143" s="1"/>
  <c r="G483" i="143"/>
  <c r="C433" i="143"/>
  <c r="H483" i="143" s="1"/>
  <c r="G277" i="85"/>
  <c r="C267" i="85"/>
  <c r="H277" i="85" s="1"/>
  <c r="G425" i="59"/>
  <c r="C356" i="59"/>
  <c r="H425" i="59" s="1"/>
  <c r="C291" i="129"/>
  <c r="H330" i="129" s="1"/>
  <c r="G330" i="129"/>
  <c r="C294" i="53"/>
  <c r="H333" i="53" s="1"/>
  <c r="G333" i="53"/>
  <c r="G334" i="47"/>
  <c r="C302" i="47"/>
  <c r="H334" i="47" s="1"/>
  <c r="C371" i="141"/>
  <c r="C370" i="141"/>
  <c r="C372" i="141"/>
  <c r="C369" i="141"/>
  <c r="B455" i="131"/>
  <c r="B573" i="83"/>
  <c r="C331" i="89"/>
  <c r="H364" i="89" s="1"/>
  <c r="G364" i="89"/>
  <c r="B428" i="119"/>
  <c r="C185" i="15"/>
  <c r="C184" i="15"/>
  <c r="C183" i="15"/>
  <c r="G336" i="53"/>
  <c r="C318" i="53"/>
  <c r="H336" i="53" s="1"/>
  <c r="B221" i="15"/>
  <c r="C208" i="33"/>
  <c r="H245" i="33" s="1"/>
  <c r="G245" i="33"/>
  <c r="C278" i="53"/>
  <c r="H331" i="53" s="1"/>
  <c r="G331" i="53"/>
  <c r="B436" i="119"/>
  <c r="C318" i="35"/>
  <c r="H336" i="35" s="1"/>
  <c r="G336" i="35"/>
  <c r="G361" i="115"/>
  <c r="C328" i="115"/>
  <c r="H361" i="115" s="1"/>
  <c r="B613" i="83"/>
  <c r="C412" i="65"/>
  <c r="H432" i="65" s="1"/>
  <c r="G432" i="65"/>
  <c r="G366" i="89"/>
  <c r="C347" i="89"/>
  <c r="H366" i="89" s="1"/>
  <c r="G641" i="83"/>
  <c r="C568" i="83"/>
  <c r="H641" i="83" s="1"/>
  <c r="G486" i="119"/>
  <c r="C415" i="119"/>
  <c r="H486" i="119" s="1"/>
  <c r="B463" i="77"/>
  <c r="G640" i="83"/>
  <c r="C560" i="83"/>
  <c r="H640" i="83" s="1"/>
  <c r="B476" i="119"/>
  <c r="G484" i="119"/>
  <c r="C399" i="119"/>
  <c r="H484" i="119" s="1"/>
  <c r="C240" i="19"/>
  <c r="H249" i="19" s="1"/>
  <c r="G249" i="19"/>
  <c r="C327" i="67"/>
  <c r="C329" i="67"/>
  <c r="C328" i="67"/>
  <c r="B486" i="135"/>
  <c r="G533" i="77"/>
  <c r="C490" i="77"/>
  <c r="H533" i="77" s="1"/>
  <c r="G480" i="143"/>
  <c r="C409" i="143"/>
  <c r="H480" i="143" s="1"/>
  <c r="C513" i="135"/>
  <c r="H529" i="135" s="1"/>
  <c r="G529" i="135"/>
  <c r="G332" i="51"/>
  <c r="C286" i="51"/>
  <c r="H332" i="51" s="1"/>
  <c r="G532" i="75"/>
  <c r="C482" i="75"/>
  <c r="H532" i="75" s="1"/>
  <c r="C425" i="135"/>
  <c r="H518" i="135" s="1"/>
  <c r="G518" i="135"/>
  <c r="G535" i="79"/>
  <c r="C506" i="79"/>
  <c r="H535" i="79" s="1"/>
  <c r="C608" i="83"/>
  <c r="H646" i="83" s="1"/>
  <c r="G646" i="83"/>
  <c r="G272" i="125"/>
  <c r="C248" i="125"/>
  <c r="H272" i="125" s="1"/>
  <c r="G527" i="77"/>
  <c r="C442" i="77"/>
  <c r="H527" i="77" s="1"/>
  <c r="C427" i="123"/>
  <c r="H513" i="123" s="1"/>
  <c r="G513" i="123"/>
  <c r="G169" i="13"/>
  <c r="C162" i="13"/>
  <c r="H169" i="13" s="1"/>
  <c r="C252" i="49"/>
  <c r="C253" i="49"/>
  <c r="C251" i="49"/>
  <c r="C490" i="75"/>
  <c r="H533" i="75" s="1"/>
  <c r="G533" i="75"/>
  <c r="C232" i="29"/>
  <c r="H248" i="29" s="1"/>
  <c r="G248" i="29"/>
  <c r="B463" i="131"/>
  <c r="G488" i="143"/>
  <c r="C473" i="143"/>
  <c r="H488" i="143" s="1"/>
  <c r="C286" i="53"/>
  <c r="H332" i="53" s="1"/>
  <c r="G332" i="53"/>
  <c r="B386" i="133"/>
  <c r="G429" i="57"/>
  <c r="C388" i="57"/>
  <c r="H429" i="57" s="1"/>
  <c r="B479" i="77"/>
  <c r="B410" i="133"/>
  <c r="C364" i="69"/>
  <c r="H426" i="69" s="1"/>
  <c r="G426" i="69"/>
  <c r="C418" i="93"/>
  <c r="H489" i="93" s="1"/>
  <c r="G489" i="93"/>
  <c r="G495" i="93"/>
  <c r="C466" i="93"/>
  <c r="H495" i="93" s="1"/>
  <c r="B454" i="135"/>
  <c r="G517" i="123"/>
  <c r="C459" i="123"/>
  <c r="H517" i="123" s="1"/>
  <c r="C352" i="91"/>
  <c r="H393" i="91" s="1"/>
  <c r="G393" i="91"/>
  <c r="C326" i="35"/>
  <c r="H337" i="35" s="1"/>
  <c r="G337" i="35"/>
  <c r="G336" i="41"/>
  <c r="C318" i="41"/>
  <c r="H336" i="41" s="1"/>
  <c r="B494" i="135"/>
  <c r="G429" i="67"/>
  <c r="C388" i="67"/>
  <c r="H429" i="67" s="1"/>
  <c r="G245" i="17"/>
  <c r="C208" i="17"/>
  <c r="H245" i="17" s="1"/>
  <c r="C498" i="79"/>
  <c r="H534" i="79" s="1"/>
  <c r="G534" i="79"/>
  <c r="B432" i="121"/>
  <c r="G365" i="89"/>
  <c r="C339" i="89"/>
  <c r="H365" i="89" s="1"/>
  <c r="C345" i="133"/>
  <c r="C342" i="133"/>
  <c r="C346" i="133"/>
  <c r="C344" i="133"/>
  <c r="C343" i="133"/>
  <c r="B307" i="41"/>
  <c r="B307" i="49"/>
  <c r="G427" i="55"/>
  <c r="C372" i="55"/>
  <c r="H427" i="55" s="1"/>
  <c r="G273" i="85"/>
  <c r="C235" i="85"/>
  <c r="H273" i="85" s="1"/>
  <c r="G497" i="131"/>
  <c r="C482" i="131"/>
  <c r="H497" i="131" s="1"/>
  <c r="G429" i="65"/>
  <c r="C388" i="65"/>
  <c r="H429" i="65" s="1"/>
  <c r="B502" i="135"/>
  <c r="G333" i="51"/>
  <c r="C294" i="51"/>
  <c r="H333" i="51" s="1"/>
  <c r="G246" i="33"/>
  <c r="C216" i="33"/>
  <c r="H246" i="33" s="1"/>
  <c r="G430" i="55"/>
  <c r="C396" i="55"/>
  <c r="H430" i="55" s="1"/>
  <c r="B471" i="77"/>
  <c r="G432" i="73"/>
  <c r="C412" i="73"/>
  <c r="H432" i="73" s="1"/>
  <c r="B402" i="133"/>
  <c r="B502" i="97"/>
  <c r="B438" i="135"/>
  <c r="C357" i="146" l="1"/>
  <c r="H397" i="146" s="1"/>
  <c r="G396" i="146"/>
  <c r="C349" i="146"/>
  <c r="H396" i="146" s="1"/>
  <c r="G394" i="146"/>
  <c r="C333" i="146"/>
  <c r="H394" i="146" s="1"/>
  <c r="C341" i="146"/>
  <c r="H395" i="146" s="1"/>
  <c r="G395" i="146"/>
  <c r="C412" i="63"/>
  <c r="H432" i="63" s="1"/>
  <c r="G432" i="63"/>
  <c r="C388" i="63"/>
  <c r="H429" i="63" s="1"/>
  <c r="G429" i="63"/>
  <c r="G492" i="141"/>
  <c r="C463" i="141"/>
  <c r="H492" i="141" s="1"/>
  <c r="C514" i="77"/>
  <c r="H536" i="77" s="1"/>
  <c r="G536" i="77"/>
  <c r="C443" i="121"/>
  <c r="H515" i="121" s="1"/>
  <c r="G515" i="121"/>
  <c r="G489" i="131"/>
  <c r="C418" i="131"/>
  <c r="H489" i="131" s="1"/>
  <c r="C471" i="119"/>
  <c r="H493" i="119" s="1"/>
  <c r="G493" i="119"/>
  <c r="G430" i="63"/>
  <c r="C396" i="63"/>
  <c r="H430" i="63" s="1"/>
  <c r="G494" i="141"/>
  <c r="C479" i="141"/>
  <c r="H494" i="141" s="1"/>
  <c r="G649" i="83"/>
  <c r="C632" i="83"/>
  <c r="H649" i="83" s="1"/>
  <c r="C364" i="63"/>
  <c r="H426" i="63" s="1"/>
  <c r="G426" i="63"/>
  <c r="C372" i="67"/>
  <c r="H427" i="67" s="1"/>
  <c r="G427" i="67"/>
  <c r="C499" i="121"/>
  <c r="H522" i="121" s="1"/>
  <c r="G522" i="121"/>
  <c r="C443" i="123"/>
  <c r="H515" i="123" s="1"/>
  <c r="G515" i="123"/>
  <c r="C315" i="107"/>
  <c r="H333" i="107" s="1"/>
  <c r="G333" i="107"/>
  <c r="C402" i="131"/>
  <c r="H487" i="131" s="1"/>
  <c r="G487" i="131"/>
  <c r="C413" i="133"/>
  <c r="H455" i="133" s="1"/>
  <c r="G455" i="133"/>
  <c r="G335" i="41"/>
  <c r="C310" i="41"/>
  <c r="H335" i="41" s="1"/>
  <c r="G522" i="135"/>
  <c r="C457" i="135"/>
  <c r="H522" i="135" s="1"/>
  <c r="C474" i="131"/>
  <c r="H496" i="131" s="1"/>
  <c r="G496" i="131"/>
  <c r="G462" i="139"/>
  <c r="C448" i="139"/>
  <c r="H462" i="139" s="1"/>
  <c r="C392" i="139"/>
  <c r="H455" i="139" s="1"/>
  <c r="G455" i="139"/>
  <c r="C404" i="67"/>
  <c r="H431" i="67" s="1"/>
  <c r="G431" i="67"/>
  <c r="G424" i="111"/>
  <c r="C369" i="111"/>
  <c r="H424" i="111" s="1"/>
  <c r="C435" i="121"/>
  <c r="H514" i="121" s="1"/>
  <c r="G514" i="121"/>
  <c r="G526" i="135"/>
  <c r="C489" i="135"/>
  <c r="H526" i="135" s="1"/>
  <c r="C544" i="83"/>
  <c r="H638" i="83" s="1"/>
  <c r="G638" i="83"/>
  <c r="G427" i="63"/>
  <c r="C372" i="63"/>
  <c r="H427" i="63" s="1"/>
  <c r="C592" i="83"/>
  <c r="H644" i="83" s="1"/>
  <c r="G644" i="83"/>
  <c r="G458" i="139"/>
  <c r="C416" i="139"/>
  <c r="H458" i="139" s="1"/>
  <c r="G423" i="111"/>
  <c r="C361" i="111"/>
  <c r="H423" i="111" s="1"/>
  <c r="C426" i="131"/>
  <c r="H490" i="131" s="1"/>
  <c r="G490" i="131"/>
  <c r="C434" i="131"/>
  <c r="H491" i="131" s="1"/>
  <c r="G491" i="131"/>
  <c r="C417" i="111"/>
  <c r="H430" i="111" s="1"/>
  <c r="G430" i="111"/>
  <c r="C505" i="97"/>
  <c r="H528" i="97" s="1"/>
  <c r="G528" i="97"/>
  <c r="C302" i="43"/>
  <c r="H334" i="43" s="1"/>
  <c r="G334" i="43"/>
  <c r="C491" i="121"/>
  <c r="H521" i="121" s="1"/>
  <c r="G521" i="121"/>
  <c r="G494" i="119"/>
  <c r="C479" i="119"/>
  <c r="H494" i="119" s="1"/>
  <c r="G334" i="107"/>
  <c r="C323" i="107"/>
  <c r="H334" i="107" s="1"/>
  <c r="C505" i="135"/>
  <c r="H528" i="135" s="1"/>
  <c r="G528" i="135"/>
  <c r="G247" i="15"/>
  <c r="C224" i="15"/>
  <c r="H247" i="15" s="1"/>
  <c r="C243" i="87"/>
  <c r="H274" i="87" s="1"/>
  <c r="G274" i="87"/>
  <c r="G427" i="111"/>
  <c r="C393" i="111"/>
  <c r="H427" i="111" s="1"/>
  <c r="G454" i="133"/>
  <c r="C405" i="133"/>
  <c r="H454" i="133" s="1"/>
  <c r="C616" i="83"/>
  <c r="H647" i="83" s="1"/>
  <c r="G647" i="83"/>
  <c r="C431" i="119"/>
  <c r="H488" i="119" s="1"/>
  <c r="G488" i="119"/>
  <c r="C302" i="41"/>
  <c r="H334" i="41" s="1"/>
  <c r="G334" i="41"/>
  <c r="G333" i="43"/>
  <c r="C294" i="43"/>
  <c r="H333" i="43" s="1"/>
  <c r="C441" i="97"/>
  <c r="H520" i="97" s="1"/>
  <c r="G520" i="97"/>
  <c r="C404" i="63"/>
  <c r="H431" i="63" s="1"/>
  <c r="G431" i="63"/>
  <c r="G531" i="77"/>
  <c r="C474" i="77"/>
  <c r="H531" i="77" s="1"/>
  <c r="C407" i="119"/>
  <c r="H485" i="119" s="1"/>
  <c r="G485" i="119"/>
  <c r="C267" i="87"/>
  <c r="H277" i="87" s="1"/>
  <c r="G277" i="87"/>
  <c r="G495" i="131"/>
  <c r="C466" i="131"/>
  <c r="H495" i="131" s="1"/>
  <c r="G520" i="135"/>
  <c r="C441" i="135"/>
  <c r="H520" i="135" s="1"/>
  <c r="C429" i="133"/>
  <c r="H457" i="133" s="1"/>
  <c r="G457" i="133"/>
  <c r="G520" i="123"/>
  <c r="C483" i="123"/>
  <c r="H520" i="123" s="1"/>
  <c r="G454" i="139"/>
  <c r="C384" i="139"/>
  <c r="H454" i="139" s="1"/>
  <c r="G537" i="77"/>
  <c r="C522" i="77"/>
  <c r="H537" i="77" s="1"/>
  <c r="C481" i="97"/>
  <c r="H525" i="97" s="1"/>
  <c r="G525" i="97"/>
  <c r="C380" i="63"/>
  <c r="H428" i="63" s="1"/>
  <c r="G428" i="63"/>
  <c r="G527" i="97"/>
  <c r="C497" i="97"/>
  <c r="H527" i="97" s="1"/>
  <c r="C286" i="49"/>
  <c r="H332" i="49" s="1"/>
  <c r="G332" i="49"/>
  <c r="G492" i="131"/>
  <c r="C442" i="131"/>
  <c r="H492" i="131" s="1"/>
  <c r="G523" i="97"/>
  <c r="C465" i="97"/>
  <c r="H523" i="97" s="1"/>
  <c r="G335" i="49"/>
  <c r="C310" i="49"/>
  <c r="H335" i="49" s="1"/>
  <c r="G642" i="83"/>
  <c r="C576" i="83"/>
  <c r="H642" i="83" s="1"/>
  <c r="G456" i="139"/>
  <c r="C400" i="139"/>
  <c r="H456" i="139" s="1"/>
  <c r="G645" i="83"/>
  <c r="C600" i="83"/>
  <c r="H645" i="83" s="1"/>
  <c r="C584" i="83"/>
  <c r="H643" i="83" s="1"/>
  <c r="G643" i="83"/>
  <c r="G459" i="139"/>
  <c r="C424" i="139"/>
  <c r="H459" i="139" s="1"/>
  <c r="C624" i="83"/>
  <c r="H648" i="83" s="1"/>
  <c r="G648" i="83"/>
  <c r="C318" i="43"/>
  <c r="H336" i="43" s="1"/>
  <c r="G336" i="43"/>
  <c r="G534" i="77"/>
  <c r="C498" i="77"/>
  <c r="H534" i="77" s="1"/>
  <c r="G337" i="43"/>
  <c r="C326" i="43"/>
  <c r="H337" i="43" s="1"/>
  <c r="C458" i="77"/>
  <c r="H529" i="77" s="1"/>
  <c r="G529" i="77"/>
  <c r="G494" i="131"/>
  <c r="C458" i="131"/>
  <c r="H494" i="131" s="1"/>
  <c r="G273" i="87"/>
  <c r="C235" i="87"/>
  <c r="H273" i="87" s="1"/>
  <c r="G487" i="119"/>
  <c r="C423" i="119"/>
  <c r="H487" i="119" s="1"/>
  <c r="G332" i="107"/>
  <c r="C307" i="107"/>
  <c r="H332" i="107" s="1"/>
  <c r="G430" i="67"/>
  <c r="C396" i="67"/>
  <c r="H430" i="67" s="1"/>
  <c r="C552" i="83"/>
  <c r="H639" i="83" s="1"/>
  <c r="G639" i="83"/>
  <c r="G521" i="97"/>
  <c r="C449" i="97"/>
  <c r="H521" i="97" s="1"/>
  <c r="C491" i="123"/>
  <c r="H521" i="123" s="1"/>
  <c r="G521" i="123"/>
  <c r="G532" i="77"/>
  <c r="C482" i="77"/>
  <c r="H532" i="77" s="1"/>
  <c r="C439" i="119"/>
  <c r="H489" i="119" s="1"/>
  <c r="G489" i="119"/>
  <c r="C433" i="97"/>
  <c r="H519" i="97" s="1"/>
  <c r="G519" i="97"/>
  <c r="G329" i="107"/>
  <c r="C283" i="107"/>
  <c r="H329" i="107" s="1"/>
  <c r="G528" i="77"/>
  <c r="C450" i="77"/>
  <c r="H528" i="77" s="1"/>
  <c r="G527" i="135"/>
  <c r="C497" i="135"/>
  <c r="H527" i="135" s="1"/>
  <c r="G452" i="133"/>
  <c r="C389" i="133"/>
  <c r="H452" i="133" s="1"/>
  <c r="C466" i="77"/>
  <c r="H530" i="77" s="1"/>
  <c r="G530" i="77"/>
  <c r="C216" i="15"/>
  <c r="H246" i="15" s="1"/>
  <c r="G246" i="15"/>
  <c r="G275" i="87"/>
  <c r="C251" i="87"/>
  <c r="H275" i="87" s="1"/>
  <c r="G169" i="11"/>
  <c r="C162" i="11"/>
  <c r="H169" i="11" s="1"/>
  <c r="C326" i="49"/>
  <c r="H337" i="49" s="1"/>
  <c r="G337" i="49"/>
  <c r="C380" i="67"/>
  <c r="H428" i="67" s="1"/>
  <c r="G428" i="67"/>
  <c r="G493" i="141"/>
  <c r="C471" i="141"/>
  <c r="H493" i="141" s="1"/>
  <c r="C299" i="107"/>
  <c r="H331" i="107" s="1"/>
  <c r="G331" i="107"/>
  <c r="G487" i="141"/>
  <c r="C423" i="141"/>
  <c r="H487" i="141" s="1"/>
  <c r="G519" i="121"/>
  <c r="C475" i="121"/>
  <c r="H519" i="121" s="1"/>
</calcChain>
</file>

<file path=xl/sharedStrings.xml><?xml version="1.0" encoding="utf-8"?>
<sst xmlns="http://schemas.openxmlformats.org/spreadsheetml/2006/main" count="42701" uniqueCount="734">
  <si>
    <t>MANUAL DE TEORÍA Y GUÍA DE USUARIO - MÉTODO DE RIGIDEZ DIRECTA</t>
  </si>
  <si>
    <t>Cátedra: Análisis Estructural II | Ing. Ulianov Cuba Valencia | Ejemplos Resueltos y Plantillas Configurables</t>
  </si>
  <si>
    <t>1. SUSTENTACIÓN TEÓRICA Y CAPTURAS REALES DEL INGENIERO</t>
  </si>
  <si>
    <t>El Método de la Rigidez Directa (Matricial) formula el equilibrio de la estructura en función de los desplazamientos de los nudos como incógnitas fundamentales. Cada nudo posee dos grados de libertad ortogonales (X e Y), y cada barra aporta rigidez axial según su orientación y propiedades mecánicas (A, E, L). A continuación se presentan las capturas directas de las clases y guías académicas del docente que sustentan cada paso del sistema:</t>
  </si>
  <si>
    <t>▲ Captura 1: Esquema de Armadura y Matrices Locales 4x4 (Apunte de Clase del Ingeniero)</t>
  </si>
  <si>
    <t>▲ Captura 2: Asistente Interactivo con Grados de Libertad y Diagnóstico GH (Clase del Ingeniero)</t>
  </si>
  <si>
    <t>▲ Captura 3: Hoja Automatizada del Docente con Gráfico y Tabla de Conectividad (Hoja1)</t>
  </si>
  <si>
    <t>▲ Captura 4: Ecuación Global Matricial {C} = [K] · {D} y Desplazamientos del Profesor</t>
  </si>
  <si>
    <t>⭐ EJEMPLO 4 RESUELTO: ARMADURA ASIMÉTRICA 4N-5B (CÁTEDRA ULIANOV)</t>
  </si>
  <si>
    <t>• Origen: Problema oficial de examen de la cátedra Ing. Ulianov Cuba (4 Nudos, 5 Barras).</t>
  </si>
  <si>
    <t>• Geometría: N1(0, 0) Fijo | N2(1000, 0) Rodillo Y | N3(200, 400) | N4(800, 800) Cumbrera.</t>
  </si>
  <si>
    <t>• Propiedades mecánicas: Módulo E = 120,000 Kgf/cm² | Área de sección A = 16.00 cm².</t>
  </si>
  <si>
    <t>• Solicitaciones aplicadas: Nudo 3: (+7800 Kgf, -7800 Kgf) | Nudo 4: (+6000 Kgf, -6000 Kgf).</t>
  </si>
  <si>
    <t>• Conectividad de barras: 1(1→2), 2(1→3), 3(3→2), 4(3→4), 5(4→2).</t>
  </si>
  <si>
    <t>• Reacciones teóricas exactas: C1X = -13,800.00 Kgf | C1Y = -480.00 Kgf | C2Y = +14,280.00 Kgf.</t>
  </si>
  <si>
    <t>• Equilibrio global: ΣFx = 0 (+7800 + 6000 - 13800 = 0) | ΣFy = 0 (-7800 - 6000 - 480 + 14280 = 0).</t>
  </si>
  <si>
    <t>• Fuerzas axiales verificadas: N1 = +13,560.00 Kgf (T) | N2 = +536.66 Kgf (T) | N3 = -12,764.75 Kgf (C)</t>
  </si>
  <si>
    <t xml:space="preserve">                               N4 = +4,635.71 Kgf (T) | N5 = -8,835.23 Kgf (C).</t>
  </si>
  <si>
    <t>• Estado en la suite: CASO 06 (Hoja GRAFICA_06 y AUTOMATIZADA_06) 100% resuelto y verificado.</t>
  </si>
  <si>
    <t>▲ Captura 5: Ejercicio Oficial de Cátedra Ulianov (Armadura Asimétrica 4N-5B Resuelta al 100%)</t>
  </si>
  <si>
    <t>2. CRITERIO DE DETERMINACIÓN ESTÁTICA Y FÓRMULAS DE CÁLCULO</t>
  </si>
  <si>
    <t>GRADO DE HIPERESTATICIDAD</t>
  </si>
  <si>
    <t>GH = b + r - 2j</t>
  </si>
  <si>
    <t>b = número de barras activas, r = número de reacciones en apoyos, j = número de nudos.</t>
  </si>
  <si>
    <t>CASO ISOSTÁTICO (GH = 0)</t>
  </si>
  <si>
    <t>b + r = 2j (Estable)</t>
  </si>
  <si>
    <t>La estructura es estáticamente determinada. Se resuelve exactamente por el método matricial.</t>
  </si>
  <si>
    <t>CASO HIPERESTÁTICO (GH &gt; 0)</t>
  </si>
  <si>
    <t>b + r &gt; 2j (Indeterminado)</t>
  </si>
  <si>
    <t>Posee barras redundantes internas o apoyos supernumerarios. Resuelto rigurosamente por rigidez.</t>
  </si>
  <si>
    <t>MATRIZ LOCAL DE BARRA (4x4)</t>
  </si>
  <si>
    <t>k_i = (AE/L) · [[Cx², CxCy, -Cx², -CxCy], ...]</t>
  </si>
  <si>
    <t>Cx = cos θ = DX/L, Cy = sen θ = DY/L. Vincula desplazamientos locales con globales.</t>
  </si>
  <si>
    <t>FUERZA AXIAL EN BARRA</t>
  </si>
  <si>
    <t>Ni = (AE/L) · [-Cx, -Cy, Cx, Cy] · {u}</t>
  </si>
  <si>
    <t>Ni &gt; 0 indica TRACCIÓN (+), Ni &lt; 0 indica COMPRESIÓN (-), Ni = 0 es FUERZA NULA.</t>
  </si>
  <si>
    <t>3. CATÁLOGO MAESTRO DE MOLDES Y TOPOLOGÍAS ESTRUCTURALES (GUÍA RÁPIDA)</t>
  </si>
  <si>
    <t>GRUPO 1: 3 NUDOS / 3 BARRAS</t>
  </si>
  <si>
    <t>Casos 01 a 05</t>
  </si>
  <si>
    <t>Triángulos simétricos, asimétricos, ménsulas de pared y techos tendidos de gran luz.</t>
  </si>
  <si>
    <t>GRUPO 2: 4 NUDOS / 5 BARRAS (10 MOLDES)</t>
  </si>
  <si>
    <t>Casos 06 a 15</t>
  </si>
  <si>
    <t>⭐ Caso 06 Ulianov, Caballete 2 aguas, Shed diente de sierra, Pratt, Howe, Torres trapezoidales, Abanico y Romboide.</t>
  </si>
  <si>
    <t>GRUPO 3: 5 NUDOS / 7 BARRAS (10 MOLDES)</t>
  </si>
  <si>
    <t>Casos 16 a 25</t>
  </si>
  <si>
    <t>Warren clásica, Caballete con tornapunta, Pratt extremo recto, Howe, Ménsula de punta, Polonceau quebrado, Torre.</t>
  </si>
  <si>
    <t>GRUPO 4: 6 NUDOS / 9 BARRAS (10 MOLDES)</t>
  </si>
  <si>
    <t>Casos 26 a 35</t>
  </si>
  <si>
    <t>Warren 3 paneles, Pratt, Howe, Fink con pendolón, Celosía K voladizo, Mansarda francesa, Marquesina de estadio.</t>
  </si>
  <si>
    <t>GRUPO 5: 7 Y 8 NUDOS DE GRAN ESCALA</t>
  </si>
  <si>
    <t>Casos 36 a 40</t>
  </si>
  <si>
    <t>Warren extensa 4 paneles, Pratt múltiple, Celosía continua Polonceau, Puentes ferroviarios y Naves industriales.</t>
  </si>
  <si>
    <t>GRUPO 6: ARMADURAS HIPERESTÁTICAS</t>
  </si>
  <si>
    <t>Casos 41 a 70</t>
  </si>
  <si>
    <t>30 estructuras hiperestáticas comunes (GH=1 a GH=5) con arriostramientos en Cruz de San Andrés, vigas continuas, ménsulas empotradas y puentes multirótula.</t>
  </si>
  <si>
    <t>4. SUPER PLANTILLAS MANUALES UNIVERSALES Y ACCESO DIRECTO A LOS 70 CASOS</t>
  </si>
  <si>
    <t>CASO
#</t>
  </si>
  <si>
    <t>TIPO / ROL</t>
  </si>
  <si>
    <t>NOMBRE / TIPOLOGÍA</t>
  </si>
  <si>
    <t>NUDOS
(j)</t>
  </si>
  <si>
    <t>BARRAS
(b)</t>
  </si>
  <si>
    <t>REAC.
(r)</t>
  </si>
  <si>
    <t>GRADO
GH</t>
  </si>
  <si>
    <t>CLASIFICACIÓN</t>
  </si>
  <si>
    <t>GRÁFICA Y ASISTENTE
(COORDENADAS EN CM)</t>
  </si>
  <si>
    <t>SOLUCIÓN MATRICIAL
(AUTOMATIZADA)</t>
  </si>
  <si>
    <t>⭐ Ejemplo Resuelto</t>
  </si>
  <si>
    <t>Armadura Triangular WhatsApp (Caso 2 Original)</t>
  </si>
  <si>
    <t>✅ Isostática (GH=0)</t>
  </si>
  <si>
    <t>Armadura Triangular Profesor (Caso 1 Original)</t>
  </si>
  <si>
    <t>Triángulo Equilátero de Cubierta</t>
  </si>
  <si>
    <t>📋 Plantilla Configurable</t>
  </si>
  <si>
    <t>Ménsula Triangular Rectángulo</t>
  </si>
  <si>
    <t>Armadura de Techo Tendido</t>
  </si>
  <si>
    <t>Armadura Asimétrica 4 Nudos y 5 Barras (Cátedra Ulianov)</t>
  </si>
  <si>
    <t>Caballete Simétrico de Dos Aguas</t>
  </si>
  <si>
    <t>Cercha Asimétrica Diente de Sierra</t>
  </si>
  <si>
    <t>Triángulo Asimétrico con Diagonal Inversa</t>
  </si>
  <si>
    <t>Ménsula Voladiza Tipo Pratt</t>
  </si>
  <si>
    <t>Ménsula Voladiza Tipo Howe</t>
  </si>
  <si>
    <t>Torre Trapezoidal con Diagonal Ascendente</t>
  </si>
  <si>
    <t>Torre Trapezoidal con Diagonal Descendente</t>
  </si>
  <si>
    <t>Abanico Radiante (Fan-Truss) 4 Nudos</t>
  </si>
  <si>
    <t>Armadura Romboide con Tirante Descolgado</t>
  </si>
  <si>
    <t>Warren Clásica de 2 Paneles</t>
  </si>
  <si>
    <t>Caballete a Dos Aguas con Tornapunta y Montante</t>
  </si>
  <si>
    <t>Cercha Pratt de Extremo Recto</t>
  </si>
  <si>
    <t>Caballete Howe con Tornapunta Derecha</t>
  </si>
  <si>
    <t>Ménsula Voladiza Triangular de Punta</t>
  </si>
  <si>
    <t>Torre Trapezoidal con Cúspide Piramidal</t>
  </si>
  <si>
    <t>Armadura Polonceau con Tirante Quebrado</t>
  </si>
  <si>
    <t>Cercha Shed Diente de Sierra con Tornapunta</t>
  </si>
  <si>
    <t>Ménsula de Fachada Doble Montante</t>
  </si>
  <si>
    <t>Cercha Asimétrica sobre Terreno Inclinado</t>
  </si>
  <si>
    <t>Warren Clásica con Montantes y Diagonales</t>
  </si>
  <si>
    <t>Armadura Pratt de 3 Paneles</t>
  </si>
  <si>
    <t>Armadura Howe de 3 Paneles</t>
  </si>
  <si>
    <t>Cercha Fink a Dos Aguas con Pendolón</t>
  </si>
  <si>
    <t>Ménsula K-Truss en Voladizo</t>
  </si>
  <si>
    <t>Cercha Mansarda Francesa</t>
  </si>
  <si>
    <t>Marquesina en Voladizo de Dos Módulos</t>
  </si>
  <si>
    <t>Torre de Alta Tensión de Dos Cuerpos</t>
  </si>
  <si>
    <t>Puente Peatonal de Paso Superior</t>
  </si>
  <si>
    <t>Cercha Industrial Shed de Gran Luz</t>
  </si>
  <si>
    <t>Armadura Warren Extensa de 4 Paneles</t>
  </si>
  <si>
    <t>Armadura Pratt con Montantes Múltiples</t>
  </si>
  <si>
    <t>Armadura de Celosía Continua Polonceau</t>
  </si>
  <si>
    <t>Puente Ferroviario de Gran Luz</t>
  </si>
  <si>
    <t>Armadura Monumental de Nave Industrial</t>
  </si>
  <si>
    <t>Panel Cuadrangular con Cruz de San Andrés</t>
  </si>
  <si>
    <t>🔷 Hiperestática (GH=1)</t>
  </si>
  <si>
    <t>Panel Antisismo en X con Carga Lateral</t>
  </si>
  <si>
    <t>Warren Hiperestática con Panel en X Central</t>
  </si>
  <si>
    <t>Armadura de Dos Paneles Doble X (Grado 2)</t>
  </si>
  <si>
    <t>🔷 Hiperestática (GH=2)</t>
  </si>
  <si>
    <t>Puente Reticular Hiperestático Grado 2</t>
  </si>
  <si>
    <t>Armadura de Celosía con Barra Espía Central</t>
  </si>
  <si>
    <t>Armadura de Celosía Warren Triplemente Cruzada</t>
  </si>
  <si>
    <t>🔷 Hiperestática (GH=3)</t>
  </si>
  <si>
    <t>Viga Vierendeel Arriostrada Hiperestática Grado 2</t>
  </si>
  <si>
    <t>Triángulo con Doble Apoyo Fijo</t>
  </si>
  <si>
    <t>Triángulo Hiperestático con 3 Apoyos</t>
  </si>
  <si>
    <t>Armadura 4 Nudos con Dos Apoyos Fijos</t>
  </si>
  <si>
    <t>Puente Continuo de Dos Luces</t>
  </si>
  <si>
    <t>Armadura Bípode con Anclajes Fijos</t>
  </si>
  <si>
    <t>Puente de Dos Vanos de 6 Nudos</t>
  </si>
  <si>
    <t>Panel en X con Dos Apoyos Fijos</t>
  </si>
  <si>
    <t>Warren Continua con Diagonal Cruzada</t>
  </si>
  <si>
    <t>Pratt Mixta con Doble X y Apoyos Fijos</t>
  </si>
  <si>
    <t>Puente Continuo con Paneles Cruzados</t>
  </si>
  <si>
    <t>Armadura de Celosía Hiperestática Grado 4</t>
  </si>
  <si>
    <t>🔷 Hiperestática (GH=5)</t>
  </si>
  <si>
    <t>Mega-Estructura Continua Hiperestática Grado 4</t>
  </si>
  <si>
    <t>Panel Doble Fijo en Cruz de San Andrés</t>
  </si>
  <si>
    <t>Caballete Hiperestático con Tirante en Cruz</t>
  </si>
  <si>
    <t>Warren Continua sobre 3 Apoyos (GH = 1)</t>
  </si>
  <si>
    <t>Puente Pratt con Panel Central en X (GH = 2)</t>
  </si>
  <si>
    <t>Viga Continua Multirótula de 4 Apoyos (GH = 3)</t>
  </si>
  <si>
    <t>Celosía con Doble Panel Totalmente en X (GH = 3)</t>
  </si>
  <si>
    <t>Ménsula Empotrada Biarticulada en X (GH = 2)</t>
  </si>
  <si>
    <t>Torre de Alta Tensión con Base Biarticulada (GH = 2)</t>
  </si>
  <si>
    <t>Ménsula K-Truss Biarticulada Hiperestática (GH = 3)</t>
  </si>
  <si>
    <t>Mega-Puente de 3 Pilas Fijas y Doble X (GH = 5)</t>
  </si>
  <si>
    <t>PLANTILLA MANUAL - CASO ISOSTÁTICO (HASTA 6 NODOS Y 8 BARRAS - CÁTEDRA ING. ULIANOV)</t>
  </si>
  <si>
    <t>Cátedra: Análisis Estructural II | Ing. Ulianov Cuba Valencia | Plantilla 100% Automatizada con Capacidad hasta 6 Nodos y 8 Barras</t>
  </si>
  <si>
    <t>BARRA</t>
  </si>
  <si>
    <t>INICIO (cm)</t>
  </si>
  <si>
    <t>FIN (cm)</t>
  </si>
  <si>
    <t>DX (cm)</t>
  </si>
  <si>
    <t>DY (cm)</t>
  </si>
  <si>
    <t>L (cm)</t>
  </si>
  <si>
    <t>Cx</t>
  </si>
  <si>
    <t>Cy</t>
  </si>
  <si>
    <t>A (cm²)</t>
  </si>
  <si>
    <t>E (Kgf/cm²)</t>
  </si>
  <si>
    <t>AE/L (Kgf/cm)</t>
  </si>
  <si>
    <t>COORDENADAS, CONDICIONES DE APOYO Y CARGAS NODALES (HASTA 6 NODOS)</t>
  </si>
  <si>
    <t>X</t>
  </si>
  <si>
    <t>Y</t>
  </si>
  <si>
    <t>NUDO</t>
  </si>
  <si>
    <t>X (cm)</t>
  </si>
  <si>
    <t>Y (cm)</t>
  </si>
  <si>
    <t>TIPO APOYO</t>
  </si>
  <si>
    <t>Rx</t>
  </si>
  <si>
    <t>Ry</t>
  </si>
  <si>
    <t>Px (Kgf)</t>
  </si>
  <si>
    <t>Py (Kgf)</t>
  </si>
  <si>
    <t>Móvil Y</t>
  </si>
  <si>
    <t>Fijo</t>
  </si>
  <si>
    <t>Libre</t>
  </si>
  <si>
    <t>CONECTIVIDAD DE BARRAS Y GRADOS DE LIBERTAD ASOCIADOS:</t>
  </si>
  <si>
    <t>NUDO INICIO</t>
  </si>
  <si>
    <t>u_ini_x</t>
  </si>
  <si>
    <t>u_ini_y</t>
  </si>
  <si>
    <t>NUDO FIN</t>
  </si>
  <si>
    <t>u_fin_x</t>
  </si>
  <si>
    <t>u_fin_y</t>
  </si>
  <si>
    <t>k1=</t>
  </si>
  <si>
    <t>U1X</t>
  </si>
  <si>
    <t>U1Y</t>
  </si>
  <si>
    <t>U2X</t>
  </si>
  <si>
    <t>U2Y</t>
  </si>
  <si>
    <t>U3X</t>
  </si>
  <si>
    <t>U3Y</t>
  </si>
  <si>
    <t>U4X</t>
  </si>
  <si>
    <t>U4Y</t>
  </si>
  <si>
    <t>U5X</t>
  </si>
  <si>
    <t>U5Y</t>
  </si>
  <si>
    <t>U6X</t>
  </si>
  <si>
    <t>U6Y</t>
  </si>
  <si>
    <t>K1=</t>
  </si>
  <si>
    <t>k2=</t>
  </si>
  <si>
    <t>K2=</t>
  </si>
  <si>
    <t>k3=</t>
  </si>
  <si>
    <t>K3=</t>
  </si>
  <si>
    <t>k4=</t>
  </si>
  <si>
    <t>K4=</t>
  </si>
  <si>
    <t>k5=</t>
  </si>
  <si>
    <t>K5=</t>
  </si>
  <si>
    <t>k6=</t>
  </si>
  <si>
    <t>K6=</t>
  </si>
  <si>
    <t>k7=</t>
  </si>
  <si>
    <t>K7=</t>
  </si>
  <si>
    <t>k8=</t>
  </si>
  <si>
    <t>K8=</t>
  </si>
  <si>
    <t>Karmadura=</t>
  </si>
  <si>
    <t>Matriz de cargas:</t>
  </si>
  <si>
    <t>1. MATRIZ DE CARGAS Y DESPLAZAMIENTOS ({C} Y {D})</t>
  </si>
  <si>
    <t>C1X</t>
  </si>
  <si>
    <t>• Columna B: Variable del vector (C1X, C1Y / D1X, D1Y) hasta 6 nodos (12 GDL).</t>
  </si>
  <si>
    <t>C1Y</t>
  </si>
  <si>
    <t>• Columna C: Grado de libertad global asociado (U1X, U1Y...).</t>
  </si>
  <si>
    <t>C2X</t>
  </si>
  <si>
    <t>• Columna E (Cargas): Si hay apoyo, C=Cnx (reacción incógnita). Si está libre, C=Px (carga externa).</t>
  </si>
  <si>
    <t>C2Y</t>
  </si>
  <si>
    <t>• Columna E (Desplazamientos): Si hay apoyo, D=0 (restringido). Si está libre, D=Dnx (desplazamiento incógnita).</t>
  </si>
  <si>
    <t>C3X</t>
  </si>
  <si>
    <t>• Columnas F y G (Auxiliares): Conteo dinámico de grados libres (D≠0) y apoyos (D=0) para extraer K11 y K21.</t>
  </si>
  <si>
    <t>C=</t>
  </si>
  <si>
    <t>C3Y</t>
  </si>
  <si>
    <t>=</t>
  </si>
  <si>
    <t>C4X</t>
  </si>
  <si>
    <t>C4Y</t>
  </si>
  <si>
    <t>C5X</t>
  </si>
  <si>
    <t>C5Y</t>
  </si>
  <si>
    <t>C6X</t>
  </si>
  <si>
    <t>C6Y</t>
  </si>
  <si>
    <t>Matriz de desplazamientos:</t>
  </si>
  <si>
    <t>D1X</t>
  </si>
  <si>
    <t>D1Y</t>
  </si>
  <si>
    <t>D2X</t>
  </si>
  <si>
    <t>D2Y</t>
  </si>
  <si>
    <t>D3X</t>
  </si>
  <si>
    <t>D=</t>
  </si>
  <si>
    <t>D3Y</t>
  </si>
  <si>
    <t>D4X</t>
  </si>
  <si>
    <t>D4Y</t>
  </si>
  <si>
    <t>D5X</t>
  </si>
  <si>
    <t>D5Y</t>
  </si>
  <si>
    <t>D6X</t>
  </si>
  <si>
    <t>D6Y</t>
  </si>
  <si>
    <t>Ecuacion matricial:</t>
  </si>
  <si>
    <t>C = Karmadura*D</t>
  </si>
  <si>
    <t>ELIMINO FILA Y COLUMNA DE LOS QUE NO CORRESPONDE PARA HALLAR LOS DESPLAZAMIENTOS</t>
  </si>
  <si>
    <t>2. ECUACIÓN MATRICIAL GLOBAL: {C} = [K] · {D}</t>
  </si>
  <si>
    <t>ELIMINO COLUMNA SEGÚN LAS REACCIONES EN ORDEN SIN CONSIDERAR LAS FILAS ANULADAS</t>
  </si>
  <si>
    <t>• Fundamento: Ley de Hooke generalizada para armaduras planas {C} = [K_global] · {D}.</t>
  </si>
  <si>
    <t>C</t>
  </si>
  <si>
    <t>K</t>
  </si>
  <si>
    <t>D</t>
  </si>
  <si>
    <t>• Apunte del Docente: 'ELIMINO FILA Y COLUMNA DE LOS QUE NO CORRESPONDE PARA HALLAR LOS DESPLAZAMIENTOS'.</t>
  </si>
  <si>
    <t>·</t>
  </si>
  <si>
    <t>• Partición de Rigidez:</t>
  </si>
  <si>
    <t xml:space="preserve">    [ C_libres ] = [ K11   K12 ] · [ D_libres ]</t>
  </si>
  <si>
    <t xml:space="preserve">    [ R_apoyos ]   [ K21   K22 ]   [    0     ]</t>
  </si>
  <si>
    <t>• K11 (verde pastel): Rigideces directas para {D_libres} = [K11]⁻¹ · {C_libres}.</t>
  </si>
  <si>
    <t>• K21 (lavanda pastel): Rigideces de acoplamiento para reacciones {R} = [K21] · {D_libres}.</t>
  </si>
  <si>
    <t>Ecuacion matricial reducida para el calculo de desplazamientos:</t>
  </si>
  <si>
    <t>3. CÁLCULO DE DESPLAZAMIENTOS: {D} = [K₁₁]⁻¹ · {C}</t>
  </si>
  <si>
    <t>• Submatriz [K11]: Extraída dinámicamente con INDEX/MATCH desde Karmadura usando los grados libres.</t>
  </si>
  <si>
    <t>• Vector de Cargas {C}: Fuerzas externas actuantes en los nudos libres.</t>
  </si>
  <si>
    <t>• Inversión [MINVERSA]: Matriz de flexibilidad [K11]⁻¹ en cm/Kgf.</t>
  </si>
  <si>
    <t>• Multiplicación [MMULT]: {D_libres} = [K11]⁻¹ · {C} obtiene los desplazamientos reales en cm.</t>
  </si>
  <si>
    <t>D=MINVERSA(K)*C</t>
  </si>
  <si>
    <t>MIN</t>
  </si>
  <si>
    <t>D=MMULT(MIN)*C</t>
  </si>
  <si>
    <t>MM*C</t>
  </si>
  <si>
    <t>cm</t>
  </si>
  <si>
    <t>Ecuacion matricial reducida para el calculo de reacciones</t>
  </si>
  <si>
    <t>4. CÁLCULO DE REACCIONES: {R} = [K₂₁] · {D}</t>
  </si>
  <si>
    <t>• Submatriz [K21]: Filas de apoyos (D=0) y columnas de grados libres (D≠0).</t>
  </si>
  <si>
    <t>• Multiplicación [MMULT]: {R} = [K21] · {D_libres} genera las reacciones en cada apoyo en Kgf.</t>
  </si>
  <si>
    <t>• Verificación de Equilibrio Global: ∑ Fx = 0  y  ∑ Fy = 0 (Equilibrio estático exacto).</t>
  </si>
  <si>
    <t>Kgf</t>
  </si>
  <si>
    <t>Matriz de desplazamientos total</t>
  </si>
  <si>
    <t>Calculo de las fuerzas</t>
  </si>
  <si>
    <t>5. CÁLCULO DE FUERZAS EN BARRAS: {Fₘ} = (AE/L) · [-cx, -cy, cx, cy] · {D}</t>
  </si>
  <si>
    <t>• Fila de Signos [-cx, -cy, +cx, +cy]: Deformación axial relativa de la barra m.</t>
  </si>
  <si>
    <t>AE/L</t>
  </si>
  <si>
    <t>cx</t>
  </si>
  <si>
    <t>cy</t>
  </si>
  <si>
    <t>• Fuerza Axial F_m: Obtenida mediante =(MMULT(C:F, G:G)*A) vinculada a los nudos reales.</t>
  </si>
  <si>
    <t>-</t>
  </si>
  <si>
    <t>+</t>
  </si>
  <si>
    <t>• Diagnóstico de Estado: Tracción (+), Compresión (-) o Fuerza Nula.</t>
  </si>
  <si>
    <t>F1=</t>
  </si>
  <si>
    <t>F2=</t>
  </si>
  <si>
    <t>F3=</t>
  </si>
  <si>
    <t>F4=</t>
  </si>
  <si>
    <t>F5=</t>
  </si>
  <si>
    <t>F6=</t>
  </si>
  <si>
    <t>F7=</t>
  </si>
  <si>
    <t>F8=</t>
  </si>
  <si>
    <t>RESUMEN GENERAL DE FUERZAS EN LAS BARRAS (HASTA 8 BARRAS)</t>
  </si>
  <si>
    <t>BARRA
#</t>
  </si>
  <si>
    <t>NUDO
INI</t>
  </si>
  <si>
    <t>NUDO
FIN</t>
  </si>
  <si>
    <t>LONGITUD L
(cm)</t>
  </si>
  <si>
    <t>ÁREA A
(cm²)</t>
  </si>
  <si>
    <t>FUERZA AXIAL N
(Kgf)</t>
  </si>
  <si>
    <t>ESTADO ESTRUCTURAL
(TRACCIÓN / COMPRESIÓN)</t>
  </si>
  <si>
    <t>PLANTILLA MANUAL - CASO HIPERESTÁTICO (HASTA 6 NODOS Y 8 BARRAS - CÁTEDRA ING. ULIANOV)</t>
  </si>
  <si>
    <t>GRÁFICA 01 - EJEMPLO 1 RESUELTO (TRIÁNGULO 3 NUDOS Y 3 BARRAS)</t>
  </si>
  <si>
    <t>Ingrese o modifique coordenadas en centímetros (cm), tipos de apoyo, barras y cargas nodales</t>
  </si>
  <si>
    <t>1. DATOS Y DIAGNÓSTICO DE LA ESTRUCTURA</t>
  </si>
  <si>
    <t>X_PLOT</t>
  </si>
  <si>
    <t>Y_PLOT</t>
  </si>
  <si>
    <t>SEGMENTO</t>
  </si>
  <si>
    <t>NUDOS ACTIVOS (j)</t>
  </si>
  <si>
    <t>BARRAS ACTIVAS (b)</t>
  </si>
  <si>
    <t>REACCIONES APOYOS (r)</t>
  </si>
  <si>
    <t>GRADO GH = b + r - 2j</t>
  </si>
  <si>
    <t>DIAGNÓSTICO ESTRUCTURAL</t>
  </si>
  <si>
    <t>Barra 1 Ini</t>
  </si>
  <si>
    <t>Barra 1 Fin</t>
  </si>
  <si>
    <t>2. COORDENADAS DE NUDOS, CONDICIONES DE APOYO Y CARGAS EXTERNAS (cm, Kgf)</t>
  </si>
  <si>
    <t>Barra 2 Ini</t>
  </si>
  <si>
    <t>Barra 2 Fin</t>
  </si>
  <si>
    <t>NUDO
#</t>
  </si>
  <si>
    <t>COORDENADAS (cm)</t>
  </si>
  <si>
    <t>TIPO DE APOYO
(Seleccionar de lista)</t>
  </si>
  <si>
    <t>RESTRICCIONES</t>
  </si>
  <si>
    <t>CARGAS PUNTUALES (Kgf)</t>
  </si>
  <si>
    <t>DESCRIPCIÓN / NOTA DEL NUDO</t>
  </si>
  <si>
    <t>Barra 3 Ini</t>
  </si>
  <si>
    <t>Barra 3 Fin</t>
  </si>
  <si>
    <t>Libre (0 reac.)</t>
  </si>
  <si>
    <t>Nudo 1 superior cargado</t>
  </si>
  <si>
    <t>Barra 4 Ini</t>
  </si>
  <si>
    <t>Rodillo Y (despl. X libre)</t>
  </si>
  <si>
    <t>Apoyo móvil horizontal</t>
  </si>
  <si>
    <t>Barra 4 Fin</t>
  </si>
  <si>
    <t>Fijo (articulado)</t>
  </si>
  <si>
    <t>Apoyo fijo articulado</t>
  </si>
  <si>
    <t>Barra 5 Ini</t>
  </si>
  <si>
    <t>Barra 5 Fin</t>
  </si>
  <si>
    <t>Barra 6 Ini</t>
  </si>
  <si>
    <t>Barra 6 Fin</t>
  </si>
  <si>
    <t>Barra 7 Ini</t>
  </si>
  <si>
    <t>Barra 7 Fin</t>
  </si>
  <si>
    <t>3. CONECTIVIDAD DE BARRAS Y PROPIEDADES MECÁNICAS (cm, cm²)</t>
  </si>
  <si>
    <t>DX (cm)
(Xf - Xi)</t>
  </si>
  <si>
    <t>DY (cm)
(Yf - Yi)</t>
  </si>
  <si>
    <t>L (cm)
(Longitud)</t>
  </si>
  <si>
    <t>Cx
(cos θ)</t>
  </si>
  <si>
    <t>Cy
(sen θ)</t>
  </si>
  <si>
    <t>MÓDULO E
(Kgf/cm²)</t>
  </si>
  <si>
    <t>Barra 8 Ini</t>
  </si>
  <si>
    <t>X_ini</t>
  </si>
  <si>
    <t>Y_ini</t>
  </si>
  <si>
    <t>X_fin</t>
  </si>
  <si>
    <t>Y_fin</t>
  </si>
  <si>
    <t>Barra 8 Fin</t>
  </si>
  <si>
    <t>Barra 9 Ini</t>
  </si>
  <si>
    <t>Barra 9 Fin</t>
  </si>
  <si>
    <t>Barra 10 Ini</t>
  </si>
  <si>
    <t>Barra 10 Fin</t>
  </si>
  <si>
    <t>Barra 11 Ini</t>
  </si>
  <si>
    <t>Barra 11 Fin</t>
  </si>
  <si>
    <t>Barra 12 Ini</t>
  </si>
  <si>
    <t>Barra 12 Fin</t>
  </si>
  <si>
    <t>Barra 13 Ini</t>
  </si>
  <si>
    <t>Barra 13 Fin</t>
  </si>
  <si>
    <t>Barra 14 Ini</t>
  </si>
  <si>
    <t>Barra 14 Fin</t>
  </si>
  <si>
    <t>Barra 15 Ini</t>
  </si>
  <si>
    <t>Barra 15 Fin</t>
  </si>
  <si>
    <t>HOJA 01 AUTOMATIZADA - EJEMPLO 1 RESUELTO (WHATSAPP)</t>
  </si>
  <si>
    <t>Cálculo matricial paso a paso: Matrices locales, Ensamblaje, Desplazamientos, Reacciones y Fuerzas</t>
  </si>
  <si>
    <t>INICIO</t>
  </si>
  <si>
    <t>FIN</t>
  </si>
  <si>
    <t>DX</t>
  </si>
  <si>
    <t>DY</t>
  </si>
  <si>
    <t>L</t>
  </si>
  <si>
    <t>A</t>
  </si>
  <si>
    <t>E</t>
  </si>
  <si>
    <t>• Columna B: Variable del vector (C1X, C1Y / D1X, D1Y).</t>
  </si>
  <si>
    <t>• Columna E (Cargas): Si hay apoyo (Rx=1), C=Cnx (reacción incógnita). Si está libre (Rx=0), C=Px (carga externa de GRAFICA).</t>
  </si>
  <si>
    <t>• Columnas F y G (Auxiliares): Conteo dinámico de grados libres (D≠0) y apoyos (D=0) para extraer K11 y K21 sin macros.</t>
  </si>
  <si>
    <t>• Fórmula dinámica: =IF(GRAFICA!Fx=1, 0, B_r) adapta automáticamente cualquier cambio de apoyo o carga en tiempo real.</t>
  </si>
  <si>
    <t>• Criterio de partición: Se separan los grados de libertad libres (índice 1) de los restringidos (índice 2):</t>
  </si>
  <si>
    <t>• Cuadrante K11 (verde pastel): Rigideces directas de nudos libres. Permite calcular {D_libres} = [K11]⁻¹ · {C_libres}.</t>
  </si>
  <si>
    <t>• Cuadrante K21 (lavanda pastel): Rigideces de acoplamiento para calcular las reacciones {R} = [K21] · {D_libres}.</t>
  </si>
  <si>
    <t>• Submatriz [K11]: Extraída dinámicamente con INDEX/MATCH desde Karmadura usando los grados de libertad libres.</t>
  </si>
  <si>
    <t>• Vector de Cargas {C}: Fuerzas externas actuantes en los nudos libres (extraídas dinámicamente de GRAFICA).</t>
  </si>
  <si>
    <t>• Inversión [MINVERSA]: Calcula la matriz de flexibilidad [K11]⁻¹ en unidades (cm/Kgf).</t>
  </si>
  <si>
    <t>• Multiplicación [MMULT]: {D_libres} = [K11]⁻¹ · {C} obtiene los desplazamientos nodales reales en centímetros (cm).</t>
  </si>
  <si>
    <t>• Convención de signos: Positivo (+) indica desplazamiento hacia la derecha o hacia arriba; Negativo (-) hacia la izquierda o abajo.</t>
  </si>
  <si>
    <t>• Precisión numérica: Formato decimal de alta resolución (9 decimales) para capturar micro-deformaciones elásticas.</t>
  </si>
  <si>
    <t>• Submatriz [K21]: Filas correspondientes a grados con apoyo (D=0) y columnas de grados libres (D≠0).</t>
  </si>
  <si>
    <t>• Multiplicación [MMULT]: {R} = [K21] · {D_libres} genera las reacciones en cada apoyo restringido en Kgf.</t>
  </si>
  <si>
    <t>• Nomenclatura del Profesor: C1X, C1Y, C2Y... representan las fuerzas reactivas en los apoyos articulados o de rodillo.</t>
  </si>
  <si>
    <t>• Verificación de Equilibrio Global: La suma algebraica de reacciones más cargas externas debe ser idénticamente cero:</t>
  </si>
  <si>
    <t xml:space="preserve">    ∑ Fx = 0  y  ∑ Fy = 0 (Equilibrio estático exacto).</t>
  </si>
  <si>
    <t>• Color distintivo: Celdas de reacción identificadas con fondo lavanda pastel (#EDEDFA).</t>
  </si>
  <si>
    <t>• Fila de Signos [-cx, -cy, +cx, +cy]: Derivada de la deformación axial relativa de la barra m:</t>
  </si>
  <si>
    <t xml:space="preserve">    ΔL = (u_fin - u_ini)·cx + (v_fin - v_ini)·cy = -cx·u_i - cy·v_i + cx·u_j + cy·v_j.</t>
  </si>
  <si>
    <t>• Rigidez axial de barra: AE/L (Kgf/cm), donde A = área (cm²), E = módulo elástico (Kgf/cm²), L = longitud (cm).</t>
  </si>
  <si>
    <t>• Fuerza Axial F_m: Obtenida mediante =(MMULT(C:F, G:G)*A) multiplicando el vector de cosenos por los desplazamientos {D}.</t>
  </si>
  <si>
    <t>• Diagnóstico de Estado Estructural:</t>
  </si>
  <si>
    <t xml:space="preserve">    - Fm &gt; +0.001 Kgf  --&gt; BARRA A TRACCIÓN (+) (Esfuerzo de tracción, color menta pastel).</t>
  </si>
  <si>
    <t xml:space="preserve">    - Fm &lt; -0.001 Kgf  --&gt; BARRA A COMPRESIÓN (-) (Esfuerzo de compresión, color coral pastel).</t>
  </si>
  <si>
    <t xml:space="preserve">    - |Fm| ≤ 0.001 Kgf --&gt; BARRA DE FUERZA NULA (Barra de estabilidad o sin carga transmitida).</t>
  </si>
  <si>
    <t>• Resumen General: Tabla final unificada de 7 columnas que consolida todas las barras con sus fuerzas y estados.</t>
  </si>
  <si>
    <t>RESUMEN GENERAL DE FUERZAS EN LAS BARRAS</t>
  </si>
  <si>
    <t>GRÁFICA 02 - EJEMPLO 2 RESUELTO (PLANTILLA ORIGINAL PROFESOR)</t>
  </si>
  <si>
    <t>Apoyo fijo en vértice superior</t>
  </si>
  <si>
    <t>Apoyo móvil</t>
  </si>
  <si>
    <t>Nudo 3 inferior cargado</t>
  </si>
  <si>
    <t>HOJA 02 AUTOMATIZADA - EJEMPLO 2 RESUELTO (PLANTILLA PROFESOR)</t>
  </si>
  <si>
    <t>GRÁFICA 03 - EJEMPLO 3 RESUELTO (TRIÁNGULO EQUILÁTERO DE CUBIERTA)</t>
  </si>
  <si>
    <t>Cúspide cargada</t>
  </si>
  <si>
    <t>Apoyo fijo</t>
  </si>
  <si>
    <t>HOJA 03 AUTOMATIZADA - EJEMPLO 3 RESUELTO (TRIÁNGULO EQUILÁTERO)</t>
  </si>
  <si>
    <t>GRÁFICA 04 - MÉNSULA TRIANGULAR RECTÁNGULO (3 NUDOS, 3 BARRAS)</t>
  </si>
  <si>
    <t>Extremo del voladizo</t>
  </si>
  <si>
    <t>Apoyo fijo inferior</t>
  </si>
  <si>
    <t>Rodillo X (despl. Y libre)</t>
  </si>
  <si>
    <t>Apoyo móvil superior</t>
  </si>
  <si>
    <t>HOJA 04 AUTOMATIZADA - MÉNSULA TRIANGULAR RECTÁNGULO (3 NUDOS, 3 BARRAS)</t>
  </si>
  <si>
    <t>GRÁFICA 05 - ARMADURA DE TECHO TENDIDO (3 NUDOS, 3 BARRAS)</t>
  </si>
  <si>
    <t>Cumbrera con viento y gravedad</t>
  </si>
  <si>
    <t>Apoyo derecho</t>
  </si>
  <si>
    <t>Apoyo izquierdo</t>
  </si>
  <si>
    <t>HOJA 05 AUTOMATIZADA - ARMADURA DE TECHO TENDIDO (3 NUDOS, 3 BARRAS)</t>
  </si>
  <si>
    <t>GRÁFICA 06 - EJEMPLO 4 RESUELTO (ARMADURA ASIMÉTRICA 4N-5B - CÁTEDRA ULIANOV)</t>
  </si>
  <si>
    <t>Apoyo fijo en origen (0, 0)</t>
  </si>
  <si>
    <t>Apoyo móvil en (1000, 0)</t>
  </si>
  <si>
    <t>Nudo 3 cargado (200, 400)</t>
  </si>
  <si>
    <t>Nudo 4 cumbrera cargado (800, 800)</t>
  </si>
  <si>
    <t>📸 CROQUIS ORIGINAL DEL PROBLEMA (CÁTEDRA ULIANOV)</t>
  </si>
  <si>
    <t>HOJA 06 AUTOMATIZADA - EJEMPLO 4 RESUELTO (ARMADURA ASIMÉTRICA 4N-5B - CÁTEDRA ULIANOV)</t>
  </si>
  <si>
    <t>GRÁFICA 07 - CABALLETE SIMÉTRICO DE DOS AGUAS (4 NUDOS, 5 BARRAS)</t>
  </si>
  <si>
    <t>Apoyo fijo extremo</t>
  </si>
  <si>
    <t>Nudo tirante inferior central</t>
  </si>
  <si>
    <t>Apoyo móvil derecho</t>
  </si>
  <si>
    <t>Cumbrera central cargada</t>
  </si>
  <si>
    <t>HOJA 07 AUTOMATIZADA - CABALLETE SIMÉTRICO DE DOS AGUAS (4 NUDOS, 5 BARRAS)</t>
  </si>
  <si>
    <t>GRÁFICA 08 - CERCHA ASIMÉTRICA DIENTE DE SIERRA (4 NUDOS, 5 BARRAS)</t>
  </si>
  <si>
    <t>Apoyo fijo izquierdo</t>
  </si>
  <si>
    <t>Tirante bajo cumbrera</t>
  </si>
  <si>
    <t>Cumbrera cargada</t>
  </si>
  <si>
    <t>HOJA 08 AUTOMATIZADA - CERCHA ASIMÉTRICA DIENTE DE SIERRA (4 NUDOS, 5 BARRAS)</t>
  </si>
  <si>
    <t>GRÁFICA 09 - TRIÁNGULO ASIMÉTRICO CON DIAGONAL INVERSA (4 NUDOS, 5 BARRAS)</t>
  </si>
  <si>
    <t>Nudo intermedio derecho</t>
  </si>
  <si>
    <t>Cumbrera izquierda</t>
  </si>
  <si>
    <t>HOJA 09 AUTOMATIZADA - TRIÁNGULO ASIMÉTRICO CON DIAGONAL INVERSA (4 NUDOS, 5 BARRAS)</t>
  </si>
  <si>
    <t>GRÁFICA 10 - MÉNSULA VOLADIZA TIPO PRATT (4 NUDOS, 5 BARRAS)</t>
  </si>
  <si>
    <t>Apoyo fijo inferior en muro</t>
  </si>
  <si>
    <t>Apoyo móvil superior en muro</t>
  </si>
  <si>
    <t>Vértice superior voladizo</t>
  </si>
  <si>
    <t>Vértice inferior voladizo</t>
  </si>
  <si>
    <t>HOJA 10 AUTOMATIZADA - MÉNSULA VOLADIZA TIPO PRATT (4 NUDOS, 5 BARRAS)</t>
  </si>
  <si>
    <t>GRÁFICA 11 - MÉNSULA VOLADIZA TIPO HOWE (4 NUDOS, 5 BARRAS)</t>
  </si>
  <si>
    <t>HOJA 11 AUTOMATIZADA - MÉNSULA VOLADIZA TIPO HOWE (4 NUDOS, 5 BARRAS)</t>
  </si>
  <si>
    <t>GRÁFICA 12 - TORRE TRAPEZOIDAL CON DIAGONAL ASCENDENTE (4 NUDOS, 5 BARRAS)</t>
  </si>
  <si>
    <t>Zapata fija izquierda</t>
  </si>
  <si>
    <t>Zapata móvil derecha</t>
  </si>
  <si>
    <t>Cima derecha cargada</t>
  </si>
  <si>
    <t>Cima izquierda con viento</t>
  </si>
  <si>
    <t>HOJA 12 AUTOMATIZADA - TORRE TRAPEZOIDAL CON DIAGONAL ASCENDENTE (4 NUDOS, 5 BARRAS)</t>
  </si>
  <si>
    <t>GRÁFICA 13 - TORRE TRAPEZOIDAL CON DIAGONAL DESCENDENTE (4 NUDOS, 5 BARRAS)</t>
  </si>
  <si>
    <t>Cima derecha</t>
  </si>
  <si>
    <t>Cima izquierda</t>
  </si>
  <si>
    <t>HOJA 13 AUTOMATIZADA - TORRE TRAPEZOIDAL CON DIAGONAL DESCENDENTE (4 NUDOS, 5 BARRAS)</t>
  </si>
  <si>
    <t>GRÁFICA 14 - ABANICO RADIANTE (FAN-TRUSS) 4 NUDOS (4 NUDOS, 5 BARRAS)</t>
  </si>
  <si>
    <t>Polo fijo de radiación</t>
  </si>
  <si>
    <t>Apoyo móvil en cuerda inferior</t>
  </si>
  <si>
    <t>Nudo intermedio superior</t>
  </si>
  <si>
    <t>Cumbrera de alero</t>
  </si>
  <si>
    <t>HOJA 14 AUTOMATIZADA - ABANICO RADIANTE (FAN-TRUSS) 4 NUDOS (4 NUDOS, 5 BARRAS)</t>
  </si>
  <si>
    <t>GRÁFICA 15 - ARMADURA ROMBOIDE CON TIRANTE DESCOLGADO (4 NUDOS, 5 BARRAS)</t>
  </si>
  <si>
    <t>Nudo inferior descolgado</t>
  </si>
  <si>
    <t>Cumbrera superior</t>
  </si>
  <si>
    <t>HOJA 15 AUTOMATIZADA - ARMADURA ROMBOIDE CON TIRANTE DESCOLGADO (4 NUDOS, 5 BARRAS)</t>
  </si>
  <si>
    <t>GRÁFICA 16 - WARREN CLÁSICA DE 2 PANELES (5 NUDOS, 7 BARRAS)</t>
  </si>
  <si>
    <t>Nudo central cargado</t>
  </si>
  <si>
    <t>Cúspide izquierda</t>
  </si>
  <si>
    <t>Cúspide derecha</t>
  </si>
  <si>
    <t>HOJA 16 AUTOMATIZADA - WARREN CLÁSICA DE 2 PANELES (5 NUDOS, 7 BARRAS)</t>
  </si>
  <si>
    <t>GRÁFICA 17 - CABALLETE A DOS AGUAS CON TORNAPUNTA Y MONTANTE (5 NUDOS, 7 BARRAS)</t>
  </si>
  <si>
    <t>Nudo tirante central</t>
  </si>
  <si>
    <t>Tornapunta izquierdo</t>
  </si>
  <si>
    <t>HOJA 17 AUTOMATIZADA - CABALLETE A DOS AGUAS CON TORNAPUNTA Y MONTANTE (5 NUDOS, 7 BARRAS)</t>
  </si>
  <si>
    <t>GRÁFICA 18 - CERCHA PRATT DE EXTREMO RECTO (5 NUDOS, 7 BARRAS)</t>
  </si>
  <si>
    <t>Nudo inferior central</t>
  </si>
  <si>
    <t>Nudo superior izquierdo</t>
  </si>
  <si>
    <t>Nudo superior central</t>
  </si>
  <si>
    <t>HOJA 18 AUTOMATIZADA - CERCHA PRATT DE EXTREMO RECTO (5 NUDOS, 7 BARRAS)</t>
  </si>
  <si>
    <t>GRÁFICA 19 - CABALLETE HOWE CON TORNAPUNTA DERECHA (5 NUDOS, 7 BARRAS)</t>
  </si>
  <si>
    <t>Tirante central</t>
  </si>
  <si>
    <t>Tornapunta derecho</t>
  </si>
  <si>
    <t>HOJA 19 AUTOMATIZADA - CABALLETE HOWE CON TORNAPUNTA DERECHA (5 NUDOS, 7 BARRAS)</t>
  </si>
  <si>
    <t>GRÁFICA 20 - MÉNSULA VOLADIZA TRIANGULAR DE PUNTA (5 NUDOS, 7 BARRAS)</t>
  </si>
  <si>
    <t>Apoyo muro inferior</t>
  </si>
  <si>
    <t>Apoyo muro superior</t>
  </si>
  <si>
    <t>Cuerda superior</t>
  </si>
  <si>
    <t>Cuerda inferior</t>
  </si>
  <si>
    <t>HOJA 20 AUTOMATIZADA - MÉNSULA VOLADIZA TRIANGULAR DE PUNTA (5 NUDOS, 7 BARRAS)</t>
  </si>
  <si>
    <t>GRÁFICA 21 - TORRE TRAPEZOIDAL CON CÚSPIDE PIRAMIDAL (5 NUDOS, 7 BARRAS)</t>
  </si>
  <si>
    <t>Nivel intermedio der</t>
  </si>
  <si>
    <t>Nivel intermedio izq</t>
  </si>
  <si>
    <t>Cúspide de antena</t>
  </si>
  <si>
    <t>HOJA 21 AUTOMATIZADA - TORRE TRAPEZOIDAL CON CÚSPIDE PIRAMIDAL (5 NUDOS, 7 BARRAS)</t>
  </si>
  <si>
    <t>GRÁFICA 22 - ARMADURA POLONCEAU CON TIRANTE QUEBRADO (5 NUDOS, 7 BARRAS)</t>
  </si>
  <si>
    <t>Tirante quebrado central</t>
  </si>
  <si>
    <t>Faldón izquierdo</t>
  </si>
  <si>
    <t>Cumbrera central</t>
  </si>
  <si>
    <t>HOJA 22 AUTOMATIZADA - ARMADURA POLONCEAU CON TIRANTE QUEBRADO (5 NUDOS, 7 BARRAS)</t>
  </si>
  <si>
    <t>GRÁFICA 23 - CERCHA SHED DIENTE DE SIERRA CON TORNAPUNTA (5 NUDOS, 7 BARRAS)</t>
  </si>
  <si>
    <t>Faldón suave</t>
  </si>
  <si>
    <t>HOJA 23 AUTOMATIZADA - CERCHA SHED DIENTE DE SIERRA CON TORNAPUNTA (5 NUDOS, 7 BARRAS)</t>
  </si>
  <si>
    <t>GRÁFICA 24 - MÉNSULA DE FACHADA DOBLE MONTANTE (5 NUDOS, 7 BARRAS)</t>
  </si>
  <si>
    <t>Muro apoyo inf</t>
  </si>
  <si>
    <t>Muro apoyo sup</t>
  </si>
  <si>
    <t>Vértice sup</t>
  </si>
  <si>
    <t>Vértice medio</t>
  </si>
  <si>
    <t>Vértice inf</t>
  </si>
  <si>
    <t>HOJA 24 AUTOMATIZADA - MÉNSULA DE FACHADA DOBLE MONTANTE (5 NUDOS, 7 BARRAS)</t>
  </si>
  <si>
    <t>GRÁFICA 25 - CERCHA ASIMÉTRICA SOBRE TERRENO INCLINADO (5 NUDOS, 7 BARRAS)</t>
  </si>
  <si>
    <t>Nudo tirante inclinado</t>
  </si>
  <si>
    <t>Apoyo móvil elevado</t>
  </si>
  <si>
    <t>HOJA 25 AUTOMATIZADA - CERCHA ASIMÉTRICA SOBRE TERRENO INCLINADO (5 NUDOS, 7 BARRAS)</t>
  </si>
  <si>
    <t>GRÁFICA 26 - WARREN CLÁSICA CON MONTANTES Y DIAGONALES (6 NUDOS, 9 BARRAS)</t>
  </si>
  <si>
    <t>Nudo cordón inferior</t>
  </si>
  <si>
    <t>Cuerda superior izq</t>
  </si>
  <si>
    <t>Cuerda superior der</t>
  </si>
  <si>
    <t>HOJA 26 AUTOMATIZADA - WARREN CLÁSICA CON MONTANTES Y DIAGONALES (6 NUDOS, 9 BARRAS)</t>
  </si>
  <si>
    <t>k9=</t>
  </si>
  <si>
    <t>K9=</t>
  </si>
  <si>
    <t>F9=</t>
  </si>
  <si>
    <t>GRÁFICA 27 - ARMADURA PRATT DE 3 PANELES (6 NUDOS, 9 BARRAS)</t>
  </si>
  <si>
    <t>Nudo inferior cargado</t>
  </si>
  <si>
    <t>HOJA 27 AUTOMATIZADA - ARMADURA PRATT DE 3 PANELES (6 NUDOS, 9 BARRAS)</t>
  </si>
  <si>
    <t>GRÁFICA 28 - ARMADURA HOWE DE 3 PANELES (6 NUDOS, 9 BARRAS)</t>
  </si>
  <si>
    <t>HOJA 28 AUTOMATIZADA - ARMADURA HOWE DE 3 PANELES (6 NUDOS, 9 BARRAS)</t>
  </si>
  <si>
    <t>GRÁFICA 29 - CERCHA FINK A DOS AGUAS CON PENDOLÓN (6 NUDOS, 9 BARRAS)</t>
  </si>
  <si>
    <t>Tornapunta izq</t>
  </si>
  <si>
    <t>Tornapunta der</t>
  </si>
  <si>
    <t>HOJA 29 AUTOMATIZADA - CERCHA FINK A DOS AGUAS CON PENDOLÓN (6 NUDOS, 9 BARRAS)</t>
  </si>
  <si>
    <t>GRÁFICA 30 - MÉNSULA K-TRUSS EN VOLADIZO (6 NUDOS, 9 BARRAS)</t>
  </si>
  <si>
    <t>Centro de la K</t>
  </si>
  <si>
    <t>Punta del voladizo</t>
  </si>
  <si>
    <t>HOJA 30 AUTOMATIZADA - MÉNSULA K-TRUSS EN VOLADIZO (6 NUDOS, 9 BARRAS)</t>
  </si>
  <si>
    <t>GRÁFICA 31 - CERCHA MANSARDA FRANCESA (6 NUDOS, 9 BARRAS)</t>
  </si>
  <si>
    <t>Quiebre escarpado izq</t>
  </si>
  <si>
    <t>Quiebre escarpado der</t>
  </si>
  <si>
    <t>HOJA 31 AUTOMATIZADA - CERCHA MANSARDA FRANCESA (6 NUDOS, 9 BARRAS)</t>
  </si>
  <si>
    <t>GRÁFICA 32 - MARQUESINA EN VOLADIZO DE DOS MÓDULOS (6 NUDOS, 9 BARRAS)</t>
  </si>
  <si>
    <t>Extremo inferior</t>
  </si>
  <si>
    <t>Extremo superior</t>
  </si>
  <si>
    <t>HOJA 32 AUTOMATIZADA - MARQUESINA EN VOLADIZO DE DOS MÓDULOS (6 NUDOS, 9 BARRAS)</t>
  </si>
  <si>
    <t>GRÁFICA 33 - TORRE DE ALTA TENSIÓN DE DOS CUERPOS (6 NUDOS, 9 BARRAS)</t>
  </si>
  <si>
    <t>Zapata fija izq</t>
  </si>
  <si>
    <t>Zapata móvil der</t>
  </si>
  <si>
    <t>Cuerpo medio izq</t>
  </si>
  <si>
    <t>Cuerpo medio der</t>
  </si>
  <si>
    <t>Cúpula superior izq</t>
  </si>
  <si>
    <t>Cúpula superior der</t>
  </si>
  <si>
    <t>HOJA 33 AUTOMATIZADA - TORRE DE ALTA TENSIÓN DE DOS CUERPOS (6 NUDOS, 9 BARRAS)</t>
  </si>
  <si>
    <t>GRÁFICA 34 - PUENTE PEATONAL DE PASO SUPERIOR (6 NUDOS, 9 BARRAS)</t>
  </si>
  <si>
    <t>Estribo fijo izq</t>
  </si>
  <si>
    <t>Tablero inferior</t>
  </si>
  <si>
    <t>Estribo móvil der</t>
  </si>
  <si>
    <t>Cordón superior</t>
  </si>
  <si>
    <t>HOJA 34 AUTOMATIZADA - PUENTE PEATONAL DE PASO SUPERIOR (6 NUDOS, 9 BARRAS)</t>
  </si>
  <si>
    <t>GRÁFICA 35 - CERCHA INDUSTRIAL SHED DE GRAN LUZ (6 NUDOS, 9 BARRAS)</t>
  </si>
  <si>
    <t>Tirante vano 1</t>
  </si>
  <si>
    <t>Tirante vano 2</t>
  </si>
  <si>
    <t>Cumbrera 1</t>
  </si>
  <si>
    <t>Cumbrera 2</t>
  </si>
  <si>
    <t>HOJA 35 AUTOMATIZADA - CERCHA INDUSTRIAL SHED DE GRAN LUZ (6 NUDOS, 9 BARRAS)</t>
  </si>
  <si>
    <t>GRÁFICA 36 - ARMADURA WARREN EXTENSA DE 4 PANELES (7 NUDOS, 11 BARRAS)</t>
  </si>
  <si>
    <t>Nudo 2</t>
  </si>
  <si>
    <t>Nudo 3</t>
  </si>
  <si>
    <t>Cúspide 1</t>
  </si>
  <si>
    <t>Cúspide 2</t>
  </si>
  <si>
    <t>Cúspide 3</t>
  </si>
  <si>
    <t>HOJA 36 AUTOMATIZADA - ARMADURA WARREN EXTENSA DE 4 PANELES (7 NUDOS, 11 BARRAS)</t>
  </si>
  <si>
    <t>U7X</t>
  </si>
  <si>
    <t>U7Y</t>
  </si>
  <si>
    <t>k10=</t>
  </si>
  <si>
    <t>K10=</t>
  </si>
  <si>
    <t>k11=</t>
  </si>
  <si>
    <t>K11=</t>
  </si>
  <si>
    <t>C7X</t>
  </si>
  <si>
    <t>C7Y</t>
  </si>
  <si>
    <t>D7X</t>
  </si>
  <si>
    <t>D7Y</t>
  </si>
  <si>
    <t>F10=</t>
  </si>
  <si>
    <t>F11=</t>
  </si>
  <si>
    <t>GRÁFICA 37 - ARMADURA PRATT CON MONTANTES MÚLTIPLES (7 NUDOS, 11 BARRAS)</t>
  </si>
  <si>
    <t>HOJA 37 AUTOMATIZADA - ARMADURA PRATT CON MONTANTES MÚLTIPLES (7 NUDOS, 11 BARRAS)</t>
  </si>
  <si>
    <t>GRÁFICA 38 - ARMADURA DE CELOSÍA CONTINUA POLONCEAU (7 NUDOS, 11 BARRAS)</t>
  </si>
  <si>
    <t>HOJA 38 AUTOMATIZADA - ARMADURA DE CELOSÍA CONTINUA POLONCEAU (7 NUDOS, 11 BARRAS)</t>
  </si>
  <si>
    <t>GRÁFICA 39 - PUENTE FERROVIARIO DE GRAN LUZ (8 NUDOS, 13 BARRAS)</t>
  </si>
  <si>
    <t>Nudo 4</t>
  </si>
  <si>
    <t>Superior 1</t>
  </si>
  <si>
    <t>Superior 2</t>
  </si>
  <si>
    <t>Superior 3</t>
  </si>
  <si>
    <t>HOJA 39 AUTOMATIZADA - PUENTE FERROVIARIO DE GRAN LUZ (8 NUDOS, 13 BARRAS)</t>
  </si>
  <si>
    <t>U8X</t>
  </si>
  <si>
    <t>U8Y</t>
  </si>
  <si>
    <t>k12=</t>
  </si>
  <si>
    <t>K12=</t>
  </si>
  <si>
    <t>k13=</t>
  </si>
  <si>
    <t>K13=</t>
  </si>
  <si>
    <t>C8X</t>
  </si>
  <si>
    <t>C8Y</t>
  </si>
  <si>
    <t>D8X</t>
  </si>
  <si>
    <t>D8Y</t>
  </si>
  <si>
    <t>F12=</t>
  </si>
  <si>
    <t>F13=</t>
  </si>
  <si>
    <t>GRÁFICA 40 - ARMADURA MONUMENTAL DE NAVE INDUSTRIAL (8 NUDOS, 13 BARRAS)</t>
  </si>
  <si>
    <t>HOJA 40 AUTOMATIZADA - ARMADURA MONUMENTAL DE NAVE INDUSTRIAL (8 NUDOS, 13 BARRAS)</t>
  </si>
  <si>
    <t>GRÁFICA 41 - PANEL CUADRANGULAR CON CRUZ DE SAN ANDRÉS (4 NUDOS, 6 BARRAS)</t>
  </si>
  <si>
    <t>Nudo superior cargado</t>
  </si>
  <si>
    <t>Nudo superior libre</t>
  </si>
  <si>
    <t>HOJA 41 AUTOMATIZADA - PANEL CUADRANGULAR CON CRUZ DE SAN ANDRÉS (4 NUDOS, 6 BARRAS)</t>
  </si>
  <si>
    <t>GRÁFICA 42 - PANEL ANTISISMO EN X CON CARGA LATERAL (4 NUDOS, 6 BARRAS)</t>
  </si>
  <si>
    <t>Corte sísmico lateral</t>
  </si>
  <si>
    <t>HOJA 42 AUTOMATIZADA - PANEL ANTISISMO EN X CON CARGA LATERAL (4 NUDOS, 6 BARRAS)</t>
  </si>
  <si>
    <t>GRÁFICA 43 - WARREN HIPERESTÁTICA CON PANEL EN X CENTRAL (5 NUDOS, 8 BARRAS)</t>
  </si>
  <si>
    <t>Nudo cargado</t>
  </si>
  <si>
    <t>HOJA 43 AUTOMATIZADA - WARREN HIPERESTÁTICA CON PANEL EN X CENTRAL (5 NUDOS, 8 BARRAS)</t>
  </si>
  <si>
    <t>GRÁFICA 44 - ARMADURA DE DOS PANELES DOBLE X (GRADO 2) (5 NUDOS, 9 BARRAS)</t>
  </si>
  <si>
    <t>Nudo 2 cargado</t>
  </si>
  <si>
    <t>Nudo superior 4</t>
  </si>
  <si>
    <t>Nudo superior 5 cargado</t>
  </si>
  <si>
    <t>HOJA 44 AUTOMATIZADA - ARMADURA DE DOS PANELES DOBLE X (GRADO 2) (5 NUDOS, 9 BARRAS)</t>
  </si>
  <si>
    <t>GRÁFICA 45 - PUENTE RETICULAR HIPERESTÁTICO GRADO 2 (6 NUDOS, 11 BARRAS)</t>
  </si>
  <si>
    <t>Nudo superior 5</t>
  </si>
  <si>
    <t>Nudo superior 6</t>
  </si>
  <si>
    <t>HOJA 45 AUTOMATIZADA - PUENTE RETICULAR HIPERESTÁTICO GRADO 2 (6 NUDOS, 11 BARRAS)</t>
  </si>
  <si>
    <t>GRÁFICA 46 - ARMADURA DE CELOSÍA CON BARRA ESPÍA CENTRAL (4 NUDOS, 6 BARRAS)</t>
  </si>
  <si>
    <t>Vértice superior</t>
  </si>
  <si>
    <t>Nudo interno concurrente</t>
  </si>
  <si>
    <t>HOJA 46 AUTOMATIZADA - ARMADURA DE CELOSÍA CON BARRA ESPÍA CENTRAL (4 NUDOS, 6 BARRAS)</t>
  </si>
  <si>
    <t>GRÁFICA 47 - ARMADURA DE CELOSÍA WARREN TRIPLEMENTE CRUZADA (6 NUDOS, 12 BARRAS)</t>
  </si>
  <si>
    <t>Nudo 5</t>
  </si>
  <si>
    <t>Nudo 6</t>
  </si>
  <si>
    <t>HOJA 47 AUTOMATIZADA - ARMADURA DE CELOSÍA WARREN TRIPLEMENTE CRUZADA (6 NUDOS, 12 BARRAS)</t>
  </si>
  <si>
    <t>GRÁFICA 48 - VIGA VIERENDEEL ARRIOSTRADA HIPERESTÁTICA GRADO 2 (6 NUDOS, 11 BARRAS)</t>
  </si>
  <si>
    <t>HOJA 48 AUTOMATIZADA - VIGA VIERENDEEL ARRIOSTRADA HIPERESTÁTICA GRADO 2 (6 NUDOS, 11 BARRAS)</t>
  </si>
  <si>
    <t>GRÁFICA 49 - TRIÁNGULO CON DOBLE APOYO FIJO (3 NUDOS, 3 BARRAS)</t>
  </si>
  <si>
    <t>Apoyo fijo derecho</t>
  </si>
  <si>
    <t>HOJA 49 AUTOMATIZADA - TRIÁNGULO CON DOBLE APOYO FIJO (3 NUDOS, 3 BARRAS)</t>
  </si>
  <si>
    <t>GRÁFICA 50 - TRIÁNGULO HIPERESTÁTICO CON 3 APOYOS (3 NUDOS, 3 BARRAS)</t>
  </si>
  <si>
    <t>Cúspide con apoyo vertical</t>
  </si>
  <si>
    <t>HOJA 50 AUTOMATIZADA - TRIÁNGULO HIPERESTÁTICO CON 3 APOYOS (3 NUDOS, 3 BARRAS)</t>
  </si>
  <si>
    <t>GRÁFICA 51 - ARMADURA 4 NUDOS CON DOS APOYOS FIJOS (4 NUDOS, 5 BARRAS)</t>
  </si>
  <si>
    <t>Apoyo fijo 1</t>
  </si>
  <si>
    <t>Apoyo fijo 2</t>
  </si>
  <si>
    <t>Nudo 3 cargado</t>
  </si>
  <si>
    <t>Nudo 4 con carga horizontal</t>
  </si>
  <si>
    <t>HOJA 51 AUTOMATIZADA - ARMADURA 4 NUDOS CON DOS APOYOS FIJOS (4 NUDOS, 5 BARRAS)</t>
  </si>
  <si>
    <t>GRÁFICA 52 - PUENTE CONTINUO DE DOS LUCES (5 NUDOS, 7 BARRAS)</t>
  </si>
  <si>
    <t>Estribo fijo izquierdo</t>
  </si>
  <si>
    <t>Pila central intermedia</t>
  </si>
  <si>
    <t>Estribo móvil derecho</t>
  </si>
  <si>
    <t>Cúspide vano 1</t>
  </si>
  <si>
    <t>Cúspide vano 2</t>
  </si>
  <si>
    <t>HOJA 52 AUTOMATIZADA - PUENTE CONTINUO DE DOS LUCES (5 NUDOS, 7 BARRAS)</t>
  </si>
  <si>
    <t>GRÁFICA 53 - ARMADURA BÍPODE CON ANCLAJES FIJOS (4 NUDOS, 5 BARRAS)</t>
  </si>
  <si>
    <t>Zapata fija 1</t>
  </si>
  <si>
    <t>Zapata fija 2</t>
  </si>
  <si>
    <t>Zapata fija 3</t>
  </si>
  <si>
    <t>Vértice cargado</t>
  </si>
  <si>
    <t>HOJA 53 AUTOMATIZADA - ARMADURA BÍPODE CON ANCLAJES FIJOS (4 NUDOS, 5 BARRAS)</t>
  </si>
  <si>
    <t>GRÁFICA 54 - PUENTE DE DOS VANOS DE 6 NUDOS (6 NUDOS, 9 BARRAS)</t>
  </si>
  <si>
    <t>Estribo fijo</t>
  </si>
  <si>
    <t>Pila central</t>
  </si>
  <si>
    <t>Estribo móvil</t>
  </si>
  <si>
    <t>HOJA 54 AUTOMATIZADA - PUENTE DE DOS VANOS DE 6 NUDOS (6 NUDOS, 9 BARRAS)</t>
  </si>
  <si>
    <t>GRÁFICA 55 - PANEL EN X CON DOS APOYOS FIJOS (4 NUDOS, 6 BARRAS)</t>
  </si>
  <si>
    <t>Nudo 4 con viento</t>
  </si>
  <si>
    <t>HOJA 55 AUTOMATIZADA - PANEL EN X CON DOS APOYOS FIJOS (4 NUDOS, 6 BARRAS)</t>
  </si>
  <si>
    <t>GRÁFICA 56 - WARREN CONTINUA CON DIAGONAL CRUZADA (5 NUDOS, 8 BARRAS)</t>
  </si>
  <si>
    <t>HOJA 56 AUTOMATIZADA - WARREN CONTINUA CON DIAGONAL CRUZADA (5 NUDOS, 8 BARRAS)</t>
  </si>
  <si>
    <t>GRÁFICA 57 - PRATT MIXTA CON DOBLE X Y APOYOS FIJOS (6 NUDOS, 11 BARRAS)</t>
  </si>
  <si>
    <t>HOJA 57 AUTOMATIZADA - PRATT MIXTA CON DOBLE X Y APOYOS FIJOS (6 NUDOS, 11 BARRAS)</t>
  </si>
  <si>
    <t>GRÁFICA 58 - PUENTE CONTINUO CON PANELES CRUZADOS (6 NUDOS, 11 BARRAS)</t>
  </si>
  <si>
    <t>Nudo 5 cargado</t>
  </si>
  <si>
    <t>HOJA 58 AUTOMATIZADA - PUENTE CONTINUO CON PANELES CRUZADOS (6 NUDOS, 11 BARRAS)</t>
  </si>
  <si>
    <t>GRÁFICA 59 - ARMADURA DE CELOSÍA HIPERESTÁTICA GRADO 4 (6 NUDOS, 12 BARRAS)</t>
  </si>
  <si>
    <t>Apoyo móvil central</t>
  </si>
  <si>
    <t>HOJA 59 AUTOMATIZADA - ARMADURA DE CELOSÍA HIPERESTÁTICA GRADO 4 (6 NUDOS, 12 BARRAS)</t>
  </si>
  <si>
    <t>GRÁFICA 60 - MEGA-ESTRUCTURA CONTINUA HIPERESTÁTICA GRADO 4 (6 NUDOS, 12 BARRAS)</t>
  </si>
  <si>
    <t>Estribo fijo 1</t>
  </si>
  <si>
    <t>Estribo fijo 2</t>
  </si>
  <si>
    <t>HOJA 60 AUTOMATIZADA - MEGA-ESTRUCTURA CONTINUA HIPERESTÁTICA GRADO 4 (6 NUDOS, 12 BARRAS)</t>
  </si>
  <si>
    <t>GRÁFICA 61 - PANEL DOBLE FIJO EN CRUZ DE SAN ANDRÉS (4 NUDOS, 6 BARRAS)</t>
  </si>
  <si>
    <t>Nudo 3 superior cargado</t>
  </si>
  <si>
    <t>HOJA 61 AUTOMATIZADA - PANEL DOBLE FIJO EN CRUZ DE SAN ANDRÉS (4 NUDOS, 6 BARRAS)</t>
  </si>
  <si>
    <t>GRÁFICA 62 - CABALLETE HIPERESTÁTICO CON TIRANTE EN CRUZ (5 NUDOS, 8 BARRAS)</t>
  </si>
  <si>
    <t>HOJA 62 AUTOMATIZADA - CABALLETE HIPERESTÁTICO CON TIRANTE EN CRUZ (5 NUDOS, 8 BARRAS)</t>
  </si>
  <si>
    <t>GRÁFICA 63 - WARREN CONTINUA SOBRE 3 APOYOS (GH = 1) (5 NUDOS, 7 BARRAS)</t>
  </si>
  <si>
    <t>HOJA 63 AUTOMATIZADA - WARREN CONTINUA SOBRE 3 APOYOS (GH = 1) (5 NUDOS, 7 BARRAS)</t>
  </si>
  <si>
    <t>GRÁFICA 64 - PUENTE PRATT CON PANEL CENTRAL EN X (GH = 2) (6 NUDOS, 11 BARRAS)</t>
  </si>
  <si>
    <t>Nudo 2 cordón inferior</t>
  </si>
  <si>
    <t>Nudo 3 cordón inferior</t>
  </si>
  <si>
    <t>HOJA 64 AUTOMATIZADA - PUENTE PRATT CON PANEL CENTRAL EN X (GH = 2) (6 NUDOS, 11 BARRAS)</t>
  </si>
  <si>
    <t>GRÁFICA 65 - VIGA CONTINUA MULTIRÓTULA DE 4 APOYOS (GH = 3) (6 NUDOS, 10 BARRAS)</t>
  </si>
  <si>
    <t>Pila intermedia 1</t>
  </si>
  <si>
    <t>Pila intermedia 2</t>
  </si>
  <si>
    <t>Estribo móvil 2</t>
  </si>
  <si>
    <t>Nudo superior 6 cargado</t>
  </si>
  <si>
    <t>HOJA 65 AUTOMATIZADA - VIGA CONTINUA MULTIRÓTULA DE 4 APOYOS (GH = 3) (6 NUDOS, 10 BARRAS)</t>
  </si>
  <si>
    <t>GRÁFICA 66 - CELOSÍA CON DOBLE PANEL TOTALMENTE EN X (GH = 3) (6 NUDOS, 12 BARRAS)</t>
  </si>
  <si>
    <t>HOJA 66 AUTOMATIZADA - CELOSÍA CON DOBLE PANEL TOTALMENTE EN X (GH = 3) (6 NUDOS, 12 BARRAS)</t>
  </si>
  <si>
    <t>GRÁFICA 67 - MÉNSULA EMPOTRADA BIARTICULADA EN X (GH = 2) (4 NUDOS, 6 BARRAS)</t>
  </si>
  <si>
    <t>Muro anclaje inferior</t>
  </si>
  <si>
    <t>Muro anclaje superior</t>
  </si>
  <si>
    <t>Extremo superior voladizo</t>
  </si>
  <si>
    <t>Extremo inferior voladizo</t>
  </si>
  <si>
    <t>HOJA 67 AUTOMATIZADA - MÉNSULA EMPOTRADA BIARTICULADA EN X (GH = 2) (4 NUDOS, 6 BARRAS)</t>
  </si>
  <si>
    <t>GRÁFICA 68 - TORRE DE ALTA TENSIÓN CON BASE BIARTICULADA (GH = 2) (6 NUDOS, 10 BARRAS)</t>
  </si>
  <si>
    <t>Zapata fija derecha</t>
  </si>
  <si>
    <t>Nivel medio izq</t>
  </si>
  <si>
    <t>Nivel medio der</t>
  </si>
  <si>
    <t>Cúspide antena izq</t>
  </si>
  <si>
    <t>Cúspide antena der</t>
  </si>
  <si>
    <t>HOJA 68 AUTOMATIZADA - TORRE DE ALTA TENSIÓN CON BASE BIARTICULADA (GH = 2) (6 NUDOS, 10 BARRAS)</t>
  </si>
  <si>
    <t>GRÁFICA 69 - MÉNSULA K-TRUSS BIARTICULADA HIPERESTÁTICA (GH = 3) (6 NUDOS, 11 BARRAS)</t>
  </si>
  <si>
    <t>Punta voladizo</t>
  </si>
  <si>
    <t>HOJA 69 AUTOMATIZADA - MÉNSULA K-TRUSS BIARTICULADA HIPERESTÁTICA (GH = 3) (6 NUDOS, 11 BARRAS)</t>
  </si>
  <si>
    <t>GRÁFICA 70 - MEGA-PUENTE DE 3 PILAS FIJAS Y DOBLE X (GH = 5) (6 NUDOS, 11 BARRAS)</t>
  </si>
  <si>
    <t>Pila fija 1</t>
  </si>
  <si>
    <t>Pila fija central</t>
  </si>
  <si>
    <t>Pila fija 2</t>
  </si>
  <si>
    <t>HOJA 70 AUTOMATIZADA - MEGA-PUENTE DE 3 PILAS FIJAS Y DOBLE X (GH = 5) (6 NUDOS, 11 BARRAS)</t>
  </si>
  <si>
    <t>UX</t>
  </si>
  <si>
    <t>UY</t>
  </si>
  <si>
    <t>DESPLAZAMIENTOS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</si>
</sst>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E+00"/>
    <numFmt numFmtId="166" formatCode="0.000000000"/>
    <numFmt numFmtId="167" formatCode="0.00000000"/>
    <numFmt numFmtId="168" formatCode="#,##0.000"/>
  </numFmts>
  <fonts count="32" x14ac:knownFonts="1">
    <font>
      <sz val="11"/>
      <color theme="1"/>
      <name val="Calibri"/>
      <family val="2"/>
      <scheme val="minor"/>
    </font>
    <font>
      <b/>
      <sz val="13"/>
      <color rgb="FFFFFFFF"/>
      <name val="Segoe UI"/>
    </font>
    <font>
      <i/>
      <sz val="9"/>
      <color rgb="FFCBD5E1"/>
      <name val="Segoe UI"/>
    </font>
    <font>
      <b/>
      <sz val="10"/>
      <color rgb="FFFFFFFF"/>
      <name val="Segoe UI"/>
    </font>
    <font>
      <sz val="9"/>
      <name val="Segoe UI"/>
    </font>
    <font>
      <i/>
      <sz val="8"/>
      <color rgb="FF64748B"/>
      <name val="Segoe UI"/>
    </font>
    <font>
      <b/>
      <sz val="9"/>
      <name val="Segoe UI"/>
    </font>
    <font>
      <b/>
      <sz val="9"/>
      <color rgb="FFFFFFFF"/>
      <name val="Segoe UI"/>
    </font>
    <font>
      <b/>
      <sz val="9"/>
      <color rgb="FF166534"/>
      <name val="Segoe UI"/>
    </font>
    <font>
      <b/>
      <sz val="10"/>
      <color rgb="FF166534"/>
      <name val="Segoe UI"/>
    </font>
    <font>
      <b/>
      <u/>
      <sz val="9"/>
      <color rgb="FF1D4ED8"/>
      <name val="Segoe UI"/>
    </font>
    <font>
      <b/>
      <sz val="10"/>
      <color rgb="FF1E40AF"/>
      <name val="Segoe UI"/>
    </font>
    <font>
      <b/>
      <sz val="9"/>
      <color rgb="FF1E293B"/>
      <name val="Segoe UI"/>
    </font>
    <font>
      <b/>
      <sz val="10"/>
      <color rgb="FF1E293B"/>
      <name val="Segoe UI"/>
    </font>
    <font>
      <sz val="8"/>
      <color rgb="FF334155"/>
      <name val="Segoe UI"/>
    </font>
    <font>
      <b/>
      <u/>
      <sz val="10"/>
      <color rgb="FF1E293B"/>
      <name val="Segoe UI"/>
    </font>
    <font>
      <b/>
      <sz val="9"/>
      <color rgb="FF92400E"/>
      <name val="Segoe UI"/>
    </font>
    <font>
      <b/>
      <sz val="11"/>
      <color rgb="FF334E68"/>
      <name val="Segoe UI"/>
    </font>
    <font>
      <b/>
      <sz val="8"/>
      <color rgb="FF475569"/>
      <name val="Segoe UI"/>
    </font>
    <font>
      <b/>
      <sz val="13"/>
      <color rgb="FFFFFFFF"/>
      <name val="Segoe UI"/>
    </font>
    <font>
      <i/>
      <sz val="9"/>
      <color rgb="FFCBD5E1"/>
      <name val="Segoe UI"/>
    </font>
    <font>
      <b/>
      <sz val="9"/>
      <color rgb="FFFFFFFF"/>
      <name val="Segoe UI"/>
    </font>
    <font>
      <b/>
      <sz val="9"/>
      <color rgb="FF1E293B"/>
      <name val="Segoe UI"/>
    </font>
    <font>
      <b/>
      <sz val="10"/>
      <color rgb="FFFFFFFF"/>
      <name val="Segoe UI"/>
    </font>
    <font>
      <b/>
      <sz val="9"/>
      <color rgb="FF1E3A8A"/>
      <name val="Segoe UI"/>
    </font>
    <font>
      <b/>
      <sz val="11"/>
      <color rgb="FF1E293B"/>
      <name val="Segoe UI"/>
    </font>
    <font>
      <b/>
      <sz val="10"/>
      <color rgb="FF1E293B"/>
      <name val="Segoe UI"/>
    </font>
    <font>
      <i/>
      <sz val="8"/>
      <color rgb="FF64748B"/>
      <name val="Segoe UI"/>
    </font>
    <font>
      <sz val="8"/>
      <color rgb="FF334155"/>
      <name val="Segoe UI"/>
    </font>
    <font>
      <b/>
      <u/>
      <sz val="10"/>
      <color rgb="FF1E293B"/>
      <name val="Segoe UI"/>
    </font>
    <font>
      <b/>
      <sz val="8"/>
      <color rgb="FF334155"/>
      <name val="Segoe UI"/>
    </font>
    <font>
      <b/>
      <sz val="9"/>
      <color rgb="FFFF0000"/>
      <name val="Segoe UI"/>
      <family val="2"/>
    </font>
  </fonts>
  <fills count="61">
    <fill>
      <patternFill patternType="none"/>
    </fill>
    <fill>
      <patternFill patternType="gray125"/>
    </fill>
    <fill>
      <patternFill patternType="solid">
        <fgColor rgb="FF334E68"/>
      </patternFill>
    </fill>
    <fill>
      <patternFill patternType="solid">
        <fgColor rgb="FF475569"/>
      </patternFill>
    </fill>
    <fill>
      <patternFill patternType="solid">
        <fgColor rgb="FFF8FAFC"/>
      </patternFill>
    </fill>
    <fill>
      <patternFill patternType="solid">
        <fgColor rgb="FFFFFFFF"/>
      </patternFill>
    </fill>
    <fill>
      <patternFill patternType="solid">
        <fgColor rgb="FF4A6B6C"/>
      </patternFill>
    </fill>
    <fill>
      <patternFill patternType="solid">
        <fgColor rgb="FFE2E8F0"/>
      </patternFill>
    </fill>
    <fill>
      <patternFill patternType="solid">
        <fgColor rgb="FFE0F2FE"/>
      </patternFill>
    </fill>
    <fill>
      <patternFill patternType="solid">
        <fgColor rgb="FFE8F5E9"/>
      </patternFill>
    </fill>
    <fill>
      <patternFill patternType="solid">
        <fgColor rgb="FFDCFCE7"/>
      </patternFill>
    </fill>
    <fill>
      <patternFill patternType="solid">
        <fgColor rgb="FFF1F5F9"/>
      </patternFill>
    </fill>
    <fill>
      <patternFill patternType="solid">
        <fgColor rgb="FFFEF08A"/>
      </patternFill>
    </fill>
    <fill>
      <patternFill patternType="solid">
        <fgColor rgb="FFEDEDFA"/>
      </patternFill>
    </fill>
    <fill>
      <patternFill patternType="solid">
        <fgColor rgb="FFFFF9E6"/>
      </patternFill>
    </fill>
    <fill>
      <patternFill patternType="solid">
        <fgColor rgb="FFE8F8F5"/>
      </patternFill>
    </fill>
    <fill>
      <patternFill patternType="solid">
        <fgColor rgb="FFFFF3E0"/>
      </patternFill>
    </fill>
    <fill>
      <patternFill patternType="solid">
        <fgColor rgb="FFBAE6FD"/>
      </patternFill>
    </fill>
    <fill>
      <patternFill patternType="solid">
        <fgColor rgb="FFA7F3D0"/>
      </patternFill>
    </fill>
    <fill>
      <patternFill patternType="solid">
        <fgColor rgb="FFFDE68A"/>
      </patternFill>
    </fill>
    <fill>
      <patternFill patternType="solid">
        <fgColor rgb="FFE2EFDA"/>
      </patternFill>
    </fill>
    <fill>
      <patternFill patternType="solid">
        <fgColor rgb="FFFCE4D6"/>
      </patternFill>
    </fill>
    <fill>
      <patternFill patternType="solid">
        <fgColor rgb="FFFFF2CC"/>
      </patternFill>
    </fill>
    <fill>
      <patternFill patternType="solid">
        <fgColor rgb="FFF3E5F5"/>
      </patternFill>
    </fill>
    <fill>
      <patternFill patternType="solid">
        <fgColor rgb="FFFCE4EC"/>
      </patternFill>
    </fill>
    <fill>
      <patternFill patternType="solid">
        <fgColor rgb="FFDDD6FE"/>
      </patternFill>
    </fill>
    <fill>
      <patternFill patternType="solid">
        <fgColor rgb="FFFBCFE8"/>
      </patternFill>
    </fill>
    <fill>
      <patternFill patternType="solid">
        <fgColor rgb="FFE0F2F1"/>
      </patternFill>
    </fill>
    <fill>
      <patternFill patternType="solid">
        <fgColor rgb="FFFEF9C3"/>
      </patternFill>
    </fill>
    <fill>
      <patternFill patternType="solid">
        <fgColor rgb="FF99F6E4"/>
      </patternFill>
    </fill>
    <fill>
      <patternFill patternType="solid">
        <fgColor rgb="FFEDE7F6"/>
      </patternFill>
    </fill>
    <fill>
      <patternFill patternType="solid">
        <fgColor rgb="FFE0E7FF"/>
      </patternFill>
    </fill>
    <fill>
      <patternFill patternType="solid">
        <fgColor rgb="FFD1C4E9"/>
      </patternFill>
    </fill>
    <fill>
      <patternFill patternType="solid">
        <fgColor rgb="FFC7D2FE"/>
      </patternFill>
    </fill>
    <fill>
      <patternFill patternType="solid">
        <fgColor rgb="FFFFEDD5"/>
      </patternFill>
    </fill>
    <fill>
      <patternFill patternType="solid">
        <fgColor rgb="FFCFFAFE"/>
      </patternFill>
    </fill>
    <fill>
      <patternFill patternType="solid">
        <fgColor rgb="FFFED7AA"/>
      </patternFill>
    </fill>
    <fill>
      <patternFill patternType="solid">
        <fgColor rgb="FFA5F3FC"/>
      </patternFill>
    </fill>
    <fill>
      <patternFill patternType="solid">
        <fgColor rgb="FFFDF2F8"/>
      </patternFill>
    </fill>
    <fill>
      <patternFill patternType="solid">
        <fgColor rgb="FFFCE7F3"/>
      </patternFill>
    </fill>
    <fill>
      <patternFill patternType="solid">
        <fgColor rgb="FF1E293B"/>
      </patternFill>
    </fill>
    <fill>
      <patternFill patternType="solid">
        <fgColor rgb="FF334155"/>
      </patternFill>
    </fill>
    <fill>
      <patternFill patternType="solid">
        <fgColor rgb="FFF1F5F9"/>
      </patternFill>
    </fill>
    <fill>
      <patternFill patternType="solid">
        <fgColor rgb="FF0F766E"/>
      </patternFill>
    </fill>
    <fill>
      <patternFill patternType="solid">
        <fgColor rgb="FFF8FAFC"/>
      </patternFill>
    </fill>
    <fill>
      <patternFill patternType="solid">
        <fgColor rgb="FFFEF3C7"/>
      </patternFill>
    </fill>
    <fill>
      <patternFill patternType="solid">
        <fgColor rgb="FFE0F2FE"/>
      </patternFill>
    </fill>
    <fill>
      <patternFill patternType="solid">
        <fgColor rgb="FFDCFCE7"/>
      </patternFill>
    </fill>
    <fill>
      <patternFill patternType="solid">
        <fgColor rgb="FFFEE2E2"/>
      </patternFill>
    </fill>
    <fill>
      <patternFill patternType="solid">
        <fgColor rgb="FFF3E8FF"/>
      </patternFill>
    </fill>
    <fill>
      <patternFill patternType="solid">
        <fgColor rgb="FFCCFBF1"/>
      </patternFill>
    </fill>
    <fill>
      <patternFill patternType="solid">
        <fgColor rgb="FFFEF9C3"/>
      </patternFill>
    </fill>
    <fill>
      <patternFill patternType="solid">
        <fgColor rgb="FFEDE7F6"/>
      </patternFill>
    </fill>
    <fill>
      <patternFill patternType="solid">
        <fgColor rgb="FFFFFFFF"/>
      </patternFill>
    </fill>
    <fill>
      <patternFill patternType="solid">
        <fgColor rgb="FFD1FAE5"/>
      </patternFill>
    </fill>
    <fill>
      <patternFill patternType="solid">
        <fgColor rgb="FFE2E8F0"/>
      </patternFill>
    </fill>
    <fill>
      <patternFill patternType="solid">
        <fgColor rgb="FFFEF08A"/>
      </patternFill>
    </fill>
    <fill>
      <patternFill patternType="solid">
        <fgColor rgb="FFEDEDFA"/>
      </patternFill>
    </fill>
    <fill>
      <patternFill patternType="solid">
        <fgColor rgb="FF00B050"/>
        <bgColor indexed="64"/>
      </patternFill>
    </fill>
    <fill>
      <patternFill patternType="solid">
        <fgColor rgb="FFFFFF00"/>
        <bgColor indexed="64"/>
      </patternFill>
    </fill>
    <fill>
      <patternFill patternType="solid">
        <fgColor theme="9" tint="0.59999389629810485"/>
        <bgColor indexed="64"/>
      </patternFill>
    </fill>
  </fills>
  <borders count="20">
    <border>
      <left/>
      <right/>
      <top/>
      <bottom/>
      <diagonal/>
    </border>
    <border>
      <left style="thin">
        <color rgb="FFCBD5E1"/>
      </left>
      <right style="thin">
        <color rgb="FFCBD5E1"/>
      </right>
      <top style="thin">
        <color rgb="FFCBD5E1"/>
      </top>
      <bottom style="thin">
        <color rgb="FFCBD5E1"/>
      </bottom>
      <diagonal/>
    </border>
    <border>
      <left style="medium">
        <color rgb="FF4A6B6C"/>
      </left>
      <right style="medium">
        <color rgb="FF4A6B6C"/>
      </right>
      <top style="medium">
        <color rgb="FF4A6B6C"/>
      </top>
      <bottom style="medium">
        <color rgb="FF4A6B6C"/>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
      <left style="medium">
        <color rgb="FF94A3B8"/>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10B981"/>
      </top>
      <bottom style="medium">
        <color rgb="FF10B981"/>
      </bottom>
      <diagonal/>
    </border>
    <border>
      <left style="medium">
        <color rgb="FF94A3B8"/>
      </left>
      <right style="thin">
        <color rgb="FFCBD5E1"/>
      </right>
      <top style="thin">
        <color rgb="FFCBD5E1"/>
      </top>
      <bottom style="thin">
        <color rgb="FFCBD5E1"/>
      </bottom>
      <diagonal/>
    </border>
    <border>
      <left style="medium">
        <color indexed="64"/>
      </left>
      <right style="medium">
        <color indexed="64"/>
      </right>
      <top style="medium">
        <color indexed="64"/>
      </top>
      <bottom style="medium">
        <color indexed="64"/>
      </bottom>
      <diagonal/>
    </border>
    <border>
      <left style="thin">
        <color rgb="FFCBD5E1"/>
      </left>
      <right style="thin">
        <color rgb="FFCBD5E1"/>
      </right>
      <top style="thin">
        <color rgb="FFCBD5E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s>
  <cellStyleXfs count="1">
    <xf numFmtId="0" fontId="0" fillId="0" borderId="0"/>
  </cellStyleXfs>
  <cellXfs count="225">
    <xf numFmtId="0" fontId="0" fillId="0" borderId="0" xfId="0"/>
    <xf numFmtId="0" fontId="6" fillId="7"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4" fontId="4" fillId="4" borderId="1" xfId="0" applyNumberFormat="1" applyFont="1" applyFill="1" applyBorder="1" applyAlignment="1">
      <alignment horizontal="right" vertical="center"/>
    </xf>
    <xf numFmtId="4" fontId="6" fillId="4" borderId="1" xfId="0" applyNumberFormat="1" applyFont="1" applyFill="1" applyBorder="1" applyAlignment="1">
      <alignment horizontal="right" vertical="center"/>
    </xf>
    <xf numFmtId="4" fontId="4" fillId="8" borderId="1" xfId="0" applyNumberFormat="1" applyFont="1" applyFill="1" applyBorder="1" applyAlignment="1">
      <alignment horizontal="right" vertical="center"/>
    </xf>
    <xf numFmtId="4" fontId="6" fillId="8" borderId="1" xfId="0" applyNumberFormat="1" applyFont="1" applyFill="1" applyBorder="1" applyAlignment="1">
      <alignment horizontal="right" vertical="center"/>
    </xf>
    <xf numFmtId="4" fontId="4" fillId="5" borderId="1" xfId="0" applyNumberFormat="1" applyFont="1" applyFill="1" applyBorder="1" applyAlignment="1">
      <alignment horizontal="right" vertical="center"/>
    </xf>
    <xf numFmtId="0" fontId="6" fillId="11" borderId="1" xfId="0" applyFont="1" applyFill="1" applyBorder="1" applyAlignment="1">
      <alignment horizontal="center" vertical="center" wrapText="1"/>
    </xf>
    <xf numFmtId="0" fontId="13" fillId="0" borderId="0" xfId="0" applyFont="1"/>
    <xf numFmtId="0" fontId="6" fillId="5" borderId="1" xfId="0" applyFont="1" applyFill="1" applyBorder="1" applyAlignment="1">
      <alignment horizontal="center" vertical="center" wrapText="1"/>
    </xf>
    <xf numFmtId="0" fontId="0" fillId="0" borderId="0" xfId="0" applyAlignment="1">
      <alignment horizontal="center" vertical="center" wrapText="1"/>
    </xf>
    <xf numFmtId="0" fontId="5" fillId="4" borderId="1" xfId="0" applyFont="1" applyFill="1" applyBorder="1" applyAlignment="1">
      <alignment horizontal="center" vertical="center" wrapText="1"/>
    </xf>
    <xf numFmtId="0" fontId="15" fillId="0" borderId="0" xfId="0" applyFont="1"/>
    <xf numFmtId="1" fontId="4" fillId="5" borderId="1" xfId="0" applyNumberFormat="1" applyFont="1" applyFill="1" applyBorder="1" applyAlignment="1">
      <alignment horizontal="right" vertical="center"/>
    </xf>
    <xf numFmtId="4" fontId="6" fillId="5" borderId="1" xfId="0" applyNumberFormat="1" applyFont="1" applyFill="1" applyBorder="1" applyAlignment="1">
      <alignment horizontal="right" vertical="center"/>
    </xf>
    <xf numFmtId="0" fontId="6" fillId="13" borderId="1" xfId="0" applyFont="1" applyFill="1" applyBorder="1" applyAlignment="1">
      <alignment horizontal="center" vertical="center" wrapText="1"/>
    </xf>
    <xf numFmtId="0" fontId="6" fillId="5" borderId="0" xfId="0" applyFont="1" applyFill="1" applyAlignment="1">
      <alignment horizontal="center" vertical="center" wrapText="1"/>
    </xf>
    <xf numFmtId="2" fontId="4" fillId="4" borderId="1" xfId="0" applyNumberFormat="1" applyFont="1" applyFill="1" applyBorder="1" applyAlignment="1">
      <alignment horizontal="right" vertical="center"/>
    </xf>
    <xf numFmtId="4" fontId="16" fillId="14" borderId="1" xfId="0" applyNumberFormat="1" applyFont="1" applyFill="1" applyBorder="1" applyAlignment="1">
      <alignment horizontal="center" vertical="center" wrapText="1"/>
    </xf>
    <xf numFmtId="4" fontId="16" fillId="14" borderId="1" xfId="0" applyNumberFormat="1" applyFont="1" applyFill="1" applyBorder="1" applyAlignment="1">
      <alignment horizontal="right" vertical="center"/>
    </xf>
    <xf numFmtId="1" fontId="16" fillId="14" borderId="1" xfId="0" applyNumberFormat="1" applyFont="1" applyFill="1" applyBorder="1" applyAlignment="1">
      <alignment horizontal="center" vertical="center" wrapText="1"/>
    </xf>
    <xf numFmtId="3" fontId="16" fillId="14" borderId="1" xfId="0" applyNumberFormat="1" applyFont="1" applyFill="1" applyBorder="1" applyAlignment="1">
      <alignment horizontal="right" vertical="center"/>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17" fillId="0" borderId="0" xfId="0" applyFont="1" applyAlignment="1">
      <alignment horizontal="center" vertical="center" wrapText="1"/>
    </xf>
    <xf numFmtId="0" fontId="6" fillId="18" borderId="1" xfId="0" applyFont="1" applyFill="1" applyBorder="1" applyAlignment="1">
      <alignment horizontal="center" vertical="center" wrapText="1"/>
    </xf>
    <xf numFmtId="4" fontId="4" fillId="15" borderId="1" xfId="0" applyNumberFormat="1" applyFont="1" applyFill="1" applyBorder="1" applyAlignment="1">
      <alignment horizontal="right" vertical="center"/>
    </xf>
    <xf numFmtId="4" fontId="6" fillId="15" borderId="1" xfId="0" applyNumberFormat="1" applyFont="1" applyFill="1" applyBorder="1" applyAlignment="1">
      <alignment horizontal="right" vertical="center"/>
    </xf>
    <xf numFmtId="0" fontId="6" fillId="19" borderId="1" xfId="0" applyFont="1" applyFill="1" applyBorder="1" applyAlignment="1">
      <alignment horizontal="center" vertical="center" wrapText="1"/>
    </xf>
    <xf numFmtId="4" fontId="4" fillId="16" borderId="1" xfId="0" applyNumberFormat="1" applyFont="1" applyFill="1" applyBorder="1" applyAlignment="1">
      <alignment horizontal="right" vertical="center"/>
    </xf>
    <xf numFmtId="4" fontId="6" fillId="16" borderId="1" xfId="0" applyNumberFormat="1" applyFont="1" applyFill="1" applyBorder="1" applyAlignment="1">
      <alignment horizontal="right" vertical="center"/>
    </xf>
    <xf numFmtId="4" fontId="6" fillId="9" borderId="2" xfId="0" applyNumberFormat="1" applyFont="1" applyFill="1" applyBorder="1" applyAlignment="1">
      <alignment horizontal="right" vertical="center"/>
    </xf>
    <xf numFmtId="4" fontId="6" fillId="9" borderId="1" xfId="0" applyNumberFormat="1" applyFont="1" applyFill="1" applyBorder="1" applyAlignment="1">
      <alignment horizontal="right" vertical="center"/>
    </xf>
    <xf numFmtId="4" fontId="6" fillId="21" borderId="1" xfId="0" applyNumberFormat="1" applyFont="1" applyFill="1" applyBorder="1" applyAlignment="1">
      <alignment horizontal="right" vertical="center"/>
    </xf>
    <xf numFmtId="0" fontId="6" fillId="20" borderId="1" xfId="0" applyFont="1" applyFill="1" applyBorder="1" applyAlignment="1">
      <alignment horizontal="center" vertical="center" wrapText="1"/>
    </xf>
    <xf numFmtId="0" fontId="6" fillId="21" borderId="1" xfId="0" applyFont="1" applyFill="1" applyBorder="1" applyAlignment="1">
      <alignment horizontal="center" vertical="center" wrapText="1"/>
    </xf>
    <xf numFmtId="0" fontId="18" fillId="0" borderId="0" xfId="0" applyFont="1"/>
    <xf numFmtId="4" fontId="6" fillId="20" borderId="1" xfId="0" applyNumberFormat="1" applyFont="1" applyFill="1" applyBorder="1" applyAlignment="1">
      <alignment horizontal="right" vertical="center"/>
    </xf>
    <xf numFmtId="0" fontId="6" fillId="10" borderId="0" xfId="0" applyFont="1" applyFill="1"/>
    <xf numFmtId="0" fontId="6" fillId="23" borderId="1" xfId="0" applyFont="1" applyFill="1" applyBorder="1" applyAlignment="1">
      <alignment horizontal="center" vertical="center" wrapText="1"/>
    </xf>
    <xf numFmtId="0" fontId="6" fillId="24" borderId="1" xfId="0" applyFont="1" applyFill="1" applyBorder="1" applyAlignment="1">
      <alignment horizontal="center" vertical="center" wrapText="1"/>
    </xf>
    <xf numFmtId="0" fontId="6" fillId="25" borderId="1" xfId="0" applyFont="1" applyFill="1" applyBorder="1" applyAlignment="1">
      <alignment horizontal="center" vertical="center" wrapText="1"/>
    </xf>
    <xf numFmtId="4" fontId="4" fillId="23" borderId="1" xfId="0" applyNumberFormat="1" applyFont="1" applyFill="1" applyBorder="1" applyAlignment="1">
      <alignment horizontal="right" vertical="center"/>
    </xf>
    <xf numFmtId="4" fontId="6" fillId="23" borderId="1" xfId="0" applyNumberFormat="1" applyFont="1" applyFill="1" applyBorder="1" applyAlignment="1">
      <alignment horizontal="right" vertical="center"/>
    </xf>
    <xf numFmtId="0" fontId="6" fillId="26" borderId="1" xfId="0" applyFont="1" applyFill="1" applyBorder="1" applyAlignment="1">
      <alignment horizontal="center" vertical="center" wrapText="1"/>
    </xf>
    <xf numFmtId="4" fontId="4" fillId="24" borderId="1" xfId="0" applyNumberFormat="1" applyFont="1" applyFill="1" applyBorder="1" applyAlignment="1">
      <alignment horizontal="right" vertical="center"/>
    </xf>
    <xf numFmtId="4" fontId="6" fillId="24" borderId="1" xfId="0" applyNumberFormat="1" applyFont="1" applyFill="1" applyBorder="1" applyAlignment="1">
      <alignment horizontal="right" vertical="center"/>
    </xf>
    <xf numFmtId="0" fontId="6" fillId="27" borderId="1" xfId="0" applyFont="1" applyFill="1" applyBorder="1" applyAlignment="1">
      <alignment horizontal="center" vertical="center" wrapText="1"/>
    </xf>
    <xf numFmtId="0" fontId="6" fillId="28" borderId="1" xfId="0" applyFont="1" applyFill="1" applyBorder="1" applyAlignment="1">
      <alignment horizontal="center" vertical="center" wrapText="1"/>
    </xf>
    <xf numFmtId="0" fontId="6" fillId="29" borderId="1" xfId="0" applyFont="1" applyFill="1" applyBorder="1" applyAlignment="1">
      <alignment horizontal="center" vertical="center" wrapText="1"/>
    </xf>
    <xf numFmtId="4" fontId="4" fillId="27" borderId="1" xfId="0" applyNumberFormat="1" applyFont="1" applyFill="1" applyBorder="1" applyAlignment="1">
      <alignment horizontal="right" vertical="center"/>
    </xf>
    <xf numFmtId="4" fontId="6" fillId="27" borderId="1" xfId="0" applyNumberFormat="1" applyFont="1" applyFill="1" applyBorder="1" applyAlignment="1">
      <alignment horizontal="right" vertical="center"/>
    </xf>
    <xf numFmtId="0" fontId="6" fillId="12" borderId="1" xfId="0" applyFont="1" applyFill="1" applyBorder="1" applyAlignment="1">
      <alignment horizontal="center" vertical="center" wrapText="1"/>
    </xf>
    <xf numFmtId="4" fontId="4" fillId="28" borderId="1" xfId="0" applyNumberFormat="1" applyFont="1" applyFill="1" applyBorder="1" applyAlignment="1">
      <alignment horizontal="right" vertical="center"/>
    </xf>
    <xf numFmtId="4" fontId="6" fillId="28" borderId="1" xfId="0" applyNumberFormat="1" applyFont="1" applyFill="1" applyBorder="1" applyAlignment="1">
      <alignment horizontal="right" vertical="center"/>
    </xf>
    <xf numFmtId="0" fontId="6" fillId="30" borderId="1" xfId="0" applyFont="1" applyFill="1" applyBorder="1" applyAlignment="1">
      <alignment horizontal="center" vertical="center" wrapText="1"/>
    </xf>
    <xf numFmtId="0" fontId="6" fillId="31" borderId="1" xfId="0" applyFont="1" applyFill="1" applyBorder="1" applyAlignment="1">
      <alignment horizontal="center" vertical="center" wrapText="1"/>
    </xf>
    <xf numFmtId="0" fontId="6" fillId="32" borderId="1" xfId="0" applyFont="1" applyFill="1" applyBorder="1" applyAlignment="1">
      <alignment horizontal="center" vertical="center" wrapText="1"/>
    </xf>
    <xf numFmtId="4" fontId="4" fillId="30" borderId="1" xfId="0" applyNumberFormat="1" applyFont="1" applyFill="1" applyBorder="1" applyAlignment="1">
      <alignment horizontal="right" vertical="center"/>
    </xf>
    <xf numFmtId="4" fontId="6" fillId="30" borderId="1" xfId="0" applyNumberFormat="1" applyFont="1" applyFill="1" applyBorder="1" applyAlignment="1">
      <alignment horizontal="right" vertical="center"/>
    </xf>
    <xf numFmtId="0" fontId="6" fillId="33" borderId="1" xfId="0" applyFont="1" applyFill="1" applyBorder="1" applyAlignment="1">
      <alignment horizontal="center" vertical="center" wrapText="1"/>
    </xf>
    <xf numFmtId="4" fontId="4" fillId="31" borderId="1" xfId="0" applyNumberFormat="1" applyFont="1" applyFill="1" applyBorder="1" applyAlignment="1">
      <alignment horizontal="right" vertical="center"/>
    </xf>
    <xf numFmtId="4" fontId="6" fillId="31" borderId="1" xfId="0" applyNumberFormat="1" applyFont="1" applyFill="1" applyBorder="1" applyAlignment="1">
      <alignment horizontal="right" vertical="center"/>
    </xf>
    <xf numFmtId="0" fontId="6" fillId="34" borderId="1" xfId="0" applyFont="1" applyFill="1" applyBorder="1" applyAlignment="1">
      <alignment horizontal="center" vertical="center" wrapText="1"/>
    </xf>
    <xf numFmtId="0" fontId="6" fillId="35" borderId="1" xfId="0" applyFont="1" applyFill="1" applyBorder="1" applyAlignment="1">
      <alignment horizontal="center" vertical="center" wrapText="1"/>
    </xf>
    <xf numFmtId="0" fontId="6" fillId="36" borderId="1" xfId="0" applyFont="1" applyFill="1" applyBorder="1" applyAlignment="1">
      <alignment horizontal="center" vertical="center" wrapText="1"/>
    </xf>
    <xf numFmtId="4" fontId="4" fillId="34" borderId="1" xfId="0" applyNumberFormat="1" applyFont="1" applyFill="1" applyBorder="1" applyAlignment="1">
      <alignment horizontal="right" vertical="center"/>
    </xf>
    <xf numFmtId="4" fontId="6" fillId="34" borderId="1" xfId="0" applyNumberFormat="1" applyFont="1" applyFill="1" applyBorder="1" applyAlignment="1">
      <alignment horizontal="right" vertical="center"/>
    </xf>
    <xf numFmtId="0" fontId="6" fillId="37" borderId="1" xfId="0" applyFont="1" applyFill="1" applyBorder="1" applyAlignment="1">
      <alignment horizontal="center" vertical="center" wrapText="1"/>
    </xf>
    <xf numFmtId="4" fontId="4" fillId="35" borderId="1" xfId="0" applyNumberFormat="1" applyFont="1" applyFill="1" applyBorder="1" applyAlignment="1">
      <alignment horizontal="right" vertical="center"/>
    </xf>
    <xf numFmtId="4" fontId="6" fillId="35" borderId="1" xfId="0" applyNumberFormat="1" applyFont="1" applyFill="1" applyBorder="1" applyAlignment="1">
      <alignment horizontal="right" vertical="center"/>
    </xf>
    <xf numFmtId="0" fontId="6" fillId="38" borderId="1" xfId="0" applyFont="1" applyFill="1" applyBorder="1" applyAlignment="1">
      <alignment horizontal="center" vertical="center" wrapText="1"/>
    </xf>
    <xf numFmtId="4" fontId="4" fillId="11" borderId="1" xfId="0" applyNumberFormat="1" applyFont="1" applyFill="1" applyBorder="1" applyAlignment="1">
      <alignment horizontal="right" vertical="center"/>
    </xf>
    <xf numFmtId="4" fontId="6" fillId="11" borderId="1" xfId="0" applyNumberFormat="1" applyFont="1" applyFill="1" applyBorder="1" applyAlignment="1">
      <alignment horizontal="right" vertical="center"/>
    </xf>
    <xf numFmtId="0" fontId="6" fillId="39" borderId="1" xfId="0" applyFont="1" applyFill="1" applyBorder="1" applyAlignment="1">
      <alignment horizontal="center" vertical="center" wrapText="1"/>
    </xf>
    <xf numFmtId="4" fontId="4" fillId="38" borderId="1" xfId="0" applyNumberFormat="1" applyFont="1" applyFill="1" applyBorder="1" applyAlignment="1">
      <alignment horizontal="right" vertical="center"/>
    </xf>
    <xf numFmtId="4" fontId="6" fillId="38" borderId="1" xfId="0" applyNumberFormat="1" applyFont="1" applyFill="1" applyBorder="1" applyAlignment="1">
      <alignment horizontal="right" vertical="center"/>
    </xf>
    <xf numFmtId="0" fontId="12" fillId="7"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4"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166" fontId="6" fillId="5" borderId="1" xfId="0" applyNumberFormat="1" applyFont="1" applyFill="1" applyBorder="1" applyAlignment="1">
      <alignment horizontal="right" vertical="center"/>
    </xf>
    <xf numFmtId="166" fontId="4" fillId="5" borderId="1" xfId="0" applyNumberFormat="1" applyFont="1" applyFill="1" applyBorder="1" applyAlignment="1">
      <alignment horizontal="right" vertical="center"/>
    </xf>
    <xf numFmtId="167" fontId="4" fillId="5" borderId="1" xfId="0" applyNumberFormat="1" applyFont="1" applyFill="1" applyBorder="1" applyAlignment="1">
      <alignment horizontal="right" vertical="center"/>
    </xf>
    <xf numFmtId="168" fontId="6" fillId="22" borderId="1" xfId="0" applyNumberFormat="1" applyFont="1" applyFill="1" applyBorder="1" applyAlignment="1">
      <alignment horizontal="right" vertical="center"/>
    </xf>
    <xf numFmtId="0" fontId="0" fillId="0" borderId="0" xfId="0"/>
    <xf numFmtId="0" fontId="6" fillId="0" borderId="0" xfId="0" applyFont="1" applyAlignment="1">
      <alignment horizontal="center" vertical="center" wrapText="1"/>
    </xf>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6" fillId="46" borderId="13" xfId="0" applyFont="1" applyFill="1" applyBorder="1" applyAlignment="1">
      <alignment horizontal="center" vertical="center" wrapText="1"/>
    </xf>
    <xf numFmtId="4" fontId="24" fillId="45" borderId="13" xfId="0" applyNumberFormat="1" applyFont="1" applyFill="1" applyBorder="1" applyAlignment="1">
      <alignment horizontal="right" vertical="center"/>
    </xf>
    <xf numFmtId="4" fontId="4" fillId="44" borderId="13" xfId="0" applyNumberFormat="1" applyFont="1" applyFill="1" applyBorder="1" applyAlignment="1">
      <alignment horizontal="right" vertical="center"/>
    </xf>
    <xf numFmtId="4" fontId="6" fillId="44" borderId="13" xfId="0" applyNumberFormat="1" applyFont="1" applyFill="1" applyBorder="1" applyAlignment="1">
      <alignment horizontal="right" vertical="center"/>
    </xf>
    <xf numFmtId="164" fontId="4" fillId="44" borderId="13" xfId="0" applyNumberFormat="1" applyFont="1" applyFill="1" applyBorder="1" applyAlignment="1">
      <alignment horizontal="right" vertical="center"/>
    </xf>
    <xf numFmtId="3" fontId="24" fillId="45" borderId="13" xfId="0" applyNumberFormat="1" applyFont="1" applyFill="1" applyBorder="1" applyAlignment="1">
      <alignment horizontal="right" vertical="center"/>
    </xf>
    <xf numFmtId="0" fontId="6" fillId="44" borderId="13" xfId="0" applyFont="1" applyFill="1" applyBorder="1" applyAlignment="1">
      <alignment horizontal="center" vertical="center" wrapText="1"/>
    </xf>
    <xf numFmtId="0" fontId="24" fillId="45" borderId="13" xfId="0" applyFont="1" applyFill="1" applyBorder="1" applyAlignment="1">
      <alignment horizontal="center" vertical="center" wrapText="1"/>
    </xf>
    <xf numFmtId="0" fontId="6" fillId="47" borderId="13" xfId="0" applyFont="1" applyFill="1" applyBorder="1" applyAlignment="1">
      <alignment horizontal="center" vertical="center" wrapText="1"/>
    </xf>
    <xf numFmtId="0" fontId="6" fillId="48" borderId="13" xfId="0" applyFont="1" applyFill="1" applyBorder="1" applyAlignment="1">
      <alignment horizontal="center" vertical="center" wrapText="1"/>
    </xf>
    <xf numFmtId="0" fontId="6" fillId="45" borderId="13" xfId="0" applyFont="1" applyFill="1" applyBorder="1" applyAlignment="1">
      <alignment horizontal="center" vertical="center" wrapText="1"/>
    </xf>
    <xf numFmtId="0" fontId="6" fillId="49" borderId="13" xfId="0" applyFont="1" applyFill="1" applyBorder="1" applyAlignment="1">
      <alignment horizontal="center" vertical="center" wrapText="1"/>
    </xf>
    <xf numFmtId="0" fontId="6" fillId="50" borderId="13" xfId="0" applyFont="1" applyFill="1" applyBorder="1" applyAlignment="1">
      <alignment horizontal="center" vertical="center" wrapText="1"/>
    </xf>
    <xf numFmtId="0" fontId="6" fillId="51" borderId="13" xfId="0" applyFont="1" applyFill="1" applyBorder="1" applyAlignment="1">
      <alignment horizontal="center" vertical="center" wrapText="1"/>
    </xf>
    <xf numFmtId="0" fontId="6" fillId="52" borderId="13" xfId="0" applyFont="1" applyFill="1" applyBorder="1" applyAlignment="1">
      <alignment horizontal="center" vertical="center" wrapText="1"/>
    </xf>
    <xf numFmtId="1" fontId="24" fillId="45" borderId="13" xfId="0" applyNumberFormat="1" applyFont="1" applyFill="1" applyBorder="1" applyAlignment="1">
      <alignment horizontal="center" vertical="center" wrapText="1"/>
    </xf>
    <xf numFmtId="0" fontId="25" fillId="0" borderId="0" xfId="0" applyFont="1" applyAlignment="1">
      <alignment horizontal="center" vertical="center" wrapText="1"/>
    </xf>
    <xf numFmtId="4" fontId="4" fillId="46" borderId="13" xfId="0" applyNumberFormat="1" applyFont="1" applyFill="1" applyBorder="1" applyAlignment="1">
      <alignment horizontal="right" vertical="center"/>
    </xf>
    <xf numFmtId="4" fontId="4" fillId="53" borderId="13" xfId="0" applyNumberFormat="1" applyFont="1" applyFill="1" applyBorder="1" applyAlignment="1">
      <alignment horizontal="right" vertical="center"/>
    </xf>
    <xf numFmtId="4" fontId="4" fillId="47" borderId="13" xfId="0" applyNumberFormat="1" applyFont="1" applyFill="1" applyBorder="1" applyAlignment="1">
      <alignment horizontal="right" vertical="center"/>
    </xf>
    <xf numFmtId="4" fontId="4" fillId="48" borderId="13" xfId="0" applyNumberFormat="1" applyFont="1" applyFill="1" applyBorder="1" applyAlignment="1">
      <alignment horizontal="right" vertical="center"/>
    </xf>
    <xf numFmtId="4" fontId="4" fillId="45" borderId="13" xfId="0" applyNumberFormat="1" applyFont="1" applyFill="1" applyBorder="1" applyAlignment="1">
      <alignment horizontal="right" vertical="center"/>
    </xf>
    <xf numFmtId="4" fontId="4" fillId="49" borderId="13" xfId="0" applyNumberFormat="1" applyFont="1" applyFill="1" applyBorder="1" applyAlignment="1">
      <alignment horizontal="right" vertical="center"/>
    </xf>
    <xf numFmtId="4" fontId="4" fillId="50" borderId="13" xfId="0" applyNumberFormat="1" applyFont="1" applyFill="1" applyBorder="1" applyAlignment="1">
      <alignment horizontal="right" vertical="center"/>
    </xf>
    <xf numFmtId="4" fontId="4" fillId="51" borderId="13" xfId="0" applyNumberFormat="1" applyFont="1" applyFill="1" applyBorder="1" applyAlignment="1">
      <alignment horizontal="right" vertical="center"/>
    </xf>
    <xf numFmtId="4" fontId="4" fillId="52" borderId="13" xfId="0" applyNumberFormat="1" applyFont="1" applyFill="1" applyBorder="1" applyAlignment="1">
      <alignment horizontal="right" vertical="center"/>
    </xf>
    <xf numFmtId="4" fontId="6" fillId="54" borderId="14" xfId="0" applyNumberFormat="1" applyFont="1" applyFill="1" applyBorder="1" applyAlignment="1">
      <alignment horizontal="right" vertical="center"/>
    </xf>
    <xf numFmtId="4" fontId="6" fillId="54" borderId="13" xfId="0" applyNumberFormat="1" applyFont="1" applyFill="1" applyBorder="1" applyAlignment="1">
      <alignment horizontal="right" vertical="center"/>
    </xf>
    <xf numFmtId="0" fontId="6" fillId="42" borderId="13" xfId="0" applyFont="1" applyFill="1" applyBorder="1" applyAlignment="1">
      <alignment horizontal="center" vertical="center" wrapText="1"/>
    </xf>
    <xf numFmtId="0" fontId="26" fillId="0" borderId="0" xfId="0" applyFont="1"/>
    <xf numFmtId="0" fontId="6" fillId="53" borderId="13" xfId="0" applyFont="1" applyFill="1" applyBorder="1" applyAlignment="1">
      <alignment horizontal="center" vertical="center" wrapText="1"/>
    </xf>
    <xf numFmtId="4" fontId="6" fillId="48" borderId="13" xfId="0" applyNumberFormat="1" applyFont="1" applyFill="1" applyBorder="1" applyAlignment="1">
      <alignment horizontal="right" vertical="center"/>
    </xf>
    <xf numFmtId="0" fontId="27" fillId="44" borderId="13" xfId="0" applyFont="1" applyFill="1" applyBorder="1" applyAlignment="1">
      <alignment horizontal="center" vertical="center" wrapText="1"/>
    </xf>
    <xf numFmtId="0" fontId="29" fillId="0" borderId="0" xfId="0" applyFont="1"/>
    <xf numFmtId="0" fontId="30" fillId="0" borderId="0" xfId="0" applyFont="1"/>
    <xf numFmtId="4" fontId="6" fillId="53" borderId="13" xfId="0" applyNumberFormat="1" applyFont="1" applyFill="1" applyBorder="1" applyAlignment="1">
      <alignment horizontal="right" vertical="center"/>
    </xf>
    <xf numFmtId="4" fontId="6" fillId="47" borderId="13" xfId="0" applyNumberFormat="1" applyFont="1" applyFill="1" applyBorder="1" applyAlignment="1">
      <alignment horizontal="right" vertical="center"/>
    </xf>
    <xf numFmtId="165" fontId="4" fillId="53" borderId="13" xfId="0" applyNumberFormat="1" applyFont="1" applyFill="1" applyBorder="1" applyAlignment="1">
      <alignment horizontal="right" vertical="center"/>
    </xf>
    <xf numFmtId="166" fontId="6" fillId="53" borderId="13" xfId="0" applyNumberFormat="1" applyFont="1" applyFill="1" applyBorder="1" applyAlignment="1">
      <alignment horizontal="right" vertical="center"/>
    </xf>
    <xf numFmtId="0" fontId="6" fillId="57" borderId="13" xfId="0" applyFont="1" applyFill="1" applyBorder="1" applyAlignment="1">
      <alignment horizontal="center" vertical="center" wrapText="1"/>
    </xf>
    <xf numFmtId="166" fontId="4" fillId="53" borderId="13" xfId="0" applyNumberFormat="1" applyFont="1" applyFill="1" applyBorder="1" applyAlignment="1">
      <alignment horizontal="right" vertical="center"/>
    </xf>
    <xf numFmtId="0" fontId="6" fillId="53" borderId="0" xfId="0" applyFont="1" applyFill="1" applyAlignment="1">
      <alignment horizontal="center" vertical="center" wrapText="1"/>
    </xf>
    <xf numFmtId="164" fontId="4" fillId="53" borderId="13" xfId="0" applyNumberFormat="1" applyFont="1" applyFill="1" applyBorder="1" applyAlignment="1">
      <alignment horizontal="right" vertical="center"/>
    </xf>
    <xf numFmtId="167" fontId="4" fillId="53" borderId="13" xfId="0" applyNumberFormat="1" applyFont="1" applyFill="1" applyBorder="1" applyAlignment="1">
      <alignment horizontal="right" vertical="center"/>
    </xf>
    <xf numFmtId="168" fontId="6" fillId="56" borderId="13" xfId="0" applyNumberFormat="1" applyFont="1" applyFill="1" applyBorder="1" applyAlignment="1">
      <alignment horizontal="right" vertical="center"/>
    </xf>
    <xf numFmtId="0" fontId="0" fillId="0" borderId="0" xfId="0"/>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6" fillId="47" borderId="13" xfId="0" applyFont="1" applyFill="1" applyBorder="1" applyAlignment="1">
      <alignment horizontal="center" vertical="center" wrapText="1"/>
    </xf>
    <xf numFmtId="0" fontId="6" fillId="0" borderId="0" xfId="0" applyFont="1" applyAlignment="1">
      <alignment horizontal="center" vertical="center" wrapText="1"/>
    </xf>
    <xf numFmtId="0" fontId="6" fillId="42" borderId="6" xfId="0" applyFont="1" applyFill="1" applyBorder="1" applyAlignment="1">
      <alignment horizontal="center" vertical="center" wrapText="1"/>
    </xf>
    <xf numFmtId="0" fontId="21" fillId="41" borderId="17" xfId="0" applyFont="1" applyFill="1" applyBorder="1" applyAlignment="1">
      <alignment horizontal="center" vertical="center" wrapText="1"/>
    </xf>
    <xf numFmtId="4" fontId="6" fillId="54" borderId="4" xfId="0" applyNumberFormat="1" applyFont="1" applyFill="1" applyBorder="1" applyAlignment="1">
      <alignment horizontal="right" vertical="center"/>
    </xf>
    <xf numFmtId="4" fontId="4" fillId="53" borderId="4" xfId="0" applyNumberFormat="1" applyFont="1" applyFill="1" applyBorder="1" applyAlignment="1">
      <alignment horizontal="right" vertical="center"/>
    </xf>
    <xf numFmtId="4" fontId="6" fillId="54" borderId="8" xfId="0" applyNumberFormat="1" applyFont="1" applyFill="1" applyBorder="1" applyAlignment="1">
      <alignment horizontal="right" vertical="center"/>
    </xf>
    <xf numFmtId="4" fontId="4" fillId="53" borderId="8" xfId="0" applyNumberFormat="1" applyFont="1" applyFill="1" applyBorder="1" applyAlignment="1">
      <alignment horizontal="right" vertical="center"/>
    </xf>
    <xf numFmtId="4" fontId="6" fillId="59" borderId="16" xfId="0" applyNumberFormat="1" applyFont="1" applyFill="1" applyBorder="1" applyAlignment="1">
      <alignment horizontal="right" vertical="center"/>
    </xf>
    <xf numFmtId="4" fontId="4" fillId="53" borderId="18" xfId="0" applyNumberFormat="1" applyFont="1" applyFill="1" applyBorder="1" applyAlignment="1">
      <alignment horizontal="center" vertical="center"/>
    </xf>
    <xf numFmtId="0" fontId="0" fillId="0" borderId="0" xfId="0"/>
    <xf numFmtId="0" fontId="6" fillId="47" borderId="13" xfId="0" applyFont="1" applyFill="1" applyBorder="1" applyAlignment="1">
      <alignment horizontal="center" vertical="center" wrapText="1"/>
    </xf>
    <xf numFmtId="0" fontId="21" fillId="41" borderId="13" xfId="0" applyFont="1" applyFill="1" applyBorder="1" applyAlignment="1">
      <alignment horizontal="center" vertical="center" wrapText="1"/>
    </xf>
    <xf numFmtId="0" fontId="6" fillId="0" borderId="0" xfId="0" applyFont="1" applyAlignment="1">
      <alignment horizontal="center" vertical="center" wrapText="1"/>
    </xf>
    <xf numFmtId="0" fontId="22" fillId="42" borderId="13" xfId="0" applyFont="1" applyFill="1" applyBorder="1" applyAlignment="1">
      <alignment horizontal="center" vertical="center" wrapText="1"/>
    </xf>
    <xf numFmtId="0" fontId="7" fillId="41" borderId="13" xfId="0" applyFont="1" applyFill="1" applyBorder="1" applyAlignment="1">
      <alignment horizontal="center" vertical="center" wrapText="1"/>
    </xf>
    <xf numFmtId="0" fontId="6" fillId="59" borderId="13" xfId="0" applyFont="1" applyFill="1" applyBorder="1" applyAlignment="1">
      <alignment horizontal="center" vertical="center" wrapText="1"/>
    </xf>
    <xf numFmtId="166" fontId="6" fillId="59" borderId="13" xfId="0" applyNumberFormat="1" applyFont="1" applyFill="1" applyBorder="1" applyAlignment="1">
      <alignment horizontal="right" vertical="center"/>
    </xf>
    <xf numFmtId="4" fontId="6" fillId="59" borderId="13" xfId="0" applyNumberFormat="1" applyFont="1" applyFill="1" applyBorder="1" applyAlignment="1">
      <alignment horizontal="right" vertical="center"/>
    </xf>
    <xf numFmtId="4" fontId="6" fillId="48" borderId="13" xfId="0" applyNumberFormat="1" applyFont="1" applyFill="1" applyBorder="1" applyAlignment="1">
      <alignment horizontal="center" vertical="center"/>
    </xf>
    <xf numFmtId="166" fontId="6" fillId="60" borderId="13" xfId="0" applyNumberFormat="1" applyFont="1" applyFill="1" applyBorder="1" applyAlignment="1">
      <alignment horizontal="right" vertical="center"/>
    </xf>
    <xf numFmtId="0" fontId="4" fillId="5" borderId="11" xfId="0" applyFont="1" applyFill="1" applyBorder="1" applyAlignment="1">
      <alignment horizontal="left" vertical="center" wrapText="1"/>
    </xf>
    <xf numFmtId="0" fontId="0" fillId="0" borderId="5" xfId="0" applyBorder="1"/>
    <xf numFmtId="0" fontId="0" fillId="0" borderId="6" xfId="0" applyBorder="1"/>
    <xf numFmtId="0" fontId="1" fillId="2" borderId="0" xfId="0" applyFont="1" applyFill="1" applyAlignment="1">
      <alignment horizontal="center" vertical="center" wrapText="1"/>
    </xf>
    <xf numFmtId="0" fontId="0" fillId="0" borderId="0" xfId="0"/>
    <xf numFmtId="0" fontId="4" fillId="4" borderId="11" xfId="0" applyFont="1" applyFill="1" applyBorder="1" applyAlignment="1">
      <alignment horizontal="left" vertical="center" wrapText="1"/>
    </xf>
    <xf numFmtId="0" fontId="5" fillId="0" borderId="0" xfId="0" applyFont="1" applyAlignment="1">
      <alignment horizontal="center" vertical="center" wrapText="1"/>
    </xf>
    <xf numFmtId="0" fontId="6" fillId="9"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6" fillId="4" borderId="11" xfId="0" applyFont="1" applyFill="1" applyBorder="1" applyAlignment="1">
      <alignment horizontal="center" vertical="center" wrapText="1"/>
    </xf>
    <xf numFmtId="0" fontId="3" fillId="3" borderId="0" xfId="0" applyFont="1" applyFill="1" applyAlignment="1">
      <alignment horizontal="left" vertical="center" indent="1"/>
    </xf>
    <xf numFmtId="0" fontId="2" fillId="2" borderId="0" xfId="0" applyFont="1" applyFill="1" applyAlignment="1">
      <alignment horizontal="center" vertical="center" wrapText="1"/>
    </xf>
    <xf numFmtId="0" fontId="6" fillId="8" borderId="11" xfId="0" applyFont="1" applyFill="1" applyBorder="1" applyAlignment="1">
      <alignment horizontal="center" vertical="center" wrapText="1"/>
    </xf>
    <xf numFmtId="0" fontId="3" fillId="6" borderId="0" xfId="0" applyFont="1" applyFill="1" applyAlignment="1">
      <alignment horizontal="left" vertical="center" indent="1"/>
    </xf>
    <xf numFmtId="0" fontId="6" fillId="47" borderId="13" xfId="0" applyFont="1" applyFill="1" applyBorder="1" applyAlignment="1">
      <alignment horizontal="center" vertical="center" wrapText="1"/>
    </xf>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28" fillId="44" borderId="15" xfId="0" applyFont="1" applyFill="1" applyBorder="1" applyAlignment="1">
      <alignment horizontal="left" vertical="center"/>
    </xf>
    <xf numFmtId="0" fontId="22" fillId="55" borderId="15" xfId="0" applyFont="1" applyFill="1" applyBorder="1" applyAlignment="1">
      <alignment horizontal="left" vertical="center"/>
    </xf>
    <xf numFmtId="0" fontId="22" fillId="56" borderId="13" xfId="0" applyFont="1" applyFill="1" applyBorder="1" applyAlignment="1">
      <alignment horizontal="center" vertical="center" wrapText="1"/>
    </xf>
    <xf numFmtId="0" fontId="20" fillId="40" borderId="0" xfId="0" applyFont="1" applyFill="1" applyAlignment="1">
      <alignment horizontal="center" vertical="center" wrapText="1"/>
    </xf>
    <xf numFmtId="0" fontId="19" fillId="40" borderId="0" xfId="0" applyFont="1" applyFill="1" applyAlignment="1">
      <alignment horizontal="center" vertical="center" wrapText="1"/>
    </xf>
    <xf numFmtId="0" fontId="6" fillId="0" borderId="0" xfId="0" applyFont="1" applyAlignment="1">
      <alignment horizontal="center" vertical="center" wrapText="1"/>
    </xf>
    <xf numFmtId="0" fontId="23" fillId="43" borderId="0" xfId="0" applyFont="1" applyFill="1" applyAlignment="1">
      <alignment horizontal="left" vertical="center"/>
    </xf>
    <xf numFmtId="0" fontId="23" fillId="58" borderId="0" xfId="0" applyFont="1" applyFill="1"/>
    <xf numFmtId="0" fontId="0" fillId="58" borderId="0" xfId="0" applyFill="1"/>
    <xf numFmtId="0" fontId="6" fillId="0" borderId="19" xfId="0" applyFont="1" applyBorder="1" applyAlignment="1">
      <alignment horizontal="center" vertical="center" wrapText="1"/>
    </xf>
    <xf numFmtId="0" fontId="23" fillId="58" borderId="0" xfId="0" applyFont="1" applyFill="1" applyAlignment="1">
      <alignment horizontal="center" vertical="center" wrapText="1"/>
    </xf>
    <xf numFmtId="0" fontId="31" fillId="0" borderId="5" xfId="0" applyFont="1" applyBorder="1" applyAlignment="1">
      <alignment horizontal="center" vertical="center" wrapText="1"/>
    </xf>
    <xf numFmtId="0" fontId="23" fillId="41" borderId="0" xfId="0" applyFont="1" applyFill="1"/>
    <xf numFmtId="0" fontId="23" fillId="43"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0" fillId="0" borderId="7" xfId="0" applyBorder="1"/>
    <xf numFmtId="0" fontId="6" fillId="7" borderId="11" xfId="0" applyFont="1" applyFill="1" applyBorder="1" applyAlignment="1">
      <alignment horizontal="center" vertical="center" wrapText="1"/>
    </xf>
    <xf numFmtId="0" fontId="5" fillId="5" borderId="11" xfId="0" applyFont="1" applyFill="1" applyBorder="1" applyAlignment="1">
      <alignment horizontal="left" vertical="center" wrapText="1"/>
    </xf>
    <xf numFmtId="1" fontId="6" fillId="4" borderId="11" xfId="0" applyNumberFormat="1"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9" fillId="9" borderId="11" xfId="0" applyFont="1" applyFill="1" applyBorder="1" applyAlignment="1">
      <alignment horizontal="center" vertical="center" wrapText="1"/>
    </xf>
    <xf numFmtId="0" fontId="14" fillId="4" borderId="12" xfId="0" applyFont="1" applyFill="1" applyBorder="1" applyAlignment="1">
      <alignment horizontal="left" vertical="center" wrapText="1"/>
    </xf>
    <xf numFmtId="0" fontId="12" fillId="7" borderId="12" xfId="0" applyFont="1" applyFill="1" applyBorder="1" applyAlignment="1">
      <alignment horizontal="left" vertical="center" wrapText="1"/>
    </xf>
    <xf numFmtId="0" fontId="3" fillId="6" borderId="0" xfId="0" applyFont="1" applyFill="1" applyAlignment="1">
      <alignment horizontal="left" vertical="center" wrapText="1"/>
    </xf>
    <xf numFmtId="0" fontId="13" fillId="22" borderId="11" xfId="0" applyFont="1" applyFill="1" applyBorder="1" applyAlignment="1">
      <alignment horizontal="center" vertical="center" wrapText="1"/>
    </xf>
    <xf numFmtId="1" fontId="14" fillId="4" borderId="12" xfId="0" applyNumberFormat="1" applyFont="1" applyFill="1" applyBorder="1" applyAlignment="1">
      <alignment horizontal="left" vertical="center" wrapText="1"/>
    </xf>
    <xf numFmtId="0" fontId="11" fillId="8" borderId="11" xfId="0" applyFont="1" applyFill="1" applyBorder="1" applyAlignment="1">
      <alignment horizontal="center" vertical="center" wrapText="1"/>
    </xf>
    <xf numFmtId="0" fontId="23" fillId="43" borderId="0" xfId="0" applyFont="1" applyFill="1" applyAlignment="1">
      <alignment horizontal="center" vertical="center"/>
    </xf>
    <xf numFmtId="4" fontId="4" fillId="53" borderId="13" xfId="0" applyNumberFormat="1" applyFont="1" applyFill="1" applyBorder="1" applyAlignment="1">
      <alignment horizontal="center" vertical="center"/>
    </xf>
    <xf numFmtId="168" fontId="6" fillId="56" borderId="13" xfId="0" applyNumberFormat="1"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40">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GRAFICA_01!$AA$5:$AA$6</c:f>
              <c:numCache>
                <c:formatCode>0.00</c:formatCode>
                <c:ptCount val="2"/>
                <c:pt idx="0">
                  <c:v>300</c:v>
                </c:pt>
                <c:pt idx="1">
                  <c:v>700</c:v>
                </c:pt>
              </c:numCache>
            </c:numRef>
          </c:xVal>
          <c:yVal>
            <c:numRef>
              <c:f>GRAFICA_01!$AB$5:$AB$6</c:f>
              <c:numCache>
                <c:formatCode>0.00</c:formatCode>
                <c:ptCount val="2"/>
                <c:pt idx="0">
                  <c:v>500</c:v>
                </c:pt>
                <c:pt idx="1">
                  <c:v>0</c:v>
                </c:pt>
              </c:numCache>
            </c:numRef>
          </c:yVal>
          <c:smooth val="0"/>
          <c:extLst>
            <c:ext xmlns:c16="http://schemas.microsoft.com/office/drawing/2014/chart" uri="{C3380CC4-5D6E-409C-BE32-E72D297353CC}">
              <c16:uniqueId val="{00000000-81F4-4DDE-B67E-A2737583ACD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GRAFICA_01!$AA$8:$AA$9</c:f>
              <c:numCache>
                <c:formatCode>0.00</c:formatCode>
                <c:ptCount val="2"/>
                <c:pt idx="0">
                  <c:v>700</c:v>
                </c:pt>
                <c:pt idx="1">
                  <c:v>0</c:v>
                </c:pt>
              </c:numCache>
            </c:numRef>
          </c:xVal>
          <c:yVal>
            <c:numRef>
              <c:f>GRAFICA_01!$AB$8:$AB$9</c:f>
              <c:numCache>
                <c:formatCode>0.00</c:formatCode>
                <c:ptCount val="2"/>
                <c:pt idx="0">
                  <c:v>0</c:v>
                </c:pt>
                <c:pt idx="1">
                  <c:v>0</c:v>
                </c:pt>
              </c:numCache>
            </c:numRef>
          </c:yVal>
          <c:smooth val="0"/>
          <c:extLst>
            <c:ext xmlns:c16="http://schemas.microsoft.com/office/drawing/2014/chart" uri="{C3380CC4-5D6E-409C-BE32-E72D297353CC}">
              <c16:uniqueId val="{00000001-81F4-4DDE-B67E-A2737583ACD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GRAFICA_01!$AA$11:$AA$12</c:f>
              <c:numCache>
                <c:formatCode>0.00</c:formatCode>
                <c:ptCount val="2"/>
                <c:pt idx="0">
                  <c:v>0</c:v>
                </c:pt>
                <c:pt idx="1">
                  <c:v>300</c:v>
                </c:pt>
              </c:numCache>
            </c:numRef>
          </c:xVal>
          <c:yVal>
            <c:numRef>
              <c:f>GRAFICA_01!$AB$11:$AB$12</c:f>
              <c:numCache>
                <c:formatCode>0.00</c:formatCode>
                <c:ptCount val="2"/>
                <c:pt idx="0">
                  <c:v>0</c:v>
                </c:pt>
                <c:pt idx="1">
                  <c:v>500</c:v>
                </c:pt>
              </c:numCache>
            </c:numRef>
          </c:yVal>
          <c:smooth val="0"/>
          <c:extLst>
            <c:ext xmlns:c16="http://schemas.microsoft.com/office/drawing/2014/chart" uri="{C3380CC4-5D6E-409C-BE32-E72D297353CC}">
              <c16:uniqueId val="{00000002-81F4-4DDE-B67E-A2737583ACD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GRAFICA_02!$AA$5:$AA$6</c:f>
              <c:numCache>
                <c:formatCode>0.00</c:formatCode>
                <c:ptCount val="2"/>
                <c:pt idx="0">
                  <c:v>300</c:v>
                </c:pt>
                <c:pt idx="1">
                  <c:v>700</c:v>
                </c:pt>
              </c:numCache>
            </c:numRef>
          </c:xVal>
          <c:yVal>
            <c:numRef>
              <c:f>GRAFICA_02!$AB$5:$AB$6</c:f>
              <c:numCache>
                <c:formatCode>0.00</c:formatCode>
                <c:ptCount val="2"/>
                <c:pt idx="0">
                  <c:v>500</c:v>
                </c:pt>
                <c:pt idx="1">
                  <c:v>0</c:v>
                </c:pt>
              </c:numCache>
            </c:numRef>
          </c:yVal>
          <c:smooth val="0"/>
          <c:extLst>
            <c:ext xmlns:c16="http://schemas.microsoft.com/office/drawing/2014/chart" uri="{C3380CC4-5D6E-409C-BE32-E72D297353CC}">
              <c16:uniqueId val="{00000000-A553-4205-9EC8-CF72E46F21B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GRAFICA_02!$AA$8:$AA$9</c:f>
              <c:numCache>
                <c:formatCode>0.00</c:formatCode>
                <c:ptCount val="2"/>
                <c:pt idx="0">
                  <c:v>700</c:v>
                </c:pt>
                <c:pt idx="1">
                  <c:v>0</c:v>
                </c:pt>
              </c:numCache>
            </c:numRef>
          </c:xVal>
          <c:yVal>
            <c:numRef>
              <c:f>GRAFICA_02!$AB$8:$AB$9</c:f>
              <c:numCache>
                <c:formatCode>0.00</c:formatCode>
                <c:ptCount val="2"/>
                <c:pt idx="0">
                  <c:v>0</c:v>
                </c:pt>
                <c:pt idx="1">
                  <c:v>0</c:v>
                </c:pt>
              </c:numCache>
            </c:numRef>
          </c:yVal>
          <c:smooth val="0"/>
          <c:extLst>
            <c:ext xmlns:c16="http://schemas.microsoft.com/office/drawing/2014/chart" uri="{C3380CC4-5D6E-409C-BE32-E72D297353CC}">
              <c16:uniqueId val="{00000001-A553-4205-9EC8-CF72E46F21B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GRAFICA_02!$AA$11:$AA$12</c:f>
              <c:numCache>
                <c:formatCode>0.00</c:formatCode>
                <c:ptCount val="2"/>
                <c:pt idx="0">
                  <c:v>0</c:v>
                </c:pt>
                <c:pt idx="1">
                  <c:v>300</c:v>
                </c:pt>
              </c:numCache>
            </c:numRef>
          </c:xVal>
          <c:yVal>
            <c:numRef>
              <c:f>GRAFICA_02!$AB$11:$AB$12</c:f>
              <c:numCache>
                <c:formatCode>0.00</c:formatCode>
                <c:ptCount val="2"/>
                <c:pt idx="0">
                  <c:v>0</c:v>
                </c:pt>
                <c:pt idx="1">
                  <c:v>500</c:v>
                </c:pt>
              </c:numCache>
            </c:numRef>
          </c:yVal>
          <c:smooth val="0"/>
          <c:extLst>
            <c:ext xmlns:c16="http://schemas.microsoft.com/office/drawing/2014/chart" uri="{C3380CC4-5D6E-409C-BE32-E72D297353CC}">
              <c16:uniqueId val="{00000002-A553-4205-9EC8-CF72E46F21B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GRAFICA_03!$AA$5:$AA$6</c:f>
              <c:numCache>
                <c:formatCode>0.00</c:formatCode>
                <c:ptCount val="2"/>
                <c:pt idx="0">
                  <c:v>300</c:v>
                </c:pt>
                <c:pt idx="1">
                  <c:v>600</c:v>
                </c:pt>
              </c:numCache>
            </c:numRef>
          </c:xVal>
          <c:yVal>
            <c:numRef>
              <c:f>GRAFICA_03!$AB$5:$AB$6</c:f>
              <c:numCache>
                <c:formatCode>0.00</c:formatCode>
                <c:ptCount val="2"/>
                <c:pt idx="0">
                  <c:v>519.6</c:v>
                </c:pt>
                <c:pt idx="1">
                  <c:v>0</c:v>
                </c:pt>
              </c:numCache>
            </c:numRef>
          </c:yVal>
          <c:smooth val="0"/>
          <c:extLst>
            <c:ext xmlns:c16="http://schemas.microsoft.com/office/drawing/2014/chart" uri="{C3380CC4-5D6E-409C-BE32-E72D297353CC}">
              <c16:uniqueId val="{00000000-C282-4B6D-8E80-110B0C3BC08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GRAFICA_03!$AA$8:$AA$9</c:f>
              <c:numCache>
                <c:formatCode>0.00</c:formatCode>
                <c:ptCount val="2"/>
                <c:pt idx="0">
                  <c:v>600</c:v>
                </c:pt>
                <c:pt idx="1">
                  <c:v>0</c:v>
                </c:pt>
              </c:numCache>
            </c:numRef>
          </c:xVal>
          <c:yVal>
            <c:numRef>
              <c:f>GRAFICA_03!$AB$8:$AB$9</c:f>
              <c:numCache>
                <c:formatCode>0.00</c:formatCode>
                <c:ptCount val="2"/>
                <c:pt idx="0">
                  <c:v>0</c:v>
                </c:pt>
                <c:pt idx="1">
                  <c:v>0</c:v>
                </c:pt>
              </c:numCache>
            </c:numRef>
          </c:yVal>
          <c:smooth val="0"/>
          <c:extLst>
            <c:ext xmlns:c16="http://schemas.microsoft.com/office/drawing/2014/chart" uri="{C3380CC4-5D6E-409C-BE32-E72D297353CC}">
              <c16:uniqueId val="{00000001-C282-4B6D-8E80-110B0C3BC08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GRAFICA_03!$AA$11:$AA$12</c:f>
              <c:numCache>
                <c:formatCode>0.00</c:formatCode>
                <c:ptCount val="2"/>
                <c:pt idx="0">
                  <c:v>0</c:v>
                </c:pt>
                <c:pt idx="1">
                  <c:v>300</c:v>
                </c:pt>
              </c:numCache>
            </c:numRef>
          </c:xVal>
          <c:yVal>
            <c:numRef>
              <c:f>GRAFICA_03!$AB$11:$AB$12</c:f>
              <c:numCache>
                <c:formatCode>0.00</c:formatCode>
                <c:ptCount val="2"/>
                <c:pt idx="0">
                  <c:v>0</c:v>
                </c:pt>
                <c:pt idx="1">
                  <c:v>519.6</c:v>
                </c:pt>
              </c:numCache>
            </c:numRef>
          </c:yVal>
          <c:smooth val="0"/>
          <c:extLst>
            <c:ext xmlns:c16="http://schemas.microsoft.com/office/drawing/2014/chart" uri="{C3380CC4-5D6E-409C-BE32-E72D297353CC}">
              <c16:uniqueId val="{00000002-C282-4B6D-8E80-110B0C3BC08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GRAFICA_04!$AA$5:$AA$6</c:f>
              <c:numCache>
                <c:formatCode>0.00</c:formatCode>
                <c:ptCount val="2"/>
                <c:pt idx="0">
                  <c:v>400</c:v>
                </c:pt>
                <c:pt idx="1">
                  <c:v>0</c:v>
                </c:pt>
              </c:numCache>
            </c:numRef>
          </c:xVal>
          <c:yVal>
            <c:numRef>
              <c:f>GRAFICA_04!$AB$5:$AB$6</c:f>
              <c:numCache>
                <c:formatCode>0.00</c:formatCode>
                <c:ptCount val="2"/>
                <c:pt idx="0">
                  <c:v>0</c:v>
                </c:pt>
                <c:pt idx="1">
                  <c:v>0</c:v>
                </c:pt>
              </c:numCache>
            </c:numRef>
          </c:yVal>
          <c:smooth val="0"/>
          <c:extLst>
            <c:ext xmlns:c16="http://schemas.microsoft.com/office/drawing/2014/chart" uri="{C3380CC4-5D6E-409C-BE32-E72D297353CC}">
              <c16:uniqueId val="{00000000-73B7-463E-9049-DAFB792F98B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GRAFICA_04!$AA$8:$AA$9</c:f>
              <c:numCache>
                <c:formatCode>0.00</c:formatCode>
                <c:ptCount val="2"/>
                <c:pt idx="0">
                  <c:v>0</c:v>
                </c:pt>
                <c:pt idx="1">
                  <c:v>0</c:v>
                </c:pt>
              </c:numCache>
            </c:numRef>
          </c:xVal>
          <c:yVal>
            <c:numRef>
              <c:f>GRAFICA_04!$AB$8:$AB$9</c:f>
              <c:numCache>
                <c:formatCode>0.00</c:formatCode>
                <c:ptCount val="2"/>
                <c:pt idx="0">
                  <c:v>0</c:v>
                </c:pt>
                <c:pt idx="1">
                  <c:v>300</c:v>
                </c:pt>
              </c:numCache>
            </c:numRef>
          </c:yVal>
          <c:smooth val="0"/>
          <c:extLst>
            <c:ext xmlns:c16="http://schemas.microsoft.com/office/drawing/2014/chart" uri="{C3380CC4-5D6E-409C-BE32-E72D297353CC}">
              <c16:uniqueId val="{00000001-73B7-463E-9049-DAFB792F98B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GRAFICA_04!$AA$11:$AA$12</c:f>
              <c:numCache>
                <c:formatCode>0.00</c:formatCode>
                <c:ptCount val="2"/>
                <c:pt idx="0">
                  <c:v>0</c:v>
                </c:pt>
                <c:pt idx="1">
                  <c:v>400</c:v>
                </c:pt>
              </c:numCache>
            </c:numRef>
          </c:xVal>
          <c:yVal>
            <c:numRef>
              <c:f>GRAFICA_04!$AB$11:$AB$12</c:f>
              <c:numCache>
                <c:formatCode>0.00</c:formatCode>
                <c:ptCount val="2"/>
                <c:pt idx="0">
                  <c:v>300</c:v>
                </c:pt>
                <c:pt idx="1">
                  <c:v>0</c:v>
                </c:pt>
              </c:numCache>
            </c:numRef>
          </c:yVal>
          <c:smooth val="0"/>
          <c:extLst>
            <c:ext xmlns:c16="http://schemas.microsoft.com/office/drawing/2014/chart" uri="{C3380CC4-5D6E-409C-BE32-E72D297353CC}">
              <c16:uniqueId val="{00000002-73B7-463E-9049-DAFB792F98B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GRAFICA_05!$AA$5:$AA$6</c:f>
              <c:numCache>
                <c:formatCode>0.00</c:formatCode>
                <c:ptCount val="2"/>
                <c:pt idx="0">
                  <c:v>400</c:v>
                </c:pt>
                <c:pt idx="1">
                  <c:v>800</c:v>
                </c:pt>
              </c:numCache>
            </c:numRef>
          </c:xVal>
          <c:yVal>
            <c:numRef>
              <c:f>GRAFICA_05!$AB$5:$AB$6</c:f>
              <c:numCache>
                <c:formatCode>0.00</c:formatCode>
                <c:ptCount val="2"/>
                <c:pt idx="0">
                  <c:v>250</c:v>
                </c:pt>
                <c:pt idx="1">
                  <c:v>0</c:v>
                </c:pt>
              </c:numCache>
            </c:numRef>
          </c:yVal>
          <c:smooth val="0"/>
          <c:extLst>
            <c:ext xmlns:c16="http://schemas.microsoft.com/office/drawing/2014/chart" uri="{C3380CC4-5D6E-409C-BE32-E72D297353CC}">
              <c16:uniqueId val="{00000000-B337-4D74-AB19-E8D5A9183C0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GRAFICA_05!$AA$8:$AA$9</c:f>
              <c:numCache>
                <c:formatCode>0.00</c:formatCode>
                <c:ptCount val="2"/>
                <c:pt idx="0">
                  <c:v>800</c:v>
                </c:pt>
                <c:pt idx="1">
                  <c:v>0</c:v>
                </c:pt>
              </c:numCache>
            </c:numRef>
          </c:xVal>
          <c:yVal>
            <c:numRef>
              <c:f>GRAFICA_05!$AB$8:$AB$9</c:f>
              <c:numCache>
                <c:formatCode>0.00</c:formatCode>
                <c:ptCount val="2"/>
                <c:pt idx="0">
                  <c:v>0</c:v>
                </c:pt>
                <c:pt idx="1">
                  <c:v>0</c:v>
                </c:pt>
              </c:numCache>
            </c:numRef>
          </c:yVal>
          <c:smooth val="0"/>
          <c:extLst>
            <c:ext xmlns:c16="http://schemas.microsoft.com/office/drawing/2014/chart" uri="{C3380CC4-5D6E-409C-BE32-E72D297353CC}">
              <c16:uniqueId val="{00000001-B337-4D74-AB19-E8D5A9183C0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GRAFICA_05!$AA$11:$AA$12</c:f>
              <c:numCache>
                <c:formatCode>0.00</c:formatCode>
                <c:ptCount val="2"/>
                <c:pt idx="0">
                  <c:v>0</c:v>
                </c:pt>
                <c:pt idx="1">
                  <c:v>400</c:v>
                </c:pt>
              </c:numCache>
            </c:numRef>
          </c:xVal>
          <c:yVal>
            <c:numRef>
              <c:f>GRAFICA_05!$AB$11:$AB$12</c:f>
              <c:numCache>
                <c:formatCode>0.00</c:formatCode>
                <c:ptCount val="2"/>
                <c:pt idx="0">
                  <c:v>0</c:v>
                </c:pt>
                <c:pt idx="1">
                  <c:v>250</c:v>
                </c:pt>
              </c:numCache>
            </c:numRef>
          </c:yVal>
          <c:smooth val="0"/>
          <c:extLst>
            <c:ext xmlns:c16="http://schemas.microsoft.com/office/drawing/2014/chart" uri="{C3380CC4-5D6E-409C-BE32-E72D297353CC}">
              <c16:uniqueId val="{00000002-B337-4D74-AB19-E8D5A9183C0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GRAFICA_06!$AA$5:$AA$6</c:f>
              <c:numCache>
                <c:formatCode>0.00</c:formatCode>
                <c:ptCount val="2"/>
                <c:pt idx="0">
                  <c:v>0</c:v>
                </c:pt>
                <c:pt idx="1">
                  <c:v>1000</c:v>
                </c:pt>
              </c:numCache>
            </c:numRef>
          </c:xVal>
          <c:yVal>
            <c:numRef>
              <c:f>GRAFICA_06!$AB$5:$AB$6</c:f>
              <c:numCache>
                <c:formatCode>0.00</c:formatCode>
                <c:ptCount val="2"/>
                <c:pt idx="0">
                  <c:v>0</c:v>
                </c:pt>
                <c:pt idx="1">
                  <c:v>0</c:v>
                </c:pt>
              </c:numCache>
            </c:numRef>
          </c:yVal>
          <c:smooth val="0"/>
          <c:extLst>
            <c:ext xmlns:c16="http://schemas.microsoft.com/office/drawing/2014/chart" uri="{C3380CC4-5D6E-409C-BE32-E72D297353CC}">
              <c16:uniqueId val="{00000000-D5D6-4CEC-8AEC-779FB800362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GRAFICA_06!$AA$8:$AA$9</c:f>
              <c:numCache>
                <c:formatCode>0.00</c:formatCode>
                <c:ptCount val="2"/>
                <c:pt idx="0">
                  <c:v>0</c:v>
                </c:pt>
                <c:pt idx="1">
                  <c:v>200</c:v>
                </c:pt>
              </c:numCache>
            </c:numRef>
          </c:xVal>
          <c:yVal>
            <c:numRef>
              <c:f>GRAFICA_06!$AB$8:$AB$9</c:f>
              <c:numCache>
                <c:formatCode>0.00</c:formatCode>
                <c:ptCount val="2"/>
                <c:pt idx="0">
                  <c:v>0</c:v>
                </c:pt>
                <c:pt idx="1">
                  <c:v>400</c:v>
                </c:pt>
              </c:numCache>
            </c:numRef>
          </c:yVal>
          <c:smooth val="0"/>
          <c:extLst>
            <c:ext xmlns:c16="http://schemas.microsoft.com/office/drawing/2014/chart" uri="{C3380CC4-5D6E-409C-BE32-E72D297353CC}">
              <c16:uniqueId val="{00000001-D5D6-4CEC-8AEC-779FB800362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GRAFICA_06!$AA$11:$AA$12</c:f>
              <c:numCache>
                <c:formatCode>0.00</c:formatCode>
                <c:ptCount val="2"/>
                <c:pt idx="0">
                  <c:v>200</c:v>
                </c:pt>
                <c:pt idx="1">
                  <c:v>1000</c:v>
                </c:pt>
              </c:numCache>
            </c:numRef>
          </c:xVal>
          <c:yVal>
            <c:numRef>
              <c:f>GRAFICA_06!$AB$11:$AB$12</c:f>
              <c:numCache>
                <c:formatCode>0.00</c:formatCode>
                <c:ptCount val="2"/>
                <c:pt idx="0">
                  <c:v>400</c:v>
                </c:pt>
                <c:pt idx="1">
                  <c:v>0</c:v>
                </c:pt>
              </c:numCache>
            </c:numRef>
          </c:yVal>
          <c:smooth val="0"/>
          <c:extLst>
            <c:ext xmlns:c16="http://schemas.microsoft.com/office/drawing/2014/chart" uri="{C3380CC4-5D6E-409C-BE32-E72D297353CC}">
              <c16:uniqueId val="{00000002-D5D6-4CEC-8AEC-779FB800362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GRAFICA_06!$AA$14:$AA$15</c:f>
              <c:numCache>
                <c:formatCode>0.00</c:formatCode>
                <c:ptCount val="2"/>
                <c:pt idx="0">
                  <c:v>200</c:v>
                </c:pt>
                <c:pt idx="1">
                  <c:v>800</c:v>
                </c:pt>
              </c:numCache>
            </c:numRef>
          </c:xVal>
          <c:yVal>
            <c:numRef>
              <c:f>GRAFICA_06!$AB$14:$AB$15</c:f>
              <c:numCache>
                <c:formatCode>0.00</c:formatCode>
                <c:ptCount val="2"/>
                <c:pt idx="0">
                  <c:v>400</c:v>
                </c:pt>
                <c:pt idx="1">
                  <c:v>800</c:v>
                </c:pt>
              </c:numCache>
            </c:numRef>
          </c:yVal>
          <c:smooth val="0"/>
          <c:extLst>
            <c:ext xmlns:c16="http://schemas.microsoft.com/office/drawing/2014/chart" uri="{C3380CC4-5D6E-409C-BE32-E72D297353CC}">
              <c16:uniqueId val="{00000003-D5D6-4CEC-8AEC-779FB800362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GRAFICA_06!$AA$17:$AA$18</c:f>
              <c:numCache>
                <c:formatCode>0.00</c:formatCode>
                <c:ptCount val="2"/>
                <c:pt idx="0">
                  <c:v>800</c:v>
                </c:pt>
                <c:pt idx="1">
                  <c:v>1000</c:v>
                </c:pt>
              </c:numCache>
            </c:numRef>
          </c:xVal>
          <c:yVal>
            <c:numRef>
              <c:f>GRAFICA_06!$AB$17:$AB$18</c:f>
              <c:numCache>
                <c:formatCode>0.00</c:formatCode>
                <c:ptCount val="2"/>
                <c:pt idx="0">
                  <c:v>800</c:v>
                </c:pt>
                <c:pt idx="1">
                  <c:v>0</c:v>
                </c:pt>
              </c:numCache>
            </c:numRef>
          </c:yVal>
          <c:smooth val="0"/>
          <c:extLst>
            <c:ext xmlns:c16="http://schemas.microsoft.com/office/drawing/2014/chart" uri="{C3380CC4-5D6E-409C-BE32-E72D297353CC}">
              <c16:uniqueId val="{00000004-D5D6-4CEC-8AEC-779FB800362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GRAFICA_07!$AA$5:$AA$6</c:f>
              <c:numCache>
                <c:formatCode>0.00</c:formatCode>
                <c:ptCount val="2"/>
                <c:pt idx="0">
                  <c:v>0</c:v>
                </c:pt>
                <c:pt idx="1">
                  <c:v>500</c:v>
                </c:pt>
              </c:numCache>
            </c:numRef>
          </c:xVal>
          <c:yVal>
            <c:numRef>
              <c:f>GRAFICA_07!$AB$5:$AB$6</c:f>
              <c:numCache>
                <c:formatCode>0.00</c:formatCode>
                <c:ptCount val="2"/>
                <c:pt idx="0">
                  <c:v>0</c:v>
                </c:pt>
                <c:pt idx="1">
                  <c:v>0</c:v>
                </c:pt>
              </c:numCache>
            </c:numRef>
          </c:yVal>
          <c:smooth val="0"/>
          <c:extLst>
            <c:ext xmlns:c16="http://schemas.microsoft.com/office/drawing/2014/chart" uri="{C3380CC4-5D6E-409C-BE32-E72D297353CC}">
              <c16:uniqueId val="{00000000-416C-47F0-8F48-5544BC62DAA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GRAFICA_07!$AA$8:$AA$9</c:f>
              <c:numCache>
                <c:formatCode>0.00</c:formatCode>
                <c:ptCount val="2"/>
                <c:pt idx="0">
                  <c:v>500</c:v>
                </c:pt>
                <c:pt idx="1">
                  <c:v>1000</c:v>
                </c:pt>
              </c:numCache>
            </c:numRef>
          </c:xVal>
          <c:yVal>
            <c:numRef>
              <c:f>GRAFICA_07!$AB$8:$AB$9</c:f>
              <c:numCache>
                <c:formatCode>0.00</c:formatCode>
                <c:ptCount val="2"/>
                <c:pt idx="0">
                  <c:v>0</c:v>
                </c:pt>
                <c:pt idx="1">
                  <c:v>0</c:v>
                </c:pt>
              </c:numCache>
            </c:numRef>
          </c:yVal>
          <c:smooth val="0"/>
          <c:extLst>
            <c:ext xmlns:c16="http://schemas.microsoft.com/office/drawing/2014/chart" uri="{C3380CC4-5D6E-409C-BE32-E72D297353CC}">
              <c16:uniqueId val="{00000001-416C-47F0-8F48-5544BC62DAA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GRAFICA_07!$AA$11:$AA$12</c:f>
              <c:numCache>
                <c:formatCode>0.00</c:formatCode>
                <c:ptCount val="2"/>
                <c:pt idx="0">
                  <c:v>0</c:v>
                </c:pt>
                <c:pt idx="1">
                  <c:v>500</c:v>
                </c:pt>
              </c:numCache>
            </c:numRef>
          </c:xVal>
          <c:yVal>
            <c:numRef>
              <c:f>GRAFICA_07!$AB$11:$AB$12</c:f>
              <c:numCache>
                <c:formatCode>0.00</c:formatCode>
                <c:ptCount val="2"/>
                <c:pt idx="0">
                  <c:v>0</c:v>
                </c:pt>
                <c:pt idx="1">
                  <c:v>400</c:v>
                </c:pt>
              </c:numCache>
            </c:numRef>
          </c:yVal>
          <c:smooth val="0"/>
          <c:extLst>
            <c:ext xmlns:c16="http://schemas.microsoft.com/office/drawing/2014/chart" uri="{C3380CC4-5D6E-409C-BE32-E72D297353CC}">
              <c16:uniqueId val="{00000002-416C-47F0-8F48-5544BC62DAA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GRAFICA_07!$AA$14:$AA$15</c:f>
              <c:numCache>
                <c:formatCode>0.00</c:formatCode>
                <c:ptCount val="2"/>
                <c:pt idx="0">
                  <c:v>1000</c:v>
                </c:pt>
                <c:pt idx="1">
                  <c:v>500</c:v>
                </c:pt>
              </c:numCache>
            </c:numRef>
          </c:xVal>
          <c:yVal>
            <c:numRef>
              <c:f>GRAFICA_07!$AB$14:$AB$15</c:f>
              <c:numCache>
                <c:formatCode>0.00</c:formatCode>
                <c:ptCount val="2"/>
                <c:pt idx="0">
                  <c:v>0</c:v>
                </c:pt>
                <c:pt idx="1">
                  <c:v>400</c:v>
                </c:pt>
              </c:numCache>
            </c:numRef>
          </c:yVal>
          <c:smooth val="0"/>
          <c:extLst>
            <c:ext xmlns:c16="http://schemas.microsoft.com/office/drawing/2014/chart" uri="{C3380CC4-5D6E-409C-BE32-E72D297353CC}">
              <c16:uniqueId val="{00000003-416C-47F0-8F48-5544BC62DAA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GRAFICA_07!$AA$17:$AA$18</c:f>
              <c:numCache>
                <c:formatCode>0.00</c:formatCode>
                <c:ptCount val="2"/>
                <c:pt idx="0">
                  <c:v>500</c:v>
                </c:pt>
                <c:pt idx="1">
                  <c:v>500</c:v>
                </c:pt>
              </c:numCache>
            </c:numRef>
          </c:xVal>
          <c:yVal>
            <c:numRef>
              <c:f>GRAFICA_07!$AB$17:$AB$18</c:f>
              <c:numCache>
                <c:formatCode>0.00</c:formatCode>
                <c:ptCount val="2"/>
                <c:pt idx="0">
                  <c:v>0</c:v>
                </c:pt>
                <c:pt idx="1">
                  <c:v>400</c:v>
                </c:pt>
              </c:numCache>
            </c:numRef>
          </c:yVal>
          <c:smooth val="0"/>
          <c:extLst>
            <c:ext xmlns:c16="http://schemas.microsoft.com/office/drawing/2014/chart" uri="{C3380CC4-5D6E-409C-BE32-E72D297353CC}">
              <c16:uniqueId val="{00000004-416C-47F0-8F48-5544BC62DAA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GRAFICA_08!$AA$5:$AA$6</c:f>
              <c:numCache>
                <c:formatCode>0.00</c:formatCode>
                <c:ptCount val="2"/>
                <c:pt idx="0">
                  <c:v>0</c:v>
                </c:pt>
                <c:pt idx="1">
                  <c:v>700</c:v>
                </c:pt>
              </c:numCache>
            </c:numRef>
          </c:xVal>
          <c:yVal>
            <c:numRef>
              <c:f>GRAFICA_08!$AB$5:$AB$6</c:f>
              <c:numCache>
                <c:formatCode>0.00</c:formatCode>
                <c:ptCount val="2"/>
                <c:pt idx="0">
                  <c:v>0</c:v>
                </c:pt>
                <c:pt idx="1">
                  <c:v>0</c:v>
                </c:pt>
              </c:numCache>
            </c:numRef>
          </c:yVal>
          <c:smooth val="0"/>
          <c:extLst>
            <c:ext xmlns:c16="http://schemas.microsoft.com/office/drawing/2014/chart" uri="{C3380CC4-5D6E-409C-BE32-E72D297353CC}">
              <c16:uniqueId val="{00000000-C39D-4E01-8D26-27E6D0E4B27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GRAFICA_08!$AA$8:$AA$9</c:f>
              <c:numCache>
                <c:formatCode>0.00</c:formatCode>
                <c:ptCount val="2"/>
                <c:pt idx="0">
                  <c:v>700</c:v>
                </c:pt>
                <c:pt idx="1">
                  <c:v>1000</c:v>
                </c:pt>
              </c:numCache>
            </c:numRef>
          </c:xVal>
          <c:yVal>
            <c:numRef>
              <c:f>GRAFICA_08!$AB$8:$AB$9</c:f>
              <c:numCache>
                <c:formatCode>0.00</c:formatCode>
                <c:ptCount val="2"/>
                <c:pt idx="0">
                  <c:v>0</c:v>
                </c:pt>
                <c:pt idx="1">
                  <c:v>0</c:v>
                </c:pt>
              </c:numCache>
            </c:numRef>
          </c:yVal>
          <c:smooth val="0"/>
          <c:extLst>
            <c:ext xmlns:c16="http://schemas.microsoft.com/office/drawing/2014/chart" uri="{C3380CC4-5D6E-409C-BE32-E72D297353CC}">
              <c16:uniqueId val="{00000001-C39D-4E01-8D26-27E6D0E4B27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GRAFICA_08!$AA$11:$AA$12</c:f>
              <c:numCache>
                <c:formatCode>0.00</c:formatCode>
                <c:ptCount val="2"/>
                <c:pt idx="0">
                  <c:v>0</c:v>
                </c:pt>
                <c:pt idx="1">
                  <c:v>700</c:v>
                </c:pt>
              </c:numCache>
            </c:numRef>
          </c:xVal>
          <c:yVal>
            <c:numRef>
              <c:f>GRAFICA_08!$AB$11:$AB$12</c:f>
              <c:numCache>
                <c:formatCode>0.00</c:formatCode>
                <c:ptCount val="2"/>
                <c:pt idx="0">
                  <c:v>0</c:v>
                </c:pt>
                <c:pt idx="1">
                  <c:v>450</c:v>
                </c:pt>
              </c:numCache>
            </c:numRef>
          </c:yVal>
          <c:smooth val="0"/>
          <c:extLst>
            <c:ext xmlns:c16="http://schemas.microsoft.com/office/drawing/2014/chart" uri="{C3380CC4-5D6E-409C-BE32-E72D297353CC}">
              <c16:uniqueId val="{00000002-C39D-4E01-8D26-27E6D0E4B27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GRAFICA_08!$AA$14:$AA$15</c:f>
              <c:numCache>
                <c:formatCode>0.00</c:formatCode>
                <c:ptCount val="2"/>
                <c:pt idx="0">
                  <c:v>700</c:v>
                </c:pt>
                <c:pt idx="1">
                  <c:v>1000</c:v>
                </c:pt>
              </c:numCache>
            </c:numRef>
          </c:xVal>
          <c:yVal>
            <c:numRef>
              <c:f>GRAFICA_08!$AB$14:$AB$15</c:f>
              <c:numCache>
                <c:formatCode>0.00</c:formatCode>
                <c:ptCount val="2"/>
                <c:pt idx="0">
                  <c:v>450</c:v>
                </c:pt>
                <c:pt idx="1">
                  <c:v>0</c:v>
                </c:pt>
              </c:numCache>
            </c:numRef>
          </c:yVal>
          <c:smooth val="0"/>
          <c:extLst>
            <c:ext xmlns:c16="http://schemas.microsoft.com/office/drawing/2014/chart" uri="{C3380CC4-5D6E-409C-BE32-E72D297353CC}">
              <c16:uniqueId val="{00000003-C39D-4E01-8D26-27E6D0E4B27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GRAFICA_08!$AA$17:$AA$18</c:f>
              <c:numCache>
                <c:formatCode>0.00</c:formatCode>
                <c:ptCount val="2"/>
                <c:pt idx="0">
                  <c:v>700</c:v>
                </c:pt>
                <c:pt idx="1">
                  <c:v>700</c:v>
                </c:pt>
              </c:numCache>
            </c:numRef>
          </c:xVal>
          <c:yVal>
            <c:numRef>
              <c:f>GRAFICA_08!$AB$17:$AB$18</c:f>
              <c:numCache>
                <c:formatCode>0.00</c:formatCode>
                <c:ptCount val="2"/>
                <c:pt idx="0">
                  <c:v>0</c:v>
                </c:pt>
                <c:pt idx="1">
                  <c:v>450</c:v>
                </c:pt>
              </c:numCache>
            </c:numRef>
          </c:yVal>
          <c:smooth val="0"/>
          <c:extLst>
            <c:ext xmlns:c16="http://schemas.microsoft.com/office/drawing/2014/chart" uri="{C3380CC4-5D6E-409C-BE32-E72D297353CC}">
              <c16:uniqueId val="{00000004-C39D-4E01-8D26-27E6D0E4B27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GRAFICA_09!$AA$5:$AA$6</c:f>
              <c:numCache>
                <c:formatCode>0.00</c:formatCode>
                <c:ptCount val="2"/>
                <c:pt idx="0">
                  <c:v>0</c:v>
                </c:pt>
                <c:pt idx="1">
                  <c:v>1000</c:v>
                </c:pt>
              </c:numCache>
            </c:numRef>
          </c:xVal>
          <c:yVal>
            <c:numRef>
              <c:f>GRAFICA_09!$AB$5:$AB$6</c:f>
              <c:numCache>
                <c:formatCode>0.00</c:formatCode>
                <c:ptCount val="2"/>
                <c:pt idx="0">
                  <c:v>0</c:v>
                </c:pt>
                <c:pt idx="1">
                  <c:v>0</c:v>
                </c:pt>
              </c:numCache>
            </c:numRef>
          </c:yVal>
          <c:smooth val="0"/>
          <c:extLst>
            <c:ext xmlns:c16="http://schemas.microsoft.com/office/drawing/2014/chart" uri="{C3380CC4-5D6E-409C-BE32-E72D297353CC}">
              <c16:uniqueId val="{00000000-221C-455C-A304-722C2AB7906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GRAFICA_09!$AA$8:$AA$9</c:f>
              <c:numCache>
                <c:formatCode>0.00</c:formatCode>
                <c:ptCount val="2"/>
                <c:pt idx="0">
                  <c:v>0</c:v>
                </c:pt>
                <c:pt idx="1">
                  <c:v>300</c:v>
                </c:pt>
              </c:numCache>
            </c:numRef>
          </c:xVal>
          <c:yVal>
            <c:numRef>
              <c:f>GRAFICA_09!$AB$8:$AB$9</c:f>
              <c:numCache>
                <c:formatCode>0.00</c:formatCode>
                <c:ptCount val="2"/>
                <c:pt idx="0">
                  <c:v>0</c:v>
                </c:pt>
                <c:pt idx="1">
                  <c:v>700</c:v>
                </c:pt>
              </c:numCache>
            </c:numRef>
          </c:yVal>
          <c:smooth val="0"/>
          <c:extLst>
            <c:ext xmlns:c16="http://schemas.microsoft.com/office/drawing/2014/chart" uri="{C3380CC4-5D6E-409C-BE32-E72D297353CC}">
              <c16:uniqueId val="{00000001-221C-455C-A304-722C2AB7906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GRAFICA_09!$AA$11:$AA$12</c:f>
              <c:numCache>
                <c:formatCode>0.00</c:formatCode>
                <c:ptCount val="2"/>
                <c:pt idx="0">
                  <c:v>300</c:v>
                </c:pt>
                <c:pt idx="1">
                  <c:v>750</c:v>
                </c:pt>
              </c:numCache>
            </c:numRef>
          </c:xVal>
          <c:yVal>
            <c:numRef>
              <c:f>GRAFICA_09!$AB$11:$AB$12</c:f>
              <c:numCache>
                <c:formatCode>0.00</c:formatCode>
                <c:ptCount val="2"/>
                <c:pt idx="0">
                  <c:v>700</c:v>
                </c:pt>
                <c:pt idx="1">
                  <c:v>350</c:v>
                </c:pt>
              </c:numCache>
            </c:numRef>
          </c:yVal>
          <c:smooth val="0"/>
          <c:extLst>
            <c:ext xmlns:c16="http://schemas.microsoft.com/office/drawing/2014/chart" uri="{C3380CC4-5D6E-409C-BE32-E72D297353CC}">
              <c16:uniqueId val="{00000002-221C-455C-A304-722C2AB7906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GRAFICA_09!$AA$14:$AA$15</c:f>
              <c:numCache>
                <c:formatCode>0.00</c:formatCode>
                <c:ptCount val="2"/>
                <c:pt idx="0">
                  <c:v>750</c:v>
                </c:pt>
                <c:pt idx="1">
                  <c:v>1000</c:v>
                </c:pt>
              </c:numCache>
            </c:numRef>
          </c:xVal>
          <c:yVal>
            <c:numRef>
              <c:f>GRAFICA_09!$AB$14:$AB$15</c:f>
              <c:numCache>
                <c:formatCode>0.00</c:formatCode>
                <c:ptCount val="2"/>
                <c:pt idx="0">
                  <c:v>350</c:v>
                </c:pt>
                <c:pt idx="1">
                  <c:v>0</c:v>
                </c:pt>
              </c:numCache>
            </c:numRef>
          </c:yVal>
          <c:smooth val="0"/>
          <c:extLst>
            <c:ext xmlns:c16="http://schemas.microsoft.com/office/drawing/2014/chart" uri="{C3380CC4-5D6E-409C-BE32-E72D297353CC}">
              <c16:uniqueId val="{00000003-221C-455C-A304-722C2AB7906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GRAFICA_09!$AA$17:$AA$18</c:f>
              <c:numCache>
                <c:formatCode>0.00</c:formatCode>
                <c:ptCount val="2"/>
                <c:pt idx="0">
                  <c:v>0</c:v>
                </c:pt>
                <c:pt idx="1">
                  <c:v>750</c:v>
                </c:pt>
              </c:numCache>
            </c:numRef>
          </c:xVal>
          <c:yVal>
            <c:numRef>
              <c:f>GRAFICA_09!$AB$17:$AB$18</c:f>
              <c:numCache>
                <c:formatCode>0.00</c:formatCode>
                <c:ptCount val="2"/>
                <c:pt idx="0">
                  <c:v>0</c:v>
                </c:pt>
                <c:pt idx="1">
                  <c:v>350</c:v>
                </c:pt>
              </c:numCache>
            </c:numRef>
          </c:yVal>
          <c:smooth val="0"/>
          <c:extLst>
            <c:ext xmlns:c16="http://schemas.microsoft.com/office/drawing/2014/chart" uri="{C3380CC4-5D6E-409C-BE32-E72D297353CC}">
              <c16:uniqueId val="{00000004-221C-455C-A304-722C2AB7906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GRAFICA_10!$AA$5:$AA$6</c:f>
              <c:numCache>
                <c:formatCode>0.00</c:formatCode>
                <c:ptCount val="2"/>
                <c:pt idx="0">
                  <c:v>0</c:v>
                </c:pt>
                <c:pt idx="1">
                  <c:v>0</c:v>
                </c:pt>
              </c:numCache>
            </c:numRef>
          </c:xVal>
          <c:yVal>
            <c:numRef>
              <c:f>GRAFICA_10!$AB$5:$AB$6</c:f>
              <c:numCache>
                <c:formatCode>0.00</c:formatCode>
                <c:ptCount val="2"/>
                <c:pt idx="0">
                  <c:v>0</c:v>
                </c:pt>
                <c:pt idx="1">
                  <c:v>300</c:v>
                </c:pt>
              </c:numCache>
            </c:numRef>
          </c:yVal>
          <c:smooth val="0"/>
          <c:extLst>
            <c:ext xmlns:c16="http://schemas.microsoft.com/office/drawing/2014/chart" uri="{C3380CC4-5D6E-409C-BE32-E72D297353CC}">
              <c16:uniqueId val="{00000000-D3D1-4C15-A6BD-309330D0402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GRAFICA_10!$AA$8:$AA$9</c:f>
              <c:numCache>
                <c:formatCode>0.00</c:formatCode>
                <c:ptCount val="2"/>
                <c:pt idx="0">
                  <c:v>0</c:v>
                </c:pt>
                <c:pt idx="1">
                  <c:v>400</c:v>
                </c:pt>
              </c:numCache>
            </c:numRef>
          </c:xVal>
          <c:yVal>
            <c:numRef>
              <c:f>GRAFICA_10!$AB$8:$AB$9</c:f>
              <c:numCache>
                <c:formatCode>0.00</c:formatCode>
                <c:ptCount val="2"/>
                <c:pt idx="0">
                  <c:v>300</c:v>
                </c:pt>
                <c:pt idx="1">
                  <c:v>300</c:v>
                </c:pt>
              </c:numCache>
            </c:numRef>
          </c:yVal>
          <c:smooth val="0"/>
          <c:extLst>
            <c:ext xmlns:c16="http://schemas.microsoft.com/office/drawing/2014/chart" uri="{C3380CC4-5D6E-409C-BE32-E72D297353CC}">
              <c16:uniqueId val="{00000001-D3D1-4C15-A6BD-309330D0402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GRAFICA_10!$AA$11:$AA$12</c:f>
              <c:numCache>
                <c:formatCode>0.00</c:formatCode>
                <c:ptCount val="2"/>
                <c:pt idx="0">
                  <c:v>400</c:v>
                </c:pt>
                <c:pt idx="1">
                  <c:v>400</c:v>
                </c:pt>
              </c:numCache>
            </c:numRef>
          </c:xVal>
          <c:yVal>
            <c:numRef>
              <c:f>GRAFICA_10!$AB$11:$AB$12</c:f>
              <c:numCache>
                <c:formatCode>0.00</c:formatCode>
                <c:ptCount val="2"/>
                <c:pt idx="0">
                  <c:v>300</c:v>
                </c:pt>
                <c:pt idx="1">
                  <c:v>0</c:v>
                </c:pt>
              </c:numCache>
            </c:numRef>
          </c:yVal>
          <c:smooth val="0"/>
          <c:extLst>
            <c:ext xmlns:c16="http://schemas.microsoft.com/office/drawing/2014/chart" uri="{C3380CC4-5D6E-409C-BE32-E72D297353CC}">
              <c16:uniqueId val="{00000002-D3D1-4C15-A6BD-309330D0402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GRAFICA_10!$AA$14:$AA$15</c:f>
              <c:numCache>
                <c:formatCode>0.00</c:formatCode>
                <c:ptCount val="2"/>
                <c:pt idx="0">
                  <c:v>400</c:v>
                </c:pt>
                <c:pt idx="1">
                  <c:v>0</c:v>
                </c:pt>
              </c:numCache>
            </c:numRef>
          </c:xVal>
          <c:yVal>
            <c:numRef>
              <c:f>GRAFICA_10!$AB$14:$AB$15</c:f>
              <c:numCache>
                <c:formatCode>0.00</c:formatCode>
                <c:ptCount val="2"/>
                <c:pt idx="0">
                  <c:v>0</c:v>
                </c:pt>
                <c:pt idx="1">
                  <c:v>0</c:v>
                </c:pt>
              </c:numCache>
            </c:numRef>
          </c:yVal>
          <c:smooth val="0"/>
          <c:extLst>
            <c:ext xmlns:c16="http://schemas.microsoft.com/office/drawing/2014/chart" uri="{C3380CC4-5D6E-409C-BE32-E72D297353CC}">
              <c16:uniqueId val="{00000003-D3D1-4C15-A6BD-309330D0402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GRAFICA_10!$AA$17:$AA$18</c:f>
              <c:numCache>
                <c:formatCode>0.00</c:formatCode>
                <c:ptCount val="2"/>
                <c:pt idx="0">
                  <c:v>0</c:v>
                </c:pt>
                <c:pt idx="1">
                  <c:v>400</c:v>
                </c:pt>
              </c:numCache>
            </c:numRef>
          </c:xVal>
          <c:yVal>
            <c:numRef>
              <c:f>GRAFICA_10!$AB$17:$AB$18</c:f>
              <c:numCache>
                <c:formatCode>0.00</c:formatCode>
                <c:ptCount val="2"/>
                <c:pt idx="0">
                  <c:v>300</c:v>
                </c:pt>
                <c:pt idx="1">
                  <c:v>0</c:v>
                </c:pt>
              </c:numCache>
            </c:numRef>
          </c:yVal>
          <c:smooth val="0"/>
          <c:extLst>
            <c:ext xmlns:c16="http://schemas.microsoft.com/office/drawing/2014/chart" uri="{C3380CC4-5D6E-409C-BE32-E72D297353CC}">
              <c16:uniqueId val="{00000004-D3D1-4C15-A6BD-309330D0402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GRAFICA_11!$AA$5:$AA$6</c:f>
              <c:numCache>
                <c:formatCode>0.00</c:formatCode>
                <c:ptCount val="2"/>
                <c:pt idx="0">
                  <c:v>0</c:v>
                </c:pt>
                <c:pt idx="1">
                  <c:v>0</c:v>
                </c:pt>
              </c:numCache>
            </c:numRef>
          </c:xVal>
          <c:yVal>
            <c:numRef>
              <c:f>GRAFICA_11!$AB$5:$AB$6</c:f>
              <c:numCache>
                <c:formatCode>0.00</c:formatCode>
                <c:ptCount val="2"/>
                <c:pt idx="0">
                  <c:v>0</c:v>
                </c:pt>
                <c:pt idx="1">
                  <c:v>350</c:v>
                </c:pt>
              </c:numCache>
            </c:numRef>
          </c:yVal>
          <c:smooth val="0"/>
          <c:extLst>
            <c:ext xmlns:c16="http://schemas.microsoft.com/office/drawing/2014/chart" uri="{C3380CC4-5D6E-409C-BE32-E72D297353CC}">
              <c16:uniqueId val="{00000000-3818-479F-A052-5FA42B5C9AF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GRAFICA_11!$AA$8:$AA$9</c:f>
              <c:numCache>
                <c:formatCode>0.00</c:formatCode>
                <c:ptCount val="2"/>
                <c:pt idx="0">
                  <c:v>0</c:v>
                </c:pt>
                <c:pt idx="1">
                  <c:v>500</c:v>
                </c:pt>
              </c:numCache>
            </c:numRef>
          </c:xVal>
          <c:yVal>
            <c:numRef>
              <c:f>GRAFICA_11!$AB$8:$AB$9</c:f>
              <c:numCache>
                <c:formatCode>0.00</c:formatCode>
                <c:ptCount val="2"/>
                <c:pt idx="0">
                  <c:v>350</c:v>
                </c:pt>
                <c:pt idx="1">
                  <c:v>350</c:v>
                </c:pt>
              </c:numCache>
            </c:numRef>
          </c:yVal>
          <c:smooth val="0"/>
          <c:extLst>
            <c:ext xmlns:c16="http://schemas.microsoft.com/office/drawing/2014/chart" uri="{C3380CC4-5D6E-409C-BE32-E72D297353CC}">
              <c16:uniqueId val="{00000001-3818-479F-A052-5FA42B5C9AF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GRAFICA_11!$AA$11:$AA$12</c:f>
              <c:numCache>
                <c:formatCode>0.00</c:formatCode>
                <c:ptCount val="2"/>
                <c:pt idx="0">
                  <c:v>500</c:v>
                </c:pt>
                <c:pt idx="1">
                  <c:v>500</c:v>
                </c:pt>
              </c:numCache>
            </c:numRef>
          </c:xVal>
          <c:yVal>
            <c:numRef>
              <c:f>GRAFICA_11!$AB$11:$AB$12</c:f>
              <c:numCache>
                <c:formatCode>0.00</c:formatCode>
                <c:ptCount val="2"/>
                <c:pt idx="0">
                  <c:v>350</c:v>
                </c:pt>
                <c:pt idx="1">
                  <c:v>0</c:v>
                </c:pt>
              </c:numCache>
            </c:numRef>
          </c:yVal>
          <c:smooth val="0"/>
          <c:extLst>
            <c:ext xmlns:c16="http://schemas.microsoft.com/office/drawing/2014/chart" uri="{C3380CC4-5D6E-409C-BE32-E72D297353CC}">
              <c16:uniqueId val="{00000002-3818-479F-A052-5FA42B5C9AF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GRAFICA_11!$AA$14:$AA$15</c:f>
              <c:numCache>
                <c:formatCode>0.00</c:formatCode>
                <c:ptCount val="2"/>
                <c:pt idx="0">
                  <c:v>500</c:v>
                </c:pt>
                <c:pt idx="1">
                  <c:v>0</c:v>
                </c:pt>
              </c:numCache>
            </c:numRef>
          </c:xVal>
          <c:yVal>
            <c:numRef>
              <c:f>GRAFICA_11!$AB$14:$AB$15</c:f>
              <c:numCache>
                <c:formatCode>0.00</c:formatCode>
                <c:ptCount val="2"/>
                <c:pt idx="0">
                  <c:v>0</c:v>
                </c:pt>
                <c:pt idx="1">
                  <c:v>0</c:v>
                </c:pt>
              </c:numCache>
            </c:numRef>
          </c:yVal>
          <c:smooth val="0"/>
          <c:extLst>
            <c:ext xmlns:c16="http://schemas.microsoft.com/office/drawing/2014/chart" uri="{C3380CC4-5D6E-409C-BE32-E72D297353CC}">
              <c16:uniqueId val="{00000003-3818-479F-A052-5FA42B5C9AF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GRAFICA_11!$AA$17:$AA$18</c:f>
              <c:numCache>
                <c:formatCode>0.00</c:formatCode>
                <c:ptCount val="2"/>
                <c:pt idx="0">
                  <c:v>0</c:v>
                </c:pt>
                <c:pt idx="1">
                  <c:v>500</c:v>
                </c:pt>
              </c:numCache>
            </c:numRef>
          </c:xVal>
          <c:yVal>
            <c:numRef>
              <c:f>GRAFICA_11!$AB$17:$AB$18</c:f>
              <c:numCache>
                <c:formatCode>0.00</c:formatCode>
                <c:ptCount val="2"/>
                <c:pt idx="0">
                  <c:v>0</c:v>
                </c:pt>
                <c:pt idx="1">
                  <c:v>350</c:v>
                </c:pt>
              </c:numCache>
            </c:numRef>
          </c:yVal>
          <c:smooth val="0"/>
          <c:extLst>
            <c:ext xmlns:c16="http://schemas.microsoft.com/office/drawing/2014/chart" uri="{C3380CC4-5D6E-409C-BE32-E72D297353CC}">
              <c16:uniqueId val="{00000004-3818-479F-A052-5FA42B5C9AF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GRAFICA_12!$AA$5:$AA$6</c:f>
              <c:numCache>
                <c:formatCode>0.00</c:formatCode>
                <c:ptCount val="2"/>
                <c:pt idx="0">
                  <c:v>0</c:v>
                </c:pt>
                <c:pt idx="1">
                  <c:v>500</c:v>
                </c:pt>
              </c:numCache>
            </c:numRef>
          </c:xVal>
          <c:yVal>
            <c:numRef>
              <c:f>GRAFICA_12!$AB$5:$AB$6</c:f>
              <c:numCache>
                <c:formatCode>0.00</c:formatCode>
                <c:ptCount val="2"/>
                <c:pt idx="0">
                  <c:v>0</c:v>
                </c:pt>
                <c:pt idx="1">
                  <c:v>0</c:v>
                </c:pt>
              </c:numCache>
            </c:numRef>
          </c:yVal>
          <c:smooth val="0"/>
          <c:extLst>
            <c:ext xmlns:c16="http://schemas.microsoft.com/office/drawing/2014/chart" uri="{C3380CC4-5D6E-409C-BE32-E72D297353CC}">
              <c16:uniqueId val="{00000000-AE81-4A04-A4E2-2EE6A1C831D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GRAFICA_12!$AA$8:$AA$9</c:f>
              <c:numCache>
                <c:formatCode>0.00</c:formatCode>
                <c:ptCount val="2"/>
                <c:pt idx="0">
                  <c:v>500</c:v>
                </c:pt>
                <c:pt idx="1">
                  <c:v>375</c:v>
                </c:pt>
              </c:numCache>
            </c:numRef>
          </c:xVal>
          <c:yVal>
            <c:numRef>
              <c:f>GRAFICA_12!$AB$8:$AB$9</c:f>
              <c:numCache>
                <c:formatCode>0.00</c:formatCode>
                <c:ptCount val="2"/>
                <c:pt idx="0">
                  <c:v>0</c:v>
                </c:pt>
                <c:pt idx="1">
                  <c:v>600</c:v>
                </c:pt>
              </c:numCache>
            </c:numRef>
          </c:yVal>
          <c:smooth val="0"/>
          <c:extLst>
            <c:ext xmlns:c16="http://schemas.microsoft.com/office/drawing/2014/chart" uri="{C3380CC4-5D6E-409C-BE32-E72D297353CC}">
              <c16:uniqueId val="{00000001-AE81-4A04-A4E2-2EE6A1C831D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GRAFICA_12!$AA$11:$AA$12</c:f>
              <c:numCache>
                <c:formatCode>0.00</c:formatCode>
                <c:ptCount val="2"/>
                <c:pt idx="0">
                  <c:v>375</c:v>
                </c:pt>
                <c:pt idx="1">
                  <c:v>125</c:v>
                </c:pt>
              </c:numCache>
            </c:numRef>
          </c:xVal>
          <c:yVal>
            <c:numRef>
              <c:f>GRAFICA_12!$AB$11:$AB$12</c:f>
              <c:numCache>
                <c:formatCode>0.00</c:formatCode>
                <c:ptCount val="2"/>
                <c:pt idx="0">
                  <c:v>600</c:v>
                </c:pt>
                <c:pt idx="1">
                  <c:v>600</c:v>
                </c:pt>
              </c:numCache>
            </c:numRef>
          </c:yVal>
          <c:smooth val="0"/>
          <c:extLst>
            <c:ext xmlns:c16="http://schemas.microsoft.com/office/drawing/2014/chart" uri="{C3380CC4-5D6E-409C-BE32-E72D297353CC}">
              <c16:uniqueId val="{00000002-AE81-4A04-A4E2-2EE6A1C831D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GRAFICA_12!$AA$14:$AA$15</c:f>
              <c:numCache>
                <c:formatCode>0.00</c:formatCode>
                <c:ptCount val="2"/>
                <c:pt idx="0">
                  <c:v>125</c:v>
                </c:pt>
                <c:pt idx="1">
                  <c:v>0</c:v>
                </c:pt>
              </c:numCache>
            </c:numRef>
          </c:xVal>
          <c:yVal>
            <c:numRef>
              <c:f>GRAFICA_12!$AB$14:$AB$15</c:f>
              <c:numCache>
                <c:formatCode>0.00</c:formatCode>
                <c:ptCount val="2"/>
                <c:pt idx="0">
                  <c:v>600</c:v>
                </c:pt>
                <c:pt idx="1">
                  <c:v>0</c:v>
                </c:pt>
              </c:numCache>
            </c:numRef>
          </c:yVal>
          <c:smooth val="0"/>
          <c:extLst>
            <c:ext xmlns:c16="http://schemas.microsoft.com/office/drawing/2014/chart" uri="{C3380CC4-5D6E-409C-BE32-E72D297353CC}">
              <c16:uniqueId val="{00000003-AE81-4A04-A4E2-2EE6A1C831D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GRAFICA_12!$AA$17:$AA$18</c:f>
              <c:numCache>
                <c:formatCode>0.00</c:formatCode>
                <c:ptCount val="2"/>
                <c:pt idx="0">
                  <c:v>0</c:v>
                </c:pt>
                <c:pt idx="1">
                  <c:v>375</c:v>
                </c:pt>
              </c:numCache>
            </c:numRef>
          </c:xVal>
          <c:yVal>
            <c:numRef>
              <c:f>GRAFICA_12!$AB$17:$AB$18</c:f>
              <c:numCache>
                <c:formatCode>0.00</c:formatCode>
                <c:ptCount val="2"/>
                <c:pt idx="0">
                  <c:v>0</c:v>
                </c:pt>
                <c:pt idx="1">
                  <c:v>600</c:v>
                </c:pt>
              </c:numCache>
            </c:numRef>
          </c:yVal>
          <c:smooth val="0"/>
          <c:extLst>
            <c:ext xmlns:c16="http://schemas.microsoft.com/office/drawing/2014/chart" uri="{C3380CC4-5D6E-409C-BE32-E72D297353CC}">
              <c16:uniqueId val="{00000004-AE81-4A04-A4E2-2EE6A1C831D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GRAFICA_13!$AA$5:$AA$6</c:f>
              <c:numCache>
                <c:formatCode>0.00</c:formatCode>
                <c:ptCount val="2"/>
                <c:pt idx="0">
                  <c:v>0</c:v>
                </c:pt>
                <c:pt idx="1">
                  <c:v>500</c:v>
                </c:pt>
              </c:numCache>
            </c:numRef>
          </c:xVal>
          <c:yVal>
            <c:numRef>
              <c:f>GRAFICA_13!$AB$5:$AB$6</c:f>
              <c:numCache>
                <c:formatCode>0.00</c:formatCode>
                <c:ptCount val="2"/>
                <c:pt idx="0">
                  <c:v>0</c:v>
                </c:pt>
                <c:pt idx="1">
                  <c:v>0</c:v>
                </c:pt>
              </c:numCache>
            </c:numRef>
          </c:yVal>
          <c:smooth val="0"/>
          <c:extLst>
            <c:ext xmlns:c16="http://schemas.microsoft.com/office/drawing/2014/chart" uri="{C3380CC4-5D6E-409C-BE32-E72D297353CC}">
              <c16:uniqueId val="{00000000-ECCF-4BA5-B1E8-F9667B53430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GRAFICA_13!$AA$8:$AA$9</c:f>
              <c:numCache>
                <c:formatCode>0.00</c:formatCode>
                <c:ptCount val="2"/>
                <c:pt idx="0">
                  <c:v>500</c:v>
                </c:pt>
                <c:pt idx="1">
                  <c:v>375</c:v>
                </c:pt>
              </c:numCache>
            </c:numRef>
          </c:xVal>
          <c:yVal>
            <c:numRef>
              <c:f>GRAFICA_13!$AB$8:$AB$9</c:f>
              <c:numCache>
                <c:formatCode>0.00</c:formatCode>
                <c:ptCount val="2"/>
                <c:pt idx="0">
                  <c:v>0</c:v>
                </c:pt>
                <c:pt idx="1">
                  <c:v>600</c:v>
                </c:pt>
              </c:numCache>
            </c:numRef>
          </c:yVal>
          <c:smooth val="0"/>
          <c:extLst>
            <c:ext xmlns:c16="http://schemas.microsoft.com/office/drawing/2014/chart" uri="{C3380CC4-5D6E-409C-BE32-E72D297353CC}">
              <c16:uniqueId val="{00000001-ECCF-4BA5-B1E8-F9667B53430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GRAFICA_13!$AA$11:$AA$12</c:f>
              <c:numCache>
                <c:formatCode>0.00</c:formatCode>
                <c:ptCount val="2"/>
                <c:pt idx="0">
                  <c:v>375</c:v>
                </c:pt>
                <c:pt idx="1">
                  <c:v>125</c:v>
                </c:pt>
              </c:numCache>
            </c:numRef>
          </c:xVal>
          <c:yVal>
            <c:numRef>
              <c:f>GRAFICA_13!$AB$11:$AB$12</c:f>
              <c:numCache>
                <c:formatCode>0.00</c:formatCode>
                <c:ptCount val="2"/>
                <c:pt idx="0">
                  <c:v>600</c:v>
                </c:pt>
                <c:pt idx="1">
                  <c:v>600</c:v>
                </c:pt>
              </c:numCache>
            </c:numRef>
          </c:yVal>
          <c:smooth val="0"/>
          <c:extLst>
            <c:ext xmlns:c16="http://schemas.microsoft.com/office/drawing/2014/chart" uri="{C3380CC4-5D6E-409C-BE32-E72D297353CC}">
              <c16:uniqueId val="{00000002-ECCF-4BA5-B1E8-F9667B53430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GRAFICA_13!$AA$14:$AA$15</c:f>
              <c:numCache>
                <c:formatCode>0.00</c:formatCode>
                <c:ptCount val="2"/>
                <c:pt idx="0">
                  <c:v>125</c:v>
                </c:pt>
                <c:pt idx="1">
                  <c:v>0</c:v>
                </c:pt>
              </c:numCache>
            </c:numRef>
          </c:xVal>
          <c:yVal>
            <c:numRef>
              <c:f>GRAFICA_13!$AB$14:$AB$15</c:f>
              <c:numCache>
                <c:formatCode>0.00</c:formatCode>
                <c:ptCount val="2"/>
                <c:pt idx="0">
                  <c:v>600</c:v>
                </c:pt>
                <c:pt idx="1">
                  <c:v>0</c:v>
                </c:pt>
              </c:numCache>
            </c:numRef>
          </c:yVal>
          <c:smooth val="0"/>
          <c:extLst>
            <c:ext xmlns:c16="http://schemas.microsoft.com/office/drawing/2014/chart" uri="{C3380CC4-5D6E-409C-BE32-E72D297353CC}">
              <c16:uniqueId val="{00000003-ECCF-4BA5-B1E8-F9667B53430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GRAFICA_13!$AA$17:$AA$18</c:f>
              <c:numCache>
                <c:formatCode>0.00</c:formatCode>
                <c:ptCount val="2"/>
                <c:pt idx="0">
                  <c:v>500</c:v>
                </c:pt>
                <c:pt idx="1">
                  <c:v>125</c:v>
                </c:pt>
              </c:numCache>
            </c:numRef>
          </c:xVal>
          <c:yVal>
            <c:numRef>
              <c:f>GRAFICA_13!$AB$17:$AB$18</c:f>
              <c:numCache>
                <c:formatCode>0.00</c:formatCode>
                <c:ptCount val="2"/>
                <c:pt idx="0">
                  <c:v>0</c:v>
                </c:pt>
                <c:pt idx="1">
                  <c:v>600</c:v>
                </c:pt>
              </c:numCache>
            </c:numRef>
          </c:yVal>
          <c:smooth val="0"/>
          <c:extLst>
            <c:ext xmlns:c16="http://schemas.microsoft.com/office/drawing/2014/chart" uri="{C3380CC4-5D6E-409C-BE32-E72D297353CC}">
              <c16:uniqueId val="{00000004-ECCF-4BA5-B1E8-F9667B53430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GRAFICA_14!$AA$5:$AA$6</c:f>
              <c:numCache>
                <c:formatCode>0.00</c:formatCode>
                <c:ptCount val="2"/>
                <c:pt idx="0">
                  <c:v>0</c:v>
                </c:pt>
                <c:pt idx="1">
                  <c:v>800</c:v>
                </c:pt>
              </c:numCache>
            </c:numRef>
          </c:xVal>
          <c:yVal>
            <c:numRef>
              <c:f>GRAFICA_14!$AB$5:$AB$6</c:f>
              <c:numCache>
                <c:formatCode>0.00</c:formatCode>
                <c:ptCount val="2"/>
                <c:pt idx="0">
                  <c:v>0</c:v>
                </c:pt>
                <c:pt idx="1">
                  <c:v>0</c:v>
                </c:pt>
              </c:numCache>
            </c:numRef>
          </c:yVal>
          <c:smooth val="0"/>
          <c:extLst>
            <c:ext xmlns:c16="http://schemas.microsoft.com/office/drawing/2014/chart" uri="{C3380CC4-5D6E-409C-BE32-E72D297353CC}">
              <c16:uniqueId val="{00000000-2F61-4421-830A-F59409C996F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GRAFICA_14!$AA$8:$AA$9</c:f>
              <c:numCache>
                <c:formatCode>0.00</c:formatCode>
                <c:ptCount val="2"/>
                <c:pt idx="0">
                  <c:v>0</c:v>
                </c:pt>
                <c:pt idx="1">
                  <c:v>600</c:v>
                </c:pt>
              </c:numCache>
            </c:numRef>
          </c:xVal>
          <c:yVal>
            <c:numRef>
              <c:f>GRAFICA_14!$AB$8:$AB$9</c:f>
              <c:numCache>
                <c:formatCode>0.00</c:formatCode>
                <c:ptCount val="2"/>
                <c:pt idx="0">
                  <c:v>0</c:v>
                </c:pt>
                <c:pt idx="1">
                  <c:v>400</c:v>
                </c:pt>
              </c:numCache>
            </c:numRef>
          </c:yVal>
          <c:smooth val="0"/>
          <c:extLst>
            <c:ext xmlns:c16="http://schemas.microsoft.com/office/drawing/2014/chart" uri="{C3380CC4-5D6E-409C-BE32-E72D297353CC}">
              <c16:uniqueId val="{00000001-2F61-4421-830A-F59409C996F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GRAFICA_14!$AA$11:$AA$12</c:f>
              <c:numCache>
                <c:formatCode>0.00</c:formatCode>
                <c:ptCount val="2"/>
                <c:pt idx="0">
                  <c:v>0</c:v>
                </c:pt>
                <c:pt idx="1">
                  <c:v>250</c:v>
                </c:pt>
              </c:numCache>
            </c:numRef>
          </c:xVal>
          <c:yVal>
            <c:numRef>
              <c:f>GRAFICA_14!$AB$11:$AB$12</c:f>
              <c:numCache>
                <c:formatCode>0.00</c:formatCode>
                <c:ptCount val="2"/>
                <c:pt idx="0">
                  <c:v>0</c:v>
                </c:pt>
                <c:pt idx="1">
                  <c:v>450</c:v>
                </c:pt>
              </c:numCache>
            </c:numRef>
          </c:yVal>
          <c:smooth val="0"/>
          <c:extLst>
            <c:ext xmlns:c16="http://schemas.microsoft.com/office/drawing/2014/chart" uri="{C3380CC4-5D6E-409C-BE32-E72D297353CC}">
              <c16:uniqueId val="{00000002-2F61-4421-830A-F59409C996F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GRAFICA_14!$AA$14:$AA$15</c:f>
              <c:numCache>
                <c:formatCode>0.00</c:formatCode>
                <c:ptCount val="2"/>
                <c:pt idx="0">
                  <c:v>250</c:v>
                </c:pt>
                <c:pt idx="1">
                  <c:v>600</c:v>
                </c:pt>
              </c:numCache>
            </c:numRef>
          </c:xVal>
          <c:yVal>
            <c:numRef>
              <c:f>GRAFICA_14!$AB$14:$AB$15</c:f>
              <c:numCache>
                <c:formatCode>0.00</c:formatCode>
                <c:ptCount val="2"/>
                <c:pt idx="0">
                  <c:v>450</c:v>
                </c:pt>
                <c:pt idx="1">
                  <c:v>400</c:v>
                </c:pt>
              </c:numCache>
            </c:numRef>
          </c:yVal>
          <c:smooth val="0"/>
          <c:extLst>
            <c:ext xmlns:c16="http://schemas.microsoft.com/office/drawing/2014/chart" uri="{C3380CC4-5D6E-409C-BE32-E72D297353CC}">
              <c16:uniqueId val="{00000003-2F61-4421-830A-F59409C996F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GRAFICA_14!$AA$17:$AA$18</c:f>
              <c:numCache>
                <c:formatCode>0.00</c:formatCode>
                <c:ptCount val="2"/>
                <c:pt idx="0">
                  <c:v>600</c:v>
                </c:pt>
                <c:pt idx="1">
                  <c:v>800</c:v>
                </c:pt>
              </c:numCache>
            </c:numRef>
          </c:xVal>
          <c:yVal>
            <c:numRef>
              <c:f>GRAFICA_14!$AB$17:$AB$18</c:f>
              <c:numCache>
                <c:formatCode>0.00</c:formatCode>
                <c:ptCount val="2"/>
                <c:pt idx="0">
                  <c:v>400</c:v>
                </c:pt>
                <c:pt idx="1">
                  <c:v>0</c:v>
                </c:pt>
              </c:numCache>
            </c:numRef>
          </c:yVal>
          <c:smooth val="0"/>
          <c:extLst>
            <c:ext xmlns:c16="http://schemas.microsoft.com/office/drawing/2014/chart" uri="{C3380CC4-5D6E-409C-BE32-E72D297353CC}">
              <c16:uniqueId val="{00000004-2F61-4421-830A-F59409C996F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GRAFICA_15!$AA$5:$AA$6</c:f>
              <c:numCache>
                <c:formatCode>0.00</c:formatCode>
                <c:ptCount val="2"/>
                <c:pt idx="0">
                  <c:v>0</c:v>
                </c:pt>
                <c:pt idx="1">
                  <c:v>500</c:v>
                </c:pt>
              </c:numCache>
            </c:numRef>
          </c:xVal>
          <c:yVal>
            <c:numRef>
              <c:f>GRAFICA_15!$AB$5:$AB$6</c:f>
              <c:numCache>
                <c:formatCode>0.00</c:formatCode>
                <c:ptCount val="2"/>
                <c:pt idx="0">
                  <c:v>0</c:v>
                </c:pt>
                <c:pt idx="1">
                  <c:v>-200</c:v>
                </c:pt>
              </c:numCache>
            </c:numRef>
          </c:yVal>
          <c:smooth val="0"/>
          <c:extLst>
            <c:ext xmlns:c16="http://schemas.microsoft.com/office/drawing/2014/chart" uri="{C3380CC4-5D6E-409C-BE32-E72D297353CC}">
              <c16:uniqueId val="{00000000-6570-4778-80C0-E3D4E2BAEF7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GRAFICA_15!$AA$8:$AA$9</c:f>
              <c:numCache>
                <c:formatCode>0.00</c:formatCode>
                <c:ptCount val="2"/>
                <c:pt idx="0">
                  <c:v>500</c:v>
                </c:pt>
                <c:pt idx="1">
                  <c:v>1000</c:v>
                </c:pt>
              </c:numCache>
            </c:numRef>
          </c:xVal>
          <c:yVal>
            <c:numRef>
              <c:f>GRAFICA_15!$AB$8:$AB$9</c:f>
              <c:numCache>
                <c:formatCode>0.00</c:formatCode>
                <c:ptCount val="2"/>
                <c:pt idx="0">
                  <c:v>-200</c:v>
                </c:pt>
                <c:pt idx="1">
                  <c:v>0</c:v>
                </c:pt>
              </c:numCache>
            </c:numRef>
          </c:yVal>
          <c:smooth val="0"/>
          <c:extLst>
            <c:ext xmlns:c16="http://schemas.microsoft.com/office/drawing/2014/chart" uri="{C3380CC4-5D6E-409C-BE32-E72D297353CC}">
              <c16:uniqueId val="{00000001-6570-4778-80C0-E3D4E2BAEF7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GRAFICA_15!$AA$11:$AA$12</c:f>
              <c:numCache>
                <c:formatCode>0.00</c:formatCode>
                <c:ptCount val="2"/>
                <c:pt idx="0">
                  <c:v>1000</c:v>
                </c:pt>
                <c:pt idx="1">
                  <c:v>500</c:v>
                </c:pt>
              </c:numCache>
            </c:numRef>
          </c:xVal>
          <c:yVal>
            <c:numRef>
              <c:f>GRAFICA_15!$AB$11:$AB$12</c:f>
              <c:numCache>
                <c:formatCode>0.00</c:formatCode>
                <c:ptCount val="2"/>
                <c:pt idx="0">
                  <c:v>0</c:v>
                </c:pt>
                <c:pt idx="1">
                  <c:v>400</c:v>
                </c:pt>
              </c:numCache>
            </c:numRef>
          </c:yVal>
          <c:smooth val="0"/>
          <c:extLst>
            <c:ext xmlns:c16="http://schemas.microsoft.com/office/drawing/2014/chart" uri="{C3380CC4-5D6E-409C-BE32-E72D297353CC}">
              <c16:uniqueId val="{00000002-6570-4778-80C0-E3D4E2BAEF7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GRAFICA_15!$AA$14:$AA$15</c:f>
              <c:numCache>
                <c:formatCode>0.00</c:formatCode>
                <c:ptCount val="2"/>
                <c:pt idx="0">
                  <c:v>500</c:v>
                </c:pt>
                <c:pt idx="1">
                  <c:v>0</c:v>
                </c:pt>
              </c:numCache>
            </c:numRef>
          </c:xVal>
          <c:yVal>
            <c:numRef>
              <c:f>GRAFICA_15!$AB$14:$AB$15</c:f>
              <c:numCache>
                <c:formatCode>0.00</c:formatCode>
                <c:ptCount val="2"/>
                <c:pt idx="0">
                  <c:v>400</c:v>
                </c:pt>
                <c:pt idx="1">
                  <c:v>0</c:v>
                </c:pt>
              </c:numCache>
            </c:numRef>
          </c:yVal>
          <c:smooth val="0"/>
          <c:extLst>
            <c:ext xmlns:c16="http://schemas.microsoft.com/office/drawing/2014/chart" uri="{C3380CC4-5D6E-409C-BE32-E72D297353CC}">
              <c16:uniqueId val="{00000003-6570-4778-80C0-E3D4E2BAEF7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GRAFICA_15!$AA$17:$AA$18</c:f>
              <c:numCache>
                <c:formatCode>0.00</c:formatCode>
                <c:ptCount val="2"/>
                <c:pt idx="0">
                  <c:v>500</c:v>
                </c:pt>
                <c:pt idx="1">
                  <c:v>500</c:v>
                </c:pt>
              </c:numCache>
            </c:numRef>
          </c:xVal>
          <c:yVal>
            <c:numRef>
              <c:f>GRAFICA_15!$AB$17:$AB$18</c:f>
              <c:numCache>
                <c:formatCode>0.00</c:formatCode>
                <c:ptCount val="2"/>
                <c:pt idx="0">
                  <c:v>-200</c:v>
                </c:pt>
                <c:pt idx="1">
                  <c:v>400</c:v>
                </c:pt>
              </c:numCache>
            </c:numRef>
          </c:yVal>
          <c:smooth val="0"/>
          <c:extLst>
            <c:ext xmlns:c16="http://schemas.microsoft.com/office/drawing/2014/chart" uri="{C3380CC4-5D6E-409C-BE32-E72D297353CC}">
              <c16:uniqueId val="{00000004-6570-4778-80C0-E3D4E2BAEF7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GRAFICA_16!$AA$5:$AA$6</c:f>
              <c:numCache>
                <c:formatCode>0.00</c:formatCode>
                <c:ptCount val="2"/>
                <c:pt idx="0">
                  <c:v>0</c:v>
                </c:pt>
                <c:pt idx="1">
                  <c:v>400</c:v>
                </c:pt>
              </c:numCache>
            </c:numRef>
          </c:xVal>
          <c:yVal>
            <c:numRef>
              <c:f>GRAFICA_16!$AB$5:$AB$6</c:f>
              <c:numCache>
                <c:formatCode>0.00</c:formatCode>
                <c:ptCount val="2"/>
                <c:pt idx="0">
                  <c:v>0</c:v>
                </c:pt>
                <c:pt idx="1">
                  <c:v>0</c:v>
                </c:pt>
              </c:numCache>
            </c:numRef>
          </c:yVal>
          <c:smooth val="0"/>
          <c:extLst>
            <c:ext xmlns:c16="http://schemas.microsoft.com/office/drawing/2014/chart" uri="{C3380CC4-5D6E-409C-BE32-E72D297353CC}">
              <c16:uniqueId val="{00000000-B5C1-4EAB-9CD5-CD79A8C3E04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GRAFICA_16!$AA$8:$AA$9</c:f>
              <c:numCache>
                <c:formatCode>0.00</c:formatCode>
                <c:ptCount val="2"/>
                <c:pt idx="0">
                  <c:v>400</c:v>
                </c:pt>
                <c:pt idx="1">
                  <c:v>800</c:v>
                </c:pt>
              </c:numCache>
            </c:numRef>
          </c:xVal>
          <c:yVal>
            <c:numRef>
              <c:f>GRAFICA_16!$AB$8:$AB$9</c:f>
              <c:numCache>
                <c:formatCode>0.00</c:formatCode>
                <c:ptCount val="2"/>
                <c:pt idx="0">
                  <c:v>0</c:v>
                </c:pt>
                <c:pt idx="1">
                  <c:v>0</c:v>
                </c:pt>
              </c:numCache>
            </c:numRef>
          </c:yVal>
          <c:smooth val="0"/>
          <c:extLst>
            <c:ext xmlns:c16="http://schemas.microsoft.com/office/drawing/2014/chart" uri="{C3380CC4-5D6E-409C-BE32-E72D297353CC}">
              <c16:uniqueId val="{00000001-B5C1-4EAB-9CD5-CD79A8C3E04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GRAFICA_16!$AA$11:$AA$12</c:f>
              <c:numCache>
                <c:formatCode>0.00</c:formatCode>
                <c:ptCount val="2"/>
                <c:pt idx="0">
                  <c:v>0</c:v>
                </c:pt>
                <c:pt idx="1">
                  <c:v>200</c:v>
                </c:pt>
              </c:numCache>
            </c:numRef>
          </c:xVal>
          <c:yVal>
            <c:numRef>
              <c:f>GRAFICA_16!$AB$11:$AB$12</c:f>
              <c:numCache>
                <c:formatCode>0.00</c:formatCode>
                <c:ptCount val="2"/>
                <c:pt idx="0">
                  <c:v>0</c:v>
                </c:pt>
                <c:pt idx="1">
                  <c:v>300</c:v>
                </c:pt>
              </c:numCache>
            </c:numRef>
          </c:yVal>
          <c:smooth val="0"/>
          <c:extLst>
            <c:ext xmlns:c16="http://schemas.microsoft.com/office/drawing/2014/chart" uri="{C3380CC4-5D6E-409C-BE32-E72D297353CC}">
              <c16:uniqueId val="{00000002-B5C1-4EAB-9CD5-CD79A8C3E04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GRAFICA_16!$AA$14:$AA$15</c:f>
              <c:numCache>
                <c:formatCode>0.00</c:formatCode>
                <c:ptCount val="2"/>
                <c:pt idx="0">
                  <c:v>200</c:v>
                </c:pt>
                <c:pt idx="1">
                  <c:v>400</c:v>
                </c:pt>
              </c:numCache>
            </c:numRef>
          </c:xVal>
          <c:yVal>
            <c:numRef>
              <c:f>GRAFICA_16!$AB$14:$AB$15</c:f>
              <c:numCache>
                <c:formatCode>0.00</c:formatCode>
                <c:ptCount val="2"/>
                <c:pt idx="0">
                  <c:v>300</c:v>
                </c:pt>
                <c:pt idx="1">
                  <c:v>0</c:v>
                </c:pt>
              </c:numCache>
            </c:numRef>
          </c:yVal>
          <c:smooth val="0"/>
          <c:extLst>
            <c:ext xmlns:c16="http://schemas.microsoft.com/office/drawing/2014/chart" uri="{C3380CC4-5D6E-409C-BE32-E72D297353CC}">
              <c16:uniqueId val="{00000003-B5C1-4EAB-9CD5-CD79A8C3E04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GRAFICA_16!$AA$17:$AA$18</c:f>
              <c:numCache>
                <c:formatCode>0.00</c:formatCode>
                <c:ptCount val="2"/>
                <c:pt idx="0">
                  <c:v>200</c:v>
                </c:pt>
                <c:pt idx="1">
                  <c:v>600</c:v>
                </c:pt>
              </c:numCache>
            </c:numRef>
          </c:xVal>
          <c:yVal>
            <c:numRef>
              <c:f>GRAFICA_16!$AB$17:$AB$18</c:f>
              <c:numCache>
                <c:formatCode>0.00</c:formatCode>
                <c:ptCount val="2"/>
                <c:pt idx="0">
                  <c:v>300</c:v>
                </c:pt>
                <c:pt idx="1">
                  <c:v>300</c:v>
                </c:pt>
              </c:numCache>
            </c:numRef>
          </c:yVal>
          <c:smooth val="0"/>
          <c:extLst>
            <c:ext xmlns:c16="http://schemas.microsoft.com/office/drawing/2014/chart" uri="{C3380CC4-5D6E-409C-BE32-E72D297353CC}">
              <c16:uniqueId val="{00000004-B5C1-4EAB-9CD5-CD79A8C3E04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GRAFICA_16!$AA$20:$AA$21</c:f>
              <c:numCache>
                <c:formatCode>0.00</c:formatCode>
                <c:ptCount val="2"/>
                <c:pt idx="0">
                  <c:v>400</c:v>
                </c:pt>
                <c:pt idx="1">
                  <c:v>600</c:v>
                </c:pt>
              </c:numCache>
            </c:numRef>
          </c:xVal>
          <c:yVal>
            <c:numRef>
              <c:f>GRAFICA_16!$AB$20:$AB$21</c:f>
              <c:numCache>
                <c:formatCode>0.00</c:formatCode>
                <c:ptCount val="2"/>
                <c:pt idx="0">
                  <c:v>0</c:v>
                </c:pt>
                <c:pt idx="1">
                  <c:v>300</c:v>
                </c:pt>
              </c:numCache>
            </c:numRef>
          </c:yVal>
          <c:smooth val="0"/>
          <c:extLst>
            <c:ext xmlns:c16="http://schemas.microsoft.com/office/drawing/2014/chart" uri="{C3380CC4-5D6E-409C-BE32-E72D297353CC}">
              <c16:uniqueId val="{00000005-B5C1-4EAB-9CD5-CD79A8C3E04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GRAFICA_16!$AA$23:$AA$24</c:f>
              <c:numCache>
                <c:formatCode>0.00</c:formatCode>
                <c:ptCount val="2"/>
                <c:pt idx="0">
                  <c:v>600</c:v>
                </c:pt>
                <c:pt idx="1">
                  <c:v>800</c:v>
                </c:pt>
              </c:numCache>
            </c:numRef>
          </c:xVal>
          <c:yVal>
            <c:numRef>
              <c:f>GRAFICA_16!$AB$23:$AB$24</c:f>
              <c:numCache>
                <c:formatCode>0.00</c:formatCode>
                <c:ptCount val="2"/>
                <c:pt idx="0">
                  <c:v>300</c:v>
                </c:pt>
                <c:pt idx="1">
                  <c:v>0</c:v>
                </c:pt>
              </c:numCache>
            </c:numRef>
          </c:yVal>
          <c:smooth val="0"/>
          <c:extLst>
            <c:ext xmlns:c16="http://schemas.microsoft.com/office/drawing/2014/chart" uri="{C3380CC4-5D6E-409C-BE32-E72D297353CC}">
              <c16:uniqueId val="{00000006-B5C1-4EAB-9CD5-CD79A8C3E04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GRAFICA_17!$AA$5:$AA$6</c:f>
              <c:numCache>
                <c:formatCode>0.00</c:formatCode>
                <c:ptCount val="2"/>
                <c:pt idx="0">
                  <c:v>0</c:v>
                </c:pt>
                <c:pt idx="1">
                  <c:v>500</c:v>
                </c:pt>
              </c:numCache>
            </c:numRef>
          </c:xVal>
          <c:yVal>
            <c:numRef>
              <c:f>GRAFICA_17!$AB$5:$AB$6</c:f>
              <c:numCache>
                <c:formatCode>0.00</c:formatCode>
                <c:ptCount val="2"/>
                <c:pt idx="0">
                  <c:v>0</c:v>
                </c:pt>
                <c:pt idx="1">
                  <c:v>0</c:v>
                </c:pt>
              </c:numCache>
            </c:numRef>
          </c:yVal>
          <c:smooth val="0"/>
          <c:extLst>
            <c:ext xmlns:c16="http://schemas.microsoft.com/office/drawing/2014/chart" uri="{C3380CC4-5D6E-409C-BE32-E72D297353CC}">
              <c16:uniqueId val="{00000000-F576-4D8F-A804-2677A5AF65C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GRAFICA_17!$AA$8:$AA$9</c:f>
              <c:numCache>
                <c:formatCode>0.00</c:formatCode>
                <c:ptCount val="2"/>
                <c:pt idx="0">
                  <c:v>500</c:v>
                </c:pt>
                <c:pt idx="1">
                  <c:v>1000</c:v>
                </c:pt>
              </c:numCache>
            </c:numRef>
          </c:xVal>
          <c:yVal>
            <c:numRef>
              <c:f>GRAFICA_17!$AB$8:$AB$9</c:f>
              <c:numCache>
                <c:formatCode>0.00</c:formatCode>
                <c:ptCount val="2"/>
                <c:pt idx="0">
                  <c:v>0</c:v>
                </c:pt>
                <c:pt idx="1">
                  <c:v>0</c:v>
                </c:pt>
              </c:numCache>
            </c:numRef>
          </c:yVal>
          <c:smooth val="0"/>
          <c:extLst>
            <c:ext xmlns:c16="http://schemas.microsoft.com/office/drawing/2014/chart" uri="{C3380CC4-5D6E-409C-BE32-E72D297353CC}">
              <c16:uniqueId val="{00000001-F576-4D8F-A804-2677A5AF65C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GRAFICA_17!$AA$11:$AA$12</c:f>
              <c:numCache>
                <c:formatCode>0.00</c:formatCode>
                <c:ptCount val="2"/>
                <c:pt idx="0">
                  <c:v>0</c:v>
                </c:pt>
                <c:pt idx="1">
                  <c:v>250</c:v>
                </c:pt>
              </c:numCache>
            </c:numRef>
          </c:xVal>
          <c:yVal>
            <c:numRef>
              <c:f>GRAFICA_17!$AB$11:$AB$12</c:f>
              <c:numCache>
                <c:formatCode>0.00</c:formatCode>
                <c:ptCount val="2"/>
                <c:pt idx="0">
                  <c:v>0</c:v>
                </c:pt>
                <c:pt idx="1">
                  <c:v>250</c:v>
                </c:pt>
              </c:numCache>
            </c:numRef>
          </c:yVal>
          <c:smooth val="0"/>
          <c:extLst>
            <c:ext xmlns:c16="http://schemas.microsoft.com/office/drawing/2014/chart" uri="{C3380CC4-5D6E-409C-BE32-E72D297353CC}">
              <c16:uniqueId val="{00000002-F576-4D8F-A804-2677A5AF65C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GRAFICA_17!$AA$14:$AA$15</c:f>
              <c:numCache>
                <c:formatCode>0.00</c:formatCode>
                <c:ptCount val="2"/>
                <c:pt idx="0">
                  <c:v>250</c:v>
                </c:pt>
                <c:pt idx="1">
                  <c:v>500</c:v>
                </c:pt>
              </c:numCache>
            </c:numRef>
          </c:xVal>
          <c:yVal>
            <c:numRef>
              <c:f>GRAFICA_17!$AB$14:$AB$15</c:f>
              <c:numCache>
                <c:formatCode>0.00</c:formatCode>
                <c:ptCount val="2"/>
                <c:pt idx="0">
                  <c:v>250</c:v>
                </c:pt>
                <c:pt idx="1">
                  <c:v>500</c:v>
                </c:pt>
              </c:numCache>
            </c:numRef>
          </c:yVal>
          <c:smooth val="0"/>
          <c:extLst>
            <c:ext xmlns:c16="http://schemas.microsoft.com/office/drawing/2014/chart" uri="{C3380CC4-5D6E-409C-BE32-E72D297353CC}">
              <c16:uniqueId val="{00000003-F576-4D8F-A804-2677A5AF65C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GRAFICA_17!$AA$17:$AA$18</c:f>
              <c:numCache>
                <c:formatCode>0.00</c:formatCode>
                <c:ptCount val="2"/>
                <c:pt idx="0">
                  <c:v>500</c:v>
                </c:pt>
                <c:pt idx="1">
                  <c:v>1000</c:v>
                </c:pt>
              </c:numCache>
            </c:numRef>
          </c:xVal>
          <c:yVal>
            <c:numRef>
              <c:f>GRAFICA_17!$AB$17:$AB$18</c:f>
              <c:numCache>
                <c:formatCode>0.00</c:formatCode>
                <c:ptCount val="2"/>
                <c:pt idx="0">
                  <c:v>500</c:v>
                </c:pt>
                <c:pt idx="1">
                  <c:v>0</c:v>
                </c:pt>
              </c:numCache>
            </c:numRef>
          </c:yVal>
          <c:smooth val="0"/>
          <c:extLst>
            <c:ext xmlns:c16="http://schemas.microsoft.com/office/drawing/2014/chart" uri="{C3380CC4-5D6E-409C-BE32-E72D297353CC}">
              <c16:uniqueId val="{00000004-F576-4D8F-A804-2677A5AF65C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GRAFICA_17!$AA$20:$AA$21</c:f>
              <c:numCache>
                <c:formatCode>0.00</c:formatCode>
                <c:ptCount val="2"/>
                <c:pt idx="0">
                  <c:v>250</c:v>
                </c:pt>
                <c:pt idx="1">
                  <c:v>500</c:v>
                </c:pt>
              </c:numCache>
            </c:numRef>
          </c:xVal>
          <c:yVal>
            <c:numRef>
              <c:f>GRAFICA_17!$AB$20:$AB$21</c:f>
              <c:numCache>
                <c:formatCode>0.00</c:formatCode>
                <c:ptCount val="2"/>
                <c:pt idx="0">
                  <c:v>250</c:v>
                </c:pt>
                <c:pt idx="1">
                  <c:v>0</c:v>
                </c:pt>
              </c:numCache>
            </c:numRef>
          </c:yVal>
          <c:smooth val="0"/>
          <c:extLst>
            <c:ext xmlns:c16="http://schemas.microsoft.com/office/drawing/2014/chart" uri="{C3380CC4-5D6E-409C-BE32-E72D297353CC}">
              <c16:uniqueId val="{00000005-F576-4D8F-A804-2677A5AF65C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GRAFICA_17!$AA$23:$AA$24</c:f>
              <c:numCache>
                <c:formatCode>0.00</c:formatCode>
                <c:ptCount val="2"/>
                <c:pt idx="0">
                  <c:v>500</c:v>
                </c:pt>
                <c:pt idx="1">
                  <c:v>500</c:v>
                </c:pt>
              </c:numCache>
            </c:numRef>
          </c:xVal>
          <c:yVal>
            <c:numRef>
              <c:f>GRAFICA_17!$AB$23:$AB$24</c:f>
              <c:numCache>
                <c:formatCode>0.00</c:formatCode>
                <c:ptCount val="2"/>
                <c:pt idx="0">
                  <c:v>0</c:v>
                </c:pt>
                <c:pt idx="1">
                  <c:v>500</c:v>
                </c:pt>
              </c:numCache>
            </c:numRef>
          </c:yVal>
          <c:smooth val="0"/>
          <c:extLst>
            <c:ext xmlns:c16="http://schemas.microsoft.com/office/drawing/2014/chart" uri="{C3380CC4-5D6E-409C-BE32-E72D297353CC}">
              <c16:uniqueId val="{00000006-F576-4D8F-A804-2677A5AF65C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GRAFICA_18!$AA$5:$AA$6</c:f>
              <c:numCache>
                <c:formatCode>0.00</c:formatCode>
                <c:ptCount val="2"/>
                <c:pt idx="0">
                  <c:v>0</c:v>
                </c:pt>
                <c:pt idx="1">
                  <c:v>400</c:v>
                </c:pt>
              </c:numCache>
            </c:numRef>
          </c:xVal>
          <c:yVal>
            <c:numRef>
              <c:f>GRAFICA_18!$AB$5:$AB$6</c:f>
              <c:numCache>
                <c:formatCode>0.00</c:formatCode>
                <c:ptCount val="2"/>
                <c:pt idx="0">
                  <c:v>0</c:v>
                </c:pt>
                <c:pt idx="1">
                  <c:v>0</c:v>
                </c:pt>
              </c:numCache>
            </c:numRef>
          </c:yVal>
          <c:smooth val="0"/>
          <c:extLst>
            <c:ext xmlns:c16="http://schemas.microsoft.com/office/drawing/2014/chart" uri="{C3380CC4-5D6E-409C-BE32-E72D297353CC}">
              <c16:uniqueId val="{00000000-33C3-46E7-BA32-D0EC0757387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GRAFICA_18!$AA$8:$AA$9</c:f>
              <c:numCache>
                <c:formatCode>0.00</c:formatCode>
                <c:ptCount val="2"/>
                <c:pt idx="0">
                  <c:v>400</c:v>
                </c:pt>
                <c:pt idx="1">
                  <c:v>800</c:v>
                </c:pt>
              </c:numCache>
            </c:numRef>
          </c:xVal>
          <c:yVal>
            <c:numRef>
              <c:f>GRAFICA_18!$AB$8:$AB$9</c:f>
              <c:numCache>
                <c:formatCode>0.00</c:formatCode>
                <c:ptCount val="2"/>
                <c:pt idx="0">
                  <c:v>0</c:v>
                </c:pt>
                <c:pt idx="1">
                  <c:v>0</c:v>
                </c:pt>
              </c:numCache>
            </c:numRef>
          </c:yVal>
          <c:smooth val="0"/>
          <c:extLst>
            <c:ext xmlns:c16="http://schemas.microsoft.com/office/drawing/2014/chart" uri="{C3380CC4-5D6E-409C-BE32-E72D297353CC}">
              <c16:uniqueId val="{00000001-33C3-46E7-BA32-D0EC0757387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GRAFICA_18!$AA$11:$AA$12</c:f>
              <c:numCache>
                <c:formatCode>0.00</c:formatCode>
                <c:ptCount val="2"/>
                <c:pt idx="0">
                  <c:v>0</c:v>
                </c:pt>
                <c:pt idx="1">
                  <c:v>0</c:v>
                </c:pt>
              </c:numCache>
            </c:numRef>
          </c:xVal>
          <c:yVal>
            <c:numRef>
              <c:f>GRAFICA_18!$AB$11:$AB$12</c:f>
              <c:numCache>
                <c:formatCode>0.00</c:formatCode>
                <c:ptCount val="2"/>
                <c:pt idx="0">
                  <c:v>0</c:v>
                </c:pt>
                <c:pt idx="1">
                  <c:v>300</c:v>
                </c:pt>
              </c:numCache>
            </c:numRef>
          </c:yVal>
          <c:smooth val="0"/>
          <c:extLst>
            <c:ext xmlns:c16="http://schemas.microsoft.com/office/drawing/2014/chart" uri="{C3380CC4-5D6E-409C-BE32-E72D297353CC}">
              <c16:uniqueId val="{00000002-33C3-46E7-BA32-D0EC0757387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GRAFICA_18!$AA$14:$AA$15</c:f>
              <c:numCache>
                <c:formatCode>0.00</c:formatCode>
                <c:ptCount val="2"/>
                <c:pt idx="0">
                  <c:v>0</c:v>
                </c:pt>
                <c:pt idx="1">
                  <c:v>400</c:v>
                </c:pt>
              </c:numCache>
            </c:numRef>
          </c:xVal>
          <c:yVal>
            <c:numRef>
              <c:f>GRAFICA_18!$AB$14:$AB$15</c:f>
              <c:numCache>
                <c:formatCode>0.00</c:formatCode>
                <c:ptCount val="2"/>
                <c:pt idx="0">
                  <c:v>300</c:v>
                </c:pt>
                <c:pt idx="1">
                  <c:v>300</c:v>
                </c:pt>
              </c:numCache>
            </c:numRef>
          </c:yVal>
          <c:smooth val="0"/>
          <c:extLst>
            <c:ext xmlns:c16="http://schemas.microsoft.com/office/drawing/2014/chart" uri="{C3380CC4-5D6E-409C-BE32-E72D297353CC}">
              <c16:uniqueId val="{00000003-33C3-46E7-BA32-D0EC0757387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GRAFICA_18!$AA$17:$AA$18</c:f>
              <c:numCache>
                <c:formatCode>0.00</c:formatCode>
                <c:ptCount val="2"/>
                <c:pt idx="0">
                  <c:v>400</c:v>
                </c:pt>
                <c:pt idx="1">
                  <c:v>400</c:v>
                </c:pt>
              </c:numCache>
            </c:numRef>
          </c:xVal>
          <c:yVal>
            <c:numRef>
              <c:f>GRAFICA_18!$AB$17:$AB$18</c:f>
              <c:numCache>
                <c:formatCode>0.00</c:formatCode>
                <c:ptCount val="2"/>
                <c:pt idx="0">
                  <c:v>0</c:v>
                </c:pt>
                <c:pt idx="1">
                  <c:v>300</c:v>
                </c:pt>
              </c:numCache>
            </c:numRef>
          </c:yVal>
          <c:smooth val="0"/>
          <c:extLst>
            <c:ext xmlns:c16="http://schemas.microsoft.com/office/drawing/2014/chart" uri="{C3380CC4-5D6E-409C-BE32-E72D297353CC}">
              <c16:uniqueId val="{00000004-33C3-46E7-BA32-D0EC0757387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GRAFICA_18!$AA$20:$AA$21</c:f>
              <c:numCache>
                <c:formatCode>0.00</c:formatCode>
                <c:ptCount val="2"/>
                <c:pt idx="0">
                  <c:v>0</c:v>
                </c:pt>
                <c:pt idx="1">
                  <c:v>400</c:v>
                </c:pt>
              </c:numCache>
            </c:numRef>
          </c:xVal>
          <c:yVal>
            <c:numRef>
              <c:f>GRAFICA_18!$AB$20:$AB$21</c:f>
              <c:numCache>
                <c:formatCode>0.00</c:formatCode>
                <c:ptCount val="2"/>
                <c:pt idx="0">
                  <c:v>300</c:v>
                </c:pt>
                <c:pt idx="1">
                  <c:v>0</c:v>
                </c:pt>
              </c:numCache>
            </c:numRef>
          </c:yVal>
          <c:smooth val="0"/>
          <c:extLst>
            <c:ext xmlns:c16="http://schemas.microsoft.com/office/drawing/2014/chart" uri="{C3380CC4-5D6E-409C-BE32-E72D297353CC}">
              <c16:uniqueId val="{00000005-33C3-46E7-BA32-D0EC0757387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GRAFICA_18!$AA$23:$AA$24</c:f>
              <c:numCache>
                <c:formatCode>0.00</c:formatCode>
                <c:ptCount val="2"/>
                <c:pt idx="0">
                  <c:v>400</c:v>
                </c:pt>
                <c:pt idx="1">
                  <c:v>800</c:v>
                </c:pt>
              </c:numCache>
            </c:numRef>
          </c:xVal>
          <c:yVal>
            <c:numRef>
              <c:f>GRAFICA_18!$AB$23:$AB$24</c:f>
              <c:numCache>
                <c:formatCode>0.00</c:formatCode>
                <c:ptCount val="2"/>
                <c:pt idx="0">
                  <c:v>300</c:v>
                </c:pt>
                <c:pt idx="1">
                  <c:v>0</c:v>
                </c:pt>
              </c:numCache>
            </c:numRef>
          </c:yVal>
          <c:smooth val="0"/>
          <c:extLst>
            <c:ext xmlns:c16="http://schemas.microsoft.com/office/drawing/2014/chart" uri="{C3380CC4-5D6E-409C-BE32-E72D297353CC}">
              <c16:uniqueId val="{00000006-33C3-46E7-BA32-D0EC0757387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GRAFICA_19!$AA$5:$AA$6</c:f>
              <c:numCache>
                <c:formatCode>0.00</c:formatCode>
                <c:ptCount val="2"/>
                <c:pt idx="0">
                  <c:v>0</c:v>
                </c:pt>
                <c:pt idx="1">
                  <c:v>500</c:v>
                </c:pt>
              </c:numCache>
            </c:numRef>
          </c:xVal>
          <c:yVal>
            <c:numRef>
              <c:f>GRAFICA_19!$AB$5:$AB$6</c:f>
              <c:numCache>
                <c:formatCode>0.00</c:formatCode>
                <c:ptCount val="2"/>
                <c:pt idx="0">
                  <c:v>0</c:v>
                </c:pt>
                <c:pt idx="1">
                  <c:v>0</c:v>
                </c:pt>
              </c:numCache>
            </c:numRef>
          </c:yVal>
          <c:smooth val="0"/>
          <c:extLst>
            <c:ext xmlns:c16="http://schemas.microsoft.com/office/drawing/2014/chart" uri="{C3380CC4-5D6E-409C-BE32-E72D297353CC}">
              <c16:uniqueId val="{00000000-82C5-462C-A234-B847DB4D641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GRAFICA_19!$AA$8:$AA$9</c:f>
              <c:numCache>
                <c:formatCode>0.00</c:formatCode>
                <c:ptCount val="2"/>
                <c:pt idx="0">
                  <c:v>500</c:v>
                </c:pt>
                <c:pt idx="1">
                  <c:v>1000</c:v>
                </c:pt>
              </c:numCache>
            </c:numRef>
          </c:xVal>
          <c:yVal>
            <c:numRef>
              <c:f>GRAFICA_19!$AB$8:$AB$9</c:f>
              <c:numCache>
                <c:formatCode>0.00</c:formatCode>
                <c:ptCount val="2"/>
                <c:pt idx="0">
                  <c:v>0</c:v>
                </c:pt>
                <c:pt idx="1">
                  <c:v>0</c:v>
                </c:pt>
              </c:numCache>
            </c:numRef>
          </c:yVal>
          <c:smooth val="0"/>
          <c:extLst>
            <c:ext xmlns:c16="http://schemas.microsoft.com/office/drawing/2014/chart" uri="{C3380CC4-5D6E-409C-BE32-E72D297353CC}">
              <c16:uniqueId val="{00000001-82C5-462C-A234-B847DB4D641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GRAFICA_19!$AA$11:$AA$12</c:f>
              <c:numCache>
                <c:formatCode>0.00</c:formatCode>
                <c:ptCount val="2"/>
                <c:pt idx="0">
                  <c:v>0</c:v>
                </c:pt>
                <c:pt idx="1">
                  <c:v>500</c:v>
                </c:pt>
              </c:numCache>
            </c:numRef>
          </c:xVal>
          <c:yVal>
            <c:numRef>
              <c:f>GRAFICA_19!$AB$11:$AB$12</c:f>
              <c:numCache>
                <c:formatCode>0.00</c:formatCode>
                <c:ptCount val="2"/>
                <c:pt idx="0">
                  <c:v>0</c:v>
                </c:pt>
                <c:pt idx="1">
                  <c:v>400</c:v>
                </c:pt>
              </c:numCache>
            </c:numRef>
          </c:yVal>
          <c:smooth val="0"/>
          <c:extLst>
            <c:ext xmlns:c16="http://schemas.microsoft.com/office/drawing/2014/chart" uri="{C3380CC4-5D6E-409C-BE32-E72D297353CC}">
              <c16:uniqueId val="{00000002-82C5-462C-A234-B847DB4D641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GRAFICA_19!$AA$14:$AA$15</c:f>
              <c:numCache>
                <c:formatCode>0.00</c:formatCode>
                <c:ptCount val="2"/>
                <c:pt idx="0">
                  <c:v>500</c:v>
                </c:pt>
                <c:pt idx="1">
                  <c:v>750</c:v>
                </c:pt>
              </c:numCache>
            </c:numRef>
          </c:xVal>
          <c:yVal>
            <c:numRef>
              <c:f>GRAFICA_19!$AB$14:$AB$15</c:f>
              <c:numCache>
                <c:formatCode>0.00</c:formatCode>
                <c:ptCount val="2"/>
                <c:pt idx="0">
                  <c:v>400</c:v>
                </c:pt>
                <c:pt idx="1">
                  <c:v>200</c:v>
                </c:pt>
              </c:numCache>
            </c:numRef>
          </c:yVal>
          <c:smooth val="0"/>
          <c:extLst>
            <c:ext xmlns:c16="http://schemas.microsoft.com/office/drawing/2014/chart" uri="{C3380CC4-5D6E-409C-BE32-E72D297353CC}">
              <c16:uniqueId val="{00000003-82C5-462C-A234-B847DB4D641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GRAFICA_19!$AA$17:$AA$18</c:f>
              <c:numCache>
                <c:formatCode>0.00</c:formatCode>
                <c:ptCount val="2"/>
                <c:pt idx="0">
                  <c:v>750</c:v>
                </c:pt>
                <c:pt idx="1">
                  <c:v>1000</c:v>
                </c:pt>
              </c:numCache>
            </c:numRef>
          </c:xVal>
          <c:yVal>
            <c:numRef>
              <c:f>GRAFICA_19!$AB$17:$AB$18</c:f>
              <c:numCache>
                <c:formatCode>0.00</c:formatCode>
                <c:ptCount val="2"/>
                <c:pt idx="0">
                  <c:v>200</c:v>
                </c:pt>
                <c:pt idx="1">
                  <c:v>0</c:v>
                </c:pt>
              </c:numCache>
            </c:numRef>
          </c:yVal>
          <c:smooth val="0"/>
          <c:extLst>
            <c:ext xmlns:c16="http://schemas.microsoft.com/office/drawing/2014/chart" uri="{C3380CC4-5D6E-409C-BE32-E72D297353CC}">
              <c16:uniqueId val="{00000004-82C5-462C-A234-B847DB4D641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GRAFICA_19!$AA$20:$AA$21</c:f>
              <c:numCache>
                <c:formatCode>0.00</c:formatCode>
                <c:ptCount val="2"/>
                <c:pt idx="0">
                  <c:v>500</c:v>
                </c:pt>
                <c:pt idx="1">
                  <c:v>500</c:v>
                </c:pt>
              </c:numCache>
            </c:numRef>
          </c:xVal>
          <c:yVal>
            <c:numRef>
              <c:f>GRAFICA_19!$AB$20:$AB$21</c:f>
              <c:numCache>
                <c:formatCode>0.00</c:formatCode>
                <c:ptCount val="2"/>
                <c:pt idx="0">
                  <c:v>0</c:v>
                </c:pt>
                <c:pt idx="1">
                  <c:v>400</c:v>
                </c:pt>
              </c:numCache>
            </c:numRef>
          </c:yVal>
          <c:smooth val="0"/>
          <c:extLst>
            <c:ext xmlns:c16="http://schemas.microsoft.com/office/drawing/2014/chart" uri="{C3380CC4-5D6E-409C-BE32-E72D297353CC}">
              <c16:uniqueId val="{00000005-82C5-462C-A234-B847DB4D641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GRAFICA_19!$AA$23:$AA$24</c:f>
              <c:numCache>
                <c:formatCode>0.00</c:formatCode>
                <c:ptCount val="2"/>
                <c:pt idx="0">
                  <c:v>500</c:v>
                </c:pt>
                <c:pt idx="1">
                  <c:v>750</c:v>
                </c:pt>
              </c:numCache>
            </c:numRef>
          </c:xVal>
          <c:yVal>
            <c:numRef>
              <c:f>GRAFICA_19!$AB$23:$AB$24</c:f>
              <c:numCache>
                <c:formatCode>0.00</c:formatCode>
                <c:ptCount val="2"/>
                <c:pt idx="0">
                  <c:v>0</c:v>
                </c:pt>
                <c:pt idx="1">
                  <c:v>200</c:v>
                </c:pt>
              </c:numCache>
            </c:numRef>
          </c:yVal>
          <c:smooth val="0"/>
          <c:extLst>
            <c:ext xmlns:c16="http://schemas.microsoft.com/office/drawing/2014/chart" uri="{C3380CC4-5D6E-409C-BE32-E72D297353CC}">
              <c16:uniqueId val="{00000006-82C5-462C-A234-B847DB4D641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GRAFICA_20!$AA$5:$AA$6</c:f>
              <c:numCache>
                <c:formatCode>0.00</c:formatCode>
                <c:ptCount val="2"/>
                <c:pt idx="0">
                  <c:v>0</c:v>
                </c:pt>
                <c:pt idx="1">
                  <c:v>0</c:v>
                </c:pt>
              </c:numCache>
            </c:numRef>
          </c:xVal>
          <c:yVal>
            <c:numRef>
              <c:f>GRAFICA_20!$AB$5:$AB$6</c:f>
              <c:numCache>
                <c:formatCode>0.00</c:formatCode>
                <c:ptCount val="2"/>
                <c:pt idx="0">
                  <c:v>0</c:v>
                </c:pt>
                <c:pt idx="1">
                  <c:v>300</c:v>
                </c:pt>
              </c:numCache>
            </c:numRef>
          </c:yVal>
          <c:smooth val="0"/>
          <c:extLst>
            <c:ext xmlns:c16="http://schemas.microsoft.com/office/drawing/2014/chart" uri="{C3380CC4-5D6E-409C-BE32-E72D297353CC}">
              <c16:uniqueId val="{00000000-9D9D-41AC-8BE1-02BFB769F72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GRAFICA_20!$AA$8:$AA$9</c:f>
              <c:numCache>
                <c:formatCode>0.00</c:formatCode>
                <c:ptCount val="2"/>
                <c:pt idx="0">
                  <c:v>0</c:v>
                </c:pt>
                <c:pt idx="1">
                  <c:v>350</c:v>
                </c:pt>
              </c:numCache>
            </c:numRef>
          </c:xVal>
          <c:yVal>
            <c:numRef>
              <c:f>GRAFICA_20!$AB$8:$AB$9</c:f>
              <c:numCache>
                <c:formatCode>0.00</c:formatCode>
                <c:ptCount val="2"/>
                <c:pt idx="0">
                  <c:v>300</c:v>
                </c:pt>
                <c:pt idx="1">
                  <c:v>300</c:v>
                </c:pt>
              </c:numCache>
            </c:numRef>
          </c:yVal>
          <c:smooth val="0"/>
          <c:extLst>
            <c:ext xmlns:c16="http://schemas.microsoft.com/office/drawing/2014/chart" uri="{C3380CC4-5D6E-409C-BE32-E72D297353CC}">
              <c16:uniqueId val="{00000001-9D9D-41AC-8BE1-02BFB769F72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GRAFICA_20!$AA$11:$AA$12</c:f>
              <c:numCache>
                <c:formatCode>0.00</c:formatCode>
                <c:ptCount val="2"/>
                <c:pt idx="0">
                  <c:v>350</c:v>
                </c:pt>
                <c:pt idx="1">
                  <c:v>350</c:v>
                </c:pt>
              </c:numCache>
            </c:numRef>
          </c:xVal>
          <c:yVal>
            <c:numRef>
              <c:f>GRAFICA_20!$AB$11:$AB$12</c:f>
              <c:numCache>
                <c:formatCode>0.00</c:formatCode>
                <c:ptCount val="2"/>
                <c:pt idx="0">
                  <c:v>300</c:v>
                </c:pt>
                <c:pt idx="1">
                  <c:v>0</c:v>
                </c:pt>
              </c:numCache>
            </c:numRef>
          </c:yVal>
          <c:smooth val="0"/>
          <c:extLst>
            <c:ext xmlns:c16="http://schemas.microsoft.com/office/drawing/2014/chart" uri="{C3380CC4-5D6E-409C-BE32-E72D297353CC}">
              <c16:uniqueId val="{00000002-9D9D-41AC-8BE1-02BFB769F72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GRAFICA_20!$AA$14:$AA$15</c:f>
              <c:numCache>
                <c:formatCode>0.00</c:formatCode>
                <c:ptCount val="2"/>
                <c:pt idx="0">
                  <c:v>350</c:v>
                </c:pt>
                <c:pt idx="1">
                  <c:v>0</c:v>
                </c:pt>
              </c:numCache>
            </c:numRef>
          </c:xVal>
          <c:yVal>
            <c:numRef>
              <c:f>GRAFICA_20!$AB$14:$AB$15</c:f>
              <c:numCache>
                <c:formatCode>0.00</c:formatCode>
                <c:ptCount val="2"/>
                <c:pt idx="0">
                  <c:v>0</c:v>
                </c:pt>
                <c:pt idx="1">
                  <c:v>0</c:v>
                </c:pt>
              </c:numCache>
            </c:numRef>
          </c:yVal>
          <c:smooth val="0"/>
          <c:extLst>
            <c:ext xmlns:c16="http://schemas.microsoft.com/office/drawing/2014/chart" uri="{C3380CC4-5D6E-409C-BE32-E72D297353CC}">
              <c16:uniqueId val="{00000003-9D9D-41AC-8BE1-02BFB769F72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GRAFICA_20!$AA$17:$AA$18</c:f>
              <c:numCache>
                <c:formatCode>0.00</c:formatCode>
                <c:ptCount val="2"/>
                <c:pt idx="0">
                  <c:v>0</c:v>
                </c:pt>
                <c:pt idx="1">
                  <c:v>350</c:v>
                </c:pt>
              </c:numCache>
            </c:numRef>
          </c:xVal>
          <c:yVal>
            <c:numRef>
              <c:f>GRAFICA_20!$AB$17:$AB$18</c:f>
              <c:numCache>
                <c:formatCode>0.00</c:formatCode>
                <c:ptCount val="2"/>
                <c:pt idx="0">
                  <c:v>300</c:v>
                </c:pt>
                <c:pt idx="1">
                  <c:v>0</c:v>
                </c:pt>
              </c:numCache>
            </c:numRef>
          </c:yVal>
          <c:smooth val="0"/>
          <c:extLst>
            <c:ext xmlns:c16="http://schemas.microsoft.com/office/drawing/2014/chart" uri="{C3380CC4-5D6E-409C-BE32-E72D297353CC}">
              <c16:uniqueId val="{00000004-9D9D-41AC-8BE1-02BFB769F72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GRAFICA_20!$AA$20:$AA$21</c:f>
              <c:numCache>
                <c:formatCode>0.00</c:formatCode>
                <c:ptCount val="2"/>
                <c:pt idx="0">
                  <c:v>350</c:v>
                </c:pt>
                <c:pt idx="1">
                  <c:v>700</c:v>
                </c:pt>
              </c:numCache>
            </c:numRef>
          </c:xVal>
          <c:yVal>
            <c:numRef>
              <c:f>GRAFICA_20!$AB$20:$AB$21</c:f>
              <c:numCache>
                <c:formatCode>0.00</c:formatCode>
                <c:ptCount val="2"/>
                <c:pt idx="0">
                  <c:v>300</c:v>
                </c:pt>
                <c:pt idx="1">
                  <c:v>0</c:v>
                </c:pt>
              </c:numCache>
            </c:numRef>
          </c:yVal>
          <c:smooth val="0"/>
          <c:extLst>
            <c:ext xmlns:c16="http://schemas.microsoft.com/office/drawing/2014/chart" uri="{C3380CC4-5D6E-409C-BE32-E72D297353CC}">
              <c16:uniqueId val="{00000005-9D9D-41AC-8BE1-02BFB769F72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GRAFICA_20!$AA$23:$AA$24</c:f>
              <c:numCache>
                <c:formatCode>0.00</c:formatCode>
                <c:ptCount val="2"/>
                <c:pt idx="0">
                  <c:v>350</c:v>
                </c:pt>
                <c:pt idx="1">
                  <c:v>700</c:v>
                </c:pt>
              </c:numCache>
            </c:numRef>
          </c:xVal>
          <c:yVal>
            <c:numRef>
              <c:f>GRAFICA_20!$AB$23:$AB$24</c:f>
              <c:numCache>
                <c:formatCode>0.00</c:formatCode>
                <c:ptCount val="2"/>
                <c:pt idx="0">
                  <c:v>0</c:v>
                </c:pt>
                <c:pt idx="1">
                  <c:v>0</c:v>
                </c:pt>
              </c:numCache>
            </c:numRef>
          </c:yVal>
          <c:smooth val="0"/>
          <c:extLst>
            <c:ext xmlns:c16="http://schemas.microsoft.com/office/drawing/2014/chart" uri="{C3380CC4-5D6E-409C-BE32-E72D297353CC}">
              <c16:uniqueId val="{00000006-9D9D-41AC-8BE1-02BFB769F72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GRAFICA_21!$AA$5:$AA$6</c:f>
              <c:numCache>
                <c:formatCode>0.00</c:formatCode>
                <c:ptCount val="2"/>
                <c:pt idx="0">
                  <c:v>0</c:v>
                </c:pt>
                <c:pt idx="1">
                  <c:v>600</c:v>
                </c:pt>
              </c:numCache>
            </c:numRef>
          </c:xVal>
          <c:yVal>
            <c:numRef>
              <c:f>GRAFICA_21!$AB$5:$AB$6</c:f>
              <c:numCache>
                <c:formatCode>0.00</c:formatCode>
                <c:ptCount val="2"/>
                <c:pt idx="0">
                  <c:v>0</c:v>
                </c:pt>
                <c:pt idx="1">
                  <c:v>0</c:v>
                </c:pt>
              </c:numCache>
            </c:numRef>
          </c:yVal>
          <c:smooth val="0"/>
          <c:extLst>
            <c:ext xmlns:c16="http://schemas.microsoft.com/office/drawing/2014/chart" uri="{C3380CC4-5D6E-409C-BE32-E72D297353CC}">
              <c16:uniqueId val="{00000000-3ED9-4E6D-B711-F355A289909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GRAFICA_21!$AA$8:$AA$9</c:f>
              <c:numCache>
                <c:formatCode>0.00</c:formatCode>
                <c:ptCount val="2"/>
                <c:pt idx="0">
                  <c:v>0</c:v>
                </c:pt>
                <c:pt idx="1">
                  <c:v>150</c:v>
                </c:pt>
              </c:numCache>
            </c:numRef>
          </c:xVal>
          <c:yVal>
            <c:numRef>
              <c:f>GRAFICA_21!$AB$8:$AB$9</c:f>
              <c:numCache>
                <c:formatCode>0.00</c:formatCode>
                <c:ptCount val="2"/>
                <c:pt idx="0">
                  <c:v>0</c:v>
                </c:pt>
                <c:pt idx="1">
                  <c:v>400</c:v>
                </c:pt>
              </c:numCache>
            </c:numRef>
          </c:yVal>
          <c:smooth val="0"/>
          <c:extLst>
            <c:ext xmlns:c16="http://schemas.microsoft.com/office/drawing/2014/chart" uri="{C3380CC4-5D6E-409C-BE32-E72D297353CC}">
              <c16:uniqueId val="{00000001-3ED9-4E6D-B711-F355A289909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GRAFICA_21!$AA$11:$AA$12</c:f>
              <c:numCache>
                <c:formatCode>0.00</c:formatCode>
                <c:ptCount val="2"/>
                <c:pt idx="0">
                  <c:v>600</c:v>
                </c:pt>
                <c:pt idx="1">
                  <c:v>450</c:v>
                </c:pt>
              </c:numCache>
            </c:numRef>
          </c:xVal>
          <c:yVal>
            <c:numRef>
              <c:f>GRAFICA_21!$AB$11:$AB$12</c:f>
              <c:numCache>
                <c:formatCode>0.00</c:formatCode>
                <c:ptCount val="2"/>
                <c:pt idx="0">
                  <c:v>0</c:v>
                </c:pt>
                <c:pt idx="1">
                  <c:v>400</c:v>
                </c:pt>
              </c:numCache>
            </c:numRef>
          </c:yVal>
          <c:smooth val="0"/>
          <c:extLst>
            <c:ext xmlns:c16="http://schemas.microsoft.com/office/drawing/2014/chart" uri="{C3380CC4-5D6E-409C-BE32-E72D297353CC}">
              <c16:uniqueId val="{00000002-3ED9-4E6D-B711-F355A289909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GRAFICA_21!$AA$14:$AA$15</c:f>
              <c:numCache>
                <c:formatCode>0.00</c:formatCode>
                <c:ptCount val="2"/>
                <c:pt idx="0">
                  <c:v>150</c:v>
                </c:pt>
                <c:pt idx="1">
                  <c:v>450</c:v>
                </c:pt>
              </c:numCache>
            </c:numRef>
          </c:xVal>
          <c:yVal>
            <c:numRef>
              <c:f>GRAFICA_21!$AB$14:$AB$15</c:f>
              <c:numCache>
                <c:formatCode>0.00</c:formatCode>
                <c:ptCount val="2"/>
                <c:pt idx="0">
                  <c:v>400</c:v>
                </c:pt>
                <c:pt idx="1">
                  <c:v>400</c:v>
                </c:pt>
              </c:numCache>
            </c:numRef>
          </c:yVal>
          <c:smooth val="0"/>
          <c:extLst>
            <c:ext xmlns:c16="http://schemas.microsoft.com/office/drawing/2014/chart" uri="{C3380CC4-5D6E-409C-BE32-E72D297353CC}">
              <c16:uniqueId val="{00000003-3ED9-4E6D-B711-F355A289909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GRAFICA_21!$AA$17:$AA$18</c:f>
              <c:numCache>
                <c:formatCode>0.00</c:formatCode>
                <c:ptCount val="2"/>
                <c:pt idx="0">
                  <c:v>0</c:v>
                </c:pt>
                <c:pt idx="1">
                  <c:v>450</c:v>
                </c:pt>
              </c:numCache>
            </c:numRef>
          </c:xVal>
          <c:yVal>
            <c:numRef>
              <c:f>GRAFICA_21!$AB$17:$AB$18</c:f>
              <c:numCache>
                <c:formatCode>0.00</c:formatCode>
                <c:ptCount val="2"/>
                <c:pt idx="0">
                  <c:v>0</c:v>
                </c:pt>
                <c:pt idx="1">
                  <c:v>400</c:v>
                </c:pt>
              </c:numCache>
            </c:numRef>
          </c:yVal>
          <c:smooth val="0"/>
          <c:extLst>
            <c:ext xmlns:c16="http://schemas.microsoft.com/office/drawing/2014/chart" uri="{C3380CC4-5D6E-409C-BE32-E72D297353CC}">
              <c16:uniqueId val="{00000004-3ED9-4E6D-B711-F355A289909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GRAFICA_21!$AA$20:$AA$21</c:f>
              <c:numCache>
                <c:formatCode>0.00</c:formatCode>
                <c:ptCount val="2"/>
                <c:pt idx="0">
                  <c:v>150</c:v>
                </c:pt>
                <c:pt idx="1">
                  <c:v>300</c:v>
                </c:pt>
              </c:numCache>
            </c:numRef>
          </c:xVal>
          <c:yVal>
            <c:numRef>
              <c:f>GRAFICA_21!$AB$20:$AB$21</c:f>
              <c:numCache>
                <c:formatCode>0.00</c:formatCode>
                <c:ptCount val="2"/>
                <c:pt idx="0">
                  <c:v>400</c:v>
                </c:pt>
                <c:pt idx="1">
                  <c:v>750</c:v>
                </c:pt>
              </c:numCache>
            </c:numRef>
          </c:yVal>
          <c:smooth val="0"/>
          <c:extLst>
            <c:ext xmlns:c16="http://schemas.microsoft.com/office/drawing/2014/chart" uri="{C3380CC4-5D6E-409C-BE32-E72D297353CC}">
              <c16:uniqueId val="{00000005-3ED9-4E6D-B711-F355A289909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GRAFICA_21!$AA$23:$AA$24</c:f>
              <c:numCache>
                <c:formatCode>0.00</c:formatCode>
                <c:ptCount val="2"/>
                <c:pt idx="0">
                  <c:v>450</c:v>
                </c:pt>
                <c:pt idx="1">
                  <c:v>300</c:v>
                </c:pt>
              </c:numCache>
            </c:numRef>
          </c:xVal>
          <c:yVal>
            <c:numRef>
              <c:f>GRAFICA_21!$AB$23:$AB$24</c:f>
              <c:numCache>
                <c:formatCode>0.00</c:formatCode>
                <c:ptCount val="2"/>
                <c:pt idx="0">
                  <c:v>400</c:v>
                </c:pt>
                <c:pt idx="1">
                  <c:v>750</c:v>
                </c:pt>
              </c:numCache>
            </c:numRef>
          </c:yVal>
          <c:smooth val="0"/>
          <c:extLst>
            <c:ext xmlns:c16="http://schemas.microsoft.com/office/drawing/2014/chart" uri="{C3380CC4-5D6E-409C-BE32-E72D297353CC}">
              <c16:uniqueId val="{00000006-3ED9-4E6D-B711-F355A289909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GRAFICA_22!$AA$5:$AA$6</c:f>
              <c:numCache>
                <c:formatCode>0.00</c:formatCode>
                <c:ptCount val="2"/>
                <c:pt idx="0">
                  <c:v>0</c:v>
                </c:pt>
                <c:pt idx="1">
                  <c:v>500</c:v>
                </c:pt>
              </c:numCache>
            </c:numRef>
          </c:xVal>
          <c:yVal>
            <c:numRef>
              <c:f>GRAFICA_22!$AB$5:$AB$6</c:f>
              <c:numCache>
                <c:formatCode>0.00</c:formatCode>
                <c:ptCount val="2"/>
                <c:pt idx="0">
                  <c:v>0</c:v>
                </c:pt>
                <c:pt idx="1">
                  <c:v>-150</c:v>
                </c:pt>
              </c:numCache>
            </c:numRef>
          </c:yVal>
          <c:smooth val="0"/>
          <c:extLst>
            <c:ext xmlns:c16="http://schemas.microsoft.com/office/drawing/2014/chart" uri="{C3380CC4-5D6E-409C-BE32-E72D297353CC}">
              <c16:uniqueId val="{00000000-24E0-4526-8AE5-34824CC7A67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GRAFICA_22!$AA$8:$AA$9</c:f>
              <c:numCache>
                <c:formatCode>0.00</c:formatCode>
                <c:ptCount val="2"/>
                <c:pt idx="0">
                  <c:v>500</c:v>
                </c:pt>
                <c:pt idx="1">
                  <c:v>1000</c:v>
                </c:pt>
              </c:numCache>
            </c:numRef>
          </c:xVal>
          <c:yVal>
            <c:numRef>
              <c:f>GRAFICA_22!$AB$8:$AB$9</c:f>
              <c:numCache>
                <c:formatCode>0.00</c:formatCode>
                <c:ptCount val="2"/>
                <c:pt idx="0">
                  <c:v>-150</c:v>
                </c:pt>
                <c:pt idx="1">
                  <c:v>0</c:v>
                </c:pt>
              </c:numCache>
            </c:numRef>
          </c:yVal>
          <c:smooth val="0"/>
          <c:extLst>
            <c:ext xmlns:c16="http://schemas.microsoft.com/office/drawing/2014/chart" uri="{C3380CC4-5D6E-409C-BE32-E72D297353CC}">
              <c16:uniqueId val="{00000001-24E0-4526-8AE5-34824CC7A67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GRAFICA_22!$AA$11:$AA$12</c:f>
              <c:numCache>
                <c:formatCode>0.00</c:formatCode>
                <c:ptCount val="2"/>
                <c:pt idx="0">
                  <c:v>0</c:v>
                </c:pt>
                <c:pt idx="1">
                  <c:v>250</c:v>
                </c:pt>
              </c:numCache>
            </c:numRef>
          </c:xVal>
          <c:yVal>
            <c:numRef>
              <c:f>GRAFICA_22!$AB$11:$AB$12</c:f>
              <c:numCache>
                <c:formatCode>0.00</c:formatCode>
                <c:ptCount val="2"/>
                <c:pt idx="0">
                  <c:v>0</c:v>
                </c:pt>
                <c:pt idx="1">
                  <c:v>200</c:v>
                </c:pt>
              </c:numCache>
            </c:numRef>
          </c:yVal>
          <c:smooth val="0"/>
          <c:extLst>
            <c:ext xmlns:c16="http://schemas.microsoft.com/office/drawing/2014/chart" uri="{C3380CC4-5D6E-409C-BE32-E72D297353CC}">
              <c16:uniqueId val="{00000002-24E0-4526-8AE5-34824CC7A67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GRAFICA_22!$AA$14:$AA$15</c:f>
              <c:numCache>
                <c:formatCode>0.00</c:formatCode>
                <c:ptCount val="2"/>
                <c:pt idx="0">
                  <c:v>250</c:v>
                </c:pt>
                <c:pt idx="1">
                  <c:v>500</c:v>
                </c:pt>
              </c:numCache>
            </c:numRef>
          </c:xVal>
          <c:yVal>
            <c:numRef>
              <c:f>GRAFICA_22!$AB$14:$AB$15</c:f>
              <c:numCache>
                <c:formatCode>0.00</c:formatCode>
                <c:ptCount val="2"/>
                <c:pt idx="0">
                  <c:v>200</c:v>
                </c:pt>
                <c:pt idx="1">
                  <c:v>400</c:v>
                </c:pt>
              </c:numCache>
            </c:numRef>
          </c:yVal>
          <c:smooth val="0"/>
          <c:extLst>
            <c:ext xmlns:c16="http://schemas.microsoft.com/office/drawing/2014/chart" uri="{C3380CC4-5D6E-409C-BE32-E72D297353CC}">
              <c16:uniqueId val="{00000003-24E0-4526-8AE5-34824CC7A67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GRAFICA_22!$AA$17:$AA$18</c:f>
              <c:numCache>
                <c:formatCode>0.00</c:formatCode>
                <c:ptCount val="2"/>
                <c:pt idx="0">
                  <c:v>500</c:v>
                </c:pt>
                <c:pt idx="1">
                  <c:v>1000</c:v>
                </c:pt>
              </c:numCache>
            </c:numRef>
          </c:xVal>
          <c:yVal>
            <c:numRef>
              <c:f>GRAFICA_22!$AB$17:$AB$18</c:f>
              <c:numCache>
                <c:formatCode>0.00</c:formatCode>
                <c:ptCount val="2"/>
                <c:pt idx="0">
                  <c:v>400</c:v>
                </c:pt>
                <c:pt idx="1">
                  <c:v>0</c:v>
                </c:pt>
              </c:numCache>
            </c:numRef>
          </c:yVal>
          <c:smooth val="0"/>
          <c:extLst>
            <c:ext xmlns:c16="http://schemas.microsoft.com/office/drawing/2014/chart" uri="{C3380CC4-5D6E-409C-BE32-E72D297353CC}">
              <c16:uniqueId val="{00000004-24E0-4526-8AE5-34824CC7A67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GRAFICA_22!$AA$20:$AA$21</c:f>
              <c:numCache>
                <c:formatCode>0.00</c:formatCode>
                <c:ptCount val="2"/>
                <c:pt idx="0">
                  <c:v>500</c:v>
                </c:pt>
                <c:pt idx="1">
                  <c:v>250</c:v>
                </c:pt>
              </c:numCache>
            </c:numRef>
          </c:xVal>
          <c:yVal>
            <c:numRef>
              <c:f>GRAFICA_22!$AB$20:$AB$21</c:f>
              <c:numCache>
                <c:formatCode>0.00</c:formatCode>
                <c:ptCount val="2"/>
                <c:pt idx="0">
                  <c:v>-150</c:v>
                </c:pt>
                <c:pt idx="1">
                  <c:v>200</c:v>
                </c:pt>
              </c:numCache>
            </c:numRef>
          </c:yVal>
          <c:smooth val="0"/>
          <c:extLst>
            <c:ext xmlns:c16="http://schemas.microsoft.com/office/drawing/2014/chart" uri="{C3380CC4-5D6E-409C-BE32-E72D297353CC}">
              <c16:uniqueId val="{00000005-24E0-4526-8AE5-34824CC7A67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GRAFICA_22!$AA$23:$AA$24</c:f>
              <c:numCache>
                <c:formatCode>0.00</c:formatCode>
                <c:ptCount val="2"/>
                <c:pt idx="0">
                  <c:v>500</c:v>
                </c:pt>
                <c:pt idx="1">
                  <c:v>500</c:v>
                </c:pt>
              </c:numCache>
            </c:numRef>
          </c:xVal>
          <c:yVal>
            <c:numRef>
              <c:f>GRAFICA_22!$AB$23:$AB$24</c:f>
              <c:numCache>
                <c:formatCode>0.00</c:formatCode>
                <c:ptCount val="2"/>
                <c:pt idx="0">
                  <c:v>-150</c:v>
                </c:pt>
                <c:pt idx="1">
                  <c:v>400</c:v>
                </c:pt>
              </c:numCache>
            </c:numRef>
          </c:yVal>
          <c:smooth val="0"/>
          <c:extLst>
            <c:ext xmlns:c16="http://schemas.microsoft.com/office/drawing/2014/chart" uri="{C3380CC4-5D6E-409C-BE32-E72D297353CC}">
              <c16:uniqueId val="{00000006-24E0-4526-8AE5-34824CC7A67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GRAFICA_23!$AA$5:$AA$6</c:f>
              <c:numCache>
                <c:formatCode>0.00</c:formatCode>
                <c:ptCount val="2"/>
                <c:pt idx="0">
                  <c:v>0</c:v>
                </c:pt>
                <c:pt idx="1">
                  <c:v>600</c:v>
                </c:pt>
              </c:numCache>
            </c:numRef>
          </c:xVal>
          <c:yVal>
            <c:numRef>
              <c:f>GRAFICA_23!$AB$5:$AB$6</c:f>
              <c:numCache>
                <c:formatCode>0.00</c:formatCode>
                <c:ptCount val="2"/>
                <c:pt idx="0">
                  <c:v>0</c:v>
                </c:pt>
                <c:pt idx="1">
                  <c:v>0</c:v>
                </c:pt>
              </c:numCache>
            </c:numRef>
          </c:yVal>
          <c:smooth val="0"/>
          <c:extLst>
            <c:ext xmlns:c16="http://schemas.microsoft.com/office/drawing/2014/chart" uri="{C3380CC4-5D6E-409C-BE32-E72D297353CC}">
              <c16:uniqueId val="{00000000-5439-4473-975C-FD95E1286BD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GRAFICA_23!$AA$8:$AA$9</c:f>
              <c:numCache>
                <c:formatCode>0.00</c:formatCode>
                <c:ptCount val="2"/>
                <c:pt idx="0">
                  <c:v>600</c:v>
                </c:pt>
                <c:pt idx="1">
                  <c:v>900</c:v>
                </c:pt>
              </c:numCache>
            </c:numRef>
          </c:xVal>
          <c:yVal>
            <c:numRef>
              <c:f>GRAFICA_23!$AB$8:$AB$9</c:f>
              <c:numCache>
                <c:formatCode>0.00</c:formatCode>
                <c:ptCount val="2"/>
                <c:pt idx="0">
                  <c:v>0</c:v>
                </c:pt>
                <c:pt idx="1">
                  <c:v>0</c:v>
                </c:pt>
              </c:numCache>
            </c:numRef>
          </c:yVal>
          <c:smooth val="0"/>
          <c:extLst>
            <c:ext xmlns:c16="http://schemas.microsoft.com/office/drawing/2014/chart" uri="{C3380CC4-5D6E-409C-BE32-E72D297353CC}">
              <c16:uniqueId val="{00000001-5439-4473-975C-FD95E1286BD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GRAFICA_23!$AA$11:$AA$12</c:f>
              <c:numCache>
                <c:formatCode>0.00</c:formatCode>
                <c:ptCount val="2"/>
                <c:pt idx="0">
                  <c:v>0</c:v>
                </c:pt>
                <c:pt idx="1">
                  <c:v>300</c:v>
                </c:pt>
              </c:numCache>
            </c:numRef>
          </c:xVal>
          <c:yVal>
            <c:numRef>
              <c:f>GRAFICA_23!$AB$11:$AB$12</c:f>
              <c:numCache>
                <c:formatCode>0.00</c:formatCode>
                <c:ptCount val="2"/>
                <c:pt idx="0">
                  <c:v>0</c:v>
                </c:pt>
                <c:pt idx="1">
                  <c:v>200</c:v>
                </c:pt>
              </c:numCache>
            </c:numRef>
          </c:yVal>
          <c:smooth val="0"/>
          <c:extLst>
            <c:ext xmlns:c16="http://schemas.microsoft.com/office/drawing/2014/chart" uri="{C3380CC4-5D6E-409C-BE32-E72D297353CC}">
              <c16:uniqueId val="{00000002-5439-4473-975C-FD95E1286BD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GRAFICA_23!$AA$14:$AA$15</c:f>
              <c:numCache>
                <c:formatCode>0.00</c:formatCode>
                <c:ptCount val="2"/>
                <c:pt idx="0">
                  <c:v>300</c:v>
                </c:pt>
                <c:pt idx="1">
                  <c:v>600</c:v>
                </c:pt>
              </c:numCache>
            </c:numRef>
          </c:xVal>
          <c:yVal>
            <c:numRef>
              <c:f>GRAFICA_23!$AB$14:$AB$15</c:f>
              <c:numCache>
                <c:formatCode>0.00</c:formatCode>
                <c:ptCount val="2"/>
                <c:pt idx="0">
                  <c:v>200</c:v>
                </c:pt>
                <c:pt idx="1">
                  <c:v>400</c:v>
                </c:pt>
              </c:numCache>
            </c:numRef>
          </c:yVal>
          <c:smooth val="0"/>
          <c:extLst>
            <c:ext xmlns:c16="http://schemas.microsoft.com/office/drawing/2014/chart" uri="{C3380CC4-5D6E-409C-BE32-E72D297353CC}">
              <c16:uniqueId val="{00000003-5439-4473-975C-FD95E1286BD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GRAFICA_23!$AA$17:$AA$18</c:f>
              <c:numCache>
                <c:formatCode>0.00</c:formatCode>
                <c:ptCount val="2"/>
                <c:pt idx="0">
                  <c:v>600</c:v>
                </c:pt>
                <c:pt idx="1">
                  <c:v>900</c:v>
                </c:pt>
              </c:numCache>
            </c:numRef>
          </c:xVal>
          <c:yVal>
            <c:numRef>
              <c:f>GRAFICA_23!$AB$17:$AB$18</c:f>
              <c:numCache>
                <c:formatCode>0.00</c:formatCode>
                <c:ptCount val="2"/>
                <c:pt idx="0">
                  <c:v>400</c:v>
                </c:pt>
                <c:pt idx="1">
                  <c:v>0</c:v>
                </c:pt>
              </c:numCache>
            </c:numRef>
          </c:yVal>
          <c:smooth val="0"/>
          <c:extLst>
            <c:ext xmlns:c16="http://schemas.microsoft.com/office/drawing/2014/chart" uri="{C3380CC4-5D6E-409C-BE32-E72D297353CC}">
              <c16:uniqueId val="{00000004-5439-4473-975C-FD95E1286BD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GRAFICA_23!$AA$20:$AA$21</c:f>
              <c:numCache>
                <c:formatCode>0.00</c:formatCode>
                <c:ptCount val="2"/>
                <c:pt idx="0">
                  <c:v>300</c:v>
                </c:pt>
                <c:pt idx="1">
                  <c:v>600</c:v>
                </c:pt>
              </c:numCache>
            </c:numRef>
          </c:xVal>
          <c:yVal>
            <c:numRef>
              <c:f>GRAFICA_23!$AB$20:$AB$21</c:f>
              <c:numCache>
                <c:formatCode>0.00</c:formatCode>
                <c:ptCount val="2"/>
                <c:pt idx="0">
                  <c:v>200</c:v>
                </c:pt>
                <c:pt idx="1">
                  <c:v>0</c:v>
                </c:pt>
              </c:numCache>
            </c:numRef>
          </c:yVal>
          <c:smooth val="0"/>
          <c:extLst>
            <c:ext xmlns:c16="http://schemas.microsoft.com/office/drawing/2014/chart" uri="{C3380CC4-5D6E-409C-BE32-E72D297353CC}">
              <c16:uniqueId val="{00000005-5439-4473-975C-FD95E1286BD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GRAFICA_23!$AA$23:$AA$24</c:f>
              <c:numCache>
                <c:formatCode>0.00</c:formatCode>
                <c:ptCount val="2"/>
                <c:pt idx="0">
                  <c:v>600</c:v>
                </c:pt>
                <c:pt idx="1">
                  <c:v>600</c:v>
                </c:pt>
              </c:numCache>
            </c:numRef>
          </c:xVal>
          <c:yVal>
            <c:numRef>
              <c:f>GRAFICA_23!$AB$23:$AB$24</c:f>
              <c:numCache>
                <c:formatCode>0.00</c:formatCode>
                <c:ptCount val="2"/>
                <c:pt idx="0">
                  <c:v>0</c:v>
                </c:pt>
                <c:pt idx="1">
                  <c:v>400</c:v>
                </c:pt>
              </c:numCache>
            </c:numRef>
          </c:yVal>
          <c:smooth val="0"/>
          <c:extLst>
            <c:ext xmlns:c16="http://schemas.microsoft.com/office/drawing/2014/chart" uri="{C3380CC4-5D6E-409C-BE32-E72D297353CC}">
              <c16:uniqueId val="{00000006-5439-4473-975C-FD95E1286B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GRAFICA_24!$AA$5:$AA$6</c:f>
              <c:numCache>
                <c:formatCode>0.00</c:formatCode>
                <c:ptCount val="2"/>
                <c:pt idx="0">
                  <c:v>0</c:v>
                </c:pt>
                <c:pt idx="1">
                  <c:v>0</c:v>
                </c:pt>
              </c:numCache>
            </c:numRef>
          </c:xVal>
          <c:yVal>
            <c:numRef>
              <c:f>GRAFICA_24!$AB$5:$AB$6</c:f>
              <c:numCache>
                <c:formatCode>0.00</c:formatCode>
                <c:ptCount val="2"/>
                <c:pt idx="0">
                  <c:v>0</c:v>
                </c:pt>
                <c:pt idx="1">
                  <c:v>400</c:v>
                </c:pt>
              </c:numCache>
            </c:numRef>
          </c:yVal>
          <c:smooth val="0"/>
          <c:extLst>
            <c:ext xmlns:c16="http://schemas.microsoft.com/office/drawing/2014/chart" uri="{C3380CC4-5D6E-409C-BE32-E72D297353CC}">
              <c16:uniqueId val="{00000000-06A3-43CF-B0C0-338F919B1BE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GRAFICA_24!$AA$8:$AA$9</c:f>
              <c:numCache>
                <c:formatCode>0.00</c:formatCode>
                <c:ptCount val="2"/>
                <c:pt idx="0">
                  <c:v>0</c:v>
                </c:pt>
                <c:pt idx="1">
                  <c:v>350</c:v>
                </c:pt>
              </c:numCache>
            </c:numRef>
          </c:xVal>
          <c:yVal>
            <c:numRef>
              <c:f>GRAFICA_24!$AB$8:$AB$9</c:f>
              <c:numCache>
                <c:formatCode>0.00</c:formatCode>
                <c:ptCount val="2"/>
                <c:pt idx="0">
                  <c:v>400</c:v>
                </c:pt>
                <c:pt idx="1">
                  <c:v>400</c:v>
                </c:pt>
              </c:numCache>
            </c:numRef>
          </c:yVal>
          <c:smooth val="0"/>
          <c:extLst>
            <c:ext xmlns:c16="http://schemas.microsoft.com/office/drawing/2014/chart" uri="{C3380CC4-5D6E-409C-BE32-E72D297353CC}">
              <c16:uniqueId val="{00000001-06A3-43CF-B0C0-338F919B1BE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GRAFICA_24!$AA$11:$AA$12</c:f>
              <c:numCache>
                <c:formatCode>0.00</c:formatCode>
                <c:ptCount val="2"/>
                <c:pt idx="0">
                  <c:v>350</c:v>
                </c:pt>
                <c:pt idx="1">
                  <c:v>350</c:v>
                </c:pt>
              </c:numCache>
            </c:numRef>
          </c:xVal>
          <c:yVal>
            <c:numRef>
              <c:f>GRAFICA_24!$AB$11:$AB$12</c:f>
              <c:numCache>
                <c:formatCode>0.00</c:formatCode>
                <c:ptCount val="2"/>
                <c:pt idx="0">
                  <c:v>400</c:v>
                </c:pt>
                <c:pt idx="1">
                  <c:v>200</c:v>
                </c:pt>
              </c:numCache>
            </c:numRef>
          </c:yVal>
          <c:smooth val="0"/>
          <c:extLst>
            <c:ext xmlns:c16="http://schemas.microsoft.com/office/drawing/2014/chart" uri="{C3380CC4-5D6E-409C-BE32-E72D297353CC}">
              <c16:uniqueId val="{00000002-06A3-43CF-B0C0-338F919B1BE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GRAFICA_24!$AA$14:$AA$15</c:f>
              <c:numCache>
                <c:formatCode>0.00</c:formatCode>
                <c:ptCount val="2"/>
                <c:pt idx="0">
                  <c:v>350</c:v>
                </c:pt>
                <c:pt idx="1">
                  <c:v>350</c:v>
                </c:pt>
              </c:numCache>
            </c:numRef>
          </c:xVal>
          <c:yVal>
            <c:numRef>
              <c:f>GRAFICA_24!$AB$14:$AB$15</c:f>
              <c:numCache>
                <c:formatCode>0.00</c:formatCode>
                <c:ptCount val="2"/>
                <c:pt idx="0">
                  <c:v>200</c:v>
                </c:pt>
                <c:pt idx="1">
                  <c:v>0</c:v>
                </c:pt>
              </c:numCache>
            </c:numRef>
          </c:yVal>
          <c:smooth val="0"/>
          <c:extLst>
            <c:ext xmlns:c16="http://schemas.microsoft.com/office/drawing/2014/chart" uri="{C3380CC4-5D6E-409C-BE32-E72D297353CC}">
              <c16:uniqueId val="{00000003-06A3-43CF-B0C0-338F919B1BE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GRAFICA_24!$AA$17:$AA$18</c:f>
              <c:numCache>
                <c:formatCode>0.00</c:formatCode>
                <c:ptCount val="2"/>
                <c:pt idx="0">
                  <c:v>350</c:v>
                </c:pt>
                <c:pt idx="1">
                  <c:v>0</c:v>
                </c:pt>
              </c:numCache>
            </c:numRef>
          </c:xVal>
          <c:yVal>
            <c:numRef>
              <c:f>GRAFICA_24!$AB$17:$AB$18</c:f>
              <c:numCache>
                <c:formatCode>0.00</c:formatCode>
                <c:ptCount val="2"/>
                <c:pt idx="0">
                  <c:v>0</c:v>
                </c:pt>
                <c:pt idx="1">
                  <c:v>0</c:v>
                </c:pt>
              </c:numCache>
            </c:numRef>
          </c:yVal>
          <c:smooth val="0"/>
          <c:extLst>
            <c:ext xmlns:c16="http://schemas.microsoft.com/office/drawing/2014/chart" uri="{C3380CC4-5D6E-409C-BE32-E72D297353CC}">
              <c16:uniqueId val="{00000004-06A3-43CF-B0C0-338F919B1BE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GRAFICA_24!$AA$20:$AA$21</c:f>
              <c:numCache>
                <c:formatCode>0.00</c:formatCode>
                <c:ptCount val="2"/>
                <c:pt idx="0">
                  <c:v>0</c:v>
                </c:pt>
                <c:pt idx="1">
                  <c:v>350</c:v>
                </c:pt>
              </c:numCache>
            </c:numRef>
          </c:xVal>
          <c:yVal>
            <c:numRef>
              <c:f>GRAFICA_24!$AB$20:$AB$21</c:f>
              <c:numCache>
                <c:formatCode>0.00</c:formatCode>
                <c:ptCount val="2"/>
                <c:pt idx="0">
                  <c:v>0</c:v>
                </c:pt>
                <c:pt idx="1">
                  <c:v>200</c:v>
                </c:pt>
              </c:numCache>
            </c:numRef>
          </c:yVal>
          <c:smooth val="0"/>
          <c:extLst>
            <c:ext xmlns:c16="http://schemas.microsoft.com/office/drawing/2014/chart" uri="{C3380CC4-5D6E-409C-BE32-E72D297353CC}">
              <c16:uniqueId val="{00000005-06A3-43CF-B0C0-338F919B1BE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GRAFICA_24!$AA$23:$AA$24</c:f>
              <c:numCache>
                <c:formatCode>0.00</c:formatCode>
                <c:ptCount val="2"/>
                <c:pt idx="0">
                  <c:v>0</c:v>
                </c:pt>
                <c:pt idx="1">
                  <c:v>350</c:v>
                </c:pt>
              </c:numCache>
            </c:numRef>
          </c:xVal>
          <c:yVal>
            <c:numRef>
              <c:f>GRAFICA_24!$AB$23:$AB$24</c:f>
              <c:numCache>
                <c:formatCode>0.00</c:formatCode>
                <c:ptCount val="2"/>
                <c:pt idx="0">
                  <c:v>400</c:v>
                </c:pt>
                <c:pt idx="1">
                  <c:v>200</c:v>
                </c:pt>
              </c:numCache>
            </c:numRef>
          </c:yVal>
          <c:smooth val="0"/>
          <c:extLst>
            <c:ext xmlns:c16="http://schemas.microsoft.com/office/drawing/2014/chart" uri="{C3380CC4-5D6E-409C-BE32-E72D297353CC}">
              <c16:uniqueId val="{00000006-06A3-43CF-B0C0-338F919B1BE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GRAFICA_25!$AA$5:$AA$6</c:f>
              <c:numCache>
                <c:formatCode>0.00</c:formatCode>
                <c:ptCount val="2"/>
                <c:pt idx="0">
                  <c:v>0</c:v>
                </c:pt>
                <c:pt idx="1">
                  <c:v>400</c:v>
                </c:pt>
              </c:numCache>
            </c:numRef>
          </c:xVal>
          <c:yVal>
            <c:numRef>
              <c:f>GRAFICA_25!$AB$5:$AB$6</c:f>
              <c:numCache>
                <c:formatCode>0.00</c:formatCode>
                <c:ptCount val="2"/>
                <c:pt idx="0">
                  <c:v>0</c:v>
                </c:pt>
                <c:pt idx="1">
                  <c:v>100</c:v>
                </c:pt>
              </c:numCache>
            </c:numRef>
          </c:yVal>
          <c:smooth val="0"/>
          <c:extLst>
            <c:ext xmlns:c16="http://schemas.microsoft.com/office/drawing/2014/chart" uri="{C3380CC4-5D6E-409C-BE32-E72D297353CC}">
              <c16:uniqueId val="{00000000-9CB3-40E3-8ACC-DC9A04F30DA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GRAFICA_25!$AA$8:$AA$9</c:f>
              <c:numCache>
                <c:formatCode>0.00</c:formatCode>
                <c:ptCount val="2"/>
                <c:pt idx="0">
                  <c:v>400</c:v>
                </c:pt>
                <c:pt idx="1">
                  <c:v>800</c:v>
                </c:pt>
              </c:numCache>
            </c:numRef>
          </c:xVal>
          <c:yVal>
            <c:numRef>
              <c:f>GRAFICA_25!$AB$8:$AB$9</c:f>
              <c:numCache>
                <c:formatCode>0.00</c:formatCode>
                <c:ptCount val="2"/>
                <c:pt idx="0">
                  <c:v>100</c:v>
                </c:pt>
                <c:pt idx="1">
                  <c:v>200</c:v>
                </c:pt>
              </c:numCache>
            </c:numRef>
          </c:yVal>
          <c:smooth val="0"/>
          <c:extLst>
            <c:ext xmlns:c16="http://schemas.microsoft.com/office/drawing/2014/chart" uri="{C3380CC4-5D6E-409C-BE32-E72D297353CC}">
              <c16:uniqueId val="{00000001-9CB3-40E3-8ACC-DC9A04F30DA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GRAFICA_25!$AA$11:$AA$12</c:f>
              <c:numCache>
                <c:formatCode>0.00</c:formatCode>
                <c:ptCount val="2"/>
                <c:pt idx="0">
                  <c:v>0</c:v>
                </c:pt>
                <c:pt idx="1">
                  <c:v>200</c:v>
                </c:pt>
              </c:numCache>
            </c:numRef>
          </c:xVal>
          <c:yVal>
            <c:numRef>
              <c:f>GRAFICA_25!$AB$11:$AB$12</c:f>
              <c:numCache>
                <c:formatCode>0.00</c:formatCode>
                <c:ptCount val="2"/>
                <c:pt idx="0">
                  <c:v>0</c:v>
                </c:pt>
                <c:pt idx="1">
                  <c:v>450</c:v>
                </c:pt>
              </c:numCache>
            </c:numRef>
          </c:yVal>
          <c:smooth val="0"/>
          <c:extLst>
            <c:ext xmlns:c16="http://schemas.microsoft.com/office/drawing/2014/chart" uri="{C3380CC4-5D6E-409C-BE32-E72D297353CC}">
              <c16:uniqueId val="{00000002-9CB3-40E3-8ACC-DC9A04F30DA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GRAFICA_25!$AA$14:$AA$15</c:f>
              <c:numCache>
                <c:formatCode>0.00</c:formatCode>
                <c:ptCount val="2"/>
                <c:pt idx="0">
                  <c:v>200</c:v>
                </c:pt>
                <c:pt idx="1">
                  <c:v>400</c:v>
                </c:pt>
              </c:numCache>
            </c:numRef>
          </c:xVal>
          <c:yVal>
            <c:numRef>
              <c:f>GRAFICA_25!$AB$14:$AB$15</c:f>
              <c:numCache>
                <c:formatCode>0.00</c:formatCode>
                <c:ptCount val="2"/>
                <c:pt idx="0">
                  <c:v>450</c:v>
                </c:pt>
                <c:pt idx="1">
                  <c:v>100</c:v>
                </c:pt>
              </c:numCache>
            </c:numRef>
          </c:yVal>
          <c:smooth val="0"/>
          <c:extLst>
            <c:ext xmlns:c16="http://schemas.microsoft.com/office/drawing/2014/chart" uri="{C3380CC4-5D6E-409C-BE32-E72D297353CC}">
              <c16:uniqueId val="{00000003-9CB3-40E3-8ACC-DC9A04F30DA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GRAFICA_25!$AA$17:$AA$18</c:f>
              <c:numCache>
                <c:formatCode>0.00</c:formatCode>
                <c:ptCount val="2"/>
                <c:pt idx="0">
                  <c:v>200</c:v>
                </c:pt>
                <c:pt idx="1">
                  <c:v>600</c:v>
                </c:pt>
              </c:numCache>
            </c:numRef>
          </c:xVal>
          <c:yVal>
            <c:numRef>
              <c:f>GRAFICA_25!$AB$17:$AB$18</c:f>
              <c:numCache>
                <c:formatCode>0.00</c:formatCode>
                <c:ptCount val="2"/>
                <c:pt idx="0">
                  <c:v>450</c:v>
                </c:pt>
                <c:pt idx="1">
                  <c:v>450</c:v>
                </c:pt>
              </c:numCache>
            </c:numRef>
          </c:yVal>
          <c:smooth val="0"/>
          <c:extLst>
            <c:ext xmlns:c16="http://schemas.microsoft.com/office/drawing/2014/chart" uri="{C3380CC4-5D6E-409C-BE32-E72D297353CC}">
              <c16:uniqueId val="{00000004-9CB3-40E3-8ACC-DC9A04F30DA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GRAFICA_25!$AA$20:$AA$21</c:f>
              <c:numCache>
                <c:formatCode>0.00</c:formatCode>
                <c:ptCount val="2"/>
                <c:pt idx="0">
                  <c:v>400</c:v>
                </c:pt>
                <c:pt idx="1">
                  <c:v>600</c:v>
                </c:pt>
              </c:numCache>
            </c:numRef>
          </c:xVal>
          <c:yVal>
            <c:numRef>
              <c:f>GRAFICA_25!$AB$20:$AB$21</c:f>
              <c:numCache>
                <c:formatCode>0.00</c:formatCode>
                <c:ptCount val="2"/>
                <c:pt idx="0">
                  <c:v>100</c:v>
                </c:pt>
                <c:pt idx="1">
                  <c:v>450</c:v>
                </c:pt>
              </c:numCache>
            </c:numRef>
          </c:yVal>
          <c:smooth val="0"/>
          <c:extLst>
            <c:ext xmlns:c16="http://schemas.microsoft.com/office/drawing/2014/chart" uri="{C3380CC4-5D6E-409C-BE32-E72D297353CC}">
              <c16:uniqueId val="{00000005-9CB3-40E3-8ACC-DC9A04F30DA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GRAFICA_25!$AA$23:$AA$24</c:f>
              <c:numCache>
                <c:formatCode>0.00</c:formatCode>
                <c:ptCount val="2"/>
                <c:pt idx="0">
                  <c:v>600</c:v>
                </c:pt>
                <c:pt idx="1">
                  <c:v>800</c:v>
                </c:pt>
              </c:numCache>
            </c:numRef>
          </c:xVal>
          <c:yVal>
            <c:numRef>
              <c:f>GRAFICA_25!$AB$23:$AB$24</c:f>
              <c:numCache>
                <c:formatCode>0.00</c:formatCode>
                <c:ptCount val="2"/>
                <c:pt idx="0">
                  <c:v>450</c:v>
                </c:pt>
                <c:pt idx="1">
                  <c:v>200</c:v>
                </c:pt>
              </c:numCache>
            </c:numRef>
          </c:yVal>
          <c:smooth val="0"/>
          <c:extLst>
            <c:ext xmlns:c16="http://schemas.microsoft.com/office/drawing/2014/chart" uri="{C3380CC4-5D6E-409C-BE32-E72D297353CC}">
              <c16:uniqueId val="{00000006-9CB3-40E3-8ACC-DC9A04F30DA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GRAFICA_26!$AA$5:$AA$6</c:f>
              <c:numCache>
                <c:formatCode>0.00</c:formatCode>
                <c:ptCount val="2"/>
                <c:pt idx="0">
                  <c:v>0</c:v>
                </c:pt>
                <c:pt idx="1">
                  <c:v>300</c:v>
                </c:pt>
              </c:numCache>
            </c:numRef>
          </c:xVal>
          <c:yVal>
            <c:numRef>
              <c:f>GRAFICA_26!$AB$5:$AB$6</c:f>
              <c:numCache>
                <c:formatCode>0.00</c:formatCode>
                <c:ptCount val="2"/>
                <c:pt idx="0">
                  <c:v>0</c:v>
                </c:pt>
                <c:pt idx="1">
                  <c:v>0</c:v>
                </c:pt>
              </c:numCache>
            </c:numRef>
          </c:yVal>
          <c:smooth val="0"/>
          <c:extLst>
            <c:ext xmlns:c16="http://schemas.microsoft.com/office/drawing/2014/chart" uri="{C3380CC4-5D6E-409C-BE32-E72D297353CC}">
              <c16:uniqueId val="{00000000-21AB-4B47-BD56-B98680E8B7F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GRAFICA_26!$AA$8:$AA$9</c:f>
              <c:numCache>
                <c:formatCode>0.00</c:formatCode>
                <c:ptCount val="2"/>
                <c:pt idx="0">
                  <c:v>300</c:v>
                </c:pt>
                <c:pt idx="1">
                  <c:v>600</c:v>
                </c:pt>
              </c:numCache>
            </c:numRef>
          </c:xVal>
          <c:yVal>
            <c:numRef>
              <c:f>GRAFICA_26!$AB$8:$AB$9</c:f>
              <c:numCache>
                <c:formatCode>0.00</c:formatCode>
                <c:ptCount val="2"/>
                <c:pt idx="0">
                  <c:v>0</c:v>
                </c:pt>
                <c:pt idx="1">
                  <c:v>0</c:v>
                </c:pt>
              </c:numCache>
            </c:numRef>
          </c:yVal>
          <c:smooth val="0"/>
          <c:extLst>
            <c:ext xmlns:c16="http://schemas.microsoft.com/office/drawing/2014/chart" uri="{C3380CC4-5D6E-409C-BE32-E72D297353CC}">
              <c16:uniqueId val="{00000001-21AB-4B47-BD56-B98680E8B7F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GRAFICA_26!$AA$11:$AA$12</c:f>
              <c:numCache>
                <c:formatCode>0.00</c:formatCode>
                <c:ptCount val="2"/>
                <c:pt idx="0">
                  <c:v>600</c:v>
                </c:pt>
                <c:pt idx="1">
                  <c:v>900</c:v>
                </c:pt>
              </c:numCache>
            </c:numRef>
          </c:xVal>
          <c:yVal>
            <c:numRef>
              <c:f>GRAFICA_26!$AB$11:$AB$12</c:f>
              <c:numCache>
                <c:formatCode>0.00</c:formatCode>
                <c:ptCount val="2"/>
                <c:pt idx="0">
                  <c:v>0</c:v>
                </c:pt>
                <c:pt idx="1">
                  <c:v>0</c:v>
                </c:pt>
              </c:numCache>
            </c:numRef>
          </c:yVal>
          <c:smooth val="0"/>
          <c:extLst>
            <c:ext xmlns:c16="http://schemas.microsoft.com/office/drawing/2014/chart" uri="{C3380CC4-5D6E-409C-BE32-E72D297353CC}">
              <c16:uniqueId val="{00000002-21AB-4B47-BD56-B98680E8B7F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GRAFICA_26!$AA$14:$AA$15</c:f>
              <c:numCache>
                <c:formatCode>0.00</c:formatCode>
                <c:ptCount val="2"/>
                <c:pt idx="0">
                  <c:v>300</c:v>
                </c:pt>
                <c:pt idx="1">
                  <c:v>600</c:v>
                </c:pt>
              </c:numCache>
            </c:numRef>
          </c:xVal>
          <c:yVal>
            <c:numRef>
              <c:f>GRAFICA_26!$AB$14:$AB$15</c:f>
              <c:numCache>
                <c:formatCode>0.00</c:formatCode>
                <c:ptCount val="2"/>
                <c:pt idx="0">
                  <c:v>300</c:v>
                </c:pt>
                <c:pt idx="1">
                  <c:v>300</c:v>
                </c:pt>
              </c:numCache>
            </c:numRef>
          </c:yVal>
          <c:smooth val="0"/>
          <c:extLst>
            <c:ext xmlns:c16="http://schemas.microsoft.com/office/drawing/2014/chart" uri="{C3380CC4-5D6E-409C-BE32-E72D297353CC}">
              <c16:uniqueId val="{00000003-21AB-4B47-BD56-B98680E8B7F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GRAFICA_26!$AA$17:$AA$18</c:f>
              <c:numCache>
                <c:formatCode>0.00</c:formatCode>
                <c:ptCount val="2"/>
                <c:pt idx="0">
                  <c:v>0</c:v>
                </c:pt>
                <c:pt idx="1">
                  <c:v>300</c:v>
                </c:pt>
              </c:numCache>
            </c:numRef>
          </c:xVal>
          <c:yVal>
            <c:numRef>
              <c:f>GRAFICA_26!$AB$17:$AB$18</c:f>
              <c:numCache>
                <c:formatCode>0.00</c:formatCode>
                <c:ptCount val="2"/>
                <c:pt idx="0">
                  <c:v>0</c:v>
                </c:pt>
                <c:pt idx="1">
                  <c:v>300</c:v>
                </c:pt>
              </c:numCache>
            </c:numRef>
          </c:yVal>
          <c:smooth val="0"/>
          <c:extLst>
            <c:ext xmlns:c16="http://schemas.microsoft.com/office/drawing/2014/chart" uri="{C3380CC4-5D6E-409C-BE32-E72D297353CC}">
              <c16:uniqueId val="{00000004-21AB-4B47-BD56-B98680E8B7F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GRAFICA_26!$AA$20:$AA$21</c:f>
              <c:numCache>
                <c:formatCode>0.00</c:formatCode>
                <c:ptCount val="2"/>
                <c:pt idx="0">
                  <c:v>300</c:v>
                </c:pt>
                <c:pt idx="1">
                  <c:v>300</c:v>
                </c:pt>
              </c:numCache>
            </c:numRef>
          </c:xVal>
          <c:yVal>
            <c:numRef>
              <c:f>GRAFICA_26!$AB$20:$AB$21</c:f>
              <c:numCache>
                <c:formatCode>0.00</c:formatCode>
                <c:ptCount val="2"/>
                <c:pt idx="0">
                  <c:v>300</c:v>
                </c:pt>
                <c:pt idx="1">
                  <c:v>0</c:v>
                </c:pt>
              </c:numCache>
            </c:numRef>
          </c:yVal>
          <c:smooth val="0"/>
          <c:extLst>
            <c:ext xmlns:c16="http://schemas.microsoft.com/office/drawing/2014/chart" uri="{C3380CC4-5D6E-409C-BE32-E72D297353CC}">
              <c16:uniqueId val="{00000005-21AB-4B47-BD56-B98680E8B7F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GRAFICA_26!$AA$23:$AA$24</c:f>
              <c:numCache>
                <c:formatCode>0.00</c:formatCode>
                <c:ptCount val="2"/>
                <c:pt idx="0">
                  <c:v>300</c:v>
                </c:pt>
                <c:pt idx="1">
                  <c:v>600</c:v>
                </c:pt>
              </c:numCache>
            </c:numRef>
          </c:xVal>
          <c:yVal>
            <c:numRef>
              <c:f>GRAFICA_26!$AB$23:$AB$24</c:f>
              <c:numCache>
                <c:formatCode>0.00</c:formatCode>
                <c:ptCount val="2"/>
                <c:pt idx="0">
                  <c:v>0</c:v>
                </c:pt>
                <c:pt idx="1">
                  <c:v>300</c:v>
                </c:pt>
              </c:numCache>
            </c:numRef>
          </c:yVal>
          <c:smooth val="0"/>
          <c:extLst>
            <c:ext xmlns:c16="http://schemas.microsoft.com/office/drawing/2014/chart" uri="{C3380CC4-5D6E-409C-BE32-E72D297353CC}">
              <c16:uniqueId val="{00000006-21AB-4B47-BD56-B98680E8B7F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GRAFICA_26!$AA$26:$AA$27</c:f>
              <c:numCache>
                <c:formatCode>0.00</c:formatCode>
                <c:ptCount val="2"/>
                <c:pt idx="0">
                  <c:v>600</c:v>
                </c:pt>
                <c:pt idx="1">
                  <c:v>600</c:v>
                </c:pt>
              </c:numCache>
            </c:numRef>
          </c:xVal>
          <c:yVal>
            <c:numRef>
              <c:f>GRAFICA_26!$AB$26:$AB$27</c:f>
              <c:numCache>
                <c:formatCode>0.00</c:formatCode>
                <c:ptCount val="2"/>
                <c:pt idx="0">
                  <c:v>300</c:v>
                </c:pt>
                <c:pt idx="1">
                  <c:v>0</c:v>
                </c:pt>
              </c:numCache>
            </c:numRef>
          </c:yVal>
          <c:smooth val="0"/>
          <c:extLst>
            <c:ext xmlns:c16="http://schemas.microsoft.com/office/drawing/2014/chart" uri="{C3380CC4-5D6E-409C-BE32-E72D297353CC}">
              <c16:uniqueId val="{00000007-21AB-4B47-BD56-B98680E8B7F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GRAFICA_26!$AA$29:$AA$30</c:f>
              <c:numCache>
                <c:formatCode>0.00</c:formatCode>
                <c:ptCount val="2"/>
                <c:pt idx="0">
                  <c:v>600</c:v>
                </c:pt>
                <c:pt idx="1">
                  <c:v>900</c:v>
                </c:pt>
              </c:numCache>
            </c:numRef>
          </c:xVal>
          <c:yVal>
            <c:numRef>
              <c:f>GRAFICA_26!$AB$29:$AB$30</c:f>
              <c:numCache>
                <c:formatCode>0.00</c:formatCode>
                <c:ptCount val="2"/>
                <c:pt idx="0">
                  <c:v>300</c:v>
                </c:pt>
                <c:pt idx="1">
                  <c:v>0</c:v>
                </c:pt>
              </c:numCache>
            </c:numRef>
          </c:yVal>
          <c:smooth val="0"/>
          <c:extLst>
            <c:ext xmlns:c16="http://schemas.microsoft.com/office/drawing/2014/chart" uri="{C3380CC4-5D6E-409C-BE32-E72D297353CC}">
              <c16:uniqueId val="{00000008-21AB-4B47-BD56-B98680E8B7F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GRAFICA_27!$AA$5:$AA$6</c:f>
              <c:numCache>
                <c:formatCode>0.00</c:formatCode>
                <c:ptCount val="2"/>
                <c:pt idx="0">
                  <c:v>0</c:v>
                </c:pt>
                <c:pt idx="1">
                  <c:v>300</c:v>
                </c:pt>
              </c:numCache>
            </c:numRef>
          </c:xVal>
          <c:yVal>
            <c:numRef>
              <c:f>GRAFICA_27!$AB$5:$AB$6</c:f>
              <c:numCache>
                <c:formatCode>0.00</c:formatCode>
                <c:ptCount val="2"/>
                <c:pt idx="0">
                  <c:v>0</c:v>
                </c:pt>
                <c:pt idx="1">
                  <c:v>0</c:v>
                </c:pt>
              </c:numCache>
            </c:numRef>
          </c:yVal>
          <c:smooth val="0"/>
          <c:extLst>
            <c:ext xmlns:c16="http://schemas.microsoft.com/office/drawing/2014/chart" uri="{C3380CC4-5D6E-409C-BE32-E72D297353CC}">
              <c16:uniqueId val="{00000000-1DC6-4296-8B46-1B4FE6C7FE9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GRAFICA_27!$AA$8:$AA$9</c:f>
              <c:numCache>
                <c:formatCode>0.00</c:formatCode>
                <c:ptCount val="2"/>
                <c:pt idx="0">
                  <c:v>300</c:v>
                </c:pt>
                <c:pt idx="1">
                  <c:v>600</c:v>
                </c:pt>
              </c:numCache>
            </c:numRef>
          </c:xVal>
          <c:yVal>
            <c:numRef>
              <c:f>GRAFICA_27!$AB$8:$AB$9</c:f>
              <c:numCache>
                <c:formatCode>0.00</c:formatCode>
                <c:ptCount val="2"/>
                <c:pt idx="0">
                  <c:v>0</c:v>
                </c:pt>
                <c:pt idx="1">
                  <c:v>0</c:v>
                </c:pt>
              </c:numCache>
            </c:numRef>
          </c:yVal>
          <c:smooth val="0"/>
          <c:extLst>
            <c:ext xmlns:c16="http://schemas.microsoft.com/office/drawing/2014/chart" uri="{C3380CC4-5D6E-409C-BE32-E72D297353CC}">
              <c16:uniqueId val="{00000001-1DC6-4296-8B46-1B4FE6C7FE9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GRAFICA_27!$AA$11:$AA$12</c:f>
              <c:numCache>
                <c:formatCode>0.00</c:formatCode>
                <c:ptCount val="2"/>
                <c:pt idx="0">
                  <c:v>600</c:v>
                </c:pt>
                <c:pt idx="1">
                  <c:v>900</c:v>
                </c:pt>
              </c:numCache>
            </c:numRef>
          </c:xVal>
          <c:yVal>
            <c:numRef>
              <c:f>GRAFICA_27!$AB$11:$AB$12</c:f>
              <c:numCache>
                <c:formatCode>0.00</c:formatCode>
                <c:ptCount val="2"/>
                <c:pt idx="0">
                  <c:v>0</c:v>
                </c:pt>
                <c:pt idx="1">
                  <c:v>0</c:v>
                </c:pt>
              </c:numCache>
            </c:numRef>
          </c:yVal>
          <c:smooth val="0"/>
          <c:extLst>
            <c:ext xmlns:c16="http://schemas.microsoft.com/office/drawing/2014/chart" uri="{C3380CC4-5D6E-409C-BE32-E72D297353CC}">
              <c16:uniqueId val="{00000002-1DC6-4296-8B46-1B4FE6C7FE9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GRAFICA_27!$AA$14:$AA$15</c:f>
              <c:numCache>
                <c:formatCode>0.00</c:formatCode>
                <c:ptCount val="2"/>
                <c:pt idx="0">
                  <c:v>300</c:v>
                </c:pt>
                <c:pt idx="1">
                  <c:v>600</c:v>
                </c:pt>
              </c:numCache>
            </c:numRef>
          </c:xVal>
          <c:yVal>
            <c:numRef>
              <c:f>GRAFICA_27!$AB$14:$AB$15</c:f>
              <c:numCache>
                <c:formatCode>0.00</c:formatCode>
                <c:ptCount val="2"/>
                <c:pt idx="0">
                  <c:v>300</c:v>
                </c:pt>
                <c:pt idx="1">
                  <c:v>300</c:v>
                </c:pt>
              </c:numCache>
            </c:numRef>
          </c:yVal>
          <c:smooth val="0"/>
          <c:extLst>
            <c:ext xmlns:c16="http://schemas.microsoft.com/office/drawing/2014/chart" uri="{C3380CC4-5D6E-409C-BE32-E72D297353CC}">
              <c16:uniqueId val="{00000003-1DC6-4296-8B46-1B4FE6C7FE9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GRAFICA_27!$AA$17:$AA$18</c:f>
              <c:numCache>
                <c:formatCode>0.00</c:formatCode>
                <c:ptCount val="2"/>
                <c:pt idx="0">
                  <c:v>300</c:v>
                </c:pt>
                <c:pt idx="1">
                  <c:v>300</c:v>
                </c:pt>
              </c:numCache>
            </c:numRef>
          </c:xVal>
          <c:yVal>
            <c:numRef>
              <c:f>GRAFICA_27!$AB$17:$AB$18</c:f>
              <c:numCache>
                <c:formatCode>0.00</c:formatCode>
                <c:ptCount val="2"/>
                <c:pt idx="0">
                  <c:v>0</c:v>
                </c:pt>
                <c:pt idx="1">
                  <c:v>300</c:v>
                </c:pt>
              </c:numCache>
            </c:numRef>
          </c:yVal>
          <c:smooth val="0"/>
          <c:extLst>
            <c:ext xmlns:c16="http://schemas.microsoft.com/office/drawing/2014/chart" uri="{C3380CC4-5D6E-409C-BE32-E72D297353CC}">
              <c16:uniqueId val="{00000004-1DC6-4296-8B46-1B4FE6C7FE9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GRAFICA_27!$AA$20:$AA$21</c:f>
              <c:numCache>
                <c:formatCode>0.00</c:formatCode>
                <c:ptCount val="2"/>
                <c:pt idx="0">
                  <c:v>600</c:v>
                </c:pt>
                <c:pt idx="1">
                  <c:v>600</c:v>
                </c:pt>
              </c:numCache>
            </c:numRef>
          </c:xVal>
          <c:yVal>
            <c:numRef>
              <c:f>GRAFICA_27!$AB$20:$AB$21</c:f>
              <c:numCache>
                <c:formatCode>0.00</c:formatCode>
                <c:ptCount val="2"/>
                <c:pt idx="0">
                  <c:v>0</c:v>
                </c:pt>
                <c:pt idx="1">
                  <c:v>300</c:v>
                </c:pt>
              </c:numCache>
            </c:numRef>
          </c:yVal>
          <c:smooth val="0"/>
          <c:extLst>
            <c:ext xmlns:c16="http://schemas.microsoft.com/office/drawing/2014/chart" uri="{C3380CC4-5D6E-409C-BE32-E72D297353CC}">
              <c16:uniqueId val="{00000005-1DC6-4296-8B46-1B4FE6C7FE9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GRAFICA_27!$AA$23:$AA$24</c:f>
              <c:numCache>
                <c:formatCode>0.00</c:formatCode>
                <c:ptCount val="2"/>
                <c:pt idx="0">
                  <c:v>0</c:v>
                </c:pt>
                <c:pt idx="1">
                  <c:v>300</c:v>
                </c:pt>
              </c:numCache>
            </c:numRef>
          </c:xVal>
          <c:yVal>
            <c:numRef>
              <c:f>GRAFICA_27!$AB$23:$AB$24</c:f>
              <c:numCache>
                <c:formatCode>0.00</c:formatCode>
                <c:ptCount val="2"/>
                <c:pt idx="0">
                  <c:v>0</c:v>
                </c:pt>
                <c:pt idx="1">
                  <c:v>300</c:v>
                </c:pt>
              </c:numCache>
            </c:numRef>
          </c:yVal>
          <c:smooth val="0"/>
          <c:extLst>
            <c:ext xmlns:c16="http://schemas.microsoft.com/office/drawing/2014/chart" uri="{C3380CC4-5D6E-409C-BE32-E72D297353CC}">
              <c16:uniqueId val="{00000006-1DC6-4296-8B46-1B4FE6C7FE9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GRAFICA_27!$AA$26:$AA$27</c:f>
              <c:numCache>
                <c:formatCode>0.00</c:formatCode>
                <c:ptCount val="2"/>
                <c:pt idx="0">
                  <c:v>900</c:v>
                </c:pt>
                <c:pt idx="1">
                  <c:v>600</c:v>
                </c:pt>
              </c:numCache>
            </c:numRef>
          </c:xVal>
          <c:yVal>
            <c:numRef>
              <c:f>GRAFICA_27!$AB$26:$AB$27</c:f>
              <c:numCache>
                <c:formatCode>0.00</c:formatCode>
                <c:ptCount val="2"/>
                <c:pt idx="0">
                  <c:v>0</c:v>
                </c:pt>
                <c:pt idx="1">
                  <c:v>300</c:v>
                </c:pt>
              </c:numCache>
            </c:numRef>
          </c:yVal>
          <c:smooth val="0"/>
          <c:extLst>
            <c:ext xmlns:c16="http://schemas.microsoft.com/office/drawing/2014/chart" uri="{C3380CC4-5D6E-409C-BE32-E72D297353CC}">
              <c16:uniqueId val="{00000007-1DC6-4296-8B46-1B4FE6C7FE9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GRAFICA_27!$AA$29:$AA$30</c:f>
              <c:numCache>
                <c:formatCode>0.00</c:formatCode>
                <c:ptCount val="2"/>
                <c:pt idx="0">
                  <c:v>300</c:v>
                </c:pt>
                <c:pt idx="1">
                  <c:v>600</c:v>
                </c:pt>
              </c:numCache>
            </c:numRef>
          </c:xVal>
          <c:yVal>
            <c:numRef>
              <c:f>GRAFICA_27!$AB$29:$AB$30</c:f>
              <c:numCache>
                <c:formatCode>0.00</c:formatCode>
                <c:ptCount val="2"/>
                <c:pt idx="0">
                  <c:v>0</c:v>
                </c:pt>
                <c:pt idx="1">
                  <c:v>300</c:v>
                </c:pt>
              </c:numCache>
            </c:numRef>
          </c:yVal>
          <c:smooth val="0"/>
          <c:extLst>
            <c:ext xmlns:c16="http://schemas.microsoft.com/office/drawing/2014/chart" uri="{C3380CC4-5D6E-409C-BE32-E72D297353CC}">
              <c16:uniqueId val="{00000008-1DC6-4296-8B46-1B4FE6C7FE9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GRAFICA_28!$AA$5:$AA$6</c:f>
              <c:numCache>
                <c:formatCode>0.00</c:formatCode>
                <c:ptCount val="2"/>
                <c:pt idx="0">
                  <c:v>0</c:v>
                </c:pt>
                <c:pt idx="1">
                  <c:v>300</c:v>
                </c:pt>
              </c:numCache>
            </c:numRef>
          </c:xVal>
          <c:yVal>
            <c:numRef>
              <c:f>GRAFICA_28!$AB$5:$AB$6</c:f>
              <c:numCache>
                <c:formatCode>0.00</c:formatCode>
                <c:ptCount val="2"/>
                <c:pt idx="0">
                  <c:v>0</c:v>
                </c:pt>
                <c:pt idx="1">
                  <c:v>0</c:v>
                </c:pt>
              </c:numCache>
            </c:numRef>
          </c:yVal>
          <c:smooth val="0"/>
          <c:extLst>
            <c:ext xmlns:c16="http://schemas.microsoft.com/office/drawing/2014/chart" uri="{C3380CC4-5D6E-409C-BE32-E72D297353CC}">
              <c16:uniqueId val="{00000000-8376-4FC0-A33E-1142F5D2662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GRAFICA_28!$AA$8:$AA$9</c:f>
              <c:numCache>
                <c:formatCode>0.00</c:formatCode>
                <c:ptCount val="2"/>
                <c:pt idx="0">
                  <c:v>300</c:v>
                </c:pt>
                <c:pt idx="1">
                  <c:v>600</c:v>
                </c:pt>
              </c:numCache>
            </c:numRef>
          </c:xVal>
          <c:yVal>
            <c:numRef>
              <c:f>GRAFICA_28!$AB$8:$AB$9</c:f>
              <c:numCache>
                <c:formatCode>0.00</c:formatCode>
                <c:ptCount val="2"/>
                <c:pt idx="0">
                  <c:v>0</c:v>
                </c:pt>
                <c:pt idx="1">
                  <c:v>0</c:v>
                </c:pt>
              </c:numCache>
            </c:numRef>
          </c:yVal>
          <c:smooth val="0"/>
          <c:extLst>
            <c:ext xmlns:c16="http://schemas.microsoft.com/office/drawing/2014/chart" uri="{C3380CC4-5D6E-409C-BE32-E72D297353CC}">
              <c16:uniqueId val="{00000001-8376-4FC0-A33E-1142F5D2662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GRAFICA_28!$AA$11:$AA$12</c:f>
              <c:numCache>
                <c:formatCode>0.00</c:formatCode>
                <c:ptCount val="2"/>
                <c:pt idx="0">
                  <c:v>600</c:v>
                </c:pt>
                <c:pt idx="1">
                  <c:v>900</c:v>
                </c:pt>
              </c:numCache>
            </c:numRef>
          </c:xVal>
          <c:yVal>
            <c:numRef>
              <c:f>GRAFICA_28!$AB$11:$AB$12</c:f>
              <c:numCache>
                <c:formatCode>0.00</c:formatCode>
                <c:ptCount val="2"/>
                <c:pt idx="0">
                  <c:v>0</c:v>
                </c:pt>
                <c:pt idx="1">
                  <c:v>0</c:v>
                </c:pt>
              </c:numCache>
            </c:numRef>
          </c:yVal>
          <c:smooth val="0"/>
          <c:extLst>
            <c:ext xmlns:c16="http://schemas.microsoft.com/office/drawing/2014/chart" uri="{C3380CC4-5D6E-409C-BE32-E72D297353CC}">
              <c16:uniqueId val="{00000002-8376-4FC0-A33E-1142F5D2662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GRAFICA_28!$AA$14:$AA$15</c:f>
              <c:numCache>
                <c:formatCode>0.00</c:formatCode>
                <c:ptCount val="2"/>
                <c:pt idx="0">
                  <c:v>0</c:v>
                </c:pt>
                <c:pt idx="1">
                  <c:v>300</c:v>
                </c:pt>
              </c:numCache>
            </c:numRef>
          </c:xVal>
          <c:yVal>
            <c:numRef>
              <c:f>GRAFICA_28!$AB$14:$AB$15</c:f>
              <c:numCache>
                <c:formatCode>0.00</c:formatCode>
                <c:ptCount val="2"/>
                <c:pt idx="0">
                  <c:v>0</c:v>
                </c:pt>
                <c:pt idx="1">
                  <c:v>300</c:v>
                </c:pt>
              </c:numCache>
            </c:numRef>
          </c:yVal>
          <c:smooth val="0"/>
          <c:extLst>
            <c:ext xmlns:c16="http://schemas.microsoft.com/office/drawing/2014/chart" uri="{C3380CC4-5D6E-409C-BE32-E72D297353CC}">
              <c16:uniqueId val="{00000003-8376-4FC0-A33E-1142F5D2662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GRAFICA_28!$AA$17:$AA$18</c:f>
              <c:numCache>
                <c:formatCode>0.00</c:formatCode>
                <c:ptCount val="2"/>
                <c:pt idx="0">
                  <c:v>300</c:v>
                </c:pt>
                <c:pt idx="1">
                  <c:v>600</c:v>
                </c:pt>
              </c:numCache>
            </c:numRef>
          </c:xVal>
          <c:yVal>
            <c:numRef>
              <c:f>GRAFICA_28!$AB$17:$AB$18</c:f>
              <c:numCache>
                <c:formatCode>0.00</c:formatCode>
                <c:ptCount val="2"/>
                <c:pt idx="0">
                  <c:v>300</c:v>
                </c:pt>
                <c:pt idx="1">
                  <c:v>300</c:v>
                </c:pt>
              </c:numCache>
            </c:numRef>
          </c:yVal>
          <c:smooth val="0"/>
          <c:extLst>
            <c:ext xmlns:c16="http://schemas.microsoft.com/office/drawing/2014/chart" uri="{C3380CC4-5D6E-409C-BE32-E72D297353CC}">
              <c16:uniqueId val="{00000004-8376-4FC0-A33E-1142F5D2662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GRAFICA_28!$AA$20:$AA$21</c:f>
              <c:numCache>
                <c:formatCode>0.00</c:formatCode>
                <c:ptCount val="2"/>
                <c:pt idx="0">
                  <c:v>600</c:v>
                </c:pt>
                <c:pt idx="1">
                  <c:v>900</c:v>
                </c:pt>
              </c:numCache>
            </c:numRef>
          </c:xVal>
          <c:yVal>
            <c:numRef>
              <c:f>GRAFICA_28!$AB$20:$AB$21</c:f>
              <c:numCache>
                <c:formatCode>0.00</c:formatCode>
                <c:ptCount val="2"/>
                <c:pt idx="0">
                  <c:v>300</c:v>
                </c:pt>
                <c:pt idx="1">
                  <c:v>0</c:v>
                </c:pt>
              </c:numCache>
            </c:numRef>
          </c:yVal>
          <c:smooth val="0"/>
          <c:extLst>
            <c:ext xmlns:c16="http://schemas.microsoft.com/office/drawing/2014/chart" uri="{C3380CC4-5D6E-409C-BE32-E72D297353CC}">
              <c16:uniqueId val="{00000005-8376-4FC0-A33E-1142F5D2662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GRAFICA_28!$AA$23:$AA$24</c:f>
              <c:numCache>
                <c:formatCode>0.00</c:formatCode>
                <c:ptCount val="2"/>
                <c:pt idx="0">
                  <c:v>300</c:v>
                </c:pt>
                <c:pt idx="1">
                  <c:v>300</c:v>
                </c:pt>
              </c:numCache>
            </c:numRef>
          </c:xVal>
          <c:yVal>
            <c:numRef>
              <c:f>GRAFICA_28!$AB$23:$AB$24</c:f>
              <c:numCache>
                <c:formatCode>0.00</c:formatCode>
                <c:ptCount val="2"/>
                <c:pt idx="0">
                  <c:v>300</c:v>
                </c:pt>
                <c:pt idx="1">
                  <c:v>0</c:v>
                </c:pt>
              </c:numCache>
            </c:numRef>
          </c:yVal>
          <c:smooth val="0"/>
          <c:extLst>
            <c:ext xmlns:c16="http://schemas.microsoft.com/office/drawing/2014/chart" uri="{C3380CC4-5D6E-409C-BE32-E72D297353CC}">
              <c16:uniqueId val="{00000006-8376-4FC0-A33E-1142F5D2662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GRAFICA_28!$AA$26:$AA$27</c:f>
              <c:numCache>
                <c:formatCode>0.00</c:formatCode>
                <c:ptCount val="2"/>
                <c:pt idx="0">
                  <c:v>600</c:v>
                </c:pt>
                <c:pt idx="1">
                  <c:v>600</c:v>
                </c:pt>
              </c:numCache>
            </c:numRef>
          </c:xVal>
          <c:yVal>
            <c:numRef>
              <c:f>GRAFICA_28!$AB$26:$AB$27</c:f>
              <c:numCache>
                <c:formatCode>0.00</c:formatCode>
                <c:ptCount val="2"/>
                <c:pt idx="0">
                  <c:v>300</c:v>
                </c:pt>
                <c:pt idx="1">
                  <c:v>0</c:v>
                </c:pt>
              </c:numCache>
            </c:numRef>
          </c:yVal>
          <c:smooth val="0"/>
          <c:extLst>
            <c:ext xmlns:c16="http://schemas.microsoft.com/office/drawing/2014/chart" uri="{C3380CC4-5D6E-409C-BE32-E72D297353CC}">
              <c16:uniqueId val="{00000007-8376-4FC0-A33E-1142F5D2662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GRAFICA_28!$AA$29:$AA$30</c:f>
              <c:numCache>
                <c:formatCode>0.00</c:formatCode>
                <c:ptCount val="2"/>
                <c:pt idx="0">
                  <c:v>300</c:v>
                </c:pt>
                <c:pt idx="1">
                  <c:v>600</c:v>
                </c:pt>
              </c:numCache>
            </c:numRef>
          </c:xVal>
          <c:yVal>
            <c:numRef>
              <c:f>GRAFICA_28!$AB$29:$AB$30</c:f>
              <c:numCache>
                <c:formatCode>0.00</c:formatCode>
                <c:ptCount val="2"/>
                <c:pt idx="0">
                  <c:v>300</c:v>
                </c:pt>
                <c:pt idx="1">
                  <c:v>0</c:v>
                </c:pt>
              </c:numCache>
            </c:numRef>
          </c:yVal>
          <c:smooth val="0"/>
          <c:extLst>
            <c:ext xmlns:c16="http://schemas.microsoft.com/office/drawing/2014/chart" uri="{C3380CC4-5D6E-409C-BE32-E72D297353CC}">
              <c16:uniqueId val="{00000008-8376-4FC0-A33E-1142F5D2662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GRAFICA_29!$AA$5:$AA$6</c:f>
              <c:numCache>
                <c:formatCode>0.00</c:formatCode>
                <c:ptCount val="2"/>
                <c:pt idx="0">
                  <c:v>0</c:v>
                </c:pt>
                <c:pt idx="1">
                  <c:v>450</c:v>
                </c:pt>
              </c:numCache>
            </c:numRef>
          </c:xVal>
          <c:yVal>
            <c:numRef>
              <c:f>GRAFICA_29!$AB$5:$AB$6</c:f>
              <c:numCache>
                <c:formatCode>0.00</c:formatCode>
                <c:ptCount val="2"/>
                <c:pt idx="0">
                  <c:v>0</c:v>
                </c:pt>
                <c:pt idx="1">
                  <c:v>0</c:v>
                </c:pt>
              </c:numCache>
            </c:numRef>
          </c:yVal>
          <c:smooth val="0"/>
          <c:extLst>
            <c:ext xmlns:c16="http://schemas.microsoft.com/office/drawing/2014/chart" uri="{C3380CC4-5D6E-409C-BE32-E72D297353CC}">
              <c16:uniqueId val="{00000000-427D-40C7-8074-AFAEEF63FD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GRAFICA_29!$AA$8:$AA$9</c:f>
              <c:numCache>
                <c:formatCode>0.00</c:formatCode>
                <c:ptCount val="2"/>
                <c:pt idx="0">
                  <c:v>450</c:v>
                </c:pt>
                <c:pt idx="1">
                  <c:v>900</c:v>
                </c:pt>
              </c:numCache>
            </c:numRef>
          </c:xVal>
          <c:yVal>
            <c:numRef>
              <c:f>GRAFICA_29!$AB$8:$AB$9</c:f>
              <c:numCache>
                <c:formatCode>0.00</c:formatCode>
                <c:ptCount val="2"/>
                <c:pt idx="0">
                  <c:v>0</c:v>
                </c:pt>
                <c:pt idx="1">
                  <c:v>0</c:v>
                </c:pt>
              </c:numCache>
            </c:numRef>
          </c:yVal>
          <c:smooth val="0"/>
          <c:extLst>
            <c:ext xmlns:c16="http://schemas.microsoft.com/office/drawing/2014/chart" uri="{C3380CC4-5D6E-409C-BE32-E72D297353CC}">
              <c16:uniqueId val="{00000001-427D-40C7-8074-AFAEEF63FD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GRAFICA_29!$AA$11:$AA$12</c:f>
              <c:numCache>
                <c:formatCode>0.00</c:formatCode>
                <c:ptCount val="2"/>
                <c:pt idx="0">
                  <c:v>0</c:v>
                </c:pt>
                <c:pt idx="1">
                  <c:v>225</c:v>
                </c:pt>
              </c:numCache>
            </c:numRef>
          </c:xVal>
          <c:yVal>
            <c:numRef>
              <c:f>GRAFICA_29!$AB$11:$AB$12</c:f>
              <c:numCache>
                <c:formatCode>0.00</c:formatCode>
                <c:ptCount val="2"/>
                <c:pt idx="0">
                  <c:v>0</c:v>
                </c:pt>
                <c:pt idx="1">
                  <c:v>200</c:v>
                </c:pt>
              </c:numCache>
            </c:numRef>
          </c:yVal>
          <c:smooth val="0"/>
          <c:extLst>
            <c:ext xmlns:c16="http://schemas.microsoft.com/office/drawing/2014/chart" uri="{C3380CC4-5D6E-409C-BE32-E72D297353CC}">
              <c16:uniqueId val="{00000002-427D-40C7-8074-AFAEEF63FD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GRAFICA_29!$AA$14:$AA$15</c:f>
              <c:numCache>
                <c:formatCode>0.00</c:formatCode>
                <c:ptCount val="2"/>
                <c:pt idx="0">
                  <c:v>225</c:v>
                </c:pt>
                <c:pt idx="1">
                  <c:v>450</c:v>
                </c:pt>
              </c:numCache>
            </c:numRef>
          </c:xVal>
          <c:yVal>
            <c:numRef>
              <c:f>GRAFICA_29!$AB$14:$AB$15</c:f>
              <c:numCache>
                <c:formatCode>0.00</c:formatCode>
                <c:ptCount val="2"/>
                <c:pt idx="0">
                  <c:v>200</c:v>
                </c:pt>
                <c:pt idx="1">
                  <c:v>420</c:v>
                </c:pt>
              </c:numCache>
            </c:numRef>
          </c:yVal>
          <c:smooth val="0"/>
          <c:extLst>
            <c:ext xmlns:c16="http://schemas.microsoft.com/office/drawing/2014/chart" uri="{C3380CC4-5D6E-409C-BE32-E72D297353CC}">
              <c16:uniqueId val="{00000003-427D-40C7-8074-AFAEEF63FD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GRAFICA_29!$AA$17:$AA$18</c:f>
              <c:numCache>
                <c:formatCode>0.00</c:formatCode>
                <c:ptCount val="2"/>
                <c:pt idx="0">
                  <c:v>450</c:v>
                </c:pt>
                <c:pt idx="1">
                  <c:v>675</c:v>
                </c:pt>
              </c:numCache>
            </c:numRef>
          </c:xVal>
          <c:yVal>
            <c:numRef>
              <c:f>GRAFICA_29!$AB$17:$AB$18</c:f>
              <c:numCache>
                <c:formatCode>0.00</c:formatCode>
                <c:ptCount val="2"/>
                <c:pt idx="0">
                  <c:v>420</c:v>
                </c:pt>
                <c:pt idx="1">
                  <c:v>200</c:v>
                </c:pt>
              </c:numCache>
            </c:numRef>
          </c:yVal>
          <c:smooth val="0"/>
          <c:extLst>
            <c:ext xmlns:c16="http://schemas.microsoft.com/office/drawing/2014/chart" uri="{C3380CC4-5D6E-409C-BE32-E72D297353CC}">
              <c16:uniqueId val="{00000004-427D-40C7-8074-AFAEEF63FD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GRAFICA_29!$AA$20:$AA$21</c:f>
              <c:numCache>
                <c:formatCode>0.00</c:formatCode>
                <c:ptCount val="2"/>
                <c:pt idx="0">
                  <c:v>675</c:v>
                </c:pt>
                <c:pt idx="1">
                  <c:v>900</c:v>
                </c:pt>
              </c:numCache>
            </c:numRef>
          </c:xVal>
          <c:yVal>
            <c:numRef>
              <c:f>GRAFICA_29!$AB$20:$AB$21</c:f>
              <c:numCache>
                <c:formatCode>0.00</c:formatCode>
                <c:ptCount val="2"/>
                <c:pt idx="0">
                  <c:v>200</c:v>
                </c:pt>
                <c:pt idx="1">
                  <c:v>0</c:v>
                </c:pt>
              </c:numCache>
            </c:numRef>
          </c:yVal>
          <c:smooth val="0"/>
          <c:extLst>
            <c:ext xmlns:c16="http://schemas.microsoft.com/office/drawing/2014/chart" uri="{C3380CC4-5D6E-409C-BE32-E72D297353CC}">
              <c16:uniqueId val="{00000005-427D-40C7-8074-AFAEEF63FD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GRAFICA_29!$AA$23:$AA$24</c:f>
              <c:numCache>
                <c:formatCode>0.00</c:formatCode>
                <c:ptCount val="2"/>
                <c:pt idx="0">
                  <c:v>450</c:v>
                </c:pt>
                <c:pt idx="1">
                  <c:v>225</c:v>
                </c:pt>
              </c:numCache>
            </c:numRef>
          </c:xVal>
          <c:yVal>
            <c:numRef>
              <c:f>GRAFICA_29!$AB$23:$AB$24</c:f>
              <c:numCache>
                <c:formatCode>0.00</c:formatCode>
                <c:ptCount val="2"/>
                <c:pt idx="0">
                  <c:v>0</c:v>
                </c:pt>
                <c:pt idx="1">
                  <c:v>200</c:v>
                </c:pt>
              </c:numCache>
            </c:numRef>
          </c:yVal>
          <c:smooth val="0"/>
          <c:extLst>
            <c:ext xmlns:c16="http://schemas.microsoft.com/office/drawing/2014/chart" uri="{C3380CC4-5D6E-409C-BE32-E72D297353CC}">
              <c16:uniqueId val="{00000006-427D-40C7-8074-AFAEEF63FD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GRAFICA_29!$AA$26:$AA$27</c:f>
              <c:numCache>
                <c:formatCode>0.00</c:formatCode>
                <c:ptCount val="2"/>
                <c:pt idx="0">
                  <c:v>450</c:v>
                </c:pt>
                <c:pt idx="1">
                  <c:v>450</c:v>
                </c:pt>
              </c:numCache>
            </c:numRef>
          </c:xVal>
          <c:yVal>
            <c:numRef>
              <c:f>GRAFICA_29!$AB$26:$AB$27</c:f>
              <c:numCache>
                <c:formatCode>0.00</c:formatCode>
                <c:ptCount val="2"/>
                <c:pt idx="0">
                  <c:v>0</c:v>
                </c:pt>
                <c:pt idx="1">
                  <c:v>420</c:v>
                </c:pt>
              </c:numCache>
            </c:numRef>
          </c:yVal>
          <c:smooth val="0"/>
          <c:extLst>
            <c:ext xmlns:c16="http://schemas.microsoft.com/office/drawing/2014/chart" uri="{C3380CC4-5D6E-409C-BE32-E72D297353CC}">
              <c16:uniqueId val="{00000007-427D-40C7-8074-AFAEEF63FD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GRAFICA_29!$AA$29:$AA$30</c:f>
              <c:numCache>
                <c:formatCode>0.00</c:formatCode>
                <c:ptCount val="2"/>
                <c:pt idx="0">
                  <c:v>450</c:v>
                </c:pt>
                <c:pt idx="1">
                  <c:v>675</c:v>
                </c:pt>
              </c:numCache>
            </c:numRef>
          </c:xVal>
          <c:yVal>
            <c:numRef>
              <c:f>GRAFICA_29!$AB$29:$AB$30</c:f>
              <c:numCache>
                <c:formatCode>0.00</c:formatCode>
                <c:ptCount val="2"/>
                <c:pt idx="0">
                  <c:v>0</c:v>
                </c:pt>
                <c:pt idx="1">
                  <c:v>200</c:v>
                </c:pt>
              </c:numCache>
            </c:numRef>
          </c:yVal>
          <c:smooth val="0"/>
          <c:extLst>
            <c:ext xmlns:c16="http://schemas.microsoft.com/office/drawing/2014/chart" uri="{C3380CC4-5D6E-409C-BE32-E72D297353CC}">
              <c16:uniqueId val="{00000008-427D-40C7-8074-AFAEEF63FD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GRAFICA_30!$AA$5:$AA$6</c:f>
              <c:numCache>
                <c:formatCode>0.00</c:formatCode>
                <c:ptCount val="2"/>
                <c:pt idx="0">
                  <c:v>0</c:v>
                </c:pt>
                <c:pt idx="1">
                  <c:v>0</c:v>
                </c:pt>
              </c:numCache>
            </c:numRef>
          </c:xVal>
          <c:yVal>
            <c:numRef>
              <c:f>GRAFICA_30!$AB$5:$AB$6</c:f>
              <c:numCache>
                <c:formatCode>0.00</c:formatCode>
                <c:ptCount val="2"/>
                <c:pt idx="0">
                  <c:v>0</c:v>
                </c:pt>
                <c:pt idx="1">
                  <c:v>400</c:v>
                </c:pt>
              </c:numCache>
            </c:numRef>
          </c:yVal>
          <c:smooth val="0"/>
          <c:extLst>
            <c:ext xmlns:c16="http://schemas.microsoft.com/office/drawing/2014/chart" uri="{C3380CC4-5D6E-409C-BE32-E72D297353CC}">
              <c16:uniqueId val="{00000000-0838-4EA8-9C60-766AA72438A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GRAFICA_30!$AA$8:$AA$9</c:f>
              <c:numCache>
                <c:formatCode>0.00</c:formatCode>
                <c:ptCount val="2"/>
                <c:pt idx="0">
                  <c:v>0</c:v>
                </c:pt>
                <c:pt idx="1">
                  <c:v>400</c:v>
                </c:pt>
              </c:numCache>
            </c:numRef>
          </c:xVal>
          <c:yVal>
            <c:numRef>
              <c:f>GRAFICA_30!$AB$8:$AB$9</c:f>
              <c:numCache>
                <c:formatCode>0.00</c:formatCode>
                <c:ptCount val="2"/>
                <c:pt idx="0">
                  <c:v>0</c:v>
                </c:pt>
                <c:pt idx="1">
                  <c:v>0</c:v>
                </c:pt>
              </c:numCache>
            </c:numRef>
          </c:yVal>
          <c:smooth val="0"/>
          <c:extLst>
            <c:ext xmlns:c16="http://schemas.microsoft.com/office/drawing/2014/chart" uri="{C3380CC4-5D6E-409C-BE32-E72D297353CC}">
              <c16:uniqueId val="{00000001-0838-4EA8-9C60-766AA72438A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GRAFICA_30!$AA$11:$AA$12</c:f>
              <c:numCache>
                <c:formatCode>0.00</c:formatCode>
                <c:ptCount val="2"/>
                <c:pt idx="0">
                  <c:v>0</c:v>
                </c:pt>
                <c:pt idx="1">
                  <c:v>400</c:v>
                </c:pt>
              </c:numCache>
            </c:numRef>
          </c:xVal>
          <c:yVal>
            <c:numRef>
              <c:f>GRAFICA_30!$AB$11:$AB$12</c:f>
              <c:numCache>
                <c:formatCode>0.00</c:formatCode>
                <c:ptCount val="2"/>
                <c:pt idx="0">
                  <c:v>400</c:v>
                </c:pt>
                <c:pt idx="1">
                  <c:v>400</c:v>
                </c:pt>
              </c:numCache>
            </c:numRef>
          </c:yVal>
          <c:smooth val="0"/>
          <c:extLst>
            <c:ext xmlns:c16="http://schemas.microsoft.com/office/drawing/2014/chart" uri="{C3380CC4-5D6E-409C-BE32-E72D297353CC}">
              <c16:uniqueId val="{00000002-0838-4EA8-9C60-766AA72438A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GRAFICA_30!$AA$14:$AA$15</c:f>
              <c:numCache>
                <c:formatCode>0.00</c:formatCode>
                <c:ptCount val="2"/>
                <c:pt idx="0">
                  <c:v>400</c:v>
                </c:pt>
                <c:pt idx="1">
                  <c:v>400</c:v>
                </c:pt>
              </c:numCache>
            </c:numRef>
          </c:xVal>
          <c:yVal>
            <c:numRef>
              <c:f>GRAFICA_30!$AB$14:$AB$15</c:f>
              <c:numCache>
                <c:formatCode>0.00</c:formatCode>
                <c:ptCount val="2"/>
                <c:pt idx="0">
                  <c:v>0</c:v>
                </c:pt>
                <c:pt idx="1">
                  <c:v>200</c:v>
                </c:pt>
              </c:numCache>
            </c:numRef>
          </c:yVal>
          <c:smooth val="0"/>
          <c:extLst>
            <c:ext xmlns:c16="http://schemas.microsoft.com/office/drawing/2014/chart" uri="{C3380CC4-5D6E-409C-BE32-E72D297353CC}">
              <c16:uniqueId val="{00000003-0838-4EA8-9C60-766AA72438A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GRAFICA_30!$AA$17:$AA$18</c:f>
              <c:numCache>
                <c:formatCode>0.00</c:formatCode>
                <c:ptCount val="2"/>
                <c:pt idx="0">
                  <c:v>400</c:v>
                </c:pt>
                <c:pt idx="1">
                  <c:v>400</c:v>
                </c:pt>
              </c:numCache>
            </c:numRef>
          </c:xVal>
          <c:yVal>
            <c:numRef>
              <c:f>GRAFICA_30!$AB$17:$AB$18</c:f>
              <c:numCache>
                <c:formatCode>0.00</c:formatCode>
                <c:ptCount val="2"/>
                <c:pt idx="0">
                  <c:v>400</c:v>
                </c:pt>
                <c:pt idx="1">
                  <c:v>200</c:v>
                </c:pt>
              </c:numCache>
            </c:numRef>
          </c:yVal>
          <c:smooth val="0"/>
          <c:extLst>
            <c:ext xmlns:c16="http://schemas.microsoft.com/office/drawing/2014/chart" uri="{C3380CC4-5D6E-409C-BE32-E72D297353CC}">
              <c16:uniqueId val="{00000004-0838-4EA8-9C60-766AA72438A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GRAFICA_30!$AA$20:$AA$21</c:f>
              <c:numCache>
                <c:formatCode>0.00</c:formatCode>
                <c:ptCount val="2"/>
                <c:pt idx="0">
                  <c:v>0</c:v>
                </c:pt>
                <c:pt idx="1">
                  <c:v>400</c:v>
                </c:pt>
              </c:numCache>
            </c:numRef>
          </c:xVal>
          <c:yVal>
            <c:numRef>
              <c:f>GRAFICA_30!$AB$20:$AB$21</c:f>
              <c:numCache>
                <c:formatCode>0.00</c:formatCode>
                <c:ptCount val="2"/>
                <c:pt idx="0">
                  <c:v>0</c:v>
                </c:pt>
                <c:pt idx="1">
                  <c:v>200</c:v>
                </c:pt>
              </c:numCache>
            </c:numRef>
          </c:yVal>
          <c:smooth val="0"/>
          <c:extLst>
            <c:ext xmlns:c16="http://schemas.microsoft.com/office/drawing/2014/chart" uri="{C3380CC4-5D6E-409C-BE32-E72D297353CC}">
              <c16:uniqueId val="{00000005-0838-4EA8-9C60-766AA72438A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GRAFICA_30!$AA$23:$AA$24</c:f>
              <c:numCache>
                <c:formatCode>0.00</c:formatCode>
                <c:ptCount val="2"/>
                <c:pt idx="0">
                  <c:v>0</c:v>
                </c:pt>
                <c:pt idx="1">
                  <c:v>400</c:v>
                </c:pt>
              </c:numCache>
            </c:numRef>
          </c:xVal>
          <c:yVal>
            <c:numRef>
              <c:f>GRAFICA_30!$AB$23:$AB$24</c:f>
              <c:numCache>
                <c:formatCode>0.00</c:formatCode>
                <c:ptCount val="2"/>
                <c:pt idx="0">
                  <c:v>400</c:v>
                </c:pt>
                <c:pt idx="1">
                  <c:v>200</c:v>
                </c:pt>
              </c:numCache>
            </c:numRef>
          </c:yVal>
          <c:smooth val="0"/>
          <c:extLst>
            <c:ext xmlns:c16="http://schemas.microsoft.com/office/drawing/2014/chart" uri="{C3380CC4-5D6E-409C-BE32-E72D297353CC}">
              <c16:uniqueId val="{00000006-0838-4EA8-9C60-766AA72438A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GRAFICA_30!$AA$26:$AA$27</c:f>
              <c:numCache>
                <c:formatCode>0.00</c:formatCode>
                <c:ptCount val="2"/>
                <c:pt idx="0">
                  <c:v>400</c:v>
                </c:pt>
                <c:pt idx="1">
                  <c:v>800</c:v>
                </c:pt>
              </c:numCache>
            </c:numRef>
          </c:xVal>
          <c:yVal>
            <c:numRef>
              <c:f>GRAFICA_30!$AB$26:$AB$27</c:f>
              <c:numCache>
                <c:formatCode>0.00</c:formatCode>
                <c:ptCount val="2"/>
                <c:pt idx="0">
                  <c:v>0</c:v>
                </c:pt>
                <c:pt idx="1">
                  <c:v>200</c:v>
                </c:pt>
              </c:numCache>
            </c:numRef>
          </c:yVal>
          <c:smooth val="0"/>
          <c:extLst>
            <c:ext xmlns:c16="http://schemas.microsoft.com/office/drawing/2014/chart" uri="{C3380CC4-5D6E-409C-BE32-E72D297353CC}">
              <c16:uniqueId val="{00000007-0838-4EA8-9C60-766AA72438A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GRAFICA_30!$AA$29:$AA$30</c:f>
              <c:numCache>
                <c:formatCode>0.00</c:formatCode>
                <c:ptCount val="2"/>
                <c:pt idx="0">
                  <c:v>400</c:v>
                </c:pt>
                <c:pt idx="1">
                  <c:v>800</c:v>
                </c:pt>
              </c:numCache>
            </c:numRef>
          </c:xVal>
          <c:yVal>
            <c:numRef>
              <c:f>GRAFICA_30!$AB$29:$AB$30</c:f>
              <c:numCache>
                <c:formatCode>0.00</c:formatCode>
                <c:ptCount val="2"/>
                <c:pt idx="0">
                  <c:v>400</c:v>
                </c:pt>
                <c:pt idx="1">
                  <c:v>200</c:v>
                </c:pt>
              </c:numCache>
            </c:numRef>
          </c:yVal>
          <c:smooth val="0"/>
          <c:extLst>
            <c:ext xmlns:c16="http://schemas.microsoft.com/office/drawing/2014/chart" uri="{C3380CC4-5D6E-409C-BE32-E72D297353CC}">
              <c16:uniqueId val="{00000008-0838-4EA8-9C60-766AA72438A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GRAFICA_31!$AA$5:$AA$6</c:f>
              <c:numCache>
                <c:formatCode>0.00</c:formatCode>
                <c:ptCount val="2"/>
                <c:pt idx="0">
                  <c:v>0</c:v>
                </c:pt>
                <c:pt idx="1">
                  <c:v>400</c:v>
                </c:pt>
              </c:numCache>
            </c:numRef>
          </c:xVal>
          <c:yVal>
            <c:numRef>
              <c:f>GRAFICA_31!$AB$5:$AB$6</c:f>
              <c:numCache>
                <c:formatCode>0.00</c:formatCode>
                <c:ptCount val="2"/>
                <c:pt idx="0">
                  <c:v>0</c:v>
                </c:pt>
                <c:pt idx="1">
                  <c:v>0</c:v>
                </c:pt>
              </c:numCache>
            </c:numRef>
          </c:yVal>
          <c:smooth val="0"/>
          <c:extLst>
            <c:ext xmlns:c16="http://schemas.microsoft.com/office/drawing/2014/chart" uri="{C3380CC4-5D6E-409C-BE32-E72D297353CC}">
              <c16:uniqueId val="{00000000-1989-403F-96AC-9A6E01B376D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GRAFICA_31!$AA$8:$AA$9</c:f>
              <c:numCache>
                <c:formatCode>0.00</c:formatCode>
                <c:ptCount val="2"/>
                <c:pt idx="0">
                  <c:v>400</c:v>
                </c:pt>
                <c:pt idx="1">
                  <c:v>800</c:v>
                </c:pt>
              </c:numCache>
            </c:numRef>
          </c:xVal>
          <c:yVal>
            <c:numRef>
              <c:f>GRAFICA_31!$AB$8:$AB$9</c:f>
              <c:numCache>
                <c:formatCode>0.00</c:formatCode>
                <c:ptCount val="2"/>
                <c:pt idx="0">
                  <c:v>0</c:v>
                </c:pt>
                <c:pt idx="1">
                  <c:v>0</c:v>
                </c:pt>
              </c:numCache>
            </c:numRef>
          </c:yVal>
          <c:smooth val="0"/>
          <c:extLst>
            <c:ext xmlns:c16="http://schemas.microsoft.com/office/drawing/2014/chart" uri="{C3380CC4-5D6E-409C-BE32-E72D297353CC}">
              <c16:uniqueId val="{00000001-1989-403F-96AC-9A6E01B376D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GRAFICA_31!$AA$11:$AA$12</c:f>
              <c:numCache>
                <c:formatCode>0.00</c:formatCode>
                <c:ptCount val="2"/>
                <c:pt idx="0">
                  <c:v>0</c:v>
                </c:pt>
                <c:pt idx="1">
                  <c:v>150</c:v>
                </c:pt>
              </c:numCache>
            </c:numRef>
          </c:xVal>
          <c:yVal>
            <c:numRef>
              <c:f>GRAFICA_31!$AB$11:$AB$12</c:f>
              <c:numCache>
                <c:formatCode>0.00</c:formatCode>
                <c:ptCount val="2"/>
                <c:pt idx="0">
                  <c:v>0</c:v>
                </c:pt>
                <c:pt idx="1">
                  <c:v>300</c:v>
                </c:pt>
              </c:numCache>
            </c:numRef>
          </c:yVal>
          <c:smooth val="0"/>
          <c:extLst>
            <c:ext xmlns:c16="http://schemas.microsoft.com/office/drawing/2014/chart" uri="{C3380CC4-5D6E-409C-BE32-E72D297353CC}">
              <c16:uniqueId val="{00000002-1989-403F-96AC-9A6E01B376D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GRAFICA_31!$AA$14:$AA$15</c:f>
              <c:numCache>
                <c:formatCode>0.00</c:formatCode>
                <c:ptCount val="2"/>
                <c:pt idx="0">
                  <c:v>150</c:v>
                </c:pt>
                <c:pt idx="1">
                  <c:v>400</c:v>
                </c:pt>
              </c:numCache>
            </c:numRef>
          </c:xVal>
          <c:yVal>
            <c:numRef>
              <c:f>GRAFICA_31!$AB$14:$AB$15</c:f>
              <c:numCache>
                <c:formatCode>0.00</c:formatCode>
                <c:ptCount val="2"/>
                <c:pt idx="0">
                  <c:v>300</c:v>
                </c:pt>
                <c:pt idx="1">
                  <c:v>480</c:v>
                </c:pt>
              </c:numCache>
            </c:numRef>
          </c:yVal>
          <c:smooth val="0"/>
          <c:extLst>
            <c:ext xmlns:c16="http://schemas.microsoft.com/office/drawing/2014/chart" uri="{C3380CC4-5D6E-409C-BE32-E72D297353CC}">
              <c16:uniqueId val="{00000003-1989-403F-96AC-9A6E01B376D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GRAFICA_31!$AA$17:$AA$18</c:f>
              <c:numCache>
                <c:formatCode>0.00</c:formatCode>
                <c:ptCount val="2"/>
                <c:pt idx="0">
                  <c:v>400</c:v>
                </c:pt>
                <c:pt idx="1">
                  <c:v>650</c:v>
                </c:pt>
              </c:numCache>
            </c:numRef>
          </c:xVal>
          <c:yVal>
            <c:numRef>
              <c:f>GRAFICA_31!$AB$17:$AB$18</c:f>
              <c:numCache>
                <c:formatCode>0.00</c:formatCode>
                <c:ptCount val="2"/>
                <c:pt idx="0">
                  <c:v>480</c:v>
                </c:pt>
                <c:pt idx="1">
                  <c:v>300</c:v>
                </c:pt>
              </c:numCache>
            </c:numRef>
          </c:yVal>
          <c:smooth val="0"/>
          <c:extLst>
            <c:ext xmlns:c16="http://schemas.microsoft.com/office/drawing/2014/chart" uri="{C3380CC4-5D6E-409C-BE32-E72D297353CC}">
              <c16:uniqueId val="{00000004-1989-403F-96AC-9A6E01B376D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GRAFICA_31!$AA$20:$AA$21</c:f>
              <c:numCache>
                <c:formatCode>0.00</c:formatCode>
                <c:ptCount val="2"/>
                <c:pt idx="0">
                  <c:v>650</c:v>
                </c:pt>
                <c:pt idx="1">
                  <c:v>800</c:v>
                </c:pt>
              </c:numCache>
            </c:numRef>
          </c:xVal>
          <c:yVal>
            <c:numRef>
              <c:f>GRAFICA_31!$AB$20:$AB$21</c:f>
              <c:numCache>
                <c:formatCode>0.00</c:formatCode>
                <c:ptCount val="2"/>
                <c:pt idx="0">
                  <c:v>300</c:v>
                </c:pt>
                <c:pt idx="1">
                  <c:v>0</c:v>
                </c:pt>
              </c:numCache>
            </c:numRef>
          </c:yVal>
          <c:smooth val="0"/>
          <c:extLst>
            <c:ext xmlns:c16="http://schemas.microsoft.com/office/drawing/2014/chart" uri="{C3380CC4-5D6E-409C-BE32-E72D297353CC}">
              <c16:uniqueId val="{00000005-1989-403F-96AC-9A6E01B376D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GRAFICA_31!$AA$23:$AA$24</c:f>
              <c:numCache>
                <c:formatCode>0.00</c:formatCode>
                <c:ptCount val="2"/>
                <c:pt idx="0">
                  <c:v>400</c:v>
                </c:pt>
                <c:pt idx="1">
                  <c:v>150</c:v>
                </c:pt>
              </c:numCache>
            </c:numRef>
          </c:xVal>
          <c:yVal>
            <c:numRef>
              <c:f>GRAFICA_31!$AB$23:$AB$24</c:f>
              <c:numCache>
                <c:formatCode>0.00</c:formatCode>
                <c:ptCount val="2"/>
                <c:pt idx="0">
                  <c:v>0</c:v>
                </c:pt>
                <c:pt idx="1">
                  <c:v>300</c:v>
                </c:pt>
              </c:numCache>
            </c:numRef>
          </c:yVal>
          <c:smooth val="0"/>
          <c:extLst>
            <c:ext xmlns:c16="http://schemas.microsoft.com/office/drawing/2014/chart" uri="{C3380CC4-5D6E-409C-BE32-E72D297353CC}">
              <c16:uniqueId val="{00000006-1989-403F-96AC-9A6E01B376D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GRAFICA_31!$AA$26:$AA$27</c:f>
              <c:numCache>
                <c:formatCode>0.00</c:formatCode>
                <c:ptCount val="2"/>
                <c:pt idx="0">
                  <c:v>400</c:v>
                </c:pt>
                <c:pt idx="1">
                  <c:v>400</c:v>
                </c:pt>
              </c:numCache>
            </c:numRef>
          </c:xVal>
          <c:yVal>
            <c:numRef>
              <c:f>GRAFICA_31!$AB$26:$AB$27</c:f>
              <c:numCache>
                <c:formatCode>0.00</c:formatCode>
                <c:ptCount val="2"/>
                <c:pt idx="0">
                  <c:v>0</c:v>
                </c:pt>
                <c:pt idx="1">
                  <c:v>480</c:v>
                </c:pt>
              </c:numCache>
            </c:numRef>
          </c:yVal>
          <c:smooth val="0"/>
          <c:extLst>
            <c:ext xmlns:c16="http://schemas.microsoft.com/office/drawing/2014/chart" uri="{C3380CC4-5D6E-409C-BE32-E72D297353CC}">
              <c16:uniqueId val="{00000007-1989-403F-96AC-9A6E01B376D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GRAFICA_31!$AA$29:$AA$30</c:f>
              <c:numCache>
                <c:formatCode>0.00</c:formatCode>
                <c:ptCount val="2"/>
                <c:pt idx="0">
                  <c:v>400</c:v>
                </c:pt>
                <c:pt idx="1">
                  <c:v>650</c:v>
                </c:pt>
              </c:numCache>
            </c:numRef>
          </c:xVal>
          <c:yVal>
            <c:numRef>
              <c:f>GRAFICA_31!$AB$29:$AB$30</c:f>
              <c:numCache>
                <c:formatCode>0.00</c:formatCode>
                <c:ptCount val="2"/>
                <c:pt idx="0">
                  <c:v>0</c:v>
                </c:pt>
                <c:pt idx="1">
                  <c:v>300</c:v>
                </c:pt>
              </c:numCache>
            </c:numRef>
          </c:yVal>
          <c:smooth val="0"/>
          <c:extLst>
            <c:ext xmlns:c16="http://schemas.microsoft.com/office/drawing/2014/chart" uri="{C3380CC4-5D6E-409C-BE32-E72D297353CC}">
              <c16:uniqueId val="{00000008-1989-403F-96AC-9A6E01B376D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GRAFICA_32!$AA$5:$AA$6</c:f>
              <c:numCache>
                <c:formatCode>0.00</c:formatCode>
                <c:ptCount val="2"/>
                <c:pt idx="0">
                  <c:v>0</c:v>
                </c:pt>
                <c:pt idx="1">
                  <c:v>0</c:v>
                </c:pt>
              </c:numCache>
            </c:numRef>
          </c:xVal>
          <c:yVal>
            <c:numRef>
              <c:f>GRAFICA_32!$AB$5:$AB$6</c:f>
              <c:numCache>
                <c:formatCode>0.00</c:formatCode>
                <c:ptCount val="2"/>
                <c:pt idx="0">
                  <c:v>0</c:v>
                </c:pt>
                <c:pt idx="1">
                  <c:v>350</c:v>
                </c:pt>
              </c:numCache>
            </c:numRef>
          </c:yVal>
          <c:smooth val="0"/>
          <c:extLst>
            <c:ext xmlns:c16="http://schemas.microsoft.com/office/drawing/2014/chart" uri="{C3380CC4-5D6E-409C-BE32-E72D297353CC}">
              <c16:uniqueId val="{00000000-98D3-4D3D-B0D0-34C54A1A8D1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GRAFICA_32!$AA$8:$AA$9</c:f>
              <c:numCache>
                <c:formatCode>0.00</c:formatCode>
                <c:ptCount val="2"/>
                <c:pt idx="0">
                  <c:v>0</c:v>
                </c:pt>
                <c:pt idx="1">
                  <c:v>350</c:v>
                </c:pt>
              </c:numCache>
            </c:numRef>
          </c:xVal>
          <c:yVal>
            <c:numRef>
              <c:f>GRAFICA_32!$AB$8:$AB$9</c:f>
              <c:numCache>
                <c:formatCode>0.00</c:formatCode>
                <c:ptCount val="2"/>
                <c:pt idx="0">
                  <c:v>0</c:v>
                </c:pt>
                <c:pt idx="1">
                  <c:v>0</c:v>
                </c:pt>
              </c:numCache>
            </c:numRef>
          </c:yVal>
          <c:smooth val="0"/>
          <c:extLst>
            <c:ext xmlns:c16="http://schemas.microsoft.com/office/drawing/2014/chart" uri="{C3380CC4-5D6E-409C-BE32-E72D297353CC}">
              <c16:uniqueId val="{00000001-98D3-4D3D-B0D0-34C54A1A8D1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GRAFICA_32!$AA$11:$AA$12</c:f>
              <c:numCache>
                <c:formatCode>0.00</c:formatCode>
                <c:ptCount val="2"/>
                <c:pt idx="0">
                  <c:v>350</c:v>
                </c:pt>
                <c:pt idx="1">
                  <c:v>700</c:v>
                </c:pt>
              </c:numCache>
            </c:numRef>
          </c:xVal>
          <c:yVal>
            <c:numRef>
              <c:f>GRAFICA_32!$AB$11:$AB$12</c:f>
              <c:numCache>
                <c:formatCode>0.00</c:formatCode>
                <c:ptCount val="2"/>
                <c:pt idx="0">
                  <c:v>0</c:v>
                </c:pt>
                <c:pt idx="1">
                  <c:v>0</c:v>
                </c:pt>
              </c:numCache>
            </c:numRef>
          </c:yVal>
          <c:smooth val="0"/>
          <c:extLst>
            <c:ext xmlns:c16="http://schemas.microsoft.com/office/drawing/2014/chart" uri="{C3380CC4-5D6E-409C-BE32-E72D297353CC}">
              <c16:uniqueId val="{00000002-98D3-4D3D-B0D0-34C54A1A8D1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GRAFICA_32!$AA$14:$AA$15</c:f>
              <c:numCache>
                <c:formatCode>0.00</c:formatCode>
                <c:ptCount val="2"/>
                <c:pt idx="0">
                  <c:v>0</c:v>
                </c:pt>
                <c:pt idx="1">
                  <c:v>350</c:v>
                </c:pt>
              </c:numCache>
            </c:numRef>
          </c:xVal>
          <c:yVal>
            <c:numRef>
              <c:f>GRAFICA_32!$AB$14:$AB$15</c:f>
              <c:numCache>
                <c:formatCode>0.00</c:formatCode>
                <c:ptCount val="2"/>
                <c:pt idx="0">
                  <c:v>350</c:v>
                </c:pt>
                <c:pt idx="1">
                  <c:v>350</c:v>
                </c:pt>
              </c:numCache>
            </c:numRef>
          </c:yVal>
          <c:smooth val="0"/>
          <c:extLst>
            <c:ext xmlns:c16="http://schemas.microsoft.com/office/drawing/2014/chart" uri="{C3380CC4-5D6E-409C-BE32-E72D297353CC}">
              <c16:uniqueId val="{00000003-98D3-4D3D-B0D0-34C54A1A8D1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GRAFICA_32!$AA$17:$AA$18</c:f>
              <c:numCache>
                <c:formatCode>0.00</c:formatCode>
                <c:ptCount val="2"/>
                <c:pt idx="0">
                  <c:v>350</c:v>
                </c:pt>
                <c:pt idx="1">
                  <c:v>700</c:v>
                </c:pt>
              </c:numCache>
            </c:numRef>
          </c:xVal>
          <c:yVal>
            <c:numRef>
              <c:f>GRAFICA_32!$AB$17:$AB$18</c:f>
              <c:numCache>
                <c:formatCode>0.00</c:formatCode>
                <c:ptCount val="2"/>
                <c:pt idx="0">
                  <c:v>350</c:v>
                </c:pt>
                <c:pt idx="1">
                  <c:v>350</c:v>
                </c:pt>
              </c:numCache>
            </c:numRef>
          </c:yVal>
          <c:smooth val="0"/>
          <c:extLst>
            <c:ext xmlns:c16="http://schemas.microsoft.com/office/drawing/2014/chart" uri="{C3380CC4-5D6E-409C-BE32-E72D297353CC}">
              <c16:uniqueId val="{00000004-98D3-4D3D-B0D0-34C54A1A8D1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GRAFICA_32!$AA$20:$AA$21</c:f>
              <c:numCache>
                <c:formatCode>0.00</c:formatCode>
                <c:ptCount val="2"/>
                <c:pt idx="0">
                  <c:v>350</c:v>
                </c:pt>
                <c:pt idx="1">
                  <c:v>350</c:v>
                </c:pt>
              </c:numCache>
            </c:numRef>
          </c:xVal>
          <c:yVal>
            <c:numRef>
              <c:f>GRAFICA_32!$AB$20:$AB$21</c:f>
              <c:numCache>
                <c:formatCode>0.00</c:formatCode>
                <c:ptCount val="2"/>
                <c:pt idx="0">
                  <c:v>0</c:v>
                </c:pt>
                <c:pt idx="1">
                  <c:v>350</c:v>
                </c:pt>
              </c:numCache>
            </c:numRef>
          </c:yVal>
          <c:smooth val="0"/>
          <c:extLst>
            <c:ext xmlns:c16="http://schemas.microsoft.com/office/drawing/2014/chart" uri="{C3380CC4-5D6E-409C-BE32-E72D297353CC}">
              <c16:uniqueId val="{00000005-98D3-4D3D-B0D0-34C54A1A8D1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GRAFICA_32!$AA$23:$AA$24</c:f>
              <c:numCache>
                <c:formatCode>0.00</c:formatCode>
                <c:ptCount val="2"/>
                <c:pt idx="0">
                  <c:v>700</c:v>
                </c:pt>
                <c:pt idx="1">
                  <c:v>700</c:v>
                </c:pt>
              </c:numCache>
            </c:numRef>
          </c:xVal>
          <c:yVal>
            <c:numRef>
              <c:f>GRAFICA_32!$AB$23:$AB$24</c:f>
              <c:numCache>
                <c:formatCode>0.00</c:formatCode>
                <c:ptCount val="2"/>
                <c:pt idx="0">
                  <c:v>0</c:v>
                </c:pt>
                <c:pt idx="1">
                  <c:v>350</c:v>
                </c:pt>
              </c:numCache>
            </c:numRef>
          </c:yVal>
          <c:smooth val="0"/>
          <c:extLst>
            <c:ext xmlns:c16="http://schemas.microsoft.com/office/drawing/2014/chart" uri="{C3380CC4-5D6E-409C-BE32-E72D297353CC}">
              <c16:uniqueId val="{00000006-98D3-4D3D-B0D0-34C54A1A8D1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GRAFICA_32!$AA$26:$AA$27</c:f>
              <c:numCache>
                <c:formatCode>0.00</c:formatCode>
                <c:ptCount val="2"/>
                <c:pt idx="0">
                  <c:v>0</c:v>
                </c:pt>
                <c:pt idx="1">
                  <c:v>350</c:v>
                </c:pt>
              </c:numCache>
            </c:numRef>
          </c:xVal>
          <c:yVal>
            <c:numRef>
              <c:f>GRAFICA_32!$AB$26:$AB$27</c:f>
              <c:numCache>
                <c:formatCode>0.00</c:formatCode>
                <c:ptCount val="2"/>
                <c:pt idx="0">
                  <c:v>350</c:v>
                </c:pt>
                <c:pt idx="1">
                  <c:v>0</c:v>
                </c:pt>
              </c:numCache>
            </c:numRef>
          </c:yVal>
          <c:smooth val="0"/>
          <c:extLst>
            <c:ext xmlns:c16="http://schemas.microsoft.com/office/drawing/2014/chart" uri="{C3380CC4-5D6E-409C-BE32-E72D297353CC}">
              <c16:uniqueId val="{00000007-98D3-4D3D-B0D0-34C54A1A8D1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GRAFICA_32!$AA$29:$AA$30</c:f>
              <c:numCache>
                <c:formatCode>0.00</c:formatCode>
                <c:ptCount val="2"/>
                <c:pt idx="0">
                  <c:v>350</c:v>
                </c:pt>
                <c:pt idx="1">
                  <c:v>700</c:v>
                </c:pt>
              </c:numCache>
            </c:numRef>
          </c:xVal>
          <c:yVal>
            <c:numRef>
              <c:f>GRAFICA_32!$AB$29:$AB$30</c:f>
              <c:numCache>
                <c:formatCode>0.00</c:formatCode>
                <c:ptCount val="2"/>
                <c:pt idx="0">
                  <c:v>350</c:v>
                </c:pt>
                <c:pt idx="1">
                  <c:v>0</c:v>
                </c:pt>
              </c:numCache>
            </c:numRef>
          </c:yVal>
          <c:smooth val="0"/>
          <c:extLst>
            <c:ext xmlns:c16="http://schemas.microsoft.com/office/drawing/2014/chart" uri="{C3380CC4-5D6E-409C-BE32-E72D297353CC}">
              <c16:uniqueId val="{00000008-98D3-4D3D-B0D0-34C54A1A8D1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GRAFICA_33!$AA$5:$AA$6</c:f>
              <c:numCache>
                <c:formatCode>0.00</c:formatCode>
                <c:ptCount val="2"/>
                <c:pt idx="0">
                  <c:v>0</c:v>
                </c:pt>
                <c:pt idx="1">
                  <c:v>500</c:v>
                </c:pt>
              </c:numCache>
            </c:numRef>
          </c:xVal>
          <c:yVal>
            <c:numRef>
              <c:f>GRAFICA_33!$AB$5:$AB$6</c:f>
              <c:numCache>
                <c:formatCode>0.00</c:formatCode>
                <c:ptCount val="2"/>
                <c:pt idx="0">
                  <c:v>0</c:v>
                </c:pt>
                <c:pt idx="1">
                  <c:v>0</c:v>
                </c:pt>
              </c:numCache>
            </c:numRef>
          </c:yVal>
          <c:smooth val="0"/>
          <c:extLst>
            <c:ext xmlns:c16="http://schemas.microsoft.com/office/drawing/2014/chart" uri="{C3380CC4-5D6E-409C-BE32-E72D297353CC}">
              <c16:uniqueId val="{00000000-5664-4FAF-8660-C016646E8D9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GRAFICA_33!$AA$8:$AA$9</c:f>
              <c:numCache>
                <c:formatCode>0.00</c:formatCode>
                <c:ptCount val="2"/>
                <c:pt idx="0">
                  <c:v>0</c:v>
                </c:pt>
                <c:pt idx="1">
                  <c:v>100</c:v>
                </c:pt>
              </c:numCache>
            </c:numRef>
          </c:xVal>
          <c:yVal>
            <c:numRef>
              <c:f>GRAFICA_33!$AB$8:$AB$9</c:f>
              <c:numCache>
                <c:formatCode>0.00</c:formatCode>
                <c:ptCount val="2"/>
                <c:pt idx="0">
                  <c:v>0</c:v>
                </c:pt>
                <c:pt idx="1">
                  <c:v>350</c:v>
                </c:pt>
              </c:numCache>
            </c:numRef>
          </c:yVal>
          <c:smooth val="0"/>
          <c:extLst>
            <c:ext xmlns:c16="http://schemas.microsoft.com/office/drawing/2014/chart" uri="{C3380CC4-5D6E-409C-BE32-E72D297353CC}">
              <c16:uniqueId val="{00000001-5664-4FAF-8660-C016646E8D9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GRAFICA_33!$AA$11:$AA$12</c:f>
              <c:numCache>
                <c:formatCode>0.00</c:formatCode>
                <c:ptCount val="2"/>
                <c:pt idx="0">
                  <c:v>500</c:v>
                </c:pt>
                <c:pt idx="1">
                  <c:v>400</c:v>
                </c:pt>
              </c:numCache>
            </c:numRef>
          </c:xVal>
          <c:yVal>
            <c:numRef>
              <c:f>GRAFICA_33!$AB$11:$AB$12</c:f>
              <c:numCache>
                <c:formatCode>0.00</c:formatCode>
                <c:ptCount val="2"/>
                <c:pt idx="0">
                  <c:v>0</c:v>
                </c:pt>
                <c:pt idx="1">
                  <c:v>350</c:v>
                </c:pt>
              </c:numCache>
            </c:numRef>
          </c:yVal>
          <c:smooth val="0"/>
          <c:extLst>
            <c:ext xmlns:c16="http://schemas.microsoft.com/office/drawing/2014/chart" uri="{C3380CC4-5D6E-409C-BE32-E72D297353CC}">
              <c16:uniqueId val="{00000002-5664-4FAF-8660-C016646E8D9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GRAFICA_33!$AA$14:$AA$15</c:f>
              <c:numCache>
                <c:formatCode>0.00</c:formatCode>
                <c:ptCount val="2"/>
                <c:pt idx="0">
                  <c:v>100</c:v>
                </c:pt>
                <c:pt idx="1">
                  <c:v>400</c:v>
                </c:pt>
              </c:numCache>
            </c:numRef>
          </c:xVal>
          <c:yVal>
            <c:numRef>
              <c:f>GRAFICA_33!$AB$14:$AB$15</c:f>
              <c:numCache>
                <c:formatCode>0.00</c:formatCode>
                <c:ptCount val="2"/>
                <c:pt idx="0">
                  <c:v>350</c:v>
                </c:pt>
                <c:pt idx="1">
                  <c:v>350</c:v>
                </c:pt>
              </c:numCache>
            </c:numRef>
          </c:yVal>
          <c:smooth val="0"/>
          <c:extLst>
            <c:ext xmlns:c16="http://schemas.microsoft.com/office/drawing/2014/chart" uri="{C3380CC4-5D6E-409C-BE32-E72D297353CC}">
              <c16:uniqueId val="{00000003-5664-4FAF-8660-C016646E8D9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GRAFICA_33!$AA$17:$AA$18</c:f>
              <c:numCache>
                <c:formatCode>0.00</c:formatCode>
                <c:ptCount val="2"/>
                <c:pt idx="0">
                  <c:v>0</c:v>
                </c:pt>
                <c:pt idx="1">
                  <c:v>400</c:v>
                </c:pt>
              </c:numCache>
            </c:numRef>
          </c:xVal>
          <c:yVal>
            <c:numRef>
              <c:f>GRAFICA_33!$AB$17:$AB$18</c:f>
              <c:numCache>
                <c:formatCode>0.00</c:formatCode>
                <c:ptCount val="2"/>
                <c:pt idx="0">
                  <c:v>0</c:v>
                </c:pt>
                <c:pt idx="1">
                  <c:v>350</c:v>
                </c:pt>
              </c:numCache>
            </c:numRef>
          </c:yVal>
          <c:smooth val="0"/>
          <c:extLst>
            <c:ext xmlns:c16="http://schemas.microsoft.com/office/drawing/2014/chart" uri="{C3380CC4-5D6E-409C-BE32-E72D297353CC}">
              <c16:uniqueId val="{00000004-5664-4FAF-8660-C016646E8D9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GRAFICA_33!$AA$20:$AA$21</c:f>
              <c:numCache>
                <c:formatCode>0.00</c:formatCode>
                <c:ptCount val="2"/>
                <c:pt idx="0">
                  <c:v>100</c:v>
                </c:pt>
                <c:pt idx="1">
                  <c:v>150</c:v>
                </c:pt>
              </c:numCache>
            </c:numRef>
          </c:xVal>
          <c:yVal>
            <c:numRef>
              <c:f>GRAFICA_33!$AB$20:$AB$21</c:f>
              <c:numCache>
                <c:formatCode>0.00</c:formatCode>
                <c:ptCount val="2"/>
                <c:pt idx="0">
                  <c:v>350</c:v>
                </c:pt>
                <c:pt idx="1">
                  <c:v>700</c:v>
                </c:pt>
              </c:numCache>
            </c:numRef>
          </c:yVal>
          <c:smooth val="0"/>
          <c:extLst>
            <c:ext xmlns:c16="http://schemas.microsoft.com/office/drawing/2014/chart" uri="{C3380CC4-5D6E-409C-BE32-E72D297353CC}">
              <c16:uniqueId val="{00000005-5664-4FAF-8660-C016646E8D9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GRAFICA_33!$AA$23:$AA$24</c:f>
              <c:numCache>
                <c:formatCode>0.00</c:formatCode>
                <c:ptCount val="2"/>
                <c:pt idx="0">
                  <c:v>400</c:v>
                </c:pt>
                <c:pt idx="1">
                  <c:v>350</c:v>
                </c:pt>
              </c:numCache>
            </c:numRef>
          </c:xVal>
          <c:yVal>
            <c:numRef>
              <c:f>GRAFICA_33!$AB$23:$AB$24</c:f>
              <c:numCache>
                <c:formatCode>0.00</c:formatCode>
                <c:ptCount val="2"/>
                <c:pt idx="0">
                  <c:v>350</c:v>
                </c:pt>
                <c:pt idx="1">
                  <c:v>700</c:v>
                </c:pt>
              </c:numCache>
            </c:numRef>
          </c:yVal>
          <c:smooth val="0"/>
          <c:extLst>
            <c:ext xmlns:c16="http://schemas.microsoft.com/office/drawing/2014/chart" uri="{C3380CC4-5D6E-409C-BE32-E72D297353CC}">
              <c16:uniqueId val="{00000006-5664-4FAF-8660-C016646E8D9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GRAFICA_33!$AA$26:$AA$27</c:f>
              <c:numCache>
                <c:formatCode>0.00</c:formatCode>
                <c:ptCount val="2"/>
                <c:pt idx="0">
                  <c:v>150</c:v>
                </c:pt>
                <c:pt idx="1">
                  <c:v>350</c:v>
                </c:pt>
              </c:numCache>
            </c:numRef>
          </c:xVal>
          <c:yVal>
            <c:numRef>
              <c:f>GRAFICA_33!$AB$26:$AB$27</c:f>
              <c:numCache>
                <c:formatCode>0.00</c:formatCode>
                <c:ptCount val="2"/>
                <c:pt idx="0">
                  <c:v>700</c:v>
                </c:pt>
                <c:pt idx="1">
                  <c:v>700</c:v>
                </c:pt>
              </c:numCache>
            </c:numRef>
          </c:yVal>
          <c:smooth val="0"/>
          <c:extLst>
            <c:ext xmlns:c16="http://schemas.microsoft.com/office/drawing/2014/chart" uri="{C3380CC4-5D6E-409C-BE32-E72D297353CC}">
              <c16:uniqueId val="{00000007-5664-4FAF-8660-C016646E8D9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GRAFICA_33!$AA$29:$AA$30</c:f>
              <c:numCache>
                <c:formatCode>0.00</c:formatCode>
                <c:ptCount val="2"/>
                <c:pt idx="0">
                  <c:v>100</c:v>
                </c:pt>
                <c:pt idx="1">
                  <c:v>350</c:v>
                </c:pt>
              </c:numCache>
            </c:numRef>
          </c:xVal>
          <c:yVal>
            <c:numRef>
              <c:f>GRAFICA_33!$AB$29:$AB$30</c:f>
              <c:numCache>
                <c:formatCode>0.00</c:formatCode>
                <c:ptCount val="2"/>
                <c:pt idx="0">
                  <c:v>350</c:v>
                </c:pt>
                <c:pt idx="1">
                  <c:v>700</c:v>
                </c:pt>
              </c:numCache>
            </c:numRef>
          </c:yVal>
          <c:smooth val="0"/>
          <c:extLst>
            <c:ext xmlns:c16="http://schemas.microsoft.com/office/drawing/2014/chart" uri="{C3380CC4-5D6E-409C-BE32-E72D297353CC}">
              <c16:uniqueId val="{00000008-5664-4FAF-8660-C016646E8D9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GRAFICA_34!$AA$5:$AA$6</c:f>
              <c:numCache>
                <c:formatCode>0.00</c:formatCode>
                <c:ptCount val="2"/>
                <c:pt idx="0">
                  <c:v>0</c:v>
                </c:pt>
                <c:pt idx="1">
                  <c:v>300</c:v>
                </c:pt>
              </c:numCache>
            </c:numRef>
          </c:xVal>
          <c:yVal>
            <c:numRef>
              <c:f>GRAFICA_34!$AB$5:$AB$6</c:f>
              <c:numCache>
                <c:formatCode>0.00</c:formatCode>
                <c:ptCount val="2"/>
                <c:pt idx="0">
                  <c:v>0</c:v>
                </c:pt>
                <c:pt idx="1">
                  <c:v>0</c:v>
                </c:pt>
              </c:numCache>
            </c:numRef>
          </c:yVal>
          <c:smooth val="0"/>
          <c:extLst>
            <c:ext xmlns:c16="http://schemas.microsoft.com/office/drawing/2014/chart" uri="{C3380CC4-5D6E-409C-BE32-E72D297353CC}">
              <c16:uniqueId val="{00000000-F95D-40A0-9C0D-BC6571271AA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GRAFICA_34!$AA$8:$AA$9</c:f>
              <c:numCache>
                <c:formatCode>0.00</c:formatCode>
                <c:ptCount val="2"/>
                <c:pt idx="0">
                  <c:v>300</c:v>
                </c:pt>
                <c:pt idx="1">
                  <c:v>600</c:v>
                </c:pt>
              </c:numCache>
            </c:numRef>
          </c:xVal>
          <c:yVal>
            <c:numRef>
              <c:f>GRAFICA_34!$AB$8:$AB$9</c:f>
              <c:numCache>
                <c:formatCode>0.00</c:formatCode>
                <c:ptCount val="2"/>
                <c:pt idx="0">
                  <c:v>0</c:v>
                </c:pt>
                <c:pt idx="1">
                  <c:v>0</c:v>
                </c:pt>
              </c:numCache>
            </c:numRef>
          </c:yVal>
          <c:smooth val="0"/>
          <c:extLst>
            <c:ext xmlns:c16="http://schemas.microsoft.com/office/drawing/2014/chart" uri="{C3380CC4-5D6E-409C-BE32-E72D297353CC}">
              <c16:uniqueId val="{00000001-F95D-40A0-9C0D-BC6571271AA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GRAFICA_34!$AA$11:$AA$12</c:f>
              <c:numCache>
                <c:formatCode>0.00</c:formatCode>
                <c:ptCount val="2"/>
                <c:pt idx="0">
                  <c:v>600</c:v>
                </c:pt>
                <c:pt idx="1">
                  <c:v>900</c:v>
                </c:pt>
              </c:numCache>
            </c:numRef>
          </c:xVal>
          <c:yVal>
            <c:numRef>
              <c:f>GRAFICA_34!$AB$11:$AB$12</c:f>
              <c:numCache>
                <c:formatCode>0.00</c:formatCode>
                <c:ptCount val="2"/>
                <c:pt idx="0">
                  <c:v>0</c:v>
                </c:pt>
                <c:pt idx="1">
                  <c:v>0</c:v>
                </c:pt>
              </c:numCache>
            </c:numRef>
          </c:yVal>
          <c:smooth val="0"/>
          <c:extLst>
            <c:ext xmlns:c16="http://schemas.microsoft.com/office/drawing/2014/chart" uri="{C3380CC4-5D6E-409C-BE32-E72D297353CC}">
              <c16:uniqueId val="{00000002-F95D-40A0-9C0D-BC6571271AA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GRAFICA_34!$AA$14:$AA$15</c:f>
              <c:numCache>
                <c:formatCode>0.00</c:formatCode>
                <c:ptCount val="2"/>
                <c:pt idx="0">
                  <c:v>0</c:v>
                </c:pt>
                <c:pt idx="1">
                  <c:v>300</c:v>
                </c:pt>
              </c:numCache>
            </c:numRef>
          </c:xVal>
          <c:yVal>
            <c:numRef>
              <c:f>GRAFICA_34!$AB$14:$AB$15</c:f>
              <c:numCache>
                <c:formatCode>0.00</c:formatCode>
                <c:ptCount val="2"/>
                <c:pt idx="0">
                  <c:v>0</c:v>
                </c:pt>
                <c:pt idx="1">
                  <c:v>250</c:v>
                </c:pt>
              </c:numCache>
            </c:numRef>
          </c:yVal>
          <c:smooth val="0"/>
          <c:extLst>
            <c:ext xmlns:c16="http://schemas.microsoft.com/office/drawing/2014/chart" uri="{C3380CC4-5D6E-409C-BE32-E72D297353CC}">
              <c16:uniqueId val="{00000003-F95D-40A0-9C0D-BC6571271AA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GRAFICA_34!$AA$17:$AA$18</c:f>
              <c:numCache>
                <c:formatCode>0.00</c:formatCode>
                <c:ptCount val="2"/>
                <c:pt idx="0">
                  <c:v>300</c:v>
                </c:pt>
                <c:pt idx="1">
                  <c:v>600</c:v>
                </c:pt>
              </c:numCache>
            </c:numRef>
          </c:xVal>
          <c:yVal>
            <c:numRef>
              <c:f>GRAFICA_34!$AB$17:$AB$18</c:f>
              <c:numCache>
                <c:formatCode>0.00</c:formatCode>
                <c:ptCount val="2"/>
                <c:pt idx="0">
                  <c:v>250</c:v>
                </c:pt>
                <c:pt idx="1">
                  <c:v>250</c:v>
                </c:pt>
              </c:numCache>
            </c:numRef>
          </c:yVal>
          <c:smooth val="0"/>
          <c:extLst>
            <c:ext xmlns:c16="http://schemas.microsoft.com/office/drawing/2014/chart" uri="{C3380CC4-5D6E-409C-BE32-E72D297353CC}">
              <c16:uniqueId val="{00000004-F95D-40A0-9C0D-BC6571271AA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GRAFICA_34!$AA$20:$AA$21</c:f>
              <c:numCache>
                <c:formatCode>0.00</c:formatCode>
                <c:ptCount val="2"/>
                <c:pt idx="0">
                  <c:v>600</c:v>
                </c:pt>
                <c:pt idx="1">
                  <c:v>900</c:v>
                </c:pt>
              </c:numCache>
            </c:numRef>
          </c:xVal>
          <c:yVal>
            <c:numRef>
              <c:f>GRAFICA_34!$AB$20:$AB$21</c:f>
              <c:numCache>
                <c:formatCode>0.00</c:formatCode>
                <c:ptCount val="2"/>
                <c:pt idx="0">
                  <c:v>250</c:v>
                </c:pt>
                <c:pt idx="1">
                  <c:v>0</c:v>
                </c:pt>
              </c:numCache>
            </c:numRef>
          </c:yVal>
          <c:smooth val="0"/>
          <c:extLst>
            <c:ext xmlns:c16="http://schemas.microsoft.com/office/drawing/2014/chart" uri="{C3380CC4-5D6E-409C-BE32-E72D297353CC}">
              <c16:uniqueId val="{00000005-F95D-40A0-9C0D-BC6571271AA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GRAFICA_34!$AA$23:$AA$24</c:f>
              <c:numCache>
                <c:formatCode>0.00</c:formatCode>
                <c:ptCount val="2"/>
                <c:pt idx="0">
                  <c:v>300</c:v>
                </c:pt>
                <c:pt idx="1">
                  <c:v>300</c:v>
                </c:pt>
              </c:numCache>
            </c:numRef>
          </c:xVal>
          <c:yVal>
            <c:numRef>
              <c:f>GRAFICA_34!$AB$23:$AB$24</c:f>
              <c:numCache>
                <c:formatCode>0.00</c:formatCode>
                <c:ptCount val="2"/>
                <c:pt idx="0">
                  <c:v>0</c:v>
                </c:pt>
                <c:pt idx="1">
                  <c:v>250</c:v>
                </c:pt>
              </c:numCache>
            </c:numRef>
          </c:yVal>
          <c:smooth val="0"/>
          <c:extLst>
            <c:ext xmlns:c16="http://schemas.microsoft.com/office/drawing/2014/chart" uri="{C3380CC4-5D6E-409C-BE32-E72D297353CC}">
              <c16:uniqueId val="{00000006-F95D-40A0-9C0D-BC6571271AA3}"/>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GRAFICA_34!$AA$26:$AA$27</c:f>
              <c:numCache>
                <c:formatCode>0.00</c:formatCode>
                <c:ptCount val="2"/>
                <c:pt idx="0">
                  <c:v>600</c:v>
                </c:pt>
                <c:pt idx="1">
                  <c:v>600</c:v>
                </c:pt>
              </c:numCache>
            </c:numRef>
          </c:xVal>
          <c:yVal>
            <c:numRef>
              <c:f>GRAFICA_34!$AB$26:$AB$27</c:f>
              <c:numCache>
                <c:formatCode>0.00</c:formatCode>
                <c:ptCount val="2"/>
                <c:pt idx="0">
                  <c:v>0</c:v>
                </c:pt>
                <c:pt idx="1">
                  <c:v>250</c:v>
                </c:pt>
              </c:numCache>
            </c:numRef>
          </c:yVal>
          <c:smooth val="0"/>
          <c:extLst>
            <c:ext xmlns:c16="http://schemas.microsoft.com/office/drawing/2014/chart" uri="{C3380CC4-5D6E-409C-BE32-E72D297353CC}">
              <c16:uniqueId val="{00000007-F95D-40A0-9C0D-BC6571271AA3}"/>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GRAFICA_34!$AA$29:$AA$30</c:f>
              <c:numCache>
                <c:formatCode>0.00</c:formatCode>
                <c:ptCount val="2"/>
                <c:pt idx="0">
                  <c:v>300</c:v>
                </c:pt>
                <c:pt idx="1">
                  <c:v>600</c:v>
                </c:pt>
              </c:numCache>
            </c:numRef>
          </c:xVal>
          <c:yVal>
            <c:numRef>
              <c:f>GRAFICA_34!$AB$29:$AB$30</c:f>
              <c:numCache>
                <c:formatCode>0.00</c:formatCode>
                <c:ptCount val="2"/>
                <c:pt idx="0">
                  <c:v>250</c:v>
                </c:pt>
                <c:pt idx="1">
                  <c:v>0</c:v>
                </c:pt>
              </c:numCache>
            </c:numRef>
          </c:yVal>
          <c:smooth val="0"/>
          <c:extLst>
            <c:ext xmlns:c16="http://schemas.microsoft.com/office/drawing/2014/chart" uri="{C3380CC4-5D6E-409C-BE32-E72D297353CC}">
              <c16:uniqueId val="{00000008-F95D-40A0-9C0D-BC6571271AA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GRAFICA_35!$AA$5:$AA$6</c:f>
              <c:numCache>
                <c:formatCode>0.00</c:formatCode>
                <c:ptCount val="2"/>
                <c:pt idx="0">
                  <c:v>0</c:v>
                </c:pt>
                <c:pt idx="1">
                  <c:v>300</c:v>
                </c:pt>
              </c:numCache>
            </c:numRef>
          </c:xVal>
          <c:yVal>
            <c:numRef>
              <c:f>GRAFICA_35!$AB$5:$AB$6</c:f>
              <c:numCache>
                <c:formatCode>0.00</c:formatCode>
                <c:ptCount val="2"/>
                <c:pt idx="0">
                  <c:v>0</c:v>
                </c:pt>
                <c:pt idx="1">
                  <c:v>0</c:v>
                </c:pt>
              </c:numCache>
            </c:numRef>
          </c:yVal>
          <c:smooth val="0"/>
          <c:extLst>
            <c:ext xmlns:c16="http://schemas.microsoft.com/office/drawing/2014/chart" uri="{C3380CC4-5D6E-409C-BE32-E72D297353CC}">
              <c16:uniqueId val="{00000000-1F80-492C-BE03-51309A0AF94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GRAFICA_35!$AA$8:$AA$9</c:f>
              <c:numCache>
                <c:formatCode>0.00</c:formatCode>
                <c:ptCount val="2"/>
                <c:pt idx="0">
                  <c:v>300</c:v>
                </c:pt>
                <c:pt idx="1">
                  <c:v>600</c:v>
                </c:pt>
              </c:numCache>
            </c:numRef>
          </c:xVal>
          <c:yVal>
            <c:numRef>
              <c:f>GRAFICA_35!$AB$8:$AB$9</c:f>
              <c:numCache>
                <c:formatCode>0.00</c:formatCode>
                <c:ptCount val="2"/>
                <c:pt idx="0">
                  <c:v>0</c:v>
                </c:pt>
                <c:pt idx="1">
                  <c:v>0</c:v>
                </c:pt>
              </c:numCache>
            </c:numRef>
          </c:yVal>
          <c:smooth val="0"/>
          <c:extLst>
            <c:ext xmlns:c16="http://schemas.microsoft.com/office/drawing/2014/chart" uri="{C3380CC4-5D6E-409C-BE32-E72D297353CC}">
              <c16:uniqueId val="{00000001-1F80-492C-BE03-51309A0AF94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GRAFICA_35!$AA$11:$AA$12</c:f>
              <c:numCache>
                <c:formatCode>0.00</c:formatCode>
                <c:ptCount val="2"/>
                <c:pt idx="0">
                  <c:v>600</c:v>
                </c:pt>
                <c:pt idx="1">
                  <c:v>900</c:v>
                </c:pt>
              </c:numCache>
            </c:numRef>
          </c:xVal>
          <c:yVal>
            <c:numRef>
              <c:f>GRAFICA_35!$AB$11:$AB$12</c:f>
              <c:numCache>
                <c:formatCode>0.00</c:formatCode>
                <c:ptCount val="2"/>
                <c:pt idx="0">
                  <c:v>0</c:v>
                </c:pt>
                <c:pt idx="1">
                  <c:v>0</c:v>
                </c:pt>
              </c:numCache>
            </c:numRef>
          </c:yVal>
          <c:smooth val="0"/>
          <c:extLst>
            <c:ext xmlns:c16="http://schemas.microsoft.com/office/drawing/2014/chart" uri="{C3380CC4-5D6E-409C-BE32-E72D297353CC}">
              <c16:uniqueId val="{00000002-1F80-492C-BE03-51309A0AF94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GRAFICA_35!$AA$14:$AA$15</c:f>
              <c:numCache>
                <c:formatCode>0.00</c:formatCode>
                <c:ptCount val="2"/>
                <c:pt idx="0">
                  <c:v>300</c:v>
                </c:pt>
                <c:pt idx="1">
                  <c:v>600</c:v>
                </c:pt>
              </c:numCache>
            </c:numRef>
          </c:xVal>
          <c:yVal>
            <c:numRef>
              <c:f>GRAFICA_35!$AB$14:$AB$15</c:f>
              <c:numCache>
                <c:formatCode>0.00</c:formatCode>
                <c:ptCount val="2"/>
                <c:pt idx="0">
                  <c:v>350</c:v>
                </c:pt>
                <c:pt idx="1">
                  <c:v>350</c:v>
                </c:pt>
              </c:numCache>
            </c:numRef>
          </c:yVal>
          <c:smooth val="0"/>
          <c:extLst>
            <c:ext xmlns:c16="http://schemas.microsoft.com/office/drawing/2014/chart" uri="{C3380CC4-5D6E-409C-BE32-E72D297353CC}">
              <c16:uniqueId val="{00000003-1F80-492C-BE03-51309A0AF94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GRAFICA_35!$AA$17:$AA$18</c:f>
              <c:numCache>
                <c:formatCode>0.00</c:formatCode>
                <c:ptCount val="2"/>
                <c:pt idx="0">
                  <c:v>0</c:v>
                </c:pt>
                <c:pt idx="1">
                  <c:v>300</c:v>
                </c:pt>
              </c:numCache>
            </c:numRef>
          </c:xVal>
          <c:yVal>
            <c:numRef>
              <c:f>GRAFICA_35!$AB$17:$AB$18</c:f>
              <c:numCache>
                <c:formatCode>0.00</c:formatCode>
                <c:ptCount val="2"/>
                <c:pt idx="0">
                  <c:v>0</c:v>
                </c:pt>
                <c:pt idx="1">
                  <c:v>350</c:v>
                </c:pt>
              </c:numCache>
            </c:numRef>
          </c:yVal>
          <c:smooth val="0"/>
          <c:extLst>
            <c:ext xmlns:c16="http://schemas.microsoft.com/office/drawing/2014/chart" uri="{C3380CC4-5D6E-409C-BE32-E72D297353CC}">
              <c16:uniqueId val="{00000004-1F80-492C-BE03-51309A0AF94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GRAFICA_35!$AA$20:$AA$21</c:f>
              <c:numCache>
                <c:formatCode>0.00</c:formatCode>
                <c:ptCount val="2"/>
                <c:pt idx="0">
                  <c:v>300</c:v>
                </c:pt>
                <c:pt idx="1">
                  <c:v>300</c:v>
                </c:pt>
              </c:numCache>
            </c:numRef>
          </c:xVal>
          <c:yVal>
            <c:numRef>
              <c:f>GRAFICA_35!$AB$20:$AB$21</c:f>
              <c:numCache>
                <c:formatCode>0.00</c:formatCode>
                <c:ptCount val="2"/>
                <c:pt idx="0">
                  <c:v>350</c:v>
                </c:pt>
                <c:pt idx="1">
                  <c:v>0</c:v>
                </c:pt>
              </c:numCache>
            </c:numRef>
          </c:yVal>
          <c:smooth val="0"/>
          <c:extLst>
            <c:ext xmlns:c16="http://schemas.microsoft.com/office/drawing/2014/chart" uri="{C3380CC4-5D6E-409C-BE32-E72D297353CC}">
              <c16:uniqueId val="{00000005-1F80-492C-BE03-51309A0AF94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GRAFICA_35!$AA$23:$AA$24</c:f>
              <c:numCache>
                <c:formatCode>0.00</c:formatCode>
                <c:ptCount val="2"/>
                <c:pt idx="0">
                  <c:v>300</c:v>
                </c:pt>
                <c:pt idx="1">
                  <c:v>600</c:v>
                </c:pt>
              </c:numCache>
            </c:numRef>
          </c:xVal>
          <c:yVal>
            <c:numRef>
              <c:f>GRAFICA_35!$AB$23:$AB$24</c:f>
              <c:numCache>
                <c:formatCode>0.00</c:formatCode>
                <c:ptCount val="2"/>
                <c:pt idx="0">
                  <c:v>0</c:v>
                </c:pt>
                <c:pt idx="1">
                  <c:v>350</c:v>
                </c:pt>
              </c:numCache>
            </c:numRef>
          </c:yVal>
          <c:smooth val="0"/>
          <c:extLst>
            <c:ext xmlns:c16="http://schemas.microsoft.com/office/drawing/2014/chart" uri="{C3380CC4-5D6E-409C-BE32-E72D297353CC}">
              <c16:uniqueId val="{00000006-1F80-492C-BE03-51309A0AF94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GRAFICA_35!$AA$26:$AA$27</c:f>
              <c:numCache>
                <c:formatCode>0.00</c:formatCode>
                <c:ptCount val="2"/>
                <c:pt idx="0">
                  <c:v>600</c:v>
                </c:pt>
                <c:pt idx="1">
                  <c:v>600</c:v>
                </c:pt>
              </c:numCache>
            </c:numRef>
          </c:xVal>
          <c:yVal>
            <c:numRef>
              <c:f>GRAFICA_35!$AB$26:$AB$27</c:f>
              <c:numCache>
                <c:formatCode>0.00</c:formatCode>
                <c:ptCount val="2"/>
                <c:pt idx="0">
                  <c:v>350</c:v>
                </c:pt>
                <c:pt idx="1">
                  <c:v>0</c:v>
                </c:pt>
              </c:numCache>
            </c:numRef>
          </c:yVal>
          <c:smooth val="0"/>
          <c:extLst>
            <c:ext xmlns:c16="http://schemas.microsoft.com/office/drawing/2014/chart" uri="{C3380CC4-5D6E-409C-BE32-E72D297353CC}">
              <c16:uniqueId val="{00000007-1F80-492C-BE03-51309A0AF94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GRAFICA_35!$AA$29:$AA$30</c:f>
              <c:numCache>
                <c:formatCode>0.00</c:formatCode>
                <c:ptCount val="2"/>
                <c:pt idx="0">
                  <c:v>600</c:v>
                </c:pt>
                <c:pt idx="1">
                  <c:v>900</c:v>
                </c:pt>
              </c:numCache>
            </c:numRef>
          </c:xVal>
          <c:yVal>
            <c:numRef>
              <c:f>GRAFICA_35!$AB$29:$AB$30</c:f>
              <c:numCache>
                <c:formatCode>0.00</c:formatCode>
                <c:ptCount val="2"/>
                <c:pt idx="0">
                  <c:v>350</c:v>
                </c:pt>
                <c:pt idx="1">
                  <c:v>0</c:v>
                </c:pt>
              </c:numCache>
            </c:numRef>
          </c:yVal>
          <c:smooth val="0"/>
          <c:extLst>
            <c:ext xmlns:c16="http://schemas.microsoft.com/office/drawing/2014/chart" uri="{C3380CC4-5D6E-409C-BE32-E72D297353CC}">
              <c16:uniqueId val="{00000008-1F80-492C-BE03-51309A0AF94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GRAFICA_36!$AA$5:$AA$6</c:f>
              <c:numCache>
                <c:formatCode>0.00</c:formatCode>
                <c:ptCount val="2"/>
                <c:pt idx="0">
                  <c:v>0</c:v>
                </c:pt>
                <c:pt idx="1">
                  <c:v>400</c:v>
                </c:pt>
              </c:numCache>
            </c:numRef>
          </c:xVal>
          <c:yVal>
            <c:numRef>
              <c:f>GRAFICA_36!$AB$5:$AB$6</c:f>
              <c:numCache>
                <c:formatCode>0.00</c:formatCode>
                <c:ptCount val="2"/>
                <c:pt idx="0">
                  <c:v>0</c:v>
                </c:pt>
                <c:pt idx="1">
                  <c:v>0</c:v>
                </c:pt>
              </c:numCache>
            </c:numRef>
          </c:yVal>
          <c:smooth val="0"/>
          <c:extLst>
            <c:ext xmlns:c16="http://schemas.microsoft.com/office/drawing/2014/chart" uri="{C3380CC4-5D6E-409C-BE32-E72D297353CC}">
              <c16:uniqueId val="{00000000-D3F6-4D64-8D0E-A97480AFAFD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GRAFICA_36!$AA$8:$AA$9</c:f>
              <c:numCache>
                <c:formatCode>0.00</c:formatCode>
                <c:ptCount val="2"/>
                <c:pt idx="0">
                  <c:v>400</c:v>
                </c:pt>
                <c:pt idx="1">
                  <c:v>800</c:v>
                </c:pt>
              </c:numCache>
            </c:numRef>
          </c:xVal>
          <c:yVal>
            <c:numRef>
              <c:f>GRAFICA_36!$AB$8:$AB$9</c:f>
              <c:numCache>
                <c:formatCode>0.00</c:formatCode>
                <c:ptCount val="2"/>
                <c:pt idx="0">
                  <c:v>0</c:v>
                </c:pt>
                <c:pt idx="1">
                  <c:v>0</c:v>
                </c:pt>
              </c:numCache>
            </c:numRef>
          </c:yVal>
          <c:smooth val="0"/>
          <c:extLst>
            <c:ext xmlns:c16="http://schemas.microsoft.com/office/drawing/2014/chart" uri="{C3380CC4-5D6E-409C-BE32-E72D297353CC}">
              <c16:uniqueId val="{00000001-D3F6-4D64-8D0E-A97480AFAFD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GRAFICA_36!$AA$11:$AA$12</c:f>
              <c:numCache>
                <c:formatCode>0.00</c:formatCode>
                <c:ptCount val="2"/>
                <c:pt idx="0">
                  <c:v>800</c:v>
                </c:pt>
                <c:pt idx="1">
                  <c:v>1200</c:v>
                </c:pt>
              </c:numCache>
            </c:numRef>
          </c:xVal>
          <c:yVal>
            <c:numRef>
              <c:f>GRAFICA_36!$AB$11:$AB$12</c:f>
              <c:numCache>
                <c:formatCode>0.00</c:formatCode>
                <c:ptCount val="2"/>
                <c:pt idx="0">
                  <c:v>0</c:v>
                </c:pt>
                <c:pt idx="1">
                  <c:v>0</c:v>
                </c:pt>
              </c:numCache>
            </c:numRef>
          </c:yVal>
          <c:smooth val="0"/>
          <c:extLst>
            <c:ext xmlns:c16="http://schemas.microsoft.com/office/drawing/2014/chart" uri="{C3380CC4-5D6E-409C-BE32-E72D297353CC}">
              <c16:uniqueId val="{00000002-D3F6-4D64-8D0E-A97480AFAFD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GRAFICA_36!$AA$14:$AA$15</c:f>
              <c:numCache>
                <c:formatCode>0.00</c:formatCode>
                <c:ptCount val="2"/>
                <c:pt idx="0">
                  <c:v>0</c:v>
                </c:pt>
                <c:pt idx="1">
                  <c:v>200</c:v>
                </c:pt>
              </c:numCache>
            </c:numRef>
          </c:xVal>
          <c:yVal>
            <c:numRef>
              <c:f>GRAFICA_36!$AB$14:$AB$15</c:f>
              <c:numCache>
                <c:formatCode>0.00</c:formatCode>
                <c:ptCount val="2"/>
                <c:pt idx="0">
                  <c:v>0</c:v>
                </c:pt>
                <c:pt idx="1">
                  <c:v>350</c:v>
                </c:pt>
              </c:numCache>
            </c:numRef>
          </c:yVal>
          <c:smooth val="0"/>
          <c:extLst>
            <c:ext xmlns:c16="http://schemas.microsoft.com/office/drawing/2014/chart" uri="{C3380CC4-5D6E-409C-BE32-E72D297353CC}">
              <c16:uniqueId val="{00000003-D3F6-4D64-8D0E-A97480AFAFD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GRAFICA_36!$AA$17:$AA$18</c:f>
              <c:numCache>
                <c:formatCode>0.00</c:formatCode>
                <c:ptCount val="2"/>
                <c:pt idx="0">
                  <c:v>200</c:v>
                </c:pt>
                <c:pt idx="1">
                  <c:v>400</c:v>
                </c:pt>
              </c:numCache>
            </c:numRef>
          </c:xVal>
          <c:yVal>
            <c:numRef>
              <c:f>GRAFICA_36!$AB$17:$AB$18</c:f>
              <c:numCache>
                <c:formatCode>0.00</c:formatCode>
                <c:ptCount val="2"/>
                <c:pt idx="0">
                  <c:v>350</c:v>
                </c:pt>
                <c:pt idx="1">
                  <c:v>0</c:v>
                </c:pt>
              </c:numCache>
            </c:numRef>
          </c:yVal>
          <c:smooth val="0"/>
          <c:extLst>
            <c:ext xmlns:c16="http://schemas.microsoft.com/office/drawing/2014/chart" uri="{C3380CC4-5D6E-409C-BE32-E72D297353CC}">
              <c16:uniqueId val="{00000004-D3F6-4D64-8D0E-A97480AFAFD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GRAFICA_36!$AA$20:$AA$21</c:f>
              <c:numCache>
                <c:formatCode>0.00</c:formatCode>
                <c:ptCount val="2"/>
                <c:pt idx="0">
                  <c:v>200</c:v>
                </c:pt>
                <c:pt idx="1">
                  <c:v>600</c:v>
                </c:pt>
              </c:numCache>
            </c:numRef>
          </c:xVal>
          <c:yVal>
            <c:numRef>
              <c:f>GRAFICA_36!$AB$20:$AB$21</c:f>
              <c:numCache>
                <c:formatCode>0.00</c:formatCode>
                <c:ptCount val="2"/>
                <c:pt idx="0">
                  <c:v>350</c:v>
                </c:pt>
                <c:pt idx="1">
                  <c:v>350</c:v>
                </c:pt>
              </c:numCache>
            </c:numRef>
          </c:yVal>
          <c:smooth val="0"/>
          <c:extLst>
            <c:ext xmlns:c16="http://schemas.microsoft.com/office/drawing/2014/chart" uri="{C3380CC4-5D6E-409C-BE32-E72D297353CC}">
              <c16:uniqueId val="{00000005-D3F6-4D64-8D0E-A97480AFAFD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GRAFICA_36!$AA$23:$AA$24</c:f>
              <c:numCache>
                <c:formatCode>0.00</c:formatCode>
                <c:ptCount val="2"/>
                <c:pt idx="0">
                  <c:v>400</c:v>
                </c:pt>
                <c:pt idx="1">
                  <c:v>600</c:v>
                </c:pt>
              </c:numCache>
            </c:numRef>
          </c:xVal>
          <c:yVal>
            <c:numRef>
              <c:f>GRAFICA_36!$AB$23:$AB$24</c:f>
              <c:numCache>
                <c:formatCode>0.00</c:formatCode>
                <c:ptCount val="2"/>
                <c:pt idx="0">
                  <c:v>0</c:v>
                </c:pt>
                <c:pt idx="1">
                  <c:v>350</c:v>
                </c:pt>
              </c:numCache>
            </c:numRef>
          </c:yVal>
          <c:smooth val="0"/>
          <c:extLst>
            <c:ext xmlns:c16="http://schemas.microsoft.com/office/drawing/2014/chart" uri="{C3380CC4-5D6E-409C-BE32-E72D297353CC}">
              <c16:uniqueId val="{00000006-D3F6-4D64-8D0E-A97480AFAFD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GRAFICA_36!$AA$26:$AA$27</c:f>
              <c:numCache>
                <c:formatCode>0.00</c:formatCode>
                <c:ptCount val="2"/>
                <c:pt idx="0">
                  <c:v>600</c:v>
                </c:pt>
                <c:pt idx="1">
                  <c:v>800</c:v>
                </c:pt>
              </c:numCache>
            </c:numRef>
          </c:xVal>
          <c:yVal>
            <c:numRef>
              <c:f>GRAFICA_36!$AB$26:$AB$27</c:f>
              <c:numCache>
                <c:formatCode>0.00</c:formatCode>
                <c:ptCount val="2"/>
                <c:pt idx="0">
                  <c:v>350</c:v>
                </c:pt>
                <c:pt idx="1">
                  <c:v>0</c:v>
                </c:pt>
              </c:numCache>
            </c:numRef>
          </c:yVal>
          <c:smooth val="0"/>
          <c:extLst>
            <c:ext xmlns:c16="http://schemas.microsoft.com/office/drawing/2014/chart" uri="{C3380CC4-5D6E-409C-BE32-E72D297353CC}">
              <c16:uniqueId val="{00000007-D3F6-4D64-8D0E-A97480AFAFD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GRAFICA_36!$AA$29:$AA$30</c:f>
              <c:numCache>
                <c:formatCode>0.00</c:formatCode>
                <c:ptCount val="2"/>
                <c:pt idx="0">
                  <c:v>600</c:v>
                </c:pt>
                <c:pt idx="1">
                  <c:v>1000</c:v>
                </c:pt>
              </c:numCache>
            </c:numRef>
          </c:xVal>
          <c:yVal>
            <c:numRef>
              <c:f>GRAFICA_36!$AB$29:$AB$30</c:f>
              <c:numCache>
                <c:formatCode>0.00</c:formatCode>
                <c:ptCount val="2"/>
                <c:pt idx="0">
                  <c:v>350</c:v>
                </c:pt>
                <c:pt idx="1">
                  <c:v>350</c:v>
                </c:pt>
              </c:numCache>
            </c:numRef>
          </c:yVal>
          <c:smooth val="0"/>
          <c:extLst>
            <c:ext xmlns:c16="http://schemas.microsoft.com/office/drawing/2014/chart" uri="{C3380CC4-5D6E-409C-BE32-E72D297353CC}">
              <c16:uniqueId val="{00000008-D3F6-4D64-8D0E-A97480AFAFD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GRAFICA_36!$AA$32:$AA$33</c:f>
              <c:numCache>
                <c:formatCode>0.00</c:formatCode>
                <c:ptCount val="2"/>
                <c:pt idx="0">
                  <c:v>1000</c:v>
                </c:pt>
                <c:pt idx="1">
                  <c:v>800</c:v>
                </c:pt>
              </c:numCache>
            </c:numRef>
          </c:xVal>
          <c:yVal>
            <c:numRef>
              <c:f>GRAFICA_36!$AB$32:$AB$33</c:f>
              <c:numCache>
                <c:formatCode>0.00</c:formatCode>
                <c:ptCount val="2"/>
                <c:pt idx="0">
                  <c:v>350</c:v>
                </c:pt>
                <c:pt idx="1">
                  <c:v>0</c:v>
                </c:pt>
              </c:numCache>
            </c:numRef>
          </c:yVal>
          <c:smooth val="0"/>
          <c:extLst>
            <c:ext xmlns:c16="http://schemas.microsoft.com/office/drawing/2014/chart" uri="{C3380CC4-5D6E-409C-BE32-E72D297353CC}">
              <c16:uniqueId val="{00000009-D3F6-4D64-8D0E-A97480AFAFD5}"/>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GRAFICA_36!$AA$35:$AA$36</c:f>
              <c:numCache>
                <c:formatCode>0.00</c:formatCode>
                <c:ptCount val="2"/>
                <c:pt idx="0">
                  <c:v>1000</c:v>
                </c:pt>
                <c:pt idx="1">
                  <c:v>1200</c:v>
                </c:pt>
              </c:numCache>
            </c:numRef>
          </c:xVal>
          <c:yVal>
            <c:numRef>
              <c:f>GRAFICA_36!$AB$35:$AB$36</c:f>
              <c:numCache>
                <c:formatCode>0.00</c:formatCode>
                <c:ptCount val="2"/>
                <c:pt idx="0">
                  <c:v>350</c:v>
                </c:pt>
                <c:pt idx="1">
                  <c:v>0</c:v>
                </c:pt>
              </c:numCache>
            </c:numRef>
          </c:yVal>
          <c:smooth val="0"/>
          <c:extLst>
            <c:ext xmlns:c16="http://schemas.microsoft.com/office/drawing/2014/chart" uri="{C3380CC4-5D6E-409C-BE32-E72D297353CC}">
              <c16:uniqueId val="{0000000A-D3F6-4D64-8D0E-A97480AFAFD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GRAFICA_37!$AA$5:$AA$6</c:f>
              <c:numCache>
                <c:formatCode>0.00</c:formatCode>
                <c:ptCount val="2"/>
                <c:pt idx="0">
                  <c:v>0</c:v>
                </c:pt>
                <c:pt idx="1">
                  <c:v>400</c:v>
                </c:pt>
              </c:numCache>
            </c:numRef>
          </c:xVal>
          <c:yVal>
            <c:numRef>
              <c:f>GRAFICA_37!$AB$5:$AB$6</c:f>
              <c:numCache>
                <c:formatCode>0.00</c:formatCode>
                <c:ptCount val="2"/>
                <c:pt idx="0">
                  <c:v>0</c:v>
                </c:pt>
                <c:pt idx="1">
                  <c:v>0</c:v>
                </c:pt>
              </c:numCache>
            </c:numRef>
          </c:yVal>
          <c:smooth val="0"/>
          <c:extLst>
            <c:ext xmlns:c16="http://schemas.microsoft.com/office/drawing/2014/chart" uri="{C3380CC4-5D6E-409C-BE32-E72D297353CC}">
              <c16:uniqueId val="{00000000-6BE6-40D4-A5B2-6C9B524CDAE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GRAFICA_37!$AA$8:$AA$9</c:f>
              <c:numCache>
                <c:formatCode>0.00</c:formatCode>
                <c:ptCount val="2"/>
                <c:pt idx="0">
                  <c:v>400</c:v>
                </c:pt>
                <c:pt idx="1">
                  <c:v>800</c:v>
                </c:pt>
              </c:numCache>
            </c:numRef>
          </c:xVal>
          <c:yVal>
            <c:numRef>
              <c:f>GRAFICA_37!$AB$8:$AB$9</c:f>
              <c:numCache>
                <c:formatCode>0.00</c:formatCode>
                <c:ptCount val="2"/>
                <c:pt idx="0">
                  <c:v>0</c:v>
                </c:pt>
                <c:pt idx="1">
                  <c:v>0</c:v>
                </c:pt>
              </c:numCache>
            </c:numRef>
          </c:yVal>
          <c:smooth val="0"/>
          <c:extLst>
            <c:ext xmlns:c16="http://schemas.microsoft.com/office/drawing/2014/chart" uri="{C3380CC4-5D6E-409C-BE32-E72D297353CC}">
              <c16:uniqueId val="{00000001-6BE6-40D4-A5B2-6C9B524CDAE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GRAFICA_37!$AA$11:$AA$12</c:f>
              <c:numCache>
                <c:formatCode>0.00</c:formatCode>
                <c:ptCount val="2"/>
                <c:pt idx="0">
                  <c:v>800</c:v>
                </c:pt>
                <c:pt idx="1">
                  <c:v>1200</c:v>
                </c:pt>
              </c:numCache>
            </c:numRef>
          </c:xVal>
          <c:yVal>
            <c:numRef>
              <c:f>GRAFICA_37!$AB$11:$AB$12</c:f>
              <c:numCache>
                <c:formatCode>0.00</c:formatCode>
                <c:ptCount val="2"/>
                <c:pt idx="0">
                  <c:v>0</c:v>
                </c:pt>
                <c:pt idx="1">
                  <c:v>0</c:v>
                </c:pt>
              </c:numCache>
            </c:numRef>
          </c:yVal>
          <c:smooth val="0"/>
          <c:extLst>
            <c:ext xmlns:c16="http://schemas.microsoft.com/office/drawing/2014/chart" uri="{C3380CC4-5D6E-409C-BE32-E72D297353CC}">
              <c16:uniqueId val="{00000002-6BE6-40D4-A5B2-6C9B524CDAE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GRAFICA_37!$AA$14:$AA$15</c:f>
              <c:numCache>
                <c:formatCode>0.00</c:formatCode>
                <c:ptCount val="2"/>
                <c:pt idx="0">
                  <c:v>0</c:v>
                </c:pt>
                <c:pt idx="1">
                  <c:v>200</c:v>
                </c:pt>
              </c:numCache>
            </c:numRef>
          </c:xVal>
          <c:yVal>
            <c:numRef>
              <c:f>GRAFICA_37!$AB$14:$AB$15</c:f>
              <c:numCache>
                <c:formatCode>0.00</c:formatCode>
                <c:ptCount val="2"/>
                <c:pt idx="0">
                  <c:v>0</c:v>
                </c:pt>
                <c:pt idx="1">
                  <c:v>360</c:v>
                </c:pt>
              </c:numCache>
            </c:numRef>
          </c:yVal>
          <c:smooth val="0"/>
          <c:extLst>
            <c:ext xmlns:c16="http://schemas.microsoft.com/office/drawing/2014/chart" uri="{C3380CC4-5D6E-409C-BE32-E72D297353CC}">
              <c16:uniqueId val="{00000003-6BE6-40D4-A5B2-6C9B524CDAE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GRAFICA_37!$AA$17:$AA$18</c:f>
              <c:numCache>
                <c:formatCode>0.00</c:formatCode>
                <c:ptCount val="2"/>
                <c:pt idx="0">
                  <c:v>200</c:v>
                </c:pt>
                <c:pt idx="1">
                  <c:v>400</c:v>
                </c:pt>
              </c:numCache>
            </c:numRef>
          </c:xVal>
          <c:yVal>
            <c:numRef>
              <c:f>GRAFICA_37!$AB$17:$AB$18</c:f>
              <c:numCache>
                <c:formatCode>0.00</c:formatCode>
                <c:ptCount val="2"/>
                <c:pt idx="0">
                  <c:v>360</c:v>
                </c:pt>
                <c:pt idx="1">
                  <c:v>0</c:v>
                </c:pt>
              </c:numCache>
            </c:numRef>
          </c:yVal>
          <c:smooth val="0"/>
          <c:extLst>
            <c:ext xmlns:c16="http://schemas.microsoft.com/office/drawing/2014/chart" uri="{C3380CC4-5D6E-409C-BE32-E72D297353CC}">
              <c16:uniqueId val="{00000004-6BE6-40D4-A5B2-6C9B524CDAE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GRAFICA_37!$AA$20:$AA$21</c:f>
              <c:numCache>
                <c:formatCode>0.00</c:formatCode>
                <c:ptCount val="2"/>
                <c:pt idx="0">
                  <c:v>200</c:v>
                </c:pt>
                <c:pt idx="1">
                  <c:v>600</c:v>
                </c:pt>
              </c:numCache>
            </c:numRef>
          </c:xVal>
          <c:yVal>
            <c:numRef>
              <c:f>GRAFICA_37!$AB$20:$AB$21</c:f>
              <c:numCache>
                <c:formatCode>0.00</c:formatCode>
                <c:ptCount val="2"/>
                <c:pt idx="0">
                  <c:v>360</c:v>
                </c:pt>
                <c:pt idx="1">
                  <c:v>360</c:v>
                </c:pt>
              </c:numCache>
            </c:numRef>
          </c:yVal>
          <c:smooth val="0"/>
          <c:extLst>
            <c:ext xmlns:c16="http://schemas.microsoft.com/office/drawing/2014/chart" uri="{C3380CC4-5D6E-409C-BE32-E72D297353CC}">
              <c16:uniqueId val="{00000005-6BE6-40D4-A5B2-6C9B524CDAE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GRAFICA_37!$AA$23:$AA$24</c:f>
              <c:numCache>
                <c:formatCode>0.00</c:formatCode>
                <c:ptCount val="2"/>
                <c:pt idx="0">
                  <c:v>400</c:v>
                </c:pt>
                <c:pt idx="1">
                  <c:v>600</c:v>
                </c:pt>
              </c:numCache>
            </c:numRef>
          </c:xVal>
          <c:yVal>
            <c:numRef>
              <c:f>GRAFICA_37!$AB$23:$AB$24</c:f>
              <c:numCache>
                <c:formatCode>0.00</c:formatCode>
                <c:ptCount val="2"/>
                <c:pt idx="0">
                  <c:v>0</c:v>
                </c:pt>
                <c:pt idx="1">
                  <c:v>360</c:v>
                </c:pt>
              </c:numCache>
            </c:numRef>
          </c:yVal>
          <c:smooth val="0"/>
          <c:extLst>
            <c:ext xmlns:c16="http://schemas.microsoft.com/office/drawing/2014/chart" uri="{C3380CC4-5D6E-409C-BE32-E72D297353CC}">
              <c16:uniqueId val="{00000006-6BE6-40D4-A5B2-6C9B524CDAEE}"/>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GRAFICA_37!$AA$26:$AA$27</c:f>
              <c:numCache>
                <c:formatCode>0.00</c:formatCode>
                <c:ptCount val="2"/>
                <c:pt idx="0">
                  <c:v>600</c:v>
                </c:pt>
                <c:pt idx="1">
                  <c:v>800</c:v>
                </c:pt>
              </c:numCache>
            </c:numRef>
          </c:xVal>
          <c:yVal>
            <c:numRef>
              <c:f>GRAFICA_37!$AB$26:$AB$27</c:f>
              <c:numCache>
                <c:formatCode>0.00</c:formatCode>
                <c:ptCount val="2"/>
                <c:pt idx="0">
                  <c:v>360</c:v>
                </c:pt>
                <c:pt idx="1">
                  <c:v>0</c:v>
                </c:pt>
              </c:numCache>
            </c:numRef>
          </c:yVal>
          <c:smooth val="0"/>
          <c:extLst>
            <c:ext xmlns:c16="http://schemas.microsoft.com/office/drawing/2014/chart" uri="{C3380CC4-5D6E-409C-BE32-E72D297353CC}">
              <c16:uniqueId val="{00000007-6BE6-40D4-A5B2-6C9B524CDAEE}"/>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GRAFICA_37!$AA$29:$AA$30</c:f>
              <c:numCache>
                <c:formatCode>0.00</c:formatCode>
                <c:ptCount val="2"/>
                <c:pt idx="0">
                  <c:v>600</c:v>
                </c:pt>
                <c:pt idx="1">
                  <c:v>1000</c:v>
                </c:pt>
              </c:numCache>
            </c:numRef>
          </c:xVal>
          <c:yVal>
            <c:numRef>
              <c:f>GRAFICA_37!$AB$29:$AB$30</c:f>
              <c:numCache>
                <c:formatCode>0.00</c:formatCode>
                <c:ptCount val="2"/>
                <c:pt idx="0">
                  <c:v>360</c:v>
                </c:pt>
                <c:pt idx="1">
                  <c:v>360</c:v>
                </c:pt>
              </c:numCache>
            </c:numRef>
          </c:yVal>
          <c:smooth val="0"/>
          <c:extLst>
            <c:ext xmlns:c16="http://schemas.microsoft.com/office/drawing/2014/chart" uri="{C3380CC4-5D6E-409C-BE32-E72D297353CC}">
              <c16:uniqueId val="{00000008-6BE6-40D4-A5B2-6C9B524CDAEE}"/>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GRAFICA_37!$AA$32:$AA$33</c:f>
              <c:numCache>
                <c:formatCode>0.00</c:formatCode>
                <c:ptCount val="2"/>
                <c:pt idx="0">
                  <c:v>1000</c:v>
                </c:pt>
                <c:pt idx="1">
                  <c:v>800</c:v>
                </c:pt>
              </c:numCache>
            </c:numRef>
          </c:xVal>
          <c:yVal>
            <c:numRef>
              <c:f>GRAFICA_37!$AB$32:$AB$33</c:f>
              <c:numCache>
                <c:formatCode>0.00</c:formatCode>
                <c:ptCount val="2"/>
                <c:pt idx="0">
                  <c:v>360</c:v>
                </c:pt>
                <c:pt idx="1">
                  <c:v>0</c:v>
                </c:pt>
              </c:numCache>
            </c:numRef>
          </c:yVal>
          <c:smooth val="0"/>
          <c:extLst>
            <c:ext xmlns:c16="http://schemas.microsoft.com/office/drawing/2014/chart" uri="{C3380CC4-5D6E-409C-BE32-E72D297353CC}">
              <c16:uniqueId val="{00000009-6BE6-40D4-A5B2-6C9B524CDAEE}"/>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GRAFICA_37!$AA$35:$AA$36</c:f>
              <c:numCache>
                <c:formatCode>0.00</c:formatCode>
                <c:ptCount val="2"/>
                <c:pt idx="0">
                  <c:v>1000</c:v>
                </c:pt>
                <c:pt idx="1">
                  <c:v>1200</c:v>
                </c:pt>
              </c:numCache>
            </c:numRef>
          </c:xVal>
          <c:yVal>
            <c:numRef>
              <c:f>GRAFICA_37!$AB$35:$AB$36</c:f>
              <c:numCache>
                <c:formatCode>0.00</c:formatCode>
                <c:ptCount val="2"/>
                <c:pt idx="0">
                  <c:v>360</c:v>
                </c:pt>
                <c:pt idx="1">
                  <c:v>0</c:v>
                </c:pt>
              </c:numCache>
            </c:numRef>
          </c:yVal>
          <c:smooth val="0"/>
          <c:extLst>
            <c:ext xmlns:c16="http://schemas.microsoft.com/office/drawing/2014/chart" uri="{C3380CC4-5D6E-409C-BE32-E72D297353CC}">
              <c16:uniqueId val="{0000000A-6BE6-40D4-A5B2-6C9B524CDAE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GRAFICA_38!$AA$5:$AA$6</c:f>
              <c:numCache>
                <c:formatCode>0.00</c:formatCode>
                <c:ptCount val="2"/>
                <c:pt idx="0">
                  <c:v>0</c:v>
                </c:pt>
                <c:pt idx="1">
                  <c:v>366.66666666666669</c:v>
                </c:pt>
              </c:numCache>
            </c:numRef>
          </c:xVal>
          <c:yVal>
            <c:numRef>
              <c:f>GRAFICA_38!$AB$5:$AB$6</c:f>
              <c:numCache>
                <c:formatCode>0.00</c:formatCode>
                <c:ptCount val="2"/>
                <c:pt idx="0">
                  <c:v>0</c:v>
                </c:pt>
                <c:pt idx="1">
                  <c:v>0</c:v>
                </c:pt>
              </c:numCache>
            </c:numRef>
          </c:yVal>
          <c:smooth val="0"/>
          <c:extLst>
            <c:ext xmlns:c16="http://schemas.microsoft.com/office/drawing/2014/chart" uri="{C3380CC4-5D6E-409C-BE32-E72D297353CC}">
              <c16:uniqueId val="{00000000-65D7-47DB-949F-63F11F2031B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GRAFICA_38!$AA$8:$AA$9</c:f>
              <c:numCache>
                <c:formatCode>0.00</c:formatCode>
                <c:ptCount val="2"/>
                <c:pt idx="0">
                  <c:v>366.66666666666669</c:v>
                </c:pt>
                <c:pt idx="1">
                  <c:v>733.33333333333337</c:v>
                </c:pt>
              </c:numCache>
            </c:numRef>
          </c:xVal>
          <c:yVal>
            <c:numRef>
              <c:f>GRAFICA_38!$AB$8:$AB$9</c:f>
              <c:numCache>
                <c:formatCode>0.00</c:formatCode>
                <c:ptCount val="2"/>
                <c:pt idx="0">
                  <c:v>0</c:v>
                </c:pt>
                <c:pt idx="1">
                  <c:v>0</c:v>
                </c:pt>
              </c:numCache>
            </c:numRef>
          </c:yVal>
          <c:smooth val="0"/>
          <c:extLst>
            <c:ext xmlns:c16="http://schemas.microsoft.com/office/drawing/2014/chart" uri="{C3380CC4-5D6E-409C-BE32-E72D297353CC}">
              <c16:uniqueId val="{00000001-65D7-47DB-949F-63F11F2031B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GRAFICA_38!$AA$11:$AA$12</c:f>
              <c:numCache>
                <c:formatCode>0.00</c:formatCode>
                <c:ptCount val="2"/>
                <c:pt idx="0">
                  <c:v>733.33333333333337</c:v>
                </c:pt>
                <c:pt idx="1">
                  <c:v>1100</c:v>
                </c:pt>
              </c:numCache>
            </c:numRef>
          </c:xVal>
          <c:yVal>
            <c:numRef>
              <c:f>GRAFICA_38!$AB$11:$AB$12</c:f>
              <c:numCache>
                <c:formatCode>0.00</c:formatCode>
                <c:ptCount val="2"/>
                <c:pt idx="0">
                  <c:v>0</c:v>
                </c:pt>
                <c:pt idx="1">
                  <c:v>0</c:v>
                </c:pt>
              </c:numCache>
            </c:numRef>
          </c:yVal>
          <c:smooth val="0"/>
          <c:extLst>
            <c:ext xmlns:c16="http://schemas.microsoft.com/office/drawing/2014/chart" uri="{C3380CC4-5D6E-409C-BE32-E72D297353CC}">
              <c16:uniqueId val="{00000002-65D7-47DB-949F-63F11F2031B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GRAFICA_38!$AA$14:$AA$15</c:f>
              <c:numCache>
                <c:formatCode>0.00</c:formatCode>
                <c:ptCount val="2"/>
                <c:pt idx="0">
                  <c:v>0</c:v>
                </c:pt>
                <c:pt idx="1">
                  <c:v>183.33333333333329</c:v>
                </c:pt>
              </c:numCache>
            </c:numRef>
          </c:xVal>
          <c:yVal>
            <c:numRef>
              <c:f>GRAFICA_38!$AB$14:$AB$15</c:f>
              <c:numCache>
                <c:formatCode>0.00</c:formatCode>
                <c:ptCount val="2"/>
                <c:pt idx="0">
                  <c:v>0</c:v>
                </c:pt>
                <c:pt idx="1">
                  <c:v>400</c:v>
                </c:pt>
              </c:numCache>
            </c:numRef>
          </c:yVal>
          <c:smooth val="0"/>
          <c:extLst>
            <c:ext xmlns:c16="http://schemas.microsoft.com/office/drawing/2014/chart" uri="{C3380CC4-5D6E-409C-BE32-E72D297353CC}">
              <c16:uniqueId val="{00000003-65D7-47DB-949F-63F11F2031B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GRAFICA_38!$AA$17:$AA$18</c:f>
              <c:numCache>
                <c:formatCode>0.00</c:formatCode>
                <c:ptCount val="2"/>
                <c:pt idx="0">
                  <c:v>183.33333333333329</c:v>
                </c:pt>
                <c:pt idx="1">
                  <c:v>366.66666666666669</c:v>
                </c:pt>
              </c:numCache>
            </c:numRef>
          </c:xVal>
          <c:yVal>
            <c:numRef>
              <c:f>GRAFICA_38!$AB$17:$AB$18</c:f>
              <c:numCache>
                <c:formatCode>0.00</c:formatCode>
                <c:ptCount val="2"/>
                <c:pt idx="0">
                  <c:v>400</c:v>
                </c:pt>
                <c:pt idx="1">
                  <c:v>0</c:v>
                </c:pt>
              </c:numCache>
            </c:numRef>
          </c:yVal>
          <c:smooth val="0"/>
          <c:extLst>
            <c:ext xmlns:c16="http://schemas.microsoft.com/office/drawing/2014/chart" uri="{C3380CC4-5D6E-409C-BE32-E72D297353CC}">
              <c16:uniqueId val="{00000004-65D7-47DB-949F-63F11F2031B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GRAFICA_38!$AA$20:$AA$21</c:f>
              <c:numCache>
                <c:formatCode>0.00</c:formatCode>
                <c:ptCount val="2"/>
                <c:pt idx="0">
                  <c:v>183.33333333333329</c:v>
                </c:pt>
                <c:pt idx="1">
                  <c:v>550</c:v>
                </c:pt>
              </c:numCache>
            </c:numRef>
          </c:xVal>
          <c:yVal>
            <c:numRef>
              <c:f>GRAFICA_38!$AB$20:$AB$21</c:f>
              <c:numCache>
                <c:formatCode>0.00</c:formatCode>
                <c:ptCount val="2"/>
                <c:pt idx="0">
                  <c:v>400</c:v>
                </c:pt>
                <c:pt idx="1">
                  <c:v>400</c:v>
                </c:pt>
              </c:numCache>
            </c:numRef>
          </c:yVal>
          <c:smooth val="0"/>
          <c:extLst>
            <c:ext xmlns:c16="http://schemas.microsoft.com/office/drawing/2014/chart" uri="{C3380CC4-5D6E-409C-BE32-E72D297353CC}">
              <c16:uniqueId val="{00000005-65D7-47DB-949F-63F11F2031B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GRAFICA_38!$AA$23:$AA$24</c:f>
              <c:numCache>
                <c:formatCode>0.00</c:formatCode>
                <c:ptCount val="2"/>
                <c:pt idx="0">
                  <c:v>366.66666666666669</c:v>
                </c:pt>
                <c:pt idx="1">
                  <c:v>550</c:v>
                </c:pt>
              </c:numCache>
            </c:numRef>
          </c:xVal>
          <c:yVal>
            <c:numRef>
              <c:f>GRAFICA_38!$AB$23:$AB$24</c:f>
              <c:numCache>
                <c:formatCode>0.00</c:formatCode>
                <c:ptCount val="2"/>
                <c:pt idx="0">
                  <c:v>0</c:v>
                </c:pt>
                <c:pt idx="1">
                  <c:v>400</c:v>
                </c:pt>
              </c:numCache>
            </c:numRef>
          </c:yVal>
          <c:smooth val="0"/>
          <c:extLst>
            <c:ext xmlns:c16="http://schemas.microsoft.com/office/drawing/2014/chart" uri="{C3380CC4-5D6E-409C-BE32-E72D297353CC}">
              <c16:uniqueId val="{00000006-65D7-47DB-949F-63F11F2031B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GRAFICA_38!$AA$26:$AA$27</c:f>
              <c:numCache>
                <c:formatCode>0.00</c:formatCode>
                <c:ptCount val="2"/>
                <c:pt idx="0">
                  <c:v>550</c:v>
                </c:pt>
                <c:pt idx="1">
                  <c:v>733.33333333333337</c:v>
                </c:pt>
              </c:numCache>
            </c:numRef>
          </c:xVal>
          <c:yVal>
            <c:numRef>
              <c:f>GRAFICA_38!$AB$26:$AB$27</c:f>
              <c:numCache>
                <c:formatCode>0.00</c:formatCode>
                <c:ptCount val="2"/>
                <c:pt idx="0">
                  <c:v>400</c:v>
                </c:pt>
                <c:pt idx="1">
                  <c:v>0</c:v>
                </c:pt>
              </c:numCache>
            </c:numRef>
          </c:yVal>
          <c:smooth val="0"/>
          <c:extLst>
            <c:ext xmlns:c16="http://schemas.microsoft.com/office/drawing/2014/chart" uri="{C3380CC4-5D6E-409C-BE32-E72D297353CC}">
              <c16:uniqueId val="{00000007-65D7-47DB-949F-63F11F2031B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GRAFICA_38!$AA$29:$AA$30</c:f>
              <c:numCache>
                <c:formatCode>0.00</c:formatCode>
                <c:ptCount val="2"/>
                <c:pt idx="0">
                  <c:v>550</c:v>
                </c:pt>
                <c:pt idx="1">
                  <c:v>916.66666666666674</c:v>
                </c:pt>
              </c:numCache>
            </c:numRef>
          </c:xVal>
          <c:yVal>
            <c:numRef>
              <c:f>GRAFICA_38!$AB$29:$AB$30</c:f>
              <c:numCache>
                <c:formatCode>0.00</c:formatCode>
                <c:ptCount val="2"/>
                <c:pt idx="0">
                  <c:v>400</c:v>
                </c:pt>
                <c:pt idx="1">
                  <c:v>400</c:v>
                </c:pt>
              </c:numCache>
            </c:numRef>
          </c:yVal>
          <c:smooth val="0"/>
          <c:extLst>
            <c:ext xmlns:c16="http://schemas.microsoft.com/office/drawing/2014/chart" uri="{C3380CC4-5D6E-409C-BE32-E72D297353CC}">
              <c16:uniqueId val="{00000008-65D7-47DB-949F-63F11F2031B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GRAFICA_38!$AA$32:$AA$33</c:f>
              <c:numCache>
                <c:formatCode>0.00</c:formatCode>
                <c:ptCount val="2"/>
                <c:pt idx="0">
                  <c:v>916.66666666666674</c:v>
                </c:pt>
                <c:pt idx="1">
                  <c:v>733.33333333333337</c:v>
                </c:pt>
              </c:numCache>
            </c:numRef>
          </c:xVal>
          <c:yVal>
            <c:numRef>
              <c:f>GRAFICA_38!$AB$32:$AB$33</c:f>
              <c:numCache>
                <c:formatCode>0.00</c:formatCode>
                <c:ptCount val="2"/>
                <c:pt idx="0">
                  <c:v>400</c:v>
                </c:pt>
                <c:pt idx="1">
                  <c:v>0</c:v>
                </c:pt>
              </c:numCache>
            </c:numRef>
          </c:yVal>
          <c:smooth val="0"/>
          <c:extLst>
            <c:ext xmlns:c16="http://schemas.microsoft.com/office/drawing/2014/chart" uri="{C3380CC4-5D6E-409C-BE32-E72D297353CC}">
              <c16:uniqueId val="{00000009-65D7-47DB-949F-63F11F2031B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GRAFICA_38!$AA$35:$AA$36</c:f>
              <c:numCache>
                <c:formatCode>0.00</c:formatCode>
                <c:ptCount val="2"/>
                <c:pt idx="0">
                  <c:v>916.66666666666674</c:v>
                </c:pt>
                <c:pt idx="1">
                  <c:v>1100</c:v>
                </c:pt>
              </c:numCache>
            </c:numRef>
          </c:xVal>
          <c:yVal>
            <c:numRef>
              <c:f>GRAFICA_38!$AB$35:$AB$36</c:f>
              <c:numCache>
                <c:formatCode>0.00</c:formatCode>
                <c:ptCount val="2"/>
                <c:pt idx="0">
                  <c:v>400</c:v>
                </c:pt>
                <c:pt idx="1">
                  <c:v>0</c:v>
                </c:pt>
              </c:numCache>
            </c:numRef>
          </c:yVal>
          <c:smooth val="0"/>
          <c:extLst>
            <c:ext xmlns:c16="http://schemas.microsoft.com/office/drawing/2014/chart" uri="{C3380CC4-5D6E-409C-BE32-E72D297353CC}">
              <c16:uniqueId val="{0000000A-65D7-47DB-949F-63F11F2031B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GRAFICA_39!$AA$5:$AA$6</c:f>
              <c:numCache>
                <c:formatCode>0.00</c:formatCode>
                <c:ptCount val="2"/>
                <c:pt idx="0">
                  <c:v>0</c:v>
                </c:pt>
                <c:pt idx="1">
                  <c:v>350</c:v>
                </c:pt>
              </c:numCache>
            </c:numRef>
          </c:xVal>
          <c:yVal>
            <c:numRef>
              <c:f>GRAFICA_39!$AB$5:$AB$6</c:f>
              <c:numCache>
                <c:formatCode>0.00</c:formatCode>
                <c:ptCount val="2"/>
                <c:pt idx="0">
                  <c:v>0</c:v>
                </c:pt>
                <c:pt idx="1">
                  <c:v>0</c:v>
                </c:pt>
              </c:numCache>
            </c:numRef>
          </c:yVal>
          <c:smooth val="0"/>
          <c:extLst>
            <c:ext xmlns:c16="http://schemas.microsoft.com/office/drawing/2014/chart" uri="{C3380CC4-5D6E-409C-BE32-E72D297353CC}">
              <c16:uniqueId val="{00000000-4DCB-489E-AAF2-18C3B1F1CA4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GRAFICA_39!$AA$8:$AA$9</c:f>
              <c:numCache>
                <c:formatCode>0.00</c:formatCode>
                <c:ptCount val="2"/>
                <c:pt idx="0">
                  <c:v>350</c:v>
                </c:pt>
                <c:pt idx="1">
                  <c:v>700</c:v>
                </c:pt>
              </c:numCache>
            </c:numRef>
          </c:xVal>
          <c:yVal>
            <c:numRef>
              <c:f>GRAFICA_39!$AB$8:$AB$9</c:f>
              <c:numCache>
                <c:formatCode>0.00</c:formatCode>
                <c:ptCount val="2"/>
                <c:pt idx="0">
                  <c:v>0</c:v>
                </c:pt>
                <c:pt idx="1">
                  <c:v>0</c:v>
                </c:pt>
              </c:numCache>
            </c:numRef>
          </c:yVal>
          <c:smooth val="0"/>
          <c:extLst>
            <c:ext xmlns:c16="http://schemas.microsoft.com/office/drawing/2014/chart" uri="{C3380CC4-5D6E-409C-BE32-E72D297353CC}">
              <c16:uniqueId val="{00000001-4DCB-489E-AAF2-18C3B1F1CA4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GRAFICA_39!$AA$11:$AA$12</c:f>
              <c:numCache>
                <c:formatCode>0.00</c:formatCode>
                <c:ptCount val="2"/>
                <c:pt idx="0">
                  <c:v>700</c:v>
                </c:pt>
                <c:pt idx="1">
                  <c:v>1050</c:v>
                </c:pt>
              </c:numCache>
            </c:numRef>
          </c:xVal>
          <c:yVal>
            <c:numRef>
              <c:f>GRAFICA_39!$AB$11:$AB$12</c:f>
              <c:numCache>
                <c:formatCode>0.00</c:formatCode>
                <c:ptCount val="2"/>
                <c:pt idx="0">
                  <c:v>0</c:v>
                </c:pt>
                <c:pt idx="1">
                  <c:v>0</c:v>
                </c:pt>
              </c:numCache>
            </c:numRef>
          </c:yVal>
          <c:smooth val="0"/>
          <c:extLst>
            <c:ext xmlns:c16="http://schemas.microsoft.com/office/drawing/2014/chart" uri="{C3380CC4-5D6E-409C-BE32-E72D297353CC}">
              <c16:uniqueId val="{00000002-4DCB-489E-AAF2-18C3B1F1CA4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GRAFICA_39!$AA$14:$AA$15</c:f>
              <c:numCache>
                <c:formatCode>0.00</c:formatCode>
                <c:ptCount val="2"/>
                <c:pt idx="0">
                  <c:v>1050</c:v>
                </c:pt>
                <c:pt idx="1">
                  <c:v>1400</c:v>
                </c:pt>
              </c:numCache>
            </c:numRef>
          </c:xVal>
          <c:yVal>
            <c:numRef>
              <c:f>GRAFICA_39!$AB$14:$AB$15</c:f>
              <c:numCache>
                <c:formatCode>0.00</c:formatCode>
                <c:ptCount val="2"/>
                <c:pt idx="0">
                  <c:v>0</c:v>
                </c:pt>
                <c:pt idx="1">
                  <c:v>0</c:v>
                </c:pt>
              </c:numCache>
            </c:numRef>
          </c:yVal>
          <c:smooth val="0"/>
          <c:extLst>
            <c:ext xmlns:c16="http://schemas.microsoft.com/office/drawing/2014/chart" uri="{C3380CC4-5D6E-409C-BE32-E72D297353CC}">
              <c16:uniqueId val="{00000003-4DCB-489E-AAF2-18C3B1F1CA4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GRAFICA_39!$AA$17:$AA$18</c:f>
              <c:numCache>
                <c:formatCode>0.00</c:formatCode>
                <c:ptCount val="2"/>
                <c:pt idx="0">
                  <c:v>0</c:v>
                </c:pt>
                <c:pt idx="1">
                  <c:v>350</c:v>
                </c:pt>
              </c:numCache>
            </c:numRef>
          </c:xVal>
          <c:yVal>
            <c:numRef>
              <c:f>GRAFICA_39!$AB$17:$AB$18</c:f>
              <c:numCache>
                <c:formatCode>0.00</c:formatCode>
                <c:ptCount val="2"/>
                <c:pt idx="0">
                  <c:v>0</c:v>
                </c:pt>
                <c:pt idx="1">
                  <c:v>450</c:v>
                </c:pt>
              </c:numCache>
            </c:numRef>
          </c:yVal>
          <c:smooth val="0"/>
          <c:extLst>
            <c:ext xmlns:c16="http://schemas.microsoft.com/office/drawing/2014/chart" uri="{C3380CC4-5D6E-409C-BE32-E72D297353CC}">
              <c16:uniqueId val="{00000004-4DCB-489E-AAF2-18C3B1F1CA4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GRAFICA_39!$AA$20:$AA$21</c:f>
              <c:numCache>
                <c:formatCode>0.00</c:formatCode>
                <c:ptCount val="2"/>
                <c:pt idx="0">
                  <c:v>350</c:v>
                </c:pt>
                <c:pt idx="1">
                  <c:v>700</c:v>
                </c:pt>
              </c:numCache>
            </c:numRef>
          </c:xVal>
          <c:yVal>
            <c:numRef>
              <c:f>GRAFICA_39!$AB$20:$AB$21</c:f>
              <c:numCache>
                <c:formatCode>0.00</c:formatCode>
                <c:ptCount val="2"/>
                <c:pt idx="0">
                  <c:v>450</c:v>
                </c:pt>
                <c:pt idx="1">
                  <c:v>450</c:v>
                </c:pt>
              </c:numCache>
            </c:numRef>
          </c:yVal>
          <c:smooth val="0"/>
          <c:extLst>
            <c:ext xmlns:c16="http://schemas.microsoft.com/office/drawing/2014/chart" uri="{C3380CC4-5D6E-409C-BE32-E72D297353CC}">
              <c16:uniqueId val="{00000005-4DCB-489E-AAF2-18C3B1F1CA4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GRAFICA_39!$AA$23:$AA$24</c:f>
              <c:numCache>
                <c:formatCode>0.00</c:formatCode>
                <c:ptCount val="2"/>
                <c:pt idx="0">
                  <c:v>700</c:v>
                </c:pt>
                <c:pt idx="1">
                  <c:v>1050</c:v>
                </c:pt>
              </c:numCache>
            </c:numRef>
          </c:xVal>
          <c:yVal>
            <c:numRef>
              <c:f>GRAFICA_39!$AB$23:$AB$24</c:f>
              <c:numCache>
                <c:formatCode>0.00</c:formatCode>
                <c:ptCount val="2"/>
                <c:pt idx="0">
                  <c:v>450</c:v>
                </c:pt>
                <c:pt idx="1">
                  <c:v>450</c:v>
                </c:pt>
              </c:numCache>
            </c:numRef>
          </c:yVal>
          <c:smooth val="0"/>
          <c:extLst>
            <c:ext xmlns:c16="http://schemas.microsoft.com/office/drawing/2014/chart" uri="{C3380CC4-5D6E-409C-BE32-E72D297353CC}">
              <c16:uniqueId val="{00000006-4DCB-489E-AAF2-18C3B1F1CA4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GRAFICA_39!$AA$26:$AA$27</c:f>
              <c:numCache>
                <c:formatCode>0.00</c:formatCode>
                <c:ptCount val="2"/>
                <c:pt idx="0">
                  <c:v>1050</c:v>
                </c:pt>
                <c:pt idx="1">
                  <c:v>1400</c:v>
                </c:pt>
              </c:numCache>
            </c:numRef>
          </c:xVal>
          <c:yVal>
            <c:numRef>
              <c:f>GRAFICA_39!$AB$26:$AB$27</c:f>
              <c:numCache>
                <c:formatCode>0.00</c:formatCode>
                <c:ptCount val="2"/>
                <c:pt idx="0">
                  <c:v>450</c:v>
                </c:pt>
                <c:pt idx="1">
                  <c:v>0</c:v>
                </c:pt>
              </c:numCache>
            </c:numRef>
          </c:yVal>
          <c:smooth val="0"/>
          <c:extLst>
            <c:ext xmlns:c16="http://schemas.microsoft.com/office/drawing/2014/chart" uri="{C3380CC4-5D6E-409C-BE32-E72D297353CC}">
              <c16:uniqueId val="{00000007-4DCB-489E-AAF2-18C3B1F1CA4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GRAFICA_39!$AA$29:$AA$30</c:f>
              <c:numCache>
                <c:formatCode>0.00</c:formatCode>
                <c:ptCount val="2"/>
                <c:pt idx="0">
                  <c:v>350</c:v>
                </c:pt>
                <c:pt idx="1">
                  <c:v>350</c:v>
                </c:pt>
              </c:numCache>
            </c:numRef>
          </c:xVal>
          <c:yVal>
            <c:numRef>
              <c:f>GRAFICA_39!$AB$29:$AB$30</c:f>
              <c:numCache>
                <c:formatCode>0.00</c:formatCode>
                <c:ptCount val="2"/>
                <c:pt idx="0">
                  <c:v>450</c:v>
                </c:pt>
                <c:pt idx="1">
                  <c:v>0</c:v>
                </c:pt>
              </c:numCache>
            </c:numRef>
          </c:yVal>
          <c:smooth val="0"/>
          <c:extLst>
            <c:ext xmlns:c16="http://schemas.microsoft.com/office/drawing/2014/chart" uri="{C3380CC4-5D6E-409C-BE32-E72D297353CC}">
              <c16:uniqueId val="{00000008-4DCB-489E-AAF2-18C3B1F1CA4D}"/>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GRAFICA_39!$AA$32:$AA$33</c:f>
              <c:numCache>
                <c:formatCode>0.00</c:formatCode>
                <c:ptCount val="2"/>
                <c:pt idx="0">
                  <c:v>350</c:v>
                </c:pt>
                <c:pt idx="1">
                  <c:v>700</c:v>
                </c:pt>
              </c:numCache>
            </c:numRef>
          </c:xVal>
          <c:yVal>
            <c:numRef>
              <c:f>GRAFICA_39!$AB$32:$AB$33</c:f>
              <c:numCache>
                <c:formatCode>0.00</c:formatCode>
                <c:ptCount val="2"/>
                <c:pt idx="0">
                  <c:v>0</c:v>
                </c:pt>
                <c:pt idx="1">
                  <c:v>450</c:v>
                </c:pt>
              </c:numCache>
            </c:numRef>
          </c:yVal>
          <c:smooth val="0"/>
          <c:extLst>
            <c:ext xmlns:c16="http://schemas.microsoft.com/office/drawing/2014/chart" uri="{C3380CC4-5D6E-409C-BE32-E72D297353CC}">
              <c16:uniqueId val="{00000009-4DCB-489E-AAF2-18C3B1F1CA4D}"/>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GRAFICA_39!$AA$35:$AA$36</c:f>
              <c:numCache>
                <c:formatCode>0.00</c:formatCode>
                <c:ptCount val="2"/>
                <c:pt idx="0">
                  <c:v>700</c:v>
                </c:pt>
                <c:pt idx="1">
                  <c:v>700</c:v>
                </c:pt>
              </c:numCache>
            </c:numRef>
          </c:xVal>
          <c:yVal>
            <c:numRef>
              <c:f>GRAFICA_39!$AB$35:$AB$36</c:f>
              <c:numCache>
                <c:formatCode>0.00</c:formatCode>
                <c:ptCount val="2"/>
                <c:pt idx="0">
                  <c:v>450</c:v>
                </c:pt>
                <c:pt idx="1">
                  <c:v>0</c:v>
                </c:pt>
              </c:numCache>
            </c:numRef>
          </c:yVal>
          <c:smooth val="0"/>
          <c:extLst>
            <c:ext xmlns:c16="http://schemas.microsoft.com/office/drawing/2014/chart" uri="{C3380CC4-5D6E-409C-BE32-E72D297353CC}">
              <c16:uniqueId val="{0000000A-4DCB-489E-AAF2-18C3B1F1CA4D}"/>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GRAFICA_39!$AA$38:$AA$39</c:f>
              <c:numCache>
                <c:formatCode>0.00</c:formatCode>
                <c:ptCount val="2"/>
                <c:pt idx="0">
                  <c:v>700</c:v>
                </c:pt>
                <c:pt idx="1">
                  <c:v>1050</c:v>
                </c:pt>
              </c:numCache>
            </c:numRef>
          </c:xVal>
          <c:yVal>
            <c:numRef>
              <c:f>GRAFICA_39!$AB$38:$AB$39</c:f>
              <c:numCache>
                <c:formatCode>0.00</c:formatCode>
                <c:ptCount val="2"/>
                <c:pt idx="0">
                  <c:v>0</c:v>
                </c:pt>
                <c:pt idx="1">
                  <c:v>450</c:v>
                </c:pt>
              </c:numCache>
            </c:numRef>
          </c:yVal>
          <c:smooth val="0"/>
          <c:extLst>
            <c:ext xmlns:c16="http://schemas.microsoft.com/office/drawing/2014/chart" uri="{C3380CC4-5D6E-409C-BE32-E72D297353CC}">
              <c16:uniqueId val="{0000000B-4DCB-489E-AAF2-18C3B1F1CA4D}"/>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GRAFICA_39!$AA$41:$AA$42</c:f>
              <c:numCache>
                <c:formatCode>0.00</c:formatCode>
                <c:ptCount val="2"/>
                <c:pt idx="0">
                  <c:v>1050</c:v>
                </c:pt>
                <c:pt idx="1">
                  <c:v>1050</c:v>
                </c:pt>
              </c:numCache>
            </c:numRef>
          </c:xVal>
          <c:yVal>
            <c:numRef>
              <c:f>GRAFICA_39!$AB$41:$AB$42</c:f>
              <c:numCache>
                <c:formatCode>0.00</c:formatCode>
                <c:ptCount val="2"/>
                <c:pt idx="0">
                  <c:v>450</c:v>
                </c:pt>
                <c:pt idx="1">
                  <c:v>0</c:v>
                </c:pt>
              </c:numCache>
            </c:numRef>
          </c:yVal>
          <c:smooth val="0"/>
          <c:extLst>
            <c:ext xmlns:c16="http://schemas.microsoft.com/office/drawing/2014/chart" uri="{C3380CC4-5D6E-409C-BE32-E72D297353CC}">
              <c16:uniqueId val="{0000000C-4DCB-489E-AAF2-18C3B1F1CA4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GRAFICA_40!$AA$5:$AA$6</c:f>
              <c:numCache>
                <c:formatCode>0.00</c:formatCode>
                <c:ptCount val="2"/>
                <c:pt idx="0">
                  <c:v>0</c:v>
                </c:pt>
                <c:pt idx="1">
                  <c:v>375</c:v>
                </c:pt>
              </c:numCache>
            </c:numRef>
          </c:xVal>
          <c:yVal>
            <c:numRef>
              <c:f>GRAFICA_40!$AB$5:$AB$6</c:f>
              <c:numCache>
                <c:formatCode>0.00</c:formatCode>
                <c:ptCount val="2"/>
                <c:pt idx="0">
                  <c:v>0</c:v>
                </c:pt>
                <c:pt idx="1">
                  <c:v>0</c:v>
                </c:pt>
              </c:numCache>
            </c:numRef>
          </c:yVal>
          <c:smooth val="0"/>
          <c:extLst>
            <c:ext xmlns:c16="http://schemas.microsoft.com/office/drawing/2014/chart" uri="{C3380CC4-5D6E-409C-BE32-E72D297353CC}">
              <c16:uniqueId val="{00000000-C349-4E3D-A07E-A7F749DB442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GRAFICA_40!$AA$8:$AA$9</c:f>
              <c:numCache>
                <c:formatCode>0.00</c:formatCode>
                <c:ptCount val="2"/>
                <c:pt idx="0">
                  <c:v>375</c:v>
                </c:pt>
                <c:pt idx="1">
                  <c:v>750</c:v>
                </c:pt>
              </c:numCache>
            </c:numRef>
          </c:xVal>
          <c:yVal>
            <c:numRef>
              <c:f>GRAFICA_40!$AB$8:$AB$9</c:f>
              <c:numCache>
                <c:formatCode>0.00</c:formatCode>
                <c:ptCount val="2"/>
                <c:pt idx="0">
                  <c:v>0</c:v>
                </c:pt>
                <c:pt idx="1">
                  <c:v>0</c:v>
                </c:pt>
              </c:numCache>
            </c:numRef>
          </c:yVal>
          <c:smooth val="0"/>
          <c:extLst>
            <c:ext xmlns:c16="http://schemas.microsoft.com/office/drawing/2014/chart" uri="{C3380CC4-5D6E-409C-BE32-E72D297353CC}">
              <c16:uniqueId val="{00000001-C349-4E3D-A07E-A7F749DB442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GRAFICA_40!$AA$11:$AA$12</c:f>
              <c:numCache>
                <c:formatCode>0.00</c:formatCode>
                <c:ptCount val="2"/>
                <c:pt idx="0">
                  <c:v>750</c:v>
                </c:pt>
                <c:pt idx="1">
                  <c:v>1125</c:v>
                </c:pt>
              </c:numCache>
            </c:numRef>
          </c:xVal>
          <c:yVal>
            <c:numRef>
              <c:f>GRAFICA_40!$AB$11:$AB$12</c:f>
              <c:numCache>
                <c:formatCode>0.00</c:formatCode>
                <c:ptCount val="2"/>
                <c:pt idx="0">
                  <c:v>0</c:v>
                </c:pt>
                <c:pt idx="1">
                  <c:v>0</c:v>
                </c:pt>
              </c:numCache>
            </c:numRef>
          </c:yVal>
          <c:smooth val="0"/>
          <c:extLst>
            <c:ext xmlns:c16="http://schemas.microsoft.com/office/drawing/2014/chart" uri="{C3380CC4-5D6E-409C-BE32-E72D297353CC}">
              <c16:uniqueId val="{00000002-C349-4E3D-A07E-A7F749DB442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GRAFICA_40!$AA$14:$AA$15</c:f>
              <c:numCache>
                <c:formatCode>0.00</c:formatCode>
                <c:ptCount val="2"/>
                <c:pt idx="0">
                  <c:v>1125</c:v>
                </c:pt>
                <c:pt idx="1">
                  <c:v>1500</c:v>
                </c:pt>
              </c:numCache>
            </c:numRef>
          </c:xVal>
          <c:yVal>
            <c:numRef>
              <c:f>GRAFICA_40!$AB$14:$AB$15</c:f>
              <c:numCache>
                <c:formatCode>0.00</c:formatCode>
                <c:ptCount val="2"/>
                <c:pt idx="0">
                  <c:v>0</c:v>
                </c:pt>
                <c:pt idx="1">
                  <c:v>0</c:v>
                </c:pt>
              </c:numCache>
            </c:numRef>
          </c:yVal>
          <c:smooth val="0"/>
          <c:extLst>
            <c:ext xmlns:c16="http://schemas.microsoft.com/office/drawing/2014/chart" uri="{C3380CC4-5D6E-409C-BE32-E72D297353CC}">
              <c16:uniqueId val="{00000003-C349-4E3D-A07E-A7F749DB442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GRAFICA_40!$AA$17:$AA$18</c:f>
              <c:numCache>
                <c:formatCode>0.00</c:formatCode>
                <c:ptCount val="2"/>
                <c:pt idx="0">
                  <c:v>0</c:v>
                </c:pt>
                <c:pt idx="1">
                  <c:v>375</c:v>
                </c:pt>
              </c:numCache>
            </c:numRef>
          </c:xVal>
          <c:yVal>
            <c:numRef>
              <c:f>GRAFICA_40!$AB$17:$AB$18</c:f>
              <c:numCache>
                <c:formatCode>0.00</c:formatCode>
                <c:ptCount val="2"/>
                <c:pt idx="0">
                  <c:v>0</c:v>
                </c:pt>
                <c:pt idx="1">
                  <c:v>500</c:v>
                </c:pt>
              </c:numCache>
            </c:numRef>
          </c:yVal>
          <c:smooth val="0"/>
          <c:extLst>
            <c:ext xmlns:c16="http://schemas.microsoft.com/office/drawing/2014/chart" uri="{C3380CC4-5D6E-409C-BE32-E72D297353CC}">
              <c16:uniqueId val="{00000004-C349-4E3D-A07E-A7F749DB442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GRAFICA_40!$AA$20:$AA$21</c:f>
              <c:numCache>
                <c:formatCode>0.00</c:formatCode>
                <c:ptCount val="2"/>
                <c:pt idx="0">
                  <c:v>375</c:v>
                </c:pt>
                <c:pt idx="1">
                  <c:v>750</c:v>
                </c:pt>
              </c:numCache>
            </c:numRef>
          </c:xVal>
          <c:yVal>
            <c:numRef>
              <c:f>GRAFICA_40!$AB$20:$AB$21</c:f>
              <c:numCache>
                <c:formatCode>0.00</c:formatCode>
                <c:ptCount val="2"/>
                <c:pt idx="0">
                  <c:v>500</c:v>
                </c:pt>
                <c:pt idx="1">
                  <c:v>500</c:v>
                </c:pt>
              </c:numCache>
            </c:numRef>
          </c:yVal>
          <c:smooth val="0"/>
          <c:extLst>
            <c:ext xmlns:c16="http://schemas.microsoft.com/office/drawing/2014/chart" uri="{C3380CC4-5D6E-409C-BE32-E72D297353CC}">
              <c16:uniqueId val="{00000005-C349-4E3D-A07E-A7F749DB442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GRAFICA_40!$AA$23:$AA$24</c:f>
              <c:numCache>
                <c:formatCode>0.00</c:formatCode>
                <c:ptCount val="2"/>
                <c:pt idx="0">
                  <c:v>750</c:v>
                </c:pt>
                <c:pt idx="1">
                  <c:v>1125</c:v>
                </c:pt>
              </c:numCache>
            </c:numRef>
          </c:xVal>
          <c:yVal>
            <c:numRef>
              <c:f>GRAFICA_40!$AB$23:$AB$24</c:f>
              <c:numCache>
                <c:formatCode>0.00</c:formatCode>
                <c:ptCount val="2"/>
                <c:pt idx="0">
                  <c:v>500</c:v>
                </c:pt>
                <c:pt idx="1">
                  <c:v>500</c:v>
                </c:pt>
              </c:numCache>
            </c:numRef>
          </c:yVal>
          <c:smooth val="0"/>
          <c:extLst>
            <c:ext xmlns:c16="http://schemas.microsoft.com/office/drawing/2014/chart" uri="{C3380CC4-5D6E-409C-BE32-E72D297353CC}">
              <c16:uniqueId val="{00000006-C349-4E3D-A07E-A7F749DB4421}"/>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GRAFICA_40!$AA$26:$AA$27</c:f>
              <c:numCache>
                <c:formatCode>0.00</c:formatCode>
                <c:ptCount val="2"/>
                <c:pt idx="0">
                  <c:v>1125</c:v>
                </c:pt>
                <c:pt idx="1">
                  <c:v>1500</c:v>
                </c:pt>
              </c:numCache>
            </c:numRef>
          </c:xVal>
          <c:yVal>
            <c:numRef>
              <c:f>GRAFICA_40!$AB$26:$AB$27</c:f>
              <c:numCache>
                <c:formatCode>0.00</c:formatCode>
                <c:ptCount val="2"/>
                <c:pt idx="0">
                  <c:v>500</c:v>
                </c:pt>
                <c:pt idx="1">
                  <c:v>0</c:v>
                </c:pt>
              </c:numCache>
            </c:numRef>
          </c:yVal>
          <c:smooth val="0"/>
          <c:extLst>
            <c:ext xmlns:c16="http://schemas.microsoft.com/office/drawing/2014/chart" uri="{C3380CC4-5D6E-409C-BE32-E72D297353CC}">
              <c16:uniqueId val="{00000007-C349-4E3D-A07E-A7F749DB4421}"/>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GRAFICA_40!$AA$29:$AA$30</c:f>
              <c:numCache>
                <c:formatCode>0.00</c:formatCode>
                <c:ptCount val="2"/>
                <c:pt idx="0">
                  <c:v>375</c:v>
                </c:pt>
                <c:pt idx="1">
                  <c:v>375</c:v>
                </c:pt>
              </c:numCache>
            </c:numRef>
          </c:xVal>
          <c:yVal>
            <c:numRef>
              <c:f>GRAFICA_40!$AB$29:$AB$30</c:f>
              <c:numCache>
                <c:formatCode>0.00</c:formatCode>
                <c:ptCount val="2"/>
                <c:pt idx="0">
                  <c:v>500</c:v>
                </c:pt>
                <c:pt idx="1">
                  <c:v>0</c:v>
                </c:pt>
              </c:numCache>
            </c:numRef>
          </c:yVal>
          <c:smooth val="0"/>
          <c:extLst>
            <c:ext xmlns:c16="http://schemas.microsoft.com/office/drawing/2014/chart" uri="{C3380CC4-5D6E-409C-BE32-E72D297353CC}">
              <c16:uniqueId val="{00000008-C349-4E3D-A07E-A7F749DB4421}"/>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GRAFICA_40!$AA$32:$AA$33</c:f>
              <c:numCache>
                <c:formatCode>0.00</c:formatCode>
                <c:ptCount val="2"/>
                <c:pt idx="0">
                  <c:v>375</c:v>
                </c:pt>
                <c:pt idx="1">
                  <c:v>750</c:v>
                </c:pt>
              </c:numCache>
            </c:numRef>
          </c:xVal>
          <c:yVal>
            <c:numRef>
              <c:f>GRAFICA_40!$AB$32:$AB$33</c:f>
              <c:numCache>
                <c:formatCode>0.00</c:formatCode>
                <c:ptCount val="2"/>
                <c:pt idx="0">
                  <c:v>0</c:v>
                </c:pt>
                <c:pt idx="1">
                  <c:v>500</c:v>
                </c:pt>
              </c:numCache>
            </c:numRef>
          </c:yVal>
          <c:smooth val="0"/>
          <c:extLst>
            <c:ext xmlns:c16="http://schemas.microsoft.com/office/drawing/2014/chart" uri="{C3380CC4-5D6E-409C-BE32-E72D297353CC}">
              <c16:uniqueId val="{00000009-C349-4E3D-A07E-A7F749DB4421}"/>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GRAFICA_40!$AA$35:$AA$36</c:f>
              <c:numCache>
                <c:formatCode>0.00</c:formatCode>
                <c:ptCount val="2"/>
                <c:pt idx="0">
                  <c:v>750</c:v>
                </c:pt>
                <c:pt idx="1">
                  <c:v>750</c:v>
                </c:pt>
              </c:numCache>
            </c:numRef>
          </c:xVal>
          <c:yVal>
            <c:numRef>
              <c:f>GRAFICA_40!$AB$35:$AB$36</c:f>
              <c:numCache>
                <c:formatCode>0.00</c:formatCode>
                <c:ptCount val="2"/>
                <c:pt idx="0">
                  <c:v>500</c:v>
                </c:pt>
                <c:pt idx="1">
                  <c:v>0</c:v>
                </c:pt>
              </c:numCache>
            </c:numRef>
          </c:yVal>
          <c:smooth val="0"/>
          <c:extLst>
            <c:ext xmlns:c16="http://schemas.microsoft.com/office/drawing/2014/chart" uri="{C3380CC4-5D6E-409C-BE32-E72D297353CC}">
              <c16:uniqueId val="{0000000A-C349-4E3D-A07E-A7F749DB4421}"/>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GRAFICA_40!$AA$38:$AA$39</c:f>
              <c:numCache>
                <c:formatCode>0.00</c:formatCode>
                <c:ptCount val="2"/>
                <c:pt idx="0">
                  <c:v>750</c:v>
                </c:pt>
                <c:pt idx="1">
                  <c:v>1125</c:v>
                </c:pt>
              </c:numCache>
            </c:numRef>
          </c:xVal>
          <c:yVal>
            <c:numRef>
              <c:f>GRAFICA_40!$AB$38:$AB$39</c:f>
              <c:numCache>
                <c:formatCode>0.00</c:formatCode>
                <c:ptCount val="2"/>
                <c:pt idx="0">
                  <c:v>0</c:v>
                </c:pt>
                <c:pt idx="1">
                  <c:v>500</c:v>
                </c:pt>
              </c:numCache>
            </c:numRef>
          </c:yVal>
          <c:smooth val="0"/>
          <c:extLst>
            <c:ext xmlns:c16="http://schemas.microsoft.com/office/drawing/2014/chart" uri="{C3380CC4-5D6E-409C-BE32-E72D297353CC}">
              <c16:uniqueId val="{0000000B-C349-4E3D-A07E-A7F749DB4421}"/>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GRAFICA_40!$AA$41:$AA$42</c:f>
              <c:numCache>
                <c:formatCode>0.00</c:formatCode>
                <c:ptCount val="2"/>
                <c:pt idx="0">
                  <c:v>1125</c:v>
                </c:pt>
                <c:pt idx="1">
                  <c:v>1125</c:v>
                </c:pt>
              </c:numCache>
            </c:numRef>
          </c:xVal>
          <c:yVal>
            <c:numRef>
              <c:f>GRAFICA_40!$AB$41:$AB$42</c:f>
              <c:numCache>
                <c:formatCode>0.00</c:formatCode>
                <c:ptCount val="2"/>
                <c:pt idx="0">
                  <c:v>500</c:v>
                </c:pt>
                <c:pt idx="1">
                  <c:v>0</c:v>
                </c:pt>
              </c:numCache>
            </c:numRef>
          </c:yVal>
          <c:smooth val="0"/>
          <c:extLst>
            <c:ext xmlns:c16="http://schemas.microsoft.com/office/drawing/2014/chart" uri="{C3380CC4-5D6E-409C-BE32-E72D297353CC}">
              <c16:uniqueId val="{0000000C-C349-4E3D-A07E-A7F749DB442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GRAFICA_41!$AA$5:$AA$6</c:f>
              <c:numCache>
                <c:formatCode>0.00</c:formatCode>
                <c:ptCount val="2"/>
                <c:pt idx="0">
                  <c:v>0</c:v>
                </c:pt>
                <c:pt idx="1">
                  <c:v>400</c:v>
                </c:pt>
              </c:numCache>
            </c:numRef>
          </c:xVal>
          <c:yVal>
            <c:numRef>
              <c:f>GRAFICA_41!$AB$5:$AB$6</c:f>
              <c:numCache>
                <c:formatCode>0.00</c:formatCode>
                <c:ptCount val="2"/>
                <c:pt idx="0">
                  <c:v>0</c:v>
                </c:pt>
                <c:pt idx="1">
                  <c:v>0</c:v>
                </c:pt>
              </c:numCache>
            </c:numRef>
          </c:yVal>
          <c:smooth val="0"/>
          <c:extLst>
            <c:ext xmlns:c16="http://schemas.microsoft.com/office/drawing/2014/chart" uri="{C3380CC4-5D6E-409C-BE32-E72D297353CC}">
              <c16:uniqueId val="{00000000-DE81-4290-A9CC-1F8C8A769D9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GRAFICA_41!$AA$8:$AA$9</c:f>
              <c:numCache>
                <c:formatCode>0.00</c:formatCode>
                <c:ptCount val="2"/>
                <c:pt idx="0">
                  <c:v>400</c:v>
                </c:pt>
                <c:pt idx="1">
                  <c:v>400</c:v>
                </c:pt>
              </c:numCache>
            </c:numRef>
          </c:xVal>
          <c:yVal>
            <c:numRef>
              <c:f>GRAFICA_41!$AB$8:$AB$9</c:f>
              <c:numCache>
                <c:formatCode>0.00</c:formatCode>
                <c:ptCount val="2"/>
                <c:pt idx="0">
                  <c:v>0</c:v>
                </c:pt>
                <c:pt idx="1">
                  <c:v>300</c:v>
                </c:pt>
              </c:numCache>
            </c:numRef>
          </c:yVal>
          <c:smooth val="0"/>
          <c:extLst>
            <c:ext xmlns:c16="http://schemas.microsoft.com/office/drawing/2014/chart" uri="{C3380CC4-5D6E-409C-BE32-E72D297353CC}">
              <c16:uniqueId val="{00000001-DE81-4290-A9CC-1F8C8A769D9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GRAFICA_41!$AA$11:$AA$12</c:f>
              <c:numCache>
                <c:formatCode>0.00</c:formatCode>
                <c:ptCount val="2"/>
                <c:pt idx="0">
                  <c:v>400</c:v>
                </c:pt>
                <c:pt idx="1">
                  <c:v>0</c:v>
                </c:pt>
              </c:numCache>
            </c:numRef>
          </c:xVal>
          <c:yVal>
            <c:numRef>
              <c:f>GRAFICA_41!$AB$11:$AB$12</c:f>
              <c:numCache>
                <c:formatCode>0.00</c:formatCode>
                <c:ptCount val="2"/>
                <c:pt idx="0">
                  <c:v>300</c:v>
                </c:pt>
                <c:pt idx="1">
                  <c:v>300</c:v>
                </c:pt>
              </c:numCache>
            </c:numRef>
          </c:yVal>
          <c:smooth val="0"/>
          <c:extLst>
            <c:ext xmlns:c16="http://schemas.microsoft.com/office/drawing/2014/chart" uri="{C3380CC4-5D6E-409C-BE32-E72D297353CC}">
              <c16:uniqueId val="{00000002-DE81-4290-A9CC-1F8C8A769D9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GRAFICA_41!$AA$14:$AA$15</c:f>
              <c:numCache>
                <c:formatCode>0.00</c:formatCode>
                <c:ptCount val="2"/>
                <c:pt idx="0">
                  <c:v>0</c:v>
                </c:pt>
                <c:pt idx="1">
                  <c:v>0</c:v>
                </c:pt>
              </c:numCache>
            </c:numRef>
          </c:xVal>
          <c:yVal>
            <c:numRef>
              <c:f>GRAFICA_41!$AB$14:$AB$15</c:f>
              <c:numCache>
                <c:formatCode>0.00</c:formatCode>
                <c:ptCount val="2"/>
                <c:pt idx="0">
                  <c:v>300</c:v>
                </c:pt>
                <c:pt idx="1">
                  <c:v>0</c:v>
                </c:pt>
              </c:numCache>
            </c:numRef>
          </c:yVal>
          <c:smooth val="0"/>
          <c:extLst>
            <c:ext xmlns:c16="http://schemas.microsoft.com/office/drawing/2014/chart" uri="{C3380CC4-5D6E-409C-BE32-E72D297353CC}">
              <c16:uniqueId val="{00000003-DE81-4290-A9CC-1F8C8A769D9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GRAFICA_41!$AA$17:$AA$18</c:f>
              <c:numCache>
                <c:formatCode>0.00</c:formatCode>
                <c:ptCount val="2"/>
                <c:pt idx="0">
                  <c:v>0</c:v>
                </c:pt>
                <c:pt idx="1">
                  <c:v>400</c:v>
                </c:pt>
              </c:numCache>
            </c:numRef>
          </c:xVal>
          <c:yVal>
            <c:numRef>
              <c:f>GRAFICA_41!$AB$17:$AB$18</c:f>
              <c:numCache>
                <c:formatCode>0.00</c:formatCode>
                <c:ptCount val="2"/>
                <c:pt idx="0">
                  <c:v>0</c:v>
                </c:pt>
                <c:pt idx="1">
                  <c:v>300</c:v>
                </c:pt>
              </c:numCache>
            </c:numRef>
          </c:yVal>
          <c:smooth val="0"/>
          <c:extLst>
            <c:ext xmlns:c16="http://schemas.microsoft.com/office/drawing/2014/chart" uri="{C3380CC4-5D6E-409C-BE32-E72D297353CC}">
              <c16:uniqueId val="{00000004-DE81-4290-A9CC-1F8C8A769D9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GRAFICA_41!$AA$20:$AA$21</c:f>
              <c:numCache>
                <c:formatCode>0.00</c:formatCode>
                <c:ptCount val="2"/>
                <c:pt idx="0">
                  <c:v>400</c:v>
                </c:pt>
                <c:pt idx="1">
                  <c:v>0</c:v>
                </c:pt>
              </c:numCache>
            </c:numRef>
          </c:xVal>
          <c:yVal>
            <c:numRef>
              <c:f>GRAFICA_41!$AB$20:$AB$21</c:f>
              <c:numCache>
                <c:formatCode>0.00</c:formatCode>
                <c:ptCount val="2"/>
                <c:pt idx="0">
                  <c:v>0</c:v>
                </c:pt>
                <c:pt idx="1">
                  <c:v>300</c:v>
                </c:pt>
              </c:numCache>
            </c:numRef>
          </c:yVal>
          <c:smooth val="0"/>
          <c:extLst>
            <c:ext xmlns:c16="http://schemas.microsoft.com/office/drawing/2014/chart" uri="{C3380CC4-5D6E-409C-BE32-E72D297353CC}">
              <c16:uniqueId val="{00000005-DE81-4290-A9CC-1F8C8A769D9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GRAFICA_42!$AA$5:$AA$6</c:f>
              <c:numCache>
                <c:formatCode>0.00</c:formatCode>
                <c:ptCount val="2"/>
                <c:pt idx="0">
                  <c:v>0</c:v>
                </c:pt>
                <c:pt idx="1">
                  <c:v>500</c:v>
                </c:pt>
              </c:numCache>
            </c:numRef>
          </c:xVal>
          <c:yVal>
            <c:numRef>
              <c:f>GRAFICA_42!$AB$5:$AB$6</c:f>
              <c:numCache>
                <c:formatCode>0.00</c:formatCode>
                <c:ptCount val="2"/>
                <c:pt idx="0">
                  <c:v>0</c:v>
                </c:pt>
                <c:pt idx="1">
                  <c:v>0</c:v>
                </c:pt>
              </c:numCache>
            </c:numRef>
          </c:yVal>
          <c:smooth val="0"/>
          <c:extLst>
            <c:ext xmlns:c16="http://schemas.microsoft.com/office/drawing/2014/chart" uri="{C3380CC4-5D6E-409C-BE32-E72D297353CC}">
              <c16:uniqueId val="{00000000-E298-415C-A580-716B7B7CACA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GRAFICA_42!$AA$8:$AA$9</c:f>
              <c:numCache>
                <c:formatCode>0.00</c:formatCode>
                <c:ptCount val="2"/>
                <c:pt idx="0">
                  <c:v>500</c:v>
                </c:pt>
                <c:pt idx="1">
                  <c:v>500</c:v>
                </c:pt>
              </c:numCache>
            </c:numRef>
          </c:xVal>
          <c:yVal>
            <c:numRef>
              <c:f>GRAFICA_42!$AB$8:$AB$9</c:f>
              <c:numCache>
                <c:formatCode>0.00</c:formatCode>
                <c:ptCount val="2"/>
                <c:pt idx="0">
                  <c:v>0</c:v>
                </c:pt>
                <c:pt idx="1">
                  <c:v>400</c:v>
                </c:pt>
              </c:numCache>
            </c:numRef>
          </c:yVal>
          <c:smooth val="0"/>
          <c:extLst>
            <c:ext xmlns:c16="http://schemas.microsoft.com/office/drawing/2014/chart" uri="{C3380CC4-5D6E-409C-BE32-E72D297353CC}">
              <c16:uniqueId val="{00000001-E298-415C-A580-716B7B7CACA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GRAFICA_42!$AA$11:$AA$12</c:f>
              <c:numCache>
                <c:formatCode>0.00</c:formatCode>
                <c:ptCount val="2"/>
                <c:pt idx="0">
                  <c:v>500</c:v>
                </c:pt>
                <c:pt idx="1">
                  <c:v>0</c:v>
                </c:pt>
              </c:numCache>
            </c:numRef>
          </c:xVal>
          <c:yVal>
            <c:numRef>
              <c:f>GRAFICA_42!$AB$11:$AB$12</c:f>
              <c:numCache>
                <c:formatCode>0.00</c:formatCode>
                <c:ptCount val="2"/>
                <c:pt idx="0">
                  <c:v>400</c:v>
                </c:pt>
                <c:pt idx="1">
                  <c:v>400</c:v>
                </c:pt>
              </c:numCache>
            </c:numRef>
          </c:yVal>
          <c:smooth val="0"/>
          <c:extLst>
            <c:ext xmlns:c16="http://schemas.microsoft.com/office/drawing/2014/chart" uri="{C3380CC4-5D6E-409C-BE32-E72D297353CC}">
              <c16:uniqueId val="{00000002-E298-415C-A580-716B7B7CACA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GRAFICA_42!$AA$14:$AA$15</c:f>
              <c:numCache>
                <c:formatCode>0.00</c:formatCode>
                <c:ptCount val="2"/>
                <c:pt idx="0">
                  <c:v>0</c:v>
                </c:pt>
                <c:pt idx="1">
                  <c:v>0</c:v>
                </c:pt>
              </c:numCache>
            </c:numRef>
          </c:xVal>
          <c:yVal>
            <c:numRef>
              <c:f>GRAFICA_42!$AB$14:$AB$15</c:f>
              <c:numCache>
                <c:formatCode>0.00</c:formatCode>
                <c:ptCount val="2"/>
                <c:pt idx="0">
                  <c:v>400</c:v>
                </c:pt>
                <c:pt idx="1">
                  <c:v>0</c:v>
                </c:pt>
              </c:numCache>
            </c:numRef>
          </c:yVal>
          <c:smooth val="0"/>
          <c:extLst>
            <c:ext xmlns:c16="http://schemas.microsoft.com/office/drawing/2014/chart" uri="{C3380CC4-5D6E-409C-BE32-E72D297353CC}">
              <c16:uniqueId val="{00000003-E298-415C-A580-716B7B7CACA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GRAFICA_42!$AA$17:$AA$18</c:f>
              <c:numCache>
                <c:formatCode>0.00</c:formatCode>
                <c:ptCount val="2"/>
                <c:pt idx="0">
                  <c:v>0</c:v>
                </c:pt>
                <c:pt idx="1">
                  <c:v>500</c:v>
                </c:pt>
              </c:numCache>
            </c:numRef>
          </c:xVal>
          <c:yVal>
            <c:numRef>
              <c:f>GRAFICA_42!$AB$17:$AB$18</c:f>
              <c:numCache>
                <c:formatCode>0.00</c:formatCode>
                <c:ptCount val="2"/>
                <c:pt idx="0">
                  <c:v>0</c:v>
                </c:pt>
                <c:pt idx="1">
                  <c:v>400</c:v>
                </c:pt>
              </c:numCache>
            </c:numRef>
          </c:yVal>
          <c:smooth val="0"/>
          <c:extLst>
            <c:ext xmlns:c16="http://schemas.microsoft.com/office/drawing/2014/chart" uri="{C3380CC4-5D6E-409C-BE32-E72D297353CC}">
              <c16:uniqueId val="{00000004-E298-415C-A580-716B7B7CACA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GRAFICA_42!$AA$20:$AA$21</c:f>
              <c:numCache>
                <c:formatCode>0.00</c:formatCode>
                <c:ptCount val="2"/>
                <c:pt idx="0">
                  <c:v>500</c:v>
                </c:pt>
                <c:pt idx="1">
                  <c:v>0</c:v>
                </c:pt>
              </c:numCache>
            </c:numRef>
          </c:xVal>
          <c:yVal>
            <c:numRef>
              <c:f>GRAFICA_42!$AB$20:$AB$21</c:f>
              <c:numCache>
                <c:formatCode>0.00</c:formatCode>
                <c:ptCount val="2"/>
                <c:pt idx="0">
                  <c:v>0</c:v>
                </c:pt>
                <c:pt idx="1">
                  <c:v>400</c:v>
                </c:pt>
              </c:numCache>
            </c:numRef>
          </c:yVal>
          <c:smooth val="0"/>
          <c:extLst>
            <c:ext xmlns:c16="http://schemas.microsoft.com/office/drawing/2014/chart" uri="{C3380CC4-5D6E-409C-BE32-E72D297353CC}">
              <c16:uniqueId val="{00000005-E298-415C-A580-716B7B7CACA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GRAFICA_43!$AA$5:$AA$6</c:f>
              <c:numCache>
                <c:formatCode>0.00</c:formatCode>
                <c:ptCount val="2"/>
                <c:pt idx="0">
                  <c:v>0</c:v>
                </c:pt>
                <c:pt idx="1">
                  <c:v>400</c:v>
                </c:pt>
              </c:numCache>
            </c:numRef>
          </c:xVal>
          <c:yVal>
            <c:numRef>
              <c:f>GRAFICA_43!$AB$5:$AB$6</c:f>
              <c:numCache>
                <c:formatCode>0.00</c:formatCode>
                <c:ptCount val="2"/>
                <c:pt idx="0">
                  <c:v>0</c:v>
                </c:pt>
                <c:pt idx="1">
                  <c:v>0</c:v>
                </c:pt>
              </c:numCache>
            </c:numRef>
          </c:yVal>
          <c:smooth val="0"/>
          <c:extLst>
            <c:ext xmlns:c16="http://schemas.microsoft.com/office/drawing/2014/chart" uri="{C3380CC4-5D6E-409C-BE32-E72D297353CC}">
              <c16:uniqueId val="{00000000-7979-4C0B-ADDA-B3E83D20CF7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GRAFICA_43!$AA$8:$AA$9</c:f>
              <c:numCache>
                <c:formatCode>0.00</c:formatCode>
                <c:ptCount val="2"/>
                <c:pt idx="0">
                  <c:v>400</c:v>
                </c:pt>
                <c:pt idx="1">
                  <c:v>800</c:v>
                </c:pt>
              </c:numCache>
            </c:numRef>
          </c:xVal>
          <c:yVal>
            <c:numRef>
              <c:f>GRAFICA_43!$AB$8:$AB$9</c:f>
              <c:numCache>
                <c:formatCode>0.00</c:formatCode>
                <c:ptCount val="2"/>
                <c:pt idx="0">
                  <c:v>0</c:v>
                </c:pt>
                <c:pt idx="1">
                  <c:v>0</c:v>
                </c:pt>
              </c:numCache>
            </c:numRef>
          </c:yVal>
          <c:smooth val="0"/>
          <c:extLst>
            <c:ext xmlns:c16="http://schemas.microsoft.com/office/drawing/2014/chart" uri="{C3380CC4-5D6E-409C-BE32-E72D297353CC}">
              <c16:uniqueId val="{00000001-7979-4C0B-ADDA-B3E83D20CF7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GRAFICA_43!$AA$11:$AA$12</c:f>
              <c:numCache>
                <c:formatCode>0.00</c:formatCode>
                <c:ptCount val="2"/>
                <c:pt idx="0">
                  <c:v>0</c:v>
                </c:pt>
                <c:pt idx="1">
                  <c:v>200</c:v>
                </c:pt>
              </c:numCache>
            </c:numRef>
          </c:xVal>
          <c:yVal>
            <c:numRef>
              <c:f>GRAFICA_43!$AB$11:$AB$12</c:f>
              <c:numCache>
                <c:formatCode>0.00</c:formatCode>
                <c:ptCount val="2"/>
                <c:pt idx="0">
                  <c:v>0</c:v>
                </c:pt>
                <c:pt idx="1">
                  <c:v>300</c:v>
                </c:pt>
              </c:numCache>
            </c:numRef>
          </c:yVal>
          <c:smooth val="0"/>
          <c:extLst>
            <c:ext xmlns:c16="http://schemas.microsoft.com/office/drawing/2014/chart" uri="{C3380CC4-5D6E-409C-BE32-E72D297353CC}">
              <c16:uniqueId val="{00000002-7979-4C0B-ADDA-B3E83D20CF7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GRAFICA_43!$AA$14:$AA$15</c:f>
              <c:numCache>
                <c:formatCode>0.00</c:formatCode>
                <c:ptCount val="2"/>
                <c:pt idx="0">
                  <c:v>200</c:v>
                </c:pt>
                <c:pt idx="1">
                  <c:v>400</c:v>
                </c:pt>
              </c:numCache>
            </c:numRef>
          </c:xVal>
          <c:yVal>
            <c:numRef>
              <c:f>GRAFICA_43!$AB$14:$AB$15</c:f>
              <c:numCache>
                <c:formatCode>0.00</c:formatCode>
                <c:ptCount val="2"/>
                <c:pt idx="0">
                  <c:v>300</c:v>
                </c:pt>
                <c:pt idx="1">
                  <c:v>0</c:v>
                </c:pt>
              </c:numCache>
            </c:numRef>
          </c:yVal>
          <c:smooth val="0"/>
          <c:extLst>
            <c:ext xmlns:c16="http://schemas.microsoft.com/office/drawing/2014/chart" uri="{C3380CC4-5D6E-409C-BE32-E72D297353CC}">
              <c16:uniqueId val="{00000003-7979-4C0B-ADDA-B3E83D20CF7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GRAFICA_43!$AA$17:$AA$18</c:f>
              <c:numCache>
                <c:formatCode>0.00</c:formatCode>
                <c:ptCount val="2"/>
                <c:pt idx="0">
                  <c:v>200</c:v>
                </c:pt>
                <c:pt idx="1">
                  <c:v>600</c:v>
                </c:pt>
              </c:numCache>
            </c:numRef>
          </c:xVal>
          <c:yVal>
            <c:numRef>
              <c:f>GRAFICA_43!$AB$17:$AB$18</c:f>
              <c:numCache>
                <c:formatCode>0.00</c:formatCode>
                <c:ptCount val="2"/>
                <c:pt idx="0">
                  <c:v>300</c:v>
                </c:pt>
                <c:pt idx="1">
                  <c:v>300</c:v>
                </c:pt>
              </c:numCache>
            </c:numRef>
          </c:yVal>
          <c:smooth val="0"/>
          <c:extLst>
            <c:ext xmlns:c16="http://schemas.microsoft.com/office/drawing/2014/chart" uri="{C3380CC4-5D6E-409C-BE32-E72D297353CC}">
              <c16:uniqueId val="{00000004-7979-4C0B-ADDA-B3E83D20CF7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GRAFICA_43!$AA$20:$AA$21</c:f>
              <c:numCache>
                <c:formatCode>0.00</c:formatCode>
                <c:ptCount val="2"/>
                <c:pt idx="0">
                  <c:v>400</c:v>
                </c:pt>
                <c:pt idx="1">
                  <c:v>600</c:v>
                </c:pt>
              </c:numCache>
            </c:numRef>
          </c:xVal>
          <c:yVal>
            <c:numRef>
              <c:f>GRAFICA_43!$AB$20:$AB$21</c:f>
              <c:numCache>
                <c:formatCode>0.00</c:formatCode>
                <c:ptCount val="2"/>
                <c:pt idx="0">
                  <c:v>0</c:v>
                </c:pt>
                <c:pt idx="1">
                  <c:v>300</c:v>
                </c:pt>
              </c:numCache>
            </c:numRef>
          </c:yVal>
          <c:smooth val="0"/>
          <c:extLst>
            <c:ext xmlns:c16="http://schemas.microsoft.com/office/drawing/2014/chart" uri="{C3380CC4-5D6E-409C-BE32-E72D297353CC}">
              <c16:uniqueId val="{00000005-7979-4C0B-ADDA-B3E83D20CF7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GRAFICA_43!$AA$23:$AA$24</c:f>
              <c:numCache>
                <c:formatCode>0.00</c:formatCode>
                <c:ptCount val="2"/>
                <c:pt idx="0">
                  <c:v>600</c:v>
                </c:pt>
                <c:pt idx="1">
                  <c:v>800</c:v>
                </c:pt>
              </c:numCache>
            </c:numRef>
          </c:xVal>
          <c:yVal>
            <c:numRef>
              <c:f>GRAFICA_43!$AB$23:$AB$24</c:f>
              <c:numCache>
                <c:formatCode>0.00</c:formatCode>
                <c:ptCount val="2"/>
                <c:pt idx="0">
                  <c:v>300</c:v>
                </c:pt>
                <c:pt idx="1">
                  <c:v>0</c:v>
                </c:pt>
              </c:numCache>
            </c:numRef>
          </c:yVal>
          <c:smooth val="0"/>
          <c:extLst>
            <c:ext xmlns:c16="http://schemas.microsoft.com/office/drawing/2014/chart" uri="{C3380CC4-5D6E-409C-BE32-E72D297353CC}">
              <c16:uniqueId val="{00000006-7979-4C0B-ADDA-B3E83D20CF7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GRAFICA_43!$AA$26:$AA$27</c:f>
              <c:numCache>
                <c:formatCode>0.00</c:formatCode>
                <c:ptCount val="2"/>
                <c:pt idx="0">
                  <c:v>0</c:v>
                </c:pt>
                <c:pt idx="1">
                  <c:v>600</c:v>
                </c:pt>
              </c:numCache>
            </c:numRef>
          </c:xVal>
          <c:yVal>
            <c:numRef>
              <c:f>GRAFICA_43!$AB$26:$AB$27</c:f>
              <c:numCache>
                <c:formatCode>0.00</c:formatCode>
                <c:ptCount val="2"/>
                <c:pt idx="0">
                  <c:v>0</c:v>
                </c:pt>
                <c:pt idx="1">
                  <c:v>300</c:v>
                </c:pt>
              </c:numCache>
            </c:numRef>
          </c:yVal>
          <c:smooth val="0"/>
          <c:extLst>
            <c:ext xmlns:c16="http://schemas.microsoft.com/office/drawing/2014/chart" uri="{C3380CC4-5D6E-409C-BE32-E72D297353CC}">
              <c16:uniqueId val="{00000007-7979-4C0B-ADDA-B3E83D20CF7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GRAFICA_44!$AA$5:$AA$6</c:f>
              <c:numCache>
                <c:formatCode>0.00</c:formatCode>
                <c:ptCount val="2"/>
                <c:pt idx="0">
                  <c:v>0</c:v>
                </c:pt>
                <c:pt idx="1">
                  <c:v>350</c:v>
                </c:pt>
              </c:numCache>
            </c:numRef>
          </c:xVal>
          <c:yVal>
            <c:numRef>
              <c:f>GRAFICA_44!$AB$5:$AB$6</c:f>
              <c:numCache>
                <c:formatCode>0.00</c:formatCode>
                <c:ptCount val="2"/>
                <c:pt idx="0">
                  <c:v>0</c:v>
                </c:pt>
                <c:pt idx="1">
                  <c:v>0</c:v>
                </c:pt>
              </c:numCache>
            </c:numRef>
          </c:yVal>
          <c:smooth val="0"/>
          <c:extLst>
            <c:ext xmlns:c16="http://schemas.microsoft.com/office/drawing/2014/chart" uri="{C3380CC4-5D6E-409C-BE32-E72D297353CC}">
              <c16:uniqueId val="{00000000-8390-4391-8504-0D7F78D630A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GRAFICA_44!$AA$8:$AA$9</c:f>
              <c:numCache>
                <c:formatCode>0.00</c:formatCode>
                <c:ptCount val="2"/>
                <c:pt idx="0">
                  <c:v>350</c:v>
                </c:pt>
                <c:pt idx="1">
                  <c:v>700</c:v>
                </c:pt>
              </c:numCache>
            </c:numRef>
          </c:xVal>
          <c:yVal>
            <c:numRef>
              <c:f>GRAFICA_44!$AB$8:$AB$9</c:f>
              <c:numCache>
                <c:formatCode>0.00</c:formatCode>
                <c:ptCount val="2"/>
                <c:pt idx="0">
                  <c:v>0</c:v>
                </c:pt>
                <c:pt idx="1">
                  <c:v>0</c:v>
                </c:pt>
              </c:numCache>
            </c:numRef>
          </c:yVal>
          <c:smooth val="0"/>
          <c:extLst>
            <c:ext xmlns:c16="http://schemas.microsoft.com/office/drawing/2014/chart" uri="{C3380CC4-5D6E-409C-BE32-E72D297353CC}">
              <c16:uniqueId val="{00000001-8390-4391-8504-0D7F78D630A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GRAFICA_44!$AA$11:$AA$12</c:f>
              <c:numCache>
                <c:formatCode>0.00</c:formatCode>
                <c:ptCount val="2"/>
                <c:pt idx="0">
                  <c:v>0</c:v>
                </c:pt>
                <c:pt idx="1">
                  <c:v>350</c:v>
                </c:pt>
              </c:numCache>
            </c:numRef>
          </c:xVal>
          <c:yVal>
            <c:numRef>
              <c:f>GRAFICA_44!$AB$11:$AB$12</c:f>
              <c:numCache>
                <c:formatCode>0.00</c:formatCode>
                <c:ptCount val="2"/>
                <c:pt idx="0">
                  <c:v>300</c:v>
                </c:pt>
                <c:pt idx="1">
                  <c:v>300</c:v>
                </c:pt>
              </c:numCache>
            </c:numRef>
          </c:yVal>
          <c:smooth val="0"/>
          <c:extLst>
            <c:ext xmlns:c16="http://schemas.microsoft.com/office/drawing/2014/chart" uri="{C3380CC4-5D6E-409C-BE32-E72D297353CC}">
              <c16:uniqueId val="{00000002-8390-4391-8504-0D7F78D630A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GRAFICA_44!$AA$14:$AA$15</c:f>
              <c:numCache>
                <c:formatCode>0.00</c:formatCode>
                <c:ptCount val="2"/>
                <c:pt idx="0">
                  <c:v>0</c:v>
                </c:pt>
                <c:pt idx="1">
                  <c:v>0</c:v>
                </c:pt>
              </c:numCache>
            </c:numRef>
          </c:xVal>
          <c:yVal>
            <c:numRef>
              <c:f>GRAFICA_44!$AB$14:$AB$15</c:f>
              <c:numCache>
                <c:formatCode>0.00</c:formatCode>
                <c:ptCount val="2"/>
                <c:pt idx="0">
                  <c:v>0</c:v>
                </c:pt>
                <c:pt idx="1">
                  <c:v>300</c:v>
                </c:pt>
              </c:numCache>
            </c:numRef>
          </c:yVal>
          <c:smooth val="0"/>
          <c:extLst>
            <c:ext xmlns:c16="http://schemas.microsoft.com/office/drawing/2014/chart" uri="{C3380CC4-5D6E-409C-BE32-E72D297353CC}">
              <c16:uniqueId val="{00000003-8390-4391-8504-0D7F78D630A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GRAFICA_44!$AA$17:$AA$18</c:f>
              <c:numCache>
                <c:formatCode>0.00</c:formatCode>
                <c:ptCount val="2"/>
                <c:pt idx="0">
                  <c:v>350</c:v>
                </c:pt>
                <c:pt idx="1">
                  <c:v>350</c:v>
                </c:pt>
              </c:numCache>
            </c:numRef>
          </c:xVal>
          <c:yVal>
            <c:numRef>
              <c:f>GRAFICA_44!$AB$17:$AB$18</c:f>
              <c:numCache>
                <c:formatCode>0.00</c:formatCode>
                <c:ptCount val="2"/>
                <c:pt idx="0">
                  <c:v>0</c:v>
                </c:pt>
                <c:pt idx="1">
                  <c:v>300</c:v>
                </c:pt>
              </c:numCache>
            </c:numRef>
          </c:yVal>
          <c:smooth val="0"/>
          <c:extLst>
            <c:ext xmlns:c16="http://schemas.microsoft.com/office/drawing/2014/chart" uri="{C3380CC4-5D6E-409C-BE32-E72D297353CC}">
              <c16:uniqueId val="{00000004-8390-4391-8504-0D7F78D630A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GRAFICA_44!$AA$20:$AA$21</c:f>
              <c:numCache>
                <c:formatCode>0.00</c:formatCode>
                <c:ptCount val="2"/>
                <c:pt idx="0">
                  <c:v>0</c:v>
                </c:pt>
                <c:pt idx="1">
                  <c:v>350</c:v>
                </c:pt>
              </c:numCache>
            </c:numRef>
          </c:xVal>
          <c:yVal>
            <c:numRef>
              <c:f>GRAFICA_44!$AB$20:$AB$21</c:f>
              <c:numCache>
                <c:formatCode>0.00</c:formatCode>
                <c:ptCount val="2"/>
                <c:pt idx="0">
                  <c:v>0</c:v>
                </c:pt>
                <c:pt idx="1">
                  <c:v>300</c:v>
                </c:pt>
              </c:numCache>
            </c:numRef>
          </c:yVal>
          <c:smooth val="0"/>
          <c:extLst>
            <c:ext xmlns:c16="http://schemas.microsoft.com/office/drawing/2014/chart" uri="{C3380CC4-5D6E-409C-BE32-E72D297353CC}">
              <c16:uniqueId val="{00000005-8390-4391-8504-0D7F78D630A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GRAFICA_44!$AA$23:$AA$24</c:f>
              <c:numCache>
                <c:formatCode>0.00</c:formatCode>
                <c:ptCount val="2"/>
                <c:pt idx="0">
                  <c:v>0</c:v>
                </c:pt>
                <c:pt idx="1">
                  <c:v>350</c:v>
                </c:pt>
              </c:numCache>
            </c:numRef>
          </c:xVal>
          <c:yVal>
            <c:numRef>
              <c:f>GRAFICA_44!$AB$23:$AB$24</c:f>
              <c:numCache>
                <c:formatCode>0.00</c:formatCode>
                <c:ptCount val="2"/>
                <c:pt idx="0">
                  <c:v>300</c:v>
                </c:pt>
                <c:pt idx="1">
                  <c:v>0</c:v>
                </c:pt>
              </c:numCache>
            </c:numRef>
          </c:yVal>
          <c:smooth val="0"/>
          <c:extLst>
            <c:ext xmlns:c16="http://schemas.microsoft.com/office/drawing/2014/chart" uri="{C3380CC4-5D6E-409C-BE32-E72D297353CC}">
              <c16:uniqueId val="{00000006-8390-4391-8504-0D7F78D630A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GRAFICA_44!$AA$26:$AA$27</c:f>
              <c:numCache>
                <c:formatCode>0.00</c:formatCode>
                <c:ptCount val="2"/>
                <c:pt idx="0">
                  <c:v>350</c:v>
                </c:pt>
                <c:pt idx="1">
                  <c:v>350</c:v>
                </c:pt>
              </c:numCache>
            </c:numRef>
          </c:xVal>
          <c:yVal>
            <c:numRef>
              <c:f>GRAFICA_44!$AB$26:$AB$27</c:f>
              <c:numCache>
                <c:formatCode>0.00</c:formatCode>
                <c:ptCount val="2"/>
                <c:pt idx="0">
                  <c:v>0</c:v>
                </c:pt>
                <c:pt idx="1">
                  <c:v>300</c:v>
                </c:pt>
              </c:numCache>
            </c:numRef>
          </c:yVal>
          <c:smooth val="0"/>
          <c:extLst>
            <c:ext xmlns:c16="http://schemas.microsoft.com/office/drawing/2014/chart" uri="{C3380CC4-5D6E-409C-BE32-E72D297353CC}">
              <c16:uniqueId val="{00000007-8390-4391-8504-0D7F78D630A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GRAFICA_44!$AA$29:$AA$30</c:f>
              <c:numCache>
                <c:formatCode>0.00</c:formatCode>
                <c:ptCount val="2"/>
                <c:pt idx="0">
                  <c:v>350</c:v>
                </c:pt>
                <c:pt idx="1">
                  <c:v>700</c:v>
                </c:pt>
              </c:numCache>
            </c:numRef>
          </c:xVal>
          <c:yVal>
            <c:numRef>
              <c:f>GRAFICA_44!$AB$29:$AB$30</c:f>
              <c:numCache>
                <c:formatCode>0.00</c:formatCode>
                <c:ptCount val="2"/>
                <c:pt idx="0">
                  <c:v>300</c:v>
                </c:pt>
                <c:pt idx="1">
                  <c:v>0</c:v>
                </c:pt>
              </c:numCache>
            </c:numRef>
          </c:yVal>
          <c:smooth val="0"/>
          <c:extLst>
            <c:ext xmlns:c16="http://schemas.microsoft.com/office/drawing/2014/chart" uri="{C3380CC4-5D6E-409C-BE32-E72D297353CC}">
              <c16:uniqueId val="{00000008-8390-4391-8504-0D7F78D630A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GRAFICA_45!$AA$5:$AA$6</c:f>
              <c:numCache>
                <c:formatCode>0.00</c:formatCode>
                <c:ptCount val="2"/>
                <c:pt idx="0">
                  <c:v>0</c:v>
                </c:pt>
                <c:pt idx="1">
                  <c:v>400</c:v>
                </c:pt>
              </c:numCache>
            </c:numRef>
          </c:xVal>
          <c:yVal>
            <c:numRef>
              <c:f>GRAFICA_45!$AB$5:$AB$6</c:f>
              <c:numCache>
                <c:formatCode>0.00</c:formatCode>
                <c:ptCount val="2"/>
                <c:pt idx="0">
                  <c:v>0</c:v>
                </c:pt>
                <c:pt idx="1">
                  <c:v>0</c:v>
                </c:pt>
              </c:numCache>
            </c:numRef>
          </c:yVal>
          <c:smooth val="0"/>
          <c:extLst>
            <c:ext xmlns:c16="http://schemas.microsoft.com/office/drawing/2014/chart" uri="{C3380CC4-5D6E-409C-BE32-E72D297353CC}">
              <c16:uniqueId val="{00000000-1975-4A2B-AD5B-BD0ACF0C91D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GRAFICA_45!$AA$8:$AA$9</c:f>
              <c:numCache>
                <c:formatCode>0.00</c:formatCode>
                <c:ptCount val="2"/>
                <c:pt idx="0">
                  <c:v>400</c:v>
                </c:pt>
                <c:pt idx="1">
                  <c:v>800</c:v>
                </c:pt>
              </c:numCache>
            </c:numRef>
          </c:xVal>
          <c:yVal>
            <c:numRef>
              <c:f>GRAFICA_45!$AB$8:$AB$9</c:f>
              <c:numCache>
                <c:formatCode>0.00</c:formatCode>
                <c:ptCount val="2"/>
                <c:pt idx="0">
                  <c:v>0</c:v>
                </c:pt>
                <c:pt idx="1">
                  <c:v>0</c:v>
                </c:pt>
              </c:numCache>
            </c:numRef>
          </c:yVal>
          <c:smooth val="0"/>
          <c:extLst>
            <c:ext xmlns:c16="http://schemas.microsoft.com/office/drawing/2014/chart" uri="{C3380CC4-5D6E-409C-BE32-E72D297353CC}">
              <c16:uniqueId val="{00000001-1975-4A2B-AD5B-BD0ACF0C91D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GRAFICA_45!$AA$11:$AA$12</c:f>
              <c:numCache>
                <c:formatCode>0.00</c:formatCode>
                <c:ptCount val="2"/>
                <c:pt idx="0">
                  <c:v>0</c:v>
                </c:pt>
                <c:pt idx="1">
                  <c:v>400</c:v>
                </c:pt>
              </c:numCache>
            </c:numRef>
          </c:xVal>
          <c:yVal>
            <c:numRef>
              <c:f>GRAFICA_45!$AB$11:$AB$12</c:f>
              <c:numCache>
                <c:formatCode>0.00</c:formatCode>
                <c:ptCount val="2"/>
                <c:pt idx="0">
                  <c:v>300</c:v>
                </c:pt>
                <c:pt idx="1">
                  <c:v>300</c:v>
                </c:pt>
              </c:numCache>
            </c:numRef>
          </c:yVal>
          <c:smooth val="0"/>
          <c:extLst>
            <c:ext xmlns:c16="http://schemas.microsoft.com/office/drawing/2014/chart" uri="{C3380CC4-5D6E-409C-BE32-E72D297353CC}">
              <c16:uniqueId val="{00000002-1975-4A2B-AD5B-BD0ACF0C91D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GRAFICA_45!$AA$14:$AA$15</c:f>
              <c:numCache>
                <c:formatCode>0.00</c:formatCode>
                <c:ptCount val="2"/>
                <c:pt idx="0">
                  <c:v>400</c:v>
                </c:pt>
                <c:pt idx="1">
                  <c:v>800</c:v>
                </c:pt>
              </c:numCache>
            </c:numRef>
          </c:xVal>
          <c:yVal>
            <c:numRef>
              <c:f>GRAFICA_45!$AB$14:$AB$15</c:f>
              <c:numCache>
                <c:formatCode>0.00</c:formatCode>
                <c:ptCount val="2"/>
                <c:pt idx="0">
                  <c:v>300</c:v>
                </c:pt>
                <c:pt idx="1">
                  <c:v>300</c:v>
                </c:pt>
              </c:numCache>
            </c:numRef>
          </c:yVal>
          <c:smooth val="0"/>
          <c:extLst>
            <c:ext xmlns:c16="http://schemas.microsoft.com/office/drawing/2014/chart" uri="{C3380CC4-5D6E-409C-BE32-E72D297353CC}">
              <c16:uniqueId val="{00000003-1975-4A2B-AD5B-BD0ACF0C91D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GRAFICA_45!$AA$17:$AA$18</c:f>
              <c:numCache>
                <c:formatCode>0.00</c:formatCode>
                <c:ptCount val="2"/>
                <c:pt idx="0">
                  <c:v>0</c:v>
                </c:pt>
                <c:pt idx="1">
                  <c:v>0</c:v>
                </c:pt>
              </c:numCache>
            </c:numRef>
          </c:xVal>
          <c:yVal>
            <c:numRef>
              <c:f>GRAFICA_45!$AB$17:$AB$18</c:f>
              <c:numCache>
                <c:formatCode>0.00</c:formatCode>
                <c:ptCount val="2"/>
                <c:pt idx="0">
                  <c:v>0</c:v>
                </c:pt>
                <c:pt idx="1">
                  <c:v>300</c:v>
                </c:pt>
              </c:numCache>
            </c:numRef>
          </c:yVal>
          <c:smooth val="0"/>
          <c:extLst>
            <c:ext xmlns:c16="http://schemas.microsoft.com/office/drawing/2014/chart" uri="{C3380CC4-5D6E-409C-BE32-E72D297353CC}">
              <c16:uniqueId val="{00000004-1975-4A2B-AD5B-BD0ACF0C91D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GRAFICA_45!$AA$20:$AA$21</c:f>
              <c:numCache>
                <c:formatCode>0.00</c:formatCode>
                <c:ptCount val="2"/>
                <c:pt idx="0">
                  <c:v>400</c:v>
                </c:pt>
                <c:pt idx="1">
                  <c:v>400</c:v>
                </c:pt>
              </c:numCache>
            </c:numRef>
          </c:xVal>
          <c:yVal>
            <c:numRef>
              <c:f>GRAFICA_45!$AB$20:$AB$21</c:f>
              <c:numCache>
                <c:formatCode>0.00</c:formatCode>
                <c:ptCount val="2"/>
                <c:pt idx="0">
                  <c:v>0</c:v>
                </c:pt>
                <c:pt idx="1">
                  <c:v>300</c:v>
                </c:pt>
              </c:numCache>
            </c:numRef>
          </c:yVal>
          <c:smooth val="0"/>
          <c:extLst>
            <c:ext xmlns:c16="http://schemas.microsoft.com/office/drawing/2014/chart" uri="{C3380CC4-5D6E-409C-BE32-E72D297353CC}">
              <c16:uniqueId val="{00000005-1975-4A2B-AD5B-BD0ACF0C91D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GRAFICA_45!$AA$23:$AA$24</c:f>
              <c:numCache>
                <c:formatCode>0.00</c:formatCode>
                <c:ptCount val="2"/>
                <c:pt idx="0">
                  <c:v>800</c:v>
                </c:pt>
                <c:pt idx="1">
                  <c:v>800</c:v>
                </c:pt>
              </c:numCache>
            </c:numRef>
          </c:xVal>
          <c:yVal>
            <c:numRef>
              <c:f>GRAFICA_45!$AB$23:$AB$24</c:f>
              <c:numCache>
                <c:formatCode>0.00</c:formatCode>
                <c:ptCount val="2"/>
                <c:pt idx="0">
                  <c:v>0</c:v>
                </c:pt>
                <c:pt idx="1">
                  <c:v>300</c:v>
                </c:pt>
              </c:numCache>
            </c:numRef>
          </c:yVal>
          <c:smooth val="0"/>
          <c:extLst>
            <c:ext xmlns:c16="http://schemas.microsoft.com/office/drawing/2014/chart" uri="{C3380CC4-5D6E-409C-BE32-E72D297353CC}">
              <c16:uniqueId val="{00000006-1975-4A2B-AD5B-BD0ACF0C91D9}"/>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GRAFICA_45!$AA$26:$AA$27</c:f>
              <c:numCache>
                <c:formatCode>0.00</c:formatCode>
                <c:ptCount val="2"/>
                <c:pt idx="0">
                  <c:v>0</c:v>
                </c:pt>
                <c:pt idx="1">
                  <c:v>400</c:v>
                </c:pt>
              </c:numCache>
            </c:numRef>
          </c:xVal>
          <c:yVal>
            <c:numRef>
              <c:f>GRAFICA_45!$AB$26:$AB$27</c:f>
              <c:numCache>
                <c:formatCode>0.00</c:formatCode>
                <c:ptCount val="2"/>
                <c:pt idx="0">
                  <c:v>0</c:v>
                </c:pt>
                <c:pt idx="1">
                  <c:v>300</c:v>
                </c:pt>
              </c:numCache>
            </c:numRef>
          </c:yVal>
          <c:smooth val="0"/>
          <c:extLst>
            <c:ext xmlns:c16="http://schemas.microsoft.com/office/drawing/2014/chart" uri="{C3380CC4-5D6E-409C-BE32-E72D297353CC}">
              <c16:uniqueId val="{00000007-1975-4A2B-AD5B-BD0ACF0C91D9}"/>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GRAFICA_45!$AA$29:$AA$30</c:f>
              <c:numCache>
                <c:formatCode>0.00</c:formatCode>
                <c:ptCount val="2"/>
                <c:pt idx="0">
                  <c:v>0</c:v>
                </c:pt>
                <c:pt idx="1">
                  <c:v>400</c:v>
                </c:pt>
              </c:numCache>
            </c:numRef>
          </c:xVal>
          <c:yVal>
            <c:numRef>
              <c:f>GRAFICA_45!$AB$29:$AB$30</c:f>
              <c:numCache>
                <c:formatCode>0.00</c:formatCode>
                <c:ptCount val="2"/>
                <c:pt idx="0">
                  <c:v>300</c:v>
                </c:pt>
                <c:pt idx="1">
                  <c:v>0</c:v>
                </c:pt>
              </c:numCache>
            </c:numRef>
          </c:yVal>
          <c:smooth val="0"/>
          <c:extLst>
            <c:ext xmlns:c16="http://schemas.microsoft.com/office/drawing/2014/chart" uri="{C3380CC4-5D6E-409C-BE32-E72D297353CC}">
              <c16:uniqueId val="{00000008-1975-4A2B-AD5B-BD0ACF0C91D9}"/>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GRAFICA_45!$AA$32:$AA$33</c:f>
              <c:numCache>
                <c:formatCode>0.00</c:formatCode>
                <c:ptCount val="2"/>
                <c:pt idx="0">
                  <c:v>400</c:v>
                </c:pt>
                <c:pt idx="1">
                  <c:v>800</c:v>
                </c:pt>
              </c:numCache>
            </c:numRef>
          </c:xVal>
          <c:yVal>
            <c:numRef>
              <c:f>GRAFICA_45!$AB$32:$AB$33</c:f>
              <c:numCache>
                <c:formatCode>0.00</c:formatCode>
                <c:ptCount val="2"/>
                <c:pt idx="0">
                  <c:v>0</c:v>
                </c:pt>
                <c:pt idx="1">
                  <c:v>300</c:v>
                </c:pt>
              </c:numCache>
            </c:numRef>
          </c:yVal>
          <c:smooth val="0"/>
          <c:extLst>
            <c:ext xmlns:c16="http://schemas.microsoft.com/office/drawing/2014/chart" uri="{C3380CC4-5D6E-409C-BE32-E72D297353CC}">
              <c16:uniqueId val="{00000009-1975-4A2B-AD5B-BD0ACF0C91D9}"/>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GRAFICA_45!$AA$35:$AA$36</c:f>
              <c:numCache>
                <c:formatCode>0.00</c:formatCode>
                <c:ptCount val="2"/>
                <c:pt idx="0">
                  <c:v>400</c:v>
                </c:pt>
                <c:pt idx="1">
                  <c:v>800</c:v>
                </c:pt>
              </c:numCache>
            </c:numRef>
          </c:xVal>
          <c:yVal>
            <c:numRef>
              <c:f>GRAFICA_45!$AB$35:$AB$36</c:f>
              <c:numCache>
                <c:formatCode>0.00</c:formatCode>
                <c:ptCount val="2"/>
                <c:pt idx="0">
                  <c:v>300</c:v>
                </c:pt>
                <c:pt idx="1">
                  <c:v>0</c:v>
                </c:pt>
              </c:numCache>
            </c:numRef>
          </c:yVal>
          <c:smooth val="0"/>
          <c:extLst>
            <c:ext xmlns:c16="http://schemas.microsoft.com/office/drawing/2014/chart" uri="{C3380CC4-5D6E-409C-BE32-E72D297353CC}">
              <c16:uniqueId val="{0000000A-1975-4A2B-AD5B-BD0ACF0C91D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GRAFICA_46!$AA$5:$AA$6</c:f>
              <c:numCache>
                <c:formatCode>0.00</c:formatCode>
                <c:ptCount val="2"/>
                <c:pt idx="0">
                  <c:v>0</c:v>
                </c:pt>
                <c:pt idx="1">
                  <c:v>600</c:v>
                </c:pt>
              </c:numCache>
            </c:numRef>
          </c:xVal>
          <c:yVal>
            <c:numRef>
              <c:f>GRAFICA_46!$AB$5:$AB$6</c:f>
              <c:numCache>
                <c:formatCode>0.00</c:formatCode>
                <c:ptCount val="2"/>
                <c:pt idx="0">
                  <c:v>0</c:v>
                </c:pt>
                <c:pt idx="1">
                  <c:v>0</c:v>
                </c:pt>
              </c:numCache>
            </c:numRef>
          </c:yVal>
          <c:smooth val="0"/>
          <c:extLst>
            <c:ext xmlns:c16="http://schemas.microsoft.com/office/drawing/2014/chart" uri="{C3380CC4-5D6E-409C-BE32-E72D297353CC}">
              <c16:uniqueId val="{00000000-0881-43E7-BF82-FB378369801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GRAFICA_46!$AA$8:$AA$9</c:f>
              <c:numCache>
                <c:formatCode>0.00</c:formatCode>
                <c:ptCount val="2"/>
                <c:pt idx="0">
                  <c:v>600</c:v>
                </c:pt>
                <c:pt idx="1">
                  <c:v>300</c:v>
                </c:pt>
              </c:numCache>
            </c:numRef>
          </c:xVal>
          <c:yVal>
            <c:numRef>
              <c:f>GRAFICA_46!$AB$8:$AB$9</c:f>
              <c:numCache>
                <c:formatCode>0.00</c:formatCode>
                <c:ptCount val="2"/>
                <c:pt idx="0">
                  <c:v>0</c:v>
                </c:pt>
                <c:pt idx="1">
                  <c:v>450</c:v>
                </c:pt>
              </c:numCache>
            </c:numRef>
          </c:yVal>
          <c:smooth val="0"/>
          <c:extLst>
            <c:ext xmlns:c16="http://schemas.microsoft.com/office/drawing/2014/chart" uri="{C3380CC4-5D6E-409C-BE32-E72D297353CC}">
              <c16:uniqueId val="{00000001-0881-43E7-BF82-FB378369801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GRAFICA_46!$AA$11:$AA$12</c:f>
              <c:numCache>
                <c:formatCode>0.00</c:formatCode>
                <c:ptCount val="2"/>
                <c:pt idx="0">
                  <c:v>300</c:v>
                </c:pt>
                <c:pt idx="1">
                  <c:v>0</c:v>
                </c:pt>
              </c:numCache>
            </c:numRef>
          </c:xVal>
          <c:yVal>
            <c:numRef>
              <c:f>GRAFICA_46!$AB$11:$AB$12</c:f>
              <c:numCache>
                <c:formatCode>0.00</c:formatCode>
                <c:ptCount val="2"/>
                <c:pt idx="0">
                  <c:v>450</c:v>
                </c:pt>
                <c:pt idx="1">
                  <c:v>0</c:v>
                </c:pt>
              </c:numCache>
            </c:numRef>
          </c:yVal>
          <c:smooth val="0"/>
          <c:extLst>
            <c:ext xmlns:c16="http://schemas.microsoft.com/office/drawing/2014/chart" uri="{C3380CC4-5D6E-409C-BE32-E72D297353CC}">
              <c16:uniqueId val="{00000002-0881-43E7-BF82-FB378369801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GRAFICA_46!$AA$14:$AA$15</c:f>
              <c:numCache>
                <c:formatCode>0.00</c:formatCode>
                <c:ptCount val="2"/>
                <c:pt idx="0">
                  <c:v>0</c:v>
                </c:pt>
                <c:pt idx="1">
                  <c:v>300</c:v>
                </c:pt>
              </c:numCache>
            </c:numRef>
          </c:xVal>
          <c:yVal>
            <c:numRef>
              <c:f>GRAFICA_46!$AB$14:$AB$15</c:f>
              <c:numCache>
                <c:formatCode>0.00</c:formatCode>
                <c:ptCount val="2"/>
                <c:pt idx="0">
                  <c:v>0</c:v>
                </c:pt>
                <c:pt idx="1">
                  <c:v>150</c:v>
                </c:pt>
              </c:numCache>
            </c:numRef>
          </c:yVal>
          <c:smooth val="0"/>
          <c:extLst>
            <c:ext xmlns:c16="http://schemas.microsoft.com/office/drawing/2014/chart" uri="{C3380CC4-5D6E-409C-BE32-E72D297353CC}">
              <c16:uniqueId val="{00000003-0881-43E7-BF82-FB378369801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GRAFICA_46!$AA$17:$AA$18</c:f>
              <c:numCache>
                <c:formatCode>0.00</c:formatCode>
                <c:ptCount val="2"/>
                <c:pt idx="0">
                  <c:v>600</c:v>
                </c:pt>
                <c:pt idx="1">
                  <c:v>300</c:v>
                </c:pt>
              </c:numCache>
            </c:numRef>
          </c:xVal>
          <c:yVal>
            <c:numRef>
              <c:f>GRAFICA_46!$AB$17:$AB$18</c:f>
              <c:numCache>
                <c:formatCode>0.00</c:formatCode>
                <c:ptCount val="2"/>
                <c:pt idx="0">
                  <c:v>0</c:v>
                </c:pt>
                <c:pt idx="1">
                  <c:v>150</c:v>
                </c:pt>
              </c:numCache>
            </c:numRef>
          </c:yVal>
          <c:smooth val="0"/>
          <c:extLst>
            <c:ext xmlns:c16="http://schemas.microsoft.com/office/drawing/2014/chart" uri="{C3380CC4-5D6E-409C-BE32-E72D297353CC}">
              <c16:uniqueId val="{00000004-0881-43E7-BF82-FB378369801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GRAFICA_46!$AA$20:$AA$21</c:f>
              <c:numCache>
                <c:formatCode>0.00</c:formatCode>
                <c:ptCount val="2"/>
                <c:pt idx="0">
                  <c:v>300</c:v>
                </c:pt>
                <c:pt idx="1">
                  <c:v>300</c:v>
                </c:pt>
              </c:numCache>
            </c:numRef>
          </c:xVal>
          <c:yVal>
            <c:numRef>
              <c:f>GRAFICA_46!$AB$20:$AB$21</c:f>
              <c:numCache>
                <c:formatCode>0.00</c:formatCode>
                <c:ptCount val="2"/>
                <c:pt idx="0">
                  <c:v>450</c:v>
                </c:pt>
                <c:pt idx="1">
                  <c:v>150</c:v>
                </c:pt>
              </c:numCache>
            </c:numRef>
          </c:yVal>
          <c:smooth val="0"/>
          <c:extLst>
            <c:ext xmlns:c16="http://schemas.microsoft.com/office/drawing/2014/chart" uri="{C3380CC4-5D6E-409C-BE32-E72D297353CC}">
              <c16:uniqueId val="{00000005-0881-43E7-BF82-FB378369801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GRAFICA_47!$AA$5:$AA$6</c:f>
              <c:numCache>
                <c:formatCode>0.00</c:formatCode>
                <c:ptCount val="2"/>
                <c:pt idx="0">
                  <c:v>0</c:v>
                </c:pt>
                <c:pt idx="1">
                  <c:v>300</c:v>
                </c:pt>
              </c:numCache>
            </c:numRef>
          </c:xVal>
          <c:yVal>
            <c:numRef>
              <c:f>GRAFICA_47!$AB$5:$AB$6</c:f>
              <c:numCache>
                <c:formatCode>0.00</c:formatCode>
                <c:ptCount val="2"/>
                <c:pt idx="0">
                  <c:v>0</c:v>
                </c:pt>
                <c:pt idx="1">
                  <c:v>0</c:v>
                </c:pt>
              </c:numCache>
            </c:numRef>
          </c:yVal>
          <c:smooth val="0"/>
          <c:extLst>
            <c:ext xmlns:c16="http://schemas.microsoft.com/office/drawing/2014/chart" uri="{C3380CC4-5D6E-409C-BE32-E72D297353CC}">
              <c16:uniqueId val="{00000000-DBD4-4EEE-952E-5E1782210A6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GRAFICA_47!$AA$8:$AA$9</c:f>
              <c:numCache>
                <c:formatCode>0.00</c:formatCode>
                <c:ptCount val="2"/>
                <c:pt idx="0">
                  <c:v>300</c:v>
                </c:pt>
                <c:pt idx="1">
                  <c:v>600</c:v>
                </c:pt>
              </c:numCache>
            </c:numRef>
          </c:xVal>
          <c:yVal>
            <c:numRef>
              <c:f>GRAFICA_47!$AB$8:$AB$9</c:f>
              <c:numCache>
                <c:formatCode>0.00</c:formatCode>
                <c:ptCount val="2"/>
                <c:pt idx="0">
                  <c:v>0</c:v>
                </c:pt>
                <c:pt idx="1">
                  <c:v>0</c:v>
                </c:pt>
              </c:numCache>
            </c:numRef>
          </c:yVal>
          <c:smooth val="0"/>
          <c:extLst>
            <c:ext xmlns:c16="http://schemas.microsoft.com/office/drawing/2014/chart" uri="{C3380CC4-5D6E-409C-BE32-E72D297353CC}">
              <c16:uniqueId val="{00000001-DBD4-4EEE-952E-5E1782210A6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GRAFICA_47!$AA$11:$AA$12</c:f>
              <c:numCache>
                <c:formatCode>0.00</c:formatCode>
                <c:ptCount val="2"/>
                <c:pt idx="0">
                  <c:v>0</c:v>
                </c:pt>
                <c:pt idx="1">
                  <c:v>300</c:v>
                </c:pt>
              </c:numCache>
            </c:numRef>
          </c:xVal>
          <c:yVal>
            <c:numRef>
              <c:f>GRAFICA_47!$AB$11:$AB$12</c:f>
              <c:numCache>
                <c:formatCode>0.00</c:formatCode>
                <c:ptCount val="2"/>
                <c:pt idx="0">
                  <c:v>250</c:v>
                </c:pt>
                <c:pt idx="1">
                  <c:v>250</c:v>
                </c:pt>
              </c:numCache>
            </c:numRef>
          </c:yVal>
          <c:smooth val="0"/>
          <c:extLst>
            <c:ext xmlns:c16="http://schemas.microsoft.com/office/drawing/2014/chart" uri="{C3380CC4-5D6E-409C-BE32-E72D297353CC}">
              <c16:uniqueId val="{00000002-DBD4-4EEE-952E-5E1782210A6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GRAFICA_47!$AA$14:$AA$15</c:f>
              <c:numCache>
                <c:formatCode>0.00</c:formatCode>
                <c:ptCount val="2"/>
                <c:pt idx="0">
                  <c:v>300</c:v>
                </c:pt>
                <c:pt idx="1">
                  <c:v>600</c:v>
                </c:pt>
              </c:numCache>
            </c:numRef>
          </c:xVal>
          <c:yVal>
            <c:numRef>
              <c:f>GRAFICA_47!$AB$14:$AB$15</c:f>
              <c:numCache>
                <c:formatCode>0.00</c:formatCode>
                <c:ptCount val="2"/>
                <c:pt idx="0">
                  <c:v>250</c:v>
                </c:pt>
                <c:pt idx="1">
                  <c:v>250</c:v>
                </c:pt>
              </c:numCache>
            </c:numRef>
          </c:yVal>
          <c:smooth val="0"/>
          <c:extLst>
            <c:ext xmlns:c16="http://schemas.microsoft.com/office/drawing/2014/chart" uri="{C3380CC4-5D6E-409C-BE32-E72D297353CC}">
              <c16:uniqueId val="{00000003-DBD4-4EEE-952E-5E1782210A6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GRAFICA_47!$AA$17:$AA$18</c:f>
              <c:numCache>
                <c:formatCode>0.00</c:formatCode>
                <c:ptCount val="2"/>
                <c:pt idx="0">
                  <c:v>0</c:v>
                </c:pt>
                <c:pt idx="1">
                  <c:v>0</c:v>
                </c:pt>
              </c:numCache>
            </c:numRef>
          </c:xVal>
          <c:yVal>
            <c:numRef>
              <c:f>GRAFICA_47!$AB$17:$AB$18</c:f>
              <c:numCache>
                <c:formatCode>0.00</c:formatCode>
                <c:ptCount val="2"/>
                <c:pt idx="0">
                  <c:v>0</c:v>
                </c:pt>
                <c:pt idx="1">
                  <c:v>250</c:v>
                </c:pt>
              </c:numCache>
            </c:numRef>
          </c:yVal>
          <c:smooth val="0"/>
          <c:extLst>
            <c:ext xmlns:c16="http://schemas.microsoft.com/office/drawing/2014/chart" uri="{C3380CC4-5D6E-409C-BE32-E72D297353CC}">
              <c16:uniqueId val="{00000004-DBD4-4EEE-952E-5E1782210A6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GRAFICA_47!$AA$20:$AA$21</c:f>
              <c:numCache>
                <c:formatCode>0.00</c:formatCode>
                <c:ptCount val="2"/>
                <c:pt idx="0">
                  <c:v>300</c:v>
                </c:pt>
                <c:pt idx="1">
                  <c:v>300</c:v>
                </c:pt>
              </c:numCache>
            </c:numRef>
          </c:xVal>
          <c:yVal>
            <c:numRef>
              <c:f>GRAFICA_47!$AB$20:$AB$21</c:f>
              <c:numCache>
                <c:formatCode>0.00</c:formatCode>
                <c:ptCount val="2"/>
                <c:pt idx="0">
                  <c:v>0</c:v>
                </c:pt>
                <c:pt idx="1">
                  <c:v>250</c:v>
                </c:pt>
              </c:numCache>
            </c:numRef>
          </c:yVal>
          <c:smooth val="0"/>
          <c:extLst>
            <c:ext xmlns:c16="http://schemas.microsoft.com/office/drawing/2014/chart" uri="{C3380CC4-5D6E-409C-BE32-E72D297353CC}">
              <c16:uniqueId val="{00000005-DBD4-4EEE-952E-5E1782210A6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GRAFICA_47!$AA$23:$AA$24</c:f>
              <c:numCache>
                <c:formatCode>0.00</c:formatCode>
                <c:ptCount val="2"/>
                <c:pt idx="0">
                  <c:v>600</c:v>
                </c:pt>
                <c:pt idx="1">
                  <c:v>600</c:v>
                </c:pt>
              </c:numCache>
            </c:numRef>
          </c:xVal>
          <c:yVal>
            <c:numRef>
              <c:f>GRAFICA_47!$AB$23:$AB$24</c:f>
              <c:numCache>
                <c:formatCode>0.00</c:formatCode>
                <c:ptCount val="2"/>
                <c:pt idx="0">
                  <c:v>0</c:v>
                </c:pt>
                <c:pt idx="1">
                  <c:v>250</c:v>
                </c:pt>
              </c:numCache>
            </c:numRef>
          </c:yVal>
          <c:smooth val="0"/>
          <c:extLst>
            <c:ext xmlns:c16="http://schemas.microsoft.com/office/drawing/2014/chart" uri="{C3380CC4-5D6E-409C-BE32-E72D297353CC}">
              <c16:uniqueId val="{00000006-DBD4-4EEE-952E-5E1782210A6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GRAFICA_47!$AA$26:$AA$27</c:f>
              <c:numCache>
                <c:formatCode>0.00</c:formatCode>
                <c:ptCount val="2"/>
                <c:pt idx="0">
                  <c:v>0</c:v>
                </c:pt>
                <c:pt idx="1">
                  <c:v>300</c:v>
                </c:pt>
              </c:numCache>
            </c:numRef>
          </c:xVal>
          <c:yVal>
            <c:numRef>
              <c:f>GRAFICA_47!$AB$26:$AB$27</c:f>
              <c:numCache>
                <c:formatCode>0.00</c:formatCode>
                <c:ptCount val="2"/>
                <c:pt idx="0">
                  <c:v>0</c:v>
                </c:pt>
                <c:pt idx="1">
                  <c:v>250</c:v>
                </c:pt>
              </c:numCache>
            </c:numRef>
          </c:yVal>
          <c:smooth val="0"/>
          <c:extLst>
            <c:ext xmlns:c16="http://schemas.microsoft.com/office/drawing/2014/chart" uri="{C3380CC4-5D6E-409C-BE32-E72D297353CC}">
              <c16:uniqueId val="{00000007-DBD4-4EEE-952E-5E1782210A6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GRAFICA_47!$AA$29:$AA$30</c:f>
              <c:numCache>
                <c:formatCode>0.00</c:formatCode>
                <c:ptCount val="2"/>
                <c:pt idx="0">
                  <c:v>0</c:v>
                </c:pt>
                <c:pt idx="1">
                  <c:v>300</c:v>
                </c:pt>
              </c:numCache>
            </c:numRef>
          </c:xVal>
          <c:yVal>
            <c:numRef>
              <c:f>GRAFICA_47!$AB$29:$AB$30</c:f>
              <c:numCache>
                <c:formatCode>0.00</c:formatCode>
                <c:ptCount val="2"/>
                <c:pt idx="0">
                  <c:v>250</c:v>
                </c:pt>
                <c:pt idx="1">
                  <c:v>0</c:v>
                </c:pt>
              </c:numCache>
            </c:numRef>
          </c:yVal>
          <c:smooth val="0"/>
          <c:extLst>
            <c:ext xmlns:c16="http://schemas.microsoft.com/office/drawing/2014/chart" uri="{C3380CC4-5D6E-409C-BE32-E72D297353CC}">
              <c16:uniqueId val="{00000008-DBD4-4EEE-952E-5E1782210A6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GRAFICA_47!$AA$32:$AA$33</c:f>
              <c:numCache>
                <c:formatCode>0.00</c:formatCode>
                <c:ptCount val="2"/>
                <c:pt idx="0">
                  <c:v>300</c:v>
                </c:pt>
                <c:pt idx="1">
                  <c:v>600</c:v>
                </c:pt>
              </c:numCache>
            </c:numRef>
          </c:xVal>
          <c:yVal>
            <c:numRef>
              <c:f>GRAFICA_47!$AB$32:$AB$33</c:f>
              <c:numCache>
                <c:formatCode>0.00</c:formatCode>
                <c:ptCount val="2"/>
                <c:pt idx="0">
                  <c:v>0</c:v>
                </c:pt>
                <c:pt idx="1">
                  <c:v>250</c:v>
                </c:pt>
              </c:numCache>
            </c:numRef>
          </c:yVal>
          <c:smooth val="0"/>
          <c:extLst>
            <c:ext xmlns:c16="http://schemas.microsoft.com/office/drawing/2014/chart" uri="{C3380CC4-5D6E-409C-BE32-E72D297353CC}">
              <c16:uniqueId val="{00000009-DBD4-4EEE-952E-5E1782210A6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GRAFICA_47!$AA$35:$AA$36</c:f>
              <c:numCache>
                <c:formatCode>0.00</c:formatCode>
                <c:ptCount val="2"/>
                <c:pt idx="0">
                  <c:v>300</c:v>
                </c:pt>
                <c:pt idx="1">
                  <c:v>600</c:v>
                </c:pt>
              </c:numCache>
            </c:numRef>
          </c:xVal>
          <c:yVal>
            <c:numRef>
              <c:f>GRAFICA_47!$AB$35:$AB$36</c:f>
              <c:numCache>
                <c:formatCode>0.00</c:formatCode>
                <c:ptCount val="2"/>
                <c:pt idx="0">
                  <c:v>250</c:v>
                </c:pt>
                <c:pt idx="1">
                  <c:v>0</c:v>
                </c:pt>
              </c:numCache>
            </c:numRef>
          </c:yVal>
          <c:smooth val="0"/>
          <c:extLst>
            <c:ext xmlns:c16="http://schemas.microsoft.com/office/drawing/2014/chart" uri="{C3380CC4-5D6E-409C-BE32-E72D297353CC}">
              <c16:uniqueId val="{0000000A-DBD4-4EEE-952E-5E1782210A6B}"/>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GRAFICA_47!$AA$38:$AA$39</c:f>
              <c:numCache>
                <c:formatCode>0.00</c:formatCode>
                <c:ptCount val="2"/>
                <c:pt idx="0">
                  <c:v>0</c:v>
                </c:pt>
                <c:pt idx="1">
                  <c:v>600</c:v>
                </c:pt>
              </c:numCache>
            </c:numRef>
          </c:xVal>
          <c:yVal>
            <c:numRef>
              <c:f>GRAFICA_47!$AB$38:$AB$39</c:f>
              <c:numCache>
                <c:formatCode>0.00</c:formatCode>
                <c:ptCount val="2"/>
                <c:pt idx="0">
                  <c:v>0</c:v>
                </c:pt>
                <c:pt idx="1">
                  <c:v>250</c:v>
                </c:pt>
              </c:numCache>
            </c:numRef>
          </c:yVal>
          <c:smooth val="0"/>
          <c:extLst>
            <c:ext xmlns:c16="http://schemas.microsoft.com/office/drawing/2014/chart" uri="{C3380CC4-5D6E-409C-BE32-E72D297353CC}">
              <c16:uniqueId val="{0000000B-DBD4-4EEE-952E-5E1782210A6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GRAFICA_48!$AA$5:$AA$6</c:f>
              <c:numCache>
                <c:formatCode>0.00</c:formatCode>
                <c:ptCount val="2"/>
                <c:pt idx="0">
                  <c:v>0</c:v>
                </c:pt>
                <c:pt idx="1">
                  <c:v>450</c:v>
                </c:pt>
              </c:numCache>
            </c:numRef>
          </c:xVal>
          <c:yVal>
            <c:numRef>
              <c:f>GRAFICA_48!$AB$5:$AB$6</c:f>
              <c:numCache>
                <c:formatCode>0.00</c:formatCode>
                <c:ptCount val="2"/>
                <c:pt idx="0">
                  <c:v>0</c:v>
                </c:pt>
                <c:pt idx="1">
                  <c:v>0</c:v>
                </c:pt>
              </c:numCache>
            </c:numRef>
          </c:yVal>
          <c:smooth val="0"/>
          <c:extLst>
            <c:ext xmlns:c16="http://schemas.microsoft.com/office/drawing/2014/chart" uri="{C3380CC4-5D6E-409C-BE32-E72D297353CC}">
              <c16:uniqueId val="{00000000-9661-4736-80FF-A0F8AD3DDA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GRAFICA_48!$AA$8:$AA$9</c:f>
              <c:numCache>
                <c:formatCode>0.00</c:formatCode>
                <c:ptCount val="2"/>
                <c:pt idx="0">
                  <c:v>450</c:v>
                </c:pt>
                <c:pt idx="1">
                  <c:v>900</c:v>
                </c:pt>
              </c:numCache>
            </c:numRef>
          </c:xVal>
          <c:yVal>
            <c:numRef>
              <c:f>GRAFICA_48!$AB$8:$AB$9</c:f>
              <c:numCache>
                <c:formatCode>0.00</c:formatCode>
                <c:ptCount val="2"/>
                <c:pt idx="0">
                  <c:v>0</c:v>
                </c:pt>
                <c:pt idx="1">
                  <c:v>0</c:v>
                </c:pt>
              </c:numCache>
            </c:numRef>
          </c:yVal>
          <c:smooth val="0"/>
          <c:extLst>
            <c:ext xmlns:c16="http://schemas.microsoft.com/office/drawing/2014/chart" uri="{C3380CC4-5D6E-409C-BE32-E72D297353CC}">
              <c16:uniqueId val="{00000001-9661-4736-80FF-A0F8AD3DDA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GRAFICA_48!$AA$11:$AA$12</c:f>
              <c:numCache>
                <c:formatCode>0.00</c:formatCode>
                <c:ptCount val="2"/>
                <c:pt idx="0">
                  <c:v>0</c:v>
                </c:pt>
                <c:pt idx="1">
                  <c:v>450</c:v>
                </c:pt>
              </c:numCache>
            </c:numRef>
          </c:xVal>
          <c:yVal>
            <c:numRef>
              <c:f>GRAFICA_48!$AB$11:$AB$12</c:f>
              <c:numCache>
                <c:formatCode>0.00</c:formatCode>
                <c:ptCount val="2"/>
                <c:pt idx="0">
                  <c:v>300</c:v>
                </c:pt>
                <c:pt idx="1">
                  <c:v>300</c:v>
                </c:pt>
              </c:numCache>
            </c:numRef>
          </c:yVal>
          <c:smooth val="0"/>
          <c:extLst>
            <c:ext xmlns:c16="http://schemas.microsoft.com/office/drawing/2014/chart" uri="{C3380CC4-5D6E-409C-BE32-E72D297353CC}">
              <c16:uniqueId val="{00000002-9661-4736-80FF-A0F8AD3DDA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GRAFICA_48!$AA$14:$AA$15</c:f>
              <c:numCache>
                <c:formatCode>0.00</c:formatCode>
                <c:ptCount val="2"/>
                <c:pt idx="0">
                  <c:v>450</c:v>
                </c:pt>
                <c:pt idx="1">
                  <c:v>900</c:v>
                </c:pt>
              </c:numCache>
            </c:numRef>
          </c:xVal>
          <c:yVal>
            <c:numRef>
              <c:f>GRAFICA_48!$AB$14:$AB$15</c:f>
              <c:numCache>
                <c:formatCode>0.00</c:formatCode>
                <c:ptCount val="2"/>
                <c:pt idx="0">
                  <c:v>300</c:v>
                </c:pt>
                <c:pt idx="1">
                  <c:v>300</c:v>
                </c:pt>
              </c:numCache>
            </c:numRef>
          </c:yVal>
          <c:smooth val="0"/>
          <c:extLst>
            <c:ext xmlns:c16="http://schemas.microsoft.com/office/drawing/2014/chart" uri="{C3380CC4-5D6E-409C-BE32-E72D297353CC}">
              <c16:uniqueId val="{00000003-9661-4736-80FF-A0F8AD3DDA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GRAFICA_48!$AA$17:$AA$18</c:f>
              <c:numCache>
                <c:formatCode>0.00</c:formatCode>
                <c:ptCount val="2"/>
                <c:pt idx="0">
                  <c:v>0</c:v>
                </c:pt>
                <c:pt idx="1">
                  <c:v>0</c:v>
                </c:pt>
              </c:numCache>
            </c:numRef>
          </c:xVal>
          <c:yVal>
            <c:numRef>
              <c:f>GRAFICA_48!$AB$17:$AB$18</c:f>
              <c:numCache>
                <c:formatCode>0.00</c:formatCode>
                <c:ptCount val="2"/>
                <c:pt idx="0">
                  <c:v>0</c:v>
                </c:pt>
                <c:pt idx="1">
                  <c:v>300</c:v>
                </c:pt>
              </c:numCache>
            </c:numRef>
          </c:yVal>
          <c:smooth val="0"/>
          <c:extLst>
            <c:ext xmlns:c16="http://schemas.microsoft.com/office/drawing/2014/chart" uri="{C3380CC4-5D6E-409C-BE32-E72D297353CC}">
              <c16:uniqueId val="{00000004-9661-4736-80FF-A0F8AD3DDA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GRAFICA_48!$AA$20:$AA$21</c:f>
              <c:numCache>
                <c:formatCode>0.00</c:formatCode>
                <c:ptCount val="2"/>
                <c:pt idx="0">
                  <c:v>450</c:v>
                </c:pt>
                <c:pt idx="1">
                  <c:v>450</c:v>
                </c:pt>
              </c:numCache>
            </c:numRef>
          </c:xVal>
          <c:yVal>
            <c:numRef>
              <c:f>GRAFICA_48!$AB$20:$AB$21</c:f>
              <c:numCache>
                <c:formatCode>0.00</c:formatCode>
                <c:ptCount val="2"/>
                <c:pt idx="0">
                  <c:v>0</c:v>
                </c:pt>
                <c:pt idx="1">
                  <c:v>300</c:v>
                </c:pt>
              </c:numCache>
            </c:numRef>
          </c:yVal>
          <c:smooth val="0"/>
          <c:extLst>
            <c:ext xmlns:c16="http://schemas.microsoft.com/office/drawing/2014/chart" uri="{C3380CC4-5D6E-409C-BE32-E72D297353CC}">
              <c16:uniqueId val="{00000005-9661-4736-80FF-A0F8AD3DDA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GRAFICA_48!$AA$23:$AA$24</c:f>
              <c:numCache>
                <c:formatCode>0.00</c:formatCode>
                <c:ptCount val="2"/>
                <c:pt idx="0">
                  <c:v>900</c:v>
                </c:pt>
                <c:pt idx="1">
                  <c:v>900</c:v>
                </c:pt>
              </c:numCache>
            </c:numRef>
          </c:xVal>
          <c:yVal>
            <c:numRef>
              <c:f>GRAFICA_48!$AB$23:$AB$24</c:f>
              <c:numCache>
                <c:formatCode>0.00</c:formatCode>
                <c:ptCount val="2"/>
                <c:pt idx="0">
                  <c:v>0</c:v>
                </c:pt>
                <c:pt idx="1">
                  <c:v>300</c:v>
                </c:pt>
              </c:numCache>
            </c:numRef>
          </c:yVal>
          <c:smooth val="0"/>
          <c:extLst>
            <c:ext xmlns:c16="http://schemas.microsoft.com/office/drawing/2014/chart" uri="{C3380CC4-5D6E-409C-BE32-E72D297353CC}">
              <c16:uniqueId val="{00000006-9661-4736-80FF-A0F8AD3DDA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GRAFICA_48!$AA$26:$AA$27</c:f>
              <c:numCache>
                <c:formatCode>0.00</c:formatCode>
                <c:ptCount val="2"/>
                <c:pt idx="0">
                  <c:v>0</c:v>
                </c:pt>
                <c:pt idx="1">
                  <c:v>450</c:v>
                </c:pt>
              </c:numCache>
            </c:numRef>
          </c:xVal>
          <c:yVal>
            <c:numRef>
              <c:f>GRAFICA_48!$AB$26:$AB$27</c:f>
              <c:numCache>
                <c:formatCode>0.00</c:formatCode>
                <c:ptCount val="2"/>
                <c:pt idx="0">
                  <c:v>0</c:v>
                </c:pt>
                <c:pt idx="1">
                  <c:v>300</c:v>
                </c:pt>
              </c:numCache>
            </c:numRef>
          </c:yVal>
          <c:smooth val="0"/>
          <c:extLst>
            <c:ext xmlns:c16="http://schemas.microsoft.com/office/drawing/2014/chart" uri="{C3380CC4-5D6E-409C-BE32-E72D297353CC}">
              <c16:uniqueId val="{00000007-9661-4736-80FF-A0F8AD3DDA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GRAFICA_48!$AA$29:$AA$30</c:f>
              <c:numCache>
                <c:formatCode>0.00</c:formatCode>
                <c:ptCount val="2"/>
                <c:pt idx="0">
                  <c:v>0</c:v>
                </c:pt>
                <c:pt idx="1">
                  <c:v>450</c:v>
                </c:pt>
              </c:numCache>
            </c:numRef>
          </c:xVal>
          <c:yVal>
            <c:numRef>
              <c:f>GRAFICA_48!$AB$29:$AB$30</c:f>
              <c:numCache>
                <c:formatCode>0.00</c:formatCode>
                <c:ptCount val="2"/>
                <c:pt idx="0">
                  <c:v>300</c:v>
                </c:pt>
                <c:pt idx="1">
                  <c:v>0</c:v>
                </c:pt>
              </c:numCache>
            </c:numRef>
          </c:yVal>
          <c:smooth val="0"/>
          <c:extLst>
            <c:ext xmlns:c16="http://schemas.microsoft.com/office/drawing/2014/chart" uri="{C3380CC4-5D6E-409C-BE32-E72D297353CC}">
              <c16:uniqueId val="{00000008-9661-4736-80FF-A0F8AD3DDAB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GRAFICA_48!$AA$32:$AA$33</c:f>
              <c:numCache>
                <c:formatCode>0.00</c:formatCode>
                <c:ptCount val="2"/>
                <c:pt idx="0">
                  <c:v>450</c:v>
                </c:pt>
                <c:pt idx="1">
                  <c:v>900</c:v>
                </c:pt>
              </c:numCache>
            </c:numRef>
          </c:xVal>
          <c:yVal>
            <c:numRef>
              <c:f>GRAFICA_48!$AB$32:$AB$33</c:f>
              <c:numCache>
                <c:formatCode>0.00</c:formatCode>
                <c:ptCount val="2"/>
                <c:pt idx="0">
                  <c:v>0</c:v>
                </c:pt>
                <c:pt idx="1">
                  <c:v>300</c:v>
                </c:pt>
              </c:numCache>
            </c:numRef>
          </c:yVal>
          <c:smooth val="0"/>
          <c:extLst>
            <c:ext xmlns:c16="http://schemas.microsoft.com/office/drawing/2014/chart" uri="{C3380CC4-5D6E-409C-BE32-E72D297353CC}">
              <c16:uniqueId val="{00000009-9661-4736-80FF-A0F8AD3DDAB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GRAFICA_48!$AA$35:$AA$36</c:f>
              <c:numCache>
                <c:formatCode>0.00</c:formatCode>
                <c:ptCount val="2"/>
                <c:pt idx="0">
                  <c:v>450</c:v>
                </c:pt>
                <c:pt idx="1">
                  <c:v>900</c:v>
                </c:pt>
              </c:numCache>
            </c:numRef>
          </c:xVal>
          <c:yVal>
            <c:numRef>
              <c:f>GRAFICA_48!$AB$35:$AB$36</c:f>
              <c:numCache>
                <c:formatCode>0.00</c:formatCode>
                <c:ptCount val="2"/>
                <c:pt idx="0">
                  <c:v>300</c:v>
                </c:pt>
                <c:pt idx="1">
                  <c:v>0</c:v>
                </c:pt>
              </c:numCache>
            </c:numRef>
          </c:yVal>
          <c:smooth val="0"/>
          <c:extLst>
            <c:ext xmlns:c16="http://schemas.microsoft.com/office/drawing/2014/chart" uri="{C3380CC4-5D6E-409C-BE32-E72D297353CC}">
              <c16:uniqueId val="{0000000A-9661-4736-80FF-A0F8AD3DDA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GRAFICA_49!$AA$5:$AA$6</c:f>
              <c:numCache>
                <c:formatCode>0.00</c:formatCode>
                <c:ptCount val="2"/>
                <c:pt idx="0">
                  <c:v>300</c:v>
                </c:pt>
                <c:pt idx="1">
                  <c:v>600</c:v>
                </c:pt>
              </c:numCache>
            </c:numRef>
          </c:xVal>
          <c:yVal>
            <c:numRef>
              <c:f>GRAFICA_49!$AB$5:$AB$6</c:f>
              <c:numCache>
                <c:formatCode>0.00</c:formatCode>
                <c:ptCount val="2"/>
                <c:pt idx="0">
                  <c:v>400</c:v>
                </c:pt>
                <c:pt idx="1">
                  <c:v>0</c:v>
                </c:pt>
              </c:numCache>
            </c:numRef>
          </c:yVal>
          <c:smooth val="0"/>
          <c:extLst>
            <c:ext xmlns:c16="http://schemas.microsoft.com/office/drawing/2014/chart" uri="{C3380CC4-5D6E-409C-BE32-E72D297353CC}">
              <c16:uniqueId val="{00000000-B56F-42F8-9AC5-18F2F8201CB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GRAFICA_49!$AA$8:$AA$9</c:f>
              <c:numCache>
                <c:formatCode>0.00</c:formatCode>
                <c:ptCount val="2"/>
                <c:pt idx="0">
                  <c:v>600</c:v>
                </c:pt>
                <c:pt idx="1">
                  <c:v>0</c:v>
                </c:pt>
              </c:numCache>
            </c:numRef>
          </c:xVal>
          <c:yVal>
            <c:numRef>
              <c:f>GRAFICA_49!$AB$8:$AB$9</c:f>
              <c:numCache>
                <c:formatCode>0.00</c:formatCode>
                <c:ptCount val="2"/>
                <c:pt idx="0">
                  <c:v>0</c:v>
                </c:pt>
                <c:pt idx="1">
                  <c:v>0</c:v>
                </c:pt>
              </c:numCache>
            </c:numRef>
          </c:yVal>
          <c:smooth val="0"/>
          <c:extLst>
            <c:ext xmlns:c16="http://schemas.microsoft.com/office/drawing/2014/chart" uri="{C3380CC4-5D6E-409C-BE32-E72D297353CC}">
              <c16:uniqueId val="{00000001-B56F-42F8-9AC5-18F2F8201CB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GRAFICA_49!$AA$11:$AA$12</c:f>
              <c:numCache>
                <c:formatCode>0.00</c:formatCode>
                <c:ptCount val="2"/>
                <c:pt idx="0">
                  <c:v>0</c:v>
                </c:pt>
                <c:pt idx="1">
                  <c:v>300</c:v>
                </c:pt>
              </c:numCache>
            </c:numRef>
          </c:xVal>
          <c:yVal>
            <c:numRef>
              <c:f>GRAFICA_49!$AB$11:$AB$12</c:f>
              <c:numCache>
                <c:formatCode>0.00</c:formatCode>
                <c:ptCount val="2"/>
                <c:pt idx="0">
                  <c:v>0</c:v>
                </c:pt>
                <c:pt idx="1">
                  <c:v>400</c:v>
                </c:pt>
              </c:numCache>
            </c:numRef>
          </c:yVal>
          <c:smooth val="0"/>
          <c:extLst>
            <c:ext xmlns:c16="http://schemas.microsoft.com/office/drawing/2014/chart" uri="{C3380CC4-5D6E-409C-BE32-E72D297353CC}">
              <c16:uniqueId val="{00000002-B56F-42F8-9AC5-18F2F8201CB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GRAFICA_50!$AA$5:$AA$6</c:f>
              <c:numCache>
                <c:formatCode>0.00</c:formatCode>
                <c:ptCount val="2"/>
                <c:pt idx="0">
                  <c:v>350</c:v>
                </c:pt>
                <c:pt idx="1">
                  <c:v>700</c:v>
                </c:pt>
              </c:numCache>
            </c:numRef>
          </c:xVal>
          <c:yVal>
            <c:numRef>
              <c:f>GRAFICA_50!$AB$5:$AB$6</c:f>
              <c:numCache>
                <c:formatCode>0.00</c:formatCode>
                <c:ptCount val="2"/>
                <c:pt idx="0">
                  <c:v>300</c:v>
                </c:pt>
                <c:pt idx="1">
                  <c:v>0</c:v>
                </c:pt>
              </c:numCache>
            </c:numRef>
          </c:yVal>
          <c:smooth val="0"/>
          <c:extLst>
            <c:ext xmlns:c16="http://schemas.microsoft.com/office/drawing/2014/chart" uri="{C3380CC4-5D6E-409C-BE32-E72D297353CC}">
              <c16:uniqueId val="{00000000-49BC-4148-AA5E-82385FB2DFD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GRAFICA_50!$AA$8:$AA$9</c:f>
              <c:numCache>
                <c:formatCode>0.00</c:formatCode>
                <c:ptCount val="2"/>
                <c:pt idx="0">
                  <c:v>700</c:v>
                </c:pt>
                <c:pt idx="1">
                  <c:v>0</c:v>
                </c:pt>
              </c:numCache>
            </c:numRef>
          </c:xVal>
          <c:yVal>
            <c:numRef>
              <c:f>GRAFICA_50!$AB$8:$AB$9</c:f>
              <c:numCache>
                <c:formatCode>0.00</c:formatCode>
                <c:ptCount val="2"/>
                <c:pt idx="0">
                  <c:v>0</c:v>
                </c:pt>
                <c:pt idx="1">
                  <c:v>0</c:v>
                </c:pt>
              </c:numCache>
            </c:numRef>
          </c:yVal>
          <c:smooth val="0"/>
          <c:extLst>
            <c:ext xmlns:c16="http://schemas.microsoft.com/office/drawing/2014/chart" uri="{C3380CC4-5D6E-409C-BE32-E72D297353CC}">
              <c16:uniqueId val="{00000001-49BC-4148-AA5E-82385FB2DFD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GRAFICA_50!$AA$11:$AA$12</c:f>
              <c:numCache>
                <c:formatCode>0.00</c:formatCode>
                <c:ptCount val="2"/>
                <c:pt idx="0">
                  <c:v>0</c:v>
                </c:pt>
                <c:pt idx="1">
                  <c:v>350</c:v>
                </c:pt>
              </c:numCache>
            </c:numRef>
          </c:xVal>
          <c:yVal>
            <c:numRef>
              <c:f>GRAFICA_50!$AB$11:$AB$12</c:f>
              <c:numCache>
                <c:formatCode>0.00</c:formatCode>
                <c:ptCount val="2"/>
                <c:pt idx="0">
                  <c:v>0</c:v>
                </c:pt>
                <c:pt idx="1">
                  <c:v>300</c:v>
                </c:pt>
              </c:numCache>
            </c:numRef>
          </c:yVal>
          <c:smooth val="0"/>
          <c:extLst>
            <c:ext xmlns:c16="http://schemas.microsoft.com/office/drawing/2014/chart" uri="{C3380CC4-5D6E-409C-BE32-E72D297353CC}">
              <c16:uniqueId val="{00000002-49BC-4148-AA5E-82385FB2DF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GRAFICA_51!$AA$5:$AA$6</c:f>
              <c:numCache>
                <c:formatCode>0.00</c:formatCode>
                <c:ptCount val="2"/>
                <c:pt idx="0">
                  <c:v>0</c:v>
                </c:pt>
                <c:pt idx="1">
                  <c:v>500</c:v>
                </c:pt>
              </c:numCache>
            </c:numRef>
          </c:xVal>
          <c:yVal>
            <c:numRef>
              <c:f>GRAFICA_51!$AB$5:$AB$6</c:f>
              <c:numCache>
                <c:formatCode>0.00</c:formatCode>
                <c:ptCount val="2"/>
                <c:pt idx="0">
                  <c:v>0</c:v>
                </c:pt>
                <c:pt idx="1">
                  <c:v>0</c:v>
                </c:pt>
              </c:numCache>
            </c:numRef>
          </c:yVal>
          <c:smooth val="0"/>
          <c:extLst>
            <c:ext xmlns:c16="http://schemas.microsoft.com/office/drawing/2014/chart" uri="{C3380CC4-5D6E-409C-BE32-E72D297353CC}">
              <c16:uniqueId val="{00000000-E928-4A04-AAC7-7F0D77E33D8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GRAFICA_51!$AA$8:$AA$9</c:f>
              <c:numCache>
                <c:formatCode>0.00</c:formatCode>
                <c:ptCount val="2"/>
                <c:pt idx="0">
                  <c:v>500</c:v>
                </c:pt>
                <c:pt idx="1">
                  <c:v>500</c:v>
                </c:pt>
              </c:numCache>
            </c:numRef>
          </c:xVal>
          <c:yVal>
            <c:numRef>
              <c:f>GRAFICA_51!$AB$8:$AB$9</c:f>
              <c:numCache>
                <c:formatCode>0.00</c:formatCode>
                <c:ptCount val="2"/>
                <c:pt idx="0">
                  <c:v>0</c:v>
                </c:pt>
                <c:pt idx="1">
                  <c:v>350</c:v>
                </c:pt>
              </c:numCache>
            </c:numRef>
          </c:yVal>
          <c:smooth val="0"/>
          <c:extLst>
            <c:ext xmlns:c16="http://schemas.microsoft.com/office/drawing/2014/chart" uri="{C3380CC4-5D6E-409C-BE32-E72D297353CC}">
              <c16:uniqueId val="{00000001-E928-4A04-AAC7-7F0D77E33D8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GRAFICA_51!$AA$11:$AA$12</c:f>
              <c:numCache>
                <c:formatCode>0.00</c:formatCode>
                <c:ptCount val="2"/>
                <c:pt idx="0">
                  <c:v>500</c:v>
                </c:pt>
                <c:pt idx="1">
                  <c:v>0</c:v>
                </c:pt>
              </c:numCache>
            </c:numRef>
          </c:xVal>
          <c:yVal>
            <c:numRef>
              <c:f>GRAFICA_51!$AB$11:$AB$12</c:f>
              <c:numCache>
                <c:formatCode>0.00</c:formatCode>
                <c:ptCount val="2"/>
                <c:pt idx="0">
                  <c:v>350</c:v>
                </c:pt>
                <c:pt idx="1">
                  <c:v>350</c:v>
                </c:pt>
              </c:numCache>
            </c:numRef>
          </c:yVal>
          <c:smooth val="0"/>
          <c:extLst>
            <c:ext xmlns:c16="http://schemas.microsoft.com/office/drawing/2014/chart" uri="{C3380CC4-5D6E-409C-BE32-E72D297353CC}">
              <c16:uniqueId val="{00000002-E928-4A04-AAC7-7F0D77E33D8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GRAFICA_51!$AA$14:$AA$15</c:f>
              <c:numCache>
                <c:formatCode>0.00</c:formatCode>
                <c:ptCount val="2"/>
                <c:pt idx="0">
                  <c:v>0</c:v>
                </c:pt>
                <c:pt idx="1">
                  <c:v>0</c:v>
                </c:pt>
              </c:numCache>
            </c:numRef>
          </c:xVal>
          <c:yVal>
            <c:numRef>
              <c:f>GRAFICA_51!$AB$14:$AB$15</c:f>
              <c:numCache>
                <c:formatCode>0.00</c:formatCode>
                <c:ptCount val="2"/>
                <c:pt idx="0">
                  <c:v>350</c:v>
                </c:pt>
                <c:pt idx="1">
                  <c:v>0</c:v>
                </c:pt>
              </c:numCache>
            </c:numRef>
          </c:yVal>
          <c:smooth val="0"/>
          <c:extLst>
            <c:ext xmlns:c16="http://schemas.microsoft.com/office/drawing/2014/chart" uri="{C3380CC4-5D6E-409C-BE32-E72D297353CC}">
              <c16:uniqueId val="{00000003-E928-4A04-AAC7-7F0D77E33D8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GRAFICA_51!$AA$17:$AA$18</c:f>
              <c:numCache>
                <c:formatCode>0.00</c:formatCode>
                <c:ptCount val="2"/>
                <c:pt idx="0">
                  <c:v>0</c:v>
                </c:pt>
                <c:pt idx="1">
                  <c:v>500</c:v>
                </c:pt>
              </c:numCache>
            </c:numRef>
          </c:xVal>
          <c:yVal>
            <c:numRef>
              <c:f>GRAFICA_51!$AB$17:$AB$18</c:f>
              <c:numCache>
                <c:formatCode>0.00</c:formatCode>
                <c:ptCount val="2"/>
                <c:pt idx="0">
                  <c:v>0</c:v>
                </c:pt>
                <c:pt idx="1">
                  <c:v>350</c:v>
                </c:pt>
              </c:numCache>
            </c:numRef>
          </c:yVal>
          <c:smooth val="0"/>
          <c:extLst>
            <c:ext xmlns:c16="http://schemas.microsoft.com/office/drawing/2014/chart" uri="{C3380CC4-5D6E-409C-BE32-E72D297353CC}">
              <c16:uniqueId val="{00000004-E928-4A04-AAC7-7F0D77E33D8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GRAFICA_52!$AA$5:$AA$6</c:f>
              <c:numCache>
                <c:formatCode>0.00</c:formatCode>
                <c:ptCount val="2"/>
                <c:pt idx="0">
                  <c:v>0</c:v>
                </c:pt>
                <c:pt idx="1">
                  <c:v>400</c:v>
                </c:pt>
              </c:numCache>
            </c:numRef>
          </c:xVal>
          <c:yVal>
            <c:numRef>
              <c:f>GRAFICA_52!$AB$5:$AB$6</c:f>
              <c:numCache>
                <c:formatCode>0.00</c:formatCode>
                <c:ptCount val="2"/>
                <c:pt idx="0">
                  <c:v>0</c:v>
                </c:pt>
                <c:pt idx="1">
                  <c:v>0</c:v>
                </c:pt>
              </c:numCache>
            </c:numRef>
          </c:yVal>
          <c:smooth val="0"/>
          <c:extLst>
            <c:ext xmlns:c16="http://schemas.microsoft.com/office/drawing/2014/chart" uri="{C3380CC4-5D6E-409C-BE32-E72D297353CC}">
              <c16:uniqueId val="{00000000-23AC-4562-9BE5-E4F040C723E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GRAFICA_52!$AA$8:$AA$9</c:f>
              <c:numCache>
                <c:formatCode>0.00</c:formatCode>
                <c:ptCount val="2"/>
                <c:pt idx="0">
                  <c:v>400</c:v>
                </c:pt>
                <c:pt idx="1">
                  <c:v>800</c:v>
                </c:pt>
              </c:numCache>
            </c:numRef>
          </c:xVal>
          <c:yVal>
            <c:numRef>
              <c:f>GRAFICA_52!$AB$8:$AB$9</c:f>
              <c:numCache>
                <c:formatCode>0.00</c:formatCode>
                <c:ptCount val="2"/>
                <c:pt idx="0">
                  <c:v>0</c:v>
                </c:pt>
                <c:pt idx="1">
                  <c:v>0</c:v>
                </c:pt>
              </c:numCache>
            </c:numRef>
          </c:yVal>
          <c:smooth val="0"/>
          <c:extLst>
            <c:ext xmlns:c16="http://schemas.microsoft.com/office/drawing/2014/chart" uri="{C3380CC4-5D6E-409C-BE32-E72D297353CC}">
              <c16:uniqueId val="{00000001-23AC-4562-9BE5-E4F040C723E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GRAFICA_52!$AA$11:$AA$12</c:f>
              <c:numCache>
                <c:formatCode>0.00</c:formatCode>
                <c:ptCount val="2"/>
                <c:pt idx="0">
                  <c:v>0</c:v>
                </c:pt>
                <c:pt idx="1">
                  <c:v>200</c:v>
                </c:pt>
              </c:numCache>
            </c:numRef>
          </c:xVal>
          <c:yVal>
            <c:numRef>
              <c:f>GRAFICA_52!$AB$11:$AB$12</c:f>
              <c:numCache>
                <c:formatCode>0.00</c:formatCode>
                <c:ptCount val="2"/>
                <c:pt idx="0">
                  <c:v>0</c:v>
                </c:pt>
                <c:pt idx="1">
                  <c:v>300</c:v>
                </c:pt>
              </c:numCache>
            </c:numRef>
          </c:yVal>
          <c:smooth val="0"/>
          <c:extLst>
            <c:ext xmlns:c16="http://schemas.microsoft.com/office/drawing/2014/chart" uri="{C3380CC4-5D6E-409C-BE32-E72D297353CC}">
              <c16:uniqueId val="{00000002-23AC-4562-9BE5-E4F040C723E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GRAFICA_52!$AA$14:$AA$15</c:f>
              <c:numCache>
                <c:formatCode>0.00</c:formatCode>
                <c:ptCount val="2"/>
                <c:pt idx="0">
                  <c:v>200</c:v>
                </c:pt>
                <c:pt idx="1">
                  <c:v>400</c:v>
                </c:pt>
              </c:numCache>
            </c:numRef>
          </c:xVal>
          <c:yVal>
            <c:numRef>
              <c:f>GRAFICA_52!$AB$14:$AB$15</c:f>
              <c:numCache>
                <c:formatCode>0.00</c:formatCode>
                <c:ptCount val="2"/>
                <c:pt idx="0">
                  <c:v>300</c:v>
                </c:pt>
                <c:pt idx="1">
                  <c:v>0</c:v>
                </c:pt>
              </c:numCache>
            </c:numRef>
          </c:yVal>
          <c:smooth val="0"/>
          <c:extLst>
            <c:ext xmlns:c16="http://schemas.microsoft.com/office/drawing/2014/chart" uri="{C3380CC4-5D6E-409C-BE32-E72D297353CC}">
              <c16:uniqueId val="{00000003-23AC-4562-9BE5-E4F040C723E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GRAFICA_52!$AA$17:$AA$18</c:f>
              <c:numCache>
                <c:formatCode>0.00</c:formatCode>
                <c:ptCount val="2"/>
                <c:pt idx="0">
                  <c:v>200</c:v>
                </c:pt>
                <c:pt idx="1">
                  <c:v>600</c:v>
                </c:pt>
              </c:numCache>
            </c:numRef>
          </c:xVal>
          <c:yVal>
            <c:numRef>
              <c:f>GRAFICA_52!$AB$17:$AB$18</c:f>
              <c:numCache>
                <c:formatCode>0.00</c:formatCode>
                <c:ptCount val="2"/>
                <c:pt idx="0">
                  <c:v>300</c:v>
                </c:pt>
                <c:pt idx="1">
                  <c:v>300</c:v>
                </c:pt>
              </c:numCache>
            </c:numRef>
          </c:yVal>
          <c:smooth val="0"/>
          <c:extLst>
            <c:ext xmlns:c16="http://schemas.microsoft.com/office/drawing/2014/chart" uri="{C3380CC4-5D6E-409C-BE32-E72D297353CC}">
              <c16:uniqueId val="{00000004-23AC-4562-9BE5-E4F040C723E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GRAFICA_52!$AA$20:$AA$21</c:f>
              <c:numCache>
                <c:formatCode>0.00</c:formatCode>
                <c:ptCount val="2"/>
                <c:pt idx="0">
                  <c:v>400</c:v>
                </c:pt>
                <c:pt idx="1">
                  <c:v>600</c:v>
                </c:pt>
              </c:numCache>
            </c:numRef>
          </c:xVal>
          <c:yVal>
            <c:numRef>
              <c:f>GRAFICA_52!$AB$20:$AB$21</c:f>
              <c:numCache>
                <c:formatCode>0.00</c:formatCode>
                <c:ptCount val="2"/>
                <c:pt idx="0">
                  <c:v>0</c:v>
                </c:pt>
                <c:pt idx="1">
                  <c:v>300</c:v>
                </c:pt>
              </c:numCache>
            </c:numRef>
          </c:yVal>
          <c:smooth val="0"/>
          <c:extLst>
            <c:ext xmlns:c16="http://schemas.microsoft.com/office/drawing/2014/chart" uri="{C3380CC4-5D6E-409C-BE32-E72D297353CC}">
              <c16:uniqueId val="{00000005-23AC-4562-9BE5-E4F040C723E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GRAFICA_52!$AA$23:$AA$24</c:f>
              <c:numCache>
                <c:formatCode>0.00</c:formatCode>
                <c:ptCount val="2"/>
                <c:pt idx="0">
                  <c:v>600</c:v>
                </c:pt>
                <c:pt idx="1">
                  <c:v>800</c:v>
                </c:pt>
              </c:numCache>
            </c:numRef>
          </c:xVal>
          <c:yVal>
            <c:numRef>
              <c:f>GRAFICA_52!$AB$23:$AB$24</c:f>
              <c:numCache>
                <c:formatCode>0.00</c:formatCode>
                <c:ptCount val="2"/>
                <c:pt idx="0">
                  <c:v>300</c:v>
                </c:pt>
                <c:pt idx="1">
                  <c:v>0</c:v>
                </c:pt>
              </c:numCache>
            </c:numRef>
          </c:yVal>
          <c:smooth val="0"/>
          <c:extLst>
            <c:ext xmlns:c16="http://schemas.microsoft.com/office/drawing/2014/chart" uri="{C3380CC4-5D6E-409C-BE32-E72D297353CC}">
              <c16:uniqueId val="{00000006-23AC-4562-9BE5-E4F040C723E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GRAFICA_53!$AA$5:$AA$6</c:f>
              <c:numCache>
                <c:formatCode>0.00</c:formatCode>
                <c:ptCount val="2"/>
                <c:pt idx="0">
                  <c:v>0</c:v>
                </c:pt>
                <c:pt idx="1">
                  <c:v>300</c:v>
                </c:pt>
              </c:numCache>
            </c:numRef>
          </c:xVal>
          <c:yVal>
            <c:numRef>
              <c:f>GRAFICA_53!$AB$5:$AB$6</c:f>
              <c:numCache>
                <c:formatCode>0.00</c:formatCode>
                <c:ptCount val="2"/>
                <c:pt idx="0">
                  <c:v>0</c:v>
                </c:pt>
                <c:pt idx="1">
                  <c:v>0</c:v>
                </c:pt>
              </c:numCache>
            </c:numRef>
          </c:yVal>
          <c:smooth val="0"/>
          <c:extLst>
            <c:ext xmlns:c16="http://schemas.microsoft.com/office/drawing/2014/chart" uri="{C3380CC4-5D6E-409C-BE32-E72D297353CC}">
              <c16:uniqueId val="{00000000-B669-42F7-9182-6A1405FF658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GRAFICA_53!$AA$8:$AA$9</c:f>
              <c:numCache>
                <c:formatCode>0.00</c:formatCode>
                <c:ptCount val="2"/>
                <c:pt idx="0">
                  <c:v>300</c:v>
                </c:pt>
                <c:pt idx="1">
                  <c:v>600</c:v>
                </c:pt>
              </c:numCache>
            </c:numRef>
          </c:xVal>
          <c:yVal>
            <c:numRef>
              <c:f>GRAFICA_53!$AB$8:$AB$9</c:f>
              <c:numCache>
                <c:formatCode>0.00</c:formatCode>
                <c:ptCount val="2"/>
                <c:pt idx="0">
                  <c:v>0</c:v>
                </c:pt>
                <c:pt idx="1">
                  <c:v>0</c:v>
                </c:pt>
              </c:numCache>
            </c:numRef>
          </c:yVal>
          <c:smooth val="0"/>
          <c:extLst>
            <c:ext xmlns:c16="http://schemas.microsoft.com/office/drawing/2014/chart" uri="{C3380CC4-5D6E-409C-BE32-E72D297353CC}">
              <c16:uniqueId val="{00000001-B669-42F7-9182-6A1405FF658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GRAFICA_53!$AA$11:$AA$12</c:f>
              <c:numCache>
                <c:formatCode>0.00</c:formatCode>
                <c:ptCount val="2"/>
                <c:pt idx="0">
                  <c:v>0</c:v>
                </c:pt>
                <c:pt idx="1">
                  <c:v>300</c:v>
                </c:pt>
              </c:numCache>
            </c:numRef>
          </c:xVal>
          <c:yVal>
            <c:numRef>
              <c:f>GRAFICA_53!$AB$11:$AB$12</c:f>
              <c:numCache>
                <c:formatCode>0.00</c:formatCode>
                <c:ptCount val="2"/>
                <c:pt idx="0">
                  <c:v>0</c:v>
                </c:pt>
                <c:pt idx="1">
                  <c:v>400</c:v>
                </c:pt>
              </c:numCache>
            </c:numRef>
          </c:yVal>
          <c:smooth val="0"/>
          <c:extLst>
            <c:ext xmlns:c16="http://schemas.microsoft.com/office/drawing/2014/chart" uri="{C3380CC4-5D6E-409C-BE32-E72D297353CC}">
              <c16:uniqueId val="{00000002-B669-42F7-9182-6A1405FF658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GRAFICA_53!$AA$14:$AA$15</c:f>
              <c:numCache>
                <c:formatCode>0.00</c:formatCode>
                <c:ptCount val="2"/>
                <c:pt idx="0">
                  <c:v>300</c:v>
                </c:pt>
                <c:pt idx="1">
                  <c:v>300</c:v>
                </c:pt>
              </c:numCache>
            </c:numRef>
          </c:xVal>
          <c:yVal>
            <c:numRef>
              <c:f>GRAFICA_53!$AB$14:$AB$15</c:f>
              <c:numCache>
                <c:formatCode>0.00</c:formatCode>
                <c:ptCount val="2"/>
                <c:pt idx="0">
                  <c:v>0</c:v>
                </c:pt>
                <c:pt idx="1">
                  <c:v>400</c:v>
                </c:pt>
              </c:numCache>
            </c:numRef>
          </c:yVal>
          <c:smooth val="0"/>
          <c:extLst>
            <c:ext xmlns:c16="http://schemas.microsoft.com/office/drawing/2014/chart" uri="{C3380CC4-5D6E-409C-BE32-E72D297353CC}">
              <c16:uniqueId val="{00000003-B669-42F7-9182-6A1405FF658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GRAFICA_53!$AA$17:$AA$18</c:f>
              <c:numCache>
                <c:formatCode>0.00</c:formatCode>
                <c:ptCount val="2"/>
                <c:pt idx="0">
                  <c:v>600</c:v>
                </c:pt>
                <c:pt idx="1">
                  <c:v>300</c:v>
                </c:pt>
              </c:numCache>
            </c:numRef>
          </c:xVal>
          <c:yVal>
            <c:numRef>
              <c:f>GRAFICA_53!$AB$17:$AB$18</c:f>
              <c:numCache>
                <c:formatCode>0.00</c:formatCode>
                <c:ptCount val="2"/>
                <c:pt idx="0">
                  <c:v>0</c:v>
                </c:pt>
                <c:pt idx="1">
                  <c:v>400</c:v>
                </c:pt>
              </c:numCache>
            </c:numRef>
          </c:yVal>
          <c:smooth val="0"/>
          <c:extLst>
            <c:ext xmlns:c16="http://schemas.microsoft.com/office/drawing/2014/chart" uri="{C3380CC4-5D6E-409C-BE32-E72D297353CC}">
              <c16:uniqueId val="{00000004-B669-42F7-9182-6A1405FF658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GRAFICA_54!$AA$5:$AA$6</c:f>
              <c:numCache>
                <c:formatCode>0.00</c:formatCode>
                <c:ptCount val="2"/>
                <c:pt idx="0">
                  <c:v>0</c:v>
                </c:pt>
                <c:pt idx="1">
                  <c:v>400</c:v>
                </c:pt>
              </c:numCache>
            </c:numRef>
          </c:xVal>
          <c:yVal>
            <c:numRef>
              <c:f>GRAFICA_54!$AB$5:$AB$6</c:f>
              <c:numCache>
                <c:formatCode>0.00</c:formatCode>
                <c:ptCount val="2"/>
                <c:pt idx="0">
                  <c:v>0</c:v>
                </c:pt>
                <c:pt idx="1">
                  <c:v>0</c:v>
                </c:pt>
              </c:numCache>
            </c:numRef>
          </c:yVal>
          <c:smooth val="0"/>
          <c:extLst>
            <c:ext xmlns:c16="http://schemas.microsoft.com/office/drawing/2014/chart" uri="{C3380CC4-5D6E-409C-BE32-E72D297353CC}">
              <c16:uniqueId val="{00000000-DB6D-47A5-AAA7-37E9D4E74C3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GRAFICA_54!$AA$8:$AA$9</c:f>
              <c:numCache>
                <c:formatCode>0.00</c:formatCode>
                <c:ptCount val="2"/>
                <c:pt idx="0">
                  <c:v>400</c:v>
                </c:pt>
                <c:pt idx="1">
                  <c:v>800</c:v>
                </c:pt>
              </c:numCache>
            </c:numRef>
          </c:xVal>
          <c:yVal>
            <c:numRef>
              <c:f>GRAFICA_54!$AB$8:$AB$9</c:f>
              <c:numCache>
                <c:formatCode>0.00</c:formatCode>
                <c:ptCount val="2"/>
                <c:pt idx="0">
                  <c:v>0</c:v>
                </c:pt>
                <c:pt idx="1">
                  <c:v>0</c:v>
                </c:pt>
              </c:numCache>
            </c:numRef>
          </c:yVal>
          <c:smooth val="0"/>
          <c:extLst>
            <c:ext xmlns:c16="http://schemas.microsoft.com/office/drawing/2014/chart" uri="{C3380CC4-5D6E-409C-BE32-E72D297353CC}">
              <c16:uniqueId val="{00000001-DB6D-47A5-AAA7-37E9D4E74C3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GRAFICA_54!$AA$11:$AA$12</c:f>
              <c:numCache>
                <c:formatCode>0.00</c:formatCode>
                <c:ptCount val="2"/>
                <c:pt idx="0">
                  <c:v>0</c:v>
                </c:pt>
                <c:pt idx="1">
                  <c:v>400</c:v>
                </c:pt>
              </c:numCache>
            </c:numRef>
          </c:xVal>
          <c:yVal>
            <c:numRef>
              <c:f>GRAFICA_54!$AB$11:$AB$12</c:f>
              <c:numCache>
                <c:formatCode>0.00</c:formatCode>
                <c:ptCount val="2"/>
                <c:pt idx="0">
                  <c:v>250</c:v>
                </c:pt>
                <c:pt idx="1">
                  <c:v>250</c:v>
                </c:pt>
              </c:numCache>
            </c:numRef>
          </c:yVal>
          <c:smooth val="0"/>
          <c:extLst>
            <c:ext xmlns:c16="http://schemas.microsoft.com/office/drawing/2014/chart" uri="{C3380CC4-5D6E-409C-BE32-E72D297353CC}">
              <c16:uniqueId val="{00000002-DB6D-47A5-AAA7-37E9D4E74C3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GRAFICA_54!$AA$14:$AA$15</c:f>
              <c:numCache>
                <c:formatCode>0.00</c:formatCode>
                <c:ptCount val="2"/>
                <c:pt idx="0">
                  <c:v>400</c:v>
                </c:pt>
                <c:pt idx="1">
                  <c:v>800</c:v>
                </c:pt>
              </c:numCache>
            </c:numRef>
          </c:xVal>
          <c:yVal>
            <c:numRef>
              <c:f>GRAFICA_54!$AB$14:$AB$15</c:f>
              <c:numCache>
                <c:formatCode>0.00</c:formatCode>
                <c:ptCount val="2"/>
                <c:pt idx="0">
                  <c:v>250</c:v>
                </c:pt>
                <c:pt idx="1">
                  <c:v>250</c:v>
                </c:pt>
              </c:numCache>
            </c:numRef>
          </c:yVal>
          <c:smooth val="0"/>
          <c:extLst>
            <c:ext xmlns:c16="http://schemas.microsoft.com/office/drawing/2014/chart" uri="{C3380CC4-5D6E-409C-BE32-E72D297353CC}">
              <c16:uniqueId val="{00000003-DB6D-47A5-AAA7-37E9D4E74C3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GRAFICA_54!$AA$17:$AA$18</c:f>
              <c:numCache>
                <c:formatCode>0.00</c:formatCode>
                <c:ptCount val="2"/>
                <c:pt idx="0">
                  <c:v>0</c:v>
                </c:pt>
                <c:pt idx="1">
                  <c:v>0</c:v>
                </c:pt>
              </c:numCache>
            </c:numRef>
          </c:xVal>
          <c:yVal>
            <c:numRef>
              <c:f>GRAFICA_54!$AB$17:$AB$18</c:f>
              <c:numCache>
                <c:formatCode>0.00</c:formatCode>
                <c:ptCount val="2"/>
                <c:pt idx="0">
                  <c:v>0</c:v>
                </c:pt>
                <c:pt idx="1">
                  <c:v>250</c:v>
                </c:pt>
              </c:numCache>
            </c:numRef>
          </c:yVal>
          <c:smooth val="0"/>
          <c:extLst>
            <c:ext xmlns:c16="http://schemas.microsoft.com/office/drawing/2014/chart" uri="{C3380CC4-5D6E-409C-BE32-E72D297353CC}">
              <c16:uniqueId val="{00000004-DB6D-47A5-AAA7-37E9D4E74C3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GRAFICA_54!$AA$20:$AA$21</c:f>
              <c:numCache>
                <c:formatCode>0.00</c:formatCode>
                <c:ptCount val="2"/>
                <c:pt idx="0">
                  <c:v>400</c:v>
                </c:pt>
                <c:pt idx="1">
                  <c:v>400</c:v>
                </c:pt>
              </c:numCache>
            </c:numRef>
          </c:xVal>
          <c:yVal>
            <c:numRef>
              <c:f>GRAFICA_54!$AB$20:$AB$21</c:f>
              <c:numCache>
                <c:formatCode>0.00</c:formatCode>
                <c:ptCount val="2"/>
                <c:pt idx="0">
                  <c:v>0</c:v>
                </c:pt>
                <c:pt idx="1">
                  <c:v>250</c:v>
                </c:pt>
              </c:numCache>
            </c:numRef>
          </c:yVal>
          <c:smooth val="0"/>
          <c:extLst>
            <c:ext xmlns:c16="http://schemas.microsoft.com/office/drawing/2014/chart" uri="{C3380CC4-5D6E-409C-BE32-E72D297353CC}">
              <c16:uniqueId val="{00000005-DB6D-47A5-AAA7-37E9D4E74C3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GRAFICA_54!$AA$23:$AA$24</c:f>
              <c:numCache>
                <c:formatCode>0.00</c:formatCode>
                <c:ptCount val="2"/>
                <c:pt idx="0">
                  <c:v>800</c:v>
                </c:pt>
                <c:pt idx="1">
                  <c:v>800</c:v>
                </c:pt>
              </c:numCache>
            </c:numRef>
          </c:xVal>
          <c:yVal>
            <c:numRef>
              <c:f>GRAFICA_54!$AB$23:$AB$24</c:f>
              <c:numCache>
                <c:formatCode>0.00</c:formatCode>
                <c:ptCount val="2"/>
                <c:pt idx="0">
                  <c:v>0</c:v>
                </c:pt>
                <c:pt idx="1">
                  <c:v>250</c:v>
                </c:pt>
              </c:numCache>
            </c:numRef>
          </c:yVal>
          <c:smooth val="0"/>
          <c:extLst>
            <c:ext xmlns:c16="http://schemas.microsoft.com/office/drawing/2014/chart" uri="{C3380CC4-5D6E-409C-BE32-E72D297353CC}">
              <c16:uniqueId val="{00000006-DB6D-47A5-AAA7-37E9D4E74C3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GRAFICA_54!$AA$26:$AA$27</c:f>
              <c:numCache>
                <c:formatCode>0.00</c:formatCode>
                <c:ptCount val="2"/>
                <c:pt idx="0">
                  <c:v>0</c:v>
                </c:pt>
                <c:pt idx="1">
                  <c:v>400</c:v>
                </c:pt>
              </c:numCache>
            </c:numRef>
          </c:xVal>
          <c:yVal>
            <c:numRef>
              <c:f>GRAFICA_54!$AB$26:$AB$27</c:f>
              <c:numCache>
                <c:formatCode>0.00</c:formatCode>
                <c:ptCount val="2"/>
                <c:pt idx="0">
                  <c:v>0</c:v>
                </c:pt>
                <c:pt idx="1">
                  <c:v>250</c:v>
                </c:pt>
              </c:numCache>
            </c:numRef>
          </c:yVal>
          <c:smooth val="0"/>
          <c:extLst>
            <c:ext xmlns:c16="http://schemas.microsoft.com/office/drawing/2014/chart" uri="{C3380CC4-5D6E-409C-BE32-E72D297353CC}">
              <c16:uniqueId val="{00000007-DB6D-47A5-AAA7-37E9D4E74C3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GRAFICA_54!$AA$29:$AA$30</c:f>
              <c:numCache>
                <c:formatCode>0.00</c:formatCode>
                <c:ptCount val="2"/>
                <c:pt idx="0">
                  <c:v>400</c:v>
                </c:pt>
                <c:pt idx="1">
                  <c:v>800</c:v>
                </c:pt>
              </c:numCache>
            </c:numRef>
          </c:xVal>
          <c:yVal>
            <c:numRef>
              <c:f>GRAFICA_54!$AB$29:$AB$30</c:f>
              <c:numCache>
                <c:formatCode>0.00</c:formatCode>
                <c:ptCount val="2"/>
                <c:pt idx="0">
                  <c:v>0</c:v>
                </c:pt>
                <c:pt idx="1">
                  <c:v>250</c:v>
                </c:pt>
              </c:numCache>
            </c:numRef>
          </c:yVal>
          <c:smooth val="0"/>
          <c:extLst>
            <c:ext xmlns:c16="http://schemas.microsoft.com/office/drawing/2014/chart" uri="{C3380CC4-5D6E-409C-BE32-E72D297353CC}">
              <c16:uniqueId val="{00000008-DB6D-47A5-AAA7-37E9D4E74C3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GRAFICA_55!$AA$5:$AA$6</c:f>
              <c:numCache>
                <c:formatCode>0.00</c:formatCode>
                <c:ptCount val="2"/>
                <c:pt idx="0">
                  <c:v>0</c:v>
                </c:pt>
                <c:pt idx="1">
                  <c:v>400</c:v>
                </c:pt>
              </c:numCache>
            </c:numRef>
          </c:xVal>
          <c:yVal>
            <c:numRef>
              <c:f>GRAFICA_55!$AB$5:$AB$6</c:f>
              <c:numCache>
                <c:formatCode>0.00</c:formatCode>
                <c:ptCount val="2"/>
                <c:pt idx="0">
                  <c:v>0</c:v>
                </c:pt>
                <c:pt idx="1">
                  <c:v>0</c:v>
                </c:pt>
              </c:numCache>
            </c:numRef>
          </c:yVal>
          <c:smooth val="0"/>
          <c:extLst>
            <c:ext xmlns:c16="http://schemas.microsoft.com/office/drawing/2014/chart" uri="{C3380CC4-5D6E-409C-BE32-E72D297353CC}">
              <c16:uniqueId val="{00000000-733A-4A37-927A-F84BC8B48E6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GRAFICA_55!$AA$8:$AA$9</c:f>
              <c:numCache>
                <c:formatCode>0.00</c:formatCode>
                <c:ptCount val="2"/>
                <c:pt idx="0">
                  <c:v>400</c:v>
                </c:pt>
                <c:pt idx="1">
                  <c:v>400</c:v>
                </c:pt>
              </c:numCache>
            </c:numRef>
          </c:xVal>
          <c:yVal>
            <c:numRef>
              <c:f>GRAFICA_55!$AB$8:$AB$9</c:f>
              <c:numCache>
                <c:formatCode>0.00</c:formatCode>
                <c:ptCount val="2"/>
                <c:pt idx="0">
                  <c:v>0</c:v>
                </c:pt>
                <c:pt idx="1">
                  <c:v>300</c:v>
                </c:pt>
              </c:numCache>
            </c:numRef>
          </c:yVal>
          <c:smooth val="0"/>
          <c:extLst>
            <c:ext xmlns:c16="http://schemas.microsoft.com/office/drawing/2014/chart" uri="{C3380CC4-5D6E-409C-BE32-E72D297353CC}">
              <c16:uniqueId val="{00000001-733A-4A37-927A-F84BC8B48E6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GRAFICA_55!$AA$11:$AA$12</c:f>
              <c:numCache>
                <c:formatCode>0.00</c:formatCode>
                <c:ptCount val="2"/>
                <c:pt idx="0">
                  <c:v>400</c:v>
                </c:pt>
                <c:pt idx="1">
                  <c:v>0</c:v>
                </c:pt>
              </c:numCache>
            </c:numRef>
          </c:xVal>
          <c:yVal>
            <c:numRef>
              <c:f>GRAFICA_55!$AB$11:$AB$12</c:f>
              <c:numCache>
                <c:formatCode>0.00</c:formatCode>
                <c:ptCount val="2"/>
                <c:pt idx="0">
                  <c:v>300</c:v>
                </c:pt>
                <c:pt idx="1">
                  <c:v>300</c:v>
                </c:pt>
              </c:numCache>
            </c:numRef>
          </c:yVal>
          <c:smooth val="0"/>
          <c:extLst>
            <c:ext xmlns:c16="http://schemas.microsoft.com/office/drawing/2014/chart" uri="{C3380CC4-5D6E-409C-BE32-E72D297353CC}">
              <c16:uniqueId val="{00000002-733A-4A37-927A-F84BC8B48E6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GRAFICA_55!$AA$14:$AA$15</c:f>
              <c:numCache>
                <c:formatCode>0.00</c:formatCode>
                <c:ptCount val="2"/>
                <c:pt idx="0">
                  <c:v>0</c:v>
                </c:pt>
                <c:pt idx="1">
                  <c:v>0</c:v>
                </c:pt>
              </c:numCache>
            </c:numRef>
          </c:xVal>
          <c:yVal>
            <c:numRef>
              <c:f>GRAFICA_55!$AB$14:$AB$15</c:f>
              <c:numCache>
                <c:formatCode>0.00</c:formatCode>
                <c:ptCount val="2"/>
                <c:pt idx="0">
                  <c:v>300</c:v>
                </c:pt>
                <c:pt idx="1">
                  <c:v>0</c:v>
                </c:pt>
              </c:numCache>
            </c:numRef>
          </c:yVal>
          <c:smooth val="0"/>
          <c:extLst>
            <c:ext xmlns:c16="http://schemas.microsoft.com/office/drawing/2014/chart" uri="{C3380CC4-5D6E-409C-BE32-E72D297353CC}">
              <c16:uniqueId val="{00000003-733A-4A37-927A-F84BC8B48E6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GRAFICA_55!$AA$17:$AA$18</c:f>
              <c:numCache>
                <c:formatCode>0.00</c:formatCode>
                <c:ptCount val="2"/>
                <c:pt idx="0">
                  <c:v>0</c:v>
                </c:pt>
                <c:pt idx="1">
                  <c:v>400</c:v>
                </c:pt>
              </c:numCache>
            </c:numRef>
          </c:xVal>
          <c:yVal>
            <c:numRef>
              <c:f>GRAFICA_55!$AB$17:$AB$18</c:f>
              <c:numCache>
                <c:formatCode>0.00</c:formatCode>
                <c:ptCount val="2"/>
                <c:pt idx="0">
                  <c:v>0</c:v>
                </c:pt>
                <c:pt idx="1">
                  <c:v>300</c:v>
                </c:pt>
              </c:numCache>
            </c:numRef>
          </c:yVal>
          <c:smooth val="0"/>
          <c:extLst>
            <c:ext xmlns:c16="http://schemas.microsoft.com/office/drawing/2014/chart" uri="{C3380CC4-5D6E-409C-BE32-E72D297353CC}">
              <c16:uniqueId val="{00000004-733A-4A37-927A-F84BC8B48E6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GRAFICA_55!$AA$20:$AA$21</c:f>
              <c:numCache>
                <c:formatCode>0.00</c:formatCode>
                <c:ptCount val="2"/>
                <c:pt idx="0">
                  <c:v>400</c:v>
                </c:pt>
                <c:pt idx="1">
                  <c:v>0</c:v>
                </c:pt>
              </c:numCache>
            </c:numRef>
          </c:xVal>
          <c:yVal>
            <c:numRef>
              <c:f>GRAFICA_55!$AB$20:$AB$21</c:f>
              <c:numCache>
                <c:formatCode>0.00</c:formatCode>
                <c:ptCount val="2"/>
                <c:pt idx="0">
                  <c:v>0</c:v>
                </c:pt>
                <c:pt idx="1">
                  <c:v>300</c:v>
                </c:pt>
              </c:numCache>
            </c:numRef>
          </c:yVal>
          <c:smooth val="0"/>
          <c:extLst>
            <c:ext xmlns:c16="http://schemas.microsoft.com/office/drawing/2014/chart" uri="{C3380CC4-5D6E-409C-BE32-E72D297353CC}">
              <c16:uniqueId val="{00000005-733A-4A37-927A-F84BC8B48E6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GRAFICA_56!$AA$5:$AA$6</c:f>
              <c:numCache>
                <c:formatCode>0.00</c:formatCode>
                <c:ptCount val="2"/>
                <c:pt idx="0">
                  <c:v>0</c:v>
                </c:pt>
                <c:pt idx="1">
                  <c:v>350</c:v>
                </c:pt>
              </c:numCache>
            </c:numRef>
          </c:xVal>
          <c:yVal>
            <c:numRef>
              <c:f>GRAFICA_56!$AB$5:$AB$6</c:f>
              <c:numCache>
                <c:formatCode>0.00</c:formatCode>
                <c:ptCount val="2"/>
                <c:pt idx="0">
                  <c:v>0</c:v>
                </c:pt>
                <c:pt idx="1">
                  <c:v>0</c:v>
                </c:pt>
              </c:numCache>
            </c:numRef>
          </c:yVal>
          <c:smooth val="0"/>
          <c:extLst>
            <c:ext xmlns:c16="http://schemas.microsoft.com/office/drawing/2014/chart" uri="{C3380CC4-5D6E-409C-BE32-E72D297353CC}">
              <c16:uniqueId val="{00000000-C635-4796-AE7F-4A08EFC311B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GRAFICA_56!$AA$8:$AA$9</c:f>
              <c:numCache>
                <c:formatCode>0.00</c:formatCode>
                <c:ptCount val="2"/>
                <c:pt idx="0">
                  <c:v>350</c:v>
                </c:pt>
                <c:pt idx="1">
                  <c:v>700</c:v>
                </c:pt>
              </c:numCache>
            </c:numRef>
          </c:xVal>
          <c:yVal>
            <c:numRef>
              <c:f>GRAFICA_56!$AB$8:$AB$9</c:f>
              <c:numCache>
                <c:formatCode>0.00</c:formatCode>
                <c:ptCount val="2"/>
                <c:pt idx="0">
                  <c:v>0</c:v>
                </c:pt>
                <c:pt idx="1">
                  <c:v>0</c:v>
                </c:pt>
              </c:numCache>
            </c:numRef>
          </c:yVal>
          <c:smooth val="0"/>
          <c:extLst>
            <c:ext xmlns:c16="http://schemas.microsoft.com/office/drawing/2014/chart" uri="{C3380CC4-5D6E-409C-BE32-E72D297353CC}">
              <c16:uniqueId val="{00000001-C635-4796-AE7F-4A08EFC311B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GRAFICA_56!$AA$11:$AA$12</c:f>
              <c:numCache>
                <c:formatCode>0.00</c:formatCode>
                <c:ptCount val="2"/>
                <c:pt idx="0">
                  <c:v>0</c:v>
                </c:pt>
                <c:pt idx="1">
                  <c:v>175</c:v>
                </c:pt>
              </c:numCache>
            </c:numRef>
          </c:xVal>
          <c:yVal>
            <c:numRef>
              <c:f>GRAFICA_56!$AB$11:$AB$12</c:f>
              <c:numCache>
                <c:formatCode>0.00</c:formatCode>
                <c:ptCount val="2"/>
                <c:pt idx="0">
                  <c:v>0</c:v>
                </c:pt>
                <c:pt idx="1">
                  <c:v>280</c:v>
                </c:pt>
              </c:numCache>
            </c:numRef>
          </c:yVal>
          <c:smooth val="0"/>
          <c:extLst>
            <c:ext xmlns:c16="http://schemas.microsoft.com/office/drawing/2014/chart" uri="{C3380CC4-5D6E-409C-BE32-E72D297353CC}">
              <c16:uniqueId val="{00000002-C635-4796-AE7F-4A08EFC311B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GRAFICA_56!$AA$14:$AA$15</c:f>
              <c:numCache>
                <c:formatCode>0.00</c:formatCode>
                <c:ptCount val="2"/>
                <c:pt idx="0">
                  <c:v>175</c:v>
                </c:pt>
                <c:pt idx="1">
                  <c:v>350</c:v>
                </c:pt>
              </c:numCache>
            </c:numRef>
          </c:xVal>
          <c:yVal>
            <c:numRef>
              <c:f>GRAFICA_56!$AB$14:$AB$15</c:f>
              <c:numCache>
                <c:formatCode>0.00</c:formatCode>
                <c:ptCount val="2"/>
                <c:pt idx="0">
                  <c:v>280</c:v>
                </c:pt>
                <c:pt idx="1">
                  <c:v>0</c:v>
                </c:pt>
              </c:numCache>
            </c:numRef>
          </c:yVal>
          <c:smooth val="0"/>
          <c:extLst>
            <c:ext xmlns:c16="http://schemas.microsoft.com/office/drawing/2014/chart" uri="{C3380CC4-5D6E-409C-BE32-E72D297353CC}">
              <c16:uniqueId val="{00000003-C635-4796-AE7F-4A08EFC311B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GRAFICA_56!$AA$17:$AA$18</c:f>
              <c:numCache>
                <c:formatCode>0.00</c:formatCode>
                <c:ptCount val="2"/>
                <c:pt idx="0">
                  <c:v>175</c:v>
                </c:pt>
                <c:pt idx="1">
                  <c:v>525</c:v>
                </c:pt>
              </c:numCache>
            </c:numRef>
          </c:xVal>
          <c:yVal>
            <c:numRef>
              <c:f>GRAFICA_56!$AB$17:$AB$18</c:f>
              <c:numCache>
                <c:formatCode>0.00</c:formatCode>
                <c:ptCount val="2"/>
                <c:pt idx="0">
                  <c:v>280</c:v>
                </c:pt>
                <c:pt idx="1">
                  <c:v>280</c:v>
                </c:pt>
              </c:numCache>
            </c:numRef>
          </c:yVal>
          <c:smooth val="0"/>
          <c:extLst>
            <c:ext xmlns:c16="http://schemas.microsoft.com/office/drawing/2014/chart" uri="{C3380CC4-5D6E-409C-BE32-E72D297353CC}">
              <c16:uniqueId val="{00000004-C635-4796-AE7F-4A08EFC311B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GRAFICA_56!$AA$20:$AA$21</c:f>
              <c:numCache>
                <c:formatCode>0.00</c:formatCode>
                <c:ptCount val="2"/>
                <c:pt idx="0">
                  <c:v>350</c:v>
                </c:pt>
                <c:pt idx="1">
                  <c:v>525</c:v>
                </c:pt>
              </c:numCache>
            </c:numRef>
          </c:xVal>
          <c:yVal>
            <c:numRef>
              <c:f>GRAFICA_56!$AB$20:$AB$21</c:f>
              <c:numCache>
                <c:formatCode>0.00</c:formatCode>
                <c:ptCount val="2"/>
                <c:pt idx="0">
                  <c:v>0</c:v>
                </c:pt>
                <c:pt idx="1">
                  <c:v>280</c:v>
                </c:pt>
              </c:numCache>
            </c:numRef>
          </c:yVal>
          <c:smooth val="0"/>
          <c:extLst>
            <c:ext xmlns:c16="http://schemas.microsoft.com/office/drawing/2014/chart" uri="{C3380CC4-5D6E-409C-BE32-E72D297353CC}">
              <c16:uniqueId val="{00000005-C635-4796-AE7F-4A08EFC311B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GRAFICA_56!$AA$23:$AA$24</c:f>
              <c:numCache>
                <c:formatCode>0.00</c:formatCode>
                <c:ptCount val="2"/>
                <c:pt idx="0">
                  <c:v>525</c:v>
                </c:pt>
                <c:pt idx="1">
                  <c:v>700</c:v>
                </c:pt>
              </c:numCache>
            </c:numRef>
          </c:xVal>
          <c:yVal>
            <c:numRef>
              <c:f>GRAFICA_56!$AB$23:$AB$24</c:f>
              <c:numCache>
                <c:formatCode>0.00</c:formatCode>
                <c:ptCount val="2"/>
                <c:pt idx="0">
                  <c:v>280</c:v>
                </c:pt>
                <c:pt idx="1">
                  <c:v>0</c:v>
                </c:pt>
              </c:numCache>
            </c:numRef>
          </c:yVal>
          <c:smooth val="0"/>
          <c:extLst>
            <c:ext xmlns:c16="http://schemas.microsoft.com/office/drawing/2014/chart" uri="{C3380CC4-5D6E-409C-BE32-E72D297353CC}">
              <c16:uniqueId val="{00000006-C635-4796-AE7F-4A08EFC311B3}"/>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GRAFICA_56!$AA$26:$AA$27</c:f>
              <c:numCache>
                <c:formatCode>0.00</c:formatCode>
                <c:ptCount val="2"/>
                <c:pt idx="0">
                  <c:v>0</c:v>
                </c:pt>
                <c:pt idx="1">
                  <c:v>525</c:v>
                </c:pt>
              </c:numCache>
            </c:numRef>
          </c:xVal>
          <c:yVal>
            <c:numRef>
              <c:f>GRAFICA_56!$AB$26:$AB$27</c:f>
              <c:numCache>
                <c:formatCode>0.00</c:formatCode>
                <c:ptCount val="2"/>
                <c:pt idx="0">
                  <c:v>0</c:v>
                </c:pt>
                <c:pt idx="1">
                  <c:v>280</c:v>
                </c:pt>
              </c:numCache>
            </c:numRef>
          </c:yVal>
          <c:smooth val="0"/>
          <c:extLst>
            <c:ext xmlns:c16="http://schemas.microsoft.com/office/drawing/2014/chart" uri="{C3380CC4-5D6E-409C-BE32-E72D297353CC}">
              <c16:uniqueId val="{00000007-C635-4796-AE7F-4A08EFC311B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GRAFICA_57!$AA$5:$AA$6</c:f>
              <c:numCache>
                <c:formatCode>0.00</c:formatCode>
                <c:ptCount val="2"/>
                <c:pt idx="0">
                  <c:v>0</c:v>
                </c:pt>
                <c:pt idx="1">
                  <c:v>350</c:v>
                </c:pt>
              </c:numCache>
            </c:numRef>
          </c:xVal>
          <c:yVal>
            <c:numRef>
              <c:f>GRAFICA_57!$AB$5:$AB$6</c:f>
              <c:numCache>
                <c:formatCode>0.00</c:formatCode>
                <c:ptCount val="2"/>
                <c:pt idx="0">
                  <c:v>0</c:v>
                </c:pt>
                <c:pt idx="1">
                  <c:v>0</c:v>
                </c:pt>
              </c:numCache>
            </c:numRef>
          </c:yVal>
          <c:smooth val="0"/>
          <c:extLst>
            <c:ext xmlns:c16="http://schemas.microsoft.com/office/drawing/2014/chart" uri="{C3380CC4-5D6E-409C-BE32-E72D297353CC}">
              <c16:uniqueId val="{00000000-7421-4304-962E-FAAC136CC81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GRAFICA_57!$AA$8:$AA$9</c:f>
              <c:numCache>
                <c:formatCode>0.00</c:formatCode>
                <c:ptCount val="2"/>
                <c:pt idx="0">
                  <c:v>350</c:v>
                </c:pt>
                <c:pt idx="1">
                  <c:v>700</c:v>
                </c:pt>
              </c:numCache>
            </c:numRef>
          </c:xVal>
          <c:yVal>
            <c:numRef>
              <c:f>GRAFICA_57!$AB$8:$AB$9</c:f>
              <c:numCache>
                <c:formatCode>0.00</c:formatCode>
                <c:ptCount val="2"/>
                <c:pt idx="0">
                  <c:v>0</c:v>
                </c:pt>
                <c:pt idx="1">
                  <c:v>0</c:v>
                </c:pt>
              </c:numCache>
            </c:numRef>
          </c:yVal>
          <c:smooth val="0"/>
          <c:extLst>
            <c:ext xmlns:c16="http://schemas.microsoft.com/office/drawing/2014/chart" uri="{C3380CC4-5D6E-409C-BE32-E72D297353CC}">
              <c16:uniqueId val="{00000001-7421-4304-962E-FAAC136CC81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GRAFICA_57!$AA$11:$AA$12</c:f>
              <c:numCache>
                <c:formatCode>0.00</c:formatCode>
                <c:ptCount val="2"/>
                <c:pt idx="0">
                  <c:v>0</c:v>
                </c:pt>
                <c:pt idx="1">
                  <c:v>350</c:v>
                </c:pt>
              </c:numCache>
            </c:numRef>
          </c:xVal>
          <c:yVal>
            <c:numRef>
              <c:f>GRAFICA_57!$AB$11:$AB$12</c:f>
              <c:numCache>
                <c:formatCode>0.00</c:formatCode>
                <c:ptCount val="2"/>
                <c:pt idx="0">
                  <c:v>250</c:v>
                </c:pt>
                <c:pt idx="1">
                  <c:v>250</c:v>
                </c:pt>
              </c:numCache>
            </c:numRef>
          </c:yVal>
          <c:smooth val="0"/>
          <c:extLst>
            <c:ext xmlns:c16="http://schemas.microsoft.com/office/drawing/2014/chart" uri="{C3380CC4-5D6E-409C-BE32-E72D297353CC}">
              <c16:uniqueId val="{00000002-7421-4304-962E-FAAC136CC81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GRAFICA_57!$AA$14:$AA$15</c:f>
              <c:numCache>
                <c:formatCode>0.00</c:formatCode>
                <c:ptCount val="2"/>
                <c:pt idx="0">
                  <c:v>350</c:v>
                </c:pt>
                <c:pt idx="1">
                  <c:v>700</c:v>
                </c:pt>
              </c:numCache>
            </c:numRef>
          </c:xVal>
          <c:yVal>
            <c:numRef>
              <c:f>GRAFICA_57!$AB$14:$AB$15</c:f>
              <c:numCache>
                <c:formatCode>0.00</c:formatCode>
                <c:ptCount val="2"/>
                <c:pt idx="0">
                  <c:v>250</c:v>
                </c:pt>
                <c:pt idx="1">
                  <c:v>250</c:v>
                </c:pt>
              </c:numCache>
            </c:numRef>
          </c:yVal>
          <c:smooth val="0"/>
          <c:extLst>
            <c:ext xmlns:c16="http://schemas.microsoft.com/office/drawing/2014/chart" uri="{C3380CC4-5D6E-409C-BE32-E72D297353CC}">
              <c16:uniqueId val="{00000003-7421-4304-962E-FAAC136CC81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GRAFICA_57!$AA$17:$AA$18</c:f>
              <c:numCache>
                <c:formatCode>0.00</c:formatCode>
                <c:ptCount val="2"/>
                <c:pt idx="0">
                  <c:v>0</c:v>
                </c:pt>
                <c:pt idx="1">
                  <c:v>0</c:v>
                </c:pt>
              </c:numCache>
            </c:numRef>
          </c:xVal>
          <c:yVal>
            <c:numRef>
              <c:f>GRAFICA_57!$AB$17:$AB$18</c:f>
              <c:numCache>
                <c:formatCode>0.00</c:formatCode>
                <c:ptCount val="2"/>
                <c:pt idx="0">
                  <c:v>0</c:v>
                </c:pt>
                <c:pt idx="1">
                  <c:v>250</c:v>
                </c:pt>
              </c:numCache>
            </c:numRef>
          </c:yVal>
          <c:smooth val="0"/>
          <c:extLst>
            <c:ext xmlns:c16="http://schemas.microsoft.com/office/drawing/2014/chart" uri="{C3380CC4-5D6E-409C-BE32-E72D297353CC}">
              <c16:uniqueId val="{00000004-7421-4304-962E-FAAC136CC81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GRAFICA_57!$AA$20:$AA$21</c:f>
              <c:numCache>
                <c:formatCode>0.00</c:formatCode>
                <c:ptCount val="2"/>
                <c:pt idx="0">
                  <c:v>350</c:v>
                </c:pt>
                <c:pt idx="1">
                  <c:v>350</c:v>
                </c:pt>
              </c:numCache>
            </c:numRef>
          </c:xVal>
          <c:yVal>
            <c:numRef>
              <c:f>GRAFICA_57!$AB$20:$AB$21</c:f>
              <c:numCache>
                <c:formatCode>0.00</c:formatCode>
                <c:ptCount val="2"/>
                <c:pt idx="0">
                  <c:v>0</c:v>
                </c:pt>
                <c:pt idx="1">
                  <c:v>250</c:v>
                </c:pt>
              </c:numCache>
            </c:numRef>
          </c:yVal>
          <c:smooth val="0"/>
          <c:extLst>
            <c:ext xmlns:c16="http://schemas.microsoft.com/office/drawing/2014/chart" uri="{C3380CC4-5D6E-409C-BE32-E72D297353CC}">
              <c16:uniqueId val="{00000005-7421-4304-962E-FAAC136CC81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GRAFICA_57!$AA$23:$AA$24</c:f>
              <c:numCache>
                <c:formatCode>0.00</c:formatCode>
                <c:ptCount val="2"/>
                <c:pt idx="0">
                  <c:v>700</c:v>
                </c:pt>
                <c:pt idx="1">
                  <c:v>700</c:v>
                </c:pt>
              </c:numCache>
            </c:numRef>
          </c:xVal>
          <c:yVal>
            <c:numRef>
              <c:f>GRAFICA_57!$AB$23:$AB$24</c:f>
              <c:numCache>
                <c:formatCode>0.00</c:formatCode>
                <c:ptCount val="2"/>
                <c:pt idx="0">
                  <c:v>0</c:v>
                </c:pt>
                <c:pt idx="1">
                  <c:v>250</c:v>
                </c:pt>
              </c:numCache>
            </c:numRef>
          </c:yVal>
          <c:smooth val="0"/>
          <c:extLst>
            <c:ext xmlns:c16="http://schemas.microsoft.com/office/drawing/2014/chart" uri="{C3380CC4-5D6E-409C-BE32-E72D297353CC}">
              <c16:uniqueId val="{00000006-7421-4304-962E-FAAC136CC81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GRAFICA_57!$AA$26:$AA$27</c:f>
              <c:numCache>
                <c:formatCode>0.00</c:formatCode>
                <c:ptCount val="2"/>
                <c:pt idx="0">
                  <c:v>0</c:v>
                </c:pt>
                <c:pt idx="1">
                  <c:v>350</c:v>
                </c:pt>
              </c:numCache>
            </c:numRef>
          </c:xVal>
          <c:yVal>
            <c:numRef>
              <c:f>GRAFICA_57!$AB$26:$AB$27</c:f>
              <c:numCache>
                <c:formatCode>0.00</c:formatCode>
                <c:ptCount val="2"/>
                <c:pt idx="0">
                  <c:v>0</c:v>
                </c:pt>
                <c:pt idx="1">
                  <c:v>250</c:v>
                </c:pt>
              </c:numCache>
            </c:numRef>
          </c:yVal>
          <c:smooth val="0"/>
          <c:extLst>
            <c:ext xmlns:c16="http://schemas.microsoft.com/office/drawing/2014/chart" uri="{C3380CC4-5D6E-409C-BE32-E72D297353CC}">
              <c16:uniqueId val="{00000007-7421-4304-962E-FAAC136CC81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GRAFICA_57!$AA$29:$AA$30</c:f>
              <c:numCache>
                <c:formatCode>0.00</c:formatCode>
                <c:ptCount val="2"/>
                <c:pt idx="0">
                  <c:v>0</c:v>
                </c:pt>
                <c:pt idx="1">
                  <c:v>350</c:v>
                </c:pt>
              </c:numCache>
            </c:numRef>
          </c:xVal>
          <c:yVal>
            <c:numRef>
              <c:f>GRAFICA_57!$AB$29:$AB$30</c:f>
              <c:numCache>
                <c:formatCode>0.00</c:formatCode>
                <c:ptCount val="2"/>
                <c:pt idx="0">
                  <c:v>250</c:v>
                </c:pt>
                <c:pt idx="1">
                  <c:v>0</c:v>
                </c:pt>
              </c:numCache>
            </c:numRef>
          </c:yVal>
          <c:smooth val="0"/>
          <c:extLst>
            <c:ext xmlns:c16="http://schemas.microsoft.com/office/drawing/2014/chart" uri="{C3380CC4-5D6E-409C-BE32-E72D297353CC}">
              <c16:uniqueId val="{00000008-7421-4304-962E-FAAC136CC812}"/>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GRAFICA_57!$AA$32:$AA$33</c:f>
              <c:numCache>
                <c:formatCode>0.00</c:formatCode>
                <c:ptCount val="2"/>
                <c:pt idx="0">
                  <c:v>350</c:v>
                </c:pt>
                <c:pt idx="1">
                  <c:v>700</c:v>
                </c:pt>
              </c:numCache>
            </c:numRef>
          </c:xVal>
          <c:yVal>
            <c:numRef>
              <c:f>GRAFICA_57!$AB$32:$AB$33</c:f>
              <c:numCache>
                <c:formatCode>0.00</c:formatCode>
                <c:ptCount val="2"/>
                <c:pt idx="0">
                  <c:v>0</c:v>
                </c:pt>
                <c:pt idx="1">
                  <c:v>250</c:v>
                </c:pt>
              </c:numCache>
            </c:numRef>
          </c:yVal>
          <c:smooth val="0"/>
          <c:extLst>
            <c:ext xmlns:c16="http://schemas.microsoft.com/office/drawing/2014/chart" uri="{C3380CC4-5D6E-409C-BE32-E72D297353CC}">
              <c16:uniqueId val="{00000009-7421-4304-962E-FAAC136CC812}"/>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GRAFICA_57!$AA$35:$AA$36</c:f>
              <c:numCache>
                <c:formatCode>0.00</c:formatCode>
                <c:ptCount val="2"/>
                <c:pt idx="0">
                  <c:v>350</c:v>
                </c:pt>
                <c:pt idx="1">
                  <c:v>700</c:v>
                </c:pt>
              </c:numCache>
            </c:numRef>
          </c:xVal>
          <c:yVal>
            <c:numRef>
              <c:f>GRAFICA_57!$AB$35:$AB$36</c:f>
              <c:numCache>
                <c:formatCode>0.00</c:formatCode>
                <c:ptCount val="2"/>
                <c:pt idx="0">
                  <c:v>250</c:v>
                </c:pt>
                <c:pt idx="1">
                  <c:v>0</c:v>
                </c:pt>
              </c:numCache>
            </c:numRef>
          </c:yVal>
          <c:smooth val="0"/>
          <c:extLst>
            <c:ext xmlns:c16="http://schemas.microsoft.com/office/drawing/2014/chart" uri="{C3380CC4-5D6E-409C-BE32-E72D297353CC}">
              <c16:uniqueId val="{0000000A-7421-4304-962E-FAAC136CC81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GRAFICA_58!$AA$5:$AA$6</c:f>
              <c:numCache>
                <c:formatCode>0.00</c:formatCode>
                <c:ptCount val="2"/>
                <c:pt idx="0">
                  <c:v>0</c:v>
                </c:pt>
                <c:pt idx="1">
                  <c:v>400</c:v>
                </c:pt>
              </c:numCache>
            </c:numRef>
          </c:xVal>
          <c:yVal>
            <c:numRef>
              <c:f>GRAFICA_58!$AB$5:$AB$6</c:f>
              <c:numCache>
                <c:formatCode>0.00</c:formatCode>
                <c:ptCount val="2"/>
                <c:pt idx="0">
                  <c:v>0</c:v>
                </c:pt>
                <c:pt idx="1">
                  <c:v>0</c:v>
                </c:pt>
              </c:numCache>
            </c:numRef>
          </c:yVal>
          <c:smooth val="0"/>
          <c:extLst>
            <c:ext xmlns:c16="http://schemas.microsoft.com/office/drawing/2014/chart" uri="{C3380CC4-5D6E-409C-BE32-E72D297353CC}">
              <c16:uniqueId val="{00000000-531A-4782-85F2-18E00917FE3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GRAFICA_58!$AA$8:$AA$9</c:f>
              <c:numCache>
                <c:formatCode>0.00</c:formatCode>
                <c:ptCount val="2"/>
                <c:pt idx="0">
                  <c:v>400</c:v>
                </c:pt>
                <c:pt idx="1">
                  <c:v>800</c:v>
                </c:pt>
              </c:numCache>
            </c:numRef>
          </c:xVal>
          <c:yVal>
            <c:numRef>
              <c:f>GRAFICA_58!$AB$8:$AB$9</c:f>
              <c:numCache>
                <c:formatCode>0.00</c:formatCode>
                <c:ptCount val="2"/>
                <c:pt idx="0">
                  <c:v>0</c:v>
                </c:pt>
                <c:pt idx="1">
                  <c:v>0</c:v>
                </c:pt>
              </c:numCache>
            </c:numRef>
          </c:yVal>
          <c:smooth val="0"/>
          <c:extLst>
            <c:ext xmlns:c16="http://schemas.microsoft.com/office/drawing/2014/chart" uri="{C3380CC4-5D6E-409C-BE32-E72D297353CC}">
              <c16:uniqueId val="{00000001-531A-4782-85F2-18E00917FE3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GRAFICA_58!$AA$11:$AA$12</c:f>
              <c:numCache>
                <c:formatCode>0.00</c:formatCode>
                <c:ptCount val="2"/>
                <c:pt idx="0">
                  <c:v>0</c:v>
                </c:pt>
                <c:pt idx="1">
                  <c:v>400</c:v>
                </c:pt>
              </c:numCache>
            </c:numRef>
          </c:xVal>
          <c:yVal>
            <c:numRef>
              <c:f>GRAFICA_58!$AB$11:$AB$12</c:f>
              <c:numCache>
                <c:formatCode>0.00</c:formatCode>
                <c:ptCount val="2"/>
                <c:pt idx="0">
                  <c:v>280</c:v>
                </c:pt>
                <c:pt idx="1">
                  <c:v>280</c:v>
                </c:pt>
              </c:numCache>
            </c:numRef>
          </c:yVal>
          <c:smooth val="0"/>
          <c:extLst>
            <c:ext xmlns:c16="http://schemas.microsoft.com/office/drawing/2014/chart" uri="{C3380CC4-5D6E-409C-BE32-E72D297353CC}">
              <c16:uniqueId val="{00000002-531A-4782-85F2-18E00917FE3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GRAFICA_58!$AA$14:$AA$15</c:f>
              <c:numCache>
                <c:formatCode>0.00</c:formatCode>
                <c:ptCount val="2"/>
                <c:pt idx="0">
                  <c:v>400</c:v>
                </c:pt>
                <c:pt idx="1">
                  <c:v>800</c:v>
                </c:pt>
              </c:numCache>
            </c:numRef>
          </c:xVal>
          <c:yVal>
            <c:numRef>
              <c:f>GRAFICA_58!$AB$14:$AB$15</c:f>
              <c:numCache>
                <c:formatCode>0.00</c:formatCode>
                <c:ptCount val="2"/>
                <c:pt idx="0">
                  <c:v>280</c:v>
                </c:pt>
                <c:pt idx="1">
                  <c:v>280</c:v>
                </c:pt>
              </c:numCache>
            </c:numRef>
          </c:yVal>
          <c:smooth val="0"/>
          <c:extLst>
            <c:ext xmlns:c16="http://schemas.microsoft.com/office/drawing/2014/chart" uri="{C3380CC4-5D6E-409C-BE32-E72D297353CC}">
              <c16:uniqueId val="{00000003-531A-4782-85F2-18E00917FE3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GRAFICA_58!$AA$17:$AA$18</c:f>
              <c:numCache>
                <c:formatCode>0.00</c:formatCode>
                <c:ptCount val="2"/>
                <c:pt idx="0">
                  <c:v>0</c:v>
                </c:pt>
                <c:pt idx="1">
                  <c:v>0</c:v>
                </c:pt>
              </c:numCache>
            </c:numRef>
          </c:xVal>
          <c:yVal>
            <c:numRef>
              <c:f>GRAFICA_58!$AB$17:$AB$18</c:f>
              <c:numCache>
                <c:formatCode>0.00</c:formatCode>
                <c:ptCount val="2"/>
                <c:pt idx="0">
                  <c:v>0</c:v>
                </c:pt>
                <c:pt idx="1">
                  <c:v>280</c:v>
                </c:pt>
              </c:numCache>
            </c:numRef>
          </c:yVal>
          <c:smooth val="0"/>
          <c:extLst>
            <c:ext xmlns:c16="http://schemas.microsoft.com/office/drawing/2014/chart" uri="{C3380CC4-5D6E-409C-BE32-E72D297353CC}">
              <c16:uniqueId val="{00000004-531A-4782-85F2-18E00917FE3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GRAFICA_58!$AA$20:$AA$21</c:f>
              <c:numCache>
                <c:formatCode>0.00</c:formatCode>
                <c:ptCount val="2"/>
                <c:pt idx="0">
                  <c:v>400</c:v>
                </c:pt>
                <c:pt idx="1">
                  <c:v>400</c:v>
                </c:pt>
              </c:numCache>
            </c:numRef>
          </c:xVal>
          <c:yVal>
            <c:numRef>
              <c:f>GRAFICA_58!$AB$20:$AB$21</c:f>
              <c:numCache>
                <c:formatCode>0.00</c:formatCode>
                <c:ptCount val="2"/>
                <c:pt idx="0">
                  <c:v>0</c:v>
                </c:pt>
                <c:pt idx="1">
                  <c:v>280</c:v>
                </c:pt>
              </c:numCache>
            </c:numRef>
          </c:yVal>
          <c:smooth val="0"/>
          <c:extLst>
            <c:ext xmlns:c16="http://schemas.microsoft.com/office/drawing/2014/chart" uri="{C3380CC4-5D6E-409C-BE32-E72D297353CC}">
              <c16:uniqueId val="{00000005-531A-4782-85F2-18E00917FE3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GRAFICA_58!$AA$23:$AA$24</c:f>
              <c:numCache>
                <c:formatCode>0.00</c:formatCode>
                <c:ptCount val="2"/>
                <c:pt idx="0">
                  <c:v>800</c:v>
                </c:pt>
                <c:pt idx="1">
                  <c:v>800</c:v>
                </c:pt>
              </c:numCache>
            </c:numRef>
          </c:xVal>
          <c:yVal>
            <c:numRef>
              <c:f>GRAFICA_58!$AB$23:$AB$24</c:f>
              <c:numCache>
                <c:formatCode>0.00</c:formatCode>
                <c:ptCount val="2"/>
                <c:pt idx="0">
                  <c:v>0</c:v>
                </c:pt>
                <c:pt idx="1">
                  <c:v>280</c:v>
                </c:pt>
              </c:numCache>
            </c:numRef>
          </c:yVal>
          <c:smooth val="0"/>
          <c:extLst>
            <c:ext xmlns:c16="http://schemas.microsoft.com/office/drawing/2014/chart" uri="{C3380CC4-5D6E-409C-BE32-E72D297353CC}">
              <c16:uniqueId val="{00000006-531A-4782-85F2-18E00917FE3E}"/>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GRAFICA_58!$AA$26:$AA$27</c:f>
              <c:numCache>
                <c:formatCode>0.00</c:formatCode>
                <c:ptCount val="2"/>
                <c:pt idx="0">
                  <c:v>0</c:v>
                </c:pt>
                <c:pt idx="1">
                  <c:v>400</c:v>
                </c:pt>
              </c:numCache>
            </c:numRef>
          </c:xVal>
          <c:yVal>
            <c:numRef>
              <c:f>GRAFICA_58!$AB$26:$AB$27</c:f>
              <c:numCache>
                <c:formatCode>0.00</c:formatCode>
                <c:ptCount val="2"/>
                <c:pt idx="0">
                  <c:v>0</c:v>
                </c:pt>
                <c:pt idx="1">
                  <c:v>280</c:v>
                </c:pt>
              </c:numCache>
            </c:numRef>
          </c:yVal>
          <c:smooth val="0"/>
          <c:extLst>
            <c:ext xmlns:c16="http://schemas.microsoft.com/office/drawing/2014/chart" uri="{C3380CC4-5D6E-409C-BE32-E72D297353CC}">
              <c16:uniqueId val="{00000007-531A-4782-85F2-18E00917FE3E}"/>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GRAFICA_58!$AA$29:$AA$30</c:f>
              <c:numCache>
                <c:formatCode>0.00</c:formatCode>
                <c:ptCount val="2"/>
                <c:pt idx="0">
                  <c:v>0</c:v>
                </c:pt>
                <c:pt idx="1">
                  <c:v>400</c:v>
                </c:pt>
              </c:numCache>
            </c:numRef>
          </c:xVal>
          <c:yVal>
            <c:numRef>
              <c:f>GRAFICA_58!$AB$29:$AB$30</c:f>
              <c:numCache>
                <c:formatCode>0.00</c:formatCode>
                <c:ptCount val="2"/>
                <c:pt idx="0">
                  <c:v>280</c:v>
                </c:pt>
                <c:pt idx="1">
                  <c:v>0</c:v>
                </c:pt>
              </c:numCache>
            </c:numRef>
          </c:yVal>
          <c:smooth val="0"/>
          <c:extLst>
            <c:ext xmlns:c16="http://schemas.microsoft.com/office/drawing/2014/chart" uri="{C3380CC4-5D6E-409C-BE32-E72D297353CC}">
              <c16:uniqueId val="{00000008-531A-4782-85F2-18E00917FE3E}"/>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GRAFICA_58!$AA$32:$AA$33</c:f>
              <c:numCache>
                <c:formatCode>0.00</c:formatCode>
                <c:ptCount val="2"/>
                <c:pt idx="0">
                  <c:v>400</c:v>
                </c:pt>
                <c:pt idx="1">
                  <c:v>800</c:v>
                </c:pt>
              </c:numCache>
            </c:numRef>
          </c:xVal>
          <c:yVal>
            <c:numRef>
              <c:f>GRAFICA_58!$AB$32:$AB$33</c:f>
              <c:numCache>
                <c:formatCode>0.00</c:formatCode>
                <c:ptCount val="2"/>
                <c:pt idx="0">
                  <c:v>0</c:v>
                </c:pt>
                <c:pt idx="1">
                  <c:v>280</c:v>
                </c:pt>
              </c:numCache>
            </c:numRef>
          </c:yVal>
          <c:smooth val="0"/>
          <c:extLst>
            <c:ext xmlns:c16="http://schemas.microsoft.com/office/drawing/2014/chart" uri="{C3380CC4-5D6E-409C-BE32-E72D297353CC}">
              <c16:uniqueId val="{00000009-531A-4782-85F2-18E00917FE3E}"/>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GRAFICA_58!$AA$35:$AA$36</c:f>
              <c:numCache>
                <c:formatCode>0.00</c:formatCode>
                <c:ptCount val="2"/>
                <c:pt idx="0">
                  <c:v>400</c:v>
                </c:pt>
                <c:pt idx="1">
                  <c:v>800</c:v>
                </c:pt>
              </c:numCache>
            </c:numRef>
          </c:xVal>
          <c:yVal>
            <c:numRef>
              <c:f>GRAFICA_58!$AB$35:$AB$36</c:f>
              <c:numCache>
                <c:formatCode>0.00</c:formatCode>
                <c:ptCount val="2"/>
                <c:pt idx="0">
                  <c:v>280</c:v>
                </c:pt>
                <c:pt idx="1">
                  <c:v>0</c:v>
                </c:pt>
              </c:numCache>
            </c:numRef>
          </c:yVal>
          <c:smooth val="0"/>
          <c:extLst>
            <c:ext xmlns:c16="http://schemas.microsoft.com/office/drawing/2014/chart" uri="{C3380CC4-5D6E-409C-BE32-E72D297353CC}">
              <c16:uniqueId val="{0000000A-531A-4782-85F2-18E00917FE3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GRAFICA_59!$AA$5:$AA$6</c:f>
              <c:numCache>
                <c:formatCode>0.00</c:formatCode>
                <c:ptCount val="2"/>
                <c:pt idx="0">
                  <c:v>0</c:v>
                </c:pt>
                <c:pt idx="1">
                  <c:v>350</c:v>
                </c:pt>
              </c:numCache>
            </c:numRef>
          </c:xVal>
          <c:yVal>
            <c:numRef>
              <c:f>GRAFICA_59!$AB$5:$AB$6</c:f>
              <c:numCache>
                <c:formatCode>0.00</c:formatCode>
                <c:ptCount val="2"/>
                <c:pt idx="0">
                  <c:v>0</c:v>
                </c:pt>
                <c:pt idx="1">
                  <c:v>0</c:v>
                </c:pt>
              </c:numCache>
            </c:numRef>
          </c:yVal>
          <c:smooth val="0"/>
          <c:extLst>
            <c:ext xmlns:c16="http://schemas.microsoft.com/office/drawing/2014/chart" uri="{C3380CC4-5D6E-409C-BE32-E72D297353CC}">
              <c16:uniqueId val="{00000000-B77E-4E67-A6A9-DA0956E9708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GRAFICA_59!$AA$8:$AA$9</c:f>
              <c:numCache>
                <c:formatCode>0.00</c:formatCode>
                <c:ptCount val="2"/>
                <c:pt idx="0">
                  <c:v>350</c:v>
                </c:pt>
                <c:pt idx="1">
                  <c:v>700</c:v>
                </c:pt>
              </c:numCache>
            </c:numRef>
          </c:xVal>
          <c:yVal>
            <c:numRef>
              <c:f>GRAFICA_59!$AB$8:$AB$9</c:f>
              <c:numCache>
                <c:formatCode>0.00</c:formatCode>
                <c:ptCount val="2"/>
                <c:pt idx="0">
                  <c:v>0</c:v>
                </c:pt>
                <c:pt idx="1">
                  <c:v>0</c:v>
                </c:pt>
              </c:numCache>
            </c:numRef>
          </c:yVal>
          <c:smooth val="0"/>
          <c:extLst>
            <c:ext xmlns:c16="http://schemas.microsoft.com/office/drawing/2014/chart" uri="{C3380CC4-5D6E-409C-BE32-E72D297353CC}">
              <c16:uniqueId val="{00000001-B77E-4E67-A6A9-DA0956E9708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GRAFICA_59!$AA$11:$AA$12</c:f>
              <c:numCache>
                <c:formatCode>0.00</c:formatCode>
                <c:ptCount val="2"/>
                <c:pt idx="0">
                  <c:v>0</c:v>
                </c:pt>
                <c:pt idx="1">
                  <c:v>350</c:v>
                </c:pt>
              </c:numCache>
            </c:numRef>
          </c:xVal>
          <c:yVal>
            <c:numRef>
              <c:f>GRAFICA_59!$AB$11:$AB$12</c:f>
              <c:numCache>
                <c:formatCode>0.00</c:formatCode>
                <c:ptCount val="2"/>
                <c:pt idx="0">
                  <c:v>260</c:v>
                </c:pt>
                <c:pt idx="1">
                  <c:v>260</c:v>
                </c:pt>
              </c:numCache>
            </c:numRef>
          </c:yVal>
          <c:smooth val="0"/>
          <c:extLst>
            <c:ext xmlns:c16="http://schemas.microsoft.com/office/drawing/2014/chart" uri="{C3380CC4-5D6E-409C-BE32-E72D297353CC}">
              <c16:uniqueId val="{00000002-B77E-4E67-A6A9-DA0956E9708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GRAFICA_59!$AA$14:$AA$15</c:f>
              <c:numCache>
                <c:formatCode>0.00</c:formatCode>
                <c:ptCount val="2"/>
                <c:pt idx="0">
                  <c:v>350</c:v>
                </c:pt>
                <c:pt idx="1">
                  <c:v>700</c:v>
                </c:pt>
              </c:numCache>
            </c:numRef>
          </c:xVal>
          <c:yVal>
            <c:numRef>
              <c:f>GRAFICA_59!$AB$14:$AB$15</c:f>
              <c:numCache>
                <c:formatCode>0.00</c:formatCode>
                <c:ptCount val="2"/>
                <c:pt idx="0">
                  <c:v>260</c:v>
                </c:pt>
                <c:pt idx="1">
                  <c:v>260</c:v>
                </c:pt>
              </c:numCache>
            </c:numRef>
          </c:yVal>
          <c:smooth val="0"/>
          <c:extLst>
            <c:ext xmlns:c16="http://schemas.microsoft.com/office/drawing/2014/chart" uri="{C3380CC4-5D6E-409C-BE32-E72D297353CC}">
              <c16:uniqueId val="{00000003-B77E-4E67-A6A9-DA0956E9708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GRAFICA_59!$AA$17:$AA$18</c:f>
              <c:numCache>
                <c:formatCode>0.00</c:formatCode>
                <c:ptCount val="2"/>
                <c:pt idx="0">
                  <c:v>0</c:v>
                </c:pt>
                <c:pt idx="1">
                  <c:v>0</c:v>
                </c:pt>
              </c:numCache>
            </c:numRef>
          </c:xVal>
          <c:yVal>
            <c:numRef>
              <c:f>GRAFICA_59!$AB$17:$AB$18</c:f>
              <c:numCache>
                <c:formatCode>0.00</c:formatCode>
                <c:ptCount val="2"/>
                <c:pt idx="0">
                  <c:v>0</c:v>
                </c:pt>
                <c:pt idx="1">
                  <c:v>260</c:v>
                </c:pt>
              </c:numCache>
            </c:numRef>
          </c:yVal>
          <c:smooth val="0"/>
          <c:extLst>
            <c:ext xmlns:c16="http://schemas.microsoft.com/office/drawing/2014/chart" uri="{C3380CC4-5D6E-409C-BE32-E72D297353CC}">
              <c16:uniqueId val="{00000004-B77E-4E67-A6A9-DA0956E9708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GRAFICA_59!$AA$20:$AA$21</c:f>
              <c:numCache>
                <c:formatCode>0.00</c:formatCode>
                <c:ptCount val="2"/>
                <c:pt idx="0">
                  <c:v>350</c:v>
                </c:pt>
                <c:pt idx="1">
                  <c:v>350</c:v>
                </c:pt>
              </c:numCache>
            </c:numRef>
          </c:xVal>
          <c:yVal>
            <c:numRef>
              <c:f>GRAFICA_59!$AB$20:$AB$21</c:f>
              <c:numCache>
                <c:formatCode>0.00</c:formatCode>
                <c:ptCount val="2"/>
                <c:pt idx="0">
                  <c:v>0</c:v>
                </c:pt>
                <c:pt idx="1">
                  <c:v>260</c:v>
                </c:pt>
              </c:numCache>
            </c:numRef>
          </c:yVal>
          <c:smooth val="0"/>
          <c:extLst>
            <c:ext xmlns:c16="http://schemas.microsoft.com/office/drawing/2014/chart" uri="{C3380CC4-5D6E-409C-BE32-E72D297353CC}">
              <c16:uniqueId val="{00000005-B77E-4E67-A6A9-DA0956E9708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GRAFICA_59!$AA$23:$AA$24</c:f>
              <c:numCache>
                <c:formatCode>0.00</c:formatCode>
                <c:ptCount val="2"/>
                <c:pt idx="0">
                  <c:v>700</c:v>
                </c:pt>
                <c:pt idx="1">
                  <c:v>700</c:v>
                </c:pt>
              </c:numCache>
            </c:numRef>
          </c:xVal>
          <c:yVal>
            <c:numRef>
              <c:f>GRAFICA_59!$AB$23:$AB$24</c:f>
              <c:numCache>
                <c:formatCode>0.00</c:formatCode>
                <c:ptCount val="2"/>
                <c:pt idx="0">
                  <c:v>0</c:v>
                </c:pt>
                <c:pt idx="1">
                  <c:v>260</c:v>
                </c:pt>
              </c:numCache>
            </c:numRef>
          </c:yVal>
          <c:smooth val="0"/>
          <c:extLst>
            <c:ext xmlns:c16="http://schemas.microsoft.com/office/drawing/2014/chart" uri="{C3380CC4-5D6E-409C-BE32-E72D297353CC}">
              <c16:uniqueId val="{00000006-B77E-4E67-A6A9-DA0956E9708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GRAFICA_59!$AA$26:$AA$27</c:f>
              <c:numCache>
                <c:formatCode>0.00</c:formatCode>
                <c:ptCount val="2"/>
                <c:pt idx="0">
                  <c:v>0</c:v>
                </c:pt>
                <c:pt idx="1">
                  <c:v>350</c:v>
                </c:pt>
              </c:numCache>
            </c:numRef>
          </c:xVal>
          <c:yVal>
            <c:numRef>
              <c:f>GRAFICA_59!$AB$26:$AB$27</c:f>
              <c:numCache>
                <c:formatCode>0.00</c:formatCode>
                <c:ptCount val="2"/>
                <c:pt idx="0">
                  <c:v>0</c:v>
                </c:pt>
                <c:pt idx="1">
                  <c:v>260</c:v>
                </c:pt>
              </c:numCache>
            </c:numRef>
          </c:yVal>
          <c:smooth val="0"/>
          <c:extLst>
            <c:ext xmlns:c16="http://schemas.microsoft.com/office/drawing/2014/chart" uri="{C3380CC4-5D6E-409C-BE32-E72D297353CC}">
              <c16:uniqueId val="{00000007-B77E-4E67-A6A9-DA0956E9708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GRAFICA_59!$AA$29:$AA$30</c:f>
              <c:numCache>
                <c:formatCode>0.00</c:formatCode>
                <c:ptCount val="2"/>
                <c:pt idx="0">
                  <c:v>0</c:v>
                </c:pt>
                <c:pt idx="1">
                  <c:v>350</c:v>
                </c:pt>
              </c:numCache>
            </c:numRef>
          </c:xVal>
          <c:yVal>
            <c:numRef>
              <c:f>GRAFICA_59!$AB$29:$AB$30</c:f>
              <c:numCache>
                <c:formatCode>0.00</c:formatCode>
                <c:ptCount val="2"/>
                <c:pt idx="0">
                  <c:v>260</c:v>
                </c:pt>
                <c:pt idx="1">
                  <c:v>0</c:v>
                </c:pt>
              </c:numCache>
            </c:numRef>
          </c:yVal>
          <c:smooth val="0"/>
          <c:extLst>
            <c:ext xmlns:c16="http://schemas.microsoft.com/office/drawing/2014/chart" uri="{C3380CC4-5D6E-409C-BE32-E72D297353CC}">
              <c16:uniqueId val="{00000008-B77E-4E67-A6A9-DA0956E9708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GRAFICA_59!$AA$32:$AA$33</c:f>
              <c:numCache>
                <c:formatCode>0.00</c:formatCode>
                <c:ptCount val="2"/>
                <c:pt idx="0">
                  <c:v>350</c:v>
                </c:pt>
                <c:pt idx="1">
                  <c:v>700</c:v>
                </c:pt>
              </c:numCache>
            </c:numRef>
          </c:xVal>
          <c:yVal>
            <c:numRef>
              <c:f>GRAFICA_59!$AB$32:$AB$33</c:f>
              <c:numCache>
                <c:formatCode>0.00</c:formatCode>
                <c:ptCount val="2"/>
                <c:pt idx="0">
                  <c:v>0</c:v>
                </c:pt>
                <c:pt idx="1">
                  <c:v>260</c:v>
                </c:pt>
              </c:numCache>
            </c:numRef>
          </c:yVal>
          <c:smooth val="0"/>
          <c:extLst>
            <c:ext xmlns:c16="http://schemas.microsoft.com/office/drawing/2014/chart" uri="{C3380CC4-5D6E-409C-BE32-E72D297353CC}">
              <c16:uniqueId val="{00000009-B77E-4E67-A6A9-DA0956E9708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GRAFICA_59!$AA$35:$AA$36</c:f>
              <c:numCache>
                <c:formatCode>0.00</c:formatCode>
                <c:ptCount val="2"/>
                <c:pt idx="0">
                  <c:v>350</c:v>
                </c:pt>
                <c:pt idx="1">
                  <c:v>700</c:v>
                </c:pt>
              </c:numCache>
            </c:numRef>
          </c:xVal>
          <c:yVal>
            <c:numRef>
              <c:f>GRAFICA_59!$AB$35:$AB$36</c:f>
              <c:numCache>
                <c:formatCode>0.00</c:formatCode>
                <c:ptCount val="2"/>
                <c:pt idx="0">
                  <c:v>260</c:v>
                </c:pt>
                <c:pt idx="1">
                  <c:v>0</c:v>
                </c:pt>
              </c:numCache>
            </c:numRef>
          </c:yVal>
          <c:smooth val="0"/>
          <c:extLst>
            <c:ext xmlns:c16="http://schemas.microsoft.com/office/drawing/2014/chart" uri="{C3380CC4-5D6E-409C-BE32-E72D297353CC}">
              <c16:uniqueId val="{0000000A-B77E-4E67-A6A9-DA0956E9708A}"/>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GRAFICA_59!$AA$38:$AA$39</c:f>
              <c:numCache>
                <c:formatCode>0.00</c:formatCode>
                <c:ptCount val="2"/>
                <c:pt idx="0">
                  <c:v>0</c:v>
                </c:pt>
                <c:pt idx="1">
                  <c:v>700</c:v>
                </c:pt>
              </c:numCache>
            </c:numRef>
          </c:xVal>
          <c:yVal>
            <c:numRef>
              <c:f>GRAFICA_59!$AB$38:$AB$39</c:f>
              <c:numCache>
                <c:formatCode>0.00</c:formatCode>
                <c:ptCount val="2"/>
                <c:pt idx="0">
                  <c:v>0</c:v>
                </c:pt>
                <c:pt idx="1">
                  <c:v>260</c:v>
                </c:pt>
              </c:numCache>
            </c:numRef>
          </c:yVal>
          <c:smooth val="0"/>
          <c:extLst>
            <c:ext xmlns:c16="http://schemas.microsoft.com/office/drawing/2014/chart" uri="{C3380CC4-5D6E-409C-BE32-E72D297353CC}">
              <c16:uniqueId val="{0000000B-B77E-4E67-A6A9-DA0956E9708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GRAFICA_60!$AA$5:$AA$6</c:f>
              <c:numCache>
                <c:formatCode>0.00</c:formatCode>
                <c:ptCount val="2"/>
                <c:pt idx="0">
                  <c:v>0</c:v>
                </c:pt>
                <c:pt idx="1">
                  <c:v>450</c:v>
                </c:pt>
              </c:numCache>
            </c:numRef>
          </c:xVal>
          <c:yVal>
            <c:numRef>
              <c:f>GRAFICA_60!$AB$5:$AB$6</c:f>
              <c:numCache>
                <c:formatCode>0.00</c:formatCode>
                <c:ptCount val="2"/>
                <c:pt idx="0">
                  <c:v>0</c:v>
                </c:pt>
                <c:pt idx="1">
                  <c:v>0</c:v>
                </c:pt>
              </c:numCache>
            </c:numRef>
          </c:yVal>
          <c:smooth val="0"/>
          <c:extLst>
            <c:ext xmlns:c16="http://schemas.microsoft.com/office/drawing/2014/chart" uri="{C3380CC4-5D6E-409C-BE32-E72D297353CC}">
              <c16:uniqueId val="{00000000-82B8-4611-BE5F-50752724036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GRAFICA_60!$AA$8:$AA$9</c:f>
              <c:numCache>
                <c:formatCode>0.00</c:formatCode>
                <c:ptCount val="2"/>
                <c:pt idx="0">
                  <c:v>450</c:v>
                </c:pt>
                <c:pt idx="1">
                  <c:v>900</c:v>
                </c:pt>
              </c:numCache>
            </c:numRef>
          </c:xVal>
          <c:yVal>
            <c:numRef>
              <c:f>GRAFICA_60!$AB$8:$AB$9</c:f>
              <c:numCache>
                <c:formatCode>0.00</c:formatCode>
                <c:ptCount val="2"/>
                <c:pt idx="0">
                  <c:v>0</c:v>
                </c:pt>
                <c:pt idx="1">
                  <c:v>0</c:v>
                </c:pt>
              </c:numCache>
            </c:numRef>
          </c:yVal>
          <c:smooth val="0"/>
          <c:extLst>
            <c:ext xmlns:c16="http://schemas.microsoft.com/office/drawing/2014/chart" uri="{C3380CC4-5D6E-409C-BE32-E72D297353CC}">
              <c16:uniqueId val="{00000001-82B8-4611-BE5F-50752724036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GRAFICA_60!$AA$11:$AA$12</c:f>
              <c:numCache>
                <c:formatCode>0.00</c:formatCode>
                <c:ptCount val="2"/>
                <c:pt idx="0">
                  <c:v>0</c:v>
                </c:pt>
                <c:pt idx="1">
                  <c:v>450</c:v>
                </c:pt>
              </c:numCache>
            </c:numRef>
          </c:xVal>
          <c:yVal>
            <c:numRef>
              <c:f>GRAFICA_60!$AB$11:$AB$12</c:f>
              <c:numCache>
                <c:formatCode>0.00</c:formatCode>
                <c:ptCount val="2"/>
                <c:pt idx="0">
                  <c:v>300</c:v>
                </c:pt>
                <c:pt idx="1">
                  <c:v>300</c:v>
                </c:pt>
              </c:numCache>
            </c:numRef>
          </c:yVal>
          <c:smooth val="0"/>
          <c:extLst>
            <c:ext xmlns:c16="http://schemas.microsoft.com/office/drawing/2014/chart" uri="{C3380CC4-5D6E-409C-BE32-E72D297353CC}">
              <c16:uniqueId val="{00000002-82B8-4611-BE5F-50752724036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GRAFICA_60!$AA$14:$AA$15</c:f>
              <c:numCache>
                <c:formatCode>0.00</c:formatCode>
                <c:ptCount val="2"/>
                <c:pt idx="0">
                  <c:v>450</c:v>
                </c:pt>
                <c:pt idx="1">
                  <c:v>900</c:v>
                </c:pt>
              </c:numCache>
            </c:numRef>
          </c:xVal>
          <c:yVal>
            <c:numRef>
              <c:f>GRAFICA_60!$AB$14:$AB$15</c:f>
              <c:numCache>
                <c:formatCode>0.00</c:formatCode>
                <c:ptCount val="2"/>
                <c:pt idx="0">
                  <c:v>300</c:v>
                </c:pt>
                <c:pt idx="1">
                  <c:v>300</c:v>
                </c:pt>
              </c:numCache>
            </c:numRef>
          </c:yVal>
          <c:smooth val="0"/>
          <c:extLst>
            <c:ext xmlns:c16="http://schemas.microsoft.com/office/drawing/2014/chart" uri="{C3380CC4-5D6E-409C-BE32-E72D297353CC}">
              <c16:uniqueId val="{00000003-82B8-4611-BE5F-50752724036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GRAFICA_60!$AA$17:$AA$18</c:f>
              <c:numCache>
                <c:formatCode>0.00</c:formatCode>
                <c:ptCount val="2"/>
                <c:pt idx="0">
                  <c:v>0</c:v>
                </c:pt>
                <c:pt idx="1">
                  <c:v>0</c:v>
                </c:pt>
              </c:numCache>
            </c:numRef>
          </c:xVal>
          <c:yVal>
            <c:numRef>
              <c:f>GRAFICA_60!$AB$17:$AB$18</c:f>
              <c:numCache>
                <c:formatCode>0.00</c:formatCode>
                <c:ptCount val="2"/>
                <c:pt idx="0">
                  <c:v>0</c:v>
                </c:pt>
                <c:pt idx="1">
                  <c:v>300</c:v>
                </c:pt>
              </c:numCache>
            </c:numRef>
          </c:yVal>
          <c:smooth val="0"/>
          <c:extLst>
            <c:ext xmlns:c16="http://schemas.microsoft.com/office/drawing/2014/chart" uri="{C3380CC4-5D6E-409C-BE32-E72D297353CC}">
              <c16:uniqueId val="{00000004-82B8-4611-BE5F-50752724036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GRAFICA_60!$AA$20:$AA$21</c:f>
              <c:numCache>
                <c:formatCode>0.00</c:formatCode>
                <c:ptCount val="2"/>
                <c:pt idx="0">
                  <c:v>450</c:v>
                </c:pt>
                <c:pt idx="1">
                  <c:v>450</c:v>
                </c:pt>
              </c:numCache>
            </c:numRef>
          </c:xVal>
          <c:yVal>
            <c:numRef>
              <c:f>GRAFICA_60!$AB$20:$AB$21</c:f>
              <c:numCache>
                <c:formatCode>0.00</c:formatCode>
                <c:ptCount val="2"/>
                <c:pt idx="0">
                  <c:v>0</c:v>
                </c:pt>
                <c:pt idx="1">
                  <c:v>300</c:v>
                </c:pt>
              </c:numCache>
            </c:numRef>
          </c:yVal>
          <c:smooth val="0"/>
          <c:extLst>
            <c:ext xmlns:c16="http://schemas.microsoft.com/office/drawing/2014/chart" uri="{C3380CC4-5D6E-409C-BE32-E72D297353CC}">
              <c16:uniqueId val="{00000005-82B8-4611-BE5F-50752724036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GRAFICA_60!$AA$23:$AA$24</c:f>
              <c:numCache>
                <c:formatCode>0.00</c:formatCode>
                <c:ptCount val="2"/>
                <c:pt idx="0">
                  <c:v>900</c:v>
                </c:pt>
                <c:pt idx="1">
                  <c:v>900</c:v>
                </c:pt>
              </c:numCache>
            </c:numRef>
          </c:xVal>
          <c:yVal>
            <c:numRef>
              <c:f>GRAFICA_60!$AB$23:$AB$24</c:f>
              <c:numCache>
                <c:formatCode>0.00</c:formatCode>
                <c:ptCount val="2"/>
                <c:pt idx="0">
                  <c:v>0</c:v>
                </c:pt>
                <c:pt idx="1">
                  <c:v>300</c:v>
                </c:pt>
              </c:numCache>
            </c:numRef>
          </c:yVal>
          <c:smooth val="0"/>
          <c:extLst>
            <c:ext xmlns:c16="http://schemas.microsoft.com/office/drawing/2014/chart" uri="{C3380CC4-5D6E-409C-BE32-E72D297353CC}">
              <c16:uniqueId val="{00000006-82B8-4611-BE5F-507527240366}"/>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GRAFICA_60!$AA$26:$AA$27</c:f>
              <c:numCache>
                <c:formatCode>0.00</c:formatCode>
                <c:ptCount val="2"/>
                <c:pt idx="0">
                  <c:v>0</c:v>
                </c:pt>
                <c:pt idx="1">
                  <c:v>450</c:v>
                </c:pt>
              </c:numCache>
            </c:numRef>
          </c:xVal>
          <c:yVal>
            <c:numRef>
              <c:f>GRAFICA_60!$AB$26:$AB$27</c:f>
              <c:numCache>
                <c:formatCode>0.00</c:formatCode>
                <c:ptCount val="2"/>
                <c:pt idx="0">
                  <c:v>0</c:v>
                </c:pt>
                <c:pt idx="1">
                  <c:v>300</c:v>
                </c:pt>
              </c:numCache>
            </c:numRef>
          </c:yVal>
          <c:smooth val="0"/>
          <c:extLst>
            <c:ext xmlns:c16="http://schemas.microsoft.com/office/drawing/2014/chart" uri="{C3380CC4-5D6E-409C-BE32-E72D297353CC}">
              <c16:uniqueId val="{00000007-82B8-4611-BE5F-507527240366}"/>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GRAFICA_60!$AA$29:$AA$30</c:f>
              <c:numCache>
                <c:formatCode>0.00</c:formatCode>
                <c:ptCount val="2"/>
                <c:pt idx="0">
                  <c:v>0</c:v>
                </c:pt>
                <c:pt idx="1">
                  <c:v>450</c:v>
                </c:pt>
              </c:numCache>
            </c:numRef>
          </c:xVal>
          <c:yVal>
            <c:numRef>
              <c:f>GRAFICA_60!$AB$29:$AB$30</c:f>
              <c:numCache>
                <c:formatCode>0.00</c:formatCode>
                <c:ptCount val="2"/>
                <c:pt idx="0">
                  <c:v>300</c:v>
                </c:pt>
                <c:pt idx="1">
                  <c:v>0</c:v>
                </c:pt>
              </c:numCache>
            </c:numRef>
          </c:yVal>
          <c:smooth val="0"/>
          <c:extLst>
            <c:ext xmlns:c16="http://schemas.microsoft.com/office/drawing/2014/chart" uri="{C3380CC4-5D6E-409C-BE32-E72D297353CC}">
              <c16:uniqueId val="{00000008-82B8-4611-BE5F-507527240366}"/>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GRAFICA_60!$AA$32:$AA$33</c:f>
              <c:numCache>
                <c:formatCode>0.00</c:formatCode>
                <c:ptCount val="2"/>
                <c:pt idx="0">
                  <c:v>450</c:v>
                </c:pt>
                <c:pt idx="1">
                  <c:v>900</c:v>
                </c:pt>
              </c:numCache>
            </c:numRef>
          </c:xVal>
          <c:yVal>
            <c:numRef>
              <c:f>GRAFICA_60!$AB$32:$AB$33</c:f>
              <c:numCache>
                <c:formatCode>0.00</c:formatCode>
                <c:ptCount val="2"/>
                <c:pt idx="0">
                  <c:v>0</c:v>
                </c:pt>
                <c:pt idx="1">
                  <c:v>300</c:v>
                </c:pt>
              </c:numCache>
            </c:numRef>
          </c:yVal>
          <c:smooth val="0"/>
          <c:extLst>
            <c:ext xmlns:c16="http://schemas.microsoft.com/office/drawing/2014/chart" uri="{C3380CC4-5D6E-409C-BE32-E72D297353CC}">
              <c16:uniqueId val="{00000009-82B8-4611-BE5F-507527240366}"/>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GRAFICA_60!$AA$35:$AA$36</c:f>
              <c:numCache>
                <c:formatCode>0.00</c:formatCode>
                <c:ptCount val="2"/>
                <c:pt idx="0">
                  <c:v>450</c:v>
                </c:pt>
                <c:pt idx="1">
                  <c:v>900</c:v>
                </c:pt>
              </c:numCache>
            </c:numRef>
          </c:xVal>
          <c:yVal>
            <c:numRef>
              <c:f>GRAFICA_60!$AB$35:$AB$36</c:f>
              <c:numCache>
                <c:formatCode>0.00</c:formatCode>
                <c:ptCount val="2"/>
                <c:pt idx="0">
                  <c:v>300</c:v>
                </c:pt>
                <c:pt idx="1">
                  <c:v>0</c:v>
                </c:pt>
              </c:numCache>
            </c:numRef>
          </c:yVal>
          <c:smooth val="0"/>
          <c:extLst>
            <c:ext xmlns:c16="http://schemas.microsoft.com/office/drawing/2014/chart" uri="{C3380CC4-5D6E-409C-BE32-E72D297353CC}">
              <c16:uniqueId val="{0000000A-82B8-4611-BE5F-507527240366}"/>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GRAFICA_60!$AA$38:$AA$39</c:f>
              <c:numCache>
                <c:formatCode>0.00</c:formatCode>
                <c:ptCount val="2"/>
                <c:pt idx="0">
                  <c:v>0</c:v>
                </c:pt>
                <c:pt idx="1">
                  <c:v>900</c:v>
                </c:pt>
              </c:numCache>
            </c:numRef>
          </c:xVal>
          <c:yVal>
            <c:numRef>
              <c:f>GRAFICA_60!$AB$38:$AB$39</c:f>
              <c:numCache>
                <c:formatCode>0.00</c:formatCode>
                <c:ptCount val="2"/>
                <c:pt idx="0">
                  <c:v>300</c:v>
                </c:pt>
                <c:pt idx="1">
                  <c:v>0</c:v>
                </c:pt>
              </c:numCache>
            </c:numRef>
          </c:yVal>
          <c:smooth val="0"/>
          <c:extLst>
            <c:ext xmlns:c16="http://schemas.microsoft.com/office/drawing/2014/chart" uri="{C3380CC4-5D6E-409C-BE32-E72D297353CC}">
              <c16:uniqueId val="{0000000B-82B8-4611-BE5F-50752724036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GRAFICA_61!$AA$5:$AA$6</c:f>
              <c:numCache>
                <c:formatCode>0.00</c:formatCode>
                <c:ptCount val="2"/>
                <c:pt idx="0">
                  <c:v>0</c:v>
                </c:pt>
                <c:pt idx="1">
                  <c:v>400</c:v>
                </c:pt>
              </c:numCache>
            </c:numRef>
          </c:xVal>
          <c:yVal>
            <c:numRef>
              <c:f>GRAFICA_61!$AB$5:$AB$6</c:f>
              <c:numCache>
                <c:formatCode>0.00</c:formatCode>
                <c:ptCount val="2"/>
                <c:pt idx="0">
                  <c:v>0</c:v>
                </c:pt>
                <c:pt idx="1">
                  <c:v>0</c:v>
                </c:pt>
              </c:numCache>
            </c:numRef>
          </c:yVal>
          <c:smooth val="0"/>
          <c:extLst>
            <c:ext xmlns:c16="http://schemas.microsoft.com/office/drawing/2014/chart" uri="{C3380CC4-5D6E-409C-BE32-E72D297353CC}">
              <c16:uniqueId val="{00000000-483D-4BA5-A4A0-40D64EA24A8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GRAFICA_61!$AA$8:$AA$9</c:f>
              <c:numCache>
                <c:formatCode>0.00</c:formatCode>
                <c:ptCount val="2"/>
                <c:pt idx="0">
                  <c:v>400</c:v>
                </c:pt>
                <c:pt idx="1">
                  <c:v>400</c:v>
                </c:pt>
              </c:numCache>
            </c:numRef>
          </c:xVal>
          <c:yVal>
            <c:numRef>
              <c:f>GRAFICA_61!$AB$8:$AB$9</c:f>
              <c:numCache>
                <c:formatCode>0.00</c:formatCode>
                <c:ptCount val="2"/>
                <c:pt idx="0">
                  <c:v>0</c:v>
                </c:pt>
                <c:pt idx="1">
                  <c:v>300</c:v>
                </c:pt>
              </c:numCache>
            </c:numRef>
          </c:yVal>
          <c:smooth val="0"/>
          <c:extLst>
            <c:ext xmlns:c16="http://schemas.microsoft.com/office/drawing/2014/chart" uri="{C3380CC4-5D6E-409C-BE32-E72D297353CC}">
              <c16:uniqueId val="{00000001-483D-4BA5-A4A0-40D64EA24A8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GRAFICA_61!$AA$11:$AA$12</c:f>
              <c:numCache>
                <c:formatCode>0.00</c:formatCode>
                <c:ptCount val="2"/>
                <c:pt idx="0">
                  <c:v>400</c:v>
                </c:pt>
                <c:pt idx="1">
                  <c:v>0</c:v>
                </c:pt>
              </c:numCache>
            </c:numRef>
          </c:xVal>
          <c:yVal>
            <c:numRef>
              <c:f>GRAFICA_61!$AB$11:$AB$12</c:f>
              <c:numCache>
                <c:formatCode>0.00</c:formatCode>
                <c:ptCount val="2"/>
                <c:pt idx="0">
                  <c:v>300</c:v>
                </c:pt>
                <c:pt idx="1">
                  <c:v>300</c:v>
                </c:pt>
              </c:numCache>
            </c:numRef>
          </c:yVal>
          <c:smooth val="0"/>
          <c:extLst>
            <c:ext xmlns:c16="http://schemas.microsoft.com/office/drawing/2014/chart" uri="{C3380CC4-5D6E-409C-BE32-E72D297353CC}">
              <c16:uniqueId val="{00000002-483D-4BA5-A4A0-40D64EA24A8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GRAFICA_61!$AA$14:$AA$15</c:f>
              <c:numCache>
                <c:formatCode>0.00</c:formatCode>
                <c:ptCount val="2"/>
                <c:pt idx="0">
                  <c:v>0</c:v>
                </c:pt>
                <c:pt idx="1">
                  <c:v>0</c:v>
                </c:pt>
              </c:numCache>
            </c:numRef>
          </c:xVal>
          <c:yVal>
            <c:numRef>
              <c:f>GRAFICA_61!$AB$14:$AB$15</c:f>
              <c:numCache>
                <c:formatCode>0.00</c:formatCode>
                <c:ptCount val="2"/>
                <c:pt idx="0">
                  <c:v>300</c:v>
                </c:pt>
                <c:pt idx="1">
                  <c:v>0</c:v>
                </c:pt>
              </c:numCache>
            </c:numRef>
          </c:yVal>
          <c:smooth val="0"/>
          <c:extLst>
            <c:ext xmlns:c16="http://schemas.microsoft.com/office/drawing/2014/chart" uri="{C3380CC4-5D6E-409C-BE32-E72D297353CC}">
              <c16:uniqueId val="{00000003-483D-4BA5-A4A0-40D64EA24A8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GRAFICA_61!$AA$17:$AA$18</c:f>
              <c:numCache>
                <c:formatCode>0.00</c:formatCode>
                <c:ptCount val="2"/>
                <c:pt idx="0">
                  <c:v>0</c:v>
                </c:pt>
                <c:pt idx="1">
                  <c:v>400</c:v>
                </c:pt>
              </c:numCache>
            </c:numRef>
          </c:xVal>
          <c:yVal>
            <c:numRef>
              <c:f>GRAFICA_61!$AB$17:$AB$18</c:f>
              <c:numCache>
                <c:formatCode>0.00</c:formatCode>
                <c:ptCount val="2"/>
                <c:pt idx="0">
                  <c:v>0</c:v>
                </c:pt>
                <c:pt idx="1">
                  <c:v>300</c:v>
                </c:pt>
              </c:numCache>
            </c:numRef>
          </c:yVal>
          <c:smooth val="0"/>
          <c:extLst>
            <c:ext xmlns:c16="http://schemas.microsoft.com/office/drawing/2014/chart" uri="{C3380CC4-5D6E-409C-BE32-E72D297353CC}">
              <c16:uniqueId val="{00000004-483D-4BA5-A4A0-40D64EA24A8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GRAFICA_61!$AA$20:$AA$21</c:f>
              <c:numCache>
                <c:formatCode>0.00</c:formatCode>
                <c:ptCount val="2"/>
                <c:pt idx="0">
                  <c:v>400</c:v>
                </c:pt>
                <c:pt idx="1">
                  <c:v>0</c:v>
                </c:pt>
              </c:numCache>
            </c:numRef>
          </c:xVal>
          <c:yVal>
            <c:numRef>
              <c:f>GRAFICA_61!$AB$20:$AB$21</c:f>
              <c:numCache>
                <c:formatCode>0.00</c:formatCode>
                <c:ptCount val="2"/>
                <c:pt idx="0">
                  <c:v>0</c:v>
                </c:pt>
                <c:pt idx="1">
                  <c:v>300</c:v>
                </c:pt>
              </c:numCache>
            </c:numRef>
          </c:yVal>
          <c:smooth val="0"/>
          <c:extLst>
            <c:ext xmlns:c16="http://schemas.microsoft.com/office/drawing/2014/chart" uri="{C3380CC4-5D6E-409C-BE32-E72D297353CC}">
              <c16:uniqueId val="{00000005-483D-4BA5-A4A0-40D64EA24A8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GRAFICA_62!$AA$5:$AA$6</c:f>
              <c:numCache>
                <c:formatCode>0.00</c:formatCode>
                <c:ptCount val="2"/>
                <c:pt idx="0">
                  <c:v>0</c:v>
                </c:pt>
                <c:pt idx="1">
                  <c:v>500</c:v>
                </c:pt>
              </c:numCache>
            </c:numRef>
          </c:xVal>
          <c:yVal>
            <c:numRef>
              <c:f>GRAFICA_62!$AB$5:$AB$6</c:f>
              <c:numCache>
                <c:formatCode>0.00</c:formatCode>
                <c:ptCount val="2"/>
                <c:pt idx="0">
                  <c:v>0</c:v>
                </c:pt>
                <c:pt idx="1">
                  <c:v>0</c:v>
                </c:pt>
              </c:numCache>
            </c:numRef>
          </c:yVal>
          <c:smooth val="0"/>
          <c:extLst>
            <c:ext xmlns:c16="http://schemas.microsoft.com/office/drawing/2014/chart" uri="{C3380CC4-5D6E-409C-BE32-E72D297353CC}">
              <c16:uniqueId val="{00000000-1D06-4674-91D0-4D81447A2E8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GRAFICA_62!$AA$8:$AA$9</c:f>
              <c:numCache>
                <c:formatCode>0.00</c:formatCode>
                <c:ptCount val="2"/>
                <c:pt idx="0">
                  <c:v>500</c:v>
                </c:pt>
                <c:pt idx="1">
                  <c:v>1000</c:v>
                </c:pt>
              </c:numCache>
            </c:numRef>
          </c:xVal>
          <c:yVal>
            <c:numRef>
              <c:f>GRAFICA_62!$AB$8:$AB$9</c:f>
              <c:numCache>
                <c:formatCode>0.00</c:formatCode>
                <c:ptCount val="2"/>
                <c:pt idx="0">
                  <c:v>0</c:v>
                </c:pt>
                <c:pt idx="1">
                  <c:v>0</c:v>
                </c:pt>
              </c:numCache>
            </c:numRef>
          </c:yVal>
          <c:smooth val="0"/>
          <c:extLst>
            <c:ext xmlns:c16="http://schemas.microsoft.com/office/drawing/2014/chart" uri="{C3380CC4-5D6E-409C-BE32-E72D297353CC}">
              <c16:uniqueId val="{00000001-1D06-4674-91D0-4D81447A2E8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GRAFICA_62!$AA$11:$AA$12</c:f>
              <c:numCache>
                <c:formatCode>0.00</c:formatCode>
                <c:ptCount val="2"/>
                <c:pt idx="0">
                  <c:v>0</c:v>
                </c:pt>
                <c:pt idx="1">
                  <c:v>250</c:v>
                </c:pt>
              </c:numCache>
            </c:numRef>
          </c:xVal>
          <c:yVal>
            <c:numRef>
              <c:f>GRAFICA_62!$AB$11:$AB$12</c:f>
              <c:numCache>
                <c:formatCode>0.00</c:formatCode>
                <c:ptCount val="2"/>
                <c:pt idx="0">
                  <c:v>0</c:v>
                </c:pt>
                <c:pt idx="1">
                  <c:v>250</c:v>
                </c:pt>
              </c:numCache>
            </c:numRef>
          </c:yVal>
          <c:smooth val="0"/>
          <c:extLst>
            <c:ext xmlns:c16="http://schemas.microsoft.com/office/drawing/2014/chart" uri="{C3380CC4-5D6E-409C-BE32-E72D297353CC}">
              <c16:uniqueId val="{00000002-1D06-4674-91D0-4D81447A2E8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GRAFICA_62!$AA$14:$AA$15</c:f>
              <c:numCache>
                <c:formatCode>0.00</c:formatCode>
                <c:ptCount val="2"/>
                <c:pt idx="0">
                  <c:v>250</c:v>
                </c:pt>
                <c:pt idx="1">
                  <c:v>500</c:v>
                </c:pt>
              </c:numCache>
            </c:numRef>
          </c:xVal>
          <c:yVal>
            <c:numRef>
              <c:f>GRAFICA_62!$AB$14:$AB$15</c:f>
              <c:numCache>
                <c:formatCode>0.00</c:formatCode>
                <c:ptCount val="2"/>
                <c:pt idx="0">
                  <c:v>250</c:v>
                </c:pt>
                <c:pt idx="1">
                  <c:v>500</c:v>
                </c:pt>
              </c:numCache>
            </c:numRef>
          </c:yVal>
          <c:smooth val="0"/>
          <c:extLst>
            <c:ext xmlns:c16="http://schemas.microsoft.com/office/drawing/2014/chart" uri="{C3380CC4-5D6E-409C-BE32-E72D297353CC}">
              <c16:uniqueId val="{00000003-1D06-4674-91D0-4D81447A2E8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GRAFICA_62!$AA$17:$AA$18</c:f>
              <c:numCache>
                <c:formatCode>0.00</c:formatCode>
                <c:ptCount val="2"/>
                <c:pt idx="0">
                  <c:v>500</c:v>
                </c:pt>
                <c:pt idx="1">
                  <c:v>1000</c:v>
                </c:pt>
              </c:numCache>
            </c:numRef>
          </c:xVal>
          <c:yVal>
            <c:numRef>
              <c:f>GRAFICA_62!$AB$17:$AB$18</c:f>
              <c:numCache>
                <c:formatCode>0.00</c:formatCode>
                <c:ptCount val="2"/>
                <c:pt idx="0">
                  <c:v>500</c:v>
                </c:pt>
                <c:pt idx="1">
                  <c:v>0</c:v>
                </c:pt>
              </c:numCache>
            </c:numRef>
          </c:yVal>
          <c:smooth val="0"/>
          <c:extLst>
            <c:ext xmlns:c16="http://schemas.microsoft.com/office/drawing/2014/chart" uri="{C3380CC4-5D6E-409C-BE32-E72D297353CC}">
              <c16:uniqueId val="{00000004-1D06-4674-91D0-4D81447A2E8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GRAFICA_62!$AA$20:$AA$21</c:f>
              <c:numCache>
                <c:formatCode>0.00</c:formatCode>
                <c:ptCount val="2"/>
                <c:pt idx="0">
                  <c:v>250</c:v>
                </c:pt>
                <c:pt idx="1">
                  <c:v>500</c:v>
                </c:pt>
              </c:numCache>
            </c:numRef>
          </c:xVal>
          <c:yVal>
            <c:numRef>
              <c:f>GRAFICA_62!$AB$20:$AB$21</c:f>
              <c:numCache>
                <c:formatCode>0.00</c:formatCode>
                <c:ptCount val="2"/>
                <c:pt idx="0">
                  <c:v>250</c:v>
                </c:pt>
                <c:pt idx="1">
                  <c:v>0</c:v>
                </c:pt>
              </c:numCache>
            </c:numRef>
          </c:yVal>
          <c:smooth val="0"/>
          <c:extLst>
            <c:ext xmlns:c16="http://schemas.microsoft.com/office/drawing/2014/chart" uri="{C3380CC4-5D6E-409C-BE32-E72D297353CC}">
              <c16:uniqueId val="{00000005-1D06-4674-91D0-4D81447A2E8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GRAFICA_62!$AA$23:$AA$24</c:f>
              <c:numCache>
                <c:formatCode>0.00</c:formatCode>
                <c:ptCount val="2"/>
                <c:pt idx="0">
                  <c:v>500</c:v>
                </c:pt>
                <c:pt idx="1">
                  <c:v>500</c:v>
                </c:pt>
              </c:numCache>
            </c:numRef>
          </c:xVal>
          <c:yVal>
            <c:numRef>
              <c:f>GRAFICA_62!$AB$23:$AB$24</c:f>
              <c:numCache>
                <c:formatCode>0.00</c:formatCode>
                <c:ptCount val="2"/>
                <c:pt idx="0">
                  <c:v>0</c:v>
                </c:pt>
                <c:pt idx="1">
                  <c:v>500</c:v>
                </c:pt>
              </c:numCache>
            </c:numRef>
          </c:yVal>
          <c:smooth val="0"/>
          <c:extLst>
            <c:ext xmlns:c16="http://schemas.microsoft.com/office/drawing/2014/chart" uri="{C3380CC4-5D6E-409C-BE32-E72D297353CC}">
              <c16:uniqueId val="{00000006-1D06-4674-91D0-4D81447A2E8C}"/>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GRAFICA_62!$AA$26:$AA$27</c:f>
              <c:numCache>
                <c:formatCode>0.00</c:formatCode>
                <c:ptCount val="2"/>
                <c:pt idx="0">
                  <c:v>0</c:v>
                </c:pt>
                <c:pt idx="1">
                  <c:v>500</c:v>
                </c:pt>
              </c:numCache>
            </c:numRef>
          </c:xVal>
          <c:yVal>
            <c:numRef>
              <c:f>GRAFICA_62!$AB$26:$AB$27</c:f>
              <c:numCache>
                <c:formatCode>0.00</c:formatCode>
                <c:ptCount val="2"/>
                <c:pt idx="0">
                  <c:v>0</c:v>
                </c:pt>
                <c:pt idx="1">
                  <c:v>500</c:v>
                </c:pt>
              </c:numCache>
            </c:numRef>
          </c:yVal>
          <c:smooth val="0"/>
          <c:extLst>
            <c:ext xmlns:c16="http://schemas.microsoft.com/office/drawing/2014/chart" uri="{C3380CC4-5D6E-409C-BE32-E72D297353CC}">
              <c16:uniqueId val="{00000007-1D06-4674-91D0-4D81447A2E8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GRAFICA_63!$AA$5:$AA$6</c:f>
              <c:numCache>
                <c:formatCode>0.00</c:formatCode>
                <c:ptCount val="2"/>
                <c:pt idx="0">
                  <c:v>0</c:v>
                </c:pt>
                <c:pt idx="1">
                  <c:v>400</c:v>
                </c:pt>
              </c:numCache>
            </c:numRef>
          </c:xVal>
          <c:yVal>
            <c:numRef>
              <c:f>GRAFICA_63!$AB$5:$AB$6</c:f>
              <c:numCache>
                <c:formatCode>0.00</c:formatCode>
                <c:ptCount val="2"/>
                <c:pt idx="0">
                  <c:v>0</c:v>
                </c:pt>
                <c:pt idx="1">
                  <c:v>0</c:v>
                </c:pt>
              </c:numCache>
            </c:numRef>
          </c:yVal>
          <c:smooth val="0"/>
          <c:extLst>
            <c:ext xmlns:c16="http://schemas.microsoft.com/office/drawing/2014/chart" uri="{C3380CC4-5D6E-409C-BE32-E72D297353CC}">
              <c16:uniqueId val="{00000000-F930-41E4-8328-D5B6440FC36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GRAFICA_63!$AA$8:$AA$9</c:f>
              <c:numCache>
                <c:formatCode>0.00</c:formatCode>
                <c:ptCount val="2"/>
                <c:pt idx="0">
                  <c:v>400</c:v>
                </c:pt>
                <c:pt idx="1">
                  <c:v>800</c:v>
                </c:pt>
              </c:numCache>
            </c:numRef>
          </c:xVal>
          <c:yVal>
            <c:numRef>
              <c:f>GRAFICA_63!$AB$8:$AB$9</c:f>
              <c:numCache>
                <c:formatCode>0.00</c:formatCode>
                <c:ptCount val="2"/>
                <c:pt idx="0">
                  <c:v>0</c:v>
                </c:pt>
                <c:pt idx="1">
                  <c:v>0</c:v>
                </c:pt>
              </c:numCache>
            </c:numRef>
          </c:yVal>
          <c:smooth val="0"/>
          <c:extLst>
            <c:ext xmlns:c16="http://schemas.microsoft.com/office/drawing/2014/chart" uri="{C3380CC4-5D6E-409C-BE32-E72D297353CC}">
              <c16:uniqueId val="{00000001-F930-41E4-8328-D5B6440FC36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GRAFICA_63!$AA$11:$AA$12</c:f>
              <c:numCache>
                <c:formatCode>0.00</c:formatCode>
                <c:ptCount val="2"/>
                <c:pt idx="0">
                  <c:v>0</c:v>
                </c:pt>
                <c:pt idx="1">
                  <c:v>200</c:v>
                </c:pt>
              </c:numCache>
            </c:numRef>
          </c:xVal>
          <c:yVal>
            <c:numRef>
              <c:f>GRAFICA_63!$AB$11:$AB$12</c:f>
              <c:numCache>
                <c:formatCode>0.00</c:formatCode>
                <c:ptCount val="2"/>
                <c:pt idx="0">
                  <c:v>0</c:v>
                </c:pt>
                <c:pt idx="1">
                  <c:v>300</c:v>
                </c:pt>
              </c:numCache>
            </c:numRef>
          </c:yVal>
          <c:smooth val="0"/>
          <c:extLst>
            <c:ext xmlns:c16="http://schemas.microsoft.com/office/drawing/2014/chart" uri="{C3380CC4-5D6E-409C-BE32-E72D297353CC}">
              <c16:uniqueId val="{00000002-F930-41E4-8328-D5B6440FC36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GRAFICA_63!$AA$14:$AA$15</c:f>
              <c:numCache>
                <c:formatCode>0.00</c:formatCode>
                <c:ptCount val="2"/>
                <c:pt idx="0">
                  <c:v>200</c:v>
                </c:pt>
                <c:pt idx="1">
                  <c:v>400</c:v>
                </c:pt>
              </c:numCache>
            </c:numRef>
          </c:xVal>
          <c:yVal>
            <c:numRef>
              <c:f>GRAFICA_63!$AB$14:$AB$15</c:f>
              <c:numCache>
                <c:formatCode>0.00</c:formatCode>
                <c:ptCount val="2"/>
                <c:pt idx="0">
                  <c:v>300</c:v>
                </c:pt>
                <c:pt idx="1">
                  <c:v>0</c:v>
                </c:pt>
              </c:numCache>
            </c:numRef>
          </c:yVal>
          <c:smooth val="0"/>
          <c:extLst>
            <c:ext xmlns:c16="http://schemas.microsoft.com/office/drawing/2014/chart" uri="{C3380CC4-5D6E-409C-BE32-E72D297353CC}">
              <c16:uniqueId val="{00000003-F930-41E4-8328-D5B6440FC36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GRAFICA_63!$AA$17:$AA$18</c:f>
              <c:numCache>
                <c:formatCode>0.00</c:formatCode>
                <c:ptCount val="2"/>
                <c:pt idx="0">
                  <c:v>200</c:v>
                </c:pt>
                <c:pt idx="1">
                  <c:v>600</c:v>
                </c:pt>
              </c:numCache>
            </c:numRef>
          </c:xVal>
          <c:yVal>
            <c:numRef>
              <c:f>GRAFICA_63!$AB$17:$AB$18</c:f>
              <c:numCache>
                <c:formatCode>0.00</c:formatCode>
                <c:ptCount val="2"/>
                <c:pt idx="0">
                  <c:v>300</c:v>
                </c:pt>
                <c:pt idx="1">
                  <c:v>300</c:v>
                </c:pt>
              </c:numCache>
            </c:numRef>
          </c:yVal>
          <c:smooth val="0"/>
          <c:extLst>
            <c:ext xmlns:c16="http://schemas.microsoft.com/office/drawing/2014/chart" uri="{C3380CC4-5D6E-409C-BE32-E72D297353CC}">
              <c16:uniqueId val="{00000004-F930-41E4-8328-D5B6440FC36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GRAFICA_63!$AA$20:$AA$21</c:f>
              <c:numCache>
                <c:formatCode>0.00</c:formatCode>
                <c:ptCount val="2"/>
                <c:pt idx="0">
                  <c:v>400</c:v>
                </c:pt>
                <c:pt idx="1">
                  <c:v>600</c:v>
                </c:pt>
              </c:numCache>
            </c:numRef>
          </c:xVal>
          <c:yVal>
            <c:numRef>
              <c:f>GRAFICA_63!$AB$20:$AB$21</c:f>
              <c:numCache>
                <c:formatCode>0.00</c:formatCode>
                <c:ptCount val="2"/>
                <c:pt idx="0">
                  <c:v>0</c:v>
                </c:pt>
                <c:pt idx="1">
                  <c:v>300</c:v>
                </c:pt>
              </c:numCache>
            </c:numRef>
          </c:yVal>
          <c:smooth val="0"/>
          <c:extLst>
            <c:ext xmlns:c16="http://schemas.microsoft.com/office/drawing/2014/chart" uri="{C3380CC4-5D6E-409C-BE32-E72D297353CC}">
              <c16:uniqueId val="{00000005-F930-41E4-8328-D5B6440FC36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GRAFICA_63!$AA$23:$AA$24</c:f>
              <c:numCache>
                <c:formatCode>0.00</c:formatCode>
                <c:ptCount val="2"/>
                <c:pt idx="0">
                  <c:v>600</c:v>
                </c:pt>
                <c:pt idx="1">
                  <c:v>800</c:v>
                </c:pt>
              </c:numCache>
            </c:numRef>
          </c:xVal>
          <c:yVal>
            <c:numRef>
              <c:f>GRAFICA_63!$AB$23:$AB$24</c:f>
              <c:numCache>
                <c:formatCode>0.00</c:formatCode>
                <c:ptCount val="2"/>
                <c:pt idx="0">
                  <c:v>300</c:v>
                </c:pt>
                <c:pt idx="1">
                  <c:v>0</c:v>
                </c:pt>
              </c:numCache>
            </c:numRef>
          </c:yVal>
          <c:smooth val="0"/>
          <c:extLst>
            <c:ext xmlns:c16="http://schemas.microsoft.com/office/drawing/2014/chart" uri="{C3380CC4-5D6E-409C-BE32-E72D297353CC}">
              <c16:uniqueId val="{00000006-F930-41E4-8328-D5B6440FC36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GRAFICA_64!$AA$5:$AA$6</c:f>
              <c:numCache>
                <c:formatCode>0.00</c:formatCode>
                <c:ptCount val="2"/>
                <c:pt idx="0">
                  <c:v>0</c:v>
                </c:pt>
                <c:pt idx="1">
                  <c:v>300</c:v>
                </c:pt>
              </c:numCache>
            </c:numRef>
          </c:xVal>
          <c:yVal>
            <c:numRef>
              <c:f>GRAFICA_64!$AB$5:$AB$6</c:f>
              <c:numCache>
                <c:formatCode>0.00</c:formatCode>
                <c:ptCount val="2"/>
                <c:pt idx="0">
                  <c:v>0</c:v>
                </c:pt>
                <c:pt idx="1">
                  <c:v>0</c:v>
                </c:pt>
              </c:numCache>
            </c:numRef>
          </c:yVal>
          <c:smooth val="0"/>
          <c:extLst>
            <c:ext xmlns:c16="http://schemas.microsoft.com/office/drawing/2014/chart" uri="{C3380CC4-5D6E-409C-BE32-E72D297353CC}">
              <c16:uniqueId val="{00000000-992F-4AA2-8073-E41BA5321A4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GRAFICA_64!$AA$8:$AA$9</c:f>
              <c:numCache>
                <c:formatCode>0.00</c:formatCode>
                <c:ptCount val="2"/>
                <c:pt idx="0">
                  <c:v>300</c:v>
                </c:pt>
                <c:pt idx="1">
                  <c:v>600</c:v>
                </c:pt>
              </c:numCache>
            </c:numRef>
          </c:xVal>
          <c:yVal>
            <c:numRef>
              <c:f>GRAFICA_64!$AB$8:$AB$9</c:f>
              <c:numCache>
                <c:formatCode>0.00</c:formatCode>
                <c:ptCount val="2"/>
                <c:pt idx="0">
                  <c:v>0</c:v>
                </c:pt>
                <c:pt idx="1">
                  <c:v>0</c:v>
                </c:pt>
              </c:numCache>
            </c:numRef>
          </c:yVal>
          <c:smooth val="0"/>
          <c:extLst>
            <c:ext xmlns:c16="http://schemas.microsoft.com/office/drawing/2014/chart" uri="{C3380CC4-5D6E-409C-BE32-E72D297353CC}">
              <c16:uniqueId val="{00000001-992F-4AA2-8073-E41BA5321A4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GRAFICA_64!$AA$11:$AA$12</c:f>
              <c:numCache>
                <c:formatCode>0.00</c:formatCode>
                <c:ptCount val="2"/>
                <c:pt idx="0">
                  <c:v>600</c:v>
                </c:pt>
                <c:pt idx="1">
                  <c:v>900</c:v>
                </c:pt>
              </c:numCache>
            </c:numRef>
          </c:xVal>
          <c:yVal>
            <c:numRef>
              <c:f>GRAFICA_64!$AB$11:$AB$12</c:f>
              <c:numCache>
                <c:formatCode>0.00</c:formatCode>
                <c:ptCount val="2"/>
                <c:pt idx="0">
                  <c:v>0</c:v>
                </c:pt>
                <c:pt idx="1">
                  <c:v>0</c:v>
                </c:pt>
              </c:numCache>
            </c:numRef>
          </c:yVal>
          <c:smooth val="0"/>
          <c:extLst>
            <c:ext xmlns:c16="http://schemas.microsoft.com/office/drawing/2014/chart" uri="{C3380CC4-5D6E-409C-BE32-E72D297353CC}">
              <c16:uniqueId val="{00000002-992F-4AA2-8073-E41BA5321A4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GRAFICA_64!$AA$14:$AA$15</c:f>
              <c:numCache>
                <c:formatCode>0.00</c:formatCode>
                <c:ptCount val="2"/>
                <c:pt idx="0">
                  <c:v>300</c:v>
                </c:pt>
                <c:pt idx="1">
                  <c:v>600</c:v>
                </c:pt>
              </c:numCache>
            </c:numRef>
          </c:xVal>
          <c:yVal>
            <c:numRef>
              <c:f>GRAFICA_64!$AB$14:$AB$15</c:f>
              <c:numCache>
                <c:formatCode>0.00</c:formatCode>
                <c:ptCount val="2"/>
                <c:pt idx="0">
                  <c:v>300</c:v>
                </c:pt>
                <c:pt idx="1">
                  <c:v>300</c:v>
                </c:pt>
              </c:numCache>
            </c:numRef>
          </c:yVal>
          <c:smooth val="0"/>
          <c:extLst>
            <c:ext xmlns:c16="http://schemas.microsoft.com/office/drawing/2014/chart" uri="{C3380CC4-5D6E-409C-BE32-E72D297353CC}">
              <c16:uniqueId val="{00000003-992F-4AA2-8073-E41BA5321A4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GRAFICA_64!$AA$17:$AA$18</c:f>
              <c:numCache>
                <c:formatCode>0.00</c:formatCode>
                <c:ptCount val="2"/>
                <c:pt idx="0">
                  <c:v>0</c:v>
                </c:pt>
                <c:pt idx="1">
                  <c:v>300</c:v>
                </c:pt>
              </c:numCache>
            </c:numRef>
          </c:xVal>
          <c:yVal>
            <c:numRef>
              <c:f>GRAFICA_64!$AB$17:$AB$18</c:f>
              <c:numCache>
                <c:formatCode>0.00</c:formatCode>
                <c:ptCount val="2"/>
                <c:pt idx="0">
                  <c:v>0</c:v>
                </c:pt>
                <c:pt idx="1">
                  <c:v>300</c:v>
                </c:pt>
              </c:numCache>
            </c:numRef>
          </c:yVal>
          <c:smooth val="0"/>
          <c:extLst>
            <c:ext xmlns:c16="http://schemas.microsoft.com/office/drawing/2014/chart" uri="{C3380CC4-5D6E-409C-BE32-E72D297353CC}">
              <c16:uniqueId val="{00000004-992F-4AA2-8073-E41BA5321A4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GRAFICA_64!$AA$20:$AA$21</c:f>
              <c:numCache>
                <c:formatCode>0.00</c:formatCode>
                <c:ptCount val="2"/>
                <c:pt idx="0">
                  <c:v>300</c:v>
                </c:pt>
                <c:pt idx="1">
                  <c:v>300</c:v>
                </c:pt>
              </c:numCache>
            </c:numRef>
          </c:xVal>
          <c:yVal>
            <c:numRef>
              <c:f>GRAFICA_64!$AB$20:$AB$21</c:f>
              <c:numCache>
                <c:formatCode>0.00</c:formatCode>
                <c:ptCount val="2"/>
                <c:pt idx="0">
                  <c:v>300</c:v>
                </c:pt>
                <c:pt idx="1">
                  <c:v>0</c:v>
                </c:pt>
              </c:numCache>
            </c:numRef>
          </c:yVal>
          <c:smooth val="0"/>
          <c:extLst>
            <c:ext xmlns:c16="http://schemas.microsoft.com/office/drawing/2014/chart" uri="{C3380CC4-5D6E-409C-BE32-E72D297353CC}">
              <c16:uniqueId val="{00000005-992F-4AA2-8073-E41BA5321A4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GRAFICA_64!$AA$23:$AA$24</c:f>
              <c:numCache>
                <c:formatCode>0.00</c:formatCode>
                <c:ptCount val="2"/>
                <c:pt idx="0">
                  <c:v>300</c:v>
                </c:pt>
                <c:pt idx="1">
                  <c:v>600</c:v>
                </c:pt>
              </c:numCache>
            </c:numRef>
          </c:xVal>
          <c:yVal>
            <c:numRef>
              <c:f>GRAFICA_64!$AB$23:$AB$24</c:f>
              <c:numCache>
                <c:formatCode>0.00</c:formatCode>
                <c:ptCount val="2"/>
                <c:pt idx="0">
                  <c:v>0</c:v>
                </c:pt>
                <c:pt idx="1">
                  <c:v>300</c:v>
                </c:pt>
              </c:numCache>
            </c:numRef>
          </c:yVal>
          <c:smooth val="0"/>
          <c:extLst>
            <c:ext xmlns:c16="http://schemas.microsoft.com/office/drawing/2014/chart" uri="{C3380CC4-5D6E-409C-BE32-E72D297353CC}">
              <c16:uniqueId val="{00000006-992F-4AA2-8073-E41BA5321A4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GRAFICA_64!$AA$26:$AA$27</c:f>
              <c:numCache>
                <c:formatCode>0.00</c:formatCode>
                <c:ptCount val="2"/>
                <c:pt idx="0">
                  <c:v>600</c:v>
                </c:pt>
                <c:pt idx="1">
                  <c:v>600</c:v>
                </c:pt>
              </c:numCache>
            </c:numRef>
          </c:xVal>
          <c:yVal>
            <c:numRef>
              <c:f>GRAFICA_64!$AB$26:$AB$27</c:f>
              <c:numCache>
                <c:formatCode>0.00</c:formatCode>
                <c:ptCount val="2"/>
                <c:pt idx="0">
                  <c:v>300</c:v>
                </c:pt>
                <c:pt idx="1">
                  <c:v>0</c:v>
                </c:pt>
              </c:numCache>
            </c:numRef>
          </c:yVal>
          <c:smooth val="0"/>
          <c:extLst>
            <c:ext xmlns:c16="http://schemas.microsoft.com/office/drawing/2014/chart" uri="{C3380CC4-5D6E-409C-BE32-E72D297353CC}">
              <c16:uniqueId val="{00000007-992F-4AA2-8073-E41BA5321A4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GRAFICA_64!$AA$29:$AA$30</c:f>
              <c:numCache>
                <c:formatCode>0.00</c:formatCode>
                <c:ptCount val="2"/>
                <c:pt idx="0">
                  <c:v>600</c:v>
                </c:pt>
                <c:pt idx="1">
                  <c:v>900</c:v>
                </c:pt>
              </c:numCache>
            </c:numRef>
          </c:xVal>
          <c:yVal>
            <c:numRef>
              <c:f>GRAFICA_64!$AB$29:$AB$30</c:f>
              <c:numCache>
                <c:formatCode>0.00</c:formatCode>
                <c:ptCount val="2"/>
                <c:pt idx="0">
                  <c:v>300</c:v>
                </c:pt>
                <c:pt idx="1">
                  <c:v>0</c:v>
                </c:pt>
              </c:numCache>
            </c:numRef>
          </c:yVal>
          <c:smooth val="0"/>
          <c:extLst>
            <c:ext xmlns:c16="http://schemas.microsoft.com/office/drawing/2014/chart" uri="{C3380CC4-5D6E-409C-BE32-E72D297353CC}">
              <c16:uniqueId val="{00000008-992F-4AA2-8073-E41BA5321A4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GRAFICA_64!$AA$32:$AA$33</c:f>
              <c:numCache>
                <c:formatCode>0.00</c:formatCode>
                <c:ptCount val="2"/>
                <c:pt idx="0">
                  <c:v>300</c:v>
                </c:pt>
                <c:pt idx="1">
                  <c:v>600</c:v>
                </c:pt>
              </c:numCache>
            </c:numRef>
          </c:xVal>
          <c:yVal>
            <c:numRef>
              <c:f>GRAFICA_64!$AB$32:$AB$33</c:f>
              <c:numCache>
                <c:formatCode>0.00</c:formatCode>
                <c:ptCount val="2"/>
                <c:pt idx="0">
                  <c:v>300</c:v>
                </c:pt>
                <c:pt idx="1">
                  <c:v>0</c:v>
                </c:pt>
              </c:numCache>
            </c:numRef>
          </c:yVal>
          <c:smooth val="0"/>
          <c:extLst>
            <c:ext xmlns:c16="http://schemas.microsoft.com/office/drawing/2014/chart" uri="{C3380CC4-5D6E-409C-BE32-E72D297353CC}">
              <c16:uniqueId val="{00000009-992F-4AA2-8073-E41BA5321A45}"/>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GRAFICA_64!$AA$35:$AA$36</c:f>
              <c:numCache>
                <c:formatCode>0.00</c:formatCode>
                <c:ptCount val="2"/>
                <c:pt idx="0">
                  <c:v>0</c:v>
                </c:pt>
                <c:pt idx="1">
                  <c:v>600</c:v>
                </c:pt>
              </c:numCache>
            </c:numRef>
          </c:xVal>
          <c:yVal>
            <c:numRef>
              <c:f>GRAFICA_64!$AB$35:$AB$36</c:f>
              <c:numCache>
                <c:formatCode>0.00</c:formatCode>
                <c:ptCount val="2"/>
                <c:pt idx="0">
                  <c:v>0</c:v>
                </c:pt>
                <c:pt idx="1">
                  <c:v>300</c:v>
                </c:pt>
              </c:numCache>
            </c:numRef>
          </c:yVal>
          <c:smooth val="0"/>
          <c:extLst>
            <c:ext xmlns:c16="http://schemas.microsoft.com/office/drawing/2014/chart" uri="{C3380CC4-5D6E-409C-BE32-E72D297353CC}">
              <c16:uniqueId val="{0000000A-992F-4AA2-8073-E41BA5321A4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(10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GRAFICA_65!$AA$5:$AA$6</c:f>
              <c:numCache>
                <c:formatCode>0.00</c:formatCode>
                <c:ptCount val="2"/>
                <c:pt idx="0">
                  <c:v>0</c:v>
                </c:pt>
                <c:pt idx="1">
                  <c:v>300</c:v>
                </c:pt>
              </c:numCache>
            </c:numRef>
          </c:xVal>
          <c:yVal>
            <c:numRef>
              <c:f>GRAFICA_65!$AB$5:$AB$6</c:f>
              <c:numCache>
                <c:formatCode>0.00</c:formatCode>
                <c:ptCount val="2"/>
                <c:pt idx="0">
                  <c:v>0</c:v>
                </c:pt>
                <c:pt idx="1">
                  <c:v>0</c:v>
                </c:pt>
              </c:numCache>
            </c:numRef>
          </c:yVal>
          <c:smooth val="0"/>
          <c:extLst>
            <c:ext xmlns:c16="http://schemas.microsoft.com/office/drawing/2014/chart" uri="{C3380CC4-5D6E-409C-BE32-E72D297353CC}">
              <c16:uniqueId val="{00000000-09EE-4401-A131-27D67F5F177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GRAFICA_65!$AA$8:$AA$9</c:f>
              <c:numCache>
                <c:formatCode>0.00</c:formatCode>
                <c:ptCount val="2"/>
                <c:pt idx="0">
                  <c:v>300</c:v>
                </c:pt>
                <c:pt idx="1">
                  <c:v>600</c:v>
                </c:pt>
              </c:numCache>
            </c:numRef>
          </c:xVal>
          <c:yVal>
            <c:numRef>
              <c:f>GRAFICA_65!$AB$8:$AB$9</c:f>
              <c:numCache>
                <c:formatCode>0.00</c:formatCode>
                <c:ptCount val="2"/>
                <c:pt idx="0">
                  <c:v>0</c:v>
                </c:pt>
                <c:pt idx="1">
                  <c:v>0</c:v>
                </c:pt>
              </c:numCache>
            </c:numRef>
          </c:yVal>
          <c:smooth val="0"/>
          <c:extLst>
            <c:ext xmlns:c16="http://schemas.microsoft.com/office/drawing/2014/chart" uri="{C3380CC4-5D6E-409C-BE32-E72D297353CC}">
              <c16:uniqueId val="{00000001-09EE-4401-A131-27D67F5F177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GRAFICA_65!$AA$11:$AA$12</c:f>
              <c:numCache>
                <c:formatCode>0.00</c:formatCode>
                <c:ptCount val="2"/>
                <c:pt idx="0">
                  <c:v>600</c:v>
                </c:pt>
                <c:pt idx="1">
                  <c:v>900</c:v>
                </c:pt>
              </c:numCache>
            </c:numRef>
          </c:xVal>
          <c:yVal>
            <c:numRef>
              <c:f>GRAFICA_65!$AB$11:$AB$12</c:f>
              <c:numCache>
                <c:formatCode>0.00</c:formatCode>
                <c:ptCount val="2"/>
                <c:pt idx="0">
                  <c:v>0</c:v>
                </c:pt>
                <c:pt idx="1">
                  <c:v>0</c:v>
                </c:pt>
              </c:numCache>
            </c:numRef>
          </c:yVal>
          <c:smooth val="0"/>
          <c:extLst>
            <c:ext xmlns:c16="http://schemas.microsoft.com/office/drawing/2014/chart" uri="{C3380CC4-5D6E-409C-BE32-E72D297353CC}">
              <c16:uniqueId val="{00000002-09EE-4401-A131-27D67F5F177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GRAFICA_65!$AA$14:$AA$15</c:f>
              <c:numCache>
                <c:formatCode>0.00</c:formatCode>
                <c:ptCount val="2"/>
                <c:pt idx="0">
                  <c:v>300</c:v>
                </c:pt>
                <c:pt idx="1">
                  <c:v>600</c:v>
                </c:pt>
              </c:numCache>
            </c:numRef>
          </c:xVal>
          <c:yVal>
            <c:numRef>
              <c:f>GRAFICA_65!$AB$14:$AB$15</c:f>
              <c:numCache>
                <c:formatCode>0.00</c:formatCode>
                <c:ptCount val="2"/>
                <c:pt idx="0">
                  <c:v>300</c:v>
                </c:pt>
                <c:pt idx="1">
                  <c:v>300</c:v>
                </c:pt>
              </c:numCache>
            </c:numRef>
          </c:yVal>
          <c:smooth val="0"/>
          <c:extLst>
            <c:ext xmlns:c16="http://schemas.microsoft.com/office/drawing/2014/chart" uri="{C3380CC4-5D6E-409C-BE32-E72D297353CC}">
              <c16:uniqueId val="{00000003-09EE-4401-A131-27D67F5F177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GRAFICA_65!$AA$17:$AA$18</c:f>
              <c:numCache>
                <c:formatCode>0.00</c:formatCode>
                <c:ptCount val="2"/>
                <c:pt idx="0">
                  <c:v>0</c:v>
                </c:pt>
                <c:pt idx="1">
                  <c:v>300</c:v>
                </c:pt>
              </c:numCache>
            </c:numRef>
          </c:xVal>
          <c:yVal>
            <c:numRef>
              <c:f>GRAFICA_65!$AB$17:$AB$18</c:f>
              <c:numCache>
                <c:formatCode>0.00</c:formatCode>
                <c:ptCount val="2"/>
                <c:pt idx="0">
                  <c:v>0</c:v>
                </c:pt>
                <c:pt idx="1">
                  <c:v>300</c:v>
                </c:pt>
              </c:numCache>
            </c:numRef>
          </c:yVal>
          <c:smooth val="0"/>
          <c:extLst>
            <c:ext xmlns:c16="http://schemas.microsoft.com/office/drawing/2014/chart" uri="{C3380CC4-5D6E-409C-BE32-E72D297353CC}">
              <c16:uniqueId val="{00000004-09EE-4401-A131-27D67F5F177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GRAFICA_65!$AA$20:$AA$21</c:f>
              <c:numCache>
                <c:formatCode>0.00</c:formatCode>
                <c:ptCount val="2"/>
                <c:pt idx="0">
                  <c:v>300</c:v>
                </c:pt>
                <c:pt idx="1">
                  <c:v>300</c:v>
                </c:pt>
              </c:numCache>
            </c:numRef>
          </c:xVal>
          <c:yVal>
            <c:numRef>
              <c:f>GRAFICA_65!$AB$20:$AB$21</c:f>
              <c:numCache>
                <c:formatCode>0.00</c:formatCode>
                <c:ptCount val="2"/>
                <c:pt idx="0">
                  <c:v>300</c:v>
                </c:pt>
                <c:pt idx="1">
                  <c:v>0</c:v>
                </c:pt>
              </c:numCache>
            </c:numRef>
          </c:yVal>
          <c:smooth val="0"/>
          <c:extLst>
            <c:ext xmlns:c16="http://schemas.microsoft.com/office/drawing/2014/chart" uri="{C3380CC4-5D6E-409C-BE32-E72D297353CC}">
              <c16:uniqueId val="{00000005-09EE-4401-A131-27D67F5F177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GRAFICA_65!$AA$23:$AA$24</c:f>
              <c:numCache>
                <c:formatCode>0.00</c:formatCode>
                <c:ptCount val="2"/>
                <c:pt idx="0">
                  <c:v>300</c:v>
                </c:pt>
                <c:pt idx="1">
                  <c:v>600</c:v>
                </c:pt>
              </c:numCache>
            </c:numRef>
          </c:xVal>
          <c:yVal>
            <c:numRef>
              <c:f>GRAFICA_65!$AB$23:$AB$24</c:f>
              <c:numCache>
                <c:formatCode>0.00</c:formatCode>
                <c:ptCount val="2"/>
                <c:pt idx="0">
                  <c:v>0</c:v>
                </c:pt>
                <c:pt idx="1">
                  <c:v>300</c:v>
                </c:pt>
              </c:numCache>
            </c:numRef>
          </c:yVal>
          <c:smooth val="0"/>
          <c:extLst>
            <c:ext xmlns:c16="http://schemas.microsoft.com/office/drawing/2014/chart" uri="{C3380CC4-5D6E-409C-BE32-E72D297353CC}">
              <c16:uniqueId val="{00000006-09EE-4401-A131-27D67F5F177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GRAFICA_65!$AA$26:$AA$27</c:f>
              <c:numCache>
                <c:formatCode>0.00</c:formatCode>
                <c:ptCount val="2"/>
                <c:pt idx="0">
                  <c:v>600</c:v>
                </c:pt>
                <c:pt idx="1">
                  <c:v>600</c:v>
                </c:pt>
              </c:numCache>
            </c:numRef>
          </c:xVal>
          <c:yVal>
            <c:numRef>
              <c:f>GRAFICA_65!$AB$26:$AB$27</c:f>
              <c:numCache>
                <c:formatCode>0.00</c:formatCode>
                <c:ptCount val="2"/>
                <c:pt idx="0">
                  <c:v>300</c:v>
                </c:pt>
                <c:pt idx="1">
                  <c:v>0</c:v>
                </c:pt>
              </c:numCache>
            </c:numRef>
          </c:yVal>
          <c:smooth val="0"/>
          <c:extLst>
            <c:ext xmlns:c16="http://schemas.microsoft.com/office/drawing/2014/chart" uri="{C3380CC4-5D6E-409C-BE32-E72D297353CC}">
              <c16:uniqueId val="{00000007-09EE-4401-A131-27D67F5F177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GRAFICA_65!$AA$29:$AA$30</c:f>
              <c:numCache>
                <c:formatCode>0.00</c:formatCode>
                <c:ptCount val="2"/>
                <c:pt idx="0">
                  <c:v>600</c:v>
                </c:pt>
                <c:pt idx="1">
                  <c:v>900</c:v>
                </c:pt>
              </c:numCache>
            </c:numRef>
          </c:xVal>
          <c:yVal>
            <c:numRef>
              <c:f>GRAFICA_65!$AB$29:$AB$30</c:f>
              <c:numCache>
                <c:formatCode>0.00</c:formatCode>
                <c:ptCount val="2"/>
                <c:pt idx="0">
                  <c:v>300</c:v>
                </c:pt>
                <c:pt idx="1">
                  <c:v>0</c:v>
                </c:pt>
              </c:numCache>
            </c:numRef>
          </c:yVal>
          <c:smooth val="0"/>
          <c:extLst>
            <c:ext xmlns:c16="http://schemas.microsoft.com/office/drawing/2014/chart" uri="{C3380CC4-5D6E-409C-BE32-E72D297353CC}">
              <c16:uniqueId val="{00000008-09EE-4401-A131-27D67F5F177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GRAFICA_65!$AA$32:$AA$33</c:f>
              <c:numCache>
                <c:formatCode>0.00</c:formatCode>
                <c:ptCount val="2"/>
                <c:pt idx="0">
                  <c:v>300</c:v>
                </c:pt>
                <c:pt idx="1">
                  <c:v>600</c:v>
                </c:pt>
              </c:numCache>
            </c:numRef>
          </c:xVal>
          <c:yVal>
            <c:numRef>
              <c:f>GRAFICA_65!$AB$32:$AB$33</c:f>
              <c:numCache>
                <c:formatCode>0.00</c:formatCode>
                <c:ptCount val="2"/>
                <c:pt idx="0">
                  <c:v>300</c:v>
                </c:pt>
                <c:pt idx="1">
                  <c:v>0</c:v>
                </c:pt>
              </c:numCache>
            </c:numRef>
          </c:yVal>
          <c:smooth val="0"/>
          <c:extLst>
            <c:ext xmlns:c16="http://schemas.microsoft.com/office/drawing/2014/chart" uri="{C3380CC4-5D6E-409C-BE32-E72D297353CC}">
              <c16:uniqueId val="{00000009-09EE-4401-A131-27D67F5F177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GRAFICA_66!$AA$5:$AA$6</c:f>
              <c:numCache>
                <c:formatCode>0.00</c:formatCode>
                <c:ptCount val="2"/>
                <c:pt idx="0">
                  <c:v>0</c:v>
                </c:pt>
                <c:pt idx="1">
                  <c:v>350</c:v>
                </c:pt>
              </c:numCache>
            </c:numRef>
          </c:xVal>
          <c:yVal>
            <c:numRef>
              <c:f>GRAFICA_66!$AB$5:$AB$6</c:f>
              <c:numCache>
                <c:formatCode>0.00</c:formatCode>
                <c:ptCount val="2"/>
                <c:pt idx="0">
                  <c:v>0</c:v>
                </c:pt>
                <c:pt idx="1">
                  <c:v>0</c:v>
                </c:pt>
              </c:numCache>
            </c:numRef>
          </c:yVal>
          <c:smooth val="0"/>
          <c:extLst>
            <c:ext xmlns:c16="http://schemas.microsoft.com/office/drawing/2014/chart" uri="{C3380CC4-5D6E-409C-BE32-E72D297353CC}">
              <c16:uniqueId val="{00000000-3584-4004-932B-4FEC5110AE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GRAFICA_66!$AA$8:$AA$9</c:f>
              <c:numCache>
                <c:formatCode>0.00</c:formatCode>
                <c:ptCount val="2"/>
                <c:pt idx="0">
                  <c:v>350</c:v>
                </c:pt>
                <c:pt idx="1">
                  <c:v>700</c:v>
                </c:pt>
              </c:numCache>
            </c:numRef>
          </c:xVal>
          <c:yVal>
            <c:numRef>
              <c:f>GRAFICA_66!$AB$8:$AB$9</c:f>
              <c:numCache>
                <c:formatCode>0.00</c:formatCode>
                <c:ptCount val="2"/>
                <c:pt idx="0">
                  <c:v>0</c:v>
                </c:pt>
                <c:pt idx="1">
                  <c:v>0</c:v>
                </c:pt>
              </c:numCache>
            </c:numRef>
          </c:yVal>
          <c:smooth val="0"/>
          <c:extLst>
            <c:ext xmlns:c16="http://schemas.microsoft.com/office/drawing/2014/chart" uri="{C3380CC4-5D6E-409C-BE32-E72D297353CC}">
              <c16:uniqueId val="{00000001-3584-4004-932B-4FEC5110AE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GRAFICA_66!$AA$11:$AA$12</c:f>
              <c:numCache>
                <c:formatCode>0.00</c:formatCode>
                <c:ptCount val="2"/>
                <c:pt idx="0">
                  <c:v>0</c:v>
                </c:pt>
                <c:pt idx="1">
                  <c:v>350</c:v>
                </c:pt>
              </c:numCache>
            </c:numRef>
          </c:xVal>
          <c:yVal>
            <c:numRef>
              <c:f>GRAFICA_66!$AB$11:$AB$12</c:f>
              <c:numCache>
                <c:formatCode>0.00</c:formatCode>
                <c:ptCount val="2"/>
                <c:pt idx="0">
                  <c:v>280</c:v>
                </c:pt>
                <c:pt idx="1">
                  <c:v>280</c:v>
                </c:pt>
              </c:numCache>
            </c:numRef>
          </c:yVal>
          <c:smooth val="0"/>
          <c:extLst>
            <c:ext xmlns:c16="http://schemas.microsoft.com/office/drawing/2014/chart" uri="{C3380CC4-5D6E-409C-BE32-E72D297353CC}">
              <c16:uniqueId val="{00000002-3584-4004-932B-4FEC5110AE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GRAFICA_66!$AA$14:$AA$15</c:f>
              <c:numCache>
                <c:formatCode>0.00</c:formatCode>
                <c:ptCount val="2"/>
                <c:pt idx="0">
                  <c:v>350</c:v>
                </c:pt>
                <c:pt idx="1">
                  <c:v>700</c:v>
                </c:pt>
              </c:numCache>
            </c:numRef>
          </c:xVal>
          <c:yVal>
            <c:numRef>
              <c:f>GRAFICA_66!$AB$14:$AB$15</c:f>
              <c:numCache>
                <c:formatCode>0.00</c:formatCode>
                <c:ptCount val="2"/>
                <c:pt idx="0">
                  <c:v>280</c:v>
                </c:pt>
                <c:pt idx="1">
                  <c:v>280</c:v>
                </c:pt>
              </c:numCache>
            </c:numRef>
          </c:yVal>
          <c:smooth val="0"/>
          <c:extLst>
            <c:ext xmlns:c16="http://schemas.microsoft.com/office/drawing/2014/chart" uri="{C3380CC4-5D6E-409C-BE32-E72D297353CC}">
              <c16:uniqueId val="{00000003-3584-4004-932B-4FEC5110AE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GRAFICA_66!$AA$17:$AA$18</c:f>
              <c:numCache>
                <c:formatCode>0.00</c:formatCode>
                <c:ptCount val="2"/>
                <c:pt idx="0">
                  <c:v>0</c:v>
                </c:pt>
                <c:pt idx="1">
                  <c:v>0</c:v>
                </c:pt>
              </c:numCache>
            </c:numRef>
          </c:xVal>
          <c:yVal>
            <c:numRef>
              <c:f>GRAFICA_66!$AB$17:$AB$18</c:f>
              <c:numCache>
                <c:formatCode>0.00</c:formatCode>
                <c:ptCount val="2"/>
                <c:pt idx="0">
                  <c:v>0</c:v>
                </c:pt>
                <c:pt idx="1">
                  <c:v>280</c:v>
                </c:pt>
              </c:numCache>
            </c:numRef>
          </c:yVal>
          <c:smooth val="0"/>
          <c:extLst>
            <c:ext xmlns:c16="http://schemas.microsoft.com/office/drawing/2014/chart" uri="{C3380CC4-5D6E-409C-BE32-E72D297353CC}">
              <c16:uniqueId val="{00000004-3584-4004-932B-4FEC5110AE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GRAFICA_66!$AA$20:$AA$21</c:f>
              <c:numCache>
                <c:formatCode>0.00</c:formatCode>
                <c:ptCount val="2"/>
                <c:pt idx="0">
                  <c:v>350</c:v>
                </c:pt>
                <c:pt idx="1">
                  <c:v>350</c:v>
                </c:pt>
              </c:numCache>
            </c:numRef>
          </c:xVal>
          <c:yVal>
            <c:numRef>
              <c:f>GRAFICA_66!$AB$20:$AB$21</c:f>
              <c:numCache>
                <c:formatCode>0.00</c:formatCode>
                <c:ptCount val="2"/>
                <c:pt idx="0">
                  <c:v>0</c:v>
                </c:pt>
                <c:pt idx="1">
                  <c:v>280</c:v>
                </c:pt>
              </c:numCache>
            </c:numRef>
          </c:yVal>
          <c:smooth val="0"/>
          <c:extLst>
            <c:ext xmlns:c16="http://schemas.microsoft.com/office/drawing/2014/chart" uri="{C3380CC4-5D6E-409C-BE32-E72D297353CC}">
              <c16:uniqueId val="{00000005-3584-4004-932B-4FEC5110AE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GRAFICA_66!$AA$23:$AA$24</c:f>
              <c:numCache>
                <c:formatCode>0.00</c:formatCode>
                <c:ptCount val="2"/>
                <c:pt idx="0">
                  <c:v>700</c:v>
                </c:pt>
                <c:pt idx="1">
                  <c:v>700</c:v>
                </c:pt>
              </c:numCache>
            </c:numRef>
          </c:xVal>
          <c:yVal>
            <c:numRef>
              <c:f>GRAFICA_66!$AB$23:$AB$24</c:f>
              <c:numCache>
                <c:formatCode>0.00</c:formatCode>
                <c:ptCount val="2"/>
                <c:pt idx="0">
                  <c:v>0</c:v>
                </c:pt>
                <c:pt idx="1">
                  <c:v>280</c:v>
                </c:pt>
              </c:numCache>
            </c:numRef>
          </c:yVal>
          <c:smooth val="0"/>
          <c:extLst>
            <c:ext xmlns:c16="http://schemas.microsoft.com/office/drawing/2014/chart" uri="{C3380CC4-5D6E-409C-BE32-E72D297353CC}">
              <c16:uniqueId val="{00000006-3584-4004-932B-4FEC5110AE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GRAFICA_66!$AA$26:$AA$27</c:f>
              <c:numCache>
                <c:formatCode>0.00</c:formatCode>
                <c:ptCount val="2"/>
                <c:pt idx="0">
                  <c:v>0</c:v>
                </c:pt>
                <c:pt idx="1">
                  <c:v>350</c:v>
                </c:pt>
              </c:numCache>
            </c:numRef>
          </c:xVal>
          <c:yVal>
            <c:numRef>
              <c:f>GRAFICA_66!$AB$26:$AB$27</c:f>
              <c:numCache>
                <c:formatCode>0.00</c:formatCode>
                <c:ptCount val="2"/>
                <c:pt idx="0">
                  <c:v>0</c:v>
                </c:pt>
                <c:pt idx="1">
                  <c:v>280</c:v>
                </c:pt>
              </c:numCache>
            </c:numRef>
          </c:yVal>
          <c:smooth val="0"/>
          <c:extLst>
            <c:ext xmlns:c16="http://schemas.microsoft.com/office/drawing/2014/chart" uri="{C3380CC4-5D6E-409C-BE32-E72D297353CC}">
              <c16:uniqueId val="{00000007-3584-4004-932B-4FEC5110AE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GRAFICA_66!$AA$29:$AA$30</c:f>
              <c:numCache>
                <c:formatCode>0.00</c:formatCode>
                <c:ptCount val="2"/>
                <c:pt idx="0">
                  <c:v>0</c:v>
                </c:pt>
                <c:pt idx="1">
                  <c:v>350</c:v>
                </c:pt>
              </c:numCache>
            </c:numRef>
          </c:xVal>
          <c:yVal>
            <c:numRef>
              <c:f>GRAFICA_66!$AB$29:$AB$30</c:f>
              <c:numCache>
                <c:formatCode>0.00</c:formatCode>
                <c:ptCount val="2"/>
                <c:pt idx="0">
                  <c:v>280</c:v>
                </c:pt>
                <c:pt idx="1">
                  <c:v>0</c:v>
                </c:pt>
              </c:numCache>
            </c:numRef>
          </c:yVal>
          <c:smooth val="0"/>
          <c:extLst>
            <c:ext xmlns:c16="http://schemas.microsoft.com/office/drawing/2014/chart" uri="{C3380CC4-5D6E-409C-BE32-E72D297353CC}">
              <c16:uniqueId val="{00000008-3584-4004-932B-4FEC5110AEB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GRAFICA_66!$AA$32:$AA$33</c:f>
              <c:numCache>
                <c:formatCode>0.00</c:formatCode>
                <c:ptCount val="2"/>
                <c:pt idx="0">
                  <c:v>350</c:v>
                </c:pt>
                <c:pt idx="1">
                  <c:v>700</c:v>
                </c:pt>
              </c:numCache>
            </c:numRef>
          </c:xVal>
          <c:yVal>
            <c:numRef>
              <c:f>GRAFICA_66!$AB$32:$AB$33</c:f>
              <c:numCache>
                <c:formatCode>0.00</c:formatCode>
                <c:ptCount val="2"/>
                <c:pt idx="0">
                  <c:v>0</c:v>
                </c:pt>
                <c:pt idx="1">
                  <c:v>280</c:v>
                </c:pt>
              </c:numCache>
            </c:numRef>
          </c:yVal>
          <c:smooth val="0"/>
          <c:extLst>
            <c:ext xmlns:c16="http://schemas.microsoft.com/office/drawing/2014/chart" uri="{C3380CC4-5D6E-409C-BE32-E72D297353CC}">
              <c16:uniqueId val="{00000009-3584-4004-932B-4FEC5110AEB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GRAFICA_66!$AA$35:$AA$36</c:f>
              <c:numCache>
                <c:formatCode>0.00</c:formatCode>
                <c:ptCount val="2"/>
                <c:pt idx="0">
                  <c:v>350</c:v>
                </c:pt>
                <c:pt idx="1">
                  <c:v>700</c:v>
                </c:pt>
              </c:numCache>
            </c:numRef>
          </c:xVal>
          <c:yVal>
            <c:numRef>
              <c:f>GRAFICA_66!$AB$35:$AB$36</c:f>
              <c:numCache>
                <c:formatCode>0.00</c:formatCode>
                <c:ptCount val="2"/>
                <c:pt idx="0">
                  <c:v>280</c:v>
                </c:pt>
                <c:pt idx="1">
                  <c:v>0</c:v>
                </c:pt>
              </c:numCache>
            </c:numRef>
          </c:yVal>
          <c:smooth val="0"/>
          <c:extLst>
            <c:ext xmlns:c16="http://schemas.microsoft.com/office/drawing/2014/chart" uri="{C3380CC4-5D6E-409C-BE32-E72D297353CC}">
              <c16:uniqueId val="{0000000A-3584-4004-932B-4FEC5110AEBA}"/>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GRAFICA_66!$AA$38:$AA$39</c:f>
              <c:numCache>
                <c:formatCode>0.00</c:formatCode>
                <c:ptCount val="2"/>
                <c:pt idx="0">
                  <c:v>0</c:v>
                </c:pt>
                <c:pt idx="1">
                  <c:v>700</c:v>
                </c:pt>
              </c:numCache>
            </c:numRef>
          </c:xVal>
          <c:yVal>
            <c:numRef>
              <c:f>GRAFICA_66!$AB$38:$AB$39</c:f>
              <c:numCache>
                <c:formatCode>0.00</c:formatCode>
                <c:ptCount val="2"/>
                <c:pt idx="0">
                  <c:v>0</c:v>
                </c:pt>
                <c:pt idx="1">
                  <c:v>280</c:v>
                </c:pt>
              </c:numCache>
            </c:numRef>
          </c:yVal>
          <c:smooth val="0"/>
          <c:extLst>
            <c:ext xmlns:c16="http://schemas.microsoft.com/office/drawing/2014/chart" uri="{C3380CC4-5D6E-409C-BE32-E72D297353CC}">
              <c16:uniqueId val="{0000000B-3584-4004-932B-4FEC5110AE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GRAFICA_67!$AA$5:$AA$6</c:f>
              <c:numCache>
                <c:formatCode>0.00</c:formatCode>
                <c:ptCount val="2"/>
                <c:pt idx="0">
                  <c:v>0</c:v>
                </c:pt>
                <c:pt idx="1">
                  <c:v>0</c:v>
                </c:pt>
              </c:numCache>
            </c:numRef>
          </c:xVal>
          <c:yVal>
            <c:numRef>
              <c:f>GRAFICA_67!$AB$5:$AB$6</c:f>
              <c:numCache>
                <c:formatCode>0.00</c:formatCode>
                <c:ptCount val="2"/>
                <c:pt idx="0">
                  <c:v>0</c:v>
                </c:pt>
                <c:pt idx="1">
                  <c:v>350</c:v>
                </c:pt>
              </c:numCache>
            </c:numRef>
          </c:yVal>
          <c:smooth val="0"/>
          <c:extLst>
            <c:ext xmlns:c16="http://schemas.microsoft.com/office/drawing/2014/chart" uri="{C3380CC4-5D6E-409C-BE32-E72D297353CC}">
              <c16:uniqueId val="{00000000-77E1-43F8-92C7-D8E0B66E3AD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GRAFICA_67!$AA$8:$AA$9</c:f>
              <c:numCache>
                <c:formatCode>0.00</c:formatCode>
                <c:ptCount val="2"/>
                <c:pt idx="0">
                  <c:v>0</c:v>
                </c:pt>
                <c:pt idx="1">
                  <c:v>350</c:v>
                </c:pt>
              </c:numCache>
            </c:numRef>
          </c:xVal>
          <c:yVal>
            <c:numRef>
              <c:f>GRAFICA_67!$AB$8:$AB$9</c:f>
              <c:numCache>
                <c:formatCode>0.00</c:formatCode>
                <c:ptCount val="2"/>
                <c:pt idx="0">
                  <c:v>350</c:v>
                </c:pt>
                <c:pt idx="1">
                  <c:v>350</c:v>
                </c:pt>
              </c:numCache>
            </c:numRef>
          </c:yVal>
          <c:smooth val="0"/>
          <c:extLst>
            <c:ext xmlns:c16="http://schemas.microsoft.com/office/drawing/2014/chart" uri="{C3380CC4-5D6E-409C-BE32-E72D297353CC}">
              <c16:uniqueId val="{00000001-77E1-43F8-92C7-D8E0B66E3AD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GRAFICA_67!$AA$11:$AA$12</c:f>
              <c:numCache>
                <c:formatCode>0.00</c:formatCode>
                <c:ptCount val="2"/>
                <c:pt idx="0">
                  <c:v>350</c:v>
                </c:pt>
                <c:pt idx="1">
                  <c:v>350</c:v>
                </c:pt>
              </c:numCache>
            </c:numRef>
          </c:xVal>
          <c:yVal>
            <c:numRef>
              <c:f>GRAFICA_67!$AB$11:$AB$12</c:f>
              <c:numCache>
                <c:formatCode>0.00</c:formatCode>
                <c:ptCount val="2"/>
                <c:pt idx="0">
                  <c:v>350</c:v>
                </c:pt>
                <c:pt idx="1">
                  <c:v>0</c:v>
                </c:pt>
              </c:numCache>
            </c:numRef>
          </c:yVal>
          <c:smooth val="0"/>
          <c:extLst>
            <c:ext xmlns:c16="http://schemas.microsoft.com/office/drawing/2014/chart" uri="{C3380CC4-5D6E-409C-BE32-E72D297353CC}">
              <c16:uniqueId val="{00000002-77E1-43F8-92C7-D8E0B66E3AD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GRAFICA_67!$AA$14:$AA$15</c:f>
              <c:numCache>
                <c:formatCode>0.00</c:formatCode>
                <c:ptCount val="2"/>
                <c:pt idx="0">
                  <c:v>350</c:v>
                </c:pt>
                <c:pt idx="1">
                  <c:v>0</c:v>
                </c:pt>
              </c:numCache>
            </c:numRef>
          </c:xVal>
          <c:yVal>
            <c:numRef>
              <c:f>GRAFICA_67!$AB$14:$AB$15</c:f>
              <c:numCache>
                <c:formatCode>0.00</c:formatCode>
                <c:ptCount val="2"/>
                <c:pt idx="0">
                  <c:v>0</c:v>
                </c:pt>
                <c:pt idx="1">
                  <c:v>0</c:v>
                </c:pt>
              </c:numCache>
            </c:numRef>
          </c:yVal>
          <c:smooth val="0"/>
          <c:extLst>
            <c:ext xmlns:c16="http://schemas.microsoft.com/office/drawing/2014/chart" uri="{C3380CC4-5D6E-409C-BE32-E72D297353CC}">
              <c16:uniqueId val="{00000003-77E1-43F8-92C7-D8E0B66E3AD8}"/>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GRAFICA_67!$AA$17:$AA$18</c:f>
              <c:numCache>
                <c:formatCode>0.00</c:formatCode>
                <c:ptCount val="2"/>
                <c:pt idx="0">
                  <c:v>0</c:v>
                </c:pt>
                <c:pt idx="1">
                  <c:v>350</c:v>
                </c:pt>
              </c:numCache>
            </c:numRef>
          </c:xVal>
          <c:yVal>
            <c:numRef>
              <c:f>GRAFICA_67!$AB$17:$AB$18</c:f>
              <c:numCache>
                <c:formatCode>0.00</c:formatCode>
                <c:ptCount val="2"/>
                <c:pt idx="0">
                  <c:v>0</c:v>
                </c:pt>
                <c:pt idx="1">
                  <c:v>350</c:v>
                </c:pt>
              </c:numCache>
            </c:numRef>
          </c:yVal>
          <c:smooth val="0"/>
          <c:extLst>
            <c:ext xmlns:c16="http://schemas.microsoft.com/office/drawing/2014/chart" uri="{C3380CC4-5D6E-409C-BE32-E72D297353CC}">
              <c16:uniqueId val="{00000004-77E1-43F8-92C7-D8E0B66E3AD8}"/>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GRAFICA_67!$AA$20:$AA$21</c:f>
              <c:numCache>
                <c:formatCode>0.00</c:formatCode>
                <c:ptCount val="2"/>
                <c:pt idx="0">
                  <c:v>0</c:v>
                </c:pt>
                <c:pt idx="1">
                  <c:v>350</c:v>
                </c:pt>
              </c:numCache>
            </c:numRef>
          </c:xVal>
          <c:yVal>
            <c:numRef>
              <c:f>GRAFICA_67!$AB$20:$AB$21</c:f>
              <c:numCache>
                <c:formatCode>0.00</c:formatCode>
                <c:ptCount val="2"/>
                <c:pt idx="0">
                  <c:v>350</c:v>
                </c:pt>
                <c:pt idx="1">
                  <c:v>0</c:v>
                </c:pt>
              </c:numCache>
            </c:numRef>
          </c:yVal>
          <c:smooth val="0"/>
          <c:extLst>
            <c:ext xmlns:c16="http://schemas.microsoft.com/office/drawing/2014/chart" uri="{C3380CC4-5D6E-409C-BE32-E72D297353CC}">
              <c16:uniqueId val="{00000005-77E1-43F8-92C7-D8E0B66E3AD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(10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GRAFICA_68!$AA$5:$AA$6</c:f>
              <c:numCache>
                <c:formatCode>0.00</c:formatCode>
                <c:ptCount val="2"/>
                <c:pt idx="0">
                  <c:v>0</c:v>
                </c:pt>
                <c:pt idx="1">
                  <c:v>400</c:v>
                </c:pt>
              </c:numCache>
            </c:numRef>
          </c:xVal>
          <c:yVal>
            <c:numRef>
              <c:f>GRAFICA_68!$AB$5:$AB$6</c:f>
              <c:numCache>
                <c:formatCode>0.00</c:formatCode>
                <c:ptCount val="2"/>
                <c:pt idx="0">
                  <c:v>0</c:v>
                </c:pt>
                <c:pt idx="1">
                  <c:v>0</c:v>
                </c:pt>
              </c:numCache>
            </c:numRef>
          </c:yVal>
          <c:smooth val="0"/>
          <c:extLst>
            <c:ext xmlns:c16="http://schemas.microsoft.com/office/drawing/2014/chart" uri="{C3380CC4-5D6E-409C-BE32-E72D297353CC}">
              <c16:uniqueId val="{00000000-53F1-4F03-938A-74478487EE0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GRAFICA_68!$AA$8:$AA$9</c:f>
              <c:numCache>
                <c:formatCode>0.00</c:formatCode>
                <c:ptCount val="2"/>
                <c:pt idx="0">
                  <c:v>0</c:v>
                </c:pt>
                <c:pt idx="1">
                  <c:v>100</c:v>
                </c:pt>
              </c:numCache>
            </c:numRef>
          </c:xVal>
          <c:yVal>
            <c:numRef>
              <c:f>GRAFICA_68!$AB$8:$AB$9</c:f>
              <c:numCache>
                <c:formatCode>0.00</c:formatCode>
                <c:ptCount val="2"/>
                <c:pt idx="0">
                  <c:v>0</c:v>
                </c:pt>
                <c:pt idx="1">
                  <c:v>300</c:v>
                </c:pt>
              </c:numCache>
            </c:numRef>
          </c:yVal>
          <c:smooth val="0"/>
          <c:extLst>
            <c:ext xmlns:c16="http://schemas.microsoft.com/office/drawing/2014/chart" uri="{C3380CC4-5D6E-409C-BE32-E72D297353CC}">
              <c16:uniqueId val="{00000001-53F1-4F03-938A-74478487EE0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GRAFICA_68!$AA$11:$AA$12</c:f>
              <c:numCache>
                <c:formatCode>0.00</c:formatCode>
                <c:ptCount val="2"/>
                <c:pt idx="0">
                  <c:v>400</c:v>
                </c:pt>
                <c:pt idx="1">
                  <c:v>300</c:v>
                </c:pt>
              </c:numCache>
            </c:numRef>
          </c:xVal>
          <c:yVal>
            <c:numRef>
              <c:f>GRAFICA_68!$AB$11:$AB$12</c:f>
              <c:numCache>
                <c:formatCode>0.00</c:formatCode>
                <c:ptCount val="2"/>
                <c:pt idx="0">
                  <c:v>0</c:v>
                </c:pt>
                <c:pt idx="1">
                  <c:v>300</c:v>
                </c:pt>
              </c:numCache>
            </c:numRef>
          </c:yVal>
          <c:smooth val="0"/>
          <c:extLst>
            <c:ext xmlns:c16="http://schemas.microsoft.com/office/drawing/2014/chart" uri="{C3380CC4-5D6E-409C-BE32-E72D297353CC}">
              <c16:uniqueId val="{00000002-53F1-4F03-938A-74478487EE0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GRAFICA_68!$AA$14:$AA$15</c:f>
              <c:numCache>
                <c:formatCode>0.00</c:formatCode>
                <c:ptCount val="2"/>
                <c:pt idx="0">
                  <c:v>100</c:v>
                </c:pt>
                <c:pt idx="1">
                  <c:v>300</c:v>
                </c:pt>
              </c:numCache>
            </c:numRef>
          </c:xVal>
          <c:yVal>
            <c:numRef>
              <c:f>GRAFICA_68!$AB$14:$AB$15</c:f>
              <c:numCache>
                <c:formatCode>0.00</c:formatCode>
                <c:ptCount val="2"/>
                <c:pt idx="0">
                  <c:v>300</c:v>
                </c:pt>
                <c:pt idx="1">
                  <c:v>300</c:v>
                </c:pt>
              </c:numCache>
            </c:numRef>
          </c:yVal>
          <c:smooth val="0"/>
          <c:extLst>
            <c:ext xmlns:c16="http://schemas.microsoft.com/office/drawing/2014/chart" uri="{C3380CC4-5D6E-409C-BE32-E72D297353CC}">
              <c16:uniqueId val="{00000003-53F1-4F03-938A-74478487EE0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GRAFICA_68!$AA$17:$AA$18</c:f>
              <c:numCache>
                <c:formatCode>0.00</c:formatCode>
                <c:ptCount val="2"/>
                <c:pt idx="0">
                  <c:v>0</c:v>
                </c:pt>
                <c:pt idx="1">
                  <c:v>300</c:v>
                </c:pt>
              </c:numCache>
            </c:numRef>
          </c:xVal>
          <c:yVal>
            <c:numRef>
              <c:f>GRAFICA_68!$AB$17:$AB$18</c:f>
              <c:numCache>
                <c:formatCode>0.00</c:formatCode>
                <c:ptCount val="2"/>
                <c:pt idx="0">
                  <c:v>0</c:v>
                </c:pt>
                <c:pt idx="1">
                  <c:v>300</c:v>
                </c:pt>
              </c:numCache>
            </c:numRef>
          </c:yVal>
          <c:smooth val="0"/>
          <c:extLst>
            <c:ext xmlns:c16="http://schemas.microsoft.com/office/drawing/2014/chart" uri="{C3380CC4-5D6E-409C-BE32-E72D297353CC}">
              <c16:uniqueId val="{00000004-53F1-4F03-938A-74478487EE0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GRAFICA_68!$AA$20:$AA$21</c:f>
              <c:numCache>
                <c:formatCode>0.00</c:formatCode>
                <c:ptCount val="2"/>
                <c:pt idx="0">
                  <c:v>400</c:v>
                </c:pt>
                <c:pt idx="1">
                  <c:v>100</c:v>
                </c:pt>
              </c:numCache>
            </c:numRef>
          </c:xVal>
          <c:yVal>
            <c:numRef>
              <c:f>GRAFICA_68!$AB$20:$AB$21</c:f>
              <c:numCache>
                <c:formatCode>0.00</c:formatCode>
                <c:ptCount val="2"/>
                <c:pt idx="0">
                  <c:v>0</c:v>
                </c:pt>
                <c:pt idx="1">
                  <c:v>300</c:v>
                </c:pt>
              </c:numCache>
            </c:numRef>
          </c:yVal>
          <c:smooth val="0"/>
          <c:extLst>
            <c:ext xmlns:c16="http://schemas.microsoft.com/office/drawing/2014/chart" uri="{C3380CC4-5D6E-409C-BE32-E72D297353CC}">
              <c16:uniqueId val="{00000005-53F1-4F03-938A-74478487EE0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GRAFICA_68!$AA$23:$AA$24</c:f>
              <c:numCache>
                <c:formatCode>0.00</c:formatCode>
                <c:ptCount val="2"/>
                <c:pt idx="0">
                  <c:v>100</c:v>
                </c:pt>
                <c:pt idx="1">
                  <c:v>150</c:v>
                </c:pt>
              </c:numCache>
            </c:numRef>
          </c:xVal>
          <c:yVal>
            <c:numRef>
              <c:f>GRAFICA_68!$AB$23:$AB$24</c:f>
              <c:numCache>
                <c:formatCode>0.00</c:formatCode>
                <c:ptCount val="2"/>
                <c:pt idx="0">
                  <c:v>300</c:v>
                </c:pt>
                <c:pt idx="1">
                  <c:v>600</c:v>
                </c:pt>
              </c:numCache>
            </c:numRef>
          </c:yVal>
          <c:smooth val="0"/>
          <c:extLst>
            <c:ext xmlns:c16="http://schemas.microsoft.com/office/drawing/2014/chart" uri="{C3380CC4-5D6E-409C-BE32-E72D297353CC}">
              <c16:uniqueId val="{00000006-53F1-4F03-938A-74478487EE0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GRAFICA_68!$AA$26:$AA$27</c:f>
              <c:numCache>
                <c:formatCode>0.00</c:formatCode>
                <c:ptCount val="2"/>
                <c:pt idx="0">
                  <c:v>300</c:v>
                </c:pt>
                <c:pt idx="1">
                  <c:v>250</c:v>
                </c:pt>
              </c:numCache>
            </c:numRef>
          </c:xVal>
          <c:yVal>
            <c:numRef>
              <c:f>GRAFICA_68!$AB$26:$AB$27</c:f>
              <c:numCache>
                <c:formatCode>0.00</c:formatCode>
                <c:ptCount val="2"/>
                <c:pt idx="0">
                  <c:v>300</c:v>
                </c:pt>
                <c:pt idx="1">
                  <c:v>600</c:v>
                </c:pt>
              </c:numCache>
            </c:numRef>
          </c:yVal>
          <c:smooth val="0"/>
          <c:extLst>
            <c:ext xmlns:c16="http://schemas.microsoft.com/office/drawing/2014/chart" uri="{C3380CC4-5D6E-409C-BE32-E72D297353CC}">
              <c16:uniqueId val="{00000007-53F1-4F03-938A-74478487EE0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GRAFICA_68!$AA$29:$AA$30</c:f>
              <c:numCache>
                <c:formatCode>0.00</c:formatCode>
                <c:ptCount val="2"/>
                <c:pt idx="0">
                  <c:v>150</c:v>
                </c:pt>
                <c:pt idx="1">
                  <c:v>250</c:v>
                </c:pt>
              </c:numCache>
            </c:numRef>
          </c:xVal>
          <c:yVal>
            <c:numRef>
              <c:f>GRAFICA_68!$AB$29:$AB$30</c:f>
              <c:numCache>
                <c:formatCode>0.00</c:formatCode>
                <c:ptCount val="2"/>
                <c:pt idx="0">
                  <c:v>600</c:v>
                </c:pt>
                <c:pt idx="1">
                  <c:v>600</c:v>
                </c:pt>
              </c:numCache>
            </c:numRef>
          </c:yVal>
          <c:smooth val="0"/>
          <c:extLst>
            <c:ext xmlns:c16="http://schemas.microsoft.com/office/drawing/2014/chart" uri="{C3380CC4-5D6E-409C-BE32-E72D297353CC}">
              <c16:uniqueId val="{00000008-53F1-4F03-938A-74478487EE04}"/>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GRAFICA_68!$AA$32:$AA$33</c:f>
              <c:numCache>
                <c:formatCode>0.00</c:formatCode>
                <c:ptCount val="2"/>
                <c:pt idx="0">
                  <c:v>100</c:v>
                </c:pt>
                <c:pt idx="1">
                  <c:v>250</c:v>
                </c:pt>
              </c:numCache>
            </c:numRef>
          </c:xVal>
          <c:yVal>
            <c:numRef>
              <c:f>GRAFICA_68!$AB$32:$AB$33</c:f>
              <c:numCache>
                <c:formatCode>0.00</c:formatCode>
                <c:ptCount val="2"/>
                <c:pt idx="0">
                  <c:v>300</c:v>
                </c:pt>
                <c:pt idx="1">
                  <c:v>600</c:v>
                </c:pt>
              </c:numCache>
            </c:numRef>
          </c:yVal>
          <c:smooth val="0"/>
          <c:extLst>
            <c:ext xmlns:c16="http://schemas.microsoft.com/office/drawing/2014/chart" uri="{C3380CC4-5D6E-409C-BE32-E72D297353CC}">
              <c16:uniqueId val="{00000009-53F1-4F03-938A-74478487EE0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GRAFICA_69!$AA$5:$AA$6</c:f>
              <c:numCache>
                <c:formatCode>0.00</c:formatCode>
                <c:ptCount val="2"/>
                <c:pt idx="0">
                  <c:v>0</c:v>
                </c:pt>
                <c:pt idx="1">
                  <c:v>0</c:v>
                </c:pt>
              </c:numCache>
            </c:numRef>
          </c:xVal>
          <c:yVal>
            <c:numRef>
              <c:f>GRAFICA_69!$AB$5:$AB$6</c:f>
              <c:numCache>
                <c:formatCode>0.00</c:formatCode>
                <c:ptCount val="2"/>
                <c:pt idx="0">
                  <c:v>0</c:v>
                </c:pt>
                <c:pt idx="1">
                  <c:v>400</c:v>
                </c:pt>
              </c:numCache>
            </c:numRef>
          </c:yVal>
          <c:smooth val="0"/>
          <c:extLst>
            <c:ext xmlns:c16="http://schemas.microsoft.com/office/drawing/2014/chart" uri="{C3380CC4-5D6E-409C-BE32-E72D297353CC}">
              <c16:uniqueId val="{00000000-2848-4E5B-B89F-9D95966BED0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GRAFICA_69!$AA$8:$AA$9</c:f>
              <c:numCache>
                <c:formatCode>0.00</c:formatCode>
                <c:ptCount val="2"/>
                <c:pt idx="0">
                  <c:v>0</c:v>
                </c:pt>
                <c:pt idx="1">
                  <c:v>400</c:v>
                </c:pt>
              </c:numCache>
            </c:numRef>
          </c:xVal>
          <c:yVal>
            <c:numRef>
              <c:f>GRAFICA_69!$AB$8:$AB$9</c:f>
              <c:numCache>
                <c:formatCode>0.00</c:formatCode>
                <c:ptCount val="2"/>
                <c:pt idx="0">
                  <c:v>0</c:v>
                </c:pt>
                <c:pt idx="1">
                  <c:v>0</c:v>
                </c:pt>
              </c:numCache>
            </c:numRef>
          </c:yVal>
          <c:smooth val="0"/>
          <c:extLst>
            <c:ext xmlns:c16="http://schemas.microsoft.com/office/drawing/2014/chart" uri="{C3380CC4-5D6E-409C-BE32-E72D297353CC}">
              <c16:uniqueId val="{00000001-2848-4E5B-B89F-9D95966BED0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GRAFICA_69!$AA$11:$AA$12</c:f>
              <c:numCache>
                <c:formatCode>0.00</c:formatCode>
                <c:ptCount val="2"/>
                <c:pt idx="0">
                  <c:v>0</c:v>
                </c:pt>
                <c:pt idx="1">
                  <c:v>400</c:v>
                </c:pt>
              </c:numCache>
            </c:numRef>
          </c:xVal>
          <c:yVal>
            <c:numRef>
              <c:f>GRAFICA_69!$AB$11:$AB$12</c:f>
              <c:numCache>
                <c:formatCode>0.00</c:formatCode>
                <c:ptCount val="2"/>
                <c:pt idx="0">
                  <c:v>400</c:v>
                </c:pt>
                <c:pt idx="1">
                  <c:v>400</c:v>
                </c:pt>
              </c:numCache>
            </c:numRef>
          </c:yVal>
          <c:smooth val="0"/>
          <c:extLst>
            <c:ext xmlns:c16="http://schemas.microsoft.com/office/drawing/2014/chart" uri="{C3380CC4-5D6E-409C-BE32-E72D297353CC}">
              <c16:uniqueId val="{00000002-2848-4E5B-B89F-9D95966BED0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GRAFICA_69!$AA$14:$AA$15</c:f>
              <c:numCache>
                <c:formatCode>0.00</c:formatCode>
                <c:ptCount val="2"/>
                <c:pt idx="0">
                  <c:v>400</c:v>
                </c:pt>
                <c:pt idx="1">
                  <c:v>400</c:v>
                </c:pt>
              </c:numCache>
            </c:numRef>
          </c:xVal>
          <c:yVal>
            <c:numRef>
              <c:f>GRAFICA_69!$AB$14:$AB$15</c:f>
              <c:numCache>
                <c:formatCode>0.00</c:formatCode>
                <c:ptCount val="2"/>
                <c:pt idx="0">
                  <c:v>0</c:v>
                </c:pt>
                <c:pt idx="1">
                  <c:v>200</c:v>
                </c:pt>
              </c:numCache>
            </c:numRef>
          </c:yVal>
          <c:smooth val="0"/>
          <c:extLst>
            <c:ext xmlns:c16="http://schemas.microsoft.com/office/drawing/2014/chart" uri="{C3380CC4-5D6E-409C-BE32-E72D297353CC}">
              <c16:uniqueId val="{00000003-2848-4E5B-B89F-9D95966BED0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GRAFICA_69!$AA$17:$AA$18</c:f>
              <c:numCache>
                <c:formatCode>0.00</c:formatCode>
                <c:ptCount val="2"/>
                <c:pt idx="0">
                  <c:v>400</c:v>
                </c:pt>
                <c:pt idx="1">
                  <c:v>400</c:v>
                </c:pt>
              </c:numCache>
            </c:numRef>
          </c:xVal>
          <c:yVal>
            <c:numRef>
              <c:f>GRAFICA_69!$AB$17:$AB$18</c:f>
              <c:numCache>
                <c:formatCode>0.00</c:formatCode>
                <c:ptCount val="2"/>
                <c:pt idx="0">
                  <c:v>400</c:v>
                </c:pt>
                <c:pt idx="1">
                  <c:v>200</c:v>
                </c:pt>
              </c:numCache>
            </c:numRef>
          </c:yVal>
          <c:smooth val="0"/>
          <c:extLst>
            <c:ext xmlns:c16="http://schemas.microsoft.com/office/drawing/2014/chart" uri="{C3380CC4-5D6E-409C-BE32-E72D297353CC}">
              <c16:uniqueId val="{00000004-2848-4E5B-B89F-9D95966BED0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GRAFICA_69!$AA$20:$AA$21</c:f>
              <c:numCache>
                <c:formatCode>0.00</c:formatCode>
                <c:ptCount val="2"/>
                <c:pt idx="0">
                  <c:v>0</c:v>
                </c:pt>
                <c:pt idx="1">
                  <c:v>400</c:v>
                </c:pt>
              </c:numCache>
            </c:numRef>
          </c:xVal>
          <c:yVal>
            <c:numRef>
              <c:f>GRAFICA_69!$AB$20:$AB$21</c:f>
              <c:numCache>
                <c:formatCode>0.00</c:formatCode>
                <c:ptCount val="2"/>
                <c:pt idx="0">
                  <c:v>0</c:v>
                </c:pt>
                <c:pt idx="1">
                  <c:v>200</c:v>
                </c:pt>
              </c:numCache>
            </c:numRef>
          </c:yVal>
          <c:smooth val="0"/>
          <c:extLst>
            <c:ext xmlns:c16="http://schemas.microsoft.com/office/drawing/2014/chart" uri="{C3380CC4-5D6E-409C-BE32-E72D297353CC}">
              <c16:uniqueId val="{00000005-2848-4E5B-B89F-9D95966BED0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GRAFICA_69!$AA$23:$AA$24</c:f>
              <c:numCache>
                <c:formatCode>0.00</c:formatCode>
                <c:ptCount val="2"/>
                <c:pt idx="0">
                  <c:v>0</c:v>
                </c:pt>
                <c:pt idx="1">
                  <c:v>400</c:v>
                </c:pt>
              </c:numCache>
            </c:numRef>
          </c:xVal>
          <c:yVal>
            <c:numRef>
              <c:f>GRAFICA_69!$AB$23:$AB$24</c:f>
              <c:numCache>
                <c:formatCode>0.00</c:formatCode>
                <c:ptCount val="2"/>
                <c:pt idx="0">
                  <c:v>400</c:v>
                </c:pt>
                <c:pt idx="1">
                  <c:v>200</c:v>
                </c:pt>
              </c:numCache>
            </c:numRef>
          </c:yVal>
          <c:smooth val="0"/>
          <c:extLst>
            <c:ext xmlns:c16="http://schemas.microsoft.com/office/drawing/2014/chart" uri="{C3380CC4-5D6E-409C-BE32-E72D297353CC}">
              <c16:uniqueId val="{00000006-2848-4E5B-B89F-9D95966BED0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GRAFICA_69!$AA$26:$AA$27</c:f>
              <c:numCache>
                <c:formatCode>0.00</c:formatCode>
                <c:ptCount val="2"/>
                <c:pt idx="0">
                  <c:v>400</c:v>
                </c:pt>
                <c:pt idx="1">
                  <c:v>800</c:v>
                </c:pt>
              </c:numCache>
            </c:numRef>
          </c:xVal>
          <c:yVal>
            <c:numRef>
              <c:f>GRAFICA_69!$AB$26:$AB$27</c:f>
              <c:numCache>
                <c:formatCode>0.00</c:formatCode>
                <c:ptCount val="2"/>
                <c:pt idx="0">
                  <c:v>0</c:v>
                </c:pt>
                <c:pt idx="1">
                  <c:v>200</c:v>
                </c:pt>
              </c:numCache>
            </c:numRef>
          </c:yVal>
          <c:smooth val="0"/>
          <c:extLst>
            <c:ext xmlns:c16="http://schemas.microsoft.com/office/drawing/2014/chart" uri="{C3380CC4-5D6E-409C-BE32-E72D297353CC}">
              <c16:uniqueId val="{00000007-2848-4E5B-B89F-9D95966BED0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GRAFICA_69!$AA$29:$AA$30</c:f>
              <c:numCache>
                <c:formatCode>0.00</c:formatCode>
                <c:ptCount val="2"/>
                <c:pt idx="0">
                  <c:v>400</c:v>
                </c:pt>
                <c:pt idx="1">
                  <c:v>800</c:v>
                </c:pt>
              </c:numCache>
            </c:numRef>
          </c:xVal>
          <c:yVal>
            <c:numRef>
              <c:f>GRAFICA_69!$AB$29:$AB$30</c:f>
              <c:numCache>
                <c:formatCode>0.00</c:formatCode>
                <c:ptCount val="2"/>
                <c:pt idx="0">
                  <c:v>400</c:v>
                </c:pt>
                <c:pt idx="1">
                  <c:v>200</c:v>
                </c:pt>
              </c:numCache>
            </c:numRef>
          </c:yVal>
          <c:smooth val="0"/>
          <c:extLst>
            <c:ext xmlns:c16="http://schemas.microsoft.com/office/drawing/2014/chart" uri="{C3380CC4-5D6E-409C-BE32-E72D297353CC}">
              <c16:uniqueId val="{00000008-2848-4E5B-B89F-9D95966BED0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GRAFICA_69!$AA$32:$AA$33</c:f>
              <c:numCache>
                <c:formatCode>0.00</c:formatCode>
                <c:ptCount val="2"/>
                <c:pt idx="0">
                  <c:v>400</c:v>
                </c:pt>
                <c:pt idx="1">
                  <c:v>400</c:v>
                </c:pt>
              </c:numCache>
            </c:numRef>
          </c:xVal>
          <c:yVal>
            <c:numRef>
              <c:f>GRAFICA_69!$AB$32:$AB$33</c:f>
              <c:numCache>
                <c:formatCode>0.00</c:formatCode>
                <c:ptCount val="2"/>
                <c:pt idx="0">
                  <c:v>0</c:v>
                </c:pt>
                <c:pt idx="1">
                  <c:v>400</c:v>
                </c:pt>
              </c:numCache>
            </c:numRef>
          </c:yVal>
          <c:smooth val="0"/>
          <c:extLst>
            <c:ext xmlns:c16="http://schemas.microsoft.com/office/drawing/2014/chart" uri="{C3380CC4-5D6E-409C-BE32-E72D297353CC}">
              <c16:uniqueId val="{00000009-2848-4E5B-B89F-9D95966BED0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GRAFICA_69!$AA$35:$AA$36</c:f>
              <c:numCache>
                <c:formatCode>0.00</c:formatCode>
                <c:ptCount val="2"/>
                <c:pt idx="0">
                  <c:v>400</c:v>
                </c:pt>
                <c:pt idx="1">
                  <c:v>800</c:v>
                </c:pt>
              </c:numCache>
            </c:numRef>
          </c:xVal>
          <c:yVal>
            <c:numRef>
              <c:f>GRAFICA_69!$AB$35:$AB$36</c:f>
              <c:numCache>
                <c:formatCode>0.00</c:formatCode>
                <c:ptCount val="2"/>
                <c:pt idx="0">
                  <c:v>200</c:v>
                </c:pt>
                <c:pt idx="1">
                  <c:v>200</c:v>
                </c:pt>
              </c:numCache>
            </c:numRef>
          </c:yVal>
          <c:smooth val="0"/>
          <c:extLst>
            <c:ext xmlns:c16="http://schemas.microsoft.com/office/drawing/2014/chart" uri="{C3380CC4-5D6E-409C-BE32-E72D297353CC}">
              <c16:uniqueId val="{0000000A-2848-4E5B-B89F-9D95966BED0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GRAFICA_70!$AA$5:$AA$6</c:f>
              <c:numCache>
                <c:formatCode>0.00</c:formatCode>
                <c:ptCount val="2"/>
                <c:pt idx="0">
                  <c:v>0</c:v>
                </c:pt>
                <c:pt idx="1">
                  <c:v>400</c:v>
                </c:pt>
              </c:numCache>
            </c:numRef>
          </c:xVal>
          <c:yVal>
            <c:numRef>
              <c:f>GRAFICA_70!$AB$5:$AB$6</c:f>
              <c:numCache>
                <c:formatCode>0.00</c:formatCode>
                <c:ptCount val="2"/>
                <c:pt idx="0">
                  <c:v>0</c:v>
                </c:pt>
                <c:pt idx="1">
                  <c:v>0</c:v>
                </c:pt>
              </c:numCache>
            </c:numRef>
          </c:yVal>
          <c:smooth val="0"/>
          <c:extLst>
            <c:ext xmlns:c16="http://schemas.microsoft.com/office/drawing/2014/chart" uri="{C3380CC4-5D6E-409C-BE32-E72D297353CC}">
              <c16:uniqueId val="{00000000-AF2F-4C35-9BC4-C3B570034A8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GRAFICA_70!$AA$8:$AA$9</c:f>
              <c:numCache>
                <c:formatCode>0.00</c:formatCode>
                <c:ptCount val="2"/>
                <c:pt idx="0">
                  <c:v>400</c:v>
                </c:pt>
                <c:pt idx="1">
                  <c:v>800</c:v>
                </c:pt>
              </c:numCache>
            </c:numRef>
          </c:xVal>
          <c:yVal>
            <c:numRef>
              <c:f>GRAFICA_70!$AB$8:$AB$9</c:f>
              <c:numCache>
                <c:formatCode>0.00</c:formatCode>
                <c:ptCount val="2"/>
                <c:pt idx="0">
                  <c:v>0</c:v>
                </c:pt>
                <c:pt idx="1">
                  <c:v>0</c:v>
                </c:pt>
              </c:numCache>
            </c:numRef>
          </c:yVal>
          <c:smooth val="0"/>
          <c:extLst>
            <c:ext xmlns:c16="http://schemas.microsoft.com/office/drawing/2014/chart" uri="{C3380CC4-5D6E-409C-BE32-E72D297353CC}">
              <c16:uniqueId val="{00000001-AF2F-4C35-9BC4-C3B570034A8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GRAFICA_70!$AA$11:$AA$12</c:f>
              <c:numCache>
                <c:formatCode>0.00</c:formatCode>
                <c:ptCount val="2"/>
                <c:pt idx="0">
                  <c:v>0</c:v>
                </c:pt>
                <c:pt idx="1">
                  <c:v>400</c:v>
                </c:pt>
              </c:numCache>
            </c:numRef>
          </c:xVal>
          <c:yVal>
            <c:numRef>
              <c:f>GRAFICA_70!$AB$11:$AB$12</c:f>
              <c:numCache>
                <c:formatCode>0.00</c:formatCode>
                <c:ptCount val="2"/>
                <c:pt idx="0">
                  <c:v>300</c:v>
                </c:pt>
                <c:pt idx="1">
                  <c:v>300</c:v>
                </c:pt>
              </c:numCache>
            </c:numRef>
          </c:yVal>
          <c:smooth val="0"/>
          <c:extLst>
            <c:ext xmlns:c16="http://schemas.microsoft.com/office/drawing/2014/chart" uri="{C3380CC4-5D6E-409C-BE32-E72D297353CC}">
              <c16:uniqueId val="{00000002-AF2F-4C35-9BC4-C3B570034A8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GRAFICA_70!$AA$14:$AA$15</c:f>
              <c:numCache>
                <c:formatCode>0.00</c:formatCode>
                <c:ptCount val="2"/>
                <c:pt idx="0">
                  <c:v>400</c:v>
                </c:pt>
                <c:pt idx="1">
                  <c:v>800</c:v>
                </c:pt>
              </c:numCache>
            </c:numRef>
          </c:xVal>
          <c:yVal>
            <c:numRef>
              <c:f>GRAFICA_70!$AB$14:$AB$15</c:f>
              <c:numCache>
                <c:formatCode>0.00</c:formatCode>
                <c:ptCount val="2"/>
                <c:pt idx="0">
                  <c:v>300</c:v>
                </c:pt>
                <c:pt idx="1">
                  <c:v>300</c:v>
                </c:pt>
              </c:numCache>
            </c:numRef>
          </c:yVal>
          <c:smooth val="0"/>
          <c:extLst>
            <c:ext xmlns:c16="http://schemas.microsoft.com/office/drawing/2014/chart" uri="{C3380CC4-5D6E-409C-BE32-E72D297353CC}">
              <c16:uniqueId val="{00000003-AF2F-4C35-9BC4-C3B570034A8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GRAFICA_70!$AA$17:$AA$18</c:f>
              <c:numCache>
                <c:formatCode>0.00</c:formatCode>
                <c:ptCount val="2"/>
                <c:pt idx="0">
                  <c:v>0</c:v>
                </c:pt>
                <c:pt idx="1">
                  <c:v>0</c:v>
                </c:pt>
              </c:numCache>
            </c:numRef>
          </c:xVal>
          <c:yVal>
            <c:numRef>
              <c:f>GRAFICA_70!$AB$17:$AB$18</c:f>
              <c:numCache>
                <c:formatCode>0.00</c:formatCode>
                <c:ptCount val="2"/>
                <c:pt idx="0">
                  <c:v>0</c:v>
                </c:pt>
                <c:pt idx="1">
                  <c:v>300</c:v>
                </c:pt>
              </c:numCache>
            </c:numRef>
          </c:yVal>
          <c:smooth val="0"/>
          <c:extLst>
            <c:ext xmlns:c16="http://schemas.microsoft.com/office/drawing/2014/chart" uri="{C3380CC4-5D6E-409C-BE32-E72D297353CC}">
              <c16:uniqueId val="{00000004-AF2F-4C35-9BC4-C3B570034A8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GRAFICA_70!$AA$20:$AA$21</c:f>
              <c:numCache>
                <c:formatCode>0.00</c:formatCode>
                <c:ptCount val="2"/>
                <c:pt idx="0">
                  <c:v>400</c:v>
                </c:pt>
                <c:pt idx="1">
                  <c:v>400</c:v>
                </c:pt>
              </c:numCache>
            </c:numRef>
          </c:xVal>
          <c:yVal>
            <c:numRef>
              <c:f>GRAFICA_70!$AB$20:$AB$21</c:f>
              <c:numCache>
                <c:formatCode>0.00</c:formatCode>
                <c:ptCount val="2"/>
                <c:pt idx="0">
                  <c:v>0</c:v>
                </c:pt>
                <c:pt idx="1">
                  <c:v>300</c:v>
                </c:pt>
              </c:numCache>
            </c:numRef>
          </c:yVal>
          <c:smooth val="0"/>
          <c:extLst>
            <c:ext xmlns:c16="http://schemas.microsoft.com/office/drawing/2014/chart" uri="{C3380CC4-5D6E-409C-BE32-E72D297353CC}">
              <c16:uniqueId val="{00000005-AF2F-4C35-9BC4-C3B570034A8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GRAFICA_70!$AA$23:$AA$24</c:f>
              <c:numCache>
                <c:formatCode>0.00</c:formatCode>
                <c:ptCount val="2"/>
                <c:pt idx="0">
                  <c:v>800</c:v>
                </c:pt>
                <c:pt idx="1">
                  <c:v>800</c:v>
                </c:pt>
              </c:numCache>
            </c:numRef>
          </c:xVal>
          <c:yVal>
            <c:numRef>
              <c:f>GRAFICA_70!$AB$23:$AB$24</c:f>
              <c:numCache>
                <c:formatCode>0.00</c:formatCode>
                <c:ptCount val="2"/>
                <c:pt idx="0">
                  <c:v>0</c:v>
                </c:pt>
                <c:pt idx="1">
                  <c:v>300</c:v>
                </c:pt>
              </c:numCache>
            </c:numRef>
          </c:yVal>
          <c:smooth val="0"/>
          <c:extLst>
            <c:ext xmlns:c16="http://schemas.microsoft.com/office/drawing/2014/chart" uri="{C3380CC4-5D6E-409C-BE32-E72D297353CC}">
              <c16:uniqueId val="{00000006-AF2F-4C35-9BC4-C3B570034A8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GRAFICA_70!$AA$26:$AA$27</c:f>
              <c:numCache>
                <c:formatCode>0.00</c:formatCode>
                <c:ptCount val="2"/>
                <c:pt idx="0">
                  <c:v>0</c:v>
                </c:pt>
                <c:pt idx="1">
                  <c:v>400</c:v>
                </c:pt>
              </c:numCache>
            </c:numRef>
          </c:xVal>
          <c:yVal>
            <c:numRef>
              <c:f>GRAFICA_70!$AB$26:$AB$27</c:f>
              <c:numCache>
                <c:formatCode>0.00</c:formatCode>
                <c:ptCount val="2"/>
                <c:pt idx="0">
                  <c:v>0</c:v>
                </c:pt>
                <c:pt idx="1">
                  <c:v>300</c:v>
                </c:pt>
              </c:numCache>
            </c:numRef>
          </c:yVal>
          <c:smooth val="0"/>
          <c:extLst>
            <c:ext xmlns:c16="http://schemas.microsoft.com/office/drawing/2014/chart" uri="{C3380CC4-5D6E-409C-BE32-E72D297353CC}">
              <c16:uniqueId val="{00000007-AF2F-4C35-9BC4-C3B570034A8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GRAFICA_70!$AA$29:$AA$30</c:f>
              <c:numCache>
                <c:formatCode>0.00</c:formatCode>
                <c:ptCount val="2"/>
                <c:pt idx="0">
                  <c:v>0</c:v>
                </c:pt>
                <c:pt idx="1">
                  <c:v>400</c:v>
                </c:pt>
              </c:numCache>
            </c:numRef>
          </c:xVal>
          <c:yVal>
            <c:numRef>
              <c:f>GRAFICA_70!$AB$29:$AB$30</c:f>
              <c:numCache>
                <c:formatCode>0.00</c:formatCode>
                <c:ptCount val="2"/>
                <c:pt idx="0">
                  <c:v>300</c:v>
                </c:pt>
                <c:pt idx="1">
                  <c:v>0</c:v>
                </c:pt>
              </c:numCache>
            </c:numRef>
          </c:yVal>
          <c:smooth val="0"/>
          <c:extLst>
            <c:ext xmlns:c16="http://schemas.microsoft.com/office/drawing/2014/chart" uri="{C3380CC4-5D6E-409C-BE32-E72D297353CC}">
              <c16:uniqueId val="{00000008-AF2F-4C35-9BC4-C3B570034A80}"/>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GRAFICA_70!$AA$32:$AA$33</c:f>
              <c:numCache>
                <c:formatCode>0.00</c:formatCode>
                <c:ptCount val="2"/>
                <c:pt idx="0">
                  <c:v>400</c:v>
                </c:pt>
                <c:pt idx="1">
                  <c:v>800</c:v>
                </c:pt>
              </c:numCache>
            </c:numRef>
          </c:xVal>
          <c:yVal>
            <c:numRef>
              <c:f>GRAFICA_70!$AB$32:$AB$33</c:f>
              <c:numCache>
                <c:formatCode>0.00</c:formatCode>
                <c:ptCount val="2"/>
                <c:pt idx="0">
                  <c:v>0</c:v>
                </c:pt>
                <c:pt idx="1">
                  <c:v>300</c:v>
                </c:pt>
              </c:numCache>
            </c:numRef>
          </c:yVal>
          <c:smooth val="0"/>
          <c:extLst>
            <c:ext xmlns:c16="http://schemas.microsoft.com/office/drawing/2014/chart" uri="{C3380CC4-5D6E-409C-BE32-E72D297353CC}">
              <c16:uniqueId val="{00000009-AF2F-4C35-9BC4-C3B570034A80}"/>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GRAFICA_70!$AA$35:$AA$36</c:f>
              <c:numCache>
                <c:formatCode>0.00</c:formatCode>
                <c:ptCount val="2"/>
                <c:pt idx="0">
                  <c:v>400</c:v>
                </c:pt>
                <c:pt idx="1">
                  <c:v>800</c:v>
                </c:pt>
              </c:numCache>
            </c:numRef>
          </c:xVal>
          <c:yVal>
            <c:numRef>
              <c:f>GRAFICA_70!$AB$35:$AB$36</c:f>
              <c:numCache>
                <c:formatCode>0.00</c:formatCode>
                <c:ptCount val="2"/>
                <c:pt idx="0">
                  <c:v>300</c:v>
                </c:pt>
                <c:pt idx="1">
                  <c:v>0</c:v>
                </c:pt>
              </c:numCache>
            </c:numRef>
          </c:yVal>
          <c:smooth val="0"/>
          <c:extLst>
            <c:ext xmlns:c16="http://schemas.microsoft.com/office/drawing/2014/chart" uri="{C3380CC4-5D6E-409C-BE32-E72D297353CC}">
              <c16:uniqueId val="{0000000A-AF2F-4C35-9BC4-C3B570034A8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70.xml"/></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4381500" cy="2952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6</xdr:col>
      <xdr:colOff>0</xdr:colOff>
      <xdr:row>6</xdr:row>
      <xdr:rowOff>0</xdr:rowOff>
    </xdr:from>
    <xdr:ext cx="4667250" cy="2952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25</xdr:row>
      <xdr:rowOff>0</xdr:rowOff>
    </xdr:from>
    <xdr:ext cx="4572000" cy="27622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6</xdr:col>
      <xdr:colOff>0</xdr:colOff>
      <xdr:row>25</xdr:row>
      <xdr:rowOff>0</xdr:rowOff>
    </xdr:from>
    <xdr:ext cx="4476750" cy="2762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43</xdr:row>
      <xdr:rowOff>0</xdr:rowOff>
    </xdr:from>
    <xdr:ext cx="4476750" cy="2857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73730" name="AutoShape 2">
          <a:extLst>
            <a:ext uri="{FF2B5EF4-FFF2-40B4-BE49-F238E27FC236}">
              <a16:creationId xmlns:a16="http://schemas.microsoft.com/office/drawing/2014/main" id="{18F70324-C4F1-27CC-AAFD-57660046B035}"/>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2" name="AutoShape 2">
          <a:extLst>
            <a:ext uri="{FF2B5EF4-FFF2-40B4-BE49-F238E27FC236}">
              <a16:creationId xmlns:a16="http://schemas.microsoft.com/office/drawing/2014/main" id="{8D3C5966-E5AC-4F34-BCA9-F1D4A9D0A0EE}"/>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434340</xdr:colOff>
      <xdr:row>13</xdr:row>
      <xdr:rowOff>152400</xdr:rowOff>
    </xdr:from>
    <xdr:to>
      <xdr:col>17</xdr:col>
      <xdr:colOff>502920</xdr:colOff>
      <xdr:row>28</xdr:row>
      <xdr:rowOff>206605</xdr:rowOff>
    </xdr:to>
    <xdr:pic>
      <xdr:nvPicPr>
        <xdr:cNvPr id="3" name="Imagen 2">
          <a:extLst>
            <a:ext uri="{FF2B5EF4-FFF2-40B4-BE49-F238E27FC236}">
              <a16:creationId xmlns:a16="http://schemas.microsoft.com/office/drawing/2014/main" id="{EA897006-420D-4EEF-88F5-02A780FAD5B7}"/>
            </a:ext>
          </a:extLst>
        </xdr:cNvPr>
        <xdr:cNvPicPr>
          <a:picLocks noChangeAspect="1"/>
        </xdr:cNvPicPr>
      </xdr:nvPicPr>
      <xdr:blipFill>
        <a:blip xmlns:r="http://schemas.openxmlformats.org/officeDocument/2006/relationships" r:embed="rId1"/>
        <a:stretch>
          <a:fillRect/>
        </a:stretch>
      </xdr:blipFill>
      <xdr:spPr>
        <a:xfrm>
          <a:off x="8061960" y="3238500"/>
          <a:ext cx="6858000" cy="34374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2" name="AutoShape 2">
          <a:extLst>
            <a:ext uri="{FF2B5EF4-FFF2-40B4-BE49-F238E27FC236}">
              <a16:creationId xmlns:a16="http://schemas.microsoft.com/office/drawing/2014/main" id="{759B1757-BC2B-4CE3-86CF-2562A65EA27F}"/>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434340</xdr:colOff>
      <xdr:row>13</xdr:row>
      <xdr:rowOff>152400</xdr:rowOff>
    </xdr:from>
    <xdr:to>
      <xdr:col>17</xdr:col>
      <xdr:colOff>502920</xdr:colOff>
      <xdr:row>28</xdr:row>
      <xdr:rowOff>206605</xdr:rowOff>
    </xdr:to>
    <xdr:pic>
      <xdr:nvPicPr>
        <xdr:cNvPr id="3" name="Imagen 2">
          <a:extLst>
            <a:ext uri="{FF2B5EF4-FFF2-40B4-BE49-F238E27FC236}">
              <a16:creationId xmlns:a16="http://schemas.microsoft.com/office/drawing/2014/main" id="{79901903-67D0-4B86-BE97-8A9455713D4A}"/>
            </a:ext>
          </a:extLst>
        </xdr:cNvPr>
        <xdr:cNvPicPr>
          <a:picLocks noChangeAspect="1"/>
        </xdr:cNvPicPr>
      </xdr:nvPicPr>
      <xdr:blipFill>
        <a:blip xmlns:r="http://schemas.openxmlformats.org/officeDocument/2006/relationships" r:embed="rId1"/>
        <a:stretch>
          <a:fillRect/>
        </a:stretch>
      </xdr:blipFill>
      <xdr:spPr>
        <a:xfrm>
          <a:off x="8061960" y="3238500"/>
          <a:ext cx="6858000" cy="34374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2" name="AutoShape 2">
          <a:extLst>
            <a:ext uri="{FF2B5EF4-FFF2-40B4-BE49-F238E27FC236}">
              <a16:creationId xmlns:a16="http://schemas.microsoft.com/office/drawing/2014/main" id="{266327C4-7F4F-473A-B715-6BD09BDA3A86}"/>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434340</xdr:colOff>
      <xdr:row>13</xdr:row>
      <xdr:rowOff>152400</xdr:rowOff>
    </xdr:from>
    <xdr:to>
      <xdr:col>17</xdr:col>
      <xdr:colOff>502920</xdr:colOff>
      <xdr:row>28</xdr:row>
      <xdr:rowOff>206605</xdr:rowOff>
    </xdr:to>
    <xdr:pic>
      <xdr:nvPicPr>
        <xdr:cNvPr id="3" name="Imagen 2">
          <a:extLst>
            <a:ext uri="{FF2B5EF4-FFF2-40B4-BE49-F238E27FC236}">
              <a16:creationId xmlns:a16="http://schemas.microsoft.com/office/drawing/2014/main" id="{FF7AFB59-1C8A-4F8A-96BE-F7D3916D39D1}"/>
            </a:ext>
          </a:extLst>
        </xdr:cNvPr>
        <xdr:cNvPicPr>
          <a:picLocks noChangeAspect="1"/>
        </xdr:cNvPicPr>
      </xdr:nvPicPr>
      <xdr:blipFill>
        <a:blip xmlns:r="http://schemas.openxmlformats.org/officeDocument/2006/relationships" r:embed="rId1"/>
        <a:stretch>
          <a:fillRect/>
        </a:stretch>
      </xdr:blipFill>
      <xdr:spPr>
        <a:xfrm>
          <a:off x="8061960" y="3238500"/>
          <a:ext cx="6858000" cy="34374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0</xdr:colOff>
      <xdr:row>25</xdr:row>
      <xdr:rowOff>0</xdr:rowOff>
    </xdr:from>
    <xdr:ext cx="4381500" cy="3048000"/>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7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
  <sheetViews>
    <sheetView topLeftCell="A39" workbookViewId="0">
      <selection activeCell="C3" sqref="C1:C1048576"/>
    </sheetView>
  </sheetViews>
  <sheetFormatPr baseColWidth="10" defaultColWidth="8.88671875" defaultRowHeight="14.4" x14ac:dyDescent="0.3"/>
  <cols>
    <col min="1" max="1" width="4" style="98" customWidth="1"/>
    <col min="2" max="2" width="10" style="98" customWidth="1"/>
    <col min="3" max="3" width="34" style="98" customWidth="1"/>
    <col min="4" max="4" width="24" style="98" customWidth="1"/>
    <col min="5" max="8" width="10" style="98" customWidth="1"/>
    <col min="9" max="9" width="22" style="98" customWidth="1"/>
    <col min="10" max="10" width="18" style="98" customWidth="1"/>
    <col min="11" max="11" width="22" style="98" customWidth="1"/>
    <col min="12" max="12" width="4" style="98" customWidth="1"/>
  </cols>
  <sheetData>
    <row r="1" spans="2:11" ht="28.05" customHeight="1" x14ac:dyDescent="0.3">
      <c r="B1" s="174" t="s">
        <v>0</v>
      </c>
      <c r="C1" s="175"/>
      <c r="D1" s="175"/>
      <c r="E1" s="175"/>
      <c r="F1" s="175"/>
      <c r="G1" s="175"/>
      <c r="H1" s="175"/>
      <c r="I1" s="175"/>
      <c r="J1" s="175"/>
      <c r="K1" s="175"/>
    </row>
    <row r="2" spans="2:11" ht="18" customHeight="1" x14ac:dyDescent="0.3">
      <c r="B2" s="182" t="s">
        <v>1</v>
      </c>
      <c r="C2" s="175"/>
      <c r="D2" s="175"/>
      <c r="E2" s="175"/>
      <c r="F2" s="175"/>
      <c r="G2" s="175"/>
      <c r="H2" s="175"/>
      <c r="I2" s="175"/>
      <c r="J2" s="175"/>
      <c r="K2" s="175"/>
    </row>
    <row r="4" spans="2:11" ht="22.05" customHeight="1" x14ac:dyDescent="0.3">
      <c r="B4" s="181" t="s">
        <v>2</v>
      </c>
      <c r="C4" s="175"/>
      <c r="D4" s="175"/>
      <c r="E4" s="175"/>
      <c r="F4" s="175"/>
      <c r="G4" s="175"/>
      <c r="H4" s="175"/>
      <c r="I4" s="175"/>
      <c r="J4" s="175"/>
      <c r="K4" s="175"/>
    </row>
    <row r="5" spans="2:11" ht="36" customHeight="1" x14ac:dyDescent="0.3">
      <c r="B5" s="176" t="s">
        <v>3</v>
      </c>
      <c r="C5" s="172"/>
      <c r="D5" s="172"/>
      <c r="E5" s="172"/>
      <c r="F5" s="172"/>
      <c r="G5" s="172"/>
      <c r="H5" s="172"/>
      <c r="I5" s="172"/>
      <c r="J5" s="172"/>
      <c r="K5" s="173"/>
    </row>
    <row r="7" spans="2:11" ht="19.95" customHeight="1" x14ac:dyDescent="0.3"/>
    <row r="8" spans="2:11" ht="18" customHeight="1" x14ac:dyDescent="0.3"/>
    <row r="9" spans="2:11" ht="18" customHeight="1" x14ac:dyDescent="0.3"/>
    <row r="10" spans="2:11" ht="18" customHeight="1" x14ac:dyDescent="0.3"/>
    <row r="11" spans="2:11" ht="18" customHeight="1" x14ac:dyDescent="0.3"/>
    <row r="12" spans="2:11" ht="18" customHeight="1" x14ac:dyDescent="0.3"/>
    <row r="13" spans="2:11" ht="18" customHeight="1" x14ac:dyDescent="0.3"/>
    <row r="14" spans="2:11" ht="18" customHeight="1" x14ac:dyDescent="0.3"/>
    <row r="15" spans="2:11" ht="18" customHeight="1" x14ac:dyDescent="0.3"/>
    <row r="16" spans="2:11" ht="18" customHeight="1" x14ac:dyDescent="0.3"/>
    <row r="17" spans="2:11" ht="18" customHeight="1" x14ac:dyDescent="0.3"/>
    <row r="18" spans="2:11" ht="18" customHeight="1" x14ac:dyDescent="0.3"/>
    <row r="19" spans="2:11" ht="18" customHeight="1" x14ac:dyDescent="0.3"/>
    <row r="20" spans="2:11" ht="18" customHeight="1" x14ac:dyDescent="0.3"/>
    <row r="21" spans="2:11" ht="18" customHeight="1" x14ac:dyDescent="0.3"/>
    <row r="22" spans="2:11" ht="18" customHeight="1" x14ac:dyDescent="0.3"/>
    <row r="23" spans="2:11" ht="18" customHeight="1" x14ac:dyDescent="0.3"/>
    <row r="24" spans="2:11" x14ac:dyDescent="0.3">
      <c r="B24" s="177" t="s">
        <v>4</v>
      </c>
      <c r="C24" s="175"/>
      <c r="D24" s="175"/>
      <c r="E24" s="175"/>
      <c r="F24" s="175"/>
      <c r="G24" s="177" t="s">
        <v>5</v>
      </c>
      <c r="H24" s="175"/>
      <c r="I24" s="175"/>
      <c r="J24" s="175"/>
      <c r="K24" s="175"/>
    </row>
    <row r="26" spans="2:11" ht="18" customHeight="1" x14ac:dyDescent="0.3"/>
    <row r="27" spans="2:11" ht="18" customHeight="1" x14ac:dyDescent="0.3"/>
    <row r="28" spans="2:11" ht="18" customHeight="1" x14ac:dyDescent="0.3"/>
    <row r="29" spans="2:11" ht="18" customHeight="1" x14ac:dyDescent="0.3"/>
    <row r="30" spans="2:11" ht="18" customHeight="1" x14ac:dyDescent="0.3"/>
    <row r="31" spans="2:11" ht="18" customHeight="1" x14ac:dyDescent="0.3"/>
    <row r="32" spans="2:11" ht="18" customHeight="1" x14ac:dyDescent="0.3"/>
    <row r="33" spans="2:11" ht="18" customHeight="1" x14ac:dyDescent="0.3"/>
    <row r="34" spans="2:11" ht="18" customHeight="1" x14ac:dyDescent="0.3"/>
    <row r="35" spans="2:11" ht="18" customHeight="1" x14ac:dyDescent="0.3"/>
    <row r="36" spans="2:11" ht="18" customHeight="1" x14ac:dyDescent="0.3"/>
    <row r="37" spans="2:11" ht="18" customHeight="1" x14ac:dyDescent="0.3"/>
    <row r="38" spans="2:11" ht="18" customHeight="1" x14ac:dyDescent="0.3"/>
    <row r="39" spans="2:11" ht="18" customHeight="1" x14ac:dyDescent="0.3"/>
    <row r="40" spans="2:11" ht="18" customHeight="1" x14ac:dyDescent="0.3"/>
    <row r="41" spans="2:11" ht="18" customHeight="1" x14ac:dyDescent="0.3"/>
    <row r="42" spans="2:11" x14ac:dyDescent="0.3">
      <c r="B42" s="177" t="s">
        <v>6</v>
      </c>
      <c r="C42" s="175"/>
      <c r="D42" s="175"/>
      <c r="E42" s="175"/>
      <c r="F42" s="175"/>
      <c r="G42" s="177" t="s">
        <v>7</v>
      </c>
      <c r="H42" s="175"/>
      <c r="I42" s="175"/>
      <c r="J42" s="175"/>
      <c r="K42" s="175"/>
    </row>
    <row r="44" spans="2:11" ht="18" customHeight="1" x14ac:dyDescent="0.3">
      <c r="G44" s="179" t="s">
        <v>8</v>
      </c>
      <c r="H44" s="175"/>
      <c r="I44" s="175"/>
      <c r="J44" s="175"/>
      <c r="K44" s="175"/>
    </row>
    <row r="45" spans="2:11" ht="18" customHeight="1" x14ac:dyDescent="0.3">
      <c r="G45" s="176" t="s">
        <v>9</v>
      </c>
      <c r="H45" s="172"/>
      <c r="I45" s="172"/>
      <c r="J45" s="172"/>
      <c r="K45" s="173"/>
    </row>
    <row r="46" spans="2:11" ht="18" customHeight="1" x14ac:dyDescent="0.3">
      <c r="G46" s="171" t="s">
        <v>10</v>
      </c>
      <c r="H46" s="172"/>
      <c r="I46" s="172"/>
      <c r="J46" s="172"/>
      <c r="K46" s="173"/>
    </row>
    <row r="47" spans="2:11" ht="18" customHeight="1" x14ac:dyDescent="0.3">
      <c r="G47" s="176" t="s">
        <v>11</v>
      </c>
      <c r="H47" s="172"/>
      <c r="I47" s="172"/>
      <c r="J47" s="172"/>
      <c r="K47" s="173"/>
    </row>
    <row r="48" spans="2:11" ht="18" customHeight="1" x14ac:dyDescent="0.3">
      <c r="G48" s="171" t="s">
        <v>12</v>
      </c>
      <c r="H48" s="172"/>
      <c r="I48" s="172"/>
      <c r="J48" s="172"/>
      <c r="K48" s="173"/>
    </row>
    <row r="49" spans="2:11" ht="18" customHeight="1" x14ac:dyDescent="0.3">
      <c r="G49" s="176" t="s">
        <v>13</v>
      </c>
      <c r="H49" s="172"/>
      <c r="I49" s="172"/>
      <c r="J49" s="172"/>
      <c r="K49" s="173"/>
    </row>
    <row r="50" spans="2:11" ht="18" customHeight="1" x14ac:dyDescent="0.3">
      <c r="G50" s="171" t="s">
        <v>14</v>
      </c>
      <c r="H50" s="172"/>
      <c r="I50" s="172"/>
      <c r="J50" s="172"/>
      <c r="K50" s="173"/>
    </row>
    <row r="51" spans="2:11" ht="18" customHeight="1" x14ac:dyDescent="0.3">
      <c r="G51" s="176" t="s">
        <v>15</v>
      </c>
      <c r="H51" s="172"/>
      <c r="I51" s="172"/>
      <c r="J51" s="172"/>
      <c r="K51" s="173"/>
    </row>
    <row r="52" spans="2:11" ht="18" customHeight="1" x14ac:dyDescent="0.3">
      <c r="G52" s="171" t="s">
        <v>16</v>
      </c>
      <c r="H52" s="172"/>
      <c r="I52" s="172"/>
      <c r="J52" s="172"/>
      <c r="K52" s="173"/>
    </row>
    <row r="53" spans="2:11" ht="18" customHeight="1" x14ac:dyDescent="0.3">
      <c r="G53" s="176" t="s">
        <v>17</v>
      </c>
      <c r="H53" s="172"/>
      <c r="I53" s="172"/>
      <c r="J53" s="172"/>
      <c r="K53" s="173"/>
    </row>
    <row r="54" spans="2:11" ht="18" customHeight="1" x14ac:dyDescent="0.3">
      <c r="G54" s="171" t="s">
        <v>18</v>
      </c>
      <c r="H54" s="172"/>
      <c r="I54" s="172"/>
      <c r="J54" s="172"/>
      <c r="K54" s="173"/>
    </row>
    <row r="55" spans="2:11" ht="18" customHeight="1" x14ac:dyDescent="0.3"/>
    <row r="56" spans="2:11" ht="18" customHeight="1" x14ac:dyDescent="0.3"/>
    <row r="57" spans="2:11" ht="18" customHeight="1" x14ac:dyDescent="0.3"/>
    <row r="58" spans="2:11" ht="18" customHeight="1" x14ac:dyDescent="0.3"/>
    <row r="59" spans="2:11" ht="18" customHeight="1" x14ac:dyDescent="0.3"/>
    <row r="60" spans="2:11" x14ac:dyDescent="0.3">
      <c r="B60" s="177" t="s">
        <v>19</v>
      </c>
      <c r="C60" s="175"/>
      <c r="D60" s="175"/>
      <c r="E60" s="175"/>
      <c r="F60" s="175"/>
    </row>
    <row r="62" spans="2:11" ht="22.05" customHeight="1" x14ac:dyDescent="0.3">
      <c r="B62" s="184" t="s">
        <v>20</v>
      </c>
      <c r="C62" s="175"/>
      <c r="D62" s="175"/>
      <c r="E62" s="175"/>
      <c r="F62" s="175"/>
      <c r="G62" s="175"/>
      <c r="H62" s="175"/>
      <c r="I62" s="175"/>
      <c r="J62" s="175"/>
      <c r="K62" s="175"/>
    </row>
    <row r="63" spans="2:11" ht="24" customHeight="1" x14ac:dyDescent="0.3">
      <c r="B63" s="89" t="s">
        <v>21</v>
      </c>
      <c r="C63" s="183" t="s">
        <v>22</v>
      </c>
      <c r="D63" s="173"/>
      <c r="E63" s="171" t="s">
        <v>23</v>
      </c>
      <c r="F63" s="172"/>
      <c r="G63" s="172"/>
      <c r="H63" s="172"/>
      <c r="I63" s="172"/>
      <c r="J63" s="172"/>
      <c r="K63" s="173"/>
    </row>
    <row r="64" spans="2:11" ht="24" customHeight="1" x14ac:dyDescent="0.3">
      <c r="B64" s="89" t="s">
        <v>24</v>
      </c>
      <c r="C64" s="178" t="s">
        <v>25</v>
      </c>
      <c r="D64" s="173"/>
      <c r="E64" s="171" t="s">
        <v>26</v>
      </c>
      <c r="F64" s="172"/>
      <c r="G64" s="172"/>
      <c r="H64" s="172"/>
      <c r="I64" s="172"/>
      <c r="J64" s="172"/>
      <c r="K64" s="173"/>
    </row>
    <row r="65" spans="2:11" ht="24" customHeight="1" x14ac:dyDescent="0.3">
      <c r="B65" s="89" t="s">
        <v>27</v>
      </c>
      <c r="C65" s="183" t="s">
        <v>28</v>
      </c>
      <c r="D65" s="173"/>
      <c r="E65" s="171" t="s">
        <v>29</v>
      </c>
      <c r="F65" s="172"/>
      <c r="G65" s="172"/>
      <c r="H65" s="172"/>
      <c r="I65" s="172"/>
      <c r="J65" s="172"/>
      <c r="K65" s="173"/>
    </row>
    <row r="66" spans="2:11" ht="24" customHeight="1" x14ac:dyDescent="0.3">
      <c r="B66" s="89" t="s">
        <v>30</v>
      </c>
      <c r="C66" s="180" t="s">
        <v>31</v>
      </c>
      <c r="D66" s="173"/>
      <c r="E66" s="171" t="s">
        <v>32</v>
      </c>
      <c r="F66" s="172"/>
      <c r="G66" s="172"/>
      <c r="H66" s="172"/>
      <c r="I66" s="172"/>
      <c r="J66" s="172"/>
      <c r="K66" s="173"/>
    </row>
    <row r="67" spans="2:11" ht="24" customHeight="1" x14ac:dyDescent="0.3">
      <c r="B67" s="89" t="s">
        <v>33</v>
      </c>
      <c r="C67" s="178" t="s">
        <v>34</v>
      </c>
      <c r="D67" s="173"/>
      <c r="E67" s="171" t="s">
        <v>35</v>
      </c>
      <c r="F67" s="172"/>
      <c r="G67" s="172"/>
      <c r="H67" s="172"/>
      <c r="I67" s="172"/>
      <c r="J67" s="172"/>
      <c r="K67" s="173"/>
    </row>
    <row r="70" spans="2:11" ht="22.05" customHeight="1" x14ac:dyDescent="0.3">
      <c r="B70" s="181" t="s">
        <v>36</v>
      </c>
      <c r="C70" s="175"/>
      <c r="D70" s="175"/>
      <c r="E70" s="175"/>
      <c r="F70" s="175"/>
      <c r="G70" s="175"/>
      <c r="H70" s="175"/>
      <c r="I70" s="175"/>
      <c r="J70" s="175"/>
      <c r="K70" s="175"/>
    </row>
    <row r="71" spans="2:11" ht="22.05" customHeight="1" x14ac:dyDescent="0.3">
      <c r="B71" s="1" t="s">
        <v>37</v>
      </c>
      <c r="C71" s="86" t="s">
        <v>38</v>
      </c>
      <c r="D71" s="171" t="s">
        <v>39</v>
      </c>
      <c r="E71" s="172"/>
      <c r="F71" s="172"/>
      <c r="G71" s="172"/>
      <c r="H71" s="172"/>
      <c r="I71" s="172"/>
      <c r="J71" s="172"/>
      <c r="K71" s="173"/>
    </row>
    <row r="72" spans="2:11" ht="22.05" customHeight="1" x14ac:dyDescent="0.3">
      <c r="B72" s="1" t="s">
        <v>40</v>
      </c>
      <c r="C72" s="82" t="s">
        <v>41</v>
      </c>
      <c r="D72" s="171" t="s">
        <v>42</v>
      </c>
      <c r="E72" s="172"/>
      <c r="F72" s="172"/>
      <c r="G72" s="172"/>
      <c r="H72" s="172"/>
      <c r="I72" s="172"/>
      <c r="J72" s="172"/>
      <c r="K72" s="173"/>
    </row>
    <row r="73" spans="2:11" ht="22.05" customHeight="1" x14ac:dyDescent="0.3">
      <c r="B73" s="1" t="s">
        <v>43</v>
      </c>
      <c r="C73" s="86" t="s">
        <v>44</v>
      </c>
      <c r="D73" s="171" t="s">
        <v>45</v>
      </c>
      <c r="E73" s="172"/>
      <c r="F73" s="172"/>
      <c r="G73" s="172"/>
      <c r="H73" s="172"/>
      <c r="I73" s="172"/>
      <c r="J73" s="172"/>
      <c r="K73" s="173"/>
    </row>
    <row r="74" spans="2:11" ht="22.05" customHeight="1" x14ac:dyDescent="0.3">
      <c r="B74" s="1" t="s">
        <v>46</v>
      </c>
      <c r="C74" s="86" t="s">
        <v>47</v>
      </c>
      <c r="D74" s="171" t="s">
        <v>48</v>
      </c>
      <c r="E74" s="172"/>
      <c r="F74" s="172"/>
      <c r="G74" s="172"/>
      <c r="H74" s="172"/>
      <c r="I74" s="172"/>
      <c r="J74" s="172"/>
      <c r="K74" s="173"/>
    </row>
    <row r="75" spans="2:11" ht="22.05" customHeight="1" x14ac:dyDescent="0.3">
      <c r="B75" s="1" t="s">
        <v>49</v>
      </c>
      <c r="C75" s="86" t="s">
        <v>50</v>
      </c>
      <c r="D75" s="171" t="s">
        <v>51</v>
      </c>
      <c r="E75" s="172"/>
      <c r="F75" s="172"/>
      <c r="G75" s="172"/>
      <c r="H75" s="172"/>
      <c r="I75" s="172"/>
      <c r="J75" s="172"/>
      <c r="K75" s="173"/>
    </row>
    <row r="76" spans="2:11" ht="22.05" customHeight="1" x14ac:dyDescent="0.3">
      <c r="B76" s="1" t="s">
        <v>52</v>
      </c>
      <c r="C76" s="86" t="s">
        <v>53</v>
      </c>
      <c r="D76" s="171" t="s">
        <v>54</v>
      </c>
      <c r="E76" s="172"/>
      <c r="F76" s="172"/>
      <c r="G76" s="172"/>
      <c r="H76" s="172"/>
      <c r="I76" s="172"/>
      <c r="J76" s="172"/>
      <c r="K76" s="173"/>
    </row>
    <row r="79" spans="2:11" ht="22.05" customHeight="1" x14ac:dyDescent="0.3">
      <c r="B79" s="181" t="s">
        <v>55</v>
      </c>
      <c r="C79" s="175"/>
      <c r="D79" s="175"/>
      <c r="E79" s="175"/>
      <c r="F79" s="175"/>
      <c r="G79" s="175"/>
      <c r="H79" s="175"/>
      <c r="I79" s="175"/>
      <c r="J79" s="175"/>
      <c r="K79" s="175"/>
    </row>
    <row r="80" spans="2:11" ht="25.95" customHeight="1" x14ac:dyDescent="0.3">
      <c r="B80" s="87" t="s">
        <v>56</v>
      </c>
      <c r="C80" s="87" t="s">
        <v>57</v>
      </c>
      <c r="D80" s="87" t="s">
        <v>58</v>
      </c>
      <c r="E80" s="87" t="s">
        <v>59</v>
      </c>
      <c r="F80" s="87" t="s">
        <v>60</v>
      </c>
      <c r="G80" s="87" t="s">
        <v>61</v>
      </c>
      <c r="H80" s="87" t="s">
        <v>62</v>
      </c>
      <c r="I80" s="87" t="s">
        <v>63</v>
      </c>
      <c r="J80" s="87" t="s">
        <v>64</v>
      </c>
      <c r="K80" s="87" t="s">
        <v>65</v>
      </c>
    </row>
    <row r="81" spans="2:11" ht="19.95" customHeight="1" x14ac:dyDescent="0.3">
      <c r="B81" s="89">
        <v>1</v>
      </c>
      <c r="C81" s="2" t="s">
        <v>66</v>
      </c>
      <c r="D81" s="3" t="s">
        <v>67</v>
      </c>
      <c r="E81" s="86">
        <v>3</v>
      </c>
      <c r="F81" s="86">
        <v>3</v>
      </c>
      <c r="G81" s="86">
        <v>3</v>
      </c>
      <c r="H81" s="86">
        <v>0</v>
      </c>
      <c r="I81" s="90" t="s">
        <v>68</v>
      </c>
      <c r="J81" s="4" t="str">
        <f>HYPERLINK("#'GRAFICA_01'!A1", "📈 Ir a Gráfica 01")</f>
        <v>📈 Ir a Gráfica 01</v>
      </c>
      <c r="K81" s="4" t="str">
        <f>HYPERLINK("#'AUTOMATIZADA_01'!A1", "📊 Ir a Hoja 01")</f>
        <v>📊 Ir a Hoja 01</v>
      </c>
    </row>
    <row r="82" spans="2:11" ht="19.95" customHeight="1" x14ac:dyDescent="0.3">
      <c r="B82" s="89">
        <v>2</v>
      </c>
      <c r="C82" s="2" t="s">
        <v>66</v>
      </c>
      <c r="D82" s="3" t="s">
        <v>69</v>
      </c>
      <c r="E82" s="86">
        <v>3</v>
      </c>
      <c r="F82" s="86">
        <v>3</v>
      </c>
      <c r="G82" s="86">
        <v>3</v>
      </c>
      <c r="H82" s="86">
        <v>0</v>
      </c>
      <c r="I82" s="90" t="s">
        <v>68</v>
      </c>
      <c r="J82" s="4" t="str">
        <f>HYPERLINK("#'GRAFICA_02'!A1", "📈 Ir a Gráfica 02")</f>
        <v>📈 Ir a Gráfica 02</v>
      </c>
      <c r="K82" s="4" t="str">
        <f>HYPERLINK("#'AUTOMATIZADA_02'!A1", "📊 Ir a Hoja 02")</f>
        <v>📊 Ir a Hoja 02</v>
      </c>
    </row>
    <row r="83" spans="2:11" ht="19.95" customHeight="1" x14ac:dyDescent="0.3">
      <c r="B83" s="89">
        <v>3</v>
      </c>
      <c r="C83" s="2" t="s">
        <v>66</v>
      </c>
      <c r="D83" s="3" t="s">
        <v>70</v>
      </c>
      <c r="E83" s="86">
        <v>3</v>
      </c>
      <c r="F83" s="86">
        <v>3</v>
      </c>
      <c r="G83" s="86">
        <v>3</v>
      </c>
      <c r="H83" s="86">
        <v>0</v>
      </c>
      <c r="I83" s="90" t="s">
        <v>68</v>
      </c>
      <c r="J83" s="4" t="str">
        <f>HYPERLINK("#'GRAFICA_03'!A1", "📈 Ir a Gráfica 03")</f>
        <v>📈 Ir a Gráfica 03</v>
      </c>
      <c r="K83" s="4" t="str">
        <f>HYPERLINK("#'AUTOMATIZADA_03'!A1", "📊 Ir a Hoja 03")</f>
        <v>📊 Ir a Hoja 03</v>
      </c>
    </row>
    <row r="84" spans="2:11" ht="19.95" customHeight="1" x14ac:dyDescent="0.3">
      <c r="B84" s="89">
        <v>4</v>
      </c>
      <c r="C84" s="86" t="s">
        <v>71</v>
      </c>
      <c r="D84" s="83" t="s">
        <v>72</v>
      </c>
      <c r="E84" s="86">
        <v>3</v>
      </c>
      <c r="F84" s="86">
        <v>3</v>
      </c>
      <c r="G84" s="86">
        <v>3</v>
      </c>
      <c r="H84" s="86">
        <v>0</v>
      </c>
      <c r="I84" s="90" t="s">
        <v>68</v>
      </c>
      <c r="J84" s="4" t="str">
        <f>HYPERLINK("#'GRAFICA_04'!A1", "📈 Ir a Gráfica 04")</f>
        <v>📈 Ir a Gráfica 04</v>
      </c>
      <c r="K84" s="4" t="str">
        <f>HYPERLINK("#'AUTOMATIZADA_04'!A1", "📊 Ir a Hoja 04")</f>
        <v>📊 Ir a Hoja 04</v>
      </c>
    </row>
    <row r="85" spans="2:11" ht="19.95" customHeight="1" x14ac:dyDescent="0.3">
      <c r="B85" s="89">
        <v>5</v>
      </c>
      <c r="C85" s="86" t="s">
        <v>71</v>
      </c>
      <c r="D85" s="83" t="s">
        <v>73</v>
      </c>
      <c r="E85" s="86">
        <v>3</v>
      </c>
      <c r="F85" s="86">
        <v>3</v>
      </c>
      <c r="G85" s="86">
        <v>3</v>
      </c>
      <c r="H85" s="86">
        <v>0</v>
      </c>
      <c r="I85" s="90" t="s">
        <v>68</v>
      </c>
      <c r="J85" s="4" t="str">
        <f>HYPERLINK("#'GRAFICA_05'!A1", "📈 Ir a Gráfica 05")</f>
        <v>📈 Ir a Gráfica 05</v>
      </c>
      <c r="K85" s="4" t="str">
        <f>HYPERLINK("#'AUTOMATIZADA_05'!A1", "📊 Ir a Hoja 05")</f>
        <v>📊 Ir a Hoja 05</v>
      </c>
    </row>
    <row r="86" spans="2:11" ht="19.95" customHeight="1" x14ac:dyDescent="0.3">
      <c r="B86" s="89">
        <v>6</v>
      </c>
      <c r="C86" s="2" t="s">
        <v>66</v>
      </c>
      <c r="D86" s="3" t="s">
        <v>74</v>
      </c>
      <c r="E86" s="86">
        <v>4</v>
      </c>
      <c r="F86" s="86">
        <v>5</v>
      </c>
      <c r="G86" s="86">
        <v>3</v>
      </c>
      <c r="H86" s="86">
        <v>0</v>
      </c>
      <c r="I86" s="90" t="s">
        <v>68</v>
      </c>
      <c r="J86" s="4" t="str">
        <f>HYPERLINK("#'GRAFICA_06'!A1", "📈 Ir a Gráfica 06")</f>
        <v>📈 Ir a Gráfica 06</v>
      </c>
      <c r="K86" s="4" t="str">
        <f>HYPERLINK("#'AUTOMATIZADA_06'!A1", "📊 Ir a Hoja 06")</f>
        <v>📊 Ir a Hoja 06</v>
      </c>
    </row>
    <row r="87" spans="2:11" ht="19.95" customHeight="1" x14ac:dyDescent="0.3">
      <c r="B87" s="89">
        <v>7</v>
      </c>
      <c r="C87" s="86" t="s">
        <v>71</v>
      </c>
      <c r="D87" s="83" t="s">
        <v>75</v>
      </c>
      <c r="E87" s="86">
        <v>4</v>
      </c>
      <c r="F87" s="86">
        <v>5</v>
      </c>
      <c r="G87" s="86">
        <v>3</v>
      </c>
      <c r="H87" s="86">
        <v>0</v>
      </c>
      <c r="I87" s="90" t="s">
        <v>68</v>
      </c>
      <c r="J87" s="4" t="str">
        <f>HYPERLINK("#'GRAFICA_07'!A1", "📈 Ir a Gráfica 07")</f>
        <v>📈 Ir a Gráfica 07</v>
      </c>
      <c r="K87" s="4" t="str">
        <f>HYPERLINK("#'AUTOMATIZADA_07'!A1", "📊 Ir a Hoja 07")</f>
        <v>📊 Ir a Hoja 07</v>
      </c>
    </row>
    <row r="88" spans="2:11" ht="19.95" customHeight="1" x14ac:dyDescent="0.3">
      <c r="B88" s="89">
        <v>8</v>
      </c>
      <c r="C88" s="86" t="s">
        <v>71</v>
      </c>
      <c r="D88" s="83" t="s">
        <v>76</v>
      </c>
      <c r="E88" s="86">
        <v>4</v>
      </c>
      <c r="F88" s="86">
        <v>5</v>
      </c>
      <c r="G88" s="86">
        <v>3</v>
      </c>
      <c r="H88" s="86">
        <v>0</v>
      </c>
      <c r="I88" s="90" t="s">
        <v>68</v>
      </c>
      <c r="J88" s="4" t="str">
        <f>HYPERLINK("#'GRAFICA_08'!A1", "📈 Ir a Gráfica 08")</f>
        <v>📈 Ir a Gráfica 08</v>
      </c>
      <c r="K88" s="4" t="str">
        <f>HYPERLINK("#'AUTOMATIZADA_08'!A1", "📊 Ir a Hoja 08")</f>
        <v>📊 Ir a Hoja 08</v>
      </c>
    </row>
    <row r="89" spans="2:11" ht="19.95" customHeight="1" x14ac:dyDescent="0.3">
      <c r="B89" s="89">
        <v>9</v>
      </c>
      <c r="C89" s="86" t="s">
        <v>71</v>
      </c>
      <c r="D89" s="83" t="s">
        <v>77</v>
      </c>
      <c r="E89" s="86">
        <v>4</v>
      </c>
      <c r="F89" s="86">
        <v>5</v>
      </c>
      <c r="G89" s="86">
        <v>3</v>
      </c>
      <c r="H89" s="86">
        <v>0</v>
      </c>
      <c r="I89" s="90" t="s">
        <v>68</v>
      </c>
      <c r="J89" s="4" t="str">
        <f>HYPERLINK("#'GRAFICA_09'!A1", "📈 Ir a Gráfica 09")</f>
        <v>📈 Ir a Gráfica 09</v>
      </c>
      <c r="K89" s="4" t="str">
        <f>HYPERLINK("#'AUTOMATIZADA_09'!A1", "📊 Ir a Hoja 09")</f>
        <v>📊 Ir a Hoja 09</v>
      </c>
    </row>
    <row r="90" spans="2:11" ht="19.95" customHeight="1" x14ac:dyDescent="0.3">
      <c r="B90" s="89">
        <v>10</v>
      </c>
      <c r="C90" s="86" t="s">
        <v>71</v>
      </c>
      <c r="D90" s="83" t="s">
        <v>78</v>
      </c>
      <c r="E90" s="86">
        <v>4</v>
      </c>
      <c r="F90" s="86">
        <v>5</v>
      </c>
      <c r="G90" s="86">
        <v>3</v>
      </c>
      <c r="H90" s="86">
        <v>0</v>
      </c>
      <c r="I90" s="90" t="s">
        <v>68</v>
      </c>
      <c r="J90" s="4" t="str">
        <f>HYPERLINK("#'GRAFICA_10'!A1", "📈 Ir a Gráfica 10")</f>
        <v>📈 Ir a Gráfica 10</v>
      </c>
      <c r="K90" s="4" t="str">
        <f>HYPERLINK("#'AUTOMATIZADA_10'!A1", "📊 Ir a Hoja 10")</f>
        <v>📊 Ir a Hoja 10</v>
      </c>
    </row>
    <row r="91" spans="2:11" ht="19.95" customHeight="1" x14ac:dyDescent="0.3">
      <c r="B91" s="89">
        <v>11</v>
      </c>
      <c r="C91" s="86" t="s">
        <v>71</v>
      </c>
      <c r="D91" s="83" t="s">
        <v>79</v>
      </c>
      <c r="E91" s="86">
        <v>4</v>
      </c>
      <c r="F91" s="86">
        <v>5</v>
      </c>
      <c r="G91" s="86">
        <v>3</v>
      </c>
      <c r="H91" s="86">
        <v>0</v>
      </c>
      <c r="I91" s="90" t="s">
        <v>68</v>
      </c>
      <c r="J91" s="4" t="str">
        <f>HYPERLINK("#'GRAFICA_11'!A1", "📈 Ir a Gráfica 11")</f>
        <v>📈 Ir a Gráfica 11</v>
      </c>
      <c r="K91" s="4" t="str">
        <f>HYPERLINK("#'AUTOMATIZADA_11'!A1", "📊 Ir a Hoja 11")</f>
        <v>📊 Ir a Hoja 11</v>
      </c>
    </row>
    <row r="92" spans="2:11" ht="19.95" customHeight="1" x14ac:dyDescent="0.3">
      <c r="B92" s="89">
        <v>12</v>
      </c>
      <c r="C92" s="86" t="s">
        <v>71</v>
      </c>
      <c r="D92" s="83" t="s">
        <v>80</v>
      </c>
      <c r="E92" s="86">
        <v>4</v>
      </c>
      <c r="F92" s="86">
        <v>5</v>
      </c>
      <c r="G92" s="86">
        <v>3</v>
      </c>
      <c r="H92" s="86">
        <v>0</v>
      </c>
      <c r="I92" s="90" t="s">
        <v>68</v>
      </c>
      <c r="J92" s="4" t="str">
        <f>HYPERLINK("#'GRAFICA_12'!A1", "📈 Ir a Gráfica 12")</f>
        <v>📈 Ir a Gráfica 12</v>
      </c>
      <c r="K92" s="4" t="str">
        <f>HYPERLINK("#'AUTOMATIZADA_12'!A1", "📊 Ir a Hoja 12")</f>
        <v>📊 Ir a Hoja 12</v>
      </c>
    </row>
    <row r="93" spans="2:11" ht="19.95" customHeight="1" x14ac:dyDescent="0.3">
      <c r="B93" s="89">
        <v>13</v>
      </c>
      <c r="C93" s="86" t="s">
        <v>71</v>
      </c>
      <c r="D93" s="83" t="s">
        <v>81</v>
      </c>
      <c r="E93" s="86">
        <v>4</v>
      </c>
      <c r="F93" s="86">
        <v>5</v>
      </c>
      <c r="G93" s="86">
        <v>3</v>
      </c>
      <c r="H93" s="86">
        <v>0</v>
      </c>
      <c r="I93" s="90" t="s">
        <v>68</v>
      </c>
      <c r="J93" s="4" t="str">
        <f>HYPERLINK("#'GRAFICA_13'!A1", "📈 Ir a Gráfica 13")</f>
        <v>📈 Ir a Gráfica 13</v>
      </c>
      <c r="K93" s="4" t="str">
        <f>HYPERLINK("#'AUTOMATIZADA_13'!A1", "📊 Ir a Hoja 13")</f>
        <v>📊 Ir a Hoja 13</v>
      </c>
    </row>
    <row r="94" spans="2:11" ht="19.95" customHeight="1" x14ac:dyDescent="0.3">
      <c r="B94" s="89">
        <v>14</v>
      </c>
      <c r="C94" s="86" t="s">
        <v>71</v>
      </c>
      <c r="D94" s="83" t="s">
        <v>82</v>
      </c>
      <c r="E94" s="86">
        <v>4</v>
      </c>
      <c r="F94" s="86">
        <v>5</v>
      </c>
      <c r="G94" s="86">
        <v>3</v>
      </c>
      <c r="H94" s="86">
        <v>0</v>
      </c>
      <c r="I94" s="90" t="s">
        <v>68</v>
      </c>
      <c r="J94" s="4" t="str">
        <f>HYPERLINK("#'GRAFICA_14'!A1", "📈 Ir a Gráfica 14")</f>
        <v>📈 Ir a Gráfica 14</v>
      </c>
      <c r="K94" s="4" t="str">
        <f>HYPERLINK("#'AUTOMATIZADA_14'!A1", "📊 Ir a Hoja 14")</f>
        <v>📊 Ir a Hoja 14</v>
      </c>
    </row>
    <row r="95" spans="2:11" ht="19.95" customHeight="1" x14ac:dyDescent="0.3">
      <c r="B95" s="89">
        <v>15</v>
      </c>
      <c r="C95" s="86" t="s">
        <v>71</v>
      </c>
      <c r="D95" s="83" t="s">
        <v>83</v>
      </c>
      <c r="E95" s="86">
        <v>4</v>
      </c>
      <c r="F95" s="86">
        <v>5</v>
      </c>
      <c r="G95" s="86">
        <v>3</v>
      </c>
      <c r="H95" s="86">
        <v>0</v>
      </c>
      <c r="I95" s="90" t="s">
        <v>68</v>
      </c>
      <c r="J95" s="4" t="str">
        <f>HYPERLINK("#'GRAFICA_15'!A1", "📈 Ir a Gráfica 15")</f>
        <v>📈 Ir a Gráfica 15</v>
      </c>
      <c r="K95" s="4" t="str">
        <f>HYPERLINK("#'AUTOMATIZADA_15'!A1", "📊 Ir a Hoja 15")</f>
        <v>📊 Ir a Hoja 15</v>
      </c>
    </row>
    <row r="96" spans="2:11" ht="19.95" customHeight="1" x14ac:dyDescent="0.3">
      <c r="B96" s="89">
        <v>16</v>
      </c>
      <c r="C96" s="86" t="s">
        <v>71</v>
      </c>
      <c r="D96" s="83" t="s">
        <v>84</v>
      </c>
      <c r="E96" s="86">
        <v>5</v>
      </c>
      <c r="F96" s="86">
        <v>7</v>
      </c>
      <c r="G96" s="86">
        <v>3</v>
      </c>
      <c r="H96" s="86">
        <v>0</v>
      </c>
      <c r="I96" s="90" t="s">
        <v>68</v>
      </c>
      <c r="J96" s="4" t="str">
        <f>HYPERLINK("#'GRAFICA_16'!A1", "📈 Ir a Gráfica 16")</f>
        <v>📈 Ir a Gráfica 16</v>
      </c>
      <c r="K96" s="4" t="str">
        <f>HYPERLINK("#'AUTOMATIZADA_16'!A1", "📊 Ir a Hoja 16")</f>
        <v>📊 Ir a Hoja 16</v>
      </c>
    </row>
    <row r="97" spans="2:11" ht="19.95" customHeight="1" x14ac:dyDescent="0.3">
      <c r="B97" s="89">
        <v>17</v>
      </c>
      <c r="C97" s="86" t="s">
        <v>71</v>
      </c>
      <c r="D97" s="83" t="s">
        <v>85</v>
      </c>
      <c r="E97" s="86">
        <v>5</v>
      </c>
      <c r="F97" s="86">
        <v>7</v>
      </c>
      <c r="G97" s="86">
        <v>3</v>
      </c>
      <c r="H97" s="86">
        <v>0</v>
      </c>
      <c r="I97" s="90" t="s">
        <v>68</v>
      </c>
      <c r="J97" s="4" t="str">
        <f>HYPERLINK("#'GRAFICA_17'!A1", "📈 Ir a Gráfica 17")</f>
        <v>📈 Ir a Gráfica 17</v>
      </c>
      <c r="K97" s="4" t="str">
        <f>HYPERLINK("#'AUTOMATIZADA_17'!A1", "📊 Ir a Hoja 17")</f>
        <v>📊 Ir a Hoja 17</v>
      </c>
    </row>
    <row r="98" spans="2:11" ht="19.95" customHeight="1" x14ac:dyDescent="0.3">
      <c r="B98" s="89">
        <v>18</v>
      </c>
      <c r="C98" s="86" t="s">
        <v>71</v>
      </c>
      <c r="D98" s="83" t="s">
        <v>86</v>
      </c>
      <c r="E98" s="86">
        <v>5</v>
      </c>
      <c r="F98" s="86">
        <v>7</v>
      </c>
      <c r="G98" s="86">
        <v>3</v>
      </c>
      <c r="H98" s="86">
        <v>0</v>
      </c>
      <c r="I98" s="90" t="s">
        <v>68</v>
      </c>
      <c r="J98" s="4" t="str">
        <f>HYPERLINK("#'GRAFICA_18'!A1", "📈 Ir a Gráfica 18")</f>
        <v>📈 Ir a Gráfica 18</v>
      </c>
      <c r="K98" s="4" t="str">
        <f>HYPERLINK("#'AUTOMATIZADA_18'!A1", "📊 Ir a Hoja 18")</f>
        <v>📊 Ir a Hoja 18</v>
      </c>
    </row>
    <row r="99" spans="2:11" ht="19.95" customHeight="1" x14ac:dyDescent="0.3">
      <c r="B99" s="89">
        <v>19</v>
      </c>
      <c r="C99" s="86" t="s">
        <v>71</v>
      </c>
      <c r="D99" s="83" t="s">
        <v>87</v>
      </c>
      <c r="E99" s="86">
        <v>5</v>
      </c>
      <c r="F99" s="86">
        <v>7</v>
      </c>
      <c r="G99" s="86">
        <v>3</v>
      </c>
      <c r="H99" s="86">
        <v>0</v>
      </c>
      <c r="I99" s="90" t="s">
        <v>68</v>
      </c>
      <c r="J99" s="4" t="str">
        <f>HYPERLINK("#'GRAFICA_19'!A1", "📈 Ir a Gráfica 19")</f>
        <v>📈 Ir a Gráfica 19</v>
      </c>
      <c r="K99" s="4" t="str">
        <f>HYPERLINK("#'AUTOMATIZADA_19'!A1", "📊 Ir a Hoja 19")</f>
        <v>📊 Ir a Hoja 19</v>
      </c>
    </row>
    <row r="100" spans="2:11" ht="19.95" customHeight="1" x14ac:dyDescent="0.3">
      <c r="B100" s="89">
        <v>20</v>
      </c>
      <c r="C100" s="86" t="s">
        <v>71</v>
      </c>
      <c r="D100" s="83" t="s">
        <v>88</v>
      </c>
      <c r="E100" s="86">
        <v>5</v>
      </c>
      <c r="F100" s="86">
        <v>7</v>
      </c>
      <c r="G100" s="86">
        <v>3</v>
      </c>
      <c r="H100" s="86">
        <v>0</v>
      </c>
      <c r="I100" s="90" t="s">
        <v>68</v>
      </c>
      <c r="J100" s="4" t="str">
        <f>HYPERLINK("#'GRAFICA_20'!A1", "📈 Ir a Gráfica 20")</f>
        <v>📈 Ir a Gráfica 20</v>
      </c>
      <c r="K100" s="4" t="str">
        <f>HYPERLINK("#'AUTOMATIZADA_20'!A1", "📊 Ir a Hoja 20")</f>
        <v>📊 Ir a Hoja 20</v>
      </c>
    </row>
    <row r="101" spans="2:11" ht="19.95" customHeight="1" x14ac:dyDescent="0.3">
      <c r="B101" s="89">
        <v>21</v>
      </c>
      <c r="C101" s="86" t="s">
        <v>71</v>
      </c>
      <c r="D101" s="83" t="s">
        <v>89</v>
      </c>
      <c r="E101" s="86">
        <v>5</v>
      </c>
      <c r="F101" s="86">
        <v>7</v>
      </c>
      <c r="G101" s="86">
        <v>3</v>
      </c>
      <c r="H101" s="86">
        <v>0</v>
      </c>
      <c r="I101" s="90" t="s">
        <v>68</v>
      </c>
      <c r="J101" s="4" t="str">
        <f>HYPERLINK("#'GRAFICA_21'!A1", "📈 Ir a Gráfica 21")</f>
        <v>📈 Ir a Gráfica 21</v>
      </c>
      <c r="K101" s="4" t="str">
        <f>HYPERLINK("#'AUTOMATIZADA_21'!A1", "📊 Ir a Hoja 21")</f>
        <v>📊 Ir a Hoja 21</v>
      </c>
    </row>
    <row r="102" spans="2:11" ht="19.95" customHeight="1" x14ac:dyDescent="0.3">
      <c r="B102" s="89">
        <v>22</v>
      </c>
      <c r="C102" s="86" t="s">
        <v>71</v>
      </c>
      <c r="D102" s="83" t="s">
        <v>90</v>
      </c>
      <c r="E102" s="86">
        <v>5</v>
      </c>
      <c r="F102" s="86">
        <v>7</v>
      </c>
      <c r="G102" s="86">
        <v>3</v>
      </c>
      <c r="H102" s="86">
        <v>0</v>
      </c>
      <c r="I102" s="90" t="s">
        <v>68</v>
      </c>
      <c r="J102" s="4" t="str">
        <f>HYPERLINK("#'GRAFICA_22'!A1", "📈 Ir a Gráfica 22")</f>
        <v>📈 Ir a Gráfica 22</v>
      </c>
      <c r="K102" s="4" t="str">
        <f>HYPERLINK("#'AUTOMATIZADA_22'!A1", "📊 Ir a Hoja 22")</f>
        <v>📊 Ir a Hoja 22</v>
      </c>
    </row>
    <row r="103" spans="2:11" ht="19.95" customHeight="1" x14ac:dyDescent="0.3">
      <c r="B103" s="89">
        <v>23</v>
      </c>
      <c r="C103" s="86" t="s">
        <v>71</v>
      </c>
      <c r="D103" s="83" t="s">
        <v>91</v>
      </c>
      <c r="E103" s="86">
        <v>5</v>
      </c>
      <c r="F103" s="86">
        <v>7</v>
      </c>
      <c r="G103" s="86">
        <v>3</v>
      </c>
      <c r="H103" s="86">
        <v>0</v>
      </c>
      <c r="I103" s="90" t="s">
        <v>68</v>
      </c>
      <c r="J103" s="4" t="str">
        <f>HYPERLINK("#'GRAFICA_23'!A1", "📈 Ir a Gráfica 23")</f>
        <v>📈 Ir a Gráfica 23</v>
      </c>
      <c r="K103" s="4" t="str">
        <f>HYPERLINK("#'AUTOMATIZADA_23'!A1", "📊 Ir a Hoja 23")</f>
        <v>📊 Ir a Hoja 23</v>
      </c>
    </row>
    <row r="104" spans="2:11" ht="19.95" customHeight="1" x14ac:dyDescent="0.3">
      <c r="B104" s="89">
        <v>24</v>
      </c>
      <c r="C104" s="86" t="s">
        <v>71</v>
      </c>
      <c r="D104" s="83" t="s">
        <v>92</v>
      </c>
      <c r="E104" s="86">
        <v>5</v>
      </c>
      <c r="F104" s="86">
        <v>7</v>
      </c>
      <c r="G104" s="86">
        <v>3</v>
      </c>
      <c r="H104" s="86">
        <v>0</v>
      </c>
      <c r="I104" s="90" t="s">
        <v>68</v>
      </c>
      <c r="J104" s="4" t="str">
        <f>HYPERLINK("#'GRAFICA_24'!A1", "📈 Ir a Gráfica 24")</f>
        <v>📈 Ir a Gráfica 24</v>
      </c>
      <c r="K104" s="4" t="str">
        <f>HYPERLINK("#'AUTOMATIZADA_24'!A1", "📊 Ir a Hoja 24")</f>
        <v>📊 Ir a Hoja 24</v>
      </c>
    </row>
    <row r="105" spans="2:11" ht="19.95" customHeight="1" x14ac:dyDescent="0.3">
      <c r="B105" s="89">
        <v>25</v>
      </c>
      <c r="C105" s="86" t="s">
        <v>71</v>
      </c>
      <c r="D105" s="83" t="s">
        <v>93</v>
      </c>
      <c r="E105" s="86">
        <v>5</v>
      </c>
      <c r="F105" s="86">
        <v>7</v>
      </c>
      <c r="G105" s="86">
        <v>3</v>
      </c>
      <c r="H105" s="86">
        <v>0</v>
      </c>
      <c r="I105" s="90" t="s">
        <v>68</v>
      </c>
      <c r="J105" s="4" t="str">
        <f>HYPERLINK("#'GRAFICA_25'!A1", "📈 Ir a Gráfica 25")</f>
        <v>📈 Ir a Gráfica 25</v>
      </c>
      <c r="K105" s="4" t="str">
        <f>HYPERLINK("#'AUTOMATIZADA_25'!A1", "📊 Ir a Hoja 25")</f>
        <v>📊 Ir a Hoja 25</v>
      </c>
    </row>
    <row r="106" spans="2:11" ht="19.95" customHeight="1" x14ac:dyDescent="0.3">
      <c r="B106" s="89">
        <v>26</v>
      </c>
      <c r="C106" s="86" t="s">
        <v>71</v>
      </c>
      <c r="D106" s="83" t="s">
        <v>94</v>
      </c>
      <c r="E106" s="86">
        <v>6</v>
      </c>
      <c r="F106" s="86">
        <v>9</v>
      </c>
      <c r="G106" s="86">
        <v>3</v>
      </c>
      <c r="H106" s="86">
        <v>0</v>
      </c>
      <c r="I106" s="90" t="s">
        <v>68</v>
      </c>
      <c r="J106" s="4" t="str">
        <f>HYPERLINK("#'GRAFICA_26'!A1", "📈 Ir a Gráfica 26")</f>
        <v>📈 Ir a Gráfica 26</v>
      </c>
      <c r="K106" s="4" t="str">
        <f>HYPERLINK("#'AUTOMATIZADA_26'!A1", "📊 Ir a Hoja 26")</f>
        <v>📊 Ir a Hoja 26</v>
      </c>
    </row>
    <row r="107" spans="2:11" ht="19.95" customHeight="1" x14ac:dyDescent="0.3">
      <c r="B107" s="89">
        <v>27</v>
      </c>
      <c r="C107" s="86" t="s">
        <v>71</v>
      </c>
      <c r="D107" s="83" t="s">
        <v>95</v>
      </c>
      <c r="E107" s="86">
        <v>6</v>
      </c>
      <c r="F107" s="86">
        <v>9</v>
      </c>
      <c r="G107" s="86">
        <v>3</v>
      </c>
      <c r="H107" s="86">
        <v>0</v>
      </c>
      <c r="I107" s="90" t="s">
        <v>68</v>
      </c>
      <c r="J107" s="4" t="str">
        <f>HYPERLINK("#'GRAFICA_27'!A1", "📈 Ir a Gráfica 27")</f>
        <v>📈 Ir a Gráfica 27</v>
      </c>
      <c r="K107" s="4" t="str">
        <f>HYPERLINK("#'AUTOMATIZADA_27'!A1", "📊 Ir a Hoja 27")</f>
        <v>📊 Ir a Hoja 27</v>
      </c>
    </row>
    <row r="108" spans="2:11" ht="19.95" customHeight="1" x14ac:dyDescent="0.3">
      <c r="B108" s="89">
        <v>28</v>
      </c>
      <c r="C108" s="86" t="s">
        <v>71</v>
      </c>
      <c r="D108" s="83" t="s">
        <v>96</v>
      </c>
      <c r="E108" s="86">
        <v>6</v>
      </c>
      <c r="F108" s="86">
        <v>9</v>
      </c>
      <c r="G108" s="86">
        <v>3</v>
      </c>
      <c r="H108" s="86">
        <v>0</v>
      </c>
      <c r="I108" s="90" t="s">
        <v>68</v>
      </c>
      <c r="J108" s="4" t="str">
        <f>HYPERLINK("#'GRAFICA_28'!A1", "📈 Ir a Gráfica 28")</f>
        <v>📈 Ir a Gráfica 28</v>
      </c>
      <c r="K108" s="4" t="str">
        <f>HYPERLINK("#'AUTOMATIZADA_28'!A1", "📊 Ir a Hoja 28")</f>
        <v>📊 Ir a Hoja 28</v>
      </c>
    </row>
    <row r="109" spans="2:11" ht="19.95" customHeight="1" x14ac:dyDescent="0.3">
      <c r="B109" s="89">
        <v>29</v>
      </c>
      <c r="C109" s="86" t="s">
        <v>71</v>
      </c>
      <c r="D109" s="83" t="s">
        <v>97</v>
      </c>
      <c r="E109" s="86">
        <v>6</v>
      </c>
      <c r="F109" s="86">
        <v>9</v>
      </c>
      <c r="G109" s="86">
        <v>3</v>
      </c>
      <c r="H109" s="86">
        <v>0</v>
      </c>
      <c r="I109" s="90" t="s">
        <v>68</v>
      </c>
      <c r="J109" s="4" t="str">
        <f>HYPERLINK("#'GRAFICA_29'!A1", "📈 Ir a Gráfica 29")</f>
        <v>📈 Ir a Gráfica 29</v>
      </c>
      <c r="K109" s="4" t="str">
        <f>HYPERLINK("#'AUTOMATIZADA_29'!A1", "📊 Ir a Hoja 29")</f>
        <v>📊 Ir a Hoja 29</v>
      </c>
    </row>
    <row r="110" spans="2:11" ht="19.95" customHeight="1" x14ac:dyDescent="0.3">
      <c r="B110" s="89">
        <v>30</v>
      </c>
      <c r="C110" s="86" t="s">
        <v>71</v>
      </c>
      <c r="D110" s="83" t="s">
        <v>98</v>
      </c>
      <c r="E110" s="86">
        <v>6</v>
      </c>
      <c r="F110" s="86">
        <v>9</v>
      </c>
      <c r="G110" s="86">
        <v>3</v>
      </c>
      <c r="H110" s="86">
        <v>0</v>
      </c>
      <c r="I110" s="90" t="s">
        <v>68</v>
      </c>
      <c r="J110" s="4" t="str">
        <f>HYPERLINK("#'GRAFICA_30'!A1", "📈 Ir a Gráfica 30")</f>
        <v>📈 Ir a Gráfica 30</v>
      </c>
      <c r="K110" s="4" t="str">
        <f>HYPERLINK("#'AUTOMATIZADA_30'!A1", "📊 Ir a Hoja 30")</f>
        <v>📊 Ir a Hoja 30</v>
      </c>
    </row>
    <row r="111" spans="2:11" ht="19.95" customHeight="1" x14ac:dyDescent="0.3">
      <c r="B111" s="89">
        <v>31</v>
      </c>
      <c r="C111" s="86" t="s">
        <v>71</v>
      </c>
      <c r="D111" s="83" t="s">
        <v>99</v>
      </c>
      <c r="E111" s="86">
        <v>6</v>
      </c>
      <c r="F111" s="86">
        <v>9</v>
      </c>
      <c r="G111" s="86">
        <v>3</v>
      </c>
      <c r="H111" s="86">
        <v>0</v>
      </c>
      <c r="I111" s="90" t="s">
        <v>68</v>
      </c>
      <c r="J111" s="4" t="str">
        <f>HYPERLINK("#'GRAFICA_31'!A1", "📈 Ir a Gráfica 31")</f>
        <v>📈 Ir a Gráfica 31</v>
      </c>
      <c r="K111" s="4" t="str">
        <f>HYPERLINK("#'AUTOMATIZADA_31'!A1", "📊 Ir a Hoja 31")</f>
        <v>📊 Ir a Hoja 31</v>
      </c>
    </row>
    <row r="112" spans="2:11" ht="19.95" customHeight="1" x14ac:dyDescent="0.3">
      <c r="B112" s="89">
        <v>32</v>
      </c>
      <c r="C112" s="86" t="s">
        <v>71</v>
      </c>
      <c r="D112" s="83" t="s">
        <v>100</v>
      </c>
      <c r="E112" s="86">
        <v>6</v>
      </c>
      <c r="F112" s="86">
        <v>9</v>
      </c>
      <c r="G112" s="86">
        <v>3</v>
      </c>
      <c r="H112" s="86">
        <v>0</v>
      </c>
      <c r="I112" s="90" t="s">
        <v>68</v>
      </c>
      <c r="J112" s="4" t="str">
        <f>HYPERLINK("#'GRAFICA_32'!A1", "📈 Ir a Gráfica 32")</f>
        <v>📈 Ir a Gráfica 32</v>
      </c>
      <c r="K112" s="4" t="str">
        <f>HYPERLINK("#'AUTOMATIZADA_32'!A1", "📊 Ir a Hoja 32")</f>
        <v>📊 Ir a Hoja 32</v>
      </c>
    </row>
    <row r="113" spans="2:11" ht="19.95" customHeight="1" x14ac:dyDescent="0.3">
      <c r="B113" s="89">
        <v>33</v>
      </c>
      <c r="C113" s="86" t="s">
        <v>71</v>
      </c>
      <c r="D113" s="83" t="s">
        <v>101</v>
      </c>
      <c r="E113" s="86">
        <v>6</v>
      </c>
      <c r="F113" s="86">
        <v>9</v>
      </c>
      <c r="G113" s="86">
        <v>3</v>
      </c>
      <c r="H113" s="86">
        <v>0</v>
      </c>
      <c r="I113" s="90" t="s">
        <v>68</v>
      </c>
      <c r="J113" s="4" t="str">
        <f>HYPERLINK("#'GRAFICA_33'!A1", "📈 Ir a Gráfica 33")</f>
        <v>📈 Ir a Gráfica 33</v>
      </c>
      <c r="K113" s="4" t="str">
        <f>HYPERLINK("#'AUTOMATIZADA_33'!A1", "📊 Ir a Hoja 33")</f>
        <v>📊 Ir a Hoja 33</v>
      </c>
    </row>
    <row r="114" spans="2:11" ht="19.95" customHeight="1" x14ac:dyDescent="0.3">
      <c r="B114" s="89">
        <v>34</v>
      </c>
      <c r="C114" s="86" t="s">
        <v>71</v>
      </c>
      <c r="D114" s="83" t="s">
        <v>102</v>
      </c>
      <c r="E114" s="86">
        <v>6</v>
      </c>
      <c r="F114" s="86">
        <v>9</v>
      </c>
      <c r="G114" s="86">
        <v>3</v>
      </c>
      <c r="H114" s="86">
        <v>0</v>
      </c>
      <c r="I114" s="90" t="s">
        <v>68</v>
      </c>
      <c r="J114" s="4" t="str">
        <f>HYPERLINK("#'GRAFICA_34'!A1", "📈 Ir a Gráfica 34")</f>
        <v>📈 Ir a Gráfica 34</v>
      </c>
      <c r="K114" s="4" t="str">
        <f>HYPERLINK("#'AUTOMATIZADA_34'!A1", "📊 Ir a Hoja 34")</f>
        <v>📊 Ir a Hoja 34</v>
      </c>
    </row>
    <row r="115" spans="2:11" ht="19.95" customHeight="1" x14ac:dyDescent="0.3">
      <c r="B115" s="89">
        <v>35</v>
      </c>
      <c r="C115" s="86" t="s">
        <v>71</v>
      </c>
      <c r="D115" s="83" t="s">
        <v>103</v>
      </c>
      <c r="E115" s="86">
        <v>6</v>
      </c>
      <c r="F115" s="86">
        <v>9</v>
      </c>
      <c r="G115" s="86">
        <v>3</v>
      </c>
      <c r="H115" s="86">
        <v>0</v>
      </c>
      <c r="I115" s="90" t="s">
        <v>68</v>
      </c>
      <c r="J115" s="4" t="str">
        <f>HYPERLINK("#'GRAFICA_35'!A1", "📈 Ir a Gráfica 35")</f>
        <v>📈 Ir a Gráfica 35</v>
      </c>
      <c r="K115" s="4" t="str">
        <f>HYPERLINK("#'AUTOMATIZADA_35'!A1", "📊 Ir a Hoja 35")</f>
        <v>📊 Ir a Hoja 35</v>
      </c>
    </row>
    <row r="116" spans="2:11" ht="19.95" customHeight="1" x14ac:dyDescent="0.3">
      <c r="B116" s="89">
        <v>36</v>
      </c>
      <c r="C116" s="86" t="s">
        <v>71</v>
      </c>
      <c r="D116" s="83" t="s">
        <v>104</v>
      </c>
      <c r="E116" s="86">
        <v>7</v>
      </c>
      <c r="F116" s="86">
        <v>11</v>
      </c>
      <c r="G116" s="86">
        <v>3</v>
      </c>
      <c r="H116" s="86">
        <v>0</v>
      </c>
      <c r="I116" s="90" t="s">
        <v>68</v>
      </c>
      <c r="J116" s="4" t="str">
        <f>HYPERLINK("#'GRAFICA_36'!A1", "📈 Ir a Gráfica 36")</f>
        <v>📈 Ir a Gráfica 36</v>
      </c>
      <c r="K116" s="4" t="str">
        <f>HYPERLINK("#'AUTOMATIZADA_36'!A1", "📊 Ir a Hoja 36")</f>
        <v>📊 Ir a Hoja 36</v>
      </c>
    </row>
    <row r="117" spans="2:11" ht="19.95" customHeight="1" x14ac:dyDescent="0.3">
      <c r="B117" s="89">
        <v>37</v>
      </c>
      <c r="C117" s="86" t="s">
        <v>71</v>
      </c>
      <c r="D117" s="83" t="s">
        <v>105</v>
      </c>
      <c r="E117" s="86">
        <v>7</v>
      </c>
      <c r="F117" s="86">
        <v>11</v>
      </c>
      <c r="G117" s="86">
        <v>3</v>
      </c>
      <c r="H117" s="86">
        <v>0</v>
      </c>
      <c r="I117" s="90" t="s">
        <v>68</v>
      </c>
      <c r="J117" s="4" t="str">
        <f>HYPERLINK("#'GRAFICA_37'!A1", "📈 Ir a Gráfica 37")</f>
        <v>📈 Ir a Gráfica 37</v>
      </c>
      <c r="K117" s="4" t="str">
        <f>HYPERLINK("#'AUTOMATIZADA_37'!A1", "📊 Ir a Hoja 37")</f>
        <v>📊 Ir a Hoja 37</v>
      </c>
    </row>
    <row r="118" spans="2:11" ht="19.95" customHeight="1" x14ac:dyDescent="0.3">
      <c r="B118" s="89">
        <v>38</v>
      </c>
      <c r="C118" s="86" t="s">
        <v>71</v>
      </c>
      <c r="D118" s="83" t="s">
        <v>106</v>
      </c>
      <c r="E118" s="86">
        <v>7</v>
      </c>
      <c r="F118" s="86">
        <v>11</v>
      </c>
      <c r="G118" s="86">
        <v>3</v>
      </c>
      <c r="H118" s="86">
        <v>0</v>
      </c>
      <c r="I118" s="90" t="s">
        <v>68</v>
      </c>
      <c r="J118" s="4" t="str">
        <f>HYPERLINK("#'GRAFICA_38'!A1", "📈 Ir a Gráfica 38")</f>
        <v>📈 Ir a Gráfica 38</v>
      </c>
      <c r="K118" s="4" t="str">
        <f>HYPERLINK("#'AUTOMATIZADA_38'!A1", "📊 Ir a Hoja 38")</f>
        <v>📊 Ir a Hoja 38</v>
      </c>
    </row>
    <row r="119" spans="2:11" ht="19.95" customHeight="1" x14ac:dyDescent="0.3">
      <c r="B119" s="89">
        <v>39</v>
      </c>
      <c r="C119" s="86" t="s">
        <v>71</v>
      </c>
      <c r="D119" s="83" t="s">
        <v>107</v>
      </c>
      <c r="E119" s="86">
        <v>8</v>
      </c>
      <c r="F119" s="86">
        <v>13</v>
      </c>
      <c r="G119" s="86">
        <v>3</v>
      </c>
      <c r="H119" s="86">
        <v>0</v>
      </c>
      <c r="I119" s="90" t="s">
        <v>68</v>
      </c>
      <c r="J119" s="4" t="str">
        <f>HYPERLINK("#'GRAFICA_39'!A1", "📈 Ir a Gráfica 39")</f>
        <v>📈 Ir a Gráfica 39</v>
      </c>
      <c r="K119" s="4" t="str">
        <f>HYPERLINK("#'AUTOMATIZADA_39'!A1", "📊 Ir a Hoja 39")</f>
        <v>📊 Ir a Hoja 39</v>
      </c>
    </row>
    <row r="120" spans="2:11" ht="19.95" customHeight="1" x14ac:dyDescent="0.3">
      <c r="B120" s="89">
        <v>40</v>
      </c>
      <c r="C120" s="86" t="s">
        <v>71</v>
      </c>
      <c r="D120" s="83" t="s">
        <v>108</v>
      </c>
      <c r="E120" s="86">
        <v>8</v>
      </c>
      <c r="F120" s="86">
        <v>13</v>
      </c>
      <c r="G120" s="86">
        <v>3</v>
      </c>
      <c r="H120" s="86">
        <v>0</v>
      </c>
      <c r="I120" s="90" t="s">
        <v>68</v>
      </c>
      <c r="J120" s="4" t="str">
        <f>HYPERLINK("#'GRAFICA_40'!A1", "📈 Ir a Gráfica 40")</f>
        <v>📈 Ir a Gráfica 40</v>
      </c>
      <c r="K120" s="4" t="str">
        <f>HYPERLINK("#'AUTOMATIZADA_40'!A1", "📊 Ir a Hoja 40")</f>
        <v>📊 Ir a Hoja 40</v>
      </c>
    </row>
    <row r="121" spans="2:11" ht="19.95" customHeight="1" x14ac:dyDescent="0.3">
      <c r="B121" s="89">
        <v>41</v>
      </c>
      <c r="C121" s="86" t="s">
        <v>71</v>
      </c>
      <c r="D121" s="83" t="s">
        <v>109</v>
      </c>
      <c r="E121" s="86">
        <v>4</v>
      </c>
      <c r="F121" s="86">
        <v>6</v>
      </c>
      <c r="G121" s="86">
        <v>3</v>
      </c>
      <c r="H121" s="86">
        <v>1</v>
      </c>
      <c r="I121" s="91" t="s">
        <v>110</v>
      </c>
      <c r="J121" s="4" t="str">
        <f>HYPERLINK("#'GRAFICA_41'!A1", "📈 Ir a Gráfica 41")</f>
        <v>📈 Ir a Gráfica 41</v>
      </c>
      <c r="K121" s="4" t="str">
        <f>HYPERLINK("#'AUTOMATIZADA_41'!A1", "📊 Ir a Hoja 41")</f>
        <v>📊 Ir a Hoja 41</v>
      </c>
    </row>
    <row r="122" spans="2:11" ht="19.95" customHeight="1" x14ac:dyDescent="0.3">
      <c r="B122" s="89">
        <v>42</v>
      </c>
      <c r="C122" s="86" t="s">
        <v>71</v>
      </c>
      <c r="D122" s="83" t="s">
        <v>111</v>
      </c>
      <c r="E122" s="86">
        <v>4</v>
      </c>
      <c r="F122" s="86">
        <v>6</v>
      </c>
      <c r="G122" s="86">
        <v>3</v>
      </c>
      <c r="H122" s="86">
        <v>1</v>
      </c>
      <c r="I122" s="91" t="s">
        <v>110</v>
      </c>
      <c r="J122" s="4" t="str">
        <f>HYPERLINK("#'GRAFICA_42'!A1", "📈 Ir a Gráfica 42")</f>
        <v>📈 Ir a Gráfica 42</v>
      </c>
      <c r="K122" s="4" t="str">
        <f>HYPERLINK("#'AUTOMATIZADA_42'!A1", "📊 Ir a Hoja 42")</f>
        <v>📊 Ir a Hoja 42</v>
      </c>
    </row>
    <row r="123" spans="2:11" ht="19.95" customHeight="1" x14ac:dyDescent="0.3">
      <c r="B123" s="89">
        <v>43</v>
      </c>
      <c r="C123" s="86" t="s">
        <v>71</v>
      </c>
      <c r="D123" s="83" t="s">
        <v>112</v>
      </c>
      <c r="E123" s="86">
        <v>5</v>
      </c>
      <c r="F123" s="86">
        <v>8</v>
      </c>
      <c r="G123" s="86">
        <v>3</v>
      </c>
      <c r="H123" s="86">
        <v>1</v>
      </c>
      <c r="I123" s="91" t="s">
        <v>110</v>
      </c>
      <c r="J123" s="4" t="str">
        <f>HYPERLINK("#'GRAFICA_43'!A1", "📈 Ir a Gráfica 43")</f>
        <v>📈 Ir a Gráfica 43</v>
      </c>
      <c r="K123" s="4" t="str">
        <f>HYPERLINK("#'AUTOMATIZADA_43'!A1", "📊 Ir a Hoja 43")</f>
        <v>📊 Ir a Hoja 43</v>
      </c>
    </row>
    <row r="124" spans="2:11" ht="19.95" customHeight="1" x14ac:dyDescent="0.3">
      <c r="B124" s="89">
        <v>44</v>
      </c>
      <c r="C124" s="86" t="s">
        <v>71</v>
      </c>
      <c r="D124" s="83" t="s">
        <v>113</v>
      </c>
      <c r="E124" s="86">
        <v>5</v>
      </c>
      <c r="F124" s="86">
        <v>9</v>
      </c>
      <c r="G124" s="86">
        <v>3</v>
      </c>
      <c r="H124" s="86">
        <v>2</v>
      </c>
      <c r="I124" s="91" t="s">
        <v>114</v>
      </c>
      <c r="J124" s="4" t="str">
        <f>HYPERLINK("#'GRAFICA_44'!A1", "📈 Ir a Gráfica 44")</f>
        <v>📈 Ir a Gráfica 44</v>
      </c>
      <c r="K124" s="4" t="str">
        <f>HYPERLINK("#'AUTOMATIZADA_44'!A1", "📊 Ir a Hoja 44")</f>
        <v>📊 Ir a Hoja 44</v>
      </c>
    </row>
    <row r="125" spans="2:11" ht="19.95" customHeight="1" x14ac:dyDescent="0.3">
      <c r="B125" s="89">
        <v>45</v>
      </c>
      <c r="C125" s="86" t="s">
        <v>71</v>
      </c>
      <c r="D125" s="83" t="s">
        <v>115</v>
      </c>
      <c r="E125" s="86">
        <v>6</v>
      </c>
      <c r="F125" s="86">
        <v>11</v>
      </c>
      <c r="G125" s="86">
        <v>3</v>
      </c>
      <c r="H125" s="86">
        <v>2</v>
      </c>
      <c r="I125" s="91" t="s">
        <v>114</v>
      </c>
      <c r="J125" s="4" t="str">
        <f>HYPERLINK("#'GRAFICA_45'!A1", "📈 Ir a Gráfica 45")</f>
        <v>📈 Ir a Gráfica 45</v>
      </c>
      <c r="K125" s="4" t="str">
        <f>HYPERLINK("#'AUTOMATIZADA_45'!A1", "📊 Ir a Hoja 45")</f>
        <v>📊 Ir a Hoja 45</v>
      </c>
    </row>
    <row r="126" spans="2:11" ht="19.95" customHeight="1" x14ac:dyDescent="0.3">
      <c r="B126" s="89">
        <v>46</v>
      </c>
      <c r="C126" s="86" t="s">
        <v>71</v>
      </c>
      <c r="D126" s="83" t="s">
        <v>116</v>
      </c>
      <c r="E126" s="86">
        <v>4</v>
      </c>
      <c r="F126" s="86">
        <v>6</v>
      </c>
      <c r="G126" s="86">
        <v>3</v>
      </c>
      <c r="H126" s="86">
        <v>1</v>
      </c>
      <c r="I126" s="91" t="s">
        <v>110</v>
      </c>
      <c r="J126" s="4" t="str">
        <f>HYPERLINK("#'GRAFICA_46'!A1", "📈 Ir a Gráfica 46")</f>
        <v>📈 Ir a Gráfica 46</v>
      </c>
      <c r="K126" s="4" t="str">
        <f>HYPERLINK("#'AUTOMATIZADA_46'!A1", "📊 Ir a Hoja 46")</f>
        <v>📊 Ir a Hoja 46</v>
      </c>
    </row>
    <row r="127" spans="2:11" ht="19.95" customHeight="1" x14ac:dyDescent="0.3">
      <c r="B127" s="89">
        <v>47</v>
      </c>
      <c r="C127" s="86" t="s">
        <v>71</v>
      </c>
      <c r="D127" s="83" t="s">
        <v>117</v>
      </c>
      <c r="E127" s="86">
        <v>6</v>
      </c>
      <c r="F127" s="86">
        <v>12</v>
      </c>
      <c r="G127" s="86">
        <v>3</v>
      </c>
      <c r="H127" s="86">
        <v>3</v>
      </c>
      <c r="I127" s="91" t="s">
        <v>118</v>
      </c>
      <c r="J127" s="4" t="str">
        <f>HYPERLINK("#'GRAFICA_47'!A1", "📈 Ir a Gráfica 47")</f>
        <v>📈 Ir a Gráfica 47</v>
      </c>
      <c r="K127" s="4" t="str">
        <f>HYPERLINK("#'AUTOMATIZADA_47'!A1", "📊 Ir a Hoja 47")</f>
        <v>📊 Ir a Hoja 47</v>
      </c>
    </row>
    <row r="128" spans="2:11" ht="19.95" customHeight="1" x14ac:dyDescent="0.3">
      <c r="B128" s="89">
        <v>48</v>
      </c>
      <c r="C128" s="86" t="s">
        <v>71</v>
      </c>
      <c r="D128" s="83" t="s">
        <v>119</v>
      </c>
      <c r="E128" s="86">
        <v>6</v>
      </c>
      <c r="F128" s="86">
        <v>11</v>
      </c>
      <c r="G128" s="86">
        <v>3</v>
      </c>
      <c r="H128" s="86">
        <v>2</v>
      </c>
      <c r="I128" s="91" t="s">
        <v>114</v>
      </c>
      <c r="J128" s="4" t="str">
        <f>HYPERLINK("#'GRAFICA_48'!A1", "📈 Ir a Gráfica 48")</f>
        <v>📈 Ir a Gráfica 48</v>
      </c>
      <c r="K128" s="4" t="str">
        <f>HYPERLINK("#'AUTOMATIZADA_48'!A1", "📊 Ir a Hoja 48")</f>
        <v>📊 Ir a Hoja 48</v>
      </c>
    </row>
    <row r="129" spans="2:11" ht="19.95" customHeight="1" x14ac:dyDescent="0.3">
      <c r="B129" s="89">
        <v>49</v>
      </c>
      <c r="C129" s="86" t="s">
        <v>71</v>
      </c>
      <c r="D129" s="83" t="s">
        <v>120</v>
      </c>
      <c r="E129" s="86">
        <v>3</v>
      </c>
      <c r="F129" s="86">
        <v>3</v>
      </c>
      <c r="G129" s="86">
        <v>4</v>
      </c>
      <c r="H129" s="86">
        <v>1</v>
      </c>
      <c r="I129" s="91" t="s">
        <v>110</v>
      </c>
      <c r="J129" s="4" t="str">
        <f>HYPERLINK("#'GRAFICA_49'!A1", "📈 Ir a Gráfica 49")</f>
        <v>📈 Ir a Gráfica 49</v>
      </c>
      <c r="K129" s="4" t="str">
        <f>HYPERLINK("#'AUTOMATIZADA_49'!A1", "📊 Ir a Hoja 49")</f>
        <v>📊 Ir a Hoja 49</v>
      </c>
    </row>
    <row r="130" spans="2:11" ht="19.95" customHeight="1" x14ac:dyDescent="0.3">
      <c r="B130" s="89">
        <v>50</v>
      </c>
      <c r="C130" s="86" t="s">
        <v>71</v>
      </c>
      <c r="D130" s="83" t="s">
        <v>121</v>
      </c>
      <c r="E130" s="86">
        <v>3</v>
      </c>
      <c r="F130" s="86">
        <v>3</v>
      </c>
      <c r="G130" s="86">
        <v>5</v>
      </c>
      <c r="H130" s="86">
        <v>2</v>
      </c>
      <c r="I130" s="91" t="s">
        <v>114</v>
      </c>
      <c r="J130" s="4" t="str">
        <f>HYPERLINK("#'GRAFICA_50'!A1", "📈 Ir a Gráfica 50")</f>
        <v>📈 Ir a Gráfica 50</v>
      </c>
      <c r="K130" s="4" t="str">
        <f>HYPERLINK("#'AUTOMATIZADA_50'!A1", "📊 Ir a Hoja 50")</f>
        <v>📊 Ir a Hoja 50</v>
      </c>
    </row>
    <row r="131" spans="2:11" ht="19.95" customHeight="1" x14ac:dyDescent="0.3">
      <c r="B131" s="89">
        <v>51</v>
      </c>
      <c r="C131" s="86" t="s">
        <v>71</v>
      </c>
      <c r="D131" s="83" t="s">
        <v>122</v>
      </c>
      <c r="E131" s="86">
        <v>4</v>
      </c>
      <c r="F131" s="86">
        <v>5</v>
      </c>
      <c r="G131" s="86">
        <v>4</v>
      </c>
      <c r="H131" s="86">
        <v>1</v>
      </c>
      <c r="I131" s="91" t="s">
        <v>110</v>
      </c>
      <c r="J131" s="4" t="str">
        <f>HYPERLINK("#'GRAFICA_51'!A1", "📈 Ir a Gráfica 51")</f>
        <v>📈 Ir a Gráfica 51</v>
      </c>
      <c r="K131" s="4" t="str">
        <f>HYPERLINK("#'AUTOMATIZADA_51'!A1", "📊 Ir a Hoja 51")</f>
        <v>📊 Ir a Hoja 51</v>
      </c>
    </row>
    <row r="132" spans="2:11" ht="19.95" customHeight="1" x14ac:dyDescent="0.3">
      <c r="B132" s="89">
        <v>52</v>
      </c>
      <c r="C132" s="86" t="s">
        <v>71</v>
      </c>
      <c r="D132" s="83" t="s">
        <v>123</v>
      </c>
      <c r="E132" s="86">
        <v>5</v>
      </c>
      <c r="F132" s="86">
        <v>7</v>
      </c>
      <c r="G132" s="86">
        <v>4</v>
      </c>
      <c r="H132" s="86">
        <v>1</v>
      </c>
      <c r="I132" s="91" t="s">
        <v>110</v>
      </c>
      <c r="J132" s="4" t="str">
        <f>HYPERLINK("#'GRAFICA_52'!A1", "📈 Ir a Gráfica 52")</f>
        <v>📈 Ir a Gráfica 52</v>
      </c>
      <c r="K132" s="4" t="str">
        <f>HYPERLINK("#'AUTOMATIZADA_52'!A1", "📊 Ir a Hoja 52")</f>
        <v>📊 Ir a Hoja 52</v>
      </c>
    </row>
    <row r="133" spans="2:11" ht="19.95" customHeight="1" x14ac:dyDescent="0.3">
      <c r="B133" s="89">
        <v>53</v>
      </c>
      <c r="C133" s="86" t="s">
        <v>71</v>
      </c>
      <c r="D133" s="83" t="s">
        <v>124</v>
      </c>
      <c r="E133" s="86">
        <v>4</v>
      </c>
      <c r="F133" s="86">
        <v>5</v>
      </c>
      <c r="G133" s="86">
        <v>6</v>
      </c>
      <c r="H133" s="86">
        <v>3</v>
      </c>
      <c r="I133" s="91" t="s">
        <v>118</v>
      </c>
      <c r="J133" s="4" t="str">
        <f>HYPERLINK("#'GRAFICA_53'!A1", "📈 Ir a Gráfica 53")</f>
        <v>📈 Ir a Gráfica 53</v>
      </c>
      <c r="K133" s="4" t="str">
        <f>HYPERLINK("#'AUTOMATIZADA_53'!A1", "📊 Ir a Hoja 53")</f>
        <v>📊 Ir a Hoja 53</v>
      </c>
    </row>
    <row r="134" spans="2:11" ht="19.95" customHeight="1" x14ac:dyDescent="0.3">
      <c r="B134" s="89">
        <v>54</v>
      </c>
      <c r="C134" s="86" t="s">
        <v>71</v>
      </c>
      <c r="D134" s="83" t="s">
        <v>125</v>
      </c>
      <c r="E134" s="86">
        <v>6</v>
      </c>
      <c r="F134" s="86">
        <v>9</v>
      </c>
      <c r="G134" s="86">
        <v>4</v>
      </c>
      <c r="H134" s="86">
        <v>1</v>
      </c>
      <c r="I134" s="91" t="s">
        <v>110</v>
      </c>
      <c r="J134" s="4" t="str">
        <f>HYPERLINK("#'GRAFICA_54'!A1", "📈 Ir a Gráfica 54")</f>
        <v>📈 Ir a Gráfica 54</v>
      </c>
      <c r="K134" s="4" t="str">
        <f>HYPERLINK("#'AUTOMATIZADA_54'!A1", "📊 Ir a Hoja 54")</f>
        <v>📊 Ir a Hoja 54</v>
      </c>
    </row>
    <row r="135" spans="2:11" ht="19.95" customHeight="1" x14ac:dyDescent="0.3">
      <c r="B135" s="89">
        <v>55</v>
      </c>
      <c r="C135" s="86" t="s">
        <v>71</v>
      </c>
      <c r="D135" s="83" t="s">
        <v>126</v>
      </c>
      <c r="E135" s="86">
        <v>4</v>
      </c>
      <c r="F135" s="86">
        <v>6</v>
      </c>
      <c r="G135" s="86">
        <v>4</v>
      </c>
      <c r="H135" s="86">
        <v>2</v>
      </c>
      <c r="I135" s="91" t="s">
        <v>114</v>
      </c>
      <c r="J135" s="4" t="str">
        <f>HYPERLINK("#'GRAFICA_55'!A1", "📈 Ir a Gráfica 55")</f>
        <v>📈 Ir a Gráfica 55</v>
      </c>
      <c r="K135" s="4" t="str">
        <f>HYPERLINK("#'AUTOMATIZADA_55'!A1", "📊 Ir a Hoja 55")</f>
        <v>📊 Ir a Hoja 55</v>
      </c>
    </row>
    <row r="136" spans="2:11" ht="19.95" customHeight="1" x14ac:dyDescent="0.3">
      <c r="B136" s="89">
        <v>56</v>
      </c>
      <c r="C136" s="86" t="s">
        <v>71</v>
      </c>
      <c r="D136" s="83" t="s">
        <v>127</v>
      </c>
      <c r="E136" s="86">
        <v>5</v>
      </c>
      <c r="F136" s="86">
        <v>8</v>
      </c>
      <c r="G136" s="86">
        <v>4</v>
      </c>
      <c r="H136" s="86">
        <v>2</v>
      </c>
      <c r="I136" s="91" t="s">
        <v>114</v>
      </c>
      <c r="J136" s="4" t="str">
        <f>HYPERLINK("#'GRAFICA_56'!A1", "📈 Ir a Gráfica 56")</f>
        <v>📈 Ir a Gráfica 56</v>
      </c>
      <c r="K136" s="4" t="str">
        <f>HYPERLINK("#'AUTOMATIZADA_56'!A1", "📊 Ir a Hoja 56")</f>
        <v>📊 Ir a Hoja 56</v>
      </c>
    </row>
    <row r="137" spans="2:11" ht="19.95" customHeight="1" x14ac:dyDescent="0.3">
      <c r="B137" s="89">
        <v>57</v>
      </c>
      <c r="C137" s="86" t="s">
        <v>71</v>
      </c>
      <c r="D137" s="83" t="s">
        <v>128</v>
      </c>
      <c r="E137" s="86">
        <v>6</v>
      </c>
      <c r="F137" s="86">
        <v>11</v>
      </c>
      <c r="G137" s="86">
        <v>4</v>
      </c>
      <c r="H137" s="86">
        <v>3</v>
      </c>
      <c r="I137" s="91" t="s">
        <v>118</v>
      </c>
      <c r="J137" s="4" t="str">
        <f>HYPERLINK("#'GRAFICA_57'!A1", "📈 Ir a Gráfica 57")</f>
        <v>📈 Ir a Gráfica 57</v>
      </c>
      <c r="K137" s="4" t="str">
        <f>HYPERLINK("#'AUTOMATIZADA_57'!A1", "📊 Ir a Hoja 57")</f>
        <v>📊 Ir a Hoja 57</v>
      </c>
    </row>
    <row r="138" spans="2:11" ht="19.95" customHeight="1" x14ac:dyDescent="0.3">
      <c r="B138" s="89">
        <v>58</v>
      </c>
      <c r="C138" s="86" t="s">
        <v>71</v>
      </c>
      <c r="D138" s="83" t="s">
        <v>129</v>
      </c>
      <c r="E138" s="86">
        <v>6</v>
      </c>
      <c r="F138" s="86">
        <v>11</v>
      </c>
      <c r="G138" s="86">
        <v>4</v>
      </c>
      <c r="H138" s="86">
        <v>3</v>
      </c>
      <c r="I138" s="91" t="s">
        <v>118</v>
      </c>
      <c r="J138" s="4" t="str">
        <f>HYPERLINK("#'GRAFICA_58'!A1", "📈 Ir a Gráfica 58")</f>
        <v>📈 Ir a Gráfica 58</v>
      </c>
      <c r="K138" s="4" t="str">
        <f>HYPERLINK("#'AUTOMATIZADA_58'!A1", "📊 Ir a Hoja 58")</f>
        <v>📊 Ir a Hoja 58</v>
      </c>
    </row>
    <row r="139" spans="2:11" ht="19.95" customHeight="1" x14ac:dyDescent="0.3">
      <c r="B139" s="89">
        <v>59</v>
      </c>
      <c r="C139" s="86" t="s">
        <v>71</v>
      </c>
      <c r="D139" s="83" t="s">
        <v>130</v>
      </c>
      <c r="E139" s="86">
        <v>6</v>
      </c>
      <c r="F139" s="86">
        <v>12</v>
      </c>
      <c r="G139" s="86">
        <v>5</v>
      </c>
      <c r="H139" s="86">
        <v>5</v>
      </c>
      <c r="I139" s="91" t="s">
        <v>131</v>
      </c>
      <c r="J139" s="4" t="str">
        <f>HYPERLINK("#'GRAFICA_59'!A1", "📈 Ir a Gráfica 59")</f>
        <v>📈 Ir a Gráfica 59</v>
      </c>
      <c r="K139" s="4" t="str">
        <f>HYPERLINK("#'AUTOMATIZADA_59'!A1", "📊 Ir a Hoja 59")</f>
        <v>📊 Ir a Hoja 59</v>
      </c>
    </row>
    <row r="140" spans="2:11" ht="19.95" customHeight="1" x14ac:dyDescent="0.3">
      <c r="B140" s="89">
        <v>60</v>
      </c>
      <c r="C140" s="86" t="s">
        <v>71</v>
      </c>
      <c r="D140" s="83" t="s">
        <v>132</v>
      </c>
      <c r="E140" s="86">
        <v>6</v>
      </c>
      <c r="F140" s="86">
        <v>12</v>
      </c>
      <c r="G140" s="86">
        <v>5</v>
      </c>
      <c r="H140" s="86">
        <v>5</v>
      </c>
      <c r="I140" s="91" t="s">
        <v>131</v>
      </c>
      <c r="J140" s="4" t="str">
        <f>HYPERLINK("#'GRAFICA_60'!A1", "📈 Ir a Gráfica 60")</f>
        <v>📈 Ir a Gráfica 60</v>
      </c>
      <c r="K140" s="4" t="str">
        <f>HYPERLINK("#'AUTOMATIZADA_60'!A1", "📊 Ir a Hoja 60")</f>
        <v>📊 Ir a Hoja 60</v>
      </c>
    </row>
    <row r="141" spans="2:11" ht="19.95" customHeight="1" x14ac:dyDescent="0.3">
      <c r="B141" s="89">
        <v>61</v>
      </c>
      <c r="C141" s="86" t="s">
        <v>71</v>
      </c>
      <c r="D141" s="83" t="s">
        <v>133</v>
      </c>
      <c r="E141" s="86">
        <v>4</v>
      </c>
      <c r="F141" s="86">
        <v>6</v>
      </c>
      <c r="G141" s="86">
        <v>4</v>
      </c>
      <c r="H141" s="86">
        <v>2</v>
      </c>
      <c r="I141" s="91" t="s">
        <v>114</v>
      </c>
      <c r="J141" s="4" t="str">
        <f>HYPERLINK("#'GRAFICA_61'!A1", "📈 Ir a Gráfica 61")</f>
        <v>📈 Ir a Gráfica 61</v>
      </c>
      <c r="K141" s="4" t="str">
        <f>HYPERLINK("#'AUTOMATIZADA_61'!A1", "📊 Ir a Hoja 61")</f>
        <v>📊 Ir a Hoja 61</v>
      </c>
    </row>
    <row r="142" spans="2:11" ht="19.95" customHeight="1" x14ac:dyDescent="0.3">
      <c r="B142" s="89">
        <v>62</v>
      </c>
      <c r="C142" s="86" t="s">
        <v>71</v>
      </c>
      <c r="D142" s="83" t="s">
        <v>134</v>
      </c>
      <c r="E142" s="86">
        <v>5</v>
      </c>
      <c r="F142" s="86">
        <v>8</v>
      </c>
      <c r="G142" s="86">
        <v>3</v>
      </c>
      <c r="H142" s="86">
        <v>1</v>
      </c>
      <c r="I142" s="91" t="s">
        <v>110</v>
      </c>
      <c r="J142" s="4" t="str">
        <f>HYPERLINK("#'GRAFICA_62'!A1", "📈 Ir a Gráfica 62")</f>
        <v>📈 Ir a Gráfica 62</v>
      </c>
      <c r="K142" s="4" t="str">
        <f>HYPERLINK("#'AUTOMATIZADA_62'!A1", "📊 Ir a Hoja 62")</f>
        <v>📊 Ir a Hoja 62</v>
      </c>
    </row>
    <row r="143" spans="2:11" ht="19.95" customHeight="1" x14ac:dyDescent="0.3">
      <c r="B143" s="89">
        <v>63</v>
      </c>
      <c r="C143" s="86" t="s">
        <v>71</v>
      </c>
      <c r="D143" s="83" t="s">
        <v>135</v>
      </c>
      <c r="E143" s="86">
        <v>5</v>
      </c>
      <c r="F143" s="86">
        <v>7</v>
      </c>
      <c r="G143" s="86">
        <v>4</v>
      </c>
      <c r="H143" s="86">
        <v>1</v>
      </c>
      <c r="I143" s="91" t="s">
        <v>110</v>
      </c>
      <c r="J143" s="4" t="str">
        <f>HYPERLINK("#'GRAFICA_63'!A1", "📈 Ir a Gráfica 63")</f>
        <v>📈 Ir a Gráfica 63</v>
      </c>
      <c r="K143" s="4" t="str">
        <f>HYPERLINK("#'AUTOMATIZADA_63'!A1", "📊 Ir a Hoja 63")</f>
        <v>📊 Ir a Hoja 63</v>
      </c>
    </row>
    <row r="144" spans="2:11" ht="19.95" customHeight="1" x14ac:dyDescent="0.3">
      <c r="B144" s="89">
        <v>64</v>
      </c>
      <c r="C144" s="86" t="s">
        <v>71</v>
      </c>
      <c r="D144" s="83" t="s">
        <v>136</v>
      </c>
      <c r="E144" s="86">
        <v>6</v>
      </c>
      <c r="F144" s="86">
        <v>11</v>
      </c>
      <c r="G144" s="86">
        <v>3</v>
      </c>
      <c r="H144" s="86">
        <v>2</v>
      </c>
      <c r="I144" s="91" t="s">
        <v>114</v>
      </c>
      <c r="J144" s="4" t="str">
        <f>HYPERLINK("#'GRAFICA_64'!A1", "📈 Ir a Gráfica 64")</f>
        <v>📈 Ir a Gráfica 64</v>
      </c>
      <c r="K144" s="4" t="str">
        <f>HYPERLINK("#'AUTOMATIZADA_64'!A1", "📊 Ir a Hoja 64")</f>
        <v>📊 Ir a Hoja 64</v>
      </c>
    </row>
    <row r="145" spans="2:11" ht="19.95" customHeight="1" x14ac:dyDescent="0.3">
      <c r="B145" s="89">
        <v>65</v>
      </c>
      <c r="C145" s="86" t="s">
        <v>71</v>
      </c>
      <c r="D145" s="83" t="s">
        <v>137</v>
      </c>
      <c r="E145" s="86">
        <v>6</v>
      </c>
      <c r="F145" s="86">
        <v>10</v>
      </c>
      <c r="G145" s="86">
        <v>5</v>
      </c>
      <c r="H145" s="86">
        <v>3</v>
      </c>
      <c r="I145" s="91" t="s">
        <v>118</v>
      </c>
      <c r="J145" s="4" t="str">
        <f>HYPERLINK("#'GRAFICA_65'!A1", "📈 Ir a Gráfica 65")</f>
        <v>📈 Ir a Gráfica 65</v>
      </c>
      <c r="K145" s="4" t="str">
        <f>HYPERLINK("#'AUTOMATIZADA_65'!A1", "📊 Ir a Hoja 65")</f>
        <v>📊 Ir a Hoja 65</v>
      </c>
    </row>
    <row r="146" spans="2:11" ht="19.95" customHeight="1" x14ac:dyDescent="0.3">
      <c r="B146" s="89">
        <v>66</v>
      </c>
      <c r="C146" s="86" t="s">
        <v>71</v>
      </c>
      <c r="D146" s="83" t="s">
        <v>138</v>
      </c>
      <c r="E146" s="86">
        <v>6</v>
      </c>
      <c r="F146" s="86">
        <v>12</v>
      </c>
      <c r="G146" s="86">
        <v>3</v>
      </c>
      <c r="H146" s="86">
        <v>3</v>
      </c>
      <c r="I146" s="91" t="s">
        <v>118</v>
      </c>
      <c r="J146" s="4" t="str">
        <f>HYPERLINK("#'GRAFICA_66'!A1", "📈 Ir a Gráfica 66")</f>
        <v>📈 Ir a Gráfica 66</v>
      </c>
      <c r="K146" s="4" t="str">
        <f>HYPERLINK("#'AUTOMATIZADA_66'!A1", "📊 Ir a Hoja 66")</f>
        <v>📊 Ir a Hoja 66</v>
      </c>
    </row>
    <row r="147" spans="2:11" ht="19.95" customHeight="1" x14ac:dyDescent="0.3">
      <c r="B147" s="89">
        <v>67</v>
      </c>
      <c r="C147" s="86" t="s">
        <v>71</v>
      </c>
      <c r="D147" s="83" t="s">
        <v>139</v>
      </c>
      <c r="E147" s="86">
        <v>4</v>
      </c>
      <c r="F147" s="86">
        <v>6</v>
      </c>
      <c r="G147" s="86">
        <v>4</v>
      </c>
      <c r="H147" s="86">
        <v>2</v>
      </c>
      <c r="I147" s="91" t="s">
        <v>114</v>
      </c>
      <c r="J147" s="4" t="str">
        <f>HYPERLINK("#'GRAFICA_67'!A1", "📈 Ir a Gráfica 67")</f>
        <v>📈 Ir a Gráfica 67</v>
      </c>
      <c r="K147" s="4" t="str">
        <f>HYPERLINK("#'AUTOMATIZADA_67'!A1", "📊 Ir a Hoja 67")</f>
        <v>📊 Ir a Hoja 67</v>
      </c>
    </row>
    <row r="148" spans="2:11" ht="19.95" customHeight="1" x14ac:dyDescent="0.3">
      <c r="B148" s="89">
        <v>68</v>
      </c>
      <c r="C148" s="86" t="s">
        <v>71</v>
      </c>
      <c r="D148" s="83" t="s">
        <v>140</v>
      </c>
      <c r="E148" s="86">
        <v>6</v>
      </c>
      <c r="F148" s="86">
        <v>10</v>
      </c>
      <c r="G148" s="86">
        <v>4</v>
      </c>
      <c r="H148" s="86">
        <v>2</v>
      </c>
      <c r="I148" s="91" t="s">
        <v>114</v>
      </c>
      <c r="J148" s="4" t="str">
        <f>HYPERLINK("#'GRAFICA_68'!A1", "📈 Ir a Gráfica 68")</f>
        <v>📈 Ir a Gráfica 68</v>
      </c>
      <c r="K148" s="4" t="str">
        <f>HYPERLINK("#'AUTOMATIZADA_68'!A1", "📊 Ir a Hoja 68")</f>
        <v>📊 Ir a Hoja 68</v>
      </c>
    </row>
    <row r="149" spans="2:11" ht="19.95" customHeight="1" x14ac:dyDescent="0.3">
      <c r="B149" s="89">
        <v>69</v>
      </c>
      <c r="C149" s="86" t="s">
        <v>71</v>
      </c>
      <c r="D149" s="83" t="s">
        <v>141</v>
      </c>
      <c r="E149" s="86">
        <v>6</v>
      </c>
      <c r="F149" s="86">
        <v>11</v>
      </c>
      <c r="G149" s="86">
        <v>4</v>
      </c>
      <c r="H149" s="86">
        <v>3</v>
      </c>
      <c r="I149" s="91" t="s">
        <v>118</v>
      </c>
      <c r="J149" s="4" t="str">
        <f>HYPERLINK("#'GRAFICA_69'!A1", "📈 Ir a Gráfica 69")</f>
        <v>📈 Ir a Gráfica 69</v>
      </c>
      <c r="K149" s="4" t="str">
        <f>HYPERLINK("#'AUTOMATIZADA_69'!A1", "📊 Ir a Hoja 69")</f>
        <v>📊 Ir a Hoja 69</v>
      </c>
    </row>
    <row r="150" spans="2:11" ht="19.95" customHeight="1" x14ac:dyDescent="0.3">
      <c r="B150" s="89">
        <v>70</v>
      </c>
      <c r="C150" s="86" t="s">
        <v>71</v>
      </c>
      <c r="D150" s="83" t="s">
        <v>142</v>
      </c>
      <c r="E150" s="86">
        <v>6</v>
      </c>
      <c r="F150" s="86">
        <v>11</v>
      </c>
      <c r="G150" s="86">
        <v>6</v>
      </c>
      <c r="H150" s="86">
        <v>5</v>
      </c>
      <c r="I150" s="91" t="s">
        <v>131</v>
      </c>
      <c r="J150" s="4" t="str">
        <f>HYPERLINK("#'GRAFICA_70'!A1", "📈 Ir a Gráfica 70")</f>
        <v>📈 Ir a Gráfica 70</v>
      </c>
      <c r="K150" s="4" t="str">
        <f>HYPERLINK("#'AUTOMATIZADA_70'!A1", "📊 Ir a Hoja 70")</f>
        <v>📊 Ir a Hoja 70</v>
      </c>
    </row>
  </sheetData>
  <mergeCells count="39">
    <mergeCell ref="B5:K5"/>
    <mergeCell ref="G48:K48"/>
    <mergeCell ref="G24:K24"/>
    <mergeCell ref="E64:K64"/>
    <mergeCell ref="G52:K52"/>
    <mergeCell ref="G42:K42"/>
    <mergeCell ref="C64:D64"/>
    <mergeCell ref="D71:K71"/>
    <mergeCell ref="E63:K63"/>
    <mergeCell ref="E66:K66"/>
    <mergeCell ref="B79:K79"/>
    <mergeCell ref="B4:K4"/>
    <mergeCell ref="C63:D63"/>
    <mergeCell ref="B42:F42"/>
    <mergeCell ref="C65:D65"/>
    <mergeCell ref="B60:F60"/>
    <mergeCell ref="D76:K76"/>
    <mergeCell ref="B62:K62"/>
    <mergeCell ref="G53:K53"/>
    <mergeCell ref="G49:K49"/>
    <mergeCell ref="D75:K75"/>
    <mergeCell ref="E67:K67"/>
    <mergeCell ref="D72:K72"/>
    <mergeCell ref="D74:K74"/>
    <mergeCell ref="B1:K1"/>
    <mergeCell ref="G51:K51"/>
    <mergeCell ref="B24:F24"/>
    <mergeCell ref="C67:D67"/>
    <mergeCell ref="G47:K47"/>
    <mergeCell ref="G54:K54"/>
    <mergeCell ref="E65:K65"/>
    <mergeCell ref="D73:K73"/>
    <mergeCell ref="G50:K50"/>
    <mergeCell ref="G44:K44"/>
    <mergeCell ref="C66:D66"/>
    <mergeCell ref="G46:K46"/>
    <mergeCell ref="B70:K70"/>
    <mergeCell ref="B2:K2"/>
    <mergeCell ref="G45:K4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01"/>
  <sheetViews>
    <sheetView topLeftCell="A269" workbookViewId="0">
      <selection activeCell="H23" sqref="H23"/>
    </sheetView>
  </sheetViews>
  <sheetFormatPr baseColWidth="10" defaultColWidth="8.88671875" defaultRowHeight="14.4" x14ac:dyDescent="0.3"/>
  <cols>
    <col min="1" max="1" width="11" style="98" customWidth="1"/>
    <col min="2" max="7" width="13" style="98" customWidth="1"/>
    <col min="8" max="8" width="22.21875" style="98" customWidth="1"/>
    <col min="9" max="14" width="13" style="98" customWidth="1"/>
    <col min="15" max="15" width="3" style="98" customWidth="1"/>
    <col min="16" max="16" width="7" style="98" customWidth="1"/>
    <col min="17" max="18" width="11" style="98" customWidth="1"/>
    <col min="19" max="19" width="14" style="98" customWidth="1"/>
    <col min="20" max="21" width="6" style="98" customWidth="1"/>
    <col min="22" max="23" width="12" style="98" customWidth="1"/>
    <col min="24" max="25" width="3" style="98" customWidth="1"/>
    <col min="26" max="31" width="18" style="98" customWidth="1"/>
  </cols>
  <sheetData>
    <row r="1" spans="1:23" ht="25.95" customHeight="1" x14ac:dyDescent="0.3">
      <c r="A1" s="192" t="s">
        <v>143</v>
      </c>
      <c r="B1" s="175"/>
      <c r="C1" s="175"/>
      <c r="D1" s="175"/>
      <c r="E1" s="175"/>
      <c r="F1" s="175"/>
      <c r="G1" s="175"/>
      <c r="H1" s="175"/>
      <c r="I1" s="175"/>
      <c r="J1" s="175"/>
      <c r="K1" s="175"/>
      <c r="L1" s="175"/>
      <c r="M1" s="175"/>
      <c r="N1" s="175"/>
    </row>
    <row r="2" spans="1:23" ht="18" customHeight="1" x14ac:dyDescent="0.3">
      <c r="A2" s="191" t="s">
        <v>144</v>
      </c>
      <c r="B2" s="175"/>
      <c r="C2" s="175"/>
      <c r="D2" s="175"/>
      <c r="E2" s="175"/>
      <c r="F2" s="175"/>
      <c r="G2" s="175"/>
      <c r="H2" s="175"/>
      <c r="I2" s="175"/>
      <c r="J2" s="175"/>
      <c r="K2" s="175"/>
      <c r="L2" s="175"/>
      <c r="M2" s="175"/>
      <c r="N2" s="175"/>
    </row>
    <row r="4" spans="1:23" ht="18" customHeight="1" x14ac:dyDescent="0.3">
      <c r="B4" s="186" t="s">
        <v>145</v>
      </c>
      <c r="C4" s="186" t="s">
        <v>146</v>
      </c>
      <c r="D4" s="186"/>
      <c r="E4" s="186" t="s">
        <v>147</v>
      </c>
      <c r="F4" s="186"/>
      <c r="G4" s="186" t="s">
        <v>148</v>
      </c>
      <c r="H4" s="186" t="s">
        <v>149</v>
      </c>
      <c r="I4" s="186" t="s">
        <v>150</v>
      </c>
      <c r="J4" s="186" t="s">
        <v>151</v>
      </c>
      <c r="K4" s="186" t="s">
        <v>152</v>
      </c>
      <c r="L4" s="186" t="s">
        <v>153</v>
      </c>
      <c r="M4" s="186" t="s">
        <v>154</v>
      </c>
      <c r="N4" s="186" t="s">
        <v>155</v>
      </c>
      <c r="P4" s="198" t="s">
        <v>156</v>
      </c>
      <c r="Q4" s="196"/>
      <c r="R4" s="196"/>
      <c r="S4" s="196"/>
      <c r="T4" s="196"/>
      <c r="U4" s="196"/>
      <c r="V4" s="196"/>
      <c r="W4" s="196"/>
    </row>
    <row r="5" spans="1:23" ht="18" customHeight="1" x14ac:dyDescent="0.3">
      <c r="B5" s="187"/>
      <c r="C5" s="101" t="s">
        <v>157</v>
      </c>
      <c r="D5" s="101" t="s">
        <v>158</v>
      </c>
      <c r="E5" s="101" t="s">
        <v>157</v>
      </c>
      <c r="F5" s="101" t="s">
        <v>158</v>
      </c>
      <c r="G5" s="187"/>
      <c r="H5" s="187"/>
      <c r="I5" s="187"/>
      <c r="J5" s="187"/>
      <c r="K5" s="187"/>
      <c r="L5" s="187"/>
      <c r="M5" s="187"/>
      <c r="N5" s="187"/>
      <c r="P5" s="101" t="s">
        <v>159</v>
      </c>
      <c r="Q5" s="101" t="s">
        <v>160</v>
      </c>
      <c r="R5" s="101" t="s">
        <v>161</v>
      </c>
      <c r="S5" s="101" t="s">
        <v>162</v>
      </c>
      <c r="T5" s="101" t="s">
        <v>163</v>
      </c>
      <c r="U5" s="101" t="s">
        <v>164</v>
      </c>
      <c r="V5" s="101" t="s">
        <v>165</v>
      </c>
      <c r="W5" s="101"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1000</v>
      </c>
      <c r="F6" s="103">
        <f t="shared" ref="F6:F13" si="3">IF(F17="","", IFERROR(VLOOKUP(F17, $P$6:$W$11, 3, FALSE), ""))</f>
        <v>0</v>
      </c>
      <c r="G6" s="104">
        <f t="shared" ref="G6:H13" si="4">IF(OR(C6="",E6=""), "", E6-C6)</f>
        <v>1000</v>
      </c>
      <c r="H6" s="104">
        <f t="shared" si="4"/>
        <v>0</v>
      </c>
      <c r="I6" s="105">
        <f t="shared" ref="I6:I13" si="5">IF(OR(G6="",H6=""), "", SQRT(G6^2+H6^2))</f>
        <v>1000</v>
      </c>
      <c r="J6" s="106">
        <f t="shared" ref="J6:J13" si="6">IF(OR(I6="",I6=0), "", G6/I6)</f>
        <v>1</v>
      </c>
      <c r="K6" s="106">
        <f t="shared" ref="K6:K13" si="7">IF(OR(I6="",I6=0), "", H6/I6)</f>
        <v>0</v>
      </c>
      <c r="L6" s="103">
        <f>IF(C17="","", 16)</f>
        <v>16</v>
      </c>
      <c r="M6" s="107">
        <f>IF(C17="","", 120000)</f>
        <v>120000</v>
      </c>
      <c r="N6" s="105">
        <f t="shared" ref="N6:N13" si="8">IF(OR(I6="",I6=0,L6="",M6=""), 0, (L6*M6)/I6)</f>
        <v>1920</v>
      </c>
      <c r="P6" s="108">
        <v>1</v>
      </c>
      <c r="Q6" s="103">
        <v>0</v>
      </c>
      <c r="R6" s="103">
        <v>0</v>
      </c>
      <c r="S6" s="109" t="s">
        <v>168</v>
      </c>
      <c r="T6" s="108">
        <f t="shared" ref="T6:T11" si="9">IF(Q6="","", IF(LEFT(UPPER(TRIM(S6)),4)="FIJO", 1, IF(OR(UPPER(TRIM(S6))="MOVIL X", UPPER(TRIM(S6))="MÓVIL X", UPPER(TRIM(S6))="RODILLO X"), 1, 0)))</f>
        <v>1</v>
      </c>
      <c r="U6" s="108">
        <f t="shared" ref="U6:U11" si="10">IF(Q6="","", IF(LEFT(UPPER(TRIM(S6)),4)="FIJO", 1, IF(OR(UPPER(TRIM(S6))="MOVIL Y", UPPER(TRIM(S6))="MÓVIL Y", UPPER(TRIM(S6))="RODILLO Y", UPPER(TRIM(S6))="MOVIL", UPPER(TRIM(S6))="MÓVIL"), 1, 0)))</f>
        <v>1</v>
      </c>
      <c r="V6" s="103">
        <v>0</v>
      </c>
      <c r="W6" s="103">
        <v>0</v>
      </c>
    </row>
    <row r="7" spans="1:23" ht="19.05" customHeight="1" x14ac:dyDescent="0.3">
      <c r="B7" s="110">
        <v>2</v>
      </c>
      <c r="C7" s="103">
        <f t="shared" si="0"/>
        <v>0</v>
      </c>
      <c r="D7" s="103">
        <f t="shared" si="1"/>
        <v>0</v>
      </c>
      <c r="E7" s="103">
        <f t="shared" si="2"/>
        <v>200</v>
      </c>
      <c r="F7" s="103">
        <f t="shared" si="3"/>
        <v>400</v>
      </c>
      <c r="G7" s="104">
        <f t="shared" si="4"/>
        <v>200</v>
      </c>
      <c r="H7" s="104">
        <f t="shared" si="4"/>
        <v>400</v>
      </c>
      <c r="I7" s="105">
        <f t="shared" si="5"/>
        <v>447.21359549995793</v>
      </c>
      <c r="J7" s="106">
        <f t="shared" si="6"/>
        <v>0.44721359549995793</v>
      </c>
      <c r="K7" s="106">
        <f t="shared" si="7"/>
        <v>0.89442719099991586</v>
      </c>
      <c r="L7" s="103">
        <f t="shared" ref="L7:L10" si="11">IF(C18="","", 16)</f>
        <v>16</v>
      </c>
      <c r="M7" s="107">
        <f t="shared" ref="M7:M10" si="12">IF(C18="","", 120000)</f>
        <v>120000</v>
      </c>
      <c r="N7" s="105">
        <f t="shared" si="8"/>
        <v>4293.250516799596</v>
      </c>
      <c r="P7" s="108">
        <v>2</v>
      </c>
      <c r="Q7" s="103">
        <v>1000</v>
      </c>
      <c r="R7" s="103">
        <v>0</v>
      </c>
      <c r="S7" s="109" t="s">
        <v>167</v>
      </c>
      <c r="T7" s="108">
        <f t="shared" si="9"/>
        <v>0</v>
      </c>
      <c r="U7" s="108">
        <f t="shared" si="10"/>
        <v>1</v>
      </c>
      <c r="V7" s="103">
        <v>0</v>
      </c>
      <c r="W7" s="103">
        <v>0</v>
      </c>
    </row>
    <row r="8" spans="1:23" ht="19.05" customHeight="1" x14ac:dyDescent="0.3">
      <c r="B8" s="111">
        <v>3</v>
      </c>
      <c r="C8" s="103">
        <f t="shared" si="0"/>
        <v>200</v>
      </c>
      <c r="D8" s="103">
        <f t="shared" si="1"/>
        <v>400</v>
      </c>
      <c r="E8" s="103">
        <f t="shared" si="2"/>
        <v>1000</v>
      </c>
      <c r="F8" s="103">
        <f t="shared" si="3"/>
        <v>0</v>
      </c>
      <c r="G8" s="104">
        <f t="shared" si="4"/>
        <v>800</v>
      </c>
      <c r="H8" s="104">
        <f t="shared" si="4"/>
        <v>-400</v>
      </c>
      <c r="I8" s="105">
        <f t="shared" si="5"/>
        <v>894.42719099991587</v>
      </c>
      <c r="J8" s="106">
        <f t="shared" si="6"/>
        <v>0.89442719099991586</v>
      </c>
      <c r="K8" s="106">
        <f t="shared" si="7"/>
        <v>-0.44721359549995793</v>
      </c>
      <c r="L8" s="103">
        <f t="shared" si="11"/>
        <v>16</v>
      </c>
      <c r="M8" s="107">
        <f t="shared" si="12"/>
        <v>120000</v>
      </c>
      <c r="N8" s="105">
        <f t="shared" si="8"/>
        <v>2146.625258399798</v>
      </c>
      <c r="P8" s="108">
        <v>3</v>
      </c>
      <c r="Q8" s="103">
        <v>200</v>
      </c>
      <c r="R8" s="103">
        <v>400</v>
      </c>
      <c r="S8" s="109" t="s">
        <v>169</v>
      </c>
      <c r="T8" s="108">
        <f t="shared" si="9"/>
        <v>0</v>
      </c>
      <c r="U8" s="108">
        <f t="shared" si="10"/>
        <v>0</v>
      </c>
      <c r="V8" s="103">
        <v>7800</v>
      </c>
      <c r="W8" s="103">
        <v>-7800</v>
      </c>
    </row>
    <row r="9" spans="1:23" ht="19.05" customHeight="1" x14ac:dyDescent="0.3">
      <c r="B9" s="112">
        <v>4</v>
      </c>
      <c r="C9" s="103">
        <f t="shared" si="0"/>
        <v>200</v>
      </c>
      <c r="D9" s="103">
        <f t="shared" si="1"/>
        <v>400</v>
      </c>
      <c r="E9" s="103">
        <f t="shared" si="2"/>
        <v>800</v>
      </c>
      <c r="F9" s="103">
        <f t="shared" si="3"/>
        <v>800</v>
      </c>
      <c r="G9" s="104">
        <f t="shared" si="4"/>
        <v>600</v>
      </c>
      <c r="H9" s="104">
        <f t="shared" si="4"/>
        <v>400</v>
      </c>
      <c r="I9" s="105">
        <f t="shared" si="5"/>
        <v>721.11025509279784</v>
      </c>
      <c r="J9" s="106">
        <f t="shared" si="6"/>
        <v>0.83205029433784372</v>
      </c>
      <c r="K9" s="106">
        <f t="shared" si="7"/>
        <v>0.55470019622522915</v>
      </c>
      <c r="L9" s="103">
        <f t="shared" si="11"/>
        <v>16</v>
      </c>
      <c r="M9" s="107">
        <f t="shared" si="12"/>
        <v>120000</v>
      </c>
      <c r="N9" s="105">
        <f t="shared" si="8"/>
        <v>2662.5609418811</v>
      </c>
      <c r="P9" s="108">
        <v>4</v>
      </c>
      <c r="Q9" s="103">
        <v>800</v>
      </c>
      <c r="R9" s="103">
        <v>800</v>
      </c>
      <c r="S9" s="109" t="s">
        <v>169</v>
      </c>
      <c r="T9" s="108">
        <f t="shared" si="9"/>
        <v>0</v>
      </c>
      <c r="U9" s="108">
        <f t="shared" si="10"/>
        <v>0</v>
      </c>
      <c r="V9" s="103">
        <v>6000</v>
      </c>
      <c r="W9" s="103">
        <v>-6000</v>
      </c>
    </row>
    <row r="10" spans="1:23" ht="19.05" customHeight="1" x14ac:dyDescent="0.3">
      <c r="B10" s="113">
        <v>5</v>
      </c>
      <c r="C10" s="103">
        <f t="shared" si="0"/>
        <v>800</v>
      </c>
      <c r="D10" s="103">
        <f t="shared" si="1"/>
        <v>800</v>
      </c>
      <c r="E10" s="103">
        <f t="shared" si="2"/>
        <v>1000</v>
      </c>
      <c r="F10" s="103">
        <f t="shared" si="3"/>
        <v>0</v>
      </c>
      <c r="G10" s="104">
        <f t="shared" si="4"/>
        <v>200</v>
      </c>
      <c r="H10" s="104">
        <f t="shared" si="4"/>
        <v>-800</v>
      </c>
      <c r="I10" s="105">
        <f t="shared" si="5"/>
        <v>824.62112512353212</v>
      </c>
      <c r="J10" s="106">
        <f t="shared" si="6"/>
        <v>0.24253562503633297</v>
      </c>
      <c r="K10" s="106">
        <f t="shared" si="7"/>
        <v>-0.97014250014533188</v>
      </c>
      <c r="L10" s="103">
        <f t="shared" si="11"/>
        <v>16</v>
      </c>
      <c r="M10" s="107">
        <f t="shared" si="12"/>
        <v>120000</v>
      </c>
      <c r="N10" s="105">
        <f t="shared" si="8"/>
        <v>2328.3420003487963</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95" t="s">
        <v>170</v>
      </c>
      <c r="C15" s="196"/>
      <c r="D15" s="196"/>
      <c r="E15" s="196"/>
      <c r="F15" s="196"/>
      <c r="G15" s="196"/>
      <c r="H15" s="196"/>
    </row>
    <row r="16" spans="1:23" ht="18" customHeight="1" x14ac:dyDescent="0.3">
      <c r="B16" s="100" t="s">
        <v>145</v>
      </c>
      <c r="C16" s="100" t="s">
        <v>171</v>
      </c>
      <c r="D16" s="100" t="s">
        <v>172</v>
      </c>
      <c r="E16" s="100" t="s">
        <v>173</v>
      </c>
      <c r="F16" s="100" t="s">
        <v>174</v>
      </c>
      <c r="G16" s="100" t="s">
        <v>175</v>
      </c>
      <c r="H16" s="100" t="s">
        <v>176</v>
      </c>
      <c r="S16" s="109" t="s">
        <v>167</v>
      </c>
    </row>
    <row r="17" spans="1:19" ht="19.05" customHeight="1" x14ac:dyDescent="0.3">
      <c r="B17" s="102">
        <v>1</v>
      </c>
      <c r="C17" s="117">
        <v>1</v>
      </c>
      <c r="D17" s="108" t="str">
        <f t="shared" ref="D17:D24" si="15">IF(C17="","", "U" &amp; C17 &amp; "X")</f>
        <v>U1X</v>
      </c>
      <c r="E17" s="108" t="str">
        <f t="shared" ref="E17:E24" si="16">IF(C17="","", "U" &amp; C17 &amp; "Y")</f>
        <v>U1Y</v>
      </c>
      <c r="F17" s="117">
        <v>2</v>
      </c>
      <c r="G17" s="108" t="str">
        <f t="shared" ref="G17:G24" si="17">IF(F17="","", "U" &amp; F17 &amp; "X")</f>
        <v>U2X</v>
      </c>
      <c r="H17" s="108" t="str">
        <f t="shared" ref="H17:H24" si="18">IF(F17="","", "U" &amp; F17 &amp; "Y")</f>
        <v>U2Y</v>
      </c>
      <c r="S17" s="109" t="s">
        <v>168</v>
      </c>
    </row>
    <row r="18" spans="1:19" ht="19.05" customHeight="1" x14ac:dyDescent="0.3">
      <c r="B18" s="110">
        <v>2</v>
      </c>
      <c r="C18" s="117">
        <v>1</v>
      </c>
      <c r="D18" s="108" t="str">
        <f t="shared" si="15"/>
        <v>U1X</v>
      </c>
      <c r="E18" s="108" t="str">
        <f t="shared" si="16"/>
        <v>U1Y</v>
      </c>
      <c r="F18" s="117">
        <v>3</v>
      </c>
      <c r="G18" s="108" t="str">
        <f t="shared" si="17"/>
        <v>U3X</v>
      </c>
      <c r="H18" s="108" t="str">
        <f t="shared" si="18"/>
        <v>U3Y</v>
      </c>
      <c r="J18"/>
      <c r="S18" s="109" t="s">
        <v>169</v>
      </c>
    </row>
    <row r="19" spans="1:19" ht="19.05" customHeight="1" x14ac:dyDescent="0.3">
      <c r="B19" s="111">
        <v>3</v>
      </c>
      <c r="C19" s="117">
        <v>3</v>
      </c>
      <c r="D19" s="108" t="str">
        <f t="shared" si="15"/>
        <v>U3X</v>
      </c>
      <c r="E19" s="108" t="str">
        <f t="shared" si="16"/>
        <v>U3Y</v>
      </c>
      <c r="F19" s="117">
        <v>2</v>
      </c>
      <c r="G19" s="108" t="str">
        <f t="shared" si="17"/>
        <v>U2X</v>
      </c>
      <c r="H19" s="108" t="str">
        <f t="shared" si="18"/>
        <v>U2Y</v>
      </c>
      <c r="S19" s="109" t="s">
        <v>169</v>
      </c>
    </row>
    <row r="20" spans="1:19" ht="19.05" customHeight="1" x14ac:dyDescent="0.3">
      <c r="B20" s="112">
        <v>4</v>
      </c>
      <c r="C20" s="117">
        <v>3</v>
      </c>
      <c r="D20" s="108" t="str">
        <f t="shared" si="15"/>
        <v>U3X</v>
      </c>
      <c r="E20" s="108" t="str">
        <f t="shared" si="16"/>
        <v>U3Y</v>
      </c>
      <c r="F20" s="117">
        <v>4</v>
      </c>
      <c r="G20" s="108" t="str">
        <f t="shared" si="17"/>
        <v>U4X</v>
      </c>
      <c r="H20" s="108" t="str">
        <f t="shared" si="18"/>
        <v>U4Y</v>
      </c>
      <c r="S20" s="109" t="s">
        <v>169</v>
      </c>
    </row>
    <row r="21" spans="1:19" ht="19.05" customHeight="1" x14ac:dyDescent="0.3">
      <c r="B21" s="113">
        <v>5</v>
      </c>
      <c r="C21" s="117">
        <v>4</v>
      </c>
      <c r="D21" s="108" t="str">
        <f t="shared" si="15"/>
        <v>U4X</v>
      </c>
      <c r="E21" s="108" t="str">
        <f t="shared" si="16"/>
        <v>U4Y</v>
      </c>
      <c r="F21" s="117">
        <v>2</v>
      </c>
      <c r="G21" s="108" t="str">
        <f t="shared" si="17"/>
        <v>U2X</v>
      </c>
      <c r="H21" s="108" t="str">
        <f t="shared" si="18"/>
        <v>U2Y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U1X</v>
      </c>
      <c r="C27" s="102" t="str">
        <f>IF(E17="","-",E17)</f>
        <v>U1Y</v>
      </c>
      <c r="D27" s="102" t="str">
        <f>IF(G17="","-",G17)</f>
        <v>U2X</v>
      </c>
      <c r="E27" s="102" t="str">
        <f>IF(H17="","-",H17)</f>
        <v>U2Y</v>
      </c>
    </row>
    <row r="28" spans="1:19" ht="18" customHeight="1" x14ac:dyDescent="0.3">
      <c r="B28" s="119">
        <f>IF(N6=0, 0, N6*J6*J6)</f>
        <v>1920</v>
      </c>
      <c r="C28" s="119">
        <f>IF(N6=0, 0, N6*J6*K6)</f>
        <v>0</v>
      </c>
      <c r="D28" s="119">
        <f>IF(N6=0, 0, -N6*J6*J6)</f>
        <v>-1920</v>
      </c>
      <c r="E28" s="119">
        <f>IF(N6=0, 0, -N6*J6*K6)</f>
        <v>0</v>
      </c>
      <c r="F28" s="102" t="str">
        <f>IF(D17="","-",D17)</f>
        <v>U1X</v>
      </c>
    </row>
    <row r="29" spans="1:19" ht="18" customHeight="1" x14ac:dyDescent="0.3">
      <c r="B29" s="119">
        <f>IF(N6=0, 0, N6*J6*K6)</f>
        <v>0</v>
      </c>
      <c r="C29" s="119">
        <f>IF(N6=0, 0, N6*K6*K6)</f>
        <v>0</v>
      </c>
      <c r="D29" s="119">
        <f>IF(N6=0, 0, -N6*J6*K6)</f>
        <v>0</v>
      </c>
      <c r="E29" s="119">
        <f>IF(N6=0, 0, -N6*K6*K6)</f>
        <v>0</v>
      </c>
      <c r="F29" s="102" t="str">
        <f>IF(E17="","-",E17)</f>
        <v>U1Y</v>
      </c>
    </row>
    <row r="30" spans="1:19" ht="18" customHeight="1" x14ac:dyDescent="0.3">
      <c r="B30" s="119">
        <f>IF(N6=0, 0, -N6*J6*J6)</f>
        <v>-1920</v>
      </c>
      <c r="C30" s="119">
        <f>IF(N6=0, 0, -N6*J6*K6)</f>
        <v>0</v>
      </c>
      <c r="D30" s="119">
        <f>IF(N6=0, 0, N6*J6*J6)</f>
        <v>1920</v>
      </c>
      <c r="E30" s="119">
        <f>IF(N6=0, 0, N6*J6*K6)</f>
        <v>0</v>
      </c>
      <c r="F30" s="102" t="str">
        <f>IF(G17="","-",G17)</f>
        <v>U2X</v>
      </c>
    </row>
    <row r="31" spans="1:19"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00" t="s">
        <v>178</v>
      </c>
      <c r="C33" s="100" t="s">
        <v>179</v>
      </c>
      <c r="D33" s="100" t="s">
        <v>180</v>
      </c>
      <c r="E33" s="100" t="s">
        <v>181</v>
      </c>
      <c r="F33" s="100" t="s">
        <v>182</v>
      </c>
      <c r="G33" s="100" t="s">
        <v>183</v>
      </c>
      <c r="H33" s="100" t="s">
        <v>184</v>
      </c>
      <c r="I33" s="100" t="s">
        <v>185</v>
      </c>
      <c r="J33" s="100" t="s">
        <v>186</v>
      </c>
      <c r="K33" s="100" t="s">
        <v>187</v>
      </c>
      <c r="L33" s="100" t="s">
        <v>188</v>
      </c>
      <c r="M33" s="100" t="s">
        <v>189</v>
      </c>
    </row>
    <row r="34" spans="1:14" ht="19.05" customHeight="1" x14ac:dyDescent="0.3">
      <c r="B34" s="120">
        <f t="shared" ref="B34:M45" si="19">IFERROR(INDEX($B$28:$E$31, MATCH($N34, $B$27:$E$27, 0), MATCH(B$33, $B$27:$E$27, 0)), 0)</f>
        <v>1920</v>
      </c>
      <c r="C34" s="120">
        <f t="shared" si="19"/>
        <v>0</v>
      </c>
      <c r="D34" s="120">
        <f t="shared" si="19"/>
        <v>-1920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-1920</v>
      </c>
      <c r="C36" s="120">
        <f t="shared" si="19"/>
        <v>0</v>
      </c>
      <c r="D36" s="120">
        <f t="shared" si="19"/>
        <v>1920</v>
      </c>
      <c r="E36" s="120">
        <f t="shared" si="19"/>
        <v>0</v>
      </c>
      <c r="F36" s="120">
        <f t="shared" si="19"/>
        <v>0</v>
      </c>
      <c r="G36" s="120">
        <f t="shared" si="19"/>
        <v>0</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0</v>
      </c>
      <c r="E37" s="120">
        <f t="shared" si="19"/>
        <v>0</v>
      </c>
      <c r="F37" s="120">
        <f t="shared" si="19"/>
        <v>0</v>
      </c>
      <c r="G37" s="120">
        <f t="shared" si="19"/>
        <v>0</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0</v>
      </c>
      <c r="E38" s="120">
        <f t="shared" si="19"/>
        <v>0</v>
      </c>
      <c r="F38" s="120">
        <f t="shared" si="19"/>
        <v>0</v>
      </c>
      <c r="G38" s="120">
        <f t="shared" si="19"/>
        <v>0</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0</v>
      </c>
      <c r="E39" s="120">
        <f t="shared" si="19"/>
        <v>0</v>
      </c>
      <c r="F39" s="120">
        <f t="shared" si="19"/>
        <v>0</v>
      </c>
      <c r="G39" s="120">
        <f t="shared" si="19"/>
        <v>0</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10" t="str">
        <f>IF(D18="","-",D18)</f>
        <v>U1X</v>
      </c>
      <c r="C48" s="110" t="str">
        <f>IF(E18="","-",E18)</f>
        <v>U1Y</v>
      </c>
      <c r="D48" s="110" t="str">
        <f>IF(G18="","-",G18)</f>
        <v>U3X</v>
      </c>
      <c r="E48" s="110" t="str">
        <f>IF(H18="","-",H18)</f>
        <v>U3Y</v>
      </c>
    </row>
    <row r="49" spans="1:14" ht="18" customHeight="1" x14ac:dyDescent="0.3">
      <c r="B49" s="121">
        <f>IF(N7=0, 0, N7*J7*J7)</f>
        <v>858.65010335991917</v>
      </c>
      <c r="C49" s="121">
        <f>IF(N7=0, 0, N7*J7*K7)</f>
        <v>1717.3002067198383</v>
      </c>
      <c r="D49" s="121">
        <f>IF(N7=0, 0, -N7*J7*J7)</f>
        <v>-858.65010335991917</v>
      </c>
      <c r="E49" s="121">
        <f>IF(N7=0, 0, -N7*J7*K7)</f>
        <v>-1717.3002067198383</v>
      </c>
      <c r="F49" s="110" t="str">
        <f>IF(D18="","-",D18)</f>
        <v>U1X</v>
      </c>
    </row>
    <row r="50" spans="1:14" ht="18" customHeight="1" x14ac:dyDescent="0.3">
      <c r="B50" s="121">
        <f>IF(N7=0, 0, N7*J7*K7)</f>
        <v>1717.3002067198383</v>
      </c>
      <c r="C50" s="121">
        <f>IF(N7=0, 0, N7*K7*K7)</f>
        <v>3434.6004134396767</v>
      </c>
      <c r="D50" s="121">
        <f>IF(N7=0, 0, -N7*J7*K7)</f>
        <v>-1717.3002067198383</v>
      </c>
      <c r="E50" s="121">
        <f>IF(N7=0, 0, -N7*K7*K7)</f>
        <v>-3434.6004134396767</v>
      </c>
      <c r="F50" s="110" t="str">
        <f>IF(E18="","-",E18)</f>
        <v>U1Y</v>
      </c>
    </row>
    <row r="51" spans="1:14" ht="18" customHeight="1" x14ac:dyDescent="0.3">
      <c r="B51" s="121">
        <f>IF(N7=0, 0, -N7*J7*J7)</f>
        <v>-858.65010335991917</v>
      </c>
      <c r="C51" s="121">
        <f>IF(N7=0, 0, -N7*J7*K7)</f>
        <v>-1717.3002067198383</v>
      </c>
      <c r="D51" s="121">
        <f>IF(N7=0, 0, N7*J7*J7)</f>
        <v>858.65010335991917</v>
      </c>
      <c r="E51" s="121">
        <f>IF(N7=0, 0, N7*J7*K7)</f>
        <v>1717.3002067198383</v>
      </c>
      <c r="F51" s="110" t="str">
        <f>IF(G18="","-",G18)</f>
        <v>U3X</v>
      </c>
    </row>
    <row r="52" spans="1:14" ht="18" customHeight="1" x14ac:dyDescent="0.3">
      <c r="B52" s="121">
        <f>IF(N7=0, 0, -N7*J7*K7)</f>
        <v>-1717.3002067198383</v>
      </c>
      <c r="C52" s="121">
        <f>IF(N7=0, 0, -N7*K7*K7)</f>
        <v>-3434.6004134396767</v>
      </c>
      <c r="D52" s="121">
        <f>IF(N7=0, 0, N7*J7*K7)</f>
        <v>1717.3002067198383</v>
      </c>
      <c r="E52" s="121">
        <f>IF(N7=0, 0, N7*K7*K7)</f>
        <v>3434.6004134396767</v>
      </c>
      <c r="F52" s="110" t="str">
        <f>IF(H18="","-",H18)</f>
        <v>U3Y</v>
      </c>
    </row>
    <row r="54" spans="1:14" ht="19.05" customHeight="1" x14ac:dyDescent="0.3">
      <c r="B54" s="100" t="s">
        <v>178</v>
      </c>
      <c r="C54" s="100" t="s">
        <v>179</v>
      </c>
      <c r="D54" s="100" t="s">
        <v>180</v>
      </c>
      <c r="E54" s="100" t="s">
        <v>181</v>
      </c>
      <c r="F54" s="100" t="s">
        <v>182</v>
      </c>
      <c r="G54" s="100" t="s">
        <v>183</v>
      </c>
      <c r="H54" s="100" t="s">
        <v>184</v>
      </c>
      <c r="I54" s="100" t="s">
        <v>185</v>
      </c>
      <c r="J54" s="100" t="s">
        <v>186</v>
      </c>
      <c r="K54" s="100" t="s">
        <v>187</v>
      </c>
      <c r="L54" s="100" t="s">
        <v>188</v>
      </c>
      <c r="M54" s="100" t="s">
        <v>189</v>
      </c>
    </row>
    <row r="55" spans="1:14" ht="19.05" customHeight="1" x14ac:dyDescent="0.3">
      <c r="B55" s="120">
        <f t="shared" ref="B55:M66" si="20">IFERROR(INDEX($B$49:$E$52, MATCH($N55, $B$48:$E$48, 0), MATCH(B$54, $B$48:$E$48, 0)), 0)</f>
        <v>858.65010335991917</v>
      </c>
      <c r="C55" s="120">
        <f t="shared" si="20"/>
        <v>1717.3002067198383</v>
      </c>
      <c r="D55" s="120">
        <f t="shared" si="20"/>
        <v>0</v>
      </c>
      <c r="E55" s="120">
        <f t="shared" si="20"/>
        <v>0</v>
      </c>
      <c r="F55" s="120">
        <f t="shared" si="20"/>
        <v>-858.65010335991917</v>
      </c>
      <c r="G55" s="120">
        <f t="shared" si="20"/>
        <v>-1717.3002067198383</v>
      </c>
      <c r="H55" s="120">
        <f t="shared" si="20"/>
        <v>0</v>
      </c>
      <c r="I55" s="120">
        <f t="shared" si="20"/>
        <v>0</v>
      </c>
      <c r="J55" s="120">
        <f t="shared" si="20"/>
        <v>0</v>
      </c>
      <c r="K55" s="120">
        <f t="shared" si="20"/>
        <v>0</v>
      </c>
      <c r="L55" s="120">
        <f t="shared" si="20"/>
        <v>0</v>
      </c>
      <c r="M55" s="120">
        <f t="shared" si="20"/>
        <v>0</v>
      </c>
      <c r="N55" s="110" t="s">
        <v>178</v>
      </c>
    </row>
    <row r="56" spans="1:14" ht="19.05" customHeight="1" x14ac:dyDescent="0.3">
      <c r="B56" s="120">
        <f t="shared" si="20"/>
        <v>1717.3002067198383</v>
      </c>
      <c r="C56" s="120">
        <f t="shared" si="20"/>
        <v>3434.6004134396767</v>
      </c>
      <c r="D56" s="120">
        <f t="shared" si="20"/>
        <v>0</v>
      </c>
      <c r="E56" s="120">
        <f t="shared" si="20"/>
        <v>0</v>
      </c>
      <c r="F56" s="120">
        <f t="shared" si="20"/>
        <v>-1717.3002067198383</v>
      </c>
      <c r="G56" s="120">
        <f t="shared" si="20"/>
        <v>-3434.6004134396767</v>
      </c>
      <c r="H56" s="120">
        <f t="shared" si="20"/>
        <v>0</v>
      </c>
      <c r="I56" s="120">
        <f t="shared" si="20"/>
        <v>0</v>
      </c>
      <c r="J56" s="120">
        <f t="shared" si="20"/>
        <v>0</v>
      </c>
      <c r="K56" s="120">
        <f t="shared" si="20"/>
        <v>0</v>
      </c>
      <c r="L56" s="120">
        <f t="shared" si="20"/>
        <v>0</v>
      </c>
      <c r="M56" s="120">
        <f t="shared" si="20"/>
        <v>0</v>
      </c>
      <c r="N56" s="110" t="s">
        <v>179</v>
      </c>
    </row>
    <row r="57" spans="1:14" ht="19.05" customHeight="1" x14ac:dyDescent="0.3">
      <c r="B57" s="120">
        <f t="shared" si="20"/>
        <v>0</v>
      </c>
      <c r="C57" s="120">
        <f t="shared" si="20"/>
        <v>0</v>
      </c>
      <c r="D57" s="120">
        <f t="shared" si="20"/>
        <v>0</v>
      </c>
      <c r="E57" s="120">
        <f t="shared" si="20"/>
        <v>0</v>
      </c>
      <c r="F57" s="120">
        <f t="shared" si="20"/>
        <v>0</v>
      </c>
      <c r="G57" s="120">
        <f t="shared" si="20"/>
        <v>0</v>
      </c>
      <c r="H57" s="120">
        <f t="shared" si="20"/>
        <v>0</v>
      </c>
      <c r="I57" s="120">
        <f t="shared" si="20"/>
        <v>0</v>
      </c>
      <c r="J57" s="120">
        <f t="shared" si="20"/>
        <v>0</v>
      </c>
      <c r="K57" s="120">
        <f t="shared" si="20"/>
        <v>0</v>
      </c>
      <c r="L57" s="120">
        <f t="shared" si="20"/>
        <v>0</v>
      </c>
      <c r="M57" s="120">
        <f t="shared" si="20"/>
        <v>0</v>
      </c>
      <c r="N57" s="110" t="s">
        <v>180</v>
      </c>
    </row>
    <row r="58" spans="1:14" ht="19.05" customHeight="1" x14ac:dyDescent="0.3">
      <c r="B58" s="120">
        <f t="shared" si="20"/>
        <v>0</v>
      </c>
      <c r="C58" s="120">
        <f t="shared" si="20"/>
        <v>0</v>
      </c>
      <c r="D58" s="120">
        <f t="shared" si="20"/>
        <v>0</v>
      </c>
      <c r="E58" s="120">
        <f t="shared" si="20"/>
        <v>0</v>
      </c>
      <c r="F58" s="120">
        <f t="shared" si="20"/>
        <v>0</v>
      </c>
      <c r="G58" s="120">
        <f t="shared" si="20"/>
        <v>0</v>
      </c>
      <c r="H58" s="120">
        <f t="shared" si="20"/>
        <v>0</v>
      </c>
      <c r="I58" s="120">
        <f t="shared" si="20"/>
        <v>0</v>
      </c>
      <c r="J58" s="120">
        <f t="shared" si="20"/>
        <v>0</v>
      </c>
      <c r="K58" s="120">
        <f t="shared" si="20"/>
        <v>0</v>
      </c>
      <c r="L58" s="120">
        <f t="shared" si="20"/>
        <v>0</v>
      </c>
      <c r="M58" s="120">
        <f t="shared" si="20"/>
        <v>0</v>
      </c>
      <c r="N58" s="110" t="s">
        <v>181</v>
      </c>
    </row>
    <row r="59" spans="1:14" ht="19.05" customHeight="1" x14ac:dyDescent="0.3">
      <c r="B59" s="120">
        <f t="shared" si="20"/>
        <v>-858.65010335991917</v>
      </c>
      <c r="C59" s="120">
        <f t="shared" si="20"/>
        <v>-1717.3002067198383</v>
      </c>
      <c r="D59" s="120">
        <f t="shared" si="20"/>
        <v>0</v>
      </c>
      <c r="E59" s="120">
        <f t="shared" si="20"/>
        <v>0</v>
      </c>
      <c r="F59" s="120">
        <f t="shared" si="20"/>
        <v>858.65010335991917</v>
      </c>
      <c r="G59" s="120">
        <f t="shared" si="20"/>
        <v>1717.3002067198383</v>
      </c>
      <c r="H59" s="120">
        <f t="shared" si="20"/>
        <v>0</v>
      </c>
      <c r="I59" s="120">
        <f t="shared" si="20"/>
        <v>0</v>
      </c>
      <c r="J59" s="120">
        <f t="shared" si="20"/>
        <v>0</v>
      </c>
      <c r="K59" s="120">
        <f t="shared" si="20"/>
        <v>0</v>
      </c>
      <c r="L59" s="120">
        <f t="shared" si="20"/>
        <v>0</v>
      </c>
      <c r="M59" s="120">
        <f t="shared" si="20"/>
        <v>0</v>
      </c>
      <c r="N59" s="110" t="s">
        <v>182</v>
      </c>
    </row>
    <row r="60" spans="1:14" ht="19.05" customHeight="1" x14ac:dyDescent="0.3">
      <c r="A60" s="118" t="s">
        <v>192</v>
      </c>
      <c r="B60" s="120">
        <f t="shared" si="20"/>
        <v>-1717.3002067198383</v>
      </c>
      <c r="C60" s="120">
        <f t="shared" si="20"/>
        <v>-3434.6004134396767</v>
      </c>
      <c r="D60" s="120">
        <f t="shared" si="20"/>
        <v>0</v>
      </c>
      <c r="E60" s="120">
        <f t="shared" si="20"/>
        <v>0</v>
      </c>
      <c r="F60" s="120">
        <f t="shared" si="20"/>
        <v>1717.3002067198383</v>
      </c>
      <c r="G60" s="120">
        <f t="shared" si="20"/>
        <v>3434.6004134396767</v>
      </c>
      <c r="H60" s="120">
        <f t="shared" si="20"/>
        <v>0</v>
      </c>
      <c r="I60" s="120">
        <f t="shared" si="20"/>
        <v>0</v>
      </c>
      <c r="J60" s="120">
        <f t="shared" si="20"/>
        <v>0</v>
      </c>
      <c r="K60" s="120">
        <f t="shared" si="20"/>
        <v>0</v>
      </c>
      <c r="L60" s="120">
        <f t="shared" si="20"/>
        <v>0</v>
      </c>
      <c r="M60" s="120">
        <f t="shared" si="20"/>
        <v>0</v>
      </c>
      <c r="N60" s="110" t="s">
        <v>183</v>
      </c>
    </row>
    <row r="61" spans="1:14" ht="19.05" customHeight="1" x14ac:dyDescent="0.3">
      <c r="B61" s="120">
        <f t="shared" si="20"/>
        <v>0</v>
      </c>
      <c r="C61" s="120">
        <f t="shared" si="20"/>
        <v>0</v>
      </c>
      <c r="D61" s="120">
        <f t="shared" si="20"/>
        <v>0</v>
      </c>
      <c r="E61" s="120">
        <f t="shared" si="20"/>
        <v>0</v>
      </c>
      <c r="F61" s="120">
        <f t="shared" si="20"/>
        <v>0</v>
      </c>
      <c r="G61" s="120">
        <f t="shared" si="20"/>
        <v>0</v>
      </c>
      <c r="H61" s="120">
        <f t="shared" si="20"/>
        <v>0</v>
      </c>
      <c r="I61" s="120">
        <f t="shared" si="20"/>
        <v>0</v>
      </c>
      <c r="J61" s="120">
        <f t="shared" si="20"/>
        <v>0</v>
      </c>
      <c r="K61" s="120">
        <f t="shared" si="20"/>
        <v>0</v>
      </c>
      <c r="L61" s="120">
        <f t="shared" si="20"/>
        <v>0</v>
      </c>
      <c r="M61" s="120">
        <f t="shared" si="20"/>
        <v>0</v>
      </c>
      <c r="N61" s="110"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10"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10"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10"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10"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10" t="s">
        <v>189</v>
      </c>
    </row>
    <row r="69" spans="1:14" ht="19.05" customHeight="1" x14ac:dyDescent="0.3">
      <c r="A69" s="118" t="s">
        <v>193</v>
      </c>
      <c r="B69" s="111" t="str">
        <f>IF(D19="","-",D19)</f>
        <v>U3X</v>
      </c>
      <c r="C69" s="111" t="str">
        <f>IF(E19="","-",E19)</f>
        <v>U3Y</v>
      </c>
      <c r="D69" s="111" t="str">
        <f>IF(G19="","-",G19)</f>
        <v>U2X</v>
      </c>
      <c r="E69" s="111" t="str">
        <f>IF(H19="","-",H19)</f>
        <v>U2Y</v>
      </c>
    </row>
    <row r="70" spans="1:14" ht="18" customHeight="1" x14ac:dyDescent="0.3">
      <c r="B70" s="122">
        <f>IF(N8=0, 0, N8*J8*J8)</f>
        <v>1717.3002067198383</v>
      </c>
      <c r="C70" s="122">
        <f>IF(N8=0, 0, N8*J8*K8)</f>
        <v>-858.65010335991917</v>
      </c>
      <c r="D70" s="122">
        <f>IF(N8=0, 0, -N8*J8*J8)</f>
        <v>-1717.3002067198383</v>
      </c>
      <c r="E70" s="122">
        <f>IF(N8=0, 0, -N8*J8*K8)</f>
        <v>858.65010335991917</v>
      </c>
      <c r="F70" s="111" t="str">
        <f>IF(D19="","-",D19)</f>
        <v>U3X</v>
      </c>
    </row>
    <row r="71" spans="1:14" ht="18" customHeight="1" x14ac:dyDescent="0.3">
      <c r="B71" s="122">
        <f>IF(N8=0, 0, N8*J8*K8)</f>
        <v>-858.65010335991917</v>
      </c>
      <c r="C71" s="122">
        <f>IF(N8=0, 0, N8*K8*K8)</f>
        <v>429.32505167995959</v>
      </c>
      <c r="D71" s="122">
        <f>IF(N8=0, 0, -N8*J8*K8)</f>
        <v>858.65010335991917</v>
      </c>
      <c r="E71" s="122">
        <f>IF(N8=0, 0, -N8*K8*K8)</f>
        <v>-429.32505167995959</v>
      </c>
      <c r="F71" s="111" t="str">
        <f>IF(E19="","-",E19)</f>
        <v>U3Y</v>
      </c>
    </row>
    <row r="72" spans="1:14" ht="18" customHeight="1" x14ac:dyDescent="0.3">
      <c r="B72" s="122">
        <f>IF(N8=0, 0, -N8*J8*J8)</f>
        <v>-1717.3002067198383</v>
      </c>
      <c r="C72" s="122">
        <f>IF(N8=0, 0, -N8*J8*K8)</f>
        <v>858.65010335991917</v>
      </c>
      <c r="D72" s="122">
        <f>IF(N8=0, 0, N8*J8*J8)</f>
        <v>1717.3002067198383</v>
      </c>
      <c r="E72" s="122">
        <f>IF(N8=0, 0, N8*J8*K8)</f>
        <v>-858.65010335991917</v>
      </c>
      <c r="F72" s="111" t="str">
        <f>IF(G19="","-",G19)</f>
        <v>U2X</v>
      </c>
    </row>
    <row r="73" spans="1:14" ht="18" customHeight="1" x14ac:dyDescent="0.3">
      <c r="B73" s="122">
        <f>IF(N8=0, 0, -N8*J8*K8)</f>
        <v>858.65010335991917</v>
      </c>
      <c r="C73" s="122">
        <f>IF(N8=0, 0, -N8*K8*K8)</f>
        <v>-429.32505167995959</v>
      </c>
      <c r="D73" s="122">
        <f>IF(N8=0, 0, N8*J8*K8)</f>
        <v>-858.65010335991917</v>
      </c>
      <c r="E73" s="122">
        <f>IF(N8=0, 0, N8*K8*K8)</f>
        <v>429.32505167995959</v>
      </c>
      <c r="F73" s="111" t="str">
        <f>IF(H19="","-",H19)</f>
        <v>U2Y</v>
      </c>
    </row>
    <row r="75" spans="1:14" ht="19.05" customHeight="1" x14ac:dyDescent="0.3">
      <c r="B75" s="100" t="s">
        <v>178</v>
      </c>
      <c r="C75" s="100" t="s">
        <v>179</v>
      </c>
      <c r="D75" s="100" t="s">
        <v>180</v>
      </c>
      <c r="E75" s="100" t="s">
        <v>181</v>
      </c>
      <c r="F75" s="100" t="s">
        <v>182</v>
      </c>
      <c r="G75" s="100" t="s">
        <v>183</v>
      </c>
      <c r="H75" s="100" t="s">
        <v>184</v>
      </c>
      <c r="I75" s="100" t="s">
        <v>185</v>
      </c>
      <c r="J75" s="100" t="s">
        <v>186</v>
      </c>
      <c r="K75" s="100" t="s">
        <v>187</v>
      </c>
      <c r="L75" s="100" t="s">
        <v>188</v>
      </c>
      <c r="M75" s="100" t="s">
        <v>189</v>
      </c>
    </row>
    <row r="76" spans="1:14" ht="19.05" customHeight="1" x14ac:dyDescent="0.3">
      <c r="B76" s="120">
        <f t="shared" ref="B76:M87" si="21">IFERROR(INDEX($B$70:$E$73, MATCH($N76, $B$69:$E$69, 0), MATCH(B$75, $B$69:$E$69, 0)), 0)</f>
        <v>0</v>
      </c>
      <c r="C76" s="120">
        <f t="shared" si="21"/>
        <v>0</v>
      </c>
      <c r="D76" s="120">
        <f t="shared" si="21"/>
        <v>0</v>
      </c>
      <c r="E76" s="120">
        <f t="shared" si="21"/>
        <v>0</v>
      </c>
      <c r="F76" s="120">
        <f t="shared" si="21"/>
        <v>0</v>
      </c>
      <c r="G76" s="120">
        <f t="shared" si="21"/>
        <v>0</v>
      </c>
      <c r="H76" s="120">
        <f t="shared" si="21"/>
        <v>0</v>
      </c>
      <c r="I76" s="120">
        <f t="shared" si="21"/>
        <v>0</v>
      </c>
      <c r="J76" s="120">
        <f t="shared" si="21"/>
        <v>0</v>
      </c>
      <c r="K76" s="120">
        <f t="shared" si="21"/>
        <v>0</v>
      </c>
      <c r="L76" s="120">
        <f t="shared" si="21"/>
        <v>0</v>
      </c>
      <c r="M76" s="120">
        <f t="shared" si="21"/>
        <v>0</v>
      </c>
      <c r="N76" s="111" t="s">
        <v>178</v>
      </c>
    </row>
    <row r="77" spans="1:14" ht="19.05" customHeight="1" x14ac:dyDescent="0.3">
      <c r="B77" s="120">
        <f t="shared" si="21"/>
        <v>0</v>
      </c>
      <c r="C77" s="120">
        <f t="shared" si="21"/>
        <v>0</v>
      </c>
      <c r="D77" s="120">
        <f t="shared" si="21"/>
        <v>0</v>
      </c>
      <c r="E77" s="120">
        <f t="shared" si="21"/>
        <v>0</v>
      </c>
      <c r="F77" s="120">
        <f t="shared" si="21"/>
        <v>0</v>
      </c>
      <c r="G77" s="120">
        <f t="shared" si="21"/>
        <v>0</v>
      </c>
      <c r="H77" s="120">
        <f t="shared" si="21"/>
        <v>0</v>
      </c>
      <c r="I77" s="120">
        <f t="shared" si="21"/>
        <v>0</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1717.3002067198383</v>
      </c>
      <c r="E78" s="120">
        <f t="shared" si="21"/>
        <v>-858.65010335991917</v>
      </c>
      <c r="F78" s="120">
        <f t="shared" si="21"/>
        <v>-1717.3002067198383</v>
      </c>
      <c r="G78" s="120">
        <f t="shared" si="21"/>
        <v>858.65010335991917</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-858.65010335991917</v>
      </c>
      <c r="E79" s="120">
        <f t="shared" si="21"/>
        <v>429.32505167995959</v>
      </c>
      <c r="F79" s="120">
        <f t="shared" si="21"/>
        <v>858.65010335991917</v>
      </c>
      <c r="G79" s="120">
        <f t="shared" si="21"/>
        <v>-429.32505167995959</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-1717.3002067198383</v>
      </c>
      <c r="E80" s="120">
        <f t="shared" si="21"/>
        <v>858.65010335991917</v>
      </c>
      <c r="F80" s="120">
        <f t="shared" si="21"/>
        <v>1717.3002067198383</v>
      </c>
      <c r="G80" s="120">
        <f t="shared" si="21"/>
        <v>-858.65010335991917</v>
      </c>
      <c r="H80" s="120">
        <f t="shared" si="21"/>
        <v>0</v>
      </c>
      <c r="I80" s="120">
        <f t="shared" si="21"/>
        <v>0</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858.65010335991917</v>
      </c>
      <c r="E81" s="120">
        <f t="shared" si="21"/>
        <v>-429.32505167995959</v>
      </c>
      <c r="F81" s="120">
        <f t="shared" si="21"/>
        <v>-858.65010335991917</v>
      </c>
      <c r="G81" s="120">
        <f t="shared" si="21"/>
        <v>429.32505167995959</v>
      </c>
      <c r="H81" s="120">
        <f t="shared" si="21"/>
        <v>0</v>
      </c>
      <c r="I81" s="120">
        <f t="shared" si="21"/>
        <v>0</v>
      </c>
      <c r="J81" s="120">
        <f t="shared" si="21"/>
        <v>0</v>
      </c>
      <c r="K81" s="120">
        <f t="shared" si="21"/>
        <v>0</v>
      </c>
      <c r="L81" s="120">
        <f t="shared" si="21"/>
        <v>0</v>
      </c>
      <c r="M81" s="120">
        <f t="shared" si="21"/>
        <v>0</v>
      </c>
      <c r="N81" s="111" t="s">
        <v>183</v>
      </c>
    </row>
    <row r="82" spans="1:14" ht="19.05" customHeight="1" x14ac:dyDescent="0.3">
      <c r="B82" s="120">
        <f t="shared" si="21"/>
        <v>0</v>
      </c>
      <c r="C82" s="120">
        <f t="shared" si="21"/>
        <v>0</v>
      </c>
      <c r="D82" s="120">
        <f t="shared" si="21"/>
        <v>0</v>
      </c>
      <c r="E82" s="120">
        <f t="shared" si="21"/>
        <v>0</v>
      </c>
      <c r="F82" s="120">
        <f t="shared" si="21"/>
        <v>0</v>
      </c>
      <c r="G82" s="120">
        <f t="shared" si="21"/>
        <v>0</v>
      </c>
      <c r="H82" s="120">
        <f t="shared" si="21"/>
        <v>0</v>
      </c>
      <c r="I82" s="120">
        <f t="shared" si="21"/>
        <v>0</v>
      </c>
      <c r="J82" s="120">
        <f t="shared" si="21"/>
        <v>0</v>
      </c>
      <c r="K82" s="120">
        <f t="shared" si="21"/>
        <v>0</v>
      </c>
      <c r="L82" s="120">
        <f t="shared" si="21"/>
        <v>0</v>
      </c>
      <c r="M82" s="120">
        <f t="shared" si="21"/>
        <v>0</v>
      </c>
      <c r="N82" s="111" t="s">
        <v>184</v>
      </c>
    </row>
    <row r="83" spans="1:14" ht="19.05" customHeight="1" x14ac:dyDescent="0.3">
      <c r="B83" s="120">
        <f t="shared" si="21"/>
        <v>0</v>
      </c>
      <c r="C83" s="120">
        <f t="shared" si="21"/>
        <v>0</v>
      </c>
      <c r="D83" s="120">
        <f t="shared" si="21"/>
        <v>0</v>
      </c>
      <c r="E83" s="120">
        <f t="shared" si="21"/>
        <v>0</v>
      </c>
      <c r="F83" s="120">
        <f t="shared" si="21"/>
        <v>0</v>
      </c>
      <c r="G83" s="120">
        <f t="shared" si="21"/>
        <v>0</v>
      </c>
      <c r="H83" s="120">
        <f t="shared" si="21"/>
        <v>0</v>
      </c>
      <c r="I83" s="120">
        <f t="shared" si="21"/>
        <v>0</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U3X</v>
      </c>
      <c r="C90" s="112" t="str">
        <f>IF(E20="","-",E20)</f>
        <v>U3Y</v>
      </c>
      <c r="D90" s="112" t="str">
        <f>IF(G20="","-",G20)</f>
        <v>U4X</v>
      </c>
      <c r="E90" s="112" t="str">
        <f>IF(H20="","-",H20)</f>
        <v>U4Y</v>
      </c>
    </row>
    <row r="91" spans="1:14" ht="18" customHeight="1" x14ac:dyDescent="0.3">
      <c r="B91" s="123">
        <f>IF(N9=0, 0, N9*J9*J9)</f>
        <v>1843.3114213023002</v>
      </c>
      <c r="C91" s="123">
        <f>IF(N9=0, 0, N9*J9*K9)</f>
        <v>1228.8742808682002</v>
      </c>
      <c r="D91" s="123">
        <f>IF(N9=0, 0, -N9*J9*J9)</f>
        <v>-1843.3114213023002</v>
      </c>
      <c r="E91" s="123">
        <f>IF(N9=0, 0, -N9*J9*K9)</f>
        <v>-1228.8742808682002</v>
      </c>
      <c r="F91" s="112" t="str">
        <f>IF(D20="","-",D20)</f>
        <v>U3X</v>
      </c>
    </row>
    <row r="92" spans="1:14" ht="18" customHeight="1" x14ac:dyDescent="0.3">
      <c r="B92" s="123">
        <f>IF(N9=0, 0, N9*J9*K9)</f>
        <v>1228.8742808682002</v>
      </c>
      <c r="C92" s="123">
        <f>IF(N9=0, 0, N9*K9*K9)</f>
        <v>819.24952057880012</v>
      </c>
      <c r="D92" s="123">
        <f>IF(N9=0, 0, -N9*J9*K9)</f>
        <v>-1228.8742808682002</v>
      </c>
      <c r="E92" s="123">
        <f>IF(N9=0, 0, -N9*K9*K9)</f>
        <v>-819.24952057880012</v>
      </c>
      <c r="F92" s="112" t="str">
        <f>IF(E20="","-",E20)</f>
        <v>U3Y</v>
      </c>
    </row>
    <row r="93" spans="1:14" ht="18" customHeight="1" x14ac:dyDescent="0.3">
      <c r="B93" s="123">
        <f>IF(N9=0, 0, -N9*J9*J9)</f>
        <v>-1843.3114213023002</v>
      </c>
      <c r="C93" s="123">
        <f>IF(N9=0, 0, -N9*J9*K9)</f>
        <v>-1228.8742808682002</v>
      </c>
      <c r="D93" s="123">
        <f>IF(N9=0, 0, N9*J9*J9)</f>
        <v>1843.3114213023002</v>
      </c>
      <c r="E93" s="123">
        <f>IF(N9=0, 0, N9*J9*K9)</f>
        <v>1228.8742808682002</v>
      </c>
      <c r="F93" s="112" t="str">
        <f>IF(G20="","-",G20)</f>
        <v>U4X</v>
      </c>
    </row>
    <row r="94" spans="1:14" ht="18" customHeight="1" x14ac:dyDescent="0.3">
      <c r="B94" s="123">
        <f>IF(N9=0, 0, -N9*J9*K9)</f>
        <v>-1228.8742808682002</v>
      </c>
      <c r="C94" s="123">
        <f>IF(N9=0, 0, -N9*K9*K9)</f>
        <v>-819.24952057880012</v>
      </c>
      <c r="D94" s="123">
        <f>IF(N9=0, 0, N9*J9*K9)</f>
        <v>1228.8742808682002</v>
      </c>
      <c r="E94" s="123">
        <f>IF(N9=0, 0, N9*K9*K9)</f>
        <v>819.24952057880012</v>
      </c>
      <c r="F94" s="112" t="str">
        <f>IF(H20="","-",H20)</f>
        <v>U4Y</v>
      </c>
    </row>
    <row r="96" spans="1:14" ht="19.05" customHeight="1" x14ac:dyDescent="0.3">
      <c r="B96" s="100" t="s">
        <v>178</v>
      </c>
      <c r="C96" s="100" t="s">
        <v>179</v>
      </c>
      <c r="D96" s="100" t="s">
        <v>180</v>
      </c>
      <c r="E96" s="100" t="s">
        <v>181</v>
      </c>
      <c r="F96" s="100" t="s">
        <v>182</v>
      </c>
      <c r="G96" s="100" t="s">
        <v>183</v>
      </c>
      <c r="H96" s="100" t="s">
        <v>184</v>
      </c>
      <c r="I96" s="100" t="s">
        <v>185</v>
      </c>
      <c r="J96" s="100" t="s">
        <v>186</v>
      </c>
      <c r="K96" s="100" t="s">
        <v>187</v>
      </c>
      <c r="L96" s="100" t="s">
        <v>188</v>
      </c>
      <c r="M96" s="100" t="s">
        <v>189</v>
      </c>
    </row>
    <row r="97" spans="1:14" ht="19.05" customHeight="1" x14ac:dyDescent="0.3">
      <c r="B97" s="120">
        <f t="shared" ref="B97:M108" si="22">IFERROR(INDEX($B$91:$E$94, MATCH($N97, $B$90:$E$90, 0), MATCH(B$96, $B$90:$E$90, 0)), 0)</f>
        <v>0</v>
      </c>
      <c r="C97" s="120">
        <f t="shared" si="22"/>
        <v>0</v>
      </c>
      <c r="D97" s="120">
        <f t="shared" si="22"/>
        <v>0</v>
      </c>
      <c r="E97" s="120">
        <f t="shared" si="22"/>
        <v>0</v>
      </c>
      <c r="F97" s="120">
        <f t="shared" si="22"/>
        <v>0</v>
      </c>
      <c r="G97" s="120">
        <f t="shared" si="22"/>
        <v>0</v>
      </c>
      <c r="H97" s="120">
        <f t="shared" si="22"/>
        <v>0</v>
      </c>
      <c r="I97" s="120">
        <f t="shared" si="22"/>
        <v>0</v>
      </c>
      <c r="J97" s="120">
        <f t="shared" si="22"/>
        <v>0</v>
      </c>
      <c r="K97" s="120">
        <f t="shared" si="22"/>
        <v>0</v>
      </c>
      <c r="L97" s="120">
        <f t="shared" si="22"/>
        <v>0</v>
      </c>
      <c r="M97" s="120">
        <f t="shared" si="22"/>
        <v>0</v>
      </c>
      <c r="N97" s="112" t="s">
        <v>178</v>
      </c>
    </row>
    <row r="98" spans="1:14" ht="19.05" customHeight="1" x14ac:dyDescent="0.3">
      <c r="B98" s="120">
        <f t="shared" si="22"/>
        <v>0</v>
      </c>
      <c r="C98" s="120">
        <f t="shared" si="22"/>
        <v>0</v>
      </c>
      <c r="D98" s="120">
        <f t="shared" si="22"/>
        <v>0</v>
      </c>
      <c r="E98" s="120">
        <f t="shared" si="22"/>
        <v>0</v>
      </c>
      <c r="F98" s="120">
        <f t="shared" si="22"/>
        <v>0</v>
      </c>
      <c r="G98" s="120">
        <f t="shared" si="22"/>
        <v>0</v>
      </c>
      <c r="H98" s="120">
        <f t="shared" si="22"/>
        <v>0</v>
      </c>
      <c r="I98" s="120">
        <f t="shared" si="22"/>
        <v>0</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0</v>
      </c>
      <c r="E99" s="120">
        <f t="shared" si="22"/>
        <v>0</v>
      </c>
      <c r="F99" s="120">
        <f t="shared" si="22"/>
        <v>0</v>
      </c>
      <c r="G99" s="120">
        <f t="shared" si="22"/>
        <v>0</v>
      </c>
      <c r="H99" s="120">
        <f t="shared" si="22"/>
        <v>0</v>
      </c>
      <c r="I99" s="120">
        <f t="shared" si="22"/>
        <v>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0</v>
      </c>
      <c r="E100" s="120">
        <f t="shared" si="22"/>
        <v>0</v>
      </c>
      <c r="F100" s="120">
        <f t="shared" si="22"/>
        <v>0</v>
      </c>
      <c r="G100" s="120">
        <f t="shared" si="22"/>
        <v>0</v>
      </c>
      <c r="H100" s="120">
        <f t="shared" si="22"/>
        <v>0</v>
      </c>
      <c r="I100" s="120">
        <f t="shared" si="22"/>
        <v>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1843.3114213023002</v>
      </c>
      <c r="G101" s="120">
        <f t="shared" si="22"/>
        <v>1228.8742808682002</v>
      </c>
      <c r="H101" s="120">
        <f t="shared" si="22"/>
        <v>-1843.3114213023002</v>
      </c>
      <c r="I101" s="120">
        <f t="shared" si="22"/>
        <v>-1228.8742808682002</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1228.8742808682002</v>
      </c>
      <c r="G102" s="120">
        <f t="shared" si="22"/>
        <v>819.24952057880012</v>
      </c>
      <c r="H102" s="120">
        <f t="shared" si="22"/>
        <v>-1228.8742808682002</v>
      </c>
      <c r="I102" s="120">
        <f t="shared" si="22"/>
        <v>-819.24952057880012</v>
      </c>
      <c r="J102" s="120">
        <f t="shared" si="22"/>
        <v>0</v>
      </c>
      <c r="K102" s="120">
        <f t="shared" si="22"/>
        <v>0</v>
      </c>
      <c r="L102" s="120">
        <f t="shared" si="22"/>
        <v>0</v>
      </c>
      <c r="M102" s="120">
        <f t="shared" si="22"/>
        <v>0</v>
      </c>
      <c r="N102" s="112" t="s">
        <v>183</v>
      </c>
    </row>
    <row r="103" spans="1:14" ht="19.05" customHeight="1" x14ac:dyDescent="0.3">
      <c r="B103" s="120">
        <f t="shared" si="22"/>
        <v>0</v>
      </c>
      <c r="C103" s="120">
        <f t="shared" si="22"/>
        <v>0</v>
      </c>
      <c r="D103" s="120">
        <f t="shared" si="22"/>
        <v>0</v>
      </c>
      <c r="E103" s="120">
        <f t="shared" si="22"/>
        <v>0</v>
      </c>
      <c r="F103" s="120">
        <f t="shared" si="22"/>
        <v>-1843.3114213023002</v>
      </c>
      <c r="G103" s="120">
        <f t="shared" si="22"/>
        <v>-1228.8742808682002</v>
      </c>
      <c r="H103" s="120">
        <f t="shared" si="22"/>
        <v>1843.3114213023002</v>
      </c>
      <c r="I103" s="120">
        <f t="shared" si="22"/>
        <v>1228.8742808682002</v>
      </c>
      <c r="J103" s="120">
        <f t="shared" si="22"/>
        <v>0</v>
      </c>
      <c r="K103" s="120">
        <f t="shared" si="22"/>
        <v>0</v>
      </c>
      <c r="L103" s="120">
        <f t="shared" si="22"/>
        <v>0</v>
      </c>
      <c r="M103" s="120">
        <f t="shared" si="22"/>
        <v>0</v>
      </c>
      <c r="N103" s="112" t="s">
        <v>184</v>
      </c>
    </row>
    <row r="104" spans="1:14" ht="19.05" customHeight="1" x14ac:dyDescent="0.3">
      <c r="B104" s="120">
        <f t="shared" si="22"/>
        <v>0</v>
      </c>
      <c r="C104" s="120">
        <f t="shared" si="22"/>
        <v>0</v>
      </c>
      <c r="D104" s="120">
        <f t="shared" si="22"/>
        <v>0</v>
      </c>
      <c r="E104" s="120">
        <f t="shared" si="22"/>
        <v>0</v>
      </c>
      <c r="F104" s="120">
        <f t="shared" si="22"/>
        <v>-1228.8742808682002</v>
      </c>
      <c r="G104" s="120">
        <f t="shared" si="22"/>
        <v>-819.24952057880012</v>
      </c>
      <c r="H104" s="120">
        <f t="shared" si="22"/>
        <v>1228.8742808682002</v>
      </c>
      <c r="I104" s="120">
        <f t="shared" si="22"/>
        <v>819.24952057880012</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U4X</v>
      </c>
      <c r="C111" s="113" t="str">
        <f>IF(E21="","-",E21)</f>
        <v>U4Y</v>
      </c>
      <c r="D111" s="113" t="str">
        <f>IF(G21="","-",G21)</f>
        <v>U2X</v>
      </c>
      <c r="E111" s="113" t="str">
        <f>IF(H21="","-",H21)</f>
        <v>U2Y</v>
      </c>
    </row>
    <row r="112" spans="1:14" ht="18" customHeight="1" x14ac:dyDescent="0.3">
      <c r="B112" s="124">
        <f>IF(N10=0, 0, N10*J10*J10)</f>
        <v>136.96129413816448</v>
      </c>
      <c r="C112" s="124">
        <f>IF(N10=0, 0, N10*J10*K10)</f>
        <v>-547.8451765526579</v>
      </c>
      <c r="D112" s="124">
        <f>IF(N10=0, 0, -N10*J10*J10)</f>
        <v>-136.96129413816448</v>
      </c>
      <c r="E112" s="124">
        <f>IF(N10=0, 0, -N10*J10*K10)</f>
        <v>547.8451765526579</v>
      </c>
      <c r="F112" s="113" t="str">
        <f>IF(D21="","-",D21)</f>
        <v>U4X</v>
      </c>
    </row>
    <row r="113" spans="1:14" ht="18" customHeight="1" x14ac:dyDescent="0.3">
      <c r="B113" s="124">
        <f>IF(N10=0, 0, N10*J10*K10)</f>
        <v>-547.8451765526579</v>
      </c>
      <c r="C113" s="124">
        <f>IF(N10=0, 0, N10*K10*K10)</f>
        <v>2191.3807062106316</v>
      </c>
      <c r="D113" s="124">
        <f>IF(N10=0, 0, -N10*J10*K10)</f>
        <v>547.8451765526579</v>
      </c>
      <c r="E113" s="124">
        <f>IF(N10=0, 0, -N10*K10*K10)</f>
        <v>-2191.3807062106316</v>
      </c>
      <c r="F113" s="113" t="str">
        <f>IF(E21="","-",E21)</f>
        <v>U4Y</v>
      </c>
    </row>
    <row r="114" spans="1:14" ht="18" customHeight="1" x14ac:dyDescent="0.3">
      <c r="B114" s="124">
        <f>IF(N10=0, 0, -N10*J10*J10)</f>
        <v>-136.96129413816448</v>
      </c>
      <c r="C114" s="124">
        <f>IF(N10=0, 0, -N10*J10*K10)</f>
        <v>547.8451765526579</v>
      </c>
      <c r="D114" s="124">
        <f>IF(N10=0, 0, N10*J10*J10)</f>
        <v>136.96129413816448</v>
      </c>
      <c r="E114" s="124">
        <f>IF(N10=0, 0, N10*J10*K10)</f>
        <v>-547.8451765526579</v>
      </c>
      <c r="F114" s="113" t="str">
        <f>IF(G21="","-",G21)</f>
        <v>U2X</v>
      </c>
    </row>
    <row r="115" spans="1:14" ht="18" customHeight="1" x14ac:dyDescent="0.3">
      <c r="B115" s="124">
        <f>IF(N10=0, 0, -N10*J10*K10)</f>
        <v>547.8451765526579</v>
      </c>
      <c r="C115" s="124">
        <f>IF(N10=0, 0, -N10*K10*K10)</f>
        <v>-2191.3807062106316</v>
      </c>
      <c r="D115" s="124">
        <f>IF(N10=0, 0, N10*J10*K10)</f>
        <v>-547.8451765526579</v>
      </c>
      <c r="E115" s="124">
        <f>IF(N10=0, 0, N10*K10*K10)</f>
        <v>2191.3807062106316</v>
      </c>
      <c r="F115" s="113" t="str">
        <f>IF(H21="","-",H21)</f>
        <v>U2Y</v>
      </c>
    </row>
    <row r="117" spans="1:14" ht="19.05" customHeight="1" x14ac:dyDescent="0.3">
      <c r="B117" s="100" t="s">
        <v>178</v>
      </c>
      <c r="C117" s="100" t="s">
        <v>179</v>
      </c>
      <c r="D117" s="100" t="s">
        <v>180</v>
      </c>
      <c r="E117" s="100" t="s">
        <v>181</v>
      </c>
      <c r="F117" s="100" t="s">
        <v>182</v>
      </c>
      <c r="G117" s="100" t="s">
        <v>183</v>
      </c>
      <c r="H117" s="100" t="s">
        <v>184</v>
      </c>
      <c r="I117" s="100" t="s">
        <v>185</v>
      </c>
      <c r="J117" s="100" t="s">
        <v>186</v>
      </c>
      <c r="K117" s="100" t="s">
        <v>187</v>
      </c>
      <c r="L117" s="100" t="s">
        <v>188</v>
      </c>
      <c r="M117" s="100" t="s">
        <v>189</v>
      </c>
    </row>
    <row r="118" spans="1:14" ht="19.05" customHeight="1" x14ac:dyDescent="0.3">
      <c r="B118" s="120">
        <f t="shared" ref="B118:M129" si="23">IFERROR(INDEX($B$112:$E$115, MATCH($N118, $B$111:$E$111, 0), MATCH(B$117, $B$111:$E$111, 0)), 0)</f>
        <v>0</v>
      </c>
      <c r="C118" s="120">
        <f t="shared" si="23"/>
        <v>0</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0</v>
      </c>
      <c r="C119" s="120">
        <f t="shared" si="23"/>
        <v>0</v>
      </c>
      <c r="D119" s="120">
        <f t="shared" si="23"/>
        <v>0</v>
      </c>
      <c r="E119" s="120">
        <f t="shared" si="23"/>
        <v>0</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0</v>
      </c>
      <c r="C120" s="120">
        <f t="shared" si="23"/>
        <v>0</v>
      </c>
      <c r="D120" s="120">
        <f t="shared" si="23"/>
        <v>136.96129413816448</v>
      </c>
      <c r="E120" s="120">
        <f t="shared" si="23"/>
        <v>-547.8451765526579</v>
      </c>
      <c r="F120" s="120">
        <f t="shared" si="23"/>
        <v>0</v>
      </c>
      <c r="G120" s="120">
        <f t="shared" si="23"/>
        <v>0</v>
      </c>
      <c r="H120" s="120">
        <f t="shared" si="23"/>
        <v>-136.96129413816448</v>
      </c>
      <c r="I120" s="120">
        <f t="shared" si="23"/>
        <v>547.8451765526579</v>
      </c>
      <c r="J120" s="120">
        <f t="shared" si="23"/>
        <v>0</v>
      </c>
      <c r="K120" s="120">
        <f t="shared" si="23"/>
        <v>0</v>
      </c>
      <c r="L120" s="120">
        <f t="shared" si="23"/>
        <v>0</v>
      </c>
      <c r="M120" s="120">
        <f t="shared" si="23"/>
        <v>0</v>
      </c>
      <c r="N120" s="113" t="s">
        <v>180</v>
      </c>
    </row>
    <row r="121" spans="1:14" ht="19.05" customHeight="1" x14ac:dyDescent="0.3">
      <c r="B121" s="120">
        <f t="shared" si="23"/>
        <v>0</v>
      </c>
      <c r="C121" s="120">
        <f t="shared" si="23"/>
        <v>0</v>
      </c>
      <c r="D121" s="120">
        <f t="shared" si="23"/>
        <v>-547.8451765526579</v>
      </c>
      <c r="E121" s="120">
        <f t="shared" si="23"/>
        <v>2191.3807062106316</v>
      </c>
      <c r="F121" s="120">
        <f t="shared" si="23"/>
        <v>0</v>
      </c>
      <c r="G121" s="120">
        <f t="shared" si="23"/>
        <v>0</v>
      </c>
      <c r="H121" s="120">
        <f t="shared" si="23"/>
        <v>547.8451765526579</v>
      </c>
      <c r="I121" s="120">
        <f t="shared" si="23"/>
        <v>-2191.3807062106316</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-136.96129413816448</v>
      </c>
      <c r="E124" s="120">
        <f t="shared" si="23"/>
        <v>547.8451765526579</v>
      </c>
      <c r="F124" s="120">
        <f t="shared" si="23"/>
        <v>0</v>
      </c>
      <c r="G124" s="120">
        <f t="shared" si="23"/>
        <v>0</v>
      </c>
      <c r="H124" s="120">
        <f t="shared" si="23"/>
        <v>136.96129413816448</v>
      </c>
      <c r="I124" s="120">
        <f t="shared" si="23"/>
        <v>-547.8451765526579</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547.8451765526579</v>
      </c>
      <c r="E125" s="120">
        <f t="shared" si="23"/>
        <v>-2191.3807062106316</v>
      </c>
      <c r="F125" s="120">
        <f t="shared" si="23"/>
        <v>0</v>
      </c>
      <c r="G125" s="120">
        <f t="shared" si="23"/>
        <v>0</v>
      </c>
      <c r="H125" s="120">
        <f t="shared" si="23"/>
        <v>-547.8451765526579</v>
      </c>
      <c r="I125" s="120">
        <f t="shared" si="23"/>
        <v>2191.3807062106316</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00" t="s">
        <v>178</v>
      </c>
      <c r="C138" s="100" t="s">
        <v>179</v>
      </c>
      <c r="D138" s="100" t="s">
        <v>180</v>
      </c>
      <c r="E138" s="100" t="s">
        <v>181</v>
      </c>
      <c r="F138" s="100" t="s">
        <v>182</v>
      </c>
      <c r="G138" s="100" t="s">
        <v>183</v>
      </c>
      <c r="H138" s="100" t="s">
        <v>184</v>
      </c>
      <c r="I138" s="100" t="s">
        <v>185</v>
      </c>
      <c r="J138" s="100" t="s">
        <v>186</v>
      </c>
      <c r="K138" s="100" t="s">
        <v>187</v>
      </c>
      <c r="L138" s="100" t="s">
        <v>188</v>
      </c>
      <c r="M138" s="100"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00" t="s">
        <v>178</v>
      </c>
      <c r="C159" s="100" t="s">
        <v>179</v>
      </c>
      <c r="D159" s="100" t="s">
        <v>180</v>
      </c>
      <c r="E159" s="100" t="s">
        <v>181</v>
      </c>
      <c r="F159" s="100" t="s">
        <v>182</v>
      </c>
      <c r="G159" s="100" t="s">
        <v>183</v>
      </c>
      <c r="H159" s="100" t="s">
        <v>184</v>
      </c>
      <c r="I159" s="100" t="s">
        <v>185</v>
      </c>
      <c r="J159" s="100" t="s">
        <v>186</v>
      </c>
      <c r="K159" s="100" t="s">
        <v>187</v>
      </c>
      <c r="L159" s="100" t="s">
        <v>188</v>
      </c>
      <c r="M159" s="100"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00" t="s">
        <v>178</v>
      </c>
      <c r="C180" s="100" t="s">
        <v>179</v>
      </c>
      <c r="D180" s="100" t="s">
        <v>180</v>
      </c>
      <c r="E180" s="100" t="s">
        <v>181</v>
      </c>
      <c r="F180" s="100" t="s">
        <v>182</v>
      </c>
      <c r="G180" s="100" t="s">
        <v>183</v>
      </c>
      <c r="H180" s="100" t="s">
        <v>184</v>
      </c>
      <c r="I180" s="100" t="s">
        <v>185</v>
      </c>
      <c r="J180" s="100" t="s">
        <v>186</v>
      </c>
      <c r="K180" s="100" t="s">
        <v>187</v>
      </c>
      <c r="L180" s="100" t="s">
        <v>188</v>
      </c>
      <c r="M180" s="100"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x14ac:dyDescent="0.3">
      <c r="B195" s="153" t="s">
        <v>178</v>
      </c>
      <c r="C195" s="100" t="s">
        <v>179</v>
      </c>
      <c r="D195" s="100" t="s">
        <v>180</v>
      </c>
      <c r="E195" s="100" t="s">
        <v>181</v>
      </c>
      <c r="F195" s="100" t="s">
        <v>182</v>
      </c>
      <c r="G195" s="100" t="s">
        <v>183</v>
      </c>
      <c r="H195" s="100" t="s">
        <v>184</v>
      </c>
      <c r="I195" s="100" t="s">
        <v>185</v>
      </c>
      <c r="J195" s="100" t="s">
        <v>186</v>
      </c>
      <c r="K195" s="100" t="s">
        <v>187</v>
      </c>
      <c r="L195" s="100" t="s">
        <v>188</v>
      </c>
      <c r="M195" s="100" t="s">
        <v>189</v>
      </c>
    </row>
    <row r="196" spans="1:14" ht="19.95" customHeight="1" x14ac:dyDescent="0.3">
      <c r="B196" s="158">
        <f t="shared" ref="B196:M196" si="27">B34+B55+B76+B97+B118+B139+B160+B181</f>
        <v>2778.6501033599193</v>
      </c>
      <c r="C196" s="154">
        <f t="shared" si="27"/>
        <v>1717.3002067198383</v>
      </c>
      <c r="D196" s="120">
        <f t="shared" si="27"/>
        <v>-1920</v>
      </c>
      <c r="E196" s="120">
        <f t="shared" si="27"/>
        <v>0</v>
      </c>
      <c r="F196" s="120">
        <f t="shared" si="27"/>
        <v>-858.65010335991917</v>
      </c>
      <c r="G196" s="120">
        <f t="shared" si="27"/>
        <v>-1717.3002067198383</v>
      </c>
      <c r="H196" s="120">
        <f t="shared" si="27"/>
        <v>0</v>
      </c>
      <c r="I196" s="120">
        <f t="shared" si="27"/>
        <v>0</v>
      </c>
      <c r="J196" s="120">
        <f t="shared" si="27"/>
        <v>0</v>
      </c>
      <c r="K196" s="120">
        <f t="shared" si="27"/>
        <v>0</v>
      </c>
      <c r="L196" s="120">
        <f t="shared" si="27"/>
        <v>0</v>
      </c>
      <c r="M196" s="120">
        <f t="shared" si="27"/>
        <v>0</v>
      </c>
      <c r="N196" s="130" t="s">
        <v>178</v>
      </c>
    </row>
    <row r="197" spans="1:14" ht="19.95" customHeight="1" x14ac:dyDescent="0.3">
      <c r="B197" s="156">
        <f t="shared" ref="B197:M197" si="28">B35+B56+B77+B98+B119+B140+B161+B182</f>
        <v>1717.3002067198383</v>
      </c>
      <c r="C197" s="158">
        <f t="shared" si="28"/>
        <v>3434.6004134396767</v>
      </c>
      <c r="D197" s="155">
        <f t="shared" si="28"/>
        <v>0</v>
      </c>
      <c r="E197" s="120">
        <f t="shared" si="28"/>
        <v>0</v>
      </c>
      <c r="F197" s="120">
        <f t="shared" si="28"/>
        <v>-1717.3002067198383</v>
      </c>
      <c r="G197" s="120">
        <f t="shared" si="28"/>
        <v>-3434.6004134396767</v>
      </c>
      <c r="H197" s="120">
        <f t="shared" si="28"/>
        <v>0</v>
      </c>
      <c r="I197" s="120">
        <f t="shared" si="28"/>
        <v>0</v>
      </c>
      <c r="J197" s="120">
        <f t="shared" si="28"/>
        <v>0</v>
      </c>
      <c r="K197" s="120">
        <f t="shared" si="28"/>
        <v>0</v>
      </c>
      <c r="L197" s="120">
        <f t="shared" si="28"/>
        <v>0</v>
      </c>
      <c r="M197" s="120">
        <f t="shared" si="28"/>
        <v>0</v>
      </c>
      <c r="N197" s="130" t="s">
        <v>179</v>
      </c>
    </row>
    <row r="198" spans="1:14" ht="19.95" customHeight="1" x14ac:dyDescent="0.3">
      <c r="B198" s="120">
        <f t="shared" ref="B198:M198" si="29">B36+B57+B78+B99+B120+B141+B162+B183</f>
        <v>-1920</v>
      </c>
      <c r="C198" s="157">
        <f t="shared" si="29"/>
        <v>0</v>
      </c>
      <c r="D198" s="158">
        <f t="shared" si="29"/>
        <v>3774.2615008580033</v>
      </c>
      <c r="E198" s="154">
        <f t="shared" si="29"/>
        <v>-1406.4952799125772</v>
      </c>
      <c r="F198" s="120">
        <f t="shared" si="29"/>
        <v>-1717.3002067198383</v>
      </c>
      <c r="G198" s="120">
        <f t="shared" si="29"/>
        <v>858.65010335991917</v>
      </c>
      <c r="H198" s="120">
        <f t="shared" si="29"/>
        <v>-136.96129413816448</v>
      </c>
      <c r="I198" s="120">
        <f t="shared" si="29"/>
        <v>547.8451765526579</v>
      </c>
      <c r="J198" s="120">
        <f t="shared" si="29"/>
        <v>0</v>
      </c>
      <c r="K198" s="120">
        <f t="shared" si="29"/>
        <v>0</v>
      </c>
      <c r="L198" s="120">
        <f t="shared" si="29"/>
        <v>0</v>
      </c>
      <c r="M198" s="120">
        <f t="shared" si="29"/>
        <v>0</v>
      </c>
      <c r="N198" s="130" t="s">
        <v>180</v>
      </c>
    </row>
    <row r="199" spans="1:14" ht="19.95" customHeight="1" x14ac:dyDescent="0.3">
      <c r="B199" s="120">
        <f t="shared" ref="B199:M199" si="30">B37+B58+B79+B100+B121+B142+B163+B184</f>
        <v>0</v>
      </c>
      <c r="C199" s="120">
        <f t="shared" si="30"/>
        <v>0</v>
      </c>
      <c r="D199" s="156">
        <f t="shared" si="30"/>
        <v>-1406.4952799125772</v>
      </c>
      <c r="E199" s="158">
        <f t="shared" si="30"/>
        <v>2620.705757890591</v>
      </c>
      <c r="F199" s="155">
        <f t="shared" si="30"/>
        <v>858.65010335991917</v>
      </c>
      <c r="G199" s="120">
        <f t="shared" si="30"/>
        <v>-429.32505167995959</v>
      </c>
      <c r="H199" s="120">
        <f t="shared" si="30"/>
        <v>547.8451765526579</v>
      </c>
      <c r="I199" s="120">
        <f t="shared" si="30"/>
        <v>-2191.3807062106316</v>
      </c>
      <c r="J199" s="120">
        <f t="shared" si="30"/>
        <v>0</v>
      </c>
      <c r="K199" s="120">
        <f t="shared" si="30"/>
        <v>0</v>
      </c>
      <c r="L199" s="120">
        <f t="shared" si="30"/>
        <v>0</v>
      </c>
      <c r="M199" s="120">
        <f t="shared" si="30"/>
        <v>0</v>
      </c>
      <c r="N199" s="130" t="s">
        <v>181</v>
      </c>
    </row>
    <row r="200" spans="1:14" ht="19.95" customHeight="1" x14ac:dyDescent="0.3">
      <c r="B200" s="120">
        <f t="shared" ref="B200:M200" si="31">B38+B59+B80+B101+B122+B143+B164+B185</f>
        <v>-858.65010335991917</v>
      </c>
      <c r="C200" s="120">
        <f t="shared" si="31"/>
        <v>-1717.3002067198383</v>
      </c>
      <c r="D200" s="120">
        <f t="shared" si="31"/>
        <v>-1717.3002067198383</v>
      </c>
      <c r="E200" s="157">
        <f t="shared" si="31"/>
        <v>858.65010335991917</v>
      </c>
      <c r="F200" s="158">
        <f t="shared" si="31"/>
        <v>4419.2617313820574</v>
      </c>
      <c r="G200" s="154">
        <f t="shared" si="31"/>
        <v>2087.5243842281193</v>
      </c>
      <c r="H200" s="120">
        <f t="shared" si="31"/>
        <v>-1843.3114213023002</v>
      </c>
      <c r="I200" s="120">
        <f t="shared" si="31"/>
        <v>-1228.8742808682002</v>
      </c>
      <c r="J200" s="120">
        <f t="shared" si="31"/>
        <v>0</v>
      </c>
      <c r="K200" s="120">
        <f t="shared" si="31"/>
        <v>0</v>
      </c>
      <c r="L200" s="120">
        <f t="shared" si="31"/>
        <v>0</v>
      </c>
      <c r="M200" s="120">
        <f t="shared" si="31"/>
        <v>0</v>
      </c>
      <c r="N200" s="130" t="s">
        <v>182</v>
      </c>
    </row>
    <row r="201" spans="1:14" ht="19.95" customHeight="1" x14ac:dyDescent="0.3">
      <c r="A201" s="118" t="s">
        <v>205</v>
      </c>
      <c r="B201" s="120">
        <f t="shared" ref="B201:M201" si="32">B39+B60+B81+B102+B123+B144+B165+B186</f>
        <v>-1717.3002067198383</v>
      </c>
      <c r="C201" s="120">
        <f t="shared" si="32"/>
        <v>-3434.6004134396767</v>
      </c>
      <c r="D201" s="120">
        <f t="shared" si="32"/>
        <v>858.65010335991917</v>
      </c>
      <c r="E201" s="120">
        <f t="shared" si="32"/>
        <v>-429.32505167995959</v>
      </c>
      <c r="F201" s="156">
        <f t="shared" si="32"/>
        <v>2087.5243842281193</v>
      </c>
      <c r="G201" s="158">
        <f t="shared" si="32"/>
        <v>4683.1749856984361</v>
      </c>
      <c r="H201" s="155">
        <f t="shared" si="32"/>
        <v>-1228.8742808682002</v>
      </c>
      <c r="I201" s="120">
        <f t="shared" si="32"/>
        <v>-819.24952057880012</v>
      </c>
      <c r="J201" s="120">
        <f t="shared" si="32"/>
        <v>0</v>
      </c>
      <c r="K201" s="120">
        <f t="shared" si="32"/>
        <v>0</v>
      </c>
      <c r="L201" s="120">
        <f t="shared" si="32"/>
        <v>0</v>
      </c>
      <c r="M201" s="120">
        <f t="shared" si="32"/>
        <v>0</v>
      </c>
      <c r="N201" s="130" t="s">
        <v>183</v>
      </c>
    </row>
    <row r="202" spans="1:14" ht="19.95" customHeight="1" x14ac:dyDescent="0.3">
      <c r="B202" s="120">
        <f t="shared" ref="B202:M202" si="33">B40+B61+B82+B103+B124+B145+B166+B187</f>
        <v>0</v>
      </c>
      <c r="C202" s="120">
        <f t="shared" si="33"/>
        <v>0</v>
      </c>
      <c r="D202" s="120">
        <f t="shared" si="33"/>
        <v>-136.96129413816448</v>
      </c>
      <c r="E202" s="120">
        <f t="shared" si="33"/>
        <v>547.8451765526579</v>
      </c>
      <c r="F202" s="120">
        <f t="shared" si="33"/>
        <v>-1843.3114213023002</v>
      </c>
      <c r="G202" s="157">
        <f t="shared" si="33"/>
        <v>-1228.8742808682002</v>
      </c>
      <c r="H202" s="158">
        <f t="shared" si="33"/>
        <v>1980.2727154404647</v>
      </c>
      <c r="I202" s="154">
        <f t="shared" si="33"/>
        <v>681.02910431554233</v>
      </c>
      <c r="J202" s="120">
        <f t="shared" si="33"/>
        <v>0</v>
      </c>
      <c r="K202" s="120">
        <f t="shared" si="33"/>
        <v>0</v>
      </c>
      <c r="L202" s="120">
        <f t="shared" si="33"/>
        <v>0</v>
      </c>
      <c r="M202" s="120">
        <f t="shared" si="33"/>
        <v>0</v>
      </c>
      <c r="N202" s="130" t="s">
        <v>184</v>
      </c>
    </row>
    <row r="203" spans="1:14" ht="19.95" customHeight="1" x14ac:dyDescent="0.3">
      <c r="B203" s="120">
        <f t="shared" ref="B203:M203" si="34">B41+B62+B83+B104+B125+B146+B167+B188</f>
        <v>0</v>
      </c>
      <c r="C203" s="120">
        <f t="shared" si="34"/>
        <v>0</v>
      </c>
      <c r="D203" s="120">
        <f t="shared" si="34"/>
        <v>547.8451765526579</v>
      </c>
      <c r="E203" s="120">
        <f t="shared" si="34"/>
        <v>-2191.3807062106316</v>
      </c>
      <c r="F203" s="120">
        <f t="shared" si="34"/>
        <v>-1228.8742808682002</v>
      </c>
      <c r="G203" s="120">
        <f t="shared" si="34"/>
        <v>-819.24952057880012</v>
      </c>
      <c r="H203" s="156">
        <f t="shared" si="34"/>
        <v>681.02910431554233</v>
      </c>
      <c r="I203" s="158">
        <f t="shared" si="34"/>
        <v>3010.6302267894316</v>
      </c>
      <c r="J203" s="155">
        <f t="shared" si="34"/>
        <v>0</v>
      </c>
      <c r="K203" s="120">
        <f t="shared" si="34"/>
        <v>0</v>
      </c>
      <c r="L203" s="120">
        <f t="shared" si="34"/>
        <v>0</v>
      </c>
      <c r="M203" s="120">
        <f t="shared" si="34"/>
        <v>0</v>
      </c>
      <c r="N203" s="130" t="s">
        <v>185</v>
      </c>
    </row>
    <row r="204" spans="1:14" ht="19.95" customHeight="1" x14ac:dyDescent="0.3">
      <c r="B204" s="120">
        <f t="shared" ref="B204:M204" si="35">B42+B63+B84+B105+B126+B147+B168+B189</f>
        <v>0</v>
      </c>
      <c r="C204" s="120">
        <f t="shared" si="35"/>
        <v>0</v>
      </c>
      <c r="D204" s="120">
        <f t="shared" si="35"/>
        <v>0</v>
      </c>
      <c r="E204" s="120">
        <f t="shared" si="35"/>
        <v>0</v>
      </c>
      <c r="F204" s="120">
        <f t="shared" si="35"/>
        <v>0</v>
      </c>
      <c r="G204" s="120">
        <f t="shared" si="35"/>
        <v>0</v>
      </c>
      <c r="H204" s="120">
        <f t="shared" si="35"/>
        <v>0</v>
      </c>
      <c r="I204" s="157">
        <f t="shared" si="35"/>
        <v>0</v>
      </c>
      <c r="J204" s="158">
        <f t="shared" si="35"/>
        <v>0</v>
      </c>
      <c r="K204" s="154">
        <f t="shared" si="35"/>
        <v>0</v>
      </c>
      <c r="L204" s="120">
        <f t="shared" si="35"/>
        <v>0</v>
      </c>
      <c r="M204" s="120">
        <f t="shared" si="35"/>
        <v>0</v>
      </c>
      <c r="N204" s="130" t="s">
        <v>186</v>
      </c>
    </row>
    <row r="205" spans="1:14" ht="19.95" customHeight="1" x14ac:dyDescent="0.3">
      <c r="B205" s="120">
        <f t="shared" ref="B205:M205" si="36">B43+B64+B85+B106+B127+B148+B169+B190</f>
        <v>0</v>
      </c>
      <c r="C205" s="120">
        <f t="shared" si="36"/>
        <v>0</v>
      </c>
      <c r="D205" s="120">
        <f t="shared" si="36"/>
        <v>0</v>
      </c>
      <c r="E205" s="120">
        <f t="shared" si="36"/>
        <v>0</v>
      </c>
      <c r="F205" s="120">
        <f t="shared" si="36"/>
        <v>0</v>
      </c>
      <c r="G205" s="120">
        <f t="shared" si="36"/>
        <v>0</v>
      </c>
      <c r="H205" s="120">
        <f t="shared" si="36"/>
        <v>0</v>
      </c>
      <c r="I205" s="120">
        <f t="shared" si="36"/>
        <v>0</v>
      </c>
      <c r="J205" s="156">
        <f t="shared" si="36"/>
        <v>0</v>
      </c>
      <c r="K205" s="158">
        <f t="shared" si="36"/>
        <v>0</v>
      </c>
      <c r="L205" s="155">
        <f t="shared" si="36"/>
        <v>0</v>
      </c>
      <c r="M205" s="120">
        <f t="shared" si="36"/>
        <v>0</v>
      </c>
      <c r="N205" s="130" t="s">
        <v>187</v>
      </c>
    </row>
    <row r="206" spans="1:14" ht="19.95" customHeight="1" x14ac:dyDescent="0.3">
      <c r="B206" s="120">
        <f t="shared" ref="B206:M206" si="37">B44+B65+B86+B107+B128+B149+B170+B191</f>
        <v>0</v>
      </c>
      <c r="C206" s="120">
        <f t="shared" si="37"/>
        <v>0</v>
      </c>
      <c r="D206" s="120">
        <f t="shared" si="37"/>
        <v>0</v>
      </c>
      <c r="E206" s="120">
        <f t="shared" si="37"/>
        <v>0</v>
      </c>
      <c r="F206" s="120">
        <f t="shared" si="37"/>
        <v>0</v>
      </c>
      <c r="G206" s="120">
        <f t="shared" si="37"/>
        <v>0</v>
      </c>
      <c r="H206" s="120">
        <f t="shared" si="37"/>
        <v>0</v>
      </c>
      <c r="I206" s="120">
        <f t="shared" si="37"/>
        <v>0</v>
      </c>
      <c r="J206" s="120">
        <f t="shared" si="37"/>
        <v>0</v>
      </c>
      <c r="K206" s="157">
        <f t="shared" si="37"/>
        <v>0</v>
      </c>
      <c r="L206" s="158">
        <f t="shared" si="37"/>
        <v>0</v>
      </c>
      <c r="M206" s="154">
        <f t="shared" si="37"/>
        <v>0</v>
      </c>
      <c r="N206" s="130" t="s">
        <v>188</v>
      </c>
    </row>
    <row r="207" spans="1:14" ht="19.95" customHeight="1" x14ac:dyDescent="0.3">
      <c r="B207" s="120">
        <f t="shared" ref="B207:M207" si="38">B45+B66+B87+B108+B129+B150+B171+B192</f>
        <v>0</v>
      </c>
      <c r="C207" s="120">
        <f t="shared" si="38"/>
        <v>0</v>
      </c>
      <c r="D207" s="120">
        <f t="shared" si="38"/>
        <v>0</v>
      </c>
      <c r="E207" s="120">
        <f t="shared" si="38"/>
        <v>0</v>
      </c>
      <c r="F207" s="120">
        <f t="shared" si="38"/>
        <v>0</v>
      </c>
      <c r="G207" s="120">
        <f t="shared" si="38"/>
        <v>0</v>
      </c>
      <c r="H207" s="120">
        <f t="shared" si="38"/>
        <v>0</v>
      </c>
      <c r="I207" s="120">
        <f t="shared" si="38"/>
        <v>0</v>
      </c>
      <c r="J207" s="120">
        <f t="shared" si="38"/>
        <v>0</v>
      </c>
      <c r="K207" s="120">
        <f t="shared" si="38"/>
        <v>0</v>
      </c>
      <c r="L207" s="156">
        <f t="shared" si="38"/>
        <v>0</v>
      </c>
      <c r="M207" s="158">
        <f t="shared" si="38"/>
        <v>0</v>
      </c>
      <c r="N207" s="152" t="s">
        <v>189</v>
      </c>
    </row>
    <row r="210" spans="1:31" ht="19.95" customHeight="1" x14ac:dyDescent="0.35">
      <c r="A210" s="131" t="s">
        <v>206</v>
      </c>
      <c r="Z210" s="189" t="s">
        <v>207</v>
      </c>
      <c r="AA210" s="189"/>
      <c r="AB210" s="189"/>
      <c r="AC210" s="189"/>
      <c r="AD210" s="189"/>
      <c r="AE210" s="189"/>
    </row>
    <row r="211" spans="1:31" ht="16.95" customHeight="1" x14ac:dyDescent="0.3">
      <c r="B211" s="132" t="s">
        <v>208</v>
      </c>
      <c r="C211" s="132" t="s">
        <v>178</v>
      </c>
      <c r="E211" s="133" t="str">
        <f>IF(IFERROR(VLOOKUP(1, $P$6:$W$11, 2, FALSE), "")="", 0, IF(VLOOKUP(1, $P$6:$W$11, 5, FALSE)=1, B211, VLOOKUP(1, $P$6:$W$11, 7, FALSE)))</f>
        <v>C1X</v>
      </c>
      <c r="Z211" s="188" t="s">
        <v>209</v>
      </c>
      <c r="AA211" s="188"/>
      <c r="AB211" s="188"/>
      <c r="AC211" s="188"/>
      <c r="AD211" s="188"/>
      <c r="AE211" s="188"/>
    </row>
    <row r="212" spans="1:31" ht="16.95" customHeight="1" x14ac:dyDescent="0.3">
      <c r="B212" s="132" t="s">
        <v>210</v>
      </c>
      <c r="C212" s="132" t="s">
        <v>179</v>
      </c>
      <c r="E212" s="133" t="str">
        <f>IF(IFERROR(VLOOKUP(1, $P$6:$W$11, 2, FALSE), "")="", 0, IF(VLOOKUP(1, $P$6:$W$11, 6, FALSE)=1, B212, VLOOKUP(1, $P$6:$W$11, 8, FALSE)))</f>
        <v>C1Y</v>
      </c>
      <c r="Z212" s="188" t="s">
        <v>211</v>
      </c>
      <c r="AA212" s="188"/>
      <c r="AB212" s="188"/>
      <c r="AC212" s="188"/>
      <c r="AD212" s="188"/>
      <c r="AE212" s="188"/>
    </row>
    <row r="213" spans="1:31" ht="16.95" customHeight="1" x14ac:dyDescent="0.3">
      <c r="B213" s="132" t="s">
        <v>212</v>
      </c>
      <c r="C213" s="132" t="s">
        <v>180</v>
      </c>
      <c r="E213" s="133">
        <f>IF(IFERROR(VLOOKUP(2, $P$6:$W$11, 2, FALSE), "")="", 0, IF(VLOOKUP(2, $P$6:$W$11, 5, FALSE)=1, B213, VLOOKUP(2, $P$6:$W$11, 7, FALSE)))</f>
        <v>0</v>
      </c>
      <c r="Z213" s="188" t="s">
        <v>213</v>
      </c>
      <c r="AA213" s="188"/>
      <c r="AB213" s="188"/>
      <c r="AC213" s="188"/>
      <c r="AD213" s="188"/>
      <c r="AE213" s="188"/>
    </row>
    <row r="214" spans="1:31" ht="16.95" customHeight="1" x14ac:dyDescent="0.3">
      <c r="B214" s="132" t="s">
        <v>214</v>
      </c>
      <c r="C214" s="132" t="s">
        <v>181</v>
      </c>
      <c r="E214" s="133" t="str">
        <f>IF(IFERROR(VLOOKUP(2, $P$6:$W$11, 2, FALSE), "")="", 0, IF(VLOOKUP(2, $P$6:$W$11, 6, FALSE)=1, B214, VLOOKUP(2, $P$6:$W$11, 8, FALSE)))</f>
        <v>C2Y</v>
      </c>
      <c r="Z214" s="188" t="s">
        <v>215</v>
      </c>
      <c r="AA214" s="188"/>
      <c r="AB214" s="188"/>
      <c r="AC214" s="188"/>
      <c r="AD214" s="188"/>
      <c r="AE214" s="188"/>
    </row>
    <row r="215" spans="1:31" ht="16.95" customHeight="1" x14ac:dyDescent="0.3">
      <c r="B215" s="132" t="s">
        <v>216</v>
      </c>
      <c r="C215" s="132" t="s">
        <v>182</v>
      </c>
      <c r="E215" s="133">
        <f>IF(IFERROR(VLOOKUP(3, $P$6:$W$11, 2, FALSE), "")="", 0, IF(VLOOKUP(3, $P$6:$W$11, 5, FALSE)=1, B215, VLOOKUP(3, $P$6:$W$11, 7, FALSE)))</f>
        <v>7800</v>
      </c>
      <c r="Z215" s="188" t="s">
        <v>217</v>
      </c>
      <c r="AA215" s="188"/>
      <c r="AB215" s="188"/>
      <c r="AC215" s="188"/>
      <c r="AD215" s="188"/>
      <c r="AE215" s="188"/>
    </row>
    <row r="216" spans="1:31" ht="16.95" customHeight="1" x14ac:dyDescent="0.3">
      <c r="A216" s="110" t="s">
        <v>218</v>
      </c>
      <c r="B216" s="132" t="s">
        <v>219</v>
      </c>
      <c r="C216" s="132" t="s">
        <v>183</v>
      </c>
      <c r="D216" s="13" t="s">
        <v>220</v>
      </c>
      <c r="E216" s="133">
        <f>IF(IFERROR(VLOOKUP(3, $P$6:$W$11, 2, FALSE), "")="", 0, IF(VLOOKUP(3, $P$6:$W$11, 6, FALSE)=1, B216, VLOOKUP(3, $P$6:$W$11, 8, FALSE)))</f>
        <v>-7800</v>
      </c>
      <c r="Z216" s="188"/>
      <c r="AA216" s="188"/>
      <c r="AB216" s="188"/>
      <c r="AC216" s="188"/>
      <c r="AD216" s="188"/>
      <c r="AE216" s="188"/>
    </row>
    <row r="217" spans="1:31" ht="16.95" customHeight="1" x14ac:dyDescent="0.3">
      <c r="B217" s="132" t="s">
        <v>221</v>
      </c>
      <c r="C217" s="132" t="s">
        <v>184</v>
      </c>
      <c r="E217" s="133">
        <f>IF(IFERROR(VLOOKUP(4, $P$6:$W$11, 2, FALSE), "")="", 0, IF(VLOOKUP(4, $P$6:$W$11, 5, FALSE)=1, B217, VLOOKUP(4, $P$6:$W$11, 7, FALSE)))</f>
        <v>6000</v>
      </c>
      <c r="Z217" s="188"/>
      <c r="AA217" s="188"/>
      <c r="AB217" s="188"/>
      <c r="AC217" s="188"/>
      <c r="AD217" s="188"/>
      <c r="AE217" s="188"/>
    </row>
    <row r="218" spans="1:31" ht="16.95" customHeight="1" x14ac:dyDescent="0.3">
      <c r="B218" s="132" t="s">
        <v>222</v>
      </c>
      <c r="C218" s="132" t="s">
        <v>185</v>
      </c>
      <c r="E218" s="133">
        <f>IF(IFERROR(VLOOKUP(4, $P$6:$W$11, 2, FALSE), "")="", 0, IF(VLOOKUP(4, $P$6:$W$11, 6, FALSE)=1, B218, VLOOKUP(4, $P$6:$W$11, 8, FALSE)))</f>
        <v>-6000</v>
      </c>
      <c r="Z218" s="188"/>
      <c r="AA218" s="188"/>
      <c r="AB218" s="188"/>
      <c r="AC218" s="188"/>
      <c r="AD218" s="188"/>
      <c r="AE218" s="188"/>
    </row>
    <row r="219" spans="1:31" ht="16.95" customHeight="1" x14ac:dyDescent="0.3">
      <c r="B219" s="132" t="s">
        <v>223</v>
      </c>
      <c r="C219" s="132" t="s">
        <v>186</v>
      </c>
      <c r="E219" s="133">
        <f>IF(IFERROR(VLOOKUP(5, $P$6:$W$11, 2, FALSE), "")="", 0, IF(VLOOKUP(5, $P$6:$W$11, 5, FALSE)=1, B219, VLOOKUP(5, $P$6:$W$11, 7, FALSE)))</f>
        <v>0</v>
      </c>
      <c r="Z219" s="188"/>
      <c r="AA219" s="188"/>
      <c r="AB219" s="188"/>
      <c r="AC219" s="188"/>
      <c r="AD219" s="188"/>
      <c r="AE219" s="188"/>
    </row>
    <row r="220" spans="1:31" ht="16.95" customHeight="1" x14ac:dyDescent="0.3">
      <c r="B220" s="132" t="s">
        <v>224</v>
      </c>
      <c r="C220" s="132" t="s">
        <v>187</v>
      </c>
      <c r="E220" s="133">
        <f>IF(IFERROR(VLOOKUP(5, $P$6:$W$11, 2, FALSE), "")="", 0, IF(VLOOKUP(5, $P$6:$W$11, 6, FALSE)=1, B220, VLOOKUP(5, $P$6:$W$11, 8, FALSE)))</f>
        <v>0</v>
      </c>
      <c r="Z220" s="188"/>
      <c r="AA220" s="188"/>
      <c r="AB220" s="188"/>
      <c r="AC220" s="188"/>
      <c r="AD220" s="188"/>
      <c r="AE220" s="188"/>
    </row>
    <row r="221" spans="1:31" ht="16.95" customHeight="1" x14ac:dyDescent="0.3">
      <c r="B221" s="132" t="s">
        <v>225</v>
      </c>
      <c r="C221" s="132" t="s">
        <v>188</v>
      </c>
      <c r="E221" s="133">
        <f>IF(IFERROR(VLOOKUP(6, $P$6:$W$11, 2, FALSE), "")="", 0, IF(VLOOKUP(6, $P$6:$W$11, 5, FALSE)=1, B221, VLOOKUP(6, $P$6:$W$11, 7, FALSE)))</f>
        <v>0</v>
      </c>
      <c r="Z221" s="188"/>
      <c r="AA221" s="188"/>
      <c r="AB221" s="188"/>
      <c r="AC221" s="188"/>
      <c r="AD221" s="188"/>
      <c r="AE221" s="188"/>
    </row>
    <row r="222" spans="1:31" ht="16.95" customHeight="1" x14ac:dyDescent="0.3">
      <c r="B222" s="132" t="s">
        <v>226</v>
      </c>
      <c r="C222" s="132" t="s">
        <v>189</v>
      </c>
      <c r="E222" s="133">
        <f>IF(IFERROR(VLOOKUP(6, $P$6:$W$11, 2, FALSE), "")="", 0, IF(VLOOKUP(6, $P$6:$W$11, 6, FALSE)=1, B222, VLOOKUP(6, $P$6:$W$11, 8, FALSE)))</f>
        <v>0</v>
      </c>
      <c r="Z222" s="188"/>
      <c r="AA222" s="188"/>
      <c r="AB222" s="188"/>
      <c r="AC222" s="188"/>
      <c r="AD222" s="188"/>
      <c r="AE222" s="188"/>
    </row>
    <row r="223" spans="1:31" ht="16.95" customHeight="1" x14ac:dyDescent="0.3">
      <c r="Z223" s="188"/>
      <c r="AA223" s="188"/>
      <c r="AB223" s="188"/>
      <c r="AC223" s="188"/>
      <c r="AD223" s="188"/>
      <c r="AE223" s="188"/>
    </row>
    <row r="224" spans="1:31" ht="16.95" customHeight="1" x14ac:dyDescent="0.35">
      <c r="A224" s="131" t="s">
        <v>227</v>
      </c>
      <c r="Z224" s="188"/>
      <c r="AA224" s="188"/>
      <c r="AB224" s="188"/>
      <c r="AC224" s="188"/>
      <c r="AD224" s="188"/>
      <c r="AE224" s="188"/>
    </row>
    <row r="225" spans="1:31" ht="16.95" customHeight="1" x14ac:dyDescent="0.3">
      <c r="B225" s="132" t="s">
        <v>228</v>
      </c>
      <c r="C225" s="132" t="s">
        <v>178</v>
      </c>
      <c r="E225" s="111">
        <f>IF(IFERROR(VLOOKUP(1, $P$6:$W$11, 2, FALSE), "")="", 0, IF(VLOOKUP(1, $P$6:$W$11, 5, FALSE)=1, 0, B225))</f>
        <v>0</v>
      </c>
      <c r="F225" s="134" t="str">
        <f>IF(ISTEXT(E225), 1, "")</f>
        <v/>
      </c>
      <c r="G225" s="134">
        <f>IF(ISTEXT(E211), 1, "")</f>
        <v>1</v>
      </c>
      <c r="Z225" s="188"/>
      <c r="AA225" s="188"/>
      <c r="AB225" s="188"/>
      <c r="AC225" s="188"/>
      <c r="AD225" s="188"/>
      <c r="AE225" s="188"/>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2</v>
      </c>
      <c r="Z226" s="188"/>
      <c r="AA226" s="188"/>
      <c r="AB226" s="188"/>
      <c r="AC226" s="188"/>
      <c r="AD226" s="188"/>
      <c r="AE226" s="188"/>
    </row>
    <row r="227" spans="1:31" ht="16.95" customHeight="1" x14ac:dyDescent="0.3">
      <c r="B227" s="132" t="s">
        <v>230</v>
      </c>
      <c r="C227" s="132" t="s">
        <v>180</v>
      </c>
      <c r="E227" s="111" t="str">
        <f>IF(IFERROR(VLOOKUP(2, $P$6:$W$11, 2, FALSE), "")="", 0, IF(VLOOKUP(2, $P$6:$W$11, 5, FALSE)=1, 0, B227))</f>
        <v>D2X</v>
      </c>
      <c r="F227" s="134">
        <f>IF(ISTEXT(E227), MAX(F$225:F226) + 1, "")</f>
        <v>1</v>
      </c>
      <c r="G227" s="134" t="str">
        <f>IF(ISTEXT(E213), MAX(G$225:G226) + 1, "")</f>
        <v/>
      </c>
      <c r="Z227" s="188"/>
      <c r="AA227" s="188"/>
      <c r="AB227" s="188"/>
      <c r="AC227" s="188"/>
      <c r="AD227" s="188"/>
      <c r="AE227" s="188"/>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3</v>
      </c>
      <c r="Z228" s="188"/>
      <c r="AA228" s="188"/>
      <c r="AB228" s="188"/>
      <c r="AC228" s="188"/>
      <c r="AD228" s="188"/>
      <c r="AE228" s="188"/>
    </row>
    <row r="229" spans="1:31" ht="16.95" customHeight="1" x14ac:dyDescent="0.3">
      <c r="B229" s="132" t="s">
        <v>232</v>
      </c>
      <c r="C229" s="132" t="s">
        <v>182</v>
      </c>
      <c r="E229" s="111" t="str">
        <f>IF(IFERROR(VLOOKUP(3, $P$6:$W$11, 2, FALSE), "")="", 0, IF(VLOOKUP(3, $P$6:$W$11, 5, FALSE)=1, 0, B229))</f>
        <v>D3X</v>
      </c>
      <c r="F229" s="134">
        <f>IF(ISTEXT(E229), MAX(F$225:F228) + 1, "")</f>
        <v>2</v>
      </c>
      <c r="G229" s="134" t="str">
        <f>IF(ISTEXT(E215), MAX(G$225:G228) + 1, "")</f>
        <v/>
      </c>
      <c r="Z229" s="188"/>
      <c r="AA229" s="188"/>
      <c r="AB229" s="188"/>
      <c r="AC229" s="188"/>
      <c r="AD229" s="188"/>
      <c r="AE229" s="188"/>
    </row>
    <row r="230" spans="1:31" ht="16.95" customHeight="1" x14ac:dyDescent="0.3">
      <c r="A230" s="110" t="s">
        <v>233</v>
      </c>
      <c r="B230" s="132" t="s">
        <v>234</v>
      </c>
      <c r="C230" s="132" t="s">
        <v>183</v>
      </c>
      <c r="D230" s="13" t="s">
        <v>220</v>
      </c>
      <c r="E230" s="111" t="str">
        <f>IF(IFERROR(VLOOKUP(3, $P$6:$W$11, 2, FALSE), "")="", 0, IF(VLOOKUP(3, $P$6:$W$11, 6, FALSE)=1, 0, B230))</f>
        <v>D3Y</v>
      </c>
      <c r="F230" s="134">
        <f>IF(ISTEXT(E230), MAX(F$225:F229) + 1, "")</f>
        <v>3</v>
      </c>
      <c r="G230" s="134" t="str">
        <f>IF(ISTEXT(E216), MAX(G$225:G229) + 1, "")</f>
        <v/>
      </c>
      <c r="Z230" s="188"/>
      <c r="AA230" s="188"/>
      <c r="AB230" s="188"/>
      <c r="AC230" s="188"/>
      <c r="AD230" s="188"/>
      <c r="AE230" s="188"/>
    </row>
    <row r="231" spans="1:31" ht="16.95" customHeight="1" x14ac:dyDescent="0.3">
      <c r="B231" s="132" t="s">
        <v>235</v>
      </c>
      <c r="C231" s="132" t="s">
        <v>184</v>
      </c>
      <c r="E231" s="111" t="str">
        <f>IF(IFERROR(VLOOKUP(4, $P$6:$W$11, 2, FALSE), "")="", 0, IF(VLOOKUP(4, $P$6:$W$11, 5, FALSE)=1, 0, B231))</f>
        <v>D4X</v>
      </c>
      <c r="F231" s="134">
        <f>IF(ISTEXT(E231), MAX(F$225:F230) + 1, "")</f>
        <v>4</v>
      </c>
      <c r="G231" s="134" t="str">
        <f>IF(ISTEXT(E217), MAX(G$225:G230) + 1, "")</f>
        <v/>
      </c>
      <c r="Z231" s="188"/>
      <c r="AA231" s="188"/>
      <c r="AB231" s="188"/>
      <c r="AC231" s="188"/>
      <c r="AD231" s="188"/>
      <c r="AE231" s="188"/>
    </row>
    <row r="232" spans="1:31" ht="16.95" customHeight="1" x14ac:dyDescent="0.3">
      <c r="B232" s="132" t="s">
        <v>236</v>
      </c>
      <c r="C232" s="132" t="s">
        <v>185</v>
      </c>
      <c r="E232" s="111" t="str">
        <f>IF(IFERROR(VLOOKUP(4, $P$6:$W$11, 2, FALSE), "")="", 0, IF(VLOOKUP(4, $P$6:$W$11, 6, FALSE)=1, 0, B232))</f>
        <v>D4Y</v>
      </c>
      <c r="F232" s="134">
        <f>IF(ISTEXT(E232), MAX(F$225:F231) + 1, "")</f>
        <v>5</v>
      </c>
      <c r="G232" s="134" t="str">
        <f>IF(ISTEXT(E218), MAX(G$225:G231) + 1, "")</f>
        <v/>
      </c>
      <c r="Z232" s="188"/>
      <c r="AA232" s="188"/>
      <c r="AB232" s="188"/>
      <c r="AC232" s="188"/>
      <c r="AD232" s="188"/>
      <c r="AE232" s="188"/>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88"/>
      <c r="AA233" s="188"/>
      <c r="AB233" s="188"/>
      <c r="AC233" s="188"/>
      <c r="AD233" s="188"/>
      <c r="AE233" s="188"/>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88"/>
      <c r="AA234" s="188"/>
      <c r="AB234" s="188"/>
      <c r="AC234" s="188"/>
      <c r="AD234" s="188"/>
      <c r="AE234" s="188"/>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88"/>
      <c r="AA235" s="188"/>
      <c r="AB235" s="188"/>
      <c r="AC235" s="188"/>
      <c r="AD235" s="188"/>
      <c r="AE235" s="188"/>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88"/>
      <c r="AA236" s="188"/>
      <c r="AB236" s="188"/>
      <c r="AC236" s="188"/>
      <c r="AD236" s="188"/>
      <c r="AE236" s="188"/>
    </row>
    <row r="238" spans="1:31" ht="19.95" customHeight="1" x14ac:dyDescent="0.35">
      <c r="A238" s="135" t="s">
        <v>241</v>
      </c>
      <c r="C238" s="190" t="s">
        <v>242</v>
      </c>
      <c r="D238" s="190"/>
      <c r="E238" s="136" t="s">
        <v>243</v>
      </c>
      <c r="Z238" s="189" t="s">
        <v>244</v>
      </c>
      <c r="AA238" s="189"/>
      <c r="AB238" s="189"/>
      <c r="AC238" s="189"/>
      <c r="AD238" s="189"/>
      <c r="AE238" s="189"/>
    </row>
    <row r="239" spans="1:31" ht="16.95" customHeight="1" x14ac:dyDescent="0.3">
      <c r="E239" s="136" t="s">
        <v>245</v>
      </c>
      <c r="Z239" s="188" t="s">
        <v>246</v>
      </c>
      <c r="AA239" s="188"/>
      <c r="AB239" s="188"/>
      <c r="AC239" s="188"/>
      <c r="AD239" s="188"/>
      <c r="AE239" s="188"/>
    </row>
    <row r="240" spans="1:31" ht="16.95" customHeight="1" x14ac:dyDescent="0.3">
      <c r="A240" s="99" t="s">
        <v>247</v>
      </c>
      <c r="C240" s="197" t="s">
        <v>248</v>
      </c>
      <c r="D240" s="197"/>
      <c r="E240" s="197"/>
      <c r="F240" s="197"/>
      <c r="G240" s="197"/>
      <c r="H240" s="197"/>
      <c r="I240" s="197"/>
      <c r="J240" s="197"/>
      <c r="K240" s="197"/>
      <c r="L240" s="197"/>
      <c r="M240" s="197"/>
      <c r="N240" s="197"/>
      <c r="P240" s="99" t="s">
        <v>249</v>
      </c>
      <c r="Z240" s="188" t="s">
        <v>250</v>
      </c>
      <c r="AA240" s="188"/>
      <c r="AB240" s="188"/>
      <c r="AC240" s="188"/>
      <c r="AD240" s="188"/>
      <c r="AE240" s="188"/>
    </row>
    <row r="241" spans="1:31" ht="16.95" customHeight="1" x14ac:dyDescent="0.3">
      <c r="A241" s="137" t="str">
        <f t="shared" ref="A241:A252" si="39">E211</f>
        <v>C1X</v>
      </c>
      <c r="C241" s="159">
        <f t="shared" ref="C241:N241" si="40">B196</f>
        <v>2778.6501033599193</v>
      </c>
      <c r="D241" s="159">
        <f t="shared" si="40"/>
        <v>1717.3002067198383</v>
      </c>
      <c r="E241" s="159">
        <f t="shared" si="40"/>
        <v>-1920</v>
      </c>
      <c r="F241" s="159">
        <f t="shared" si="40"/>
        <v>0</v>
      </c>
      <c r="G241" s="159">
        <f t="shared" si="40"/>
        <v>-858.65010335991917</v>
      </c>
      <c r="H241" s="159">
        <f t="shared" si="40"/>
        <v>-1717.3002067198383</v>
      </c>
      <c r="I241" s="159">
        <f t="shared" si="40"/>
        <v>0</v>
      </c>
      <c r="J241" s="159">
        <f t="shared" si="40"/>
        <v>0</v>
      </c>
      <c r="K241" s="159">
        <f t="shared" si="40"/>
        <v>0</v>
      </c>
      <c r="L241" s="159">
        <f t="shared" si="40"/>
        <v>0</v>
      </c>
      <c r="M241" s="159">
        <f t="shared" si="40"/>
        <v>0</v>
      </c>
      <c r="N241" s="159">
        <f t="shared" si="40"/>
        <v>0</v>
      </c>
      <c r="O241" s="13" t="s">
        <v>251</v>
      </c>
      <c r="P241" s="132">
        <f t="shared" ref="P241:P252" si="41">E225</f>
        <v>0</v>
      </c>
      <c r="Z241" s="188" t="s">
        <v>252</v>
      </c>
      <c r="AA241" s="188"/>
      <c r="AB241" s="188"/>
      <c r="AC241" s="188"/>
      <c r="AD241" s="188"/>
      <c r="AE241" s="188"/>
    </row>
    <row r="242" spans="1:31" ht="16.95" customHeight="1" x14ac:dyDescent="0.3">
      <c r="A242" s="137" t="str">
        <f t="shared" si="39"/>
        <v>C1Y</v>
      </c>
      <c r="C242" s="159">
        <f t="shared" ref="C242:N242" si="42">B197</f>
        <v>1717.3002067198383</v>
      </c>
      <c r="D242" s="159">
        <f t="shared" si="42"/>
        <v>3434.6004134396767</v>
      </c>
      <c r="E242" s="159">
        <f t="shared" si="42"/>
        <v>0</v>
      </c>
      <c r="F242" s="159">
        <f t="shared" si="42"/>
        <v>0</v>
      </c>
      <c r="G242" s="159">
        <f t="shared" si="42"/>
        <v>-1717.3002067198383</v>
      </c>
      <c r="H242" s="159">
        <f t="shared" si="42"/>
        <v>-3434.6004134396767</v>
      </c>
      <c r="I242" s="159">
        <f t="shared" si="42"/>
        <v>0</v>
      </c>
      <c r="J242" s="159">
        <f t="shared" si="42"/>
        <v>0</v>
      </c>
      <c r="K242" s="159">
        <f t="shared" si="42"/>
        <v>0</v>
      </c>
      <c r="L242" s="159">
        <f t="shared" si="42"/>
        <v>0</v>
      </c>
      <c r="M242" s="159">
        <f t="shared" si="42"/>
        <v>0</v>
      </c>
      <c r="N242" s="159">
        <f t="shared" si="42"/>
        <v>0</v>
      </c>
      <c r="O242" s="13" t="s">
        <v>251</v>
      </c>
      <c r="P242" s="132">
        <f t="shared" si="41"/>
        <v>0</v>
      </c>
      <c r="Z242" s="188" t="s">
        <v>253</v>
      </c>
      <c r="AA242" s="188"/>
      <c r="AB242" s="188"/>
      <c r="AC242" s="188"/>
      <c r="AD242" s="188"/>
      <c r="AE242" s="188"/>
    </row>
    <row r="243" spans="1:31" ht="16.95" customHeight="1" x14ac:dyDescent="0.3">
      <c r="A243" s="137">
        <f t="shared" si="39"/>
        <v>0</v>
      </c>
      <c r="C243" s="159">
        <f t="shared" ref="C243:N243" si="43">B198</f>
        <v>-1920</v>
      </c>
      <c r="D243" s="159">
        <f t="shared" si="43"/>
        <v>0</v>
      </c>
      <c r="E243" s="159">
        <f t="shared" si="43"/>
        <v>3774.2615008580033</v>
      </c>
      <c r="F243" s="159">
        <f t="shared" si="43"/>
        <v>-1406.4952799125772</v>
      </c>
      <c r="G243" s="159">
        <f t="shared" si="43"/>
        <v>-1717.3002067198383</v>
      </c>
      <c r="H243" s="159">
        <f t="shared" si="43"/>
        <v>858.65010335991917</v>
      </c>
      <c r="I243" s="159">
        <f t="shared" si="43"/>
        <v>-136.96129413816448</v>
      </c>
      <c r="J243" s="159">
        <f t="shared" si="43"/>
        <v>547.8451765526579</v>
      </c>
      <c r="K243" s="159">
        <f t="shared" si="43"/>
        <v>0</v>
      </c>
      <c r="L243" s="159">
        <f t="shared" si="43"/>
        <v>0</v>
      </c>
      <c r="M243" s="159">
        <f t="shared" si="43"/>
        <v>0</v>
      </c>
      <c r="N243" s="159">
        <f t="shared" si="43"/>
        <v>0</v>
      </c>
      <c r="O243" s="13" t="s">
        <v>251</v>
      </c>
      <c r="P243" s="132" t="str">
        <f t="shared" si="41"/>
        <v>D2X</v>
      </c>
      <c r="Z243" s="188" t="s">
        <v>254</v>
      </c>
      <c r="AA243" s="188"/>
      <c r="AB243" s="188"/>
      <c r="AC243" s="188"/>
      <c r="AD243" s="188"/>
      <c r="AE243" s="188"/>
    </row>
    <row r="244" spans="1:31" ht="16.95" customHeight="1" x14ac:dyDescent="0.3">
      <c r="A244" s="137" t="str">
        <f t="shared" si="39"/>
        <v>C2Y</v>
      </c>
      <c r="C244" s="159">
        <f t="shared" ref="C244:N244" si="44">B199</f>
        <v>0</v>
      </c>
      <c r="D244" s="159">
        <f t="shared" si="44"/>
        <v>0</v>
      </c>
      <c r="E244" s="159">
        <f t="shared" si="44"/>
        <v>-1406.4952799125772</v>
      </c>
      <c r="F244" s="159">
        <f t="shared" si="44"/>
        <v>2620.705757890591</v>
      </c>
      <c r="G244" s="159">
        <f t="shared" si="44"/>
        <v>858.65010335991917</v>
      </c>
      <c r="H244" s="159">
        <f t="shared" si="44"/>
        <v>-429.32505167995959</v>
      </c>
      <c r="I244" s="159">
        <f t="shared" si="44"/>
        <v>547.8451765526579</v>
      </c>
      <c r="J244" s="159">
        <f t="shared" si="44"/>
        <v>-2191.3807062106316</v>
      </c>
      <c r="K244" s="159">
        <f t="shared" si="44"/>
        <v>0</v>
      </c>
      <c r="L244" s="159">
        <f t="shared" si="44"/>
        <v>0</v>
      </c>
      <c r="M244" s="159">
        <f t="shared" si="44"/>
        <v>0</v>
      </c>
      <c r="N244" s="159">
        <f t="shared" si="44"/>
        <v>0</v>
      </c>
      <c r="O244" s="13" t="s">
        <v>251</v>
      </c>
      <c r="P244" s="132">
        <f t="shared" si="41"/>
        <v>0</v>
      </c>
      <c r="Z244" s="188" t="s">
        <v>255</v>
      </c>
      <c r="AA244" s="188"/>
      <c r="AB244" s="188"/>
      <c r="AC244" s="188"/>
      <c r="AD244" s="188"/>
      <c r="AE244" s="188"/>
    </row>
    <row r="245" spans="1:31" ht="16.95" customHeight="1" x14ac:dyDescent="0.3">
      <c r="A245" s="137">
        <f t="shared" si="39"/>
        <v>7800</v>
      </c>
      <c r="C245" s="159">
        <f t="shared" ref="C245:N245" si="45">B200</f>
        <v>-858.65010335991917</v>
      </c>
      <c r="D245" s="159">
        <f t="shared" si="45"/>
        <v>-1717.3002067198383</v>
      </c>
      <c r="E245" s="159">
        <f t="shared" si="45"/>
        <v>-1717.3002067198383</v>
      </c>
      <c r="F245" s="159">
        <f t="shared" si="45"/>
        <v>858.65010335991917</v>
      </c>
      <c r="G245" s="159">
        <f t="shared" si="45"/>
        <v>4419.2617313820574</v>
      </c>
      <c r="H245" s="159">
        <f t="shared" si="45"/>
        <v>2087.5243842281193</v>
      </c>
      <c r="I245" s="159">
        <f t="shared" si="45"/>
        <v>-1843.3114213023002</v>
      </c>
      <c r="J245" s="159">
        <f t="shared" si="45"/>
        <v>-1228.8742808682002</v>
      </c>
      <c r="K245" s="159">
        <f t="shared" si="45"/>
        <v>0</v>
      </c>
      <c r="L245" s="159">
        <f t="shared" si="45"/>
        <v>0</v>
      </c>
      <c r="M245" s="159">
        <f t="shared" si="45"/>
        <v>0</v>
      </c>
      <c r="N245" s="159">
        <f t="shared" si="45"/>
        <v>0</v>
      </c>
      <c r="O245" s="13" t="s">
        <v>251</v>
      </c>
      <c r="P245" s="132" t="str">
        <f t="shared" si="41"/>
        <v>D3X</v>
      </c>
      <c r="Z245" s="188" t="s">
        <v>256</v>
      </c>
      <c r="AA245" s="188"/>
      <c r="AB245" s="188"/>
      <c r="AC245" s="188"/>
      <c r="AD245" s="188"/>
      <c r="AE245" s="188"/>
    </row>
    <row r="246" spans="1:31" ht="16.95" customHeight="1" x14ac:dyDescent="0.3">
      <c r="A246" s="137">
        <f t="shared" si="39"/>
        <v>-7800</v>
      </c>
      <c r="C246" s="159">
        <f t="shared" ref="C246:N246" si="46">B201</f>
        <v>-1717.3002067198383</v>
      </c>
      <c r="D246" s="159">
        <f t="shared" si="46"/>
        <v>-3434.6004134396767</v>
      </c>
      <c r="E246" s="159">
        <f t="shared" si="46"/>
        <v>858.65010335991917</v>
      </c>
      <c r="F246" s="159">
        <f t="shared" si="46"/>
        <v>-429.32505167995959</v>
      </c>
      <c r="G246" s="159">
        <f t="shared" si="46"/>
        <v>2087.5243842281193</v>
      </c>
      <c r="H246" s="159">
        <f t="shared" si="46"/>
        <v>4683.1749856984361</v>
      </c>
      <c r="I246" s="159">
        <f t="shared" si="46"/>
        <v>-1228.8742808682002</v>
      </c>
      <c r="J246" s="159">
        <f t="shared" si="46"/>
        <v>-819.24952057880012</v>
      </c>
      <c r="K246" s="159">
        <f t="shared" si="46"/>
        <v>0</v>
      </c>
      <c r="L246" s="159">
        <f t="shared" si="46"/>
        <v>0</v>
      </c>
      <c r="M246" s="159">
        <f t="shared" si="46"/>
        <v>0</v>
      </c>
      <c r="N246" s="159">
        <f t="shared" si="46"/>
        <v>0</v>
      </c>
      <c r="O246" s="13" t="s">
        <v>251</v>
      </c>
      <c r="P246" s="132" t="str">
        <f t="shared" si="41"/>
        <v>D3Y</v>
      </c>
      <c r="Z246" s="188"/>
      <c r="AA246" s="188"/>
      <c r="AB246" s="188"/>
      <c r="AC246" s="188"/>
      <c r="AD246" s="188"/>
      <c r="AE246" s="188"/>
    </row>
    <row r="247" spans="1:31" ht="16.95" customHeight="1" x14ac:dyDescent="0.3">
      <c r="A247" s="137">
        <f t="shared" si="39"/>
        <v>6000</v>
      </c>
      <c r="B247" s="13" t="s">
        <v>220</v>
      </c>
      <c r="C247" s="159">
        <f t="shared" ref="C247:N247" si="47">B202</f>
        <v>0</v>
      </c>
      <c r="D247" s="159">
        <f t="shared" si="47"/>
        <v>0</v>
      </c>
      <c r="E247" s="159">
        <f t="shared" si="47"/>
        <v>-136.96129413816448</v>
      </c>
      <c r="F247" s="159">
        <f t="shared" si="47"/>
        <v>547.8451765526579</v>
      </c>
      <c r="G247" s="159">
        <f t="shared" si="47"/>
        <v>-1843.3114213023002</v>
      </c>
      <c r="H247" s="159">
        <f t="shared" si="47"/>
        <v>-1228.8742808682002</v>
      </c>
      <c r="I247" s="159">
        <f t="shared" si="47"/>
        <v>1980.2727154404647</v>
      </c>
      <c r="J247" s="159">
        <f t="shared" si="47"/>
        <v>681.02910431554233</v>
      </c>
      <c r="K247" s="159">
        <f t="shared" si="47"/>
        <v>0</v>
      </c>
      <c r="L247" s="159">
        <f t="shared" si="47"/>
        <v>0</v>
      </c>
      <c r="M247" s="159">
        <f t="shared" si="47"/>
        <v>0</v>
      </c>
      <c r="N247" s="159">
        <f t="shared" si="47"/>
        <v>0</v>
      </c>
      <c r="O247" s="13" t="s">
        <v>251</v>
      </c>
      <c r="P247" s="132" t="str">
        <f t="shared" si="41"/>
        <v>D4X</v>
      </c>
      <c r="Z247" s="188"/>
      <c r="AA247" s="188"/>
      <c r="AB247" s="188"/>
      <c r="AC247" s="188"/>
      <c r="AD247" s="188"/>
      <c r="AE247" s="188"/>
    </row>
    <row r="248" spans="1:31" ht="16.95" customHeight="1" x14ac:dyDescent="0.3">
      <c r="A248" s="137">
        <f t="shared" si="39"/>
        <v>-6000</v>
      </c>
      <c r="C248" s="159">
        <f t="shared" ref="C248:N248" si="48">B203</f>
        <v>0</v>
      </c>
      <c r="D248" s="159">
        <f t="shared" si="48"/>
        <v>0</v>
      </c>
      <c r="E248" s="159">
        <f t="shared" si="48"/>
        <v>547.8451765526579</v>
      </c>
      <c r="F248" s="159">
        <f t="shared" si="48"/>
        <v>-2191.3807062106316</v>
      </c>
      <c r="G248" s="159">
        <f t="shared" si="48"/>
        <v>-1228.8742808682002</v>
      </c>
      <c r="H248" s="159">
        <f t="shared" si="48"/>
        <v>-819.24952057880012</v>
      </c>
      <c r="I248" s="159">
        <f t="shared" si="48"/>
        <v>681.02910431554233</v>
      </c>
      <c r="J248" s="159">
        <f t="shared" si="48"/>
        <v>3010.6302267894316</v>
      </c>
      <c r="K248" s="159">
        <f t="shared" si="48"/>
        <v>0</v>
      </c>
      <c r="L248" s="159">
        <f t="shared" si="48"/>
        <v>0</v>
      </c>
      <c r="M248" s="159">
        <f t="shared" si="48"/>
        <v>0</v>
      </c>
      <c r="N248" s="159">
        <f t="shared" si="48"/>
        <v>0</v>
      </c>
      <c r="O248" s="13" t="s">
        <v>251</v>
      </c>
      <c r="P248" s="132" t="str">
        <f t="shared" si="41"/>
        <v>D4Y</v>
      </c>
      <c r="Z248" s="188"/>
      <c r="AA248" s="188"/>
      <c r="AB248" s="188"/>
      <c r="AC248" s="188"/>
      <c r="AD248" s="188"/>
      <c r="AE248" s="188"/>
    </row>
    <row r="249" spans="1:31" ht="16.95" customHeight="1" x14ac:dyDescent="0.3">
      <c r="A249" s="137">
        <f t="shared" si="39"/>
        <v>0</v>
      </c>
      <c r="C249" s="159">
        <f t="shared" ref="C249:N249" si="49">B204</f>
        <v>0</v>
      </c>
      <c r="D249" s="159">
        <f t="shared" si="49"/>
        <v>0</v>
      </c>
      <c r="E249" s="159">
        <f t="shared" si="49"/>
        <v>0</v>
      </c>
      <c r="F249" s="159">
        <f t="shared" si="49"/>
        <v>0</v>
      </c>
      <c r="G249" s="159">
        <f t="shared" si="49"/>
        <v>0</v>
      </c>
      <c r="H249" s="159">
        <f t="shared" si="49"/>
        <v>0</v>
      </c>
      <c r="I249" s="159">
        <f t="shared" si="49"/>
        <v>0</v>
      </c>
      <c r="J249" s="159">
        <f t="shared" si="49"/>
        <v>0</v>
      </c>
      <c r="K249" s="159">
        <f t="shared" si="49"/>
        <v>0</v>
      </c>
      <c r="L249" s="159">
        <f t="shared" si="49"/>
        <v>0</v>
      </c>
      <c r="M249" s="159">
        <f t="shared" si="49"/>
        <v>0</v>
      </c>
      <c r="N249" s="159">
        <f t="shared" si="49"/>
        <v>0</v>
      </c>
      <c r="O249" s="13" t="s">
        <v>251</v>
      </c>
      <c r="P249" s="132">
        <f t="shared" si="41"/>
        <v>0</v>
      </c>
      <c r="Z249" s="188"/>
      <c r="AA249" s="188"/>
      <c r="AB249" s="188"/>
      <c r="AC249" s="188"/>
      <c r="AD249" s="188"/>
      <c r="AE249" s="188"/>
    </row>
    <row r="250" spans="1:31" ht="16.95" customHeight="1" x14ac:dyDescent="0.3">
      <c r="A250" s="137">
        <f t="shared" si="39"/>
        <v>0</v>
      </c>
      <c r="C250" s="159">
        <f t="shared" ref="C250:N250" si="50">B205</f>
        <v>0</v>
      </c>
      <c r="D250" s="159">
        <f t="shared" si="50"/>
        <v>0</v>
      </c>
      <c r="E250" s="159">
        <f t="shared" si="50"/>
        <v>0</v>
      </c>
      <c r="F250" s="159">
        <f t="shared" si="50"/>
        <v>0</v>
      </c>
      <c r="G250" s="159">
        <f t="shared" si="50"/>
        <v>0</v>
      </c>
      <c r="H250" s="159">
        <f t="shared" si="50"/>
        <v>0</v>
      </c>
      <c r="I250" s="159">
        <f t="shared" si="50"/>
        <v>0</v>
      </c>
      <c r="J250" s="159">
        <f t="shared" si="50"/>
        <v>0</v>
      </c>
      <c r="K250" s="159">
        <f t="shared" si="50"/>
        <v>0</v>
      </c>
      <c r="L250" s="159">
        <f t="shared" si="50"/>
        <v>0</v>
      </c>
      <c r="M250" s="159">
        <f t="shared" si="50"/>
        <v>0</v>
      </c>
      <c r="N250" s="159">
        <f t="shared" si="50"/>
        <v>0</v>
      </c>
      <c r="O250" s="13" t="s">
        <v>251</v>
      </c>
      <c r="P250" s="132">
        <f t="shared" si="41"/>
        <v>0</v>
      </c>
      <c r="Z250" s="188"/>
      <c r="AA250" s="188"/>
      <c r="AB250" s="188"/>
      <c r="AC250" s="188"/>
      <c r="AD250" s="188"/>
      <c r="AE250" s="188"/>
    </row>
    <row r="251" spans="1:31" ht="16.95" customHeight="1" x14ac:dyDescent="0.3">
      <c r="A251" s="137">
        <f t="shared" si="39"/>
        <v>0</v>
      </c>
      <c r="C251" s="159">
        <f t="shared" ref="C251:N251" si="51">B206</f>
        <v>0</v>
      </c>
      <c r="D251" s="159">
        <f t="shared" si="51"/>
        <v>0</v>
      </c>
      <c r="E251" s="159">
        <f t="shared" si="51"/>
        <v>0</v>
      </c>
      <c r="F251" s="159">
        <f t="shared" si="51"/>
        <v>0</v>
      </c>
      <c r="G251" s="159">
        <f t="shared" si="51"/>
        <v>0</v>
      </c>
      <c r="H251" s="159">
        <f t="shared" si="51"/>
        <v>0</v>
      </c>
      <c r="I251" s="159">
        <f t="shared" si="51"/>
        <v>0</v>
      </c>
      <c r="J251" s="159">
        <f t="shared" si="51"/>
        <v>0</v>
      </c>
      <c r="K251" s="159">
        <f t="shared" si="51"/>
        <v>0</v>
      </c>
      <c r="L251" s="159">
        <f t="shared" si="51"/>
        <v>0</v>
      </c>
      <c r="M251" s="159">
        <f t="shared" si="51"/>
        <v>0</v>
      </c>
      <c r="N251" s="159">
        <f t="shared" si="51"/>
        <v>0</v>
      </c>
      <c r="O251" s="13" t="s">
        <v>251</v>
      </c>
      <c r="P251" s="132">
        <f t="shared" si="41"/>
        <v>0</v>
      </c>
      <c r="Z251" s="188"/>
      <c r="AA251" s="188"/>
      <c r="AB251" s="188"/>
      <c r="AC251" s="188"/>
      <c r="AD251" s="188"/>
      <c r="AE251" s="188"/>
    </row>
    <row r="252" spans="1:31" ht="16.95" customHeight="1" x14ac:dyDescent="0.3">
      <c r="A252" s="137">
        <f t="shared" si="39"/>
        <v>0</v>
      </c>
      <c r="C252" s="159">
        <f t="shared" ref="C252:N252" si="52">B207</f>
        <v>0</v>
      </c>
      <c r="D252" s="159">
        <f t="shared" si="52"/>
        <v>0</v>
      </c>
      <c r="E252" s="159">
        <f t="shared" si="52"/>
        <v>0</v>
      </c>
      <c r="F252" s="159">
        <f t="shared" si="52"/>
        <v>0</v>
      </c>
      <c r="G252" s="159">
        <f t="shared" si="52"/>
        <v>0</v>
      </c>
      <c r="H252" s="159">
        <f t="shared" si="52"/>
        <v>0</v>
      </c>
      <c r="I252" s="159">
        <f t="shared" si="52"/>
        <v>0</v>
      </c>
      <c r="J252" s="159">
        <f t="shared" si="52"/>
        <v>0</v>
      </c>
      <c r="K252" s="159">
        <f t="shared" si="52"/>
        <v>0</v>
      </c>
      <c r="L252" s="159">
        <f t="shared" si="52"/>
        <v>0</v>
      </c>
      <c r="M252" s="159">
        <f t="shared" si="52"/>
        <v>0</v>
      </c>
      <c r="N252" s="159">
        <f t="shared" si="52"/>
        <v>0</v>
      </c>
      <c r="O252" s="13" t="s">
        <v>251</v>
      </c>
      <c r="P252" s="132">
        <f t="shared" si="41"/>
        <v>0</v>
      </c>
      <c r="Z252" s="188"/>
      <c r="AA252" s="188"/>
      <c r="AB252" s="188"/>
      <c r="AC252" s="188"/>
      <c r="AD252" s="188"/>
      <c r="AE252" s="188"/>
    </row>
    <row r="255" spans="1:31" ht="19.95" customHeight="1" x14ac:dyDescent="0.35">
      <c r="A255" s="135" t="s">
        <v>257</v>
      </c>
      <c r="Z255" s="189" t="s">
        <v>258</v>
      </c>
      <c r="AA255" s="189"/>
      <c r="AB255" s="189"/>
      <c r="AC255" s="189"/>
      <c r="AD255" s="189"/>
      <c r="AE255" s="189"/>
    </row>
    <row r="256" spans="1:31" ht="16.95" customHeight="1" x14ac:dyDescent="0.3">
      <c r="C256" s="110" t="str">
        <f>IFERROR(INDEX(C$225:C$236, MATCH(1, F$225:F$236, 0)), "-")</f>
        <v>U2X</v>
      </c>
      <c r="D256" s="110" t="str">
        <f>IFERROR(INDEX(C$225:C$236, MATCH(2, F$225:F$236, 0)), "-")</f>
        <v>U3X</v>
      </c>
      <c r="E256" s="110" t="str">
        <f>IFERROR(INDEX(C$225:C$236, MATCH(3, F$225:F$236, 0)), "-")</f>
        <v>U3Y</v>
      </c>
      <c r="F256" s="110" t="str">
        <f>IFERROR(INDEX(C$225:C$236, MATCH(4, F$225:F$236, 0)), "-")</f>
        <v>U4X</v>
      </c>
      <c r="G256" s="110" t="str">
        <f>IFERROR(INDEX(C$225:C$236, MATCH(5, F$225:F$236, 0)), "-")</f>
        <v>U4Y</v>
      </c>
      <c r="H256" s="110" t="str">
        <f>IFERROR(INDEX(C$225:C$236, MATCH(6, F$225:F$236, 0)), "-")</f>
        <v>-</v>
      </c>
      <c r="I256" s="110" t="str">
        <f>IFERROR(INDEX(C$225:C$236, MATCH(7, F$225:F$236, 0)), "-")</f>
        <v>-</v>
      </c>
      <c r="J256" s="110" t="str">
        <f>IFERROR(INDEX(C$225:C$236, MATCH(8, F$225:F$236, 0)), "-")</f>
        <v>-</v>
      </c>
      <c r="K256" s="110" t="str">
        <f>IFERROR(INDEX(C$225:C$236, MATCH(9, F$225:F$236, 0)), "-")</f>
        <v>-</v>
      </c>
      <c r="Z256" s="188" t="s">
        <v>259</v>
      </c>
      <c r="AA256" s="188"/>
      <c r="AB256" s="188"/>
      <c r="AC256" s="188"/>
      <c r="AD256" s="188"/>
      <c r="AE256" s="188"/>
    </row>
    <row r="257" spans="1:31" ht="16.95" customHeight="1" x14ac:dyDescent="0.3">
      <c r="A257" s="138">
        <f t="shared" ref="A257:A265" si="53">IF($N257="-", 0, IFERROR(INDEX(E$211:E$222, MATCH($N257, C$211:C$222, 0)), 0))</f>
        <v>0</v>
      </c>
      <c r="C257" s="138">
        <f>IF(OR($N257="-", C$256="-"), 1, IF(OR(IFERROR(INDEX($B$196:$M$207, MATCH($N257, $N$196:$N$207, 0), MATCH($N257, $B$195:$M$195, 0)), 0)=0, IFERROR(INDEX($B$196:$M$207, MATCH(C$256, $N$196:$N$207, 0), MATCH(C$256, $B$195:$M$195, 0)), 0)=0), 1, IFERROR(INDEX($B$196:$M$207, MATCH($N257, $N$196:$N$207, 0), MATCH(C$256, $B$195:$M$195, 0)), 0)))</f>
        <v>3774.2615008580033</v>
      </c>
      <c r="D257" s="138">
        <f t="shared" ref="D257:K257" si="54">IF(OR($N257="-", D$256="-"), 0, IF(OR(IFERROR(INDEX($B$196:$M$207, MATCH($N257, $N$196:$N$207, 0), MATCH($N257, $B$195:$M$195, 0)), 0)=0, IFERROR(INDEX($B$196:$M$207, MATCH(D$256, $N$196:$N$207, 0), MATCH(D$256, $B$195:$M$195, 0)), 0)=0), 0, IFERROR(INDEX($B$196:$M$207, MATCH($N257, $N$196:$N$207, 0), MATCH(D$256, $B$195:$M$195, 0)), 0)))</f>
        <v>-1717.3002067198383</v>
      </c>
      <c r="E257" s="138">
        <f t="shared" si="54"/>
        <v>858.65010335991917</v>
      </c>
      <c r="F257" s="138">
        <f t="shared" si="54"/>
        <v>-136.96129413816448</v>
      </c>
      <c r="G257" s="138">
        <f t="shared" si="54"/>
        <v>547.8451765526579</v>
      </c>
      <c r="H257" s="138">
        <f t="shared" si="54"/>
        <v>0</v>
      </c>
      <c r="I257" s="138">
        <f t="shared" si="54"/>
        <v>0</v>
      </c>
      <c r="J257" s="138">
        <f t="shared" si="54"/>
        <v>0</v>
      </c>
      <c r="K257" s="138">
        <f t="shared" si="54"/>
        <v>0</v>
      </c>
      <c r="L257" s="13" t="s">
        <v>251</v>
      </c>
      <c r="M257" s="110" t="str">
        <f>IFERROR(INDEX(B$225:B$236, MATCH(1, F$225:F$236, 0)), "-")</f>
        <v>D2X</v>
      </c>
      <c r="N257" s="134" t="str">
        <f>IFERROR(INDEX(C$225:C$236, MATCH(1, F$225:F$236, 0)), "-")</f>
        <v>U2X</v>
      </c>
      <c r="Z257" s="188" t="s">
        <v>260</v>
      </c>
      <c r="AA257" s="188"/>
      <c r="AB257" s="188"/>
      <c r="AC257" s="188"/>
      <c r="AD257" s="188"/>
      <c r="AE257" s="188"/>
    </row>
    <row r="258" spans="1:31" ht="16.95" customHeight="1" x14ac:dyDescent="0.3">
      <c r="A258" s="138">
        <f t="shared" si="53"/>
        <v>7800</v>
      </c>
      <c r="C258" s="138">
        <f t="shared" ref="C258:C265" si="55">IF(OR($N258="-", C$256="-"), 0, IF(OR(IFERROR(INDEX($B$196:$M$207, MATCH($N258, $N$196:$N$207, 0), MATCH($N258, $B$195:$M$195, 0)), 0)=0, IFERROR(INDEX($B$196:$M$207, MATCH(C$256, $N$196:$N$207, 0), MATCH(C$256, $B$195:$M$195, 0)), 0)=0), 0, IFERROR(INDEX($B$196:$M$207, MATCH($N258, $N$196:$N$207, 0), MATCH(C$256, $B$195:$M$195, 0)), 0)))</f>
        <v>-1717.3002067198383</v>
      </c>
      <c r="D258" s="138">
        <f>IF(OR($N258="-", D$256="-"), 1, IF(OR(IFERROR(INDEX($B$196:$M$207, MATCH($N258, $N$196:$N$207, 0), MATCH($N258, $B$195:$M$195, 0)), 0)=0, IFERROR(INDEX($B$196:$M$207, MATCH(D$256, $N$196:$N$207, 0), MATCH(D$256, $B$195:$M$195, 0)), 0)=0), 1, IFERROR(INDEX($B$196:$M$207, MATCH($N258, $N$196:$N$207, 0), MATCH(D$256, $B$195:$M$195, 0)), 0)))</f>
        <v>4419.2617313820574</v>
      </c>
      <c r="E258" s="138">
        <f t="shared" ref="E258:K258" si="56">IF(OR($N258="-", E$256="-"), 0, IF(OR(IFERROR(INDEX($B$196:$M$207, MATCH($N258, $N$196:$N$207, 0), MATCH($N258, $B$195:$M$195, 0)), 0)=0, IFERROR(INDEX($B$196:$M$207, MATCH(E$256, $N$196:$N$207, 0), MATCH(E$256, $B$195:$M$195, 0)), 0)=0), 0, IFERROR(INDEX($B$196:$M$207, MATCH($N258, $N$196:$N$207, 0), MATCH(E$256, $B$195:$M$195, 0)), 0)))</f>
        <v>2087.5243842281193</v>
      </c>
      <c r="F258" s="138">
        <f t="shared" si="56"/>
        <v>-1843.3114213023002</v>
      </c>
      <c r="G258" s="138">
        <f t="shared" si="56"/>
        <v>-1228.8742808682002</v>
      </c>
      <c r="H258" s="138">
        <f t="shared" si="56"/>
        <v>0</v>
      </c>
      <c r="I258" s="138">
        <f t="shared" si="56"/>
        <v>0</v>
      </c>
      <c r="J258" s="138">
        <f t="shared" si="56"/>
        <v>0</v>
      </c>
      <c r="K258" s="138">
        <f t="shared" si="56"/>
        <v>0</v>
      </c>
      <c r="L258" s="13" t="s">
        <v>251</v>
      </c>
      <c r="M258" s="110" t="str">
        <f>IFERROR(INDEX(B$225:B$236, MATCH(2, F$225:F$236, 0)), "-")</f>
        <v>D3X</v>
      </c>
      <c r="N258" s="134" t="str">
        <f>IFERROR(INDEX(C$225:C$236, MATCH(2, F$225:F$236, 0)), "-")</f>
        <v>U3X</v>
      </c>
      <c r="Z258" s="188" t="s">
        <v>261</v>
      </c>
      <c r="AA258" s="188"/>
      <c r="AB258" s="188"/>
      <c r="AC258" s="188"/>
      <c r="AD258" s="188"/>
      <c r="AE258" s="188"/>
    </row>
    <row r="259" spans="1:31" ht="16.95" customHeight="1" x14ac:dyDescent="0.3">
      <c r="A259" s="138">
        <f t="shared" si="53"/>
        <v>-7800</v>
      </c>
      <c r="C259" s="138">
        <f t="shared" si="55"/>
        <v>858.65010335991917</v>
      </c>
      <c r="D259" s="138">
        <f t="shared" ref="D259:D265" si="57">IF(OR($N259="-", D$256="-"), 0, IF(OR(IFERROR(INDEX($B$196:$M$207, MATCH($N259, $N$196:$N$207, 0), MATCH($N259, $B$195:$M$195, 0)), 0)=0, IFERROR(INDEX($B$196:$M$207, MATCH(D$256, $N$196:$N$207, 0), MATCH(D$256, $B$195:$M$195, 0)), 0)=0), 0, IFERROR(INDEX($B$196:$M$207, MATCH($N259, $N$196:$N$207, 0), MATCH(D$256, $B$195:$M$195, 0)), 0)))</f>
        <v>2087.5243842281193</v>
      </c>
      <c r="E259" s="138">
        <f>IF(OR($N259="-", E$256="-"), 1, IF(OR(IFERROR(INDEX($B$196:$M$207, MATCH($N259, $N$196:$N$207, 0), MATCH($N259, $B$195:$M$195, 0)), 0)=0, IFERROR(INDEX($B$196:$M$207, MATCH(E$256, $N$196:$N$207, 0), MATCH(E$256, $B$195:$M$195, 0)), 0)=0), 1, IFERROR(INDEX($B$196:$M$207, MATCH($N259, $N$196:$N$207, 0), MATCH(E$256, $B$195:$M$195, 0)), 0)))</f>
        <v>4683.1749856984361</v>
      </c>
      <c r="F259" s="138">
        <f t="shared" ref="F259:K259" si="58">IF(OR($N259="-", F$256="-"), 0, IF(OR(IFERROR(INDEX($B$196:$M$207, MATCH($N259, $N$196:$N$207, 0), MATCH($N259, $B$195:$M$195, 0)), 0)=0, IFERROR(INDEX($B$196:$M$207, MATCH(F$256, $N$196:$N$207, 0), MATCH(F$256, $B$195:$M$195, 0)), 0)=0), 0, IFERROR(INDEX($B$196:$M$207, MATCH($N259, $N$196:$N$207, 0), MATCH(F$256, $B$195:$M$195, 0)), 0)))</f>
        <v>-1228.8742808682002</v>
      </c>
      <c r="G259" s="138">
        <f t="shared" si="58"/>
        <v>-819.24952057880012</v>
      </c>
      <c r="H259" s="138">
        <f t="shared" si="58"/>
        <v>0</v>
      </c>
      <c r="I259" s="138">
        <f t="shared" si="58"/>
        <v>0</v>
      </c>
      <c r="J259" s="138">
        <f t="shared" si="58"/>
        <v>0</v>
      </c>
      <c r="K259" s="138">
        <f t="shared" si="58"/>
        <v>0</v>
      </c>
      <c r="L259" s="13" t="s">
        <v>251</v>
      </c>
      <c r="M259" s="110" t="str">
        <f>IFERROR(INDEX(B$225:B$236, MATCH(3, F$225:F$236, 0)), "-")</f>
        <v>D3Y</v>
      </c>
      <c r="N259" s="134" t="str">
        <f>IFERROR(INDEX(C$225:C$236, MATCH(3, F$225:F$236, 0)), "-")</f>
        <v>U3Y</v>
      </c>
      <c r="Z259" s="188" t="s">
        <v>262</v>
      </c>
      <c r="AA259" s="188"/>
      <c r="AB259" s="188"/>
      <c r="AC259" s="188"/>
      <c r="AD259" s="188"/>
      <c r="AE259" s="188"/>
    </row>
    <row r="260" spans="1:31" ht="16.95" customHeight="1" x14ac:dyDescent="0.3">
      <c r="A260" s="138">
        <f t="shared" si="53"/>
        <v>6000</v>
      </c>
      <c r="C260" s="138">
        <f t="shared" si="55"/>
        <v>-136.96129413816448</v>
      </c>
      <c r="D260" s="138">
        <f t="shared" si="57"/>
        <v>-1843.3114213023002</v>
      </c>
      <c r="E260" s="138">
        <f t="shared" ref="E260:E265" si="59">IF(OR($N260="-", E$256="-"), 0, IF(OR(IFERROR(INDEX($B$196:$M$207, MATCH($N260, $N$196:$N$207, 0), MATCH($N260, $B$195:$M$195, 0)), 0)=0, IFERROR(INDEX($B$196:$M$207, MATCH(E$256, $N$196:$N$207, 0), MATCH(E$256, $B$195:$M$195, 0)), 0)=0), 0, IFERROR(INDEX($B$196:$M$207, MATCH($N260, $N$196:$N$207, 0), MATCH(E$256, $B$195:$M$195, 0)), 0)))</f>
        <v>-1228.8742808682002</v>
      </c>
      <c r="F260" s="138">
        <f>IF(OR($N260="-", F$256="-"), 1, IF(OR(IFERROR(INDEX($B$196:$M$207, MATCH($N260, $N$196:$N$207, 0), MATCH($N260, $B$195:$M$195, 0)), 0)=0, IFERROR(INDEX($B$196:$M$207, MATCH(F$256, $N$196:$N$207, 0), MATCH(F$256, $B$195:$M$195, 0)), 0)=0), 1, IFERROR(INDEX($B$196:$M$207, MATCH($N260, $N$196:$N$207, 0), MATCH(F$256, $B$195:$M$195, 0)), 0)))</f>
        <v>1980.2727154404647</v>
      </c>
      <c r="G260" s="138">
        <f>IF(OR($N260="-", G$256="-"), 0, IF(OR(IFERROR(INDEX($B$196:$M$207, MATCH($N260, $N$196:$N$207, 0), MATCH($N260, $B$195:$M$195, 0)), 0)=0, IFERROR(INDEX($B$196:$M$207, MATCH(G$256, $N$196:$N$207, 0), MATCH(G$256, $B$195:$M$195, 0)), 0)=0), 0, IFERROR(INDEX($B$196:$M$207, MATCH($N260, $N$196:$N$207, 0), MATCH(G$256, $B$195:$M$195, 0)), 0)))</f>
        <v>681.02910431554233</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10" t="str">
        <f>IFERROR(INDEX(B$225:B$236, MATCH(4, F$225:F$236, 0)), "-")</f>
        <v>D4X</v>
      </c>
      <c r="N260" s="134" t="str">
        <f>IFERROR(INDEX(C$225:C$236, MATCH(4, F$225:F$236, 0)), "-")</f>
        <v>U4X</v>
      </c>
      <c r="Z260" s="188"/>
      <c r="AA260" s="188"/>
      <c r="AB260" s="188"/>
      <c r="AC260" s="188"/>
      <c r="AD260" s="188"/>
      <c r="AE260" s="188"/>
    </row>
    <row r="261" spans="1:31" ht="16.95" customHeight="1" x14ac:dyDescent="0.3">
      <c r="A261" s="138">
        <f t="shared" si="53"/>
        <v>-6000</v>
      </c>
      <c r="B261" s="13" t="s">
        <v>220</v>
      </c>
      <c r="C261" s="138">
        <f t="shared" si="55"/>
        <v>547.8451765526579</v>
      </c>
      <c r="D261" s="138">
        <f t="shared" si="57"/>
        <v>-1228.8742808682002</v>
      </c>
      <c r="E261" s="138">
        <f t="shared" si="59"/>
        <v>-819.24952057880012</v>
      </c>
      <c r="F261" s="138">
        <f>IF(OR($N261="-", F$256="-"), 0, IF(OR(IFERROR(INDEX($B$196:$M$207, MATCH($N261, $N$196:$N$207, 0), MATCH($N261, $B$195:$M$195, 0)), 0)=0, IFERROR(INDEX($B$196:$M$207, MATCH(F$256, $N$196:$N$207, 0), MATCH(F$256, $B$195:$M$195, 0)), 0)=0), 0, IFERROR(INDEX($B$196:$M$207, MATCH($N261, $N$196:$N$207, 0), MATCH(F$256, $B$195:$M$195, 0)), 0)))</f>
        <v>681.02910431554233</v>
      </c>
      <c r="G261" s="138">
        <f>IF(OR($N261="-", G$256="-"), 1, IF(OR(IFERROR(INDEX($B$196:$M$207, MATCH($N261, $N$196:$N$207, 0), MATCH($N261, $B$195:$M$195, 0)), 0)=0, IFERROR(INDEX($B$196:$M$207, MATCH(G$256, $N$196:$N$207, 0), MATCH(G$256, $B$195:$M$195, 0)), 0)=0), 1, IFERROR(INDEX($B$196:$M$207, MATCH($N261, $N$196:$N$207, 0), MATCH(G$256, $B$195:$M$195, 0)), 0)))</f>
        <v>3010.6302267894316</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10" t="str">
        <f>IFERROR(INDEX(B$225:B$236, MATCH(5, F$225:F$236, 0)), "-")</f>
        <v>D4Y</v>
      </c>
      <c r="N261" s="134" t="str">
        <f>IFERROR(INDEX(C$225:C$236, MATCH(5, F$225:F$236, 0)), "-")</f>
        <v>U4Y</v>
      </c>
      <c r="Z261" s="188"/>
      <c r="AA261" s="188"/>
      <c r="AB261" s="188"/>
      <c r="AC261" s="188"/>
      <c r="AD261" s="188"/>
      <c r="AE261" s="188"/>
    </row>
    <row r="262" spans="1:31" ht="16.95" customHeight="1" x14ac:dyDescent="0.3">
      <c r="A262" s="138">
        <f t="shared" si="53"/>
        <v>0</v>
      </c>
      <c r="C262" s="138">
        <f t="shared" si="55"/>
        <v>0</v>
      </c>
      <c r="D262" s="138">
        <f t="shared" si="57"/>
        <v>0</v>
      </c>
      <c r="E262" s="138">
        <f t="shared" si="59"/>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10" t="str">
        <f>IFERROR(INDEX(B$225:B$236, MATCH(6, F$225:F$236, 0)), "-")</f>
        <v>-</v>
      </c>
      <c r="N262" s="134" t="str">
        <f>IFERROR(INDEX(C$225:C$236, MATCH(6, F$225:F$236, 0)), "-")</f>
        <v>-</v>
      </c>
      <c r="Z262" s="188"/>
      <c r="AA262" s="188"/>
      <c r="AB262" s="188"/>
      <c r="AC262" s="188"/>
      <c r="AD262" s="188"/>
      <c r="AE262" s="188"/>
    </row>
    <row r="263" spans="1:31" ht="16.95" customHeight="1" x14ac:dyDescent="0.3">
      <c r="A263" s="138">
        <f t="shared" si="53"/>
        <v>0</v>
      </c>
      <c r="C263" s="138">
        <f t="shared" si="55"/>
        <v>0</v>
      </c>
      <c r="D263" s="138">
        <f t="shared" si="57"/>
        <v>0</v>
      </c>
      <c r="E263" s="138">
        <f t="shared" si="59"/>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10" t="str">
        <f>IFERROR(INDEX(B$225:B$236, MATCH(7, F$225:F$236, 0)), "-")</f>
        <v>-</v>
      </c>
      <c r="N263" s="134" t="str">
        <f>IFERROR(INDEX(C$225:C$236, MATCH(7, F$225:F$236, 0)), "-")</f>
        <v>-</v>
      </c>
      <c r="Z263" s="188"/>
      <c r="AA263" s="188"/>
      <c r="AB263" s="188"/>
      <c r="AC263" s="188"/>
      <c r="AD263" s="188"/>
      <c r="AE263" s="188"/>
    </row>
    <row r="264" spans="1:31" ht="16.95" customHeight="1" x14ac:dyDescent="0.3">
      <c r="A264" s="138">
        <f t="shared" si="53"/>
        <v>0</v>
      </c>
      <c r="C264" s="138">
        <f t="shared" si="55"/>
        <v>0</v>
      </c>
      <c r="D264" s="138">
        <f t="shared" si="57"/>
        <v>0</v>
      </c>
      <c r="E264" s="138">
        <f t="shared" si="59"/>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10" t="str">
        <f>IFERROR(INDEX(B$225:B$236, MATCH(8, F$225:F$236, 0)), "-")</f>
        <v>-</v>
      </c>
      <c r="N264" s="134" t="str">
        <f>IFERROR(INDEX(C$225:C$236, MATCH(8, F$225:F$236, 0)), "-")</f>
        <v>-</v>
      </c>
      <c r="Z264" s="188"/>
      <c r="AA264" s="188"/>
      <c r="AB264" s="188"/>
      <c r="AC264" s="188"/>
      <c r="AD264" s="188"/>
      <c r="AE264" s="188"/>
    </row>
    <row r="265" spans="1:31" ht="16.95" customHeight="1" x14ac:dyDescent="0.3">
      <c r="A265" s="138">
        <f t="shared" si="53"/>
        <v>0</v>
      </c>
      <c r="C265" s="138">
        <f t="shared" si="55"/>
        <v>0</v>
      </c>
      <c r="D265" s="138">
        <f t="shared" si="57"/>
        <v>0</v>
      </c>
      <c r="E265" s="138">
        <f t="shared" si="59"/>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10" t="str">
        <f>IFERROR(INDEX(B$225:B$236, MATCH(9, F$225:F$236, 0)), "-")</f>
        <v>-</v>
      </c>
      <c r="N265" s="134" t="str">
        <f>IFERROR(INDEX(C$225:C$236, MATCH(9, F$225:F$236, 0)), "-")</f>
        <v>-</v>
      </c>
      <c r="Z265" s="188"/>
      <c r="AA265" s="188"/>
      <c r="AB265" s="188"/>
      <c r="AC265" s="188"/>
      <c r="AD265" s="188"/>
      <c r="AE265" s="188"/>
    </row>
    <row r="266" spans="1:31" ht="16.95" customHeight="1" x14ac:dyDescent="0.3">
      <c r="Z266" s="188"/>
      <c r="AA266" s="188"/>
      <c r="AB266" s="188"/>
      <c r="AC266" s="188"/>
      <c r="AD266" s="188"/>
      <c r="AE266" s="188"/>
    </row>
    <row r="267" spans="1:31" ht="16.95" customHeight="1" x14ac:dyDescent="0.3">
      <c r="C267" s="190" t="s">
        <v>263</v>
      </c>
      <c r="D267" s="190"/>
      <c r="E267" s="190"/>
      <c r="F267" s="190"/>
      <c r="G267" s="190"/>
      <c r="H267" s="190"/>
      <c r="I267" s="190"/>
      <c r="J267" s="190"/>
      <c r="K267" s="190"/>
      <c r="Z267" s="188"/>
      <c r="AA267" s="188"/>
      <c r="AB267" s="188"/>
      <c r="AC267" s="188"/>
      <c r="AD267" s="188"/>
      <c r="AE267" s="188"/>
    </row>
    <row r="268" spans="1:31" ht="16.95" customHeight="1" x14ac:dyDescent="0.3">
      <c r="A268" s="99" t="s">
        <v>249</v>
      </c>
      <c r="C268" s="193" t="s">
        <v>264</v>
      </c>
      <c r="D268" s="175"/>
      <c r="E268" s="175"/>
      <c r="F268" s="175"/>
      <c r="G268" s="175"/>
      <c r="H268" s="175"/>
      <c r="I268" s="175"/>
      <c r="J268" s="175"/>
      <c r="K268" s="175"/>
      <c r="M268" s="99" t="s">
        <v>247</v>
      </c>
      <c r="Z268" s="188"/>
      <c r="AA268" s="188"/>
      <c r="AB268" s="188"/>
      <c r="AC268" s="188"/>
      <c r="AD268" s="188"/>
      <c r="AE268" s="188"/>
    </row>
    <row r="269" spans="1:31" ht="16.95" customHeight="1" x14ac:dyDescent="0.3">
      <c r="A269" s="132" t="str">
        <f t="shared" ref="A269:A277" si="60">M257</f>
        <v>D2X</v>
      </c>
      <c r="C269" s="139">
        <f t="array" ref="C269:K277">MINVERSE(C257:K265)</f>
        <v>5.2083333333333343E-4</v>
      </c>
      <c r="D269" s="139">
        <v>4.1666666666666675E-4</v>
      </c>
      <c r="E269" s="139">
        <v>-2.0833333333333337E-4</v>
      </c>
      <c r="F269" s="139">
        <v>3.1250000000000001E-4</v>
      </c>
      <c r="G269" s="139">
        <v>-5.2083333333333316E-5</v>
      </c>
      <c r="H269" s="139">
        <v>0</v>
      </c>
      <c r="I269" s="139">
        <v>0</v>
      </c>
      <c r="J269" s="139">
        <v>0</v>
      </c>
      <c r="K269" s="139">
        <v>0</v>
      </c>
      <c r="M269" s="137">
        <f t="shared" ref="M269:M277" si="61">A257</f>
        <v>0</v>
      </c>
      <c r="Z269" s="188"/>
      <c r="AA269" s="188"/>
      <c r="AB269" s="188"/>
      <c r="AC269" s="188"/>
      <c r="AD269" s="188"/>
      <c r="AE269" s="188"/>
    </row>
    <row r="270" spans="1:31" ht="16.95" customHeight="1" x14ac:dyDescent="0.3">
      <c r="A270" s="132" t="str">
        <f t="shared" si="60"/>
        <v>D3X</v>
      </c>
      <c r="C270" s="139">
        <v>4.166666666666668E-4</v>
      </c>
      <c r="D270" s="139">
        <v>7.5259607911454414E-4</v>
      </c>
      <c r="E270" s="139">
        <v>-2.5983616572915799E-4</v>
      </c>
      <c r="F270" s="139">
        <v>5.5612835406247132E-4</v>
      </c>
      <c r="G270" s="139">
        <v>3.4865421848951156E-5</v>
      </c>
      <c r="H270" s="139">
        <v>0</v>
      </c>
      <c r="I270" s="139">
        <v>0</v>
      </c>
      <c r="J270" s="139">
        <v>0</v>
      </c>
      <c r="K270" s="139">
        <v>0</v>
      </c>
      <c r="M270" s="137">
        <f t="shared" si="61"/>
        <v>7800</v>
      </c>
      <c r="Z270" s="188"/>
      <c r="AA270" s="188"/>
      <c r="AB270" s="188"/>
      <c r="AC270" s="188"/>
      <c r="AD270" s="188"/>
      <c r="AE270" s="188"/>
    </row>
    <row r="271" spans="1:31" ht="16.95" customHeight="1" x14ac:dyDescent="0.3">
      <c r="A271" s="132" t="str">
        <f t="shared" si="60"/>
        <v>D3Y</v>
      </c>
      <c r="C271" s="139">
        <v>-2.0833333333333335E-4</v>
      </c>
      <c r="D271" s="139">
        <v>-2.5983616572915799E-4</v>
      </c>
      <c r="E271" s="139">
        <v>3.6284183052080711E-4</v>
      </c>
      <c r="F271" s="139">
        <v>-4.5140429375007552E-5</v>
      </c>
      <c r="G271" s="139">
        <v>4.079822598958145E-5</v>
      </c>
      <c r="H271" s="139">
        <v>0</v>
      </c>
      <c r="I271" s="139">
        <v>0</v>
      </c>
      <c r="J271" s="139">
        <v>0</v>
      </c>
      <c r="K271" s="139">
        <v>0</v>
      </c>
      <c r="M271" s="137">
        <f t="shared" si="61"/>
        <v>-7800</v>
      </c>
      <c r="Z271" s="188"/>
      <c r="AA271" s="188"/>
      <c r="AB271" s="188"/>
      <c r="AC271" s="188"/>
      <c r="AD271" s="188"/>
      <c r="AE271" s="188"/>
    </row>
    <row r="272" spans="1:31" ht="16.95" customHeight="1" x14ac:dyDescent="0.3">
      <c r="A272" s="132" t="str">
        <f t="shared" si="60"/>
        <v>D4X</v>
      </c>
      <c r="C272" s="139">
        <v>3.1250000000000006E-4</v>
      </c>
      <c r="D272" s="139">
        <v>5.5612835406247153E-4</v>
      </c>
      <c r="E272" s="139">
        <v>-4.5140429375007559E-5</v>
      </c>
      <c r="F272" s="139">
        <v>1.0431094109303019E-3</v>
      </c>
      <c r="G272" s="139">
        <v>-7.8109535792351005E-5</v>
      </c>
      <c r="H272" s="139">
        <v>0</v>
      </c>
      <c r="I272" s="139">
        <v>0</v>
      </c>
      <c r="J272" s="139">
        <v>0</v>
      </c>
      <c r="K272" s="139">
        <v>0</v>
      </c>
      <c r="M272" s="137">
        <f t="shared" si="61"/>
        <v>6000</v>
      </c>
      <c r="Z272" s="188"/>
      <c r="AA272" s="188"/>
      <c r="AB272" s="188"/>
      <c r="AC272" s="188"/>
      <c r="AD272" s="188"/>
      <c r="AE272" s="188"/>
    </row>
    <row r="273" spans="1:31" ht="16.95" customHeight="1" x14ac:dyDescent="0.3">
      <c r="A273" s="132" t="str">
        <f t="shared" si="60"/>
        <v>D4Y</v>
      </c>
      <c r="B273" s="13" t="s">
        <v>220</v>
      </c>
      <c r="C273" s="139">
        <v>-5.208333333333335E-5</v>
      </c>
      <c r="D273" s="139">
        <v>3.4865421848951122E-5</v>
      </c>
      <c r="E273" s="139">
        <v>4.0798225989581464E-5</v>
      </c>
      <c r="F273" s="139">
        <v>-7.8109535792351059E-5</v>
      </c>
      <c r="G273" s="139">
        <v>3.8463628217263535E-4</v>
      </c>
      <c r="H273" s="139">
        <v>0</v>
      </c>
      <c r="I273" s="139">
        <v>0</v>
      </c>
      <c r="J273" s="139">
        <v>0</v>
      </c>
      <c r="K273" s="139">
        <v>0</v>
      </c>
      <c r="M273" s="137">
        <f t="shared" si="61"/>
        <v>-6000</v>
      </c>
      <c r="Z273" s="188"/>
      <c r="AA273" s="188"/>
      <c r="AB273" s="188"/>
      <c r="AC273" s="188"/>
      <c r="AD273" s="188"/>
      <c r="AE273" s="188"/>
    </row>
    <row r="274" spans="1:31" ht="16.95" customHeight="1" x14ac:dyDescent="0.3">
      <c r="A274" s="132" t="str">
        <f t="shared" si="60"/>
        <v>-</v>
      </c>
      <c r="C274" s="139">
        <v>0</v>
      </c>
      <c r="D274" s="139">
        <v>0</v>
      </c>
      <c r="E274" s="139">
        <v>0</v>
      </c>
      <c r="F274" s="139">
        <v>0</v>
      </c>
      <c r="G274" s="139">
        <v>0</v>
      </c>
      <c r="H274" s="139">
        <v>1</v>
      </c>
      <c r="I274" s="139">
        <v>0</v>
      </c>
      <c r="J274" s="139">
        <v>0</v>
      </c>
      <c r="K274" s="139">
        <v>0</v>
      </c>
      <c r="M274" s="137">
        <f t="shared" si="61"/>
        <v>0</v>
      </c>
      <c r="Z274" s="188"/>
      <c r="AA274" s="188"/>
      <c r="AB274" s="188"/>
      <c r="AC274" s="188"/>
      <c r="AD274" s="188"/>
      <c r="AE274" s="188"/>
    </row>
    <row r="275" spans="1:31" ht="16.95" customHeight="1" x14ac:dyDescent="0.3">
      <c r="A275" s="132" t="str">
        <f t="shared" si="60"/>
        <v>-</v>
      </c>
      <c r="C275" s="139">
        <v>0</v>
      </c>
      <c r="D275" s="139">
        <v>0</v>
      </c>
      <c r="E275" s="139">
        <v>0</v>
      </c>
      <c r="F275" s="139">
        <v>0</v>
      </c>
      <c r="G275" s="139">
        <v>0</v>
      </c>
      <c r="H275" s="139">
        <v>0</v>
      </c>
      <c r="I275" s="139">
        <v>1</v>
      </c>
      <c r="J275" s="139">
        <v>0</v>
      </c>
      <c r="K275" s="139">
        <v>0</v>
      </c>
      <c r="M275" s="137">
        <f t="shared" si="61"/>
        <v>0</v>
      </c>
      <c r="Z275" s="188"/>
      <c r="AA275" s="188"/>
      <c r="AB275" s="188"/>
      <c r="AC275" s="188"/>
      <c r="AD275" s="188"/>
      <c r="AE275" s="188"/>
    </row>
    <row r="276" spans="1:31" ht="16.95" customHeight="1" x14ac:dyDescent="0.3">
      <c r="A276" s="132" t="str">
        <f t="shared" si="60"/>
        <v>-</v>
      </c>
      <c r="C276" s="139">
        <v>0</v>
      </c>
      <c r="D276" s="139">
        <v>0</v>
      </c>
      <c r="E276" s="139">
        <v>0</v>
      </c>
      <c r="F276" s="139">
        <v>0</v>
      </c>
      <c r="G276" s="139">
        <v>0</v>
      </c>
      <c r="H276" s="139">
        <v>0</v>
      </c>
      <c r="I276" s="139">
        <v>0</v>
      </c>
      <c r="J276" s="139">
        <v>1</v>
      </c>
      <c r="K276" s="139">
        <v>0</v>
      </c>
      <c r="M276" s="137">
        <f t="shared" si="61"/>
        <v>0</v>
      </c>
      <c r="Z276" s="188"/>
      <c r="AA276" s="188"/>
      <c r="AB276" s="188"/>
      <c r="AC276" s="188"/>
      <c r="AD276" s="188"/>
      <c r="AE276" s="188"/>
    </row>
    <row r="277" spans="1:31" ht="16.95" customHeight="1" x14ac:dyDescent="0.3">
      <c r="A277" s="132" t="str">
        <f t="shared" si="60"/>
        <v>-</v>
      </c>
      <c r="C277" s="139">
        <v>0</v>
      </c>
      <c r="D277" s="139">
        <v>0</v>
      </c>
      <c r="E277" s="139">
        <v>0</v>
      </c>
      <c r="F277" s="139">
        <v>0</v>
      </c>
      <c r="G277" s="139">
        <v>0</v>
      </c>
      <c r="H277" s="139">
        <v>0</v>
      </c>
      <c r="I277" s="139">
        <v>0</v>
      </c>
      <c r="J277" s="139">
        <v>0</v>
      </c>
      <c r="K277" s="139">
        <v>1</v>
      </c>
      <c r="M277" s="137">
        <f t="shared" si="61"/>
        <v>0</v>
      </c>
      <c r="Z277" s="188"/>
      <c r="AA277" s="188"/>
      <c r="AB277" s="188"/>
      <c r="AC277" s="188"/>
      <c r="AD277" s="188"/>
      <c r="AE277" s="188"/>
    </row>
    <row r="278" spans="1:31" ht="16.95" customHeight="1" x14ac:dyDescent="0.3">
      <c r="Z278" s="188"/>
      <c r="AA278" s="188"/>
      <c r="AB278" s="188"/>
      <c r="AC278" s="188"/>
      <c r="AD278" s="188"/>
      <c r="AE278" s="188"/>
    </row>
    <row r="279" spans="1:31" ht="16.95" customHeight="1" x14ac:dyDescent="0.3">
      <c r="C279" s="190" t="s">
        <v>265</v>
      </c>
      <c r="D279" s="190"/>
      <c r="Z279" s="188"/>
      <c r="AA279" s="188"/>
      <c r="AB279" s="188"/>
      <c r="AC279" s="188"/>
      <c r="AD279" s="188"/>
      <c r="AE279" s="188"/>
    </row>
    <row r="280" spans="1:31" ht="16.95" customHeight="1" x14ac:dyDescent="0.3">
      <c r="A280" s="99" t="s">
        <v>249</v>
      </c>
      <c r="C280" s="99" t="s">
        <v>266</v>
      </c>
      <c r="Z280" s="188"/>
      <c r="AA280" s="188"/>
      <c r="AB280" s="188"/>
      <c r="AC280" s="188"/>
      <c r="AD280" s="188"/>
      <c r="AE280" s="188"/>
    </row>
    <row r="281" spans="1:31" ht="16.95" customHeight="1" x14ac:dyDescent="0.3">
      <c r="A281" s="132" t="str">
        <f t="shared" ref="A281:A289" si="62">A269</f>
        <v>D2X</v>
      </c>
      <c r="C281" s="140">
        <f t="array" ref="C281:C289">MMULT(C269:K277, M269:M277)</f>
        <v>7.0625000000000009</v>
      </c>
      <c r="D281" s="132" t="s">
        <v>267</v>
      </c>
      <c r="Z281" s="188"/>
      <c r="AA281" s="188"/>
      <c r="AB281" s="188"/>
      <c r="AC281" s="188"/>
      <c r="AD281" s="188"/>
      <c r="AE281" s="188"/>
    </row>
    <row r="282" spans="1:31" ht="16.95" customHeight="1" x14ac:dyDescent="0.3">
      <c r="A282" s="132" t="str">
        <f t="shared" si="62"/>
        <v>D3X</v>
      </c>
      <c r="C282" s="140">
        <v>11.024549103061997</v>
      </c>
      <c r="D282" s="132" t="s">
        <v>267</v>
      </c>
      <c r="Z282" s="188"/>
      <c r="AA282" s="188"/>
      <c r="AB282" s="188"/>
      <c r="AC282" s="188"/>
      <c r="AD282" s="188"/>
      <c r="AE282" s="188"/>
    </row>
    <row r="283" spans="1:31" ht="16.95" customHeight="1" x14ac:dyDescent="0.3">
      <c r="A283" s="132" t="str">
        <f t="shared" si="62"/>
        <v>D3Y</v>
      </c>
      <c r="C283" s="140">
        <v>-5.3725203029372608</v>
      </c>
      <c r="D283" s="132" t="s">
        <v>267</v>
      </c>
      <c r="Z283" s="188"/>
      <c r="AA283" s="188"/>
      <c r="AB283" s="188"/>
      <c r="AC283" s="188"/>
      <c r="AD283" s="188"/>
      <c r="AE283" s="188"/>
    </row>
    <row r="284" spans="1:31" ht="16.95" customHeight="1" x14ac:dyDescent="0.3">
      <c r="A284" s="132" t="str">
        <f t="shared" si="62"/>
        <v>D4X</v>
      </c>
      <c r="C284" s="140">
        <v>11.417210191148254</v>
      </c>
      <c r="D284" s="132" t="s">
        <v>267</v>
      </c>
      <c r="Z284" s="188"/>
      <c r="AA284" s="188"/>
      <c r="AB284" s="188"/>
      <c r="AC284" s="188"/>
      <c r="AD284" s="188"/>
      <c r="AE284" s="188"/>
    </row>
    <row r="285" spans="1:31" ht="16.95" customHeight="1" x14ac:dyDescent="0.3">
      <c r="A285" s="132" t="str">
        <f t="shared" si="62"/>
        <v>D4Y</v>
      </c>
      <c r="B285" s="13" t="s">
        <v>220</v>
      </c>
      <c r="C285" s="140">
        <v>-2.8227507800868352</v>
      </c>
      <c r="D285" s="132" t="s">
        <v>267</v>
      </c>
      <c r="Z285" s="188"/>
      <c r="AA285" s="188"/>
      <c r="AB285" s="188"/>
      <c r="AC285" s="188"/>
      <c r="AD285" s="188"/>
      <c r="AE285" s="188"/>
    </row>
    <row r="286" spans="1:31" ht="16.95" customHeight="1" x14ac:dyDescent="0.3">
      <c r="A286" s="132" t="str">
        <f t="shared" si="62"/>
        <v>-</v>
      </c>
      <c r="C286" s="140">
        <v>0</v>
      </c>
      <c r="D286" s="132" t="s">
        <v>267</v>
      </c>
      <c r="Z286" s="188"/>
      <c r="AA286" s="188"/>
      <c r="AB286" s="188"/>
      <c r="AC286" s="188"/>
      <c r="AD286" s="188"/>
      <c r="AE286" s="188"/>
    </row>
    <row r="287" spans="1:31" ht="16.95" customHeight="1" x14ac:dyDescent="0.3">
      <c r="A287" s="132" t="str">
        <f t="shared" si="62"/>
        <v>-</v>
      </c>
      <c r="C287" s="140">
        <v>0</v>
      </c>
      <c r="D287" s="132" t="s">
        <v>267</v>
      </c>
      <c r="Z287" s="188"/>
      <c r="AA287" s="188"/>
      <c r="AB287" s="188"/>
      <c r="AC287" s="188"/>
      <c r="AD287" s="188"/>
      <c r="AE287" s="188"/>
    </row>
    <row r="288" spans="1:31" ht="16.95" customHeight="1" x14ac:dyDescent="0.3">
      <c r="A288" s="132" t="str">
        <f t="shared" si="62"/>
        <v>-</v>
      </c>
      <c r="C288" s="140">
        <v>0</v>
      </c>
      <c r="D288" s="132" t="s">
        <v>267</v>
      </c>
      <c r="Z288" s="188"/>
      <c r="AA288" s="188"/>
      <c r="AB288" s="188"/>
      <c r="AC288" s="188"/>
      <c r="AD288" s="188"/>
      <c r="AE288" s="188"/>
    </row>
    <row r="289" spans="1:31" ht="16.95" customHeight="1" x14ac:dyDescent="0.3">
      <c r="A289" s="132" t="str">
        <f t="shared" si="62"/>
        <v>-</v>
      </c>
      <c r="C289" s="140">
        <v>0</v>
      </c>
      <c r="D289" s="132" t="s">
        <v>267</v>
      </c>
      <c r="Z289" s="188"/>
      <c r="AA289" s="188"/>
      <c r="AB289" s="188"/>
      <c r="AC289" s="188"/>
      <c r="AD289" s="188"/>
      <c r="AE289" s="188"/>
    </row>
    <row r="292" spans="1:31" ht="19.95" customHeight="1" x14ac:dyDescent="0.35">
      <c r="A292" s="131" t="s">
        <v>268</v>
      </c>
      <c r="Z292" s="189" t="s">
        <v>269</v>
      </c>
      <c r="AA292" s="189"/>
      <c r="AB292" s="189"/>
      <c r="AC292" s="189"/>
      <c r="AD292" s="189"/>
      <c r="AE292" s="189"/>
    </row>
    <row r="293" spans="1:31" ht="16.95" customHeight="1" x14ac:dyDescent="0.3">
      <c r="A293" s="99" t="s">
        <v>247</v>
      </c>
      <c r="M293" s="99" t="s">
        <v>249</v>
      </c>
      <c r="Z293" s="188" t="s">
        <v>270</v>
      </c>
      <c r="AA293" s="188"/>
      <c r="AB293" s="188"/>
      <c r="AC293" s="188"/>
      <c r="AD293" s="188"/>
      <c r="AE293" s="188"/>
    </row>
    <row r="294" spans="1:31" ht="16.95" customHeight="1" x14ac:dyDescent="0.3">
      <c r="A294" s="141" t="str">
        <f>IF($N294="-", "-", IFERROR(INDEX(B$211:B$222, MATCH($N294, C$211:C$222, 0)), "-"))</f>
        <v>C1X</v>
      </c>
      <c r="C294" s="120">
        <f t="shared" ref="C294:K296" si="63">IF(OR($N294="-", C$256="-"), 0, IFERROR(INDEX($B$196:$M$207, MATCH($N294, $N$196:$N$207, 0), MATCH(C$256, $B$195:$M$195, 0)), 0))</f>
        <v>-1920</v>
      </c>
      <c r="D294" s="120">
        <f t="shared" si="63"/>
        <v>-858.65010335991917</v>
      </c>
      <c r="E294" s="120">
        <f t="shared" si="63"/>
        <v>-1717.3002067198383</v>
      </c>
      <c r="F294" s="120">
        <f t="shared" si="63"/>
        <v>0</v>
      </c>
      <c r="G294" s="120">
        <f t="shared" si="63"/>
        <v>0</v>
      </c>
      <c r="H294" s="120">
        <f t="shared" si="63"/>
        <v>0</v>
      </c>
      <c r="I294" s="120">
        <f t="shared" si="63"/>
        <v>0</v>
      </c>
      <c r="J294" s="120">
        <f t="shared" si="63"/>
        <v>0</v>
      </c>
      <c r="K294" s="120">
        <f t="shared" si="63"/>
        <v>0</v>
      </c>
      <c r="M294" s="142">
        <f t="shared" ref="M294:M302" si="64">C281</f>
        <v>7.0625000000000009</v>
      </c>
      <c r="N294" s="134" t="str">
        <f>IFERROR(INDEX(C$225:C$236, MATCH(1, G$225:G$236, 0)), "-")</f>
        <v>U1X</v>
      </c>
      <c r="Z294" s="188" t="s">
        <v>271</v>
      </c>
      <c r="AA294" s="188"/>
      <c r="AB294" s="188"/>
      <c r="AC294" s="188"/>
      <c r="AD294" s="188"/>
      <c r="AE294" s="188"/>
    </row>
    <row r="295" spans="1:31" ht="16.95" customHeight="1" x14ac:dyDescent="0.3">
      <c r="A295" s="141" t="str">
        <f>IF($N295="-", "-", IFERROR(INDEX(B$211:B$222, MATCH($N295, C$211:C$222, 0)), "-"))</f>
        <v>C1Y</v>
      </c>
      <c r="B295" s="13" t="s">
        <v>220</v>
      </c>
      <c r="C295" s="120">
        <f t="shared" si="63"/>
        <v>0</v>
      </c>
      <c r="D295" s="120">
        <f t="shared" si="63"/>
        <v>-1717.3002067198383</v>
      </c>
      <c r="E295" s="120">
        <f t="shared" si="63"/>
        <v>-3434.6004134396767</v>
      </c>
      <c r="F295" s="120">
        <f t="shared" si="63"/>
        <v>0</v>
      </c>
      <c r="G295" s="120">
        <f t="shared" si="63"/>
        <v>0</v>
      </c>
      <c r="H295" s="120">
        <f t="shared" si="63"/>
        <v>0</v>
      </c>
      <c r="I295" s="120">
        <f t="shared" si="63"/>
        <v>0</v>
      </c>
      <c r="J295" s="120">
        <f t="shared" si="63"/>
        <v>0</v>
      </c>
      <c r="K295" s="120">
        <f t="shared" si="63"/>
        <v>0</v>
      </c>
      <c r="M295" s="142">
        <f t="shared" si="64"/>
        <v>11.024549103061997</v>
      </c>
      <c r="N295" s="134" t="str">
        <f>IFERROR(INDEX(C$225:C$236, MATCH(2, G$225:G$236, 0)), "-")</f>
        <v>U1Y</v>
      </c>
      <c r="Z295" s="188" t="s">
        <v>272</v>
      </c>
      <c r="AA295" s="188"/>
      <c r="AB295" s="188"/>
      <c r="AC295" s="188"/>
      <c r="AD295" s="188"/>
      <c r="AE295" s="188"/>
    </row>
    <row r="296" spans="1:31" ht="16.95" customHeight="1" x14ac:dyDescent="0.3">
      <c r="A296" s="141" t="str">
        <f>IF($N296="-", "-", IFERROR(INDEX(B$211:B$222, MATCH($N296, C$211:C$222, 0)), "-"))</f>
        <v>C2Y</v>
      </c>
      <c r="C296" s="120">
        <f t="shared" si="63"/>
        <v>-1406.4952799125772</v>
      </c>
      <c r="D296" s="120">
        <f t="shared" si="63"/>
        <v>858.65010335991917</v>
      </c>
      <c r="E296" s="120">
        <f t="shared" si="63"/>
        <v>-429.32505167995959</v>
      </c>
      <c r="F296" s="120">
        <f t="shared" si="63"/>
        <v>547.8451765526579</v>
      </c>
      <c r="G296" s="120">
        <f t="shared" si="63"/>
        <v>-2191.3807062106316</v>
      </c>
      <c r="H296" s="120">
        <f t="shared" si="63"/>
        <v>0</v>
      </c>
      <c r="I296" s="120">
        <f t="shared" si="63"/>
        <v>0</v>
      </c>
      <c r="J296" s="120">
        <f t="shared" si="63"/>
        <v>0</v>
      </c>
      <c r="K296" s="120">
        <f t="shared" si="63"/>
        <v>0</v>
      </c>
      <c r="M296" s="142">
        <f t="shared" si="64"/>
        <v>-5.3725203029372608</v>
      </c>
      <c r="N296" s="134" t="str">
        <f>IFERROR(INDEX(C$225:C$236, MATCH(3, G$225:G$236, 0)), "-")</f>
        <v>U2Y</v>
      </c>
      <c r="Z296" s="188"/>
      <c r="AA296" s="188"/>
      <c r="AB296" s="188"/>
      <c r="AC296" s="188"/>
      <c r="AD296" s="188"/>
      <c r="AE296" s="188"/>
    </row>
    <row r="297" spans="1:31" ht="16.95" customHeight="1" x14ac:dyDescent="0.3">
      <c r="M297" s="142">
        <f t="shared" si="64"/>
        <v>11.417210191148254</v>
      </c>
      <c r="Z297" s="188"/>
      <c r="AA297" s="188"/>
      <c r="AB297" s="188"/>
      <c r="AC297" s="188"/>
      <c r="AD297" s="188"/>
      <c r="AE297" s="188"/>
    </row>
    <row r="298" spans="1:31" ht="16.95" customHeight="1" x14ac:dyDescent="0.3">
      <c r="M298" s="142">
        <f t="shared" si="64"/>
        <v>-2.8227507800868352</v>
      </c>
      <c r="Z298" s="188"/>
      <c r="AA298" s="188"/>
      <c r="AB298" s="188"/>
      <c r="AC298" s="188"/>
      <c r="AD298" s="188"/>
      <c r="AE298" s="188"/>
    </row>
    <row r="299" spans="1:31" ht="16.95" customHeight="1" x14ac:dyDescent="0.3">
      <c r="M299" s="142">
        <f t="shared" si="64"/>
        <v>0</v>
      </c>
      <c r="Z299" s="188"/>
      <c r="AA299" s="188"/>
      <c r="AB299" s="188"/>
      <c r="AC299" s="188"/>
      <c r="AD299" s="188"/>
      <c r="AE299" s="188"/>
    </row>
    <row r="300" spans="1:31" ht="16.95" customHeight="1" x14ac:dyDescent="0.3">
      <c r="M300" s="142">
        <f t="shared" si="64"/>
        <v>0</v>
      </c>
      <c r="Z300" s="188"/>
      <c r="AA300" s="188"/>
      <c r="AB300" s="188"/>
      <c r="AC300" s="188"/>
      <c r="AD300" s="188"/>
      <c r="AE300" s="188"/>
    </row>
    <row r="301" spans="1:31" ht="16.95" customHeight="1" x14ac:dyDescent="0.3">
      <c r="M301" s="142">
        <f t="shared" si="64"/>
        <v>0</v>
      </c>
      <c r="Z301" s="188"/>
      <c r="AA301" s="188"/>
      <c r="AB301" s="188"/>
      <c r="AC301" s="188"/>
      <c r="AD301" s="188"/>
      <c r="AE301" s="188"/>
    </row>
    <row r="302" spans="1:31" ht="16.95" customHeight="1" x14ac:dyDescent="0.3">
      <c r="M302" s="142">
        <f t="shared" si="64"/>
        <v>0</v>
      </c>
      <c r="Z302" s="188"/>
      <c r="AA302" s="188"/>
      <c r="AB302" s="188"/>
      <c r="AC302" s="188"/>
      <c r="AD302" s="188"/>
      <c r="AE302" s="188"/>
    </row>
    <row r="303" spans="1:31" ht="16.95" customHeight="1" x14ac:dyDescent="0.3">
      <c r="Z303" s="188"/>
      <c r="AA303" s="188"/>
      <c r="AB303" s="188"/>
      <c r="AC303" s="188"/>
      <c r="AD303" s="188"/>
      <c r="AE303" s="188"/>
    </row>
    <row r="304" spans="1:31" ht="16.95" customHeight="1" x14ac:dyDescent="0.3">
      <c r="A304" s="132" t="str">
        <f>A294</f>
        <v>C1X</v>
      </c>
      <c r="C304" s="137">
        <f t="array" ref="C304:C306">MMULT(C294:K296, M294:M302)</f>
        <v>-13800.000000000004</v>
      </c>
      <c r="D304" s="132" t="s">
        <v>273</v>
      </c>
      <c r="Z304" s="188"/>
      <c r="AA304" s="188"/>
      <c r="AB304" s="188"/>
      <c r="AC304" s="188"/>
      <c r="AD304" s="188"/>
      <c r="AE304" s="188"/>
    </row>
    <row r="305" spans="1:31" ht="16.95" customHeight="1" x14ac:dyDescent="0.3">
      <c r="A305" s="132" t="str">
        <f>A295</f>
        <v>C1Y</v>
      </c>
      <c r="B305" s="13" t="s">
        <v>220</v>
      </c>
      <c r="C305" s="137">
        <v>-480.00000000000364</v>
      </c>
      <c r="D305" s="132" t="s">
        <v>273</v>
      </c>
      <c r="Z305" s="188"/>
      <c r="AA305" s="188"/>
      <c r="AB305" s="188"/>
      <c r="AC305" s="188"/>
      <c r="AD305" s="188"/>
      <c r="AE305" s="188"/>
    </row>
    <row r="306" spans="1:31" ht="16.95" customHeight="1" x14ac:dyDescent="0.3">
      <c r="A306" s="132" t="str">
        <f>A296</f>
        <v>C2Y</v>
      </c>
      <c r="C306" s="137">
        <v>14280</v>
      </c>
      <c r="D306" s="132" t="s">
        <v>273</v>
      </c>
      <c r="Z306" s="188"/>
      <c r="AA306" s="188"/>
      <c r="AB306" s="188"/>
      <c r="AC306" s="188"/>
      <c r="AD306" s="188"/>
      <c r="AE306" s="188"/>
    </row>
    <row r="309" spans="1:31" ht="19.95" customHeight="1" x14ac:dyDescent="0.35">
      <c r="A309" s="131" t="s">
        <v>274</v>
      </c>
    </row>
    <row r="311" spans="1:31" ht="19.05" customHeight="1" x14ac:dyDescent="0.3">
      <c r="A311" s="132" t="s">
        <v>228</v>
      </c>
      <c r="B311" s="132" t="s">
        <v>178</v>
      </c>
      <c r="D311" s="140">
        <f t="shared" ref="D311:D322" si="65">IFERROR(INDEX(C$281:C$289, MATCH(A311, A$281:A$289, 0)), 0)</f>
        <v>0</v>
      </c>
    </row>
    <row r="312" spans="1:31" ht="19.05" customHeight="1" x14ac:dyDescent="0.3">
      <c r="A312" s="132" t="s">
        <v>229</v>
      </c>
      <c r="B312" s="132" t="s">
        <v>179</v>
      </c>
      <c r="D312" s="140">
        <f t="shared" si="65"/>
        <v>0</v>
      </c>
    </row>
    <row r="313" spans="1:31" ht="19.05" customHeight="1" x14ac:dyDescent="0.3">
      <c r="A313" s="132" t="s">
        <v>230</v>
      </c>
      <c r="B313" s="132" t="s">
        <v>180</v>
      </c>
      <c r="D313" s="140">
        <f t="shared" si="65"/>
        <v>7.0625000000000009</v>
      </c>
    </row>
    <row r="314" spans="1:31" ht="19.05" customHeight="1" x14ac:dyDescent="0.3">
      <c r="A314" s="132" t="s">
        <v>231</v>
      </c>
      <c r="B314" s="132" t="s">
        <v>181</v>
      </c>
      <c r="D314" s="140">
        <f t="shared" si="65"/>
        <v>0</v>
      </c>
    </row>
    <row r="315" spans="1:31" ht="19.05" customHeight="1" x14ac:dyDescent="0.3">
      <c r="A315" s="132" t="s">
        <v>232</v>
      </c>
      <c r="B315" s="132" t="s">
        <v>182</v>
      </c>
      <c r="D315" s="140">
        <f t="shared" si="65"/>
        <v>11.024549103061997</v>
      </c>
    </row>
    <row r="316" spans="1:31" ht="19.05" customHeight="1" x14ac:dyDescent="0.3">
      <c r="A316" s="132" t="s">
        <v>234</v>
      </c>
      <c r="B316" s="132" t="s">
        <v>183</v>
      </c>
      <c r="D316" s="140">
        <f t="shared" si="65"/>
        <v>-5.3725203029372608</v>
      </c>
    </row>
    <row r="317" spans="1:31" ht="19.05" customHeight="1" x14ac:dyDescent="0.3">
      <c r="A317" s="132" t="s">
        <v>235</v>
      </c>
      <c r="B317" s="132" t="s">
        <v>184</v>
      </c>
      <c r="D317" s="140">
        <f t="shared" si="65"/>
        <v>11.417210191148254</v>
      </c>
    </row>
    <row r="318" spans="1:31" ht="19.05" customHeight="1" x14ac:dyDescent="0.3">
      <c r="A318" s="132" t="s">
        <v>236</v>
      </c>
      <c r="B318" s="132" t="s">
        <v>185</v>
      </c>
      <c r="D318" s="140">
        <f t="shared" si="65"/>
        <v>-2.8227507800868352</v>
      </c>
    </row>
    <row r="319" spans="1:31" ht="19.05" customHeight="1" x14ac:dyDescent="0.3">
      <c r="A319" s="132" t="s">
        <v>237</v>
      </c>
      <c r="B319" s="132" t="s">
        <v>186</v>
      </c>
      <c r="D319" s="140">
        <f t="shared" si="65"/>
        <v>0</v>
      </c>
    </row>
    <row r="320" spans="1:31" ht="19.05" customHeight="1" x14ac:dyDescent="0.3">
      <c r="A320" s="132" t="s">
        <v>238</v>
      </c>
      <c r="B320" s="132" t="s">
        <v>187</v>
      </c>
      <c r="D320" s="140">
        <f t="shared" si="65"/>
        <v>0</v>
      </c>
    </row>
    <row r="321" spans="1:31" ht="19.05" customHeight="1" x14ac:dyDescent="0.3">
      <c r="A321" s="132" t="s">
        <v>239</v>
      </c>
      <c r="B321" s="132" t="s">
        <v>188</v>
      </c>
      <c r="D321" s="140">
        <f t="shared" si="65"/>
        <v>0</v>
      </c>
    </row>
    <row r="322" spans="1:31" ht="19.05" customHeight="1" x14ac:dyDescent="0.3">
      <c r="A322" s="132" t="s">
        <v>240</v>
      </c>
      <c r="B322" s="132" t="s">
        <v>189</v>
      </c>
      <c r="D322" s="140">
        <f t="shared" si="65"/>
        <v>0</v>
      </c>
    </row>
    <row r="325" spans="1:31" ht="19.95" customHeight="1" x14ac:dyDescent="0.35">
      <c r="A325" s="131" t="s">
        <v>275</v>
      </c>
      <c r="Z325" s="189" t="s">
        <v>276</v>
      </c>
      <c r="AA325" s="189"/>
      <c r="AB325" s="189"/>
      <c r="AC325" s="189"/>
      <c r="AD325" s="189"/>
      <c r="AE325" s="189"/>
    </row>
    <row r="326" spans="1:31" ht="16.95" customHeight="1" x14ac:dyDescent="0.3">
      <c r="Z326" s="188" t="s">
        <v>277</v>
      </c>
      <c r="AA326" s="188"/>
      <c r="AB326" s="188"/>
      <c r="AC326" s="188"/>
      <c r="AD326" s="188"/>
      <c r="AE326" s="188"/>
    </row>
    <row r="327" spans="1:31" ht="16.95" customHeight="1" x14ac:dyDescent="0.3">
      <c r="A327" s="143" t="s">
        <v>278</v>
      </c>
      <c r="C327" s="143" t="s">
        <v>279</v>
      </c>
      <c r="D327" s="143" t="s">
        <v>280</v>
      </c>
      <c r="E327" s="143" t="s">
        <v>279</v>
      </c>
      <c r="F327" s="143" t="s">
        <v>280</v>
      </c>
      <c r="G327" s="143" t="s">
        <v>249</v>
      </c>
      <c r="Z327" s="188" t="s">
        <v>281</v>
      </c>
      <c r="AA327" s="188"/>
      <c r="AB327" s="188"/>
      <c r="AC327" s="188"/>
      <c r="AD327" s="188"/>
      <c r="AE327" s="188"/>
    </row>
    <row r="328" spans="1:31" ht="16.95" customHeight="1" x14ac:dyDescent="0.3">
      <c r="C328" s="143" t="s">
        <v>282</v>
      </c>
      <c r="D328" s="143" t="s">
        <v>282</v>
      </c>
      <c r="E328" s="143" t="s">
        <v>283</v>
      </c>
      <c r="F328" s="143" t="s">
        <v>283</v>
      </c>
      <c r="Z328" s="188" t="s">
        <v>284</v>
      </c>
      <c r="AA328" s="188"/>
      <c r="AB328" s="188"/>
      <c r="AC328" s="188"/>
      <c r="AD328" s="188"/>
      <c r="AE328" s="188"/>
    </row>
    <row r="329" spans="1:31" ht="16.95" customHeight="1" x14ac:dyDescent="0.3">
      <c r="A329" s="137">
        <f>N6</f>
        <v>1920</v>
      </c>
      <c r="C329" s="144">
        <f>IF(J6="","", -J6)</f>
        <v>-1</v>
      </c>
      <c r="D329" s="144">
        <f>IF(K6="","", -K6)</f>
        <v>0</v>
      </c>
      <c r="E329" s="144">
        <f>IF(J6="","", J6)</f>
        <v>1</v>
      </c>
      <c r="F329" s="144">
        <f>IF(K6="","", K6)</f>
        <v>0</v>
      </c>
      <c r="G329" s="145">
        <f>IF(H329="","", IFERROR(VLOOKUP(H329, A$311:D$322, 4, FALSE), 0))</f>
        <v>0</v>
      </c>
      <c r="H329" s="132" t="str">
        <f>IF(C17="","", "D" &amp; C17 &amp; "X")</f>
        <v>D1X</v>
      </c>
      <c r="Z329" s="188"/>
      <c r="AA329" s="188"/>
      <c r="AB329" s="188"/>
      <c r="AC329" s="188"/>
      <c r="AD329" s="188"/>
      <c r="AE329" s="188"/>
    </row>
    <row r="330" spans="1:31" ht="16.95" customHeight="1" x14ac:dyDescent="0.3">
      <c r="A330" s="99" t="s">
        <v>285</v>
      </c>
      <c r="B330" s="146">
        <f>IF(OR(A329=0, C17=""), 0, (MMULT(C329:F329, G329:G332)*A329))</f>
        <v>13560.000000000002</v>
      </c>
      <c r="G330" s="145">
        <f>IF(H330="","", IFERROR(VLOOKUP(H330, A$311:D$322, 4, FALSE), 0))</f>
        <v>0</v>
      </c>
      <c r="H330" s="132" t="str">
        <f>IF(C17="","", "D" &amp; C17 &amp; "Y")</f>
        <v>D1Y</v>
      </c>
      <c r="Z330" s="188"/>
      <c r="AA330" s="188"/>
      <c r="AB330" s="188"/>
      <c r="AC330" s="188"/>
      <c r="AD330" s="188"/>
      <c r="AE330" s="188"/>
    </row>
    <row r="331" spans="1:31" ht="16.95" customHeight="1" x14ac:dyDescent="0.3">
      <c r="G331" s="145">
        <f>IF(H331="","", IFERROR(VLOOKUP(H331, A$311:D$322, 4, FALSE), 0))</f>
        <v>7.0625000000000009</v>
      </c>
      <c r="H331" s="132" t="str">
        <f>IF(F17="","", "D" &amp; F17 &amp; "X")</f>
        <v>D2X</v>
      </c>
      <c r="Z331" s="188"/>
      <c r="AA331" s="188"/>
      <c r="AB331" s="188"/>
      <c r="AC331" s="188"/>
      <c r="AD331" s="188"/>
      <c r="AE331" s="188"/>
    </row>
    <row r="332" spans="1:31" ht="16.95" customHeight="1" x14ac:dyDescent="0.3">
      <c r="G332" s="145">
        <f>IF(H332="","", IFERROR(VLOOKUP(H332, A$311:D$322, 4, FALSE), 0))</f>
        <v>0</v>
      </c>
      <c r="H332" s="132" t="str">
        <f>IF(F17="","", "D" &amp; F17 &amp; "Y")</f>
        <v>D2Y</v>
      </c>
      <c r="Z332" s="188"/>
      <c r="AA332" s="188"/>
      <c r="AB332" s="188"/>
      <c r="AC332" s="188"/>
      <c r="AD332" s="188"/>
      <c r="AE332" s="188"/>
    </row>
    <row r="333" spans="1:31" ht="16.95" customHeight="1" x14ac:dyDescent="0.3">
      <c r="B333" s="99" t="s">
        <v>273</v>
      </c>
      <c r="C333" s="185" t="str">
        <f>IF(C17="","", IF(B330&gt;0.001,"BARRA A TRACCIÓN (+)",IF(B330&lt;-0.001,"BARRA A COMPRESIÓN (-)","BARRA DE FUERZA NULA")))</f>
        <v>BARRA A TRACCIÓN (+)</v>
      </c>
      <c r="D333" s="185"/>
      <c r="E333" s="185"/>
      <c r="F333" s="185"/>
      <c r="Z333" s="188"/>
      <c r="AA333" s="188"/>
      <c r="AB333" s="188"/>
      <c r="AC333" s="188"/>
      <c r="AD333" s="188"/>
      <c r="AE333" s="188"/>
    </row>
    <row r="334" spans="1:31" ht="16.95" customHeight="1" x14ac:dyDescent="0.3">
      <c r="Z334" s="188"/>
      <c r="AA334" s="188"/>
      <c r="AB334" s="188"/>
      <c r="AC334" s="188"/>
      <c r="AD334" s="188"/>
      <c r="AE334" s="188"/>
    </row>
    <row r="335" spans="1:31" ht="16.95" customHeight="1" x14ac:dyDescent="0.3">
      <c r="A335" s="143" t="s">
        <v>278</v>
      </c>
      <c r="C335" s="143" t="s">
        <v>279</v>
      </c>
      <c r="D335" s="143" t="s">
        <v>280</v>
      </c>
      <c r="E335" s="143" t="s">
        <v>279</v>
      </c>
      <c r="F335" s="143" t="s">
        <v>280</v>
      </c>
      <c r="G335" s="143" t="s">
        <v>249</v>
      </c>
      <c r="Z335" s="188"/>
      <c r="AA335" s="188"/>
      <c r="AB335" s="188"/>
      <c r="AC335" s="188"/>
      <c r="AD335" s="188"/>
      <c r="AE335" s="188"/>
    </row>
    <row r="336" spans="1:31" ht="16.95" customHeight="1" x14ac:dyDescent="0.3">
      <c r="C336" s="143" t="s">
        <v>282</v>
      </c>
      <c r="D336" s="143" t="s">
        <v>282</v>
      </c>
      <c r="E336" s="143" t="s">
        <v>283</v>
      </c>
      <c r="F336" s="143" t="s">
        <v>283</v>
      </c>
      <c r="Z336" s="188"/>
      <c r="AA336" s="188"/>
      <c r="AB336" s="188"/>
      <c r="AC336" s="188"/>
      <c r="AD336" s="188"/>
      <c r="AE336" s="188"/>
    </row>
    <row r="337" spans="1:31" ht="16.95" customHeight="1" x14ac:dyDescent="0.3">
      <c r="A337" s="137">
        <f>N7</f>
        <v>4293.250516799596</v>
      </c>
      <c r="C337" s="144">
        <f>IF(J7="","", -J7)</f>
        <v>-0.44721359549995793</v>
      </c>
      <c r="D337" s="144">
        <f>IF(K7="","", -K7)</f>
        <v>-0.89442719099991586</v>
      </c>
      <c r="E337" s="144">
        <f>IF(J7="","", J7)</f>
        <v>0.44721359549995793</v>
      </c>
      <c r="F337" s="144">
        <f>IF(K7="","", K7)</f>
        <v>0.89442719099991586</v>
      </c>
      <c r="G337" s="145">
        <f>IF(H337="","", IFERROR(VLOOKUP(H337, A$311:D$322, 4, FALSE), 0))</f>
        <v>0</v>
      </c>
      <c r="H337" s="132" t="str">
        <f>IF(C18="","", "D" &amp; C18 &amp; "X")</f>
        <v>D1X</v>
      </c>
      <c r="Z337" s="188"/>
      <c r="AA337" s="188"/>
      <c r="AB337" s="188"/>
      <c r="AC337" s="188"/>
      <c r="AD337" s="188"/>
      <c r="AE337" s="188"/>
    </row>
    <row r="338" spans="1:31" ht="16.95" customHeight="1" x14ac:dyDescent="0.3">
      <c r="A338" s="99" t="s">
        <v>286</v>
      </c>
      <c r="B338" s="146">
        <f>IF(OR(A337=0, C18=""), 0, (MMULT(C337:F337, G337:G340)*A337))</f>
        <v>536.6563145999495</v>
      </c>
      <c r="G338" s="145">
        <f>IF(H338="","", IFERROR(VLOOKUP(H338, A$311:D$322, 4, FALSE), 0))</f>
        <v>0</v>
      </c>
      <c r="H338" s="132" t="str">
        <f>IF(C18="","", "D" &amp; C18 &amp; "Y")</f>
        <v>D1Y</v>
      </c>
      <c r="Z338" s="188"/>
      <c r="AA338" s="188"/>
      <c r="AB338" s="188"/>
      <c r="AC338" s="188"/>
      <c r="AD338" s="188"/>
      <c r="AE338" s="188"/>
    </row>
    <row r="339" spans="1:31" ht="16.95" customHeight="1" x14ac:dyDescent="0.3">
      <c r="G339" s="145">
        <f>IF(H339="","", IFERROR(VLOOKUP(H339, A$311:D$322, 4, FALSE), 0))</f>
        <v>11.024549103061997</v>
      </c>
      <c r="H339" s="132" t="str">
        <f>IF(F18="","", "D" &amp; F18 &amp; "X")</f>
        <v>D3X</v>
      </c>
      <c r="Z339" s="188"/>
      <c r="AA339" s="188"/>
      <c r="AB339" s="188"/>
      <c r="AC339" s="188"/>
      <c r="AD339" s="188"/>
      <c r="AE339" s="188"/>
    </row>
    <row r="340" spans="1:31" ht="16.95" customHeight="1" x14ac:dyDescent="0.3">
      <c r="G340" s="145">
        <f>IF(H340="","", IFERROR(VLOOKUP(H340, A$311:D$322, 4, FALSE), 0))</f>
        <v>-5.3725203029372608</v>
      </c>
      <c r="H340" s="132" t="str">
        <f>IF(F18="","", "D" &amp; F18 &amp; "Y")</f>
        <v>D3Y</v>
      </c>
      <c r="Z340" s="188"/>
      <c r="AA340" s="188"/>
      <c r="AB340" s="188"/>
      <c r="AC340" s="188"/>
      <c r="AD340" s="188"/>
      <c r="AE340" s="188"/>
    </row>
    <row r="341" spans="1:31" ht="16.95" customHeight="1" x14ac:dyDescent="0.3">
      <c r="B341" s="99" t="s">
        <v>273</v>
      </c>
      <c r="C341" s="185" t="str">
        <f>IF(C18="","", IF(B338&gt;0.001,"BARRA A TRACCIÓN (+)",IF(B338&lt;-0.001,"BARRA A COMPRESIÓN (-)","BARRA DE FUERZA NULA")))</f>
        <v>BARRA A TRACCIÓN (+)</v>
      </c>
      <c r="D341" s="185"/>
      <c r="E341" s="185"/>
      <c r="F341" s="185"/>
      <c r="Z341" s="188"/>
      <c r="AA341" s="188"/>
      <c r="AB341" s="188"/>
      <c r="AC341" s="188"/>
      <c r="AD341" s="188"/>
      <c r="AE341" s="188"/>
    </row>
    <row r="342" spans="1:31" ht="16.95" customHeight="1" x14ac:dyDescent="0.3">
      <c r="Z342" s="188"/>
      <c r="AA342" s="188"/>
      <c r="AB342" s="188"/>
      <c r="AC342" s="188"/>
      <c r="AD342" s="188"/>
      <c r="AE342" s="188"/>
    </row>
    <row r="343" spans="1:31" ht="16.95" customHeight="1" x14ac:dyDescent="0.3">
      <c r="A343" s="143" t="s">
        <v>278</v>
      </c>
      <c r="C343" s="143" t="s">
        <v>279</v>
      </c>
      <c r="D343" s="143" t="s">
        <v>280</v>
      </c>
      <c r="E343" s="143" t="s">
        <v>279</v>
      </c>
      <c r="F343" s="143" t="s">
        <v>280</v>
      </c>
      <c r="G343" s="143" t="s">
        <v>249</v>
      </c>
      <c r="Z343" s="188"/>
      <c r="AA343" s="188"/>
      <c r="AB343" s="188"/>
      <c r="AC343" s="188"/>
      <c r="AD343" s="188"/>
      <c r="AE343" s="188"/>
    </row>
    <row r="344" spans="1:31" ht="16.95" customHeight="1" x14ac:dyDescent="0.3">
      <c r="C344" s="143" t="s">
        <v>282</v>
      </c>
      <c r="D344" s="143" t="s">
        <v>282</v>
      </c>
      <c r="E344" s="143" t="s">
        <v>283</v>
      </c>
      <c r="F344" s="143" t="s">
        <v>283</v>
      </c>
      <c r="Z344" s="188"/>
      <c r="AA344" s="188"/>
      <c r="AB344" s="188"/>
      <c r="AC344" s="188"/>
      <c r="AD344" s="188"/>
      <c r="AE344" s="188"/>
    </row>
    <row r="345" spans="1:31" ht="16.95" customHeight="1" x14ac:dyDescent="0.3">
      <c r="A345" s="137">
        <f>N8</f>
        <v>2146.625258399798</v>
      </c>
      <c r="C345" s="144">
        <f>IF(J8="","", -J8)</f>
        <v>-0.89442719099991586</v>
      </c>
      <c r="D345" s="144">
        <f>IF(K8="","", -K8)</f>
        <v>0.44721359549995793</v>
      </c>
      <c r="E345" s="144">
        <f>IF(J8="","", J8)</f>
        <v>0.89442719099991586</v>
      </c>
      <c r="F345" s="144">
        <f>IF(K8="","", K8)</f>
        <v>-0.44721359549995793</v>
      </c>
      <c r="G345" s="145">
        <f>IF(H345="","", IFERROR(VLOOKUP(H345, A$311:D$322, 4, FALSE), 0))</f>
        <v>11.024549103061997</v>
      </c>
      <c r="H345" s="132" t="str">
        <f>IF(C19="","", "D" &amp; C19 &amp; "X")</f>
        <v>D3X</v>
      </c>
      <c r="Z345" s="188"/>
      <c r="AA345" s="188"/>
      <c r="AB345" s="188"/>
      <c r="AC345" s="188"/>
      <c r="AD345" s="188"/>
      <c r="AE345" s="188"/>
    </row>
    <row r="346" spans="1:31" ht="16.95" customHeight="1" x14ac:dyDescent="0.3">
      <c r="A346" s="99" t="s">
        <v>287</v>
      </c>
      <c r="B346" s="146">
        <f>IF(OR(A345=0, C19=""), 0, (MMULT(C345:F345, G345:G348)*A345))</f>
        <v>-12764.753768698802</v>
      </c>
      <c r="G346" s="145">
        <f>IF(H346="","", IFERROR(VLOOKUP(H346, A$311:D$322, 4, FALSE), 0))</f>
        <v>-5.3725203029372608</v>
      </c>
      <c r="H346" s="132" t="str">
        <f>IF(C19="","", "D" &amp; C19 &amp; "Y")</f>
        <v>D3Y</v>
      </c>
      <c r="Z346" s="188"/>
      <c r="AA346" s="188"/>
      <c r="AB346" s="188"/>
      <c r="AC346" s="188"/>
      <c r="AD346" s="188"/>
      <c r="AE346" s="188"/>
    </row>
    <row r="347" spans="1:31" ht="16.95" customHeight="1" x14ac:dyDescent="0.3">
      <c r="G347" s="145">
        <f>IF(H347="","", IFERROR(VLOOKUP(H347, A$311:D$322, 4, FALSE), 0))</f>
        <v>7.0625000000000009</v>
      </c>
      <c r="H347" s="132" t="str">
        <f>IF(F19="","", "D" &amp; F19 &amp; "X")</f>
        <v>D2X</v>
      </c>
      <c r="Z347" s="188"/>
      <c r="AA347" s="188"/>
      <c r="AB347" s="188"/>
      <c r="AC347" s="188"/>
      <c r="AD347" s="188"/>
      <c r="AE347" s="188"/>
    </row>
    <row r="348" spans="1:31" ht="16.95" customHeight="1" x14ac:dyDescent="0.3">
      <c r="G348" s="145">
        <f>IF(H348="","", IFERROR(VLOOKUP(H348, A$311:D$322, 4, FALSE), 0))</f>
        <v>0</v>
      </c>
      <c r="H348" s="132" t="str">
        <f>IF(F19="","", "D" &amp; F19 &amp; "Y")</f>
        <v>D2Y</v>
      </c>
      <c r="Z348" s="188"/>
      <c r="AA348" s="188"/>
      <c r="AB348" s="188"/>
      <c r="AC348" s="188"/>
      <c r="AD348" s="188"/>
      <c r="AE348" s="188"/>
    </row>
    <row r="349" spans="1:31" ht="16.95" customHeight="1" x14ac:dyDescent="0.3">
      <c r="B349" s="99" t="s">
        <v>273</v>
      </c>
      <c r="C349" s="185" t="str">
        <f>IF(C19="","", IF(B346&gt;0.001,"BARRA A TRACCIÓN (+)",IF(B346&lt;-0.001,"BARRA A COMPRESIÓN (-)","BARRA DE FUERZA NULA")))</f>
        <v>BARRA A COMPRESIÓN (-)</v>
      </c>
      <c r="D349" s="185"/>
      <c r="E349" s="185"/>
      <c r="F349" s="185"/>
      <c r="Z349" s="188"/>
      <c r="AA349" s="188"/>
      <c r="AB349" s="188"/>
      <c r="AC349" s="188"/>
      <c r="AD349" s="188"/>
      <c r="AE349" s="188"/>
    </row>
    <row r="350" spans="1:31" ht="16.95" customHeight="1" x14ac:dyDescent="0.3">
      <c r="Z350" s="188"/>
      <c r="AA350" s="188"/>
      <c r="AB350" s="188"/>
      <c r="AC350" s="188"/>
      <c r="AD350" s="188"/>
      <c r="AE350" s="188"/>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2662.5609418811</v>
      </c>
      <c r="C353" s="144">
        <f>IF(J9="","", -J9)</f>
        <v>-0.83205029433784372</v>
      </c>
      <c r="D353" s="144">
        <f>IF(K9="","", -K9)</f>
        <v>-0.55470019622522915</v>
      </c>
      <c r="E353" s="144">
        <f>IF(J9="","", J9)</f>
        <v>0.83205029433784372</v>
      </c>
      <c r="F353" s="144">
        <f>IF(K9="","", K9)</f>
        <v>0.55470019622522915</v>
      </c>
      <c r="G353" s="145">
        <f>IF(H353="","", IFERROR(VLOOKUP(H353, A$311:D$322, 4, FALSE), 0))</f>
        <v>11.024549103061997</v>
      </c>
      <c r="H353" s="132" t="str">
        <f>IF(C20="","", "D" &amp; C20 &amp; "X")</f>
        <v>D3X</v>
      </c>
    </row>
    <row r="354" spans="1:8" ht="19.95" customHeight="1" x14ac:dyDescent="0.3">
      <c r="A354" s="99" t="s">
        <v>288</v>
      </c>
      <c r="B354" s="146">
        <f>IF(OR(A353=0, C20=""), 0, (MMULT(C353:F353, G353:G356)*A353))</f>
        <v>4635.7087827394125</v>
      </c>
      <c r="G354" s="145">
        <f>IF(H354="","", IFERROR(VLOOKUP(H354, A$311:D$322, 4, FALSE), 0))</f>
        <v>-5.3725203029372608</v>
      </c>
      <c r="H354" s="132" t="str">
        <f>IF(C20="","", "D" &amp; C20 &amp; "Y")</f>
        <v>D3Y</v>
      </c>
    </row>
    <row r="355" spans="1:8" ht="19.95" customHeight="1" x14ac:dyDescent="0.3">
      <c r="G355" s="145">
        <f>IF(H355="","", IFERROR(VLOOKUP(H355, A$311:D$322, 4, FALSE), 0))</f>
        <v>11.417210191148254</v>
      </c>
      <c r="H355" s="132" t="str">
        <f>IF(F20="","", "D" &amp; F20 &amp; "X")</f>
        <v>D4X</v>
      </c>
    </row>
    <row r="356" spans="1:8" ht="19.95" customHeight="1" x14ac:dyDescent="0.3">
      <c r="G356" s="145">
        <f>IF(H356="","", IFERROR(VLOOKUP(H356, A$311:D$322, 4, FALSE), 0))</f>
        <v>-2.8227507800868352</v>
      </c>
      <c r="H356" s="132" t="str">
        <f>IF(F20="","", "D" &amp; F20 &amp; "Y")</f>
        <v>D4Y</v>
      </c>
    </row>
    <row r="357" spans="1:8" ht="19.95" customHeight="1" x14ac:dyDescent="0.3">
      <c r="B357" s="99" t="s">
        <v>273</v>
      </c>
      <c r="C357" s="185" t="str">
        <f>IF(C20="","", IF(B354&gt;0.001,"BARRA A TRACCIÓN (+)",IF(B354&lt;-0.001,"BARRA A COMPRESIÓN (-)","BARRA DE FUERZA NULA")))</f>
        <v>BARRA A TRACCIÓN (+)</v>
      </c>
      <c r="D357" s="185"/>
      <c r="E357" s="185"/>
      <c r="F357" s="185"/>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2328.3420003487963</v>
      </c>
      <c r="C361" s="144">
        <f>IF(J10="","", -J10)</f>
        <v>-0.24253562503633297</v>
      </c>
      <c r="D361" s="144">
        <f>IF(K10="","", -K10)</f>
        <v>0.97014250014533188</v>
      </c>
      <c r="E361" s="144">
        <f>IF(J10="","", J10)</f>
        <v>0.24253562503633297</v>
      </c>
      <c r="F361" s="144">
        <f>IF(K10="","", K10)</f>
        <v>-0.97014250014533188</v>
      </c>
      <c r="G361" s="145">
        <f>IF(H361="","", IFERROR(VLOOKUP(H361, A$311:D$322, 4, FALSE), 0))</f>
        <v>11.417210191148254</v>
      </c>
      <c r="H361" s="132" t="str">
        <f>IF(C21="","", "D" &amp; C21 &amp; "X")</f>
        <v>D4X</v>
      </c>
    </row>
    <row r="362" spans="1:8" ht="19.95" customHeight="1" x14ac:dyDescent="0.3">
      <c r="A362" s="99" t="s">
        <v>289</v>
      </c>
      <c r="B362" s="146">
        <f>IF(OR(A361=0, C21=""), 0, (MMULT(C361:F361, G361:G364)*A361))</f>
        <v>-8835.2263406092752</v>
      </c>
      <c r="G362" s="145">
        <f>IF(H362="","", IFERROR(VLOOKUP(H362, A$311:D$322, 4, FALSE), 0))</f>
        <v>-2.8227507800868352</v>
      </c>
      <c r="H362" s="132" t="str">
        <f>IF(C21="","", "D" &amp; C21 &amp; "Y")</f>
        <v>D4Y</v>
      </c>
    </row>
    <row r="363" spans="1:8" ht="19.95" customHeight="1" x14ac:dyDescent="0.3">
      <c r="G363" s="145">
        <f>IF(H363="","", IFERROR(VLOOKUP(H363, A$311:D$322, 4, FALSE), 0))</f>
        <v>7.0625000000000009</v>
      </c>
      <c r="H363" s="132" t="str">
        <f>IF(F21="","", "D" &amp; F21 &amp; "X")</f>
        <v>D2X</v>
      </c>
    </row>
    <row r="364" spans="1:8" ht="19.95" customHeight="1" x14ac:dyDescent="0.3">
      <c r="G364" s="145">
        <f>IF(H364="","", IFERROR(VLOOKUP(H364, A$311:D$322, 4, FALSE), 0))</f>
        <v>0</v>
      </c>
      <c r="H364" s="132" t="str">
        <f>IF(F21="","", "D" &amp; F21 &amp; "Y")</f>
        <v>D2Y</v>
      </c>
    </row>
    <row r="365" spans="1:8" ht="19.95" customHeight="1" x14ac:dyDescent="0.3">
      <c r="B365" s="99" t="s">
        <v>273</v>
      </c>
      <c r="C365" s="185" t="str">
        <f>IF(C21="","", IF(B362&gt;0.001,"BARRA A TRACCIÓN (+)",IF(B362&lt;-0.001,"BARRA A COMPRESIÓN (-)","BARRA DE FUERZA NULA")))</f>
        <v>BARRA A COMPRESIÓN (-)</v>
      </c>
      <c r="D365" s="185"/>
      <c r="E365" s="185"/>
      <c r="F365" s="185"/>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99"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99" t="s">
        <v>273</v>
      </c>
      <c r="C373" s="185" t="str">
        <f>IF(C22="","", IF(B370&gt;0.001,"BARRA A TRACCIÓN (+)",IF(B370&lt;-0.001,"BARRA A COMPRESIÓN (-)","BARRA DE FUERZA NULA")))</f>
        <v/>
      </c>
      <c r="D373" s="185"/>
      <c r="E373" s="185"/>
      <c r="F373" s="185"/>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99"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99" t="s">
        <v>273</v>
      </c>
      <c r="C381" s="185" t="str">
        <f>IF(C23="","", IF(B378&gt;0.001,"BARRA A TRACCIÓN (+)",IF(B378&lt;-0.001,"BARRA A COMPRESIÓN (-)","BARRA DE FUERZA NULA")))</f>
        <v/>
      </c>
      <c r="D381" s="185"/>
      <c r="E381" s="185"/>
      <c r="F381" s="185"/>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99"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99" t="s">
        <v>273</v>
      </c>
      <c r="C389" s="185" t="str">
        <f>IF(C24="","", IF(B386&gt;0.001,"BARRA A TRACCIÓN (+)",IF(B386&lt;-0.001,"BARRA A COMPRESIÓN (-)","BARRA DE FUERZA NULA")))</f>
        <v/>
      </c>
      <c r="D389" s="185"/>
      <c r="E389" s="185"/>
      <c r="F389" s="185"/>
    </row>
    <row r="392" spans="1:8" ht="22.05" customHeight="1" x14ac:dyDescent="0.3">
      <c r="B392" s="194" t="s">
        <v>293</v>
      </c>
      <c r="C392" s="175"/>
      <c r="D392" s="175"/>
      <c r="E392" s="175"/>
      <c r="F392" s="175"/>
      <c r="G392" s="175"/>
      <c r="H392" s="175"/>
    </row>
    <row r="393" spans="1:8" ht="46.2" customHeight="1" x14ac:dyDescent="0.3">
      <c r="B393" s="100" t="s">
        <v>294</v>
      </c>
      <c r="C393" s="100" t="s">
        <v>295</v>
      </c>
      <c r="D393" s="100" t="s">
        <v>296</v>
      </c>
      <c r="E393" s="100" t="s">
        <v>297</v>
      </c>
      <c r="F393" s="100" t="s">
        <v>298</v>
      </c>
      <c r="G393" s="100" t="s">
        <v>299</v>
      </c>
      <c r="H393" s="100" t="s">
        <v>300</v>
      </c>
    </row>
    <row r="394" spans="1:8" ht="27.6" customHeight="1" x14ac:dyDescent="0.3">
      <c r="B394" s="102">
        <f>IF(C17="","", 1)</f>
        <v>1</v>
      </c>
      <c r="C394" s="108">
        <f t="shared" ref="C394:C401" si="66">IF(C17="","", C17)</f>
        <v>1</v>
      </c>
      <c r="D394" s="108">
        <f t="shared" ref="D394:D401" si="67">IF(F17="","", F17)</f>
        <v>2</v>
      </c>
      <c r="E394" s="120">
        <f t="shared" ref="E394:E401" si="68">IF(I6="","", I6)</f>
        <v>1000</v>
      </c>
      <c r="F394" s="120">
        <f t="shared" ref="F394:F401" si="69">IF(C17="","", L6)</f>
        <v>16</v>
      </c>
      <c r="G394" s="146">
        <f>IF(C17="","", B330)</f>
        <v>13560.000000000002</v>
      </c>
      <c r="H394" s="110" t="str">
        <f>IF(C17="","", C333)</f>
        <v>BARRA A TRACCIÓN (+)</v>
      </c>
    </row>
    <row r="395" spans="1:8" ht="27.6" customHeight="1" x14ac:dyDescent="0.3">
      <c r="B395" s="110">
        <f>IF(C18="","", 2)</f>
        <v>2</v>
      </c>
      <c r="C395" s="108">
        <f t="shared" si="66"/>
        <v>1</v>
      </c>
      <c r="D395" s="108">
        <f t="shared" si="67"/>
        <v>3</v>
      </c>
      <c r="E395" s="120">
        <f t="shared" si="68"/>
        <v>447.21359549995793</v>
      </c>
      <c r="F395" s="120">
        <f t="shared" si="69"/>
        <v>16</v>
      </c>
      <c r="G395" s="146">
        <f>IF(C18="","", B338)</f>
        <v>536.6563145999495</v>
      </c>
      <c r="H395" s="110" t="str">
        <f>IF(C18="","", C341)</f>
        <v>BARRA A TRACCIÓN (+)</v>
      </c>
    </row>
    <row r="396" spans="1:8" ht="27.6" customHeight="1" x14ac:dyDescent="0.3">
      <c r="B396" s="111">
        <f>IF(C19="","", 3)</f>
        <v>3</v>
      </c>
      <c r="C396" s="108">
        <f t="shared" si="66"/>
        <v>3</v>
      </c>
      <c r="D396" s="108">
        <f t="shared" si="67"/>
        <v>2</v>
      </c>
      <c r="E396" s="120">
        <f t="shared" si="68"/>
        <v>894.42719099991587</v>
      </c>
      <c r="F396" s="120">
        <f t="shared" si="69"/>
        <v>16</v>
      </c>
      <c r="G396" s="146">
        <f>IF(C19="","", B346)</f>
        <v>-12764.753768698802</v>
      </c>
      <c r="H396" s="110" t="str">
        <f>IF(C19="","", C349)</f>
        <v>BARRA A COMPRESIÓN (-)</v>
      </c>
    </row>
    <row r="397" spans="1:8" ht="27.6" customHeight="1" x14ac:dyDescent="0.3">
      <c r="B397" s="112">
        <f>IF(C20="","", 4)</f>
        <v>4</v>
      </c>
      <c r="C397" s="108">
        <f t="shared" si="66"/>
        <v>3</v>
      </c>
      <c r="D397" s="108">
        <f t="shared" si="67"/>
        <v>4</v>
      </c>
      <c r="E397" s="120">
        <f t="shared" si="68"/>
        <v>721.11025509279784</v>
      </c>
      <c r="F397" s="120">
        <f t="shared" si="69"/>
        <v>16</v>
      </c>
      <c r="G397" s="146">
        <f>IF(C20="","", B354)</f>
        <v>4635.7087827394125</v>
      </c>
      <c r="H397" s="110" t="str">
        <f>IF(C20="","", C357)</f>
        <v>BARRA A TRACCIÓN (+)</v>
      </c>
    </row>
    <row r="398" spans="1:8" ht="27.6" customHeight="1" x14ac:dyDescent="0.3">
      <c r="B398" s="113">
        <f>IF(C21="","", 5)</f>
        <v>5</v>
      </c>
      <c r="C398" s="108">
        <f t="shared" si="66"/>
        <v>4</v>
      </c>
      <c r="D398" s="108">
        <f t="shared" si="67"/>
        <v>2</v>
      </c>
      <c r="E398" s="120">
        <f t="shared" si="68"/>
        <v>824.62112512353212</v>
      </c>
      <c r="F398" s="120">
        <f t="shared" si="69"/>
        <v>16</v>
      </c>
      <c r="G398" s="146">
        <f>IF(C21="","", B362)</f>
        <v>-8835.2263406092752</v>
      </c>
      <c r="H398" s="110" t="str">
        <f>IF(C21="","", C365)</f>
        <v>BARRA A COMPRESIÓN (-)</v>
      </c>
    </row>
    <row r="399" spans="1:8" ht="27.6" customHeight="1" x14ac:dyDescent="0.3">
      <c r="B399" s="114" t="str">
        <f>IF(C22="","", 6)</f>
        <v/>
      </c>
      <c r="C399" s="108" t="str">
        <f t="shared" si="66"/>
        <v/>
      </c>
      <c r="D399" s="108" t="str">
        <f t="shared" si="67"/>
        <v/>
      </c>
      <c r="E399" s="120" t="str">
        <f t="shared" si="68"/>
        <v/>
      </c>
      <c r="F399" s="120" t="str">
        <f t="shared" si="69"/>
        <v/>
      </c>
      <c r="G399" s="146" t="str">
        <f>IF(C22="","", B370)</f>
        <v/>
      </c>
      <c r="H399" s="110" t="str">
        <f>IF(C22="","", C373)</f>
        <v/>
      </c>
    </row>
    <row r="400" spans="1:8" ht="27.6" customHeight="1" x14ac:dyDescent="0.3">
      <c r="B400" s="115" t="str">
        <f>IF(C23="","", 7)</f>
        <v/>
      </c>
      <c r="C400" s="108" t="str">
        <f t="shared" si="66"/>
        <v/>
      </c>
      <c r="D400" s="108" t="str">
        <f t="shared" si="67"/>
        <v/>
      </c>
      <c r="E400" s="120" t="str">
        <f t="shared" si="68"/>
        <v/>
      </c>
      <c r="F400" s="120" t="str">
        <f t="shared" si="69"/>
        <v/>
      </c>
      <c r="G400" s="146" t="str">
        <f>IF(C23="","", B378)</f>
        <v/>
      </c>
      <c r="H400" s="110" t="str">
        <f>IF(C23="","", C381)</f>
        <v/>
      </c>
    </row>
    <row r="401" spans="2:8" ht="27.6" customHeight="1" x14ac:dyDescent="0.3">
      <c r="B401" s="116" t="str">
        <f>IF(C24="","", 8)</f>
        <v/>
      </c>
      <c r="C401" s="108" t="str">
        <f t="shared" si="66"/>
        <v/>
      </c>
      <c r="D401" s="108" t="str">
        <f t="shared" si="67"/>
        <v/>
      </c>
      <c r="E401" s="120" t="str">
        <f t="shared" si="68"/>
        <v/>
      </c>
      <c r="F401" s="120" t="str">
        <f t="shared" si="69"/>
        <v/>
      </c>
      <c r="G401" s="146" t="str">
        <f>IF(C24="","", B386)</f>
        <v/>
      </c>
      <c r="H401" s="110" t="str">
        <f>IF(C24="","", C389)</f>
        <v/>
      </c>
    </row>
  </sheetData>
  <mergeCells count="147">
    <mergeCell ref="Z235:AE235"/>
    <mergeCell ref="Z247:AE247"/>
    <mergeCell ref="Z251:AE251"/>
    <mergeCell ref="Z238:AE238"/>
    <mergeCell ref="Z244:AE244"/>
    <mergeCell ref="G4:G5"/>
    <mergeCell ref="Z348:AE348"/>
    <mergeCell ref="Z298:AE298"/>
    <mergeCell ref="Z332:AE332"/>
    <mergeCell ref="Z347:AE347"/>
    <mergeCell ref="Z285:AE285"/>
    <mergeCell ref="Z341:AE341"/>
    <mergeCell ref="Z269:AE269"/>
    <mergeCell ref="Z278:AE278"/>
    <mergeCell ref="Z262:AE262"/>
    <mergeCell ref="Z297:AE297"/>
    <mergeCell ref="Z303:AE303"/>
    <mergeCell ref="Z294:AE294"/>
    <mergeCell ref="Z279:AE279"/>
    <mergeCell ref="Z339:AE339"/>
    <mergeCell ref="Z288:AE288"/>
    <mergeCell ref="Z344:AE344"/>
    <mergeCell ref="Z301:AE301"/>
    <mergeCell ref="Z328:AE328"/>
    <mergeCell ref="Z305:AE305"/>
    <mergeCell ref="Z283:AE283"/>
    <mergeCell ref="Z292:AE292"/>
    <mergeCell ref="B392:H392"/>
    <mergeCell ref="Z218:AE218"/>
    <mergeCell ref="Z233:AE233"/>
    <mergeCell ref="Z289:AE289"/>
    <mergeCell ref="Z345:AE345"/>
    <mergeCell ref="Z227:AE227"/>
    <mergeCell ref="Z273:AE273"/>
    <mergeCell ref="Z282:AE282"/>
    <mergeCell ref="B15:H15"/>
    <mergeCell ref="Z263:AE263"/>
    <mergeCell ref="Z272:AE272"/>
    <mergeCell ref="Z337:AE337"/>
    <mergeCell ref="Z210:AE210"/>
    <mergeCell ref="Z276:AE276"/>
    <mergeCell ref="C373:F373"/>
    <mergeCell ref="Z284:AE284"/>
    <mergeCell ref="Z350:AE350"/>
    <mergeCell ref="Z325:AE325"/>
    <mergeCell ref="Z286:AE286"/>
    <mergeCell ref="Z327:AE327"/>
    <mergeCell ref="Z342:AE342"/>
    <mergeCell ref="Z336:AE336"/>
    <mergeCell ref="C279:D279"/>
    <mergeCell ref="Z326:AE326"/>
    <mergeCell ref="A1:N1"/>
    <mergeCell ref="C4:D4"/>
    <mergeCell ref="Z219:AE219"/>
    <mergeCell ref="E4:F4"/>
    <mergeCell ref="Z265:AE265"/>
    <mergeCell ref="Z234:AE234"/>
    <mergeCell ref="Z274:AE274"/>
    <mergeCell ref="C268:K268"/>
    <mergeCell ref="Z236:AE236"/>
    <mergeCell ref="Z226:AE226"/>
    <mergeCell ref="Z220:AE220"/>
    <mergeCell ref="Z260:AE260"/>
    <mergeCell ref="Z217:AE217"/>
    <mergeCell ref="Z250:AE250"/>
    <mergeCell ref="Z228:AE228"/>
    <mergeCell ref="Z222:AE222"/>
    <mergeCell ref="Z212:AE212"/>
    <mergeCell ref="H4:H5"/>
    <mergeCell ref="Z221:AE221"/>
    <mergeCell ref="Z214:AE214"/>
    <mergeCell ref="Z223:AE223"/>
    <mergeCell ref="Z264:AE264"/>
    <mergeCell ref="Z239:AE239"/>
    <mergeCell ref="Z248:AE248"/>
    <mergeCell ref="C389:F389"/>
    <mergeCell ref="Z225:AE225"/>
    <mergeCell ref="C267:K267"/>
    <mergeCell ref="Z338:AE338"/>
    <mergeCell ref="Z266:AE266"/>
    <mergeCell ref="Z275:AE275"/>
    <mergeCell ref="B4:B5"/>
    <mergeCell ref="Z340:AE340"/>
    <mergeCell ref="C365:F365"/>
    <mergeCell ref="N4:N5"/>
    <mergeCell ref="Z330:AE330"/>
    <mergeCell ref="Z268:AE268"/>
    <mergeCell ref="Z277:AE277"/>
    <mergeCell ref="Z252:AE252"/>
    <mergeCell ref="Z258:AE258"/>
    <mergeCell ref="Z267:AE267"/>
    <mergeCell ref="Z302:AE302"/>
    <mergeCell ref="Z349:AE349"/>
    <mergeCell ref="J4:J5"/>
    <mergeCell ref="C381:F381"/>
    <mergeCell ref="L4:L5"/>
    <mergeCell ref="Z259:AE259"/>
    <mergeCell ref="Z293:AE293"/>
    <mergeCell ref="Z333:AE333"/>
    <mergeCell ref="C357:F357"/>
    <mergeCell ref="Z299:AE299"/>
    <mergeCell ref="Z249:AE249"/>
    <mergeCell ref="Z280:AE280"/>
    <mergeCell ref="A2:N2"/>
    <mergeCell ref="K4:K5"/>
    <mergeCell ref="Z211:AE211"/>
    <mergeCell ref="Z229:AE229"/>
    <mergeCell ref="Z261:AE261"/>
    <mergeCell ref="Z270:AE270"/>
    <mergeCell ref="Z335:AE335"/>
    <mergeCell ref="C349:F349"/>
    <mergeCell ref="Z245:AE245"/>
    <mergeCell ref="Z232:AE232"/>
    <mergeCell ref="Z334:AE334"/>
    <mergeCell ref="Z300:AE300"/>
    <mergeCell ref="Z256:AE256"/>
    <mergeCell ref="Z287:AE287"/>
    <mergeCell ref="Z296:AE296"/>
    <mergeCell ref="C341:F341"/>
    <mergeCell ref="Z271:AE271"/>
    <mergeCell ref="Z246:AE246"/>
    <mergeCell ref="Z346:AE346"/>
    <mergeCell ref="Z242:AE242"/>
    <mergeCell ref="C333:F333"/>
    <mergeCell ref="I4:I5"/>
    <mergeCell ref="Z216:AE216"/>
    <mergeCell ref="Z329:AE329"/>
    <mergeCell ref="Z343:AE343"/>
    <mergeCell ref="Z281:AE281"/>
    <mergeCell ref="Z304:AE304"/>
    <mergeCell ref="Z257:AE257"/>
    <mergeCell ref="M4:M5"/>
    <mergeCell ref="Z331:AE331"/>
    <mergeCell ref="Z241:AE241"/>
    <mergeCell ref="Z306:AE306"/>
    <mergeCell ref="Z255:AE255"/>
    <mergeCell ref="Z240:AE240"/>
    <mergeCell ref="Z215:AE215"/>
    <mergeCell ref="Z230:AE230"/>
    <mergeCell ref="Z224:AE224"/>
    <mergeCell ref="Z295:AE295"/>
    <mergeCell ref="C238:D238"/>
    <mergeCell ref="Z213:AE213"/>
    <mergeCell ref="Z231:AE231"/>
    <mergeCell ref="C240:N240"/>
    <mergeCell ref="Z243:AE243"/>
    <mergeCell ref="P4:W4"/>
  </mergeCells>
  <conditionalFormatting sqref="B34:M45">
    <cfRule type="cellIs" dxfId="39" priority="1" operator="notEqual">
      <formula>0</formula>
    </cfRule>
  </conditionalFormatting>
  <conditionalFormatting sqref="B55:M66">
    <cfRule type="cellIs" dxfId="38" priority="2" operator="notEqual">
      <formula>0</formula>
    </cfRule>
  </conditionalFormatting>
  <conditionalFormatting sqref="B76:M87">
    <cfRule type="cellIs" dxfId="37" priority="3" operator="notEqual">
      <formula>0</formula>
    </cfRule>
  </conditionalFormatting>
  <conditionalFormatting sqref="B97:M108">
    <cfRule type="cellIs" dxfId="36" priority="4" operator="notEqual">
      <formula>0</formula>
    </cfRule>
  </conditionalFormatting>
  <conditionalFormatting sqref="B118:M129">
    <cfRule type="cellIs" dxfId="35" priority="5" operator="notEqual">
      <formula>0</formula>
    </cfRule>
  </conditionalFormatting>
  <conditionalFormatting sqref="B139:M150">
    <cfRule type="cellIs" dxfId="34" priority="6" operator="notEqual">
      <formula>0</formula>
    </cfRule>
  </conditionalFormatting>
  <conditionalFormatting sqref="B160:M171">
    <cfRule type="cellIs" dxfId="33" priority="7" operator="notEqual">
      <formula>0</formula>
    </cfRule>
  </conditionalFormatting>
  <conditionalFormatting sqref="B181:M192">
    <cfRule type="cellIs" dxfId="32" priority="8" operator="notEqual">
      <formula>0</formula>
    </cfRule>
  </conditionalFormatting>
  <pageMargins left="0.75" right="0.75" top="1" bottom="1" header="0.5" footer="0.5"/>
  <pageSetup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01B6-478A-48A2-A794-B19685AA2BA4}">
  <dimension ref="A1:AE401"/>
  <sheetViews>
    <sheetView tabSelected="1" zoomScale="93" workbookViewId="0">
      <selection activeCell="H26" sqref="H26"/>
    </sheetView>
  </sheetViews>
  <sheetFormatPr baseColWidth="10" defaultColWidth="8.88671875" defaultRowHeight="14.4" x14ac:dyDescent="0.3"/>
  <cols>
    <col min="1" max="1" width="11" style="160" customWidth="1"/>
    <col min="2" max="7" width="13" style="160" customWidth="1"/>
    <col min="8" max="8" width="22.21875" style="160" customWidth="1"/>
    <col min="9" max="14" width="13" style="160" customWidth="1"/>
    <col min="15" max="15" width="3" style="160" customWidth="1"/>
    <col min="16" max="16" width="7" style="160" customWidth="1"/>
    <col min="17" max="18" width="11" style="160" customWidth="1"/>
    <col min="19" max="19" width="14" style="160" customWidth="1"/>
    <col min="20" max="21" width="6" style="160" customWidth="1"/>
    <col min="22" max="23" width="12" style="160" customWidth="1"/>
    <col min="24" max="25" width="3" style="160" customWidth="1"/>
    <col min="26" max="31" width="18" style="160" customWidth="1"/>
    <col min="32" max="16384" width="8.88671875" style="160"/>
  </cols>
  <sheetData>
    <row r="1" spans="1:23" ht="25.95" customHeight="1" x14ac:dyDescent="0.3">
      <c r="A1" s="192" t="s">
        <v>143</v>
      </c>
      <c r="B1" s="175"/>
      <c r="C1" s="175"/>
      <c r="D1" s="175"/>
      <c r="E1" s="175"/>
      <c r="F1" s="175"/>
      <c r="G1" s="175"/>
      <c r="H1" s="175"/>
      <c r="I1" s="175"/>
      <c r="J1" s="175"/>
      <c r="K1" s="175"/>
      <c r="L1" s="175"/>
      <c r="M1" s="175"/>
      <c r="N1" s="175"/>
    </row>
    <row r="2" spans="1:23" ht="18" customHeight="1" x14ac:dyDescent="0.3">
      <c r="A2" s="191" t="s">
        <v>144</v>
      </c>
      <c r="B2" s="175"/>
      <c r="C2" s="175"/>
      <c r="D2" s="175"/>
      <c r="E2" s="175"/>
      <c r="F2" s="175"/>
      <c r="G2" s="175"/>
      <c r="H2" s="175"/>
      <c r="I2" s="175"/>
      <c r="J2" s="175"/>
      <c r="K2" s="175"/>
      <c r="L2" s="175"/>
      <c r="M2" s="175"/>
      <c r="N2" s="175"/>
    </row>
    <row r="4" spans="1:23" ht="18" customHeight="1" x14ac:dyDescent="0.3">
      <c r="B4" s="186" t="s">
        <v>145</v>
      </c>
      <c r="C4" s="186" t="s">
        <v>146</v>
      </c>
      <c r="D4" s="186"/>
      <c r="E4" s="186" t="s">
        <v>147</v>
      </c>
      <c r="F4" s="186"/>
      <c r="G4" s="186" t="s">
        <v>148</v>
      </c>
      <c r="H4" s="186" t="s">
        <v>149</v>
      </c>
      <c r="I4" s="186" t="s">
        <v>150</v>
      </c>
      <c r="J4" s="186" t="s">
        <v>151</v>
      </c>
      <c r="K4" s="186" t="s">
        <v>152</v>
      </c>
      <c r="L4" s="186" t="s">
        <v>153</v>
      </c>
      <c r="M4" s="186" t="s">
        <v>154</v>
      </c>
      <c r="N4" s="186" t="s">
        <v>155</v>
      </c>
      <c r="P4" s="198" t="s">
        <v>156</v>
      </c>
      <c r="Q4" s="196"/>
      <c r="R4" s="196"/>
      <c r="S4" s="196"/>
      <c r="T4" s="196"/>
      <c r="U4" s="196"/>
      <c r="V4" s="196"/>
      <c r="W4" s="196"/>
    </row>
    <row r="5" spans="1:23" ht="18" customHeight="1" x14ac:dyDescent="0.3">
      <c r="B5" s="187"/>
      <c r="C5" s="164" t="s">
        <v>157</v>
      </c>
      <c r="D5" s="164" t="s">
        <v>158</v>
      </c>
      <c r="E5" s="164" t="s">
        <v>157</v>
      </c>
      <c r="F5" s="164" t="s">
        <v>158</v>
      </c>
      <c r="G5" s="187"/>
      <c r="H5" s="187"/>
      <c r="I5" s="187"/>
      <c r="J5" s="187"/>
      <c r="K5" s="187"/>
      <c r="L5" s="187"/>
      <c r="M5" s="187"/>
      <c r="N5" s="187"/>
      <c r="P5" s="164" t="s">
        <v>159</v>
      </c>
      <c r="Q5" s="164" t="s">
        <v>160</v>
      </c>
      <c r="R5" s="164" t="s">
        <v>161</v>
      </c>
      <c r="S5" s="164" t="s">
        <v>162</v>
      </c>
      <c r="T5" s="164" t="s">
        <v>163</v>
      </c>
      <c r="U5" s="164" t="s">
        <v>164</v>
      </c>
      <c r="V5" s="164" t="s">
        <v>165</v>
      </c>
      <c r="W5" s="164"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200</v>
      </c>
      <c r="F6" s="103">
        <f t="shared" ref="F6:F13" si="3">IF(F17="","", IFERROR(VLOOKUP(F17, $P$6:$W$11, 3, FALSE), ""))</f>
        <v>600</v>
      </c>
      <c r="G6" s="104">
        <f t="shared" ref="G6:H13" si="4">IF(OR(C6="",E6=""), "", E6-C6)</f>
        <v>200</v>
      </c>
      <c r="H6" s="104">
        <f t="shared" si="4"/>
        <v>600</v>
      </c>
      <c r="I6" s="105">
        <f t="shared" ref="I6:I13" si="5">IF(OR(G6="",H6=""), "", SQRT(G6^2+H6^2))</f>
        <v>632.45553203367592</v>
      </c>
      <c r="J6" s="106">
        <f t="shared" ref="J6:J13" si="6">IF(OR(I6="",I6=0), "", G6/I6)</f>
        <v>0.31622776601683789</v>
      </c>
      <c r="K6" s="106">
        <f t="shared" ref="K6:K13" si="7">IF(OR(I6="",I6=0), "", H6/I6)</f>
        <v>0.94868329805051377</v>
      </c>
      <c r="L6" s="103">
        <f>IF(C17="","", 20)</f>
        <v>20</v>
      </c>
      <c r="M6" s="107">
        <f>IF(C17="","", 150000)</f>
        <v>150000</v>
      </c>
      <c r="N6" s="105">
        <f t="shared" ref="N6:N13" si="8">IF(OR(I6="",I6=0,L6="",M6=""), 0, (L6*M6)/I6)</f>
        <v>4743.416490252569</v>
      </c>
      <c r="P6" s="108">
        <v>1</v>
      </c>
      <c r="Q6" s="103">
        <v>800</v>
      </c>
      <c r="R6" s="103">
        <v>800</v>
      </c>
      <c r="S6" s="109" t="s">
        <v>169</v>
      </c>
      <c r="T6" s="108">
        <f t="shared" ref="T6:T11" si="9">IF(Q6="","", IF(LEFT(UPPER(TRIM(S6)),4)="FIJO", 1, IF(OR(UPPER(TRIM(S6))="MOVIL X", UPPER(TRIM(S6))="MÓVIL X", UPPER(TRIM(S6))="RODILLO X"), 1, 0)))</f>
        <v>0</v>
      </c>
      <c r="U6" s="108">
        <f t="shared" ref="U6:U11" si="10">IF(Q6="","", IF(LEFT(UPPER(TRIM(S6)),4)="FIJO", 1, IF(OR(UPPER(TRIM(S6))="MOVIL Y", UPPER(TRIM(S6))="MÓVIL Y", UPPER(TRIM(S6))="RODILLO Y", UPPER(TRIM(S6))="MOVIL", UPPER(TRIM(S6))="MÓVIL"), 1, 0)))</f>
        <v>0</v>
      </c>
      <c r="V6" s="103">
        <v>1000</v>
      </c>
      <c r="W6" s="103">
        <v>-2000</v>
      </c>
    </row>
    <row r="7" spans="1:23" ht="19.05" customHeight="1" x14ac:dyDescent="0.3">
      <c r="B7" s="161">
        <v>2</v>
      </c>
      <c r="C7" s="103">
        <f t="shared" si="0"/>
        <v>1000</v>
      </c>
      <c r="D7" s="103">
        <f t="shared" si="1"/>
        <v>0</v>
      </c>
      <c r="E7" s="103">
        <f t="shared" si="2"/>
        <v>0</v>
      </c>
      <c r="F7" s="103">
        <f t="shared" si="3"/>
        <v>0</v>
      </c>
      <c r="G7" s="104">
        <f t="shared" si="4"/>
        <v>-1000</v>
      </c>
      <c r="H7" s="104">
        <f t="shared" si="4"/>
        <v>0</v>
      </c>
      <c r="I7" s="105">
        <f t="shared" si="5"/>
        <v>1000</v>
      </c>
      <c r="J7" s="106">
        <f t="shared" si="6"/>
        <v>-1</v>
      </c>
      <c r="K7" s="106">
        <f t="shared" si="7"/>
        <v>0</v>
      </c>
      <c r="L7" s="103">
        <f t="shared" ref="L7:L10" si="11">IF(C18="","", 20)</f>
        <v>20</v>
      </c>
      <c r="M7" s="107">
        <f t="shared" ref="M7:M10" si="12">IF(C18="","", 150000)</f>
        <v>150000</v>
      </c>
      <c r="N7" s="105">
        <f t="shared" si="8"/>
        <v>3000</v>
      </c>
      <c r="P7" s="108">
        <v>2</v>
      </c>
      <c r="Q7" s="103">
        <v>200</v>
      </c>
      <c r="R7" s="103">
        <v>600</v>
      </c>
      <c r="S7" s="109" t="s">
        <v>169</v>
      </c>
      <c r="T7" s="108">
        <f t="shared" si="9"/>
        <v>0</v>
      </c>
      <c r="U7" s="108">
        <f t="shared" si="10"/>
        <v>0</v>
      </c>
      <c r="V7" s="103">
        <v>2000</v>
      </c>
      <c r="W7" s="103">
        <v>-1000</v>
      </c>
    </row>
    <row r="8" spans="1:23" ht="19.05" customHeight="1" x14ac:dyDescent="0.3">
      <c r="B8" s="111">
        <v>3</v>
      </c>
      <c r="C8" s="103">
        <f t="shared" si="0"/>
        <v>800</v>
      </c>
      <c r="D8" s="103">
        <f t="shared" si="1"/>
        <v>800</v>
      </c>
      <c r="E8" s="103">
        <f t="shared" si="2"/>
        <v>1000</v>
      </c>
      <c r="F8" s="103">
        <f t="shared" si="3"/>
        <v>0</v>
      </c>
      <c r="G8" s="104">
        <f t="shared" si="4"/>
        <v>200</v>
      </c>
      <c r="H8" s="104">
        <f t="shared" si="4"/>
        <v>-800</v>
      </c>
      <c r="I8" s="105">
        <f t="shared" si="5"/>
        <v>824.62112512353212</v>
      </c>
      <c r="J8" s="106">
        <f t="shared" si="6"/>
        <v>0.24253562503633297</v>
      </c>
      <c r="K8" s="106">
        <f t="shared" si="7"/>
        <v>-0.97014250014533188</v>
      </c>
      <c r="L8" s="103">
        <f t="shared" si="11"/>
        <v>20</v>
      </c>
      <c r="M8" s="107">
        <f t="shared" si="12"/>
        <v>150000</v>
      </c>
      <c r="N8" s="105">
        <f t="shared" si="8"/>
        <v>3638.0343755449944</v>
      </c>
      <c r="P8" s="108">
        <v>3</v>
      </c>
      <c r="Q8" s="103">
        <v>0</v>
      </c>
      <c r="R8" s="103">
        <v>0</v>
      </c>
      <c r="S8" s="109" t="s">
        <v>167</v>
      </c>
      <c r="T8" s="108">
        <f t="shared" si="9"/>
        <v>0</v>
      </c>
      <c r="U8" s="108">
        <f t="shared" si="10"/>
        <v>1</v>
      </c>
      <c r="V8" s="103">
        <v>0</v>
      </c>
      <c r="W8" s="103">
        <v>0</v>
      </c>
    </row>
    <row r="9" spans="1:23" ht="19.05" customHeight="1" x14ac:dyDescent="0.3">
      <c r="B9" s="112">
        <v>4</v>
      </c>
      <c r="C9" s="103">
        <f t="shared" si="0"/>
        <v>200</v>
      </c>
      <c r="D9" s="103">
        <f t="shared" si="1"/>
        <v>600</v>
      </c>
      <c r="E9" s="103">
        <f t="shared" si="2"/>
        <v>1000</v>
      </c>
      <c r="F9" s="103">
        <f t="shared" si="3"/>
        <v>0</v>
      </c>
      <c r="G9" s="104">
        <f t="shared" si="4"/>
        <v>800</v>
      </c>
      <c r="H9" s="104">
        <f t="shared" si="4"/>
        <v>-600</v>
      </c>
      <c r="I9" s="105">
        <f t="shared" si="5"/>
        <v>1000</v>
      </c>
      <c r="J9" s="106">
        <f t="shared" si="6"/>
        <v>0.8</v>
      </c>
      <c r="K9" s="106">
        <f t="shared" si="7"/>
        <v>-0.6</v>
      </c>
      <c r="L9" s="103">
        <f t="shared" si="11"/>
        <v>20</v>
      </c>
      <c r="M9" s="107">
        <f t="shared" si="12"/>
        <v>150000</v>
      </c>
      <c r="N9" s="105">
        <f t="shared" si="8"/>
        <v>3000</v>
      </c>
      <c r="P9" s="108">
        <v>4</v>
      </c>
      <c r="Q9" s="103">
        <v>1000</v>
      </c>
      <c r="R9" s="103">
        <v>0</v>
      </c>
      <c r="S9" s="109" t="s">
        <v>168</v>
      </c>
      <c r="T9" s="108">
        <f t="shared" si="9"/>
        <v>1</v>
      </c>
      <c r="U9" s="108">
        <f t="shared" si="10"/>
        <v>1</v>
      </c>
      <c r="V9" s="103">
        <v>0</v>
      </c>
      <c r="W9" s="103">
        <v>0</v>
      </c>
    </row>
    <row r="10" spans="1:23" ht="19.05" customHeight="1" x14ac:dyDescent="0.3">
      <c r="B10" s="113">
        <v>5</v>
      </c>
      <c r="C10" s="103">
        <f t="shared" si="0"/>
        <v>200</v>
      </c>
      <c r="D10" s="103">
        <f t="shared" si="1"/>
        <v>600</v>
      </c>
      <c r="E10" s="103">
        <f t="shared" si="2"/>
        <v>800</v>
      </c>
      <c r="F10" s="103">
        <f t="shared" si="3"/>
        <v>800</v>
      </c>
      <c r="G10" s="104">
        <f t="shared" si="4"/>
        <v>600</v>
      </c>
      <c r="H10" s="104">
        <f t="shared" si="4"/>
        <v>200</v>
      </c>
      <c r="I10" s="105">
        <f t="shared" si="5"/>
        <v>632.45553203367592</v>
      </c>
      <c r="J10" s="106">
        <f t="shared" si="6"/>
        <v>0.94868329805051377</v>
      </c>
      <c r="K10" s="106">
        <f t="shared" si="7"/>
        <v>0.31622776601683789</v>
      </c>
      <c r="L10" s="103">
        <f t="shared" si="11"/>
        <v>20</v>
      </c>
      <c r="M10" s="107">
        <f t="shared" si="12"/>
        <v>150000</v>
      </c>
      <c r="N10" s="105">
        <f t="shared" si="8"/>
        <v>4743.416490252569</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95" t="s">
        <v>170</v>
      </c>
      <c r="C15" s="196"/>
      <c r="D15" s="196"/>
      <c r="E15" s="196"/>
      <c r="F15" s="196"/>
      <c r="G15" s="196"/>
      <c r="H15" s="196"/>
    </row>
    <row r="16" spans="1:23" ht="18" customHeight="1" x14ac:dyDescent="0.3">
      <c r="B16" s="162" t="s">
        <v>145</v>
      </c>
      <c r="C16" s="162" t="s">
        <v>171</v>
      </c>
      <c r="D16" s="165" t="s">
        <v>731</v>
      </c>
      <c r="E16" s="165" t="s">
        <v>732</v>
      </c>
      <c r="F16" s="162" t="s">
        <v>174</v>
      </c>
      <c r="G16" s="165" t="s">
        <v>731</v>
      </c>
      <c r="H16" s="165" t="s">
        <v>732</v>
      </c>
      <c r="S16" s="109" t="s">
        <v>167</v>
      </c>
    </row>
    <row r="17" spans="1:19" ht="19.05" customHeight="1" x14ac:dyDescent="0.3">
      <c r="B17" s="102">
        <v>1</v>
      </c>
      <c r="C17" s="117">
        <v>3</v>
      </c>
      <c r="D17" s="108" t="str">
        <f t="shared" ref="D17:D24" si="15">IF(C17="","", "U" &amp; C17 &amp; "X")</f>
        <v>U3X</v>
      </c>
      <c r="E17" s="108" t="str">
        <f t="shared" ref="E17:E24" si="16">IF(C17="","", "U" &amp; C17 &amp; "Y")</f>
        <v>U3Y</v>
      </c>
      <c r="F17" s="117">
        <v>2</v>
      </c>
      <c r="G17" s="108" t="str">
        <f t="shared" ref="G17:G24" si="17">IF(F17="","", "U" &amp; F17 &amp; "X")</f>
        <v>U2X</v>
      </c>
      <c r="H17" s="108" t="str">
        <f t="shared" ref="H17:H24" si="18">IF(F17="","", "U" &amp; F17 &amp; "Y")</f>
        <v>U2Y</v>
      </c>
      <c r="S17" s="109" t="s">
        <v>168</v>
      </c>
    </row>
    <row r="18" spans="1:19" ht="19.05" customHeight="1" x14ac:dyDescent="0.3">
      <c r="B18" s="161">
        <v>2</v>
      </c>
      <c r="C18" s="117">
        <v>4</v>
      </c>
      <c r="D18" s="108" t="str">
        <f t="shared" si="15"/>
        <v>U4X</v>
      </c>
      <c r="E18" s="108" t="str">
        <f t="shared" si="16"/>
        <v>U4Y</v>
      </c>
      <c r="F18" s="117">
        <v>3</v>
      </c>
      <c r="G18" s="108" t="str">
        <f t="shared" si="17"/>
        <v>U3X</v>
      </c>
      <c r="H18" s="108" t="str">
        <f t="shared" si="18"/>
        <v>U3Y</v>
      </c>
      <c r="S18" s="109" t="s">
        <v>169</v>
      </c>
    </row>
    <row r="19" spans="1:19" ht="19.05" customHeight="1" x14ac:dyDescent="0.3">
      <c r="B19" s="111">
        <v>3</v>
      </c>
      <c r="C19" s="117">
        <v>1</v>
      </c>
      <c r="D19" s="108" t="str">
        <f t="shared" si="15"/>
        <v>U1X</v>
      </c>
      <c r="E19" s="108" t="str">
        <f t="shared" si="16"/>
        <v>U1Y</v>
      </c>
      <c r="F19" s="117">
        <v>4</v>
      </c>
      <c r="G19" s="108" t="str">
        <f t="shared" si="17"/>
        <v>U4X</v>
      </c>
      <c r="H19" s="108" t="str">
        <f t="shared" si="18"/>
        <v>U4Y</v>
      </c>
      <c r="S19" s="109" t="s">
        <v>169</v>
      </c>
    </row>
    <row r="20" spans="1:19" ht="19.05" customHeight="1" x14ac:dyDescent="0.3">
      <c r="B20" s="112">
        <v>4</v>
      </c>
      <c r="C20" s="117">
        <v>2</v>
      </c>
      <c r="D20" s="108" t="str">
        <f t="shared" si="15"/>
        <v>U2X</v>
      </c>
      <c r="E20" s="108" t="str">
        <f t="shared" si="16"/>
        <v>U2Y</v>
      </c>
      <c r="F20" s="117">
        <v>4</v>
      </c>
      <c r="G20" s="108" t="str">
        <f t="shared" si="17"/>
        <v>U4X</v>
      </c>
      <c r="H20" s="108" t="str">
        <f t="shared" si="18"/>
        <v>U4Y</v>
      </c>
      <c r="S20" s="109" t="s">
        <v>169</v>
      </c>
    </row>
    <row r="21" spans="1:19" ht="19.05" customHeight="1" x14ac:dyDescent="0.3">
      <c r="B21" s="113">
        <v>5</v>
      </c>
      <c r="C21" s="117">
        <v>2</v>
      </c>
      <c r="D21" s="108" t="str">
        <f t="shared" si="15"/>
        <v>U2X</v>
      </c>
      <c r="E21" s="108" t="str">
        <f t="shared" si="16"/>
        <v>U2Y</v>
      </c>
      <c r="F21" s="117">
        <v>1</v>
      </c>
      <c r="G21" s="108" t="str">
        <f t="shared" si="17"/>
        <v>U1X</v>
      </c>
      <c r="H21" s="108" t="str">
        <f t="shared" si="18"/>
        <v>U1Y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U3X</v>
      </c>
      <c r="C27" s="102" t="str">
        <f>IF(E17="","-",E17)</f>
        <v>U3Y</v>
      </c>
      <c r="D27" s="102" t="str">
        <f>IF(G17="","-",G17)</f>
        <v>U2X</v>
      </c>
      <c r="E27" s="102" t="str">
        <f>IF(H17="","-",H17)</f>
        <v>U2Y</v>
      </c>
    </row>
    <row r="28" spans="1:19" ht="18" customHeight="1" x14ac:dyDescent="0.3">
      <c r="B28" s="119">
        <f>IF(N6=0, 0, N6*J6*J6)</f>
        <v>474.34164902525674</v>
      </c>
      <c r="C28" s="119">
        <f>IF(N6=0, 0, N6*J6*K6)</f>
        <v>1423.0249470757703</v>
      </c>
      <c r="D28" s="119">
        <f>IF(N6=0, 0, -N6*J6*J6)</f>
        <v>-474.34164902525674</v>
      </c>
      <c r="E28" s="119">
        <f>IF(N6=0, 0, -N6*J6*K6)</f>
        <v>-1423.0249470757703</v>
      </c>
      <c r="F28" s="102" t="str">
        <f>IF(D17="","-",D17)</f>
        <v>U3X</v>
      </c>
    </row>
    <row r="29" spans="1:19" ht="18" customHeight="1" x14ac:dyDescent="0.3">
      <c r="B29" s="119">
        <f>IF(N6=0, 0, N6*J6*K6)</f>
        <v>1423.0249470757703</v>
      </c>
      <c r="C29" s="119">
        <f>IF(N6=0, 0, N6*K6*K6)</f>
        <v>4269.0748412273124</v>
      </c>
      <c r="D29" s="119">
        <f>IF(N6=0, 0, -N6*J6*K6)</f>
        <v>-1423.0249470757703</v>
      </c>
      <c r="E29" s="119">
        <f>IF(N6=0, 0, -N6*K6*K6)</f>
        <v>-4269.0748412273124</v>
      </c>
      <c r="F29" s="102" t="str">
        <f>IF(E17="","-",E17)</f>
        <v>U3Y</v>
      </c>
    </row>
    <row r="30" spans="1:19" ht="18" customHeight="1" x14ac:dyDescent="0.3">
      <c r="B30" s="119">
        <f>IF(N6=0, 0, -N6*J6*J6)</f>
        <v>-474.34164902525674</v>
      </c>
      <c r="C30" s="119">
        <f>IF(N6=0, 0, -N6*J6*K6)</f>
        <v>-1423.0249470757703</v>
      </c>
      <c r="D30" s="119">
        <f>IF(N6=0, 0, N6*J6*J6)</f>
        <v>474.34164902525674</v>
      </c>
      <c r="E30" s="119">
        <f>IF(N6=0, 0, N6*J6*K6)</f>
        <v>1423.0249470757703</v>
      </c>
      <c r="F30" s="102" t="str">
        <f>IF(G17="","-",G17)</f>
        <v>U2X</v>
      </c>
    </row>
    <row r="31" spans="1:19" ht="18" customHeight="1" x14ac:dyDescent="0.3">
      <c r="B31" s="119">
        <f>IF(N6=0, 0, -N6*J6*K6)</f>
        <v>-1423.0249470757703</v>
      </c>
      <c r="C31" s="119">
        <f>IF(N6=0, 0, -N6*K6*K6)</f>
        <v>-4269.0748412273124</v>
      </c>
      <c r="D31" s="119">
        <f>IF(N6=0, 0, N6*J6*K6)</f>
        <v>1423.0249470757703</v>
      </c>
      <c r="E31" s="119">
        <f>IF(N6=0, 0, N6*K6*K6)</f>
        <v>4269.0748412273124</v>
      </c>
      <c r="F31" s="102" t="str">
        <f>IF(H17="","-",H17)</f>
        <v>U2Y</v>
      </c>
    </row>
    <row r="33" spans="1:14" ht="19.05" customHeight="1" x14ac:dyDescent="0.3">
      <c r="B33" s="162" t="s">
        <v>178</v>
      </c>
      <c r="C33" s="162" t="s">
        <v>179</v>
      </c>
      <c r="D33" s="162" t="s">
        <v>180</v>
      </c>
      <c r="E33" s="162" t="s">
        <v>181</v>
      </c>
      <c r="F33" s="162" t="s">
        <v>182</v>
      </c>
      <c r="G33" s="162" t="s">
        <v>183</v>
      </c>
      <c r="H33" s="162" t="s">
        <v>184</v>
      </c>
      <c r="I33" s="162" t="s">
        <v>185</v>
      </c>
      <c r="J33" s="162" t="s">
        <v>186</v>
      </c>
      <c r="K33" s="162" t="s">
        <v>187</v>
      </c>
      <c r="L33" s="162" t="s">
        <v>188</v>
      </c>
      <c r="M33" s="162" t="s">
        <v>189</v>
      </c>
    </row>
    <row r="34" spans="1:14" ht="19.05" customHeight="1" x14ac:dyDescent="0.3">
      <c r="B34" s="120">
        <f t="shared" ref="B34:M45" si="19">IFERROR(INDEX($B$28:$E$31, MATCH($N34, $B$27:$E$27, 0), MATCH(B$33, $B$27:$E$27, 0)), 0)</f>
        <v>0</v>
      </c>
      <c r="C34" s="120">
        <f t="shared" si="19"/>
        <v>0</v>
      </c>
      <c r="D34" s="120">
        <f t="shared" si="19"/>
        <v>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0</v>
      </c>
      <c r="C36" s="120">
        <f t="shared" si="19"/>
        <v>0</v>
      </c>
      <c r="D36" s="120">
        <f t="shared" si="19"/>
        <v>474.34164902525674</v>
      </c>
      <c r="E36" s="120">
        <f t="shared" si="19"/>
        <v>1423.0249470757703</v>
      </c>
      <c r="F36" s="120">
        <f t="shared" si="19"/>
        <v>-474.34164902525674</v>
      </c>
      <c r="G36" s="120">
        <f t="shared" si="19"/>
        <v>-1423.0249470757703</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1423.0249470757703</v>
      </c>
      <c r="E37" s="120">
        <f t="shared" si="19"/>
        <v>4269.0748412273124</v>
      </c>
      <c r="F37" s="120">
        <f t="shared" si="19"/>
        <v>-1423.0249470757703</v>
      </c>
      <c r="G37" s="120">
        <f t="shared" si="19"/>
        <v>-4269.0748412273124</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-474.34164902525674</v>
      </c>
      <c r="E38" s="120">
        <f t="shared" si="19"/>
        <v>-1423.0249470757703</v>
      </c>
      <c r="F38" s="120">
        <f t="shared" si="19"/>
        <v>474.34164902525674</v>
      </c>
      <c r="G38" s="120">
        <f t="shared" si="19"/>
        <v>1423.0249470757703</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-1423.0249470757703</v>
      </c>
      <c r="E39" s="120">
        <f t="shared" si="19"/>
        <v>-4269.0748412273124</v>
      </c>
      <c r="F39" s="120">
        <f t="shared" si="19"/>
        <v>1423.0249470757703</v>
      </c>
      <c r="G39" s="120">
        <f t="shared" si="19"/>
        <v>4269.0748412273124</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61" t="str">
        <f>IF(D18="","-",D18)</f>
        <v>U4X</v>
      </c>
      <c r="C48" s="161" t="str">
        <f>IF(E18="","-",E18)</f>
        <v>U4Y</v>
      </c>
      <c r="D48" s="161" t="str">
        <f>IF(G18="","-",G18)</f>
        <v>U3X</v>
      </c>
      <c r="E48" s="161" t="str">
        <f>IF(H18="","-",H18)</f>
        <v>U3Y</v>
      </c>
    </row>
    <row r="49" spans="1:14" ht="18" customHeight="1" x14ac:dyDescent="0.3">
      <c r="B49" s="121">
        <f>IF(N7=0, 0, N7*J7*J7)</f>
        <v>3000</v>
      </c>
      <c r="C49" s="121">
        <f>IF(N7=0, 0, N7*J7*K7)</f>
        <v>0</v>
      </c>
      <c r="D49" s="121">
        <f>IF(N7=0, 0, -N7*J7*J7)</f>
        <v>-3000</v>
      </c>
      <c r="E49" s="121">
        <f>IF(N7=0, 0, -N7*J7*K7)</f>
        <v>0</v>
      </c>
      <c r="F49" s="161" t="str">
        <f>IF(D18="","-",D18)</f>
        <v>U4X</v>
      </c>
    </row>
    <row r="50" spans="1:14" ht="18" customHeight="1" x14ac:dyDescent="0.3">
      <c r="B50" s="121">
        <f>IF(N7=0, 0, N7*J7*K7)</f>
        <v>0</v>
      </c>
      <c r="C50" s="121">
        <f>IF(N7=0, 0, N7*K7*K7)</f>
        <v>0</v>
      </c>
      <c r="D50" s="121">
        <f>IF(N7=0, 0, -N7*J7*K7)</f>
        <v>0</v>
      </c>
      <c r="E50" s="121">
        <f>IF(N7=0, 0, -N7*K7*K7)</f>
        <v>0</v>
      </c>
      <c r="F50" s="161" t="str">
        <f>IF(E18="","-",E18)</f>
        <v>U4Y</v>
      </c>
    </row>
    <row r="51" spans="1:14" ht="18" customHeight="1" x14ac:dyDescent="0.3">
      <c r="B51" s="121">
        <f>IF(N7=0, 0, -N7*J7*J7)</f>
        <v>-3000</v>
      </c>
      <c r="C51" s="121">
        <f>IF(N7=0, 0, -N7*J7*K7)</f>
        <v>0</v>
      </c>
      <c r="D51" s="121">
        <f>IF(N7=0, 0, N7*J7*J7)</f>
        <v>3000</v>
      </c>
      <c r="E51" s="121">
        <f>IF(N7=0, 0, N7*J7*K7)</f>
        <v>0</v>
      </c>
      <c r="F51" s="161" t="str">
        <f>IF(G18="","-",G18)</f>
        <v>U3X</v>
      </c>
    </row>
    <row r="52" spans="1:14" ht="18" customHeight="1" x14ac:dyDescent="0.3">
      <c r="B52" s="121">
        <f>IF(N7=0, 0, -N7*J7*K7)</f>
        <v>0</v>
      </c>
      <c r="C52" s="121">
        <f>IF(N7=0, 0, -N7*K7*K7)</f>
        <v>0</v>
      </c>
      <c r="D52" s="121">
        <f>IF(N7=0, 0, N7*J7*K7)</f>
        <v>0</v>
      </c>
      <c r="E52" s="121">
        <f>IF(N7=0, 0, N7*K7*K7)</f>
        <v>0</v>
      </c>
      <c r="F52" s="161" t="str">
        <f>IF(H18="","-",H18)</f>
        <v>U3Y</v>
      </c>
    </row>
    <row r="54" spans="1:14" ht="19.05" customHeight="1" x14ac:dyDescent="0.3">
      <c r="B54" s="162" t="s">
        <v>178</v>
      </c>
      <c r="C54" s="162" t="s">
        <v>179</v>
      </c>
      <c r="D54" s="162" t="s">
        <v>180</v>
      </c>
      <c r="E54" s="162" t="s">
        <v>181</v>
      </c>
      <c r="F54" s="162" t="s">
        <v>182</v>
      </c>
      <c r="G54" s="162" t="s">
        <v>183</v>
      </c>
      <c r="H54" s="162" t="s">
        <v>184</v>
      </c>
      <c r="I54" s="162" t="s">
        <v>185</v>
      </c>
      <c r="J54" s="162" t="s">
        <v>186</v>
      </c>
      <c r="K54" s="162" t="s">
        <v>187</v>
      </c>
      <c r="L54" s="162" t="s">
        <v>188</v>
      </c>
      <c r="M54" s="162" t="s">
        <v>189</v>
      </c>
    </row>
    <row r="55" spans="1:14" ht="19.05" customHeight="1" x14ac:dyDescent="0.3">
      <c r="B55" s="120">
        <f t="shared" ref="B55:M66" si="20">IFERROR(INDEX($B$49:$E$52, MATCH($N55, $B$48:$E$48, 0), MATCH(B$54, $B$48:$E$48, 0)), 0)</f>
        <v>0</v>
      </c>
      <c r="C55" s="120">
        <f t="shared" si="20"/>
        <v>0</v>
      </c>
      <c r="D55" s="120">
        <f t="shared" si="20"/>
        <v>0</v>
      </c>
      <c r="E55" s="120">
        <f t="shared" si="20"/>
        <v>0</v>
      </c>
      <c r="F55" s="120">
        <f t="shared" si="20"/>
        <v>0</v>
      </c>
      <c r="G55" s="120">
        <f t="shared" si="20"/>
        <v>0</v>
      </c>
      <c r="H55" s="120">
        <f t="shared" si="20"/>
        <v>0</v>
      </c>
      <c r="I55" s="120">
        <f t="shared" si="20"/>
        <v>0</v>
      </c>
      <c r="J55" s="120">
        <f t="shared" si="20"/>
        <v>0</v>
      </c>
      <c r="K55" s="120">
        <f t="shared" si="20"/>
        <v>0</v>
      </c>
      <c r="L55" s="120">
        <f t="shared" si="20"/>
        <v>0</v>
      </c>
      <c r="M55" s="120">
        <f t="shared" si="20"/>
        <v>0</v>
      </c>
      <c r="N55" s="161" t="s">
        <v>178</v>
      </c>
    </row>
    <row r="56" spans="1:14" ht="19.05" customHeight="1" x14ac:dyDescent="0.3">
      <c r="B56" s="120">
        <f t="shared" si="20"/>
        <v>0</v>
      </c>
      <c r="C56" s="120">
        <f t="shared" si="20"/>
        <v>0</v>
      </c>
      <c r="D56" s="120">
        <f t="shared" si="20"/>
        <v>0</v>
      </c>
      <c r="E56" s="120">
        <f t="shared" si="20"/>
        <v>0</v>
      </c>
      <c r="F56" s="120">
        <f t="shared" si="20"/>
        <v>0</v>
      </c>
      <c r="G56" s="120">
        <f t="shared" si="20"/>
        <v>0</v>
      </c>
      <c r="H56" s="120">
        <f t="shared" si="20"/>
        <v>0</v>
      </c>
      <c r="I56" s="120">
        <f t="shared" si="20"/>
        <v>0</v>
      </c>
      <c r="J56" s="120">
        <f t="shared" si="20"/>
        <v>0</v>
      </c>
      <c r="K56" s="120">
        <f t="shared" si="20"/>
        <v>0</v>
      </c>
      <c r="L56" s="120">
        <f t="shared" si="20"/>
        <v>0</v>
      </c>
      <c r="M56" s="120">
        <f t="shared" si="20"/>
        <v>0</v>
      </c>
      <c r="N56" s="161" t="s">
        <v>179</v>
      </c>
    </row>
    <row r="57" spans="1:14" ht="19.05" customHeight="1" x14ac:dyDescent="0.3">
      <c r="B57" s="120">
        <f t="shared" si="20"/>
        <v>0</v>
      </c>
      <c r="C57" s="120">
        <f t="shared" si="20"/>
        <v>0</v>
      </c>
      <c r="D57" s="120">
        <f t="shared" si="20"/>
        <v>0</v>
      </c>
      <c r="E57" s="120">
        <f t="shared" si="20"/>
        <v>0</v>
      </c>
      <c r="F57" s="120">
        <f t="shared" si="20"/>
        <v>0</v>
      </c>
      <c r="G57" s="120">
        <f t="shared" si="20"/>
        <v>0</v>
      </c>
      <c r="H57" s="120">
        <f t="shared" si="20"/>
        <v>0</v>
      </c>
      <c r="I57" s="120">
        <f t="shared" si="20"/>
        <v>0</v>
      </c>
      <c r="J57" s="120">
        <f t="shared" si="20"/>
        <v>0</v>
      </c>
      <c r="K57" s="120">
        <f t="shared" si="20"/>
        <v>0</v>
      </c>
      <c r="L57" s="120">
        <f t="shared" si="20"/>
        <v>0</v>
      </c>
      <c r="M57" s="120">
        <f t="shared" si="20"/>
        <v>0</v>
      </c>
      <c r="N57" s="161" t="s">
        <v>180</v>
      </c>
    </row>
    <row r="58" spans="1:14" ht="19.05" customHeight="1" x14ac:dyDescent="0.3">
      <c r="B58" s="120">
        <f t="shared" si="20"/>
        <v>0</v>
      </c>
      <c r="C58" s="120">
        <f t="shared" si="20"/>
        <v>0</v>
      </c>
      <c r="D58" s="120">
        <f t="shared" si="20"/>
        <v>0</v>
      </c>
      <c r="E58" s="120">
        <f t="shared" si="20"/>
        <v>0</v>
      </c>
      <c r="F58" s="120">
        <f t="shared" si="20"/>
        <v>0</v>
      </c>
      <c r="G58" s="120">
        <f t="shared" si="20"/>
        <v>0</v>
      </c>
      <c r="H58" s="120">
        <f t="shared" si="20"/>
        <v>0</v>
      </c>
      <c r="I58" s="120">
        <f t="shared" si="20"/>
        <v>0</v>
      </c>
      <c r="J58" s="120">
        <f t="shared" si="20"/>
        <v>0</v>
      </c>
      <c r="K58" s="120">
        <f t="shared" si="20"/>
        <v>0</v>
      </c>
      <c r="L58" s="120">
        <f t="shared" si="20"/>
        <v>0</v>
      </c>
      <c r="M58" s="120">
        <f t="shared" si="20"/>
        <v>0</v>
      </c>
      <c r="N58" s="161" t="s">
        <v>181</v>
      </c>
    </row>
    <row r="59" spans="1:14" ht="19.05" customHeight="1" x14ac:dyDescent="0.3">
      <c r="B59" s="120">
        <f t="shared" si="20"/>
        <v>0</v>
      </c>
      <c r="C59" s="120">
        <f t="shared" si="20"/>
        <v>0</v>
      </c>
      <c r="D59" s="120">
        <f t="shared" si="20"/>
        <v>0</v>
      </c>
      <c r="E59" s="120">
        <f t="shared" si="20"/>
        <v>0</v>
      </c>
      <c r="F59" s="120">
        <f t="shared" si="20"/>
        <v>3000</v>
      </c>
      <c r="G59" s="120">
        <f t="shared" si="20"/>
        <v>0</v>
      </c>
      <c r="H59" s="120">
        <f t="shared" si="20"/>
        <v>-3000</v>
      </c>
      <c r="I59" s="120">
        <f t="shared" si="20"/>
        <v>0</v>
      </c>
      <c r="J59" s="120">
        <f t="shared" si="20"/>
        <v>0</v>
      </c>
      <c r="K59" s="120">
        <f t="shared" si="20"/>
        <v>0</v>
      </c>
      <c r="L59" s="120">
        <f t="shared" si="20"/>
        <v>0</v>
      </c>
      <c r="M59" s="120">
        <f t="shared" si="20"/>
        <v>0</v>
      </c>
      <c r="N59" s="161" t="s">
        <v>182</v>
      </c>
    </row>
    <row r="60" spans="1:14" ht="19.05" customHeight="1" x14ac:dyDescent="0.3">
      <c r="A60" s="118" t="s">
        <v>192</v>
      </c>
      <c r="B60" s="120">
        <f t="shared" si="20"/>
        <v>0</v>
      </c>
      <c r="C60" s="120">
        <f t="shared" si="20"/>
        <v>0</v>
      </c>
      <c r="D60" s="120">
        <f t="shared" si="20"/>
        <v>0</v>
      </c>
      <c r="E60" s="120">
        <f t="shared" si="20"/>
        <v>0</v>
      </c>
      <c r="F60" s="120">
        <f t="shared" si="20"/>
        <v>0</v>
      </c>
      <c r="G60" s="120">
        <f t="shared" si="20"/>
        <v>0</v>
      </c>
      <c r="H60" s="120">
        <f t="shared" si="20"/>
        <v>0</v>
      </c>
      <c r="I60" s="120">
        <f t="shared" si="20"/>
        <v>0</v>
      </c>
      <c r="J60" s="120">
        <f t="shared" si="20"/>
        <v>0</v>
      </c>
      <c r="K60" s="120">
        <f t="shared" si="20"/>
        <v>0</v>
      </c>
      <c r="L60" s="120">
        <f t="shared" si="20"/>
        <v>0</v>
      </c>
      <c r="M60" s="120">
        <f t="shared" si="20"/>
        <v>0</v>
      </c>
      <c r="N60" s="161" t="s">
        <v>183</v>
      </c>
    </row>
    <row r="61" spans="1:14" ht="19.05" customHeight="1" x14ac:dyDescent="0.3">
      <c r="B61" s="120">
        <f t="shared" si="20"/>
        <v>0</v>
      </c>
      <c r="C61" s="120">
        <f t="shared" si="20"/>
        <v>0</v>
      </c>
      <c r="D61" s="120">
        <f t="shared" si="20"/>
        <v>0</v>
      </c>
      <c r="E61" s="120">
        <f t="shared" si="20"/>
        <v>0</v>
      </c>
      <c r="F61" s="120">
        <f t="shared" si="20"/>
        <v>-3000</v>
      </c>
      <c r="G61" s="120">
        <f t="shared" si="20"/>
        <v>0</v>
      </c>
      <c r="H61" s="120">
        <f t="shared" si="20"/>
        <v>3000</v>
      </c>
      <c r="I61" s="120">
        <f t="shared" si="20"/>
        <v>0</v>
      </c>
      <c r="J61" s="120">
        <f t="shared" si="20"/>
        <v>0</v>
      </c>
      <c r="K61" s="120">
        <f t="shared" si="20"/>
        <v>0</v>
      </c>
      <c r="L61" s="120">
        <f t="shared" si="20"/>
        <v>0</v>
      </c>
      <c r="M61" s="120">
        <f t="shared" si="20"/>
        <v>0</v>
      </c>
      <c r="N61" s="161"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61"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61"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61"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61"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61" t="s">
        <v>189</v>
      </c>
    </row>
    <row r="69" spans="1:14" ht="19.05" customHeight="1" x14ac:dyDescent="0.3">
      <c r="A69" s="118" t="s">
        <v>193</v>
      </c>
      <c r="B69" s="111" t="str">
        <f>IF(D19="","-",D19)</f>
        <v>U1X</v>
      </c>
      <c r="C69" s="111" t="str">
        <f>IF(E19="","-",E19)</f>
        <v>U1Y</v>
      </c>
      <c r="D69" s="111" t="str">
        <f>IF(G19="","-",G19)</f>
        <v>U4X</v>
      </c>
      <c r="E69" s="111" t="str">
        <f>IF(H19="","-",H19)</f>
        <v>U4Y</v>
      </c>
    </row>
    <row r="70" spans="1:14" ht="18" customHeight="1" x14ac:dyDescent="0.3">
      <c r="B70" s="122">
        <f>IF(N8=0, 0, N8*J8*J8)</f>
        <v>214.00202209088201</v>
      </c>
      <c r="C70" s="122">
        <f>IF(N8=0, 0, N8*J8*K8)</f>
        <v>-856.00808836352803</v>
      </c>
      <c r="D70" s="122">
        <f>IF(N8=0, 0, -N8*J8*J8)</f>
        <v>-214.00202209088201</v>
      </c>
      <c r="E70" s="122">
        <f>IF(N8=0, 0, -N8*J8*K8)</f>
        <v>856.00808836352803</v>
      </c>
      <c r="F70" s="111" t="str">
        <f>IF(D19="","-",D19)</f>
        <v>U1X</v>
      </c>
    </row>
    <row r="71" spans="1:14" ht="18" customHeight="1" x14ac:dyDescent="0.3">
      <c r="B71" s="122">
        <f>IF(N8=0, 0, N8*J8*K8)</f>
        <v>-856.00808836352803</v>
      </c>
      <c r="C71" s="122">
        <f>IF(N8=0, 0, N8*K8*K8)</f>
        <v>3424.0323534541121</v>
      </c>
      <c r="D71" s="122">
        <f>IF(N8=0, 0, -N8*J8*K8)</f>
        <v>856.00808836352803</v>
      </c>
      <c r="E71" s="122">
        <f>IF(N8=0, 0, -N8*K8*K8)</f>
        <v>-3424.0323534541121</v>
      </c>
      <c r="F71" s="111" t="str">
        <f>IF(E19="","-",E19)</f>
        <v>U1Y</v>
      </c>
    </row>
    <row r="72" spans="1:14" ht="18" customHeight="1" x14ac:dyDescent="0.3">
      <c r="B72" s="122">
        <f>IF(N8=0, 0, -N8*J8*J8)</f>
        <v>-214.00202209088201</v>
      </c>
      <c r="C72" s="122">
        <f>IF(N8=0, 0, -N8*J8*K8)</f>
        <v>856.00808836352803</v>
      </c>
      <c r="D72" s="122">
        <f>IF(N8=0, 0, N8*J8*J8)</f>
        <v>214.00202209088201</v>
      </c>
      <c r="E72" s="122">
        <f>IF(N8=0, 0, N8*J8*K8)</f>
        <v>-856.00808836352803</v>
      </c>
      <c r="F72" s="111" t="str">
        <f>IF(G19="","-",G19)</f>
        <v>U4X</v>
      </c>
    </row>
    <row r="73" spans="1:14" ht="18" customHeight="1" x14ac:dyDescent="0.3">
      <c r="B73" s="122">
        <f>IF(N8=0, 0, -N8*J8*K8)</f>
        <v>856.00808836352803</v>
      </c>
      <c r="C73" s="122">
        <f>IF(N8=0, 0, -N8*K8*K8)</f>
        <v>-3424.0323534541121</v>
      </c>
      <c r="D73" s="122">
        <f>IF(N8=0, 0, N8*J8*K8)</f>
        <v>-856.00808836352803</v>
      </c>
      <c r="E73" s="122">
        <f>IF(N8=0, 0, N8*K8*K8)</f>
        <v>3424.0323534541121</v>
      </c>
      <c r="F73" s="111" t="str">
        <f>IF(H19="","-",H19)</f>
        <v>U4Y</v>
      </c>
    </row>
    <row r="75" spans="1:14" ht="19.05" customHeight="1" x14ac:dyDescent="0.3">
      <c r="B75" s="162" t="s">
        <v>178</v>
      </c>
      <c r="C75" s="162" t="s">
        <v>179</v>
      </c>
      <c r="D75" s="162" t="s">
        <v>180</v>
      </c>
      <c r="E75" s="162" t="s">
        <v>181</v>
      </c>
      <c r="F75" s="162" t="s">
        <v>182</v>
      </c>
      <c r="G75" s="162" t="s">
        <v>183</v>
      </c>
      <c r="H75" s="162" t="s">
        <v>184</v>
      </c>
      <c r="I75" s="162" t="s">
        <v>185</v>
      </c>
      <c r="J75" s="162" t="s">
        <v>186</v>
      </c>
      <c r="K75" s="162" t="s">
        <v>187</v>
      </c>
      <c r="L75" s="162" t="s">
        <v>188</v>
      </c>
      <c r="M75" s="162" t="s">
        <v>189</v>
      </c>
    </row>
    <row r="76" spans="1:14" ht="19.05" customHeight="1" x14ac:dyDescent="0.3">
      <c r="B76" s="120">
        <f t="shared" ref="B76:M87" si="21">IFERROR(INDEX($B$70:$E$73, MATCH($N76, $B$69:$E$69, 0), MATCH(B$75, $B$69:$E$69, 0)), 0)</f>
        <v>214.00202209088201</v>
      </c>
      <c r="C76" s="120">
        <f t="shared" si="21"/>
        <v>-856.00808836352803</v>
      </c>
      <c r="D76" s="120">
        <f t="shared" si="21"/>
        <v>0</v>
      </c>
      <c r="E76" s="120">
        <f t="shared" si="21"/>
        <v>0</v>
      </c>
      <c r="F76" s="120">
        <f t="shared" si="21"/>
        <v>0</v>
      </c>
      <c r="G76" s="120">
        <f t="shared" si="21"/>
        <v>0</v>
      </c>
      <c r="H76" s="120">
        <f t="shared" si="21"/>
        <v>-214.00202209088201</v>
      </c>
      <c r="I76" s="120">
        <f t="shared" si="21"/>
        <v>856.00808836352803</v>
      </c>
      <c r="J76" s="120">
        <f t="shared" si="21"/>
        <v>0</v>
      </c>
      <c r="K76" s="120">
        <f t="shared" si="21"/>
        <v>0</v>
      </c>
      <c r="L76" s="120">
        <f t="shared" si="21"/>
        <v>0</v>
      </c>
      <c r="M76" s="120">
        <f t="shared" si="21"/>
        <v>0</v>
      </c>
      <c r="N76" s="111" t="s">
        <v>178</v>
      </c>
    </row>
    <row r="77" spans="1:14" ht="19.05" customHeight="1" x14ac:dyDescent="0.3">
      <c r="B77" s="120">
        <f t="shared" si="21"/>
        <v>-856.00808836352803</v>
      </c>
      <c r="C77" s="120">
        <f t="shared" si="21"/>
        <v>3424.0323534541121</v>
      </c>
      <c r="D77" s="120">
        <f t="shared" si="21"/>
        <v>0</v>
      </c>
      <c r="E77" s="120">
        <f t="shared" si="21"/>
        <v>0</v>
      </c>
      <c r="F77" s="120">
        <f t="shared" si="21"/>
        <v>0</v>
      </c>
      <c r="G77" s="120">
        <f t="shared" si="21"/>
        <v>0</v>
      </c>
      <c r="H77" s="120">
        <f t="shared" si="21"/>
        <v>856.00808836352803</v>
      </c>
      <c r="I77" s="120">
        <f t="shared" si="21"/>
        <v>-3424.0323534541121</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0</v>
      </c>
      <c r="E78" s="120">
        <f t="shared" si="21"/>
        <v>0</v>
      </c>
      <c r="F78" s="120">
        <f t="shared" si="21"/>
        <v>0</v>
      </c>
      <c r="G78" s="120">
        <f t="shared" si="21"/>
        <v>0</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0</v>
      </c>
      <c r="E79" s="120">
        <f t="shared" si="21"/>
        <v>0</v>
      </c>
      <c r="F79" s="120">
        <f t="shared" si="21"/>
        <v>0</v>
      </c>
      <c r="G79" s="120">
        <f t="shared" si="21"/>
        <v>0</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0</v>
      </c>
      <c r="E80" s="120">
        <f t="shared" si="21"/>
        <v>0</v>
      </c>
      <c r="F80" s="120">
        <f t="shared" si="21"/>
        <v>0</v>
      </c>
      <c r="G80" s="120">
        <f t="shared" si="21"/>
        <v>0</v>
      </c>
      <c r="H80" s="120">
        <f t="shared" si="21"/>
        <v>0</v>
      </c>
      <c r="I80" s="120">
        <f t="shared" si="21"/>
        <v>0</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0</v>
      </c>
      <c r="E81" s="120">
        <f t="shared" si="21"/>
        <v>0</v>
      </c>
      <c r="F81" s="120">
        <f t="shared" si="21"/>
        <v>0</v>
      </c>
      <c r="G81" s="120">
        <f t="shared" si="21"/>
        <v>0</v>
      </c>
      <c r="H81" s="120">
        <f t="shared" si="21"/>
        <v>0</v>
      </c>
      <c r="I81" s="120">
        <f t="shared" si="21"/>
        <v>0</v>
      </c>
      <c r="J81" s="120">
        <f t="shared" si="21"/>
        <v>0</v>
      </c>
      <c r="K81" s="120">
        <f t="shared" si="21"/>
        <v>0</v>
      </c>
      <c r="L81" s="120">
        <f t="shared" si="21"/>
        <v>0</v>
      </c>
      <c r="M81" s="120">
        <f t="shared" si="21"/>
        <v>0</v>
      </c>
      <c r="N81" s="111" t="s">
        <v>183</v>
      </c>
    </row>
    <row r="82" spans="1:14" ht="19.05" customHeight="1" x14ac:dyDescent="0.3">
      <c r="B82" s="120">
        <f t="shared" si="21"/>
        <v>-214.00202209088201</v>
      </c>
      <c r="C82" s="120">
        <f t="shared" si="21"/>
        <v>856.00808836352803</v>
      </c>
      <c r="D82" s="120">
        <f t="shared" si="21"/>
        <v>0</v>
      </c>
      <c r="E82" s="120">
        <f t="shared" si="21"/>
        <v>0</v>
      </c>
      <c r="F82" s="120">
        <f t="shared" si="21"/>
        <v>0</v>
      </c>
      <c r="G82" s="120">
        <f t="shared" si="21"/>
        <v>0</v>
      </c>
      <c r="H82" s="120">
        <f t="shared" si="21"/>
        <v>214.00202209088201</v>
      </c>
      <c r="I82" s="120">
        <f t="shared" si="21"/>
        <v>-856.00808836352803</v>
      </c>
      <c r="J82" s="120">
        <f t="shared" si="21"/>
        <v>0</v>
      </c>
      <c r="K82" s="120">
        <f t="shared" si="21"/>
        <v>0</v>
      </c>
      <c r="L82" s="120">
        <f t="shared" si="21"/>
        <v>0</v>
      </c>
      <c r="M82" s="120">
        <f t="shared" si="21"/>
        <v>0</v>
      </c>
      <c r="N82" s="111" t="s">
        <v>184</v>
      </c>
    </row>
    <row r="83" spans="1:14" ht="19.05" customHeight="1" x14ac:dyDescent="0.3">
      <c r="B83" s="120">
        <f t="shared" si="21"/>
        <v>856.00808836352803</v>
      </c>
      <c r="C83" s="120">
        <f t="shared" si="21"/>
        <v>-3424.0323534541121</v>
      </c>
      <c r="D83" s="120">
        <f t="shared" si="21"/>
        <v>0</v>
      </c>
      <c r="E83" s="120">
        <f t="shared" si="21"/>
        <v>0</v>
      </c>
      <c r="F83" s="120">
        <f t="shared" si="21"/>
        <v>0</v>
      </c>
      <c r="G83" s="120">
        <f t="shared" si="21"/>
        <v>0</v>
      </c>
      <c r="H83" s="120">
        <f t="shared" si="21"/>
        <v>-856.00808836352803</v>
      </c>
      <c r="I83" s="120">
        <f t="shared" si="21"/>
        <v>3424.0323534541121</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U2X</v>
      </c>
      <c r="C90" s="112" t="str">
        <f>IF(E20="","-",E20)</f>
        <v>U2Y</v>
      </c>
      <c r="D90" s="112" t="str">
        <f>IF(G20="","-",G20)</f>
        <v>U4X</v>
      </c>
      <c r="E90" s="112" t="str">
        <f>IF(H20="","-",H20)</f>
        <v>U4Y</v>
      </c>
    </row>
    <row r="91" spans="1:14" ht="18" customHeight="1" x14ac:dyDescent="0.3">
      <c r="B91" s="123">
        <f>IF(N9=0, 0, N9*J9*J9)</f>
        <v>1920</v>
      </c>
      <c r="C91" s="123">
        <f>IF(N9=0, 0, N9*J9*K9)</f>
        <v>-1440</v>
      </c>
      <c r="D91" s="123">
        <f>IF(N9=0, 0, -N9*J9*J9)</f>
        <v>-1920</v>
      </c>
      <c r="E91" s="123">
        <f>IF(N9=0, 0, -N9*J9*K9)</f>
        <v>1440</v>
      </c>
      <c r="F91" s="112" t="str">
        <f>IF(D20="","-",D20)</f>
        <v>U2X</v>
      </c>
    </row>
    <row r="92" spans="1:14" ht="18" customHeight="1" x14ac:dyDescent="0.3">
      <c r="B92" s="123">
        <f>IF(N9=0, 0, N9*J9*K9)</f>
        <v>-1440</v>
      </c>
      <c r="C92" s="123">
        <f>IF(N9=0, 0, N9*K9*K9)</f>
        <v>1080</v>
      </c>
      <c r="D92" s="123">
        <f>IF(N9=0, 0, -N9*J9*K9)</f>
        <v>1440</v>
      </c>
      <c r="E92" s="123">
        <f>IF(N9=0, 0, -N9*K9*K9)</f>
        <v>-1080</v>
      </c>
      <c r="F92" s="112" t="str">
        <f>IF(E20="","-",E20)</f>
        <v>U2Y</v>
      </c>
    </row>
    <row r="93" spans="1:14" ht="18" customHeight="1" x14ac:dyDescent="0.3">
      <c r="B93" s="123">
        <f>IF(N9=0, 0, -N9*J9*J9)</f>
        <v>-1920</v>
      </c>
      <c r="C93" s="123">
        <f>IF(N9=0, 0, -N9*J9*K9)</f>
        <v>1440</v>
      </c>
      <c r="D93" s="123">
        <f>IF(N9=0, 0, N9*J9*J9)</f>
        <v>1920</v>
      </c>
      <c r="E93" s="123">
        <f>IF(N9=0, 0, N9*J9*K9)</f>
        <v>-1440</v>
      </c>
      <c r="F93" s="112" t="str">
        <f>IF(G20="","-",G20)</f>
        <v>U4X</v>
      </c>
    </row>
    <row r="94" spans="1:14" ht="18" customHeight="1" x14ac:dyDescent="0.3">
      <c r="B94" s="123">
        <f>IF(N9=0, 0, -N9*J9*K9)</f>
        <v>1440</v>
      </c>
      <c r="C94" s="123">
        <f>IF(N9=0, 0, -N9*K9*K9)</f>
        <v>-1080</v>
      </c>
      <c r="D94" s="123">
        <f>IF(N9=0, 0, N9*J9*K9)</f>
        <v>-1440</v>
      </c>
      <c r="E94" s="123">
        <f>IF(N9=0, 0, N9*K9*K9)</f>
        <v>1080</v>
      </c>
      <c r="F94" s="112" t="str">
        <f>IF(H20="","-",H20)</f>
        <v>U4Y</v>
      </c>
    </row>
    <row r="96" spans="1:14" ht="19.05" customHeight="1" x14ac:dyDescent="0.3">
      <c r="B96" s="162" t="s">
        <v>178</v>
      </c>
      <c r="C96" s="162" t="s">
        <v>179</v>
      </c>
      <c r="D96" s="162" t="s">
        <v>180</v>
      </c>
      <c r="E96" s="162" t="s">
        <v>181</v>
      </c>
      <c r="F96" s="162" t="s">
        <v>182</v>
      </c>
      <c r="G96" s="162" t="s">
        <v>183</v>
      </c>
      <c r="H96" s="162" t="s">
        <v>184</v>
      </c>
      <c r="I96" s="162" t="s">
        <v>185</v>
      </c>
      <c r="J96" s="162" t="s">
        <v>186</v>
      </c>
      <c r="K96" s="162" t="s">
        <v>187</v>
      </c>
      <c r="L96" s="162" t="s">
        <v>188</v>
      </c>
      <c r="M96" s="162" t="s">
        <v>189</v>
      </c>
    </row>
    <row r="97" spans="1:14" ht="19.05" customHeight="1" x14ac:dyDescent="0.3">
      <c r="B97" s="120">
        <f t="shared" ref="B97:M108" si="22">IFERROR(INDEX($B$91:$E$94, MATCH($N97, $B$90:$E$90, 0), MATCH(B$96, $B$90:$E$90, 0)), 0)</f>
        <v>0</v>
      </c>
      <c r="C97" s="120">
        <f t="shared" si="22"/>
        <v>0</v>
      </c>
      <c r="D97" s="120">
        <f t="shared" si="22"/>
        <v>0</v>
      </c>
      <c r="E97" s="120">
        <f t="shared" si="22"/>
        <v>0</v>
      </c>
      <c r="F97" s="120">
        <f t="shared" si="22"/>
        <v>0</v>
      </c>
      <c r="G97" s="120">
        <f t="shared" si="22"/>
        <v>0</v>
      </c>
      <c r="H97" s="120">
        <f t="shared" si="22"/>
        <v>0</v>
      </c>
      <c r="I97" s="120">
        <f t="shared" si="22"/>
        <v>0</v>
      </c>
      <c r="J97" s="120">
        <f t="shared" si="22"/>
        <v>0</v>
      </c>
      <c r="K97" s="120">
        <f t="shared" si="22"/>
        <v>0</v>
      </c>
      <c r="L97" s="120">
        <f t="shared" si="22"/>
        <v>0</v>
      </c>
      <c r="M97" s="120">
        <f t="shared" si="22"/>
        <v>0</v>
      </c>
      <c r="N97" s="112" t="s">
        <v>178</v>
      </c>
    </row>
    <row r="98" spans="1:14" ht="19.05" customHeight="1" x14ac:dyDescent="0.3">
      <c r="B98" s="120">
        <f t="shared" si="22"/>
        <v>0</v>
      </c>
      <c r="C98" s="120">
        <f t="shared" si="22"/>
        <v>0</v>
      </c>
      <c r="D98" s="120">
        <f t="shared" si="22"/>
        <v>0</v>
      </c>
      <c r="E98" s="120">
        <f t="shared" si="22"/>
        <v>0</v>
      </c>
      <c r="F98" s="120">
        <f t="shared" si="22"/>
        <v>0</v>
      </c>
      <c r="G98" s="120">
        <f t="shared" si="22"/>
        <v>0</v>
      </c>
      <c r="H98" s="120">
        <f t="shared" si="22"/>
        <v>0</v>
      </c>
      <c r="I98" s="120">
        <f t="shared" si="22"/>
        <v>0</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1920</v>
      </c>
      <c r="E99" s="120">
        <f t="shared" si="22"/>
        <v>-1440</v>
      </c>
      <c r="F99" s="120">
        <f t="shared" si="22"/>
        <v>0</v>
      </c>
      <c r="G99" s="120">
        <f t="shared" si="22"/>
        <v>0</v>
      </c>
      <c r="H99" s="120">
        <f t="shared" si="22"/>
        <v>-1920</v>
      </c>
      <c r="I99" s="120">
        <f t="shared" si="22"/>
        <v>1440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-1440</v>
      </c>
      <c r="E100" s="120">
        <f t="shared" si="22"/>
        <v>1080</v>
      </c>
      <c r="F100" s="120">
        <f t="shared" si="22"/>
        <v>0</v>
      </c>
      <c r="G100" s="120">
        <f t="shared" si="22"/>
        <v>0</v>
      </c>
      <c r="H100" s="120">
        <f t="shared" si="22"/>
        <v>1440</v>
      </c>
      <c r="I100" s="120">
        <f t="shared" si="22"/>
        <v>-1080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0</v>
      </c>
      <c r="G101" s="120">
        <f t="shared" si="22"/>
        <v>0</v>
      </c>
      <c r="H101" s="120">
        <f t="shared" si="22"/>
        <v>0</v>
      </c>
      <c r="I101" s="120">
        <f t="shared" si="22"/>
        <v>0</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0</v>
      </c>
      <c r="G102" s="120">
        <f t="shared" si="22"/>
        <v>0</v>
      </c>
      <c r="H102" s="120">
        <f t="shared" si="22"/>
        <v>0</v>
      </c>
      <c r="I102" s="120">
        <f t="shared" si="22"/>
        <v>0</v>
      </c>
      <c r="J102" s="120">
        <f t="shared" si="22"/>
        <v>0</v>
      </c>
      <c r="K102" s="120">
        <f t="shared" si="22"/>
        <v>0</v>
      </c>
      <c r="L102" s="120">
        <f t="shared" si="22"/>
        <v>0</v>
      </c>
      <c r="M102" s="120">
        <f t="shared" si="22"/>
        <v>0</v>
      </c>
      <c r="N102" s="112" t="s">
        <v>183</v>
      </c>
    </row>
    <row r="103" spans="1:14" ht="19.05" customHeight="1" x14ac:dyDescent="0.3">
      <c r="B103" s="120">
        <f t="shared" si="22"/>
        <v>0</v>
      </c>
      <c r="C103" s="120">
        <f t="shared" si="22"/>
        <v>0</v>
      </c>
      <c r="D103" s="120">
        <f t="shared" si="22"/>
        <v>-1920</v>
      </c>
      <c r="E103" s="120">
        <f t="shared" si="22"/>
        <v>1440</v>
      </c>
      <c r="F103" s="120">
        <f t="shared" si="22"/>
        <v>0</v>
      </c>
      <c r="G103" s="120">
        <f t="shared" si="22"/>
        <v>0</v>
      </c>
      <c r="H103" s="120">
        <f t="shared" si="22"/>
        <v>1920</v>
      </c>
      <c r="I103" s="120">
        <f t="shared" si="22"/>
        <v>-1440</v>
      </c>
      <c r="J103" s="120">
        <f t="shared" si="22"/>
        <v>0</v>
      </c>
      <c r="K103" s="120">
        <f t="shared" si="22"/>
        <v>0</v>
      </c>
      <c r="L103" s="120">
        <f t="shared" si="22"/>
        <v>0</v>
      </c>
      <c r="M103" s="120">
        <f t="shared" si="22"/>
        <v>0</v>
      </c>
      <c r="N103" s="112" t="s">
        <v>184</v>
      </c>
    </row>
    <row r="104" spans="1:14" ht="19.05" customHeight="1" x14ac:dyDescent="0.3">
      <c r="B104" s="120">
        <f t="shared" si="22"/>
        <v>0</v>
      </c>
      <c r="C104" s="120">
        <f t="shared" si="22"/>
        <v>0</v>
      </c>
      <c r="D104" s="120">
        <f t="shared" si="22"/>
        <v>1440</v>
      </c>
      <c r="E104" s="120">
        <f t="shared" si="22"/>
        <v>-1080</v>
      </c>
      <c r="F104" s="120">
        <f t="shared" si="22"/>
        <v>0</v>
      </c>
      <c r="G104" s="120">
        <f t="shared" si="22"/>
        <v>0</v>
      </c>
      <c r="H104" s="120">
        <f t="shared" si="22"/>
        <v>-1440</v>
      </c>
      <c r="I104" s="120">
        <f t="shared" si="22"/>
        <v>1080</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U2X</v>
      </c>
      <c r="C111" s="113" t="str">
        <f>IF(E21="","-",E21)</f>
        <v>U2Y</v>
      </c>
      <c r="D111" s="113" t="str">
        <f>IF(G21="","-",G21)</f>
        <v>U1X</v>
      </c>
      <c r="E111" s="113" t="str">
        <f>IF(H21="","-",H21)</f>
        <v>U1Y</v>
      </c>
    </row>
    <row r="112" spans="1:14" ht="18" customHeight="1" x14ac:dyDescent="0.3">
      <c r="B112" s="124">
        <f>IF(N10=0, 0, N10*J10*J10)</f>
        <v>4269.0748412273124</v>
      </c>
      <c r="C112" s="124">
        <f>IF(N10=0, 0, N10*J10*K10)</f>
        <v>1423.0249470757706</v>
      </c>
      <c r="D112" s="124">
        <f>IF(N10=0, 0, -N10*J10*J10)</f>
        <v>-4269.0748412273124</v>
      </c>
      <c r="E112" s="124">
        <f>IF(N10=0, 0, -N10*J10*K10)</f>
        <v>-1423.0249470757706</v>
      </c>
      <c r="F112" s="113" t="str">
        <f>IF(D21="","-",D21)</f>
        <v>U2X</v>
      </c>
    </row>
    <row r="113" spans="1:14" ht="18" customHeight="1" x14ac:dyDescent="0.3">
      <c r="B113" s="124">
        <f>IF(N10=0, 0, N10*J10*K10)</f>
        <v>1423.0249470757706</v>
      </c>
      <c r="C113" s="124">
        <f>IF(N10=0, 0, N10*K10*K10)</f>
        <v>474.34164902525674</v>
      </c>
      <c r="D113" s="124">
        <f>IF(N10=0, 0, -N10*J10*K10)</f>
        <v>-1423.0249470757706</v>
      </c>
      <c r="E113" s="124">
        <f>IF(N10=0, 0, -N10*K10*K10)</f>
        <v>-474.34164902525674</v>
      </c>
      <c r="F113" s="113" t="str">
        <f>IF(E21="","-",E21)</f>
        <v>U2Y</v>
      </c>
    </row>
    <row r="114" spans="1:14" ht="18" customHeight="1" x14ac:dyDescent="0.3">
      <c r="B114" s="124">
        <f>IF(N10=0, 0, -N10*J10*J10)</f>
        <v>-4269.0748412273124</v>
      </c>
      <c r="C114" s="124">
        <f>IF(N10=0, 0, -N10*J10*K10)</f>
        <v>-1423.0249470757706</v>
      </c>
      <c r="D114" s="124">
        <f>IF(N10=0, 0, N10*J10*J10)</f>
        <v>4269.0748412273124</v>
      </c>
      <c r="E114" s="124">
        <f>IF(N10=0, 0, N10*J10*K10)</f>
        <v>1423.0249470757706</v>
      </c>
      <c r="F114" s="113" t="str">
        <f>IF(G21="","-",G21)</f>
        <v>U1X</v>
      </c>
    </row>
    <row r="115" spans="1:14" ht="18" customHeight="1" x14ac:dyDescent="0.3">
      <c r="B115" s="124">
        <f>IF(N10=0, 0, -N10*J10*K10)</f>
        <v>-1423.0249470757706</v>
      </c>
      <c r="C115" s="124">
        <f>IF(N10=0, 0, -N10*K10*K10)</f>
        <v>-474.34164902525674</v>
      </c>
      <c r="D115" s="124">
        <f>IF(N10=0, 0, N10*J10*K10)</f>
        <v>1423.0249470757706</v>
      </c>
      <c r="E115" s="124">
        <f>IF(N10=0, 0, N10*K10*K10)</f>
        <v>474.34164902525674</v>
      </c>
      <c r="F115" s="113" t="str">
        <f>IF(H21="","-",H21)</f>
        <v>U1Y</v>
      </c>
    </row>
    <row r="117" spans="1:14" ht="19.05" customHeight="1" x14ac:dyDescent="0.3">
      <c r="B117" s="162" t="s">
        <v>178</v>
      </c>
      <c r="C117" s="162" t="s">
        <v>179</v>
      </c>
      <c r="D117" s="162" t="s">
        <v>180</v>
      </c>
      <c r="E117" s="162" t="s">
        <v>181</v>
      </c>
      <c r="F117" s="162" t="s">
        <v>182</v>
      </c>
      <c r="G117" s="162" t="s">
        <v>183</v>
      </c>
      <c r="H117" s="162" t="s">
        <v>184</v>
      </c>
      <c r="I117" s="162" t="s">
        <v>185</v>
      </c>
      <c r="J117" s="162" t="s">
        <v>186</v>
      </c>
      <c r="K117" s="162" t="s">
        <v>187</v>
      </c>
      <c r="L117" s="162" t="s">
        <v>188</v>
      </c>
      <c r="M117" s="162" t="s">
        <v>189</v>
      </c>
    </row>
    <row r="118" spans="1:14" ht="19.05" customHeight="1" x14ac:dyDescent="0.3">
      <c r="B118" s="120">
        <f t="shared" ref="B118:M129" si="23">IFERROR(INDEX($B$112:$E$115, MATCH($N118, $B$111:$E$111, 0), MATCH(B$117, $B$111:$E$111, 0)), 0)</f>
        <v>4269.0748412273124</v>
      </c>
      <c r="C118" s="120">
        <f t="shared" si="23"/>
        <v>1423.0249470757706</v>
      </c>
      <c r="D118" s="120">
        <f t="shared" si="23"/>
        <v>-4269.0748412273124</v>
      </c>
      <c r="E118" s="120">
        <f t="shared" si="23"/>
        <v>-1423.0249470757706</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1423.0249470757706</v>
      </c>
      <c r="C119" s="120">
        <f t="shared" si="23"/>
        <v>474.34164902525674</v>
      </c>
      <c r="D119" s="120">
        <f t="shared" si="23"/>
        <v>-1423.0249470757706</v>
      </c>
      <c r="E119" s="120">
        <f t="shared" si="23"/>
        <v>-474.34164902525674</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-4269.0748412273124</v>
      </c>
      <c r="C120" s="120">
        <f t="shared" si="23"/>
        <v>-1423.0249470757706</v>
      </c>
      <c r="D120" s="120">
        <f t="shared" si="23"/>
        <v>4269.0748412273124</v>
      </c>
      <c r="E120" s="120">
        <f t="shared" si="23"/>
        <v>1423.0249470757706</v>
      </c>
      <c r="F120" s="120">
        <f t="shared" si="23"/>
        <v>0</v>
      </c>
      <c r="G120" s="120">
        <f t="shared" si="23"/>
        <v>0</v>
      </c>
      <c r="H120" s="120">
        <f t="shared" si="23"/>
        <v>0</v>
      </c>
      <c r="I120" s="120">
        <f t="shared" si="23"/>
        <v>0</v>
      </c>
      <c r="J120" s="120">
        <f t="shared" si="23"/>
        <v>0</v>
      </c>
      <c r="K120" s="120">
        <f t="shared" si="23"/>
        <v>0</v>
      </c>
      <c r="L120" s="120">
        <f t="shared" si="23"/>
        <v>0</v>
      </c>
      <c r="M120" s="120">
        <f t="shared" si="23"/>
        <v>0</v>
      </c>
      <c r="N120" s="113" t="s">
        <v>180</v>
      </c>
    </row>
    <row r="121" spans="1:14" ht="19.05" customHeight="1" x14ac:dyDescent="0.3">
      <c r="B121" s="120">
        <f t="shared" si="23"/>
        <v>-1423.0249470757706</v>
      </c>
      <c r="C121" s="120">
        <f t="shared" si="23"/>
        <v>-474.34164902525674</v>
      </c>
      <c r="D121" s="120">
        <f t="shared" si="23"/>
        <v>1423.0249470757706</v>
      </c>
      <c r="E121" s="120">
        <f t="shared" si="23"/>
        <v>474.34164902525674</v>
      </c>
      <c r="F121" s="120">
        <f t="shared" si="23"/>
        <v>0</v>
      </c>
      <c r="G121" s="120">
        <f t="shared" si="23"/>
        <v>0</v>
      </c>
      <c r="H121" s="120">
        <f t="shared" si="23"/>
        <v>0</v>
      </c>
      <c r="I121" s="120">
        <f t="shared" si="23"/>
        <v>0</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0</v>
      </c>
      <c r="E124" s="120">
        <f t="shared" si="23"/>
        <v>0</v>
      </c>
      <c r="F124" s="120">
        <f t="shared" si="23"/>
        <v>0</v>
      </c>
      <c r="G124" s="120">
        <f t="shared" si="23"/>
        <v>0</v>
      </c>
      <c r="H124" s="120">
        <f t="shared" si="23"/>
        <v>0</v>
      </c>
      <c r="I124" s="120">
        <f t="shared" si="23"/>
        <v>0</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0</v>
      </c>
      <c r="E125" s="120">
        <f t="shared" si="23"/>
        <v>0</v>
      </c>
      <c r="F125" s="120">
        <f t="shared" si="23"/>
        <v>0</v>
      </c>
      <c r="G125" s="120">
        <f t="shared" si="23"/>
        <v>0</v>
      </c>
      <c r="H125" s="120">
        <f t="shared" si="23"/>
        <v>0</v>
      </c>
      <c r="I125" s="120">
        <f t="shared" si="23"/>
        <v>0</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62" t="s">
        <v>178</v>
      </c>
      <c r="C138" s="162" t="s">
        <v>179</v>
      </c>
      <c r="D138" s="162" t="s">
        <v>180</v>
      </c>
      <c r="E138" s="162" t="s">
        <v>181</v>
      </c>
      <c r="F138" s="162" t="s">
        <v>182</v>
      </c>
      <c r="G138" s="162" t="s">
        <v>183</v>
      </c>
      <c r="H138" s="162" t="s">
        <v>184</v>
      </c>
      <c r="I138" s="162" t="s">
        <v>185</v>
      </c>
      <c r="J138" s="162" t="s">
        <v>186</v>
      </c>
      <c r="K138" s="162" t="s">
        <v>187</v>
      </c>
      <c r="L138" s="162" t="s">
        <v>188</v>
      </c>
      <c r="M138" s="162"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62" t="s">
        <v>178</v>
      </c>
      <c r="C159" s="162" t="s">
        <v>179</v>
      </c>
      <c r="D159" s="162" t="s">
        <v>180</v>
      </c>
      <c r="E159" s="162" t="s">
        <v>181</v>
      </c>
      <c r="F159" s="162" t="s">
        <v>182</v>
      </c>
      <c r="G159" s="162" t="s">
        <v>183</v>
      </c>
      <c r="H159" s="162" t="s">
        <v>184</v>
      </c>
      <c r="I159" s="162" t="s">
        <v>185</v>
      </c>
      <c r="J159" s="162" t="s">
        <v>186</v>
      </c>
      <c r="K159" s="162" t="s">
        <v>187</v>
      </c>
      <c r="L159" s="162" t="s">
        <v>188</v>
      </c>
      <c r="M159" s="162"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62" t="s">
        <v>178</v>
      </c>
      <c r="C180" s="162" t="s">
        <v>179</v>
      </c>
      <c r="D180" s="162" t="s">
        <v>180</v>
      </c>
      <c r="E180" s="162" t="s">
        <v>181</v>
      </c>
      <c r="F180" s="162" t="s">
        <v>182</v>
      </c>
      <c r="G180" s="162" t="s">
        <v>183</v>
      </c>
      <c r="H180" s="162" t="s">
        <v>184</v>
      </c>
      <c r="I180" s="162" t="s">
        <v>185</v>
      </c>
      <c r="J180" s="162" t="s">
        <v>186</v>
      </c>
      <c r="K180" s="162" t="s">
        <v>187</v>
      </c>
      <c r="L180" s="162" t="s">
        <v>188</v>
      </c>
      <c r="M180" s="162"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thickBot="1" x14ac:dyDescent="0.35">
      <c r="B195" s="153" t="s">
        <v>178</v>
      </c>
      <c r="C195" s="162" t="s">
        <v>179</v>
      </c>
      <c r="D195" s="162" t="s">
        <v>180</v>
      </c>
      <c r="E195" s="162" t="s">
        <v>181</v>
      </c>
      <c r="F195" s="162" t="s">
        <v>182</v>
      </c>
      <c r="G195" s="162" t="s">
        <v>183</v>
      </c>
      <c r="H195" s="162" t="s">
        <v>184</v>
      </c>
      <c r="I195" s="162" t="s">
        <v>185</v>
      </c>
      <c r="J195" s="162" t="s">
        <v>186</v>
      </c>
      <c r="K195" s="162" t="s">
        <v>187</v>
      </c>
      <c r="L195" s="162" t="s">
        <v>188</v>
      </c>
      <c r="M195" s="162" t="s">
        <v>189</v>
      </c>
    </row>
    <row r="196" spans="1:14" ht="19.95" customHeight="1" thickBot="1" x14ac:dyDescent="0.35">
      <c r="B196" s="158">
        <f t="shared" ref="B196:M207" si="27">B34+B55+B76+B97+B118+B139+B160+B181</f>
        <v>4483.0768633181942</v>
      </c>
      <c r="C196" s="154">
        <f t="shared" si="27"/>
        <v>567.01685871224254</v>
      </c>
      <c r="D196" s="120">
        <f t="shared" si="27"/>
        <v>-4269.0748412273124</v>
      </c>
      <c r="E196" s="120">
        <f t="shared" si="27"/>
        <v>-1423.0249470757706</v>
      </c>
      <c r="F196" s="120">
        <f t="shared" si="27"/>
        <v>0</v>
      </c>
      <c r="G196" s="120">
        <f t="shared" si="27"/>
        <v>0</v>
      </c>
      <c r="H196" s="120">
        <f t="shared" si="27"/>
        <v>-214.00202209088201</v>
      </c>
      <c r="I196" s="120">
        <f t="shared" si="27"/>
        <v>856.00808836352803</v>
      </c>
      <c r="J196" s="120">
        <f t="shared" si="27"/>
        <v>0</v>
      </c>
      <c r="K196" s="120">
        <f t="shared" si="27"/>
        <v>0</v>
      </c>
      <c r="L196" s="120">
        <f t="shared" si="27"/>
        <v>0</v>
      </c>
      <c r="M196" s="120">
        <f t="shared" si="27"/>
        <v>0</v>
      </c>
      <c r="N196" s="130" t="s">
        <v>178</v>
      </c>
    </row>
    <row r="197" spans="1:14" ht="19.95" customHeight="1" thickBot="1" x14ac:dyDescent="0.35">
      <c r="B197" s="156">
        <f t="shared" si="27"/>
        <v>567.01685871224254</v>
      </c>
      <c r="C197" s="158">
        <f t="shared" si="27"/>
        <v>3898.3740024793688</v>
      </c>
      <c r="D197" s="155">
        <f t="shared" si="27"/>
        <v>-1423.0249470757706</v>
      </c>
      <c r="E197" s="120">
        <f t="shared" si="27"/>
        <v>-474.34164902525674</v>
      </c>
      <c r="F197" s="120">
        <f t="shared" si="27"/>
        <v>0</v>
      </c>
      <c r="G197" s="120">
        <f t="shared" si="27"/>
        <v>0</v>
      </c>
      <c r="H197" s="120">
        <f t="shared" si="27"/>
        <v>856.00808836352803</v>
      </c>
      <c r="I197" s="120">
        <f t="shared" si="27"/>
        <v>-3424.0323534541121</v>
      </c>
      <c r="J197" s="120">
        <f t="shared" si="27"/>
        <v>0</v>
      </c>
      <c r="K197" s="120">
        <f t="shared" si="27"/>
        <v>0</v>
      </c>
      <c r="L197" s="120">
        <f t="shared" si="27"/>
        <v>0</v>
      </c>
      <c r="M197" s="120">
        <f t="shared" si="27"/>
        <v>0</v>
      </c>
      <c r="N197" s="130" t="s">
        <v>179</v>
      </c>
    </row>
    <row r="198" spans="1:14" ht="19.95" customHeight="1" thickBot="1" x14ac:dyDescent="0.35">
      <c r="B198" s="120">
        <f t="shared" si="27"/>
        <v>-4269.0748412273124</v>
      </c>
      <c r="C198" s="157">
        <f t="shared" si="27"/>
        <v>-1423.0249470757706</v>
      </c>
      <c r="D198" s="158">
        <f t="shared" si="27"/>
        <v>6663.416490252569</v>
      </c>
      <c r="E198" s="154">
        <f t="shared" si="27"/>
        <v>1406.0498941515409</v>
      </c>
      <c r="F198" s="120">
        <f t="shared" si="27"/>
        <v>-474.34164902525674</v>
      </c>
      <c r="G198" s="120">
        <f t="shared" si="27"/>
        <v>-1423.0249470757703</v>
      </c>
      <c r="H198" s="120">
        <f t="shared" si="27"/>
        <v>-1920</v>
      </c>
      <c r="I198" s="120">
        <f t="shared" si="27"/>
        <v>1440</v>
      </c>
      <c r="J198" s="120">
        <f t="shared" si="27"/>
        <v>0</v>
      </c>
      <c r="K198" s="120">
        <f t="shared" si="27"/>
        <v>0</v>
      </c>
      <c r="L198" s="120">
        <f t="shared" si="27"/>
        <v>0</v>
      </c>
      <c r="M198" s="120">
        <f t="shared" si="27"/>
        <v>0</v>
      </c>
      <c r="N198" s="130" t="s">
        <v>180</v>
      </c>
    </row>
    <row r="199" spans="1:14" ht="19.95" customHeight="1" thickBot="1" x14ac:dyDescent="0.35">
      <c r="B199" s="120">
        <f t="shared" si="27"/>
        <v>-1423.0249470757706</v>
      </c>
      <c r="C199" s="120">
        <f t="shared" si="27"/>
        <v>-474.34164902525674</v>
      </c>
      <c r="D199" s="156">
        <f t="shared" si="27"/>
        <v>1406.0498941515409</v>
      </c>
      <c r="E199" s="158">
        <f t="shared" si="27"/>
        <v>5823.416490252569</v>
      </c>
      <c r="F199" s="155">
        <f t="shared" si="27"/>
        <v>-1423.0249470757703</v>
      </c>
      <c r="G199" s="120">
        <f t="shared" si="27"/>
        <v>-4269.0748412273124</v>
      </c>
      <c r="H199" s="120">
        <f t="shared" si="27"/>
        <v>1440</v>
      </c>
      <c r="I199" s="120">
        <f t="shared" si="27"/>
        <v>-1080</v>
      </c>
      <c r="J199" s="120">
        <f t="shared" si="27"/>
        <v>0</v>
      </c>
      <c r="K199" s="120">
        <f t="shared" si="27"/>
        <v>0</v>
      </c>
      <c r="L199" s="120">
        <f t="shared" si="27"/>
        <v>0</v>
      </c>
      <c r="M199" s="120">
        <f t="shared" si="27"/>
        <v>0</v>
      </c>
      <c r="N199" s="130" t="s">
        <v>181</v>
      </c>
    </row>
    <row r="200" spans="1:14" ht="19.95" customHeight="1" thickBot="1" x14ac:dyDescent="0.35">
      <c r="B200" s="120">
        <f t="shared" si="27"/>
        <v>0</v>
      </c>
      <c r="C200" s="120">
        <f t="shared" si="27"/>
        <v>0</v>
      </c>
      <c r="D200" s="120">
        <f t="shared" si="27"/>
        <v>-474.34164902525674</v>
      </c>
      <c r="E200" s="157">
        <f t="shared" si="27"/>
        <v>-1423.0249470757703</v>
      </c>
      <c r="F200" s="158">
        <f t="shared" si="27"/>
        <v>3474.3416490252566</v>
      </c>
      <c r="G200" s="154">
        <f t="shared" si="27"/>
        <v>1423.0249470757703</v>
      </c>
      <c r="H200" s="120">
        <f t="shared" si="27"/>
        <v>-3000</v>
      </c>
      <c r="I200" s="120">
        <f t="shared" si="27"/>
        <v>0</v>
      </c>
      <c r="J200" s="120">
        <f t="shared" si="27"/>
        <v>0</v>
      </c>
      <c r="K200" s="120">
        <f t="shared" si="27"/>
        <v>0</v>
      </c>
      <c r="L200" s="120">
        <f t="shared" si="27"/>
        <v>0</v>
      </c>
      <c r="M200" s="120">
        <f t="shared" si="27"/>
        <v>0</v>
      </c>
      <c r="N200" s="130" t="s">
        <v>182</v>
      </c>
    </row>
    <row r="201" spans="1:14" ht="19.95" customHeight="1" thickBot="1" x14ac:dyDescent="0.35">
      <c r="A201" s="118" t="s">
        <v>205</v>
      </c>
      <c r="B201" s="120">
        <f t="shared" si="27"/>
        <v>0</v>
      </c>
      <c r="C201" s="120">
        <f t="shared" si="27"/>
        <v>0</v>
      </c>
      <c r="D201" s="120">
        <f t="shared" si="27"/>
        <v>-1423.0249470757703</v>
      </c>
      <c r="E201" s="120">
        <f t="shared" si="27"/>
        <v>-4269.0748412273124</v>
      </c>
      <c r="F201" s="156">
        <f t="shared" si="27"/>
        <v>1423.0249470757703</v>
      </c>
      <c r="G201" s="158">
        <f t="shared" si="27"/>
        <v>4269.0748412273124</v>
      </c>
      <c r="H201" s="155">
        <f t="shared" si="27"/>
        <v>0</v>
      </c>
      <c r="I201" s="120">
        <f t="shared" si="27"/>
        <v>0</v>
      </c>
      <c r="J201" s="120">
        <f t="shared" si="27"/>
        <v>0</v>
      </c>
      <c r="K201" s="120">
        <f t="shared" si="27"/>
        <v>0</v>
      </c>
      <c r="L201" s="120">
        <f t="shared" si="27"/>
        <v>0</v>
      </c>
      <c r="M201" s="120">
        <f t="shared" si="27"/>
        <v>0</v>
      </c>
      <c r="N201" s="130" t="s">
        <v>183</v>
      </c>
    </row>
    <row r="202" spans="1:14" ht="19.95" customHeight="1" thickBot="1" x14ac:dyDescent="0.35">
      <c r="B202" s="120">
        <f t="shared" si="27"/>
        <v>-214.00202209088201</v>
      </c>
      <c r="C202" s="120">
        <f t="shared" si="27"/>
        <v>856.00808836352803</v>
      </c>
      <c r="D202" s="120">
        <f t="shared" si="27"/>
        <v>-1920</v>
      </c>
      <c r="E202" s="120">
        <f t="shared" si="27"/>
        <v>1440</v>
      </c>
      <c r="F202" s="120">
        <f t="shared" si="27"/>
        <v>-3000</v>
      </c>
      <c r="G202" s="157">
        <f t="shared" si="27"/>
        <v>0</v>
      </c>
      <c r="H202" s="158">
        <f t="shared" si="27"/>
        <v>5134.0020220908818</v>
      </c>
      <c r="I202" s="154">
        <f t="shared" si="27"/>
        <v>-2296.0080883635283</v>
      </c>
      <c r="J202" s="120">
        <f t="shared" si="27"/>
        <v>0</v>
      </c>
      <c r="K202" s="120">
        <f t="shared" si="27"/>
        <v>0</v>
      </c>
      <c r="L202" s="120">
        <f t="shared" si="27"/>
        <v>0</v>
      </c>
      <c r="M202" s="120">
        <f t="shared" si="27"/>
        <v>0</v>
      </c>
      <c r="N202" s="130" t="s">
        <v>184</v>
      </c>
    </row>
    <row r="203" spans="1:14" ht="19.95" customHeight="1" thickBot="1" x14ac:dyDescent="0.35">
      <c r="B203" s="120">
        <f t="shared" si="27"/>
        <v>856.00808836352803</v>
      </c>
      <c r="C203" s="120">
        <f t="shared" si="27"/>
        <v>-3424.0323534541121</v>
      </c>
      <c r="D203" s="120">
        <f t="shared" si="27"/>
        <v>1440</v>
      </c>
      <c r="E203" s="120">
        <f t="shared" si="27"/>
        <v>-1080</v>
      </c>
      <c r="F203" s="120">
        <f t="shared" si="27"/>
        <v>0</v>
      </c>
      <c r="G203" s="120">
        <f t="shared" si="27"/>
        <v>0</v>
      </c>
      <c r="H203" s="156">
        <f t="shared" si="27"/>
        <v>-2296.0080883635283</v>
      </c>
      <c r="I203" s="158">
        <f t="shared" si="27"/>
        <v>4504.0323534541121</v>
      </c>
      <c r="J203" s="155">
        <f t="shared" si="27"/>
        <v>0</v>
      </c>
      <c r="K203" s="120">
        <f t="shared" si="27"/>
        <v>0</v>
      </c>
      <c r="L203" s="120">
        <f t="shared" si="27"/>
        <v>0</v>
      </c>
      <c r="M203" s="120">
        <f t="shared" si="27"/>
        <v>0</v>
      </c>
      <c r="N203" s="130" t="s">
        <v>185</v>
      </c>
    </row>
    <row r="204" spans="1:14" ht="19.95" customHeight="1" thickBot="1" x14ac:dyDescent="0.35">
      <c r="B204" s="120">
        <f t="shared" si="27"/>
        <v>0</v>
      </c>
      <c r="C204" s="120">
        <f t="shared" si="27"/>
        <v>0</v>
      </c>
      <c r="D204" s="120">
        <f t="shared" si="27"/>
        <v>0</v>
      </c>
      <c r="E204" s="120">
        <f t="shared" si="27"/>
        <v>0</v>
      </c>
      <c r="F204" s="120">
        <f t="shared" si="27"/>
        <v>0</v>
      </c>
      <c r="G204" s="120">
        <f t="shared" si="27"/>
        <v>0</v>
      </c>
      <c r="H204" s="120">
        <f t="shared" si="27"/>
        <v>0</v>
      </c>
      <c r="I204" s="157">
        <f t="shared" si="27"/>
        <v>0</v>
      </c>
      <c r="J204" s="158">
        <f t="shared" si="27"/>
        <v>0</v>
      </c>
      <c r="K204" s="154">
        <f t="shared" si="27"/>
        <v>0</v>
      </c>
      <c r="L204" s="120">
        <f t="shared" si="27"/>
        <v>0</v>
      </c>
      <c r="M204" s="120">
        <f t="shared" si="27"/>
        <v>0</v>
      </c>
      <c r="N204" s="130" t="s">
        <v>186</v>
      </c>
    </row>
    <row r="205" spans="1:14" ht="19.95" customHeight="1" thickBot="1" x14ac:dyDescent="0.35">
      <c r="B205" s="120">
        <f t="shared" si="27"/>
        <v>0</v>
      </c>
      <c r="C205" s="120">
        <f t="shared" si="27"/>
        <v>0</v>
      </c>
      <c r="D205" s="120">
        <f t="shared" si="27"/>
        <v>0</v>
      </c>
      <c r="E205" s="120">
        <f t="shared" si="27"/>
        <v>0</v>
      </c>
      <c r="F205" s="120">
        <f t="shared" si="27"/>
        <v>0</v>
      </c>
      <c r="G205" s="120">
        <f t="shared" si="27"/>
        <v>0</v>
      </c>
      <c r="H205" s="120">
        <f t="shared" si="27"/>
        <v>0</v>
      </c>
      <c r="I205" s="120">
        <f t="shared" si="27"/>
        <v>0</v>
      </c>
      <c r="J205" s="156">
        <f t="shared" si="27"/>
        <v>0</v>
      </c>
      <c r="K205" s="158">
        <f t="shared" si="27"/>
        <v>0</v>
      </c>
      <c r="L205" s="155">
        <f t="shared" si="27"/>
        <v>0</v>
      </c>
      <c r="M205" s="120">
        <f t="shared" si="27"/>
        <v>0</v>
      </c>
      <c r="N205" s="130" t="s">
        <v>187</v>
      </c>
    </row>
    <row r="206" spans="1:14" ht="19.95" customHeight="1" thickBot="1" x14ac:dyDescent="0.35">
      <c r="B206" s="120">
        <f t="shared" si="27"/>
        <v>0</v>
      </c>
      <c r="C206" s="120">
        <f t="shared" si="27"/>
        <v>0</v>
      </c>
      <c r="D206" s="120">
        <f t="shared" si="27"/>
        <v>0</v>
      </c>
      <c r="E206" s="120">
        <f t="shared" si="27"/>
        <v>0</v>
      </c>
      <c r="F206" s="120">
        <f t="shared" si="27"/>
        <v>0</v>
      </c>
      <c r="G206" s="120">
        <f t="shared" si="27"/>
        <v>0</v>
      </c>
      <c r="H206" s="120">
        <f t="shared" si="27"/>
        <v>0</v>
      </c>
      <c r="I206" s="120">
        <f t="shared" si="27"/>
        <v>0</v>
      </c>
      <c r="J206" s="120">
        <f t="shared" si="27"/>
        <v>0</v>
      </c>
      <c r="K206" s="157">
        <f t="shared" si="27"/>
        <v>0</v>
      </c>
      <c r="L206" s="158">
        <f t="shared" si="27"/>
        <v>0</v>
      </c>
      <c r="M206" s="154">
        <f t="shared" si="27"/>
        <v>0</v>
      </c>
      <c r="N206" s="130" t="s">
        <v>188</v>
      </c>
    </row>
    <row r="207" spans="1:14" ht="19.95" customHeight="1" thickBot="1" x14ac:dyDescent="0.35">
      <c r="B207" s="120">
        <f t="shared" si="27"/>
        <v>0</v>
      </c>
      <c r="C207" s="120">
        <f t="shared" si="27"/>
        <v>0</v>
      </c>
      <c r="D207" s="120">
        <f t="shared" si="27"/>
        <v>0</v>
      </c>
      <c r="E207" s="120">
        <f t="shared" si="27"/>
        <v>0</v>
      </c>
      <c r="F207" s="120">
        <f t="shared" si="27"/>
        <v>0</v>
      </c>
      <c r="G207" s="120">
        <f t="shared" si="27"/>
        <v>0</v>
      </c>
      <c r="H207" s="120">
        <f t="shared" si="27"/>
        <v>0</v>
      </c>
      <c r="I207" s="120">
        <f t="shared" si="27"/>
        <v>0</v>
      </c>
      <c r="J207" s="120">
        <f t="shared" si="27"/>
        <v>0</v>
      </c>
      <c r="K207" s="120">
        <f t="shared" si="27"/>
        <v>0</v>
      </c>
      <c r="L207" s="156">
        <f t="shared" si="27"/>
        <v>0</v>
      </c>
      <c r="M207" s="158">
        <f t="shared" si="27"/>
        <v>0</v>
      </c>
      <c r="N207" s="152" t="s">
        <v>189</v>
      </c>
    </row>
    <row r="210" spans="1:31" ht="19.95" customHeight="1" x14ac:dyDescent="0.35">
      <c r="A210" s="131" t="s">
        <v>206</v>
      </c>
      <c r="Z210" s="189" t="s">
        <v>207</v>
      </c>
      <c r="AA210" s="189"/>
      <c r="AB210" s="189"/>
      <c r="AC210" s="189"/>
      <c r="AD210" s="189"/>
      <c r="AE210" s="189"/>
    </row>
    <row r="211" spans="1:31" ht="16.95" customHeight="1" x14ac:dyDescent="0.3">
      <c r="B211" s="132" t="s">
        <v>208</v>
      </c>
      <c r="C211" s="132" t="s">
        <v>178</v>
      </c>
      <c r="E211" s="169">
        <f>IF(IFERROR(VLOOKUP(1, $P$6:$W$11, 2, FALSE), "")="", 0, IF(VLOOKUP(1, $P$6:$W$11, 5, FALSE)=1, B211, VLOOKUP(1, $P$6:$W$11, 7, FALSE)))</f>
        <v>1000</v>
      </c>
      <c r="Z211" s="188" t="s">
        <v>209</v>
      </c>
      <c r="AA211" s="188"/>
      <c r="AB211" s="188"/>
      <c r="AC211" s="188"/>
      <c r="AD211" s="188"/>
      <c r="AE211" s="188"/>
    </row>
    <row r="212" spans="1:31" ht="16.95" customHeight="1" x14ac:dyDescent="0.3">
      <c r="B212" s="132" t="s">
        <v>210</v>
      </c>
      <c r="C212" s="132" t="s">
        <v>179</v>
      </c>
      <c r="E212" s="169">
        <f>IF(IFERROR(VLOOKUP(1, $P$6:$W$11, 2, FALSE), "")="", 0, IF(VLOOKUP(1, $P$6:$W$11, 6, FALSE)=1, B212, VLOOKUP(1, $P$6:$W$11, 8, FALSE)))</f>
        <v>-2000</v>
      </c>
      <c r="Z212" s="188" t="s">
        <v>211</v>
      </c>
      <c r="AA212" s="188"/>
      <c r="AB212" s="188"/>
      <c r="AC212" s="188"/>
      <c r="AD212" s="188"/>
      <c r="AE212" s="188"/>
    </row>
    <row r="213" spans="1:31" ht="16.95" customHeight="1" x14ac:dyDescent="0.3">
      <c r="B213" s="132" t="s">
        <v>212</v>
      </c>
      <c r="C213" s="132" t="s">
        <v>180</v>
      </c>
      <c r="E213" s="169">
        <f>IF(IFERROR(VLOOKUP(2, $P$6:$W$11, 2, FALSE), "")="", 0, IF(VLOOKUP(2, $P$6:$W$11, 5, FALSE)=1, B213, VLOOKUP(2, $P$6:$W$11, 7, FALSE)))</f>
        <v>2000</v>
      </c>
      <c r="Z213" s="188" t="s">
        <v>213</v>
      </c>
      <c r="AA213" s="188"/>
      <c r="AB213" s="188"/>
      <c r="AC213" s="188"/>
      <c r="AD213" s="188"/>
      <c r="AE213" s="188"/>
    </row>
    <row r="214" spans="1:31" ht="16.95" customHeight="1" x14ac:dyDescent="0.3">
      <c r="B214" s="132" t="s">
        <v>214</v>
      </c>
      <c r="C214" s="132" t="s">
        <v>181</v>
      </c>
      <c r="E214" s="169">
        <f>IF(IFERROR(VLOOKUP(2, $P$6:$W$11, 2, FALSE), "")="", 0, IF(VLOOKUP(2, $P$6:$W$11, 6, FALSE)=1, B214, VLOOKUP(2, $P$6:$W$11, 8, FALSE)))</f>
        <v>-1000</v>
      </c>
      <c r="Z214" s="188" t="s">
        <v>215</v>
      </c>
      <c r="AA214" s="188"/>
      <c r="AB214" s="188"/>
      <c r="AC214" s="188"/>
      <c r="AD214" s="188"/>
      <c r="AE214" s="188"/>
    </row>
    <row r="215" spans="1:31" ht="16.95" customHeight="1" x14ac:dyDescent="0.3">
      <c r="B215" s="132" t="s">
        <v>216</v>
      </c>
      <c r="C215" s="132" t="s">
        <v>182</v>
      </c>
      <c r="E215" s="169">
        <f>IF(IFERROR(VLOOKUP(3, $P$6:$W$11, 2, FALSE), "")="", 0, IF(VLOOKUP(3, $P$6:$W$11, 5, FALSE)=1, B215, VLOOKUP(3, $P$6:$W$11, 7, FALSE)))</f>
        <v>0</v>
      </c>
      <c r="Z215" s="188" t="s">
        <v>217</v>
      </c>
      <c r="AA215" s="188"/>
      <c r="AB215" s="188"/>
      <c r="AC215" s="188"/>
      <c r="AD215" s="188"/>
      <c r="AE215" s="188"/>
    </row>
    <row r="216" spans="1:31" ht="16.95" customHeight="1" x14ac:dyDescent="0.3">
      <c r="A216" s="161" t="s">
        <v>218</v>
      </c>
      <c r="B216" s="132" t="s">
        <v>219</v>
      </c>
      <c r="C216" s="132" t="s">
        <v>183</v>
      </c>
      <c r="D216" s="13" t="s">
        <v>220</v>
      </c>
      <c r="E216" s="169" t="str">
        <f>IF(IFERROR(VLOOKUP(3, $P$6:$W$11, 2, FALSE), "")="", 0, IF(VLOOKUP(3, $P$6:$W$11, 6, FALSE)=1, B216, VLOOKUP(3, $P$6:$W$11, 8, FALSE)))</f>
        <v>C3Y</v>
      </c>
      <c r="Z216" s="188"/>
      <c r="AA216" s="188"/>
      <c r="AB216" s="188"/>
      <c r="AC216" s="188"/>
      <c r="AD216" s="188"/>
      <c r="AE216" s="188"/>
    </row>
    <row r="217" spans="1:31" ht="16.95" customHeight="1" x14ac:dyDescent="0.3">
      <c r="B217" s="132" t="s">
        <v>221</v>
      </c>
      <c r="C217" s="132" t="s">
        <v>184</v>
      </c>
      <c r="E217" s="169" t="str">
        <f>IF(IFERROR(VLOOKUP(4, $P$6:$W$11, 2, FALSE), "")="", 0, IF(VLOOKUP(4, $P$6:$W$11, 5, FALSE)=1, B217, VLOOKUP(4, $P$6:$W$11, 7, FALSE)))</f>
        <v>C4X</v>
      </c>
      <c r="Z217" s="188"/>
      <c r="AA217" s="188"/>
      <c r="AB217" s="188"/>
      <c r="AC217" s="188"/>
      <c r="AD217" s="188"/>
      <c r="AE217" s="188"/>
    </row>
    <row r="218" spans="1:31" ht="16.95" customHeight="1" x14ac:dyDescent="0.3">
      <c r="B218" s="132" t="s">
        <v>222</v>
      </c>
      <c r="C218" s="132" t="s">
        <v>185</v>
      </c>
      <c r="E218" s="169" t="str">
        <f>IF(IFERROR(VLOOKUP(4, $P$6:$W$11, 2, FALSE), "")="", 0, IF(VLOOKUP(4, $P$6:$W$11, 6, FALSE)=1, B218, VLOOKUP(4, $P$6:$W$11, 8, FALSE)))</f>
        <v>C4Y</v>
      </c>
      <c r="Z218" s="188"/>
      <c r="AA218" s="188"/>
      <c r="AB218" s="188"/>
      <c r="AC218" s="188"/>
      <c r="AD218" s="188"/>
      <c r="AE218" s="188"/>
    </row>
    <row r="219" spans="1:31" ht="16.95" customHeight="1" x14ac:dyDescent="0.3">
      <c r="B219" s="132" t="s">
        <v>223</v>
      </c>
      <c r="C219" s="132" t="s">
        <v>186</v>
      </c>
      <c r="E219" s="169">
        <f>IF(IFERROR(VLOOKUP(5, $P$6:$W$11, 2, FALSE), "")="", 0, IF(VLOOKUP(5, $P$6:$W$11, 5, FALSE)=1, B219, VLOOKUP(5, $P$6:$W$11, 7, FALSE)))</f>
        <v>0</v>
      </c>
      <c r="Z219" s="188"/>
      <c r="AA219" s="188"/>
      <c r="AB219" s="188"/>
      <c r="AC219" s="188"/>
      <c r="AD219" s="188"/>
      <c r="AE219" s="188"/>
    </row>
    <row r="220" spans="1:31" ht="16.95" customHeight="1" x14ac:dyDescent="0.3">
      <c r="B220" s="132" t="s">
        <v>224</v>
      </c>
      <c r="C220" s="132" t="s">
        <v>187</v>
      </c>
      <c r="E220" s="169">
        <f>IF(IFERROR(VLOOKUP(5, $P$6:$W$11, 2, FALSE), "")="", 0, IF(VLOOKUP(5, $P$6:$W$11, 6, FALSE)=1, B220, VLOOKUP(5, $P$6:$W$11, 8, FALSE)))</f>
        <v>0</v>
      </c>
      <c r="Z220" s="188"/>
      <c r="AA220" s="188"/>
      <c r="AB220" s="188"/>
      <c r="AC220" s="188"/>
      <c r="AD220" s="188"/>
      <c r="AE220" s="188"/>
    </row>
    <row r="221" spans="1:31" ht="16.95" customHeight="1" x14ac:dyDescent="0.3">
      <c r="B221" s="132" t="s">
        <v>225</v>
      </c>
      <c r="C221" s="132" t="s">
        <v>188</v>
      </c>
      <c r="E221" s="169">
        <f>IF(IFERROR(VLOOKUP(6, $P$6:$W$11, 2, FALSE), "")="", 0, IF(VLOOKUP(6, $P$6:$W$11, 5, FALSE)=1, B221, VLOOKUP(6, $P$6:$W$11, 7, FALSE)))</f>
        <v>0</v>
      </c>
      <c r="Z221" s="188"/>
      <c r="AA221" s="188"/>
      <c r="AB221" s="188"/>
      <c r="AC221" s="188"/>
      <c r="AD221" s="188"/>
      <c r="AE221" s="188"/>
    </row>
    <row r="222" spans="1:31" ht="16.95" customHeight="1" x14ac:dyDescent="0.3">
      <c r="B222" s="132" t="s">
        <v>226</v>
      </c>
      <c r="C222" s="132" t="s">
        <v>189</v>
      </c>
      <c r="E222" s="169">
        <f>IF(IFERROR(VLOOKUP(6, $P$6:$W$11, 2, FALSE), "")="", 0, IF(VLOOKUP(6, $P$6:$W$11, 6, FALSE)=1, B222, VLOOKUP(6, $P$6:$W$11, 8, FALSE)))</f>
        <v>0</v>
      </c>
      <c r="Z222" s="188"/>
      <c r="AA222" s="188"/>
      <c r="AB222" s="188"/>
      <c r="AC222" s="188"/>
      <c r="AD222" s="188"/>
      <c r="AE222" s="188"/>
    </row>
    <row r="223" spans="1:31" ht="16.95" customHeight="1" x14ac:dyDescent="0.3">
      <c r="Z223" s="188"/>
      <c r="AA223" s="188"/>
      <c r="AB223" s="188"/>
      <c r="AC223" s="188"/>
      <c r="AD223" s="188"/>
      <c r="AE223" s="188"/>
    </row>
    <row r="224" spans="1:31" ht="16.95" customHeight="1" x14ac:dyDescent="0.35">
      <c r="A224" s="131" t="s">
        <v>227</v>
      </c>
      <c r="Z224" s="188"/>
      <c r="AA224" s="188"/>
      <c r="AB224" s="188"/>
      <c r="AC224" s="188"/>
      <c r="AD224" s="188"/>
      <c r="AE224" s="188"/>
    </row>
    <row r="225" spans="1:31" ht="16.95" customHeight="1" x14ac:dyDescent="0.3">
      <c r="B225" s="132" t="s">
        <v>228</v>
      </c>
      <c r="C225" s="132" t="s">
        <v>178</v>
      </c>
      <c r="E225" s="111" t="str">
        <f>IF(IFERROR(VLOOKUP(1, $P$6:$W$11, 2, FALSE), "")="", 0, IF(VLOOKUP(1, $P$6:$W$11, 5, FALSE)=1, 0, B225))</f>
        <v>D1X</v>
      </c>
      <c r="F225" s="134">
        <f>IF(ISTEXT(E225), 1, "")</f>
        <v>1</v>
      </c>
      <c r="G225" s="134" t="str">
        <f>IF(ISTEXT(E211), 1, "")</f>
        <v/>
      </c>
      <c r="Z225" s="188"/>
      <c r="AA225" s="188"/>
      <c r="AB225" s="188"/>
      <c r="AC225" s="188"/>
      <c r="AD225" s="188"/>
      <c r="AE225" s="188"/>
    </row>
    <row r="226" spans="1:31" ht="16.95" customHeight="1" x14ac:dyDescent="0.3">
      <c r="B226" s="132" t="s">
        <v>229</v>
      </c>
      <c r="C226" s="132" t="s">
        <v>179</v>
      </c>
      <c r="E226" s="111" t="str">
        <f>IF(IFERROR(VLOOKUP(1, $P$6:$W$11, 2, FALSE), "")="", 0, IF(VLOOKUP(1, $P$6:$W$11, 6, FALSE)=1, 0, B226))</f>
        <v>D1Y</v>
      </c>
      <c r="F226" s="134">
        <f>IF(ISTEXT(E226), MAX(F$225:F225) + 1, "")</f>
        <v>2</v>
      </c>
      <c r="G226" s="134" t="str">
        <f>IF(ISTEXT(E212), MAX(G$225:G225) + 1, "")</f>
        <v/>
      </c>
      <c r="Z226" s="188"/>
      <c r="AA226" s="188"/>
      <c r="AB226" s="188"/>
      <c r="AC226" s="188"/>
      <c r="AD226" s="188"/>
      <c r="AE226" s="188"/>
    </row>
    <row r="227" spans="1:31" ht="16.95" customHeight="1" x14ac:dyDescent="0.3">
      <c r="B227" s="132" t="s">
        <v>230</v>
      </c>
      <c r="C227" s="132" t="s">
        <v>180</v>
      </c>
      <c r="E227" s="111" t="str">
        <f>IF(IFERROR(VLOOKUP(2, $P$6:$W$11, 2, FALSE), "")="", 0, IF(VLOOKUP(2, $P$6:$W$11, 5, FALSE)=1, 0, B227))</f>
        <v>D2X</v>
      </c>
      <c r="F227" s="134">
        <f>IF(ISTEXT(E227), MAX(F$225:F226) + 1, "")</f>
        <v>3</v>
      </c>
      <c r="G227" s="134" t="str">
        <f>IF(ISTEXT(E213), MAX(G$225:G226) + 1, "")</f>
        <v/>
      </c>
      <c r="Z227" s="188"/>
      <c r="AA227" s="188"/>
      <c r="AB227" s="188"/>
      <c r="AC227" s="188"/>
      <c r="AD227" s="188"/>
      <c r="AE227" s="188"/>
    </row>
    <row r="228" spans="1:31" ht="16.95" customHeight="1" x14ac:dyDescent="0.3">
      <c r="B228" s="132" t="s">
        <v>231</v>
      </c>
      <c r="C228" s="132" t="s">
        <v>181</v>
      </c>
      <c r="E228" s="111" t="str">
        <f>IF(IFERROR(VLOOKUP(2, $P$6:$W$11, 2, FALSE), "")="", 0, IF(VLOOKUP(2, $P$6:$W$11, 6, FALSE)=1, 0, B228))</f>
        <v>D2Y</v>
      </c>
      <c r="F228" s="134">
        <f>IF(ISTEXT(E228), MAX(F$225:F227) + 1, "")</f>
        <v>4</v>
      </c>
      <c r="G228" s="134" t="str">
        <f>IF(ISTEXT(E214), MAX(G$225:G227) + 1, "")</f>
        <v/>
      </c>
      <c r="Z228" s="188"/>
      <c r="AA228" s="188"/>
      <c r="AB228" s="188"/>
      <c r="AC228" s="188"/>
      <c r="AD228" s="188"/>
      <c r="AE228" s="188"/>
    </row>
    <row r="229" spans="1:31" ht="16.95" customHeight="1" x14ac:dyDescent="0.3">
      <c r="B229" s="132" t="s">
        <v>232</v>
      </c>
      <c r="C229" s="132" t="s">
        <v>182</v>
      </c>
      <c r="E229" s="111" t="str">
        <f>IF(IFERROR(VLOOKUP(3, $P$6:$W$11, 2, FALSE), "")="", 0, IF(VLOOKUP(3, $P$6:$W$11, 5, FALSE)=1, 0, B229))</f>
        <v>D3X</v>
      </c>
      <c r="F229" s="134">
        <f>IF(ISTEXT(E229), MAX(F$225:F228) + 1, "")</f>
        <v>5</v>
      </c>
      <c r="G229" s="134" t="str">
        <f>IF(ISTEXT(E215), MAX(G$225:G228) + 1, "")</f>
        <v/>
      </c>
      <c r="Z229" s="188"/>
      <c r="AA229" s="188"/>
      <c r="AB229" s="188"/>
      <c r="AC229" s="188"/>
      <c r="AD229" s="188"/>
      <c r="AE229" s="188"/>
    </row>
    <row r="230" spans="1:31" ht="16.95" customHeight="1" x14ac:dyDescent="0.3">
      <c r="A230" s="161" t="s">
        <v>233</v>
      </c>
      <c r="B230" s="132" t="s">
        <v>234</v>
      </c>
      <c r="C230" s="132" t="s">
        <v>183</v>
      </c>
      <c r="D230" s="13" t="s">
        <v>220</v>
      </c>
      <c r="E230" s="111">
        <f>IF(IFERROR(VLOOKUP(3, $P$6:$W$11, 2, FALSE), "")="", 0, IF(VLOOKUP(3, $P$6:$W$11, 6, FALSE)=1, 0, B230))</f>
        <v>0</v>
      </c>
      <c r="F230" s="134" t="str">
        <f>IF(ISTEXT(E230), MAX(F$225:F229) + 1, "")</f>
        <v/>
      </c>
      <c r="G230" s="134">
        <f>IF(ISTEXT(E216), MAX(G$225:G229) + 1, "")</f>
        <v>1</v>
      </c>
      <c r="Z230" s="188"/>
      <c r="AA230" s="188"/>
      <c r="AB230" s="188"/>
      <c r="AC230" s="188"/>
      <c r="AD230" s="188"/>
      <c r="AE230" s="188"/>
    </row>
    <row r="231" spans="1:31" ht="16.95" customHeight="1" x14ac:dyDescent="0.3">
      <c r="B231" s="132" t="s">
        <v>235</v>
      </c>
      <c r="C231" s="132" t="s">
        <v>184</v>
      </c>
      <c r="E231" s="111">
        <f>IF(IFERROR(VLOOKUP(4, $P$6:$W$11, 2, FALSE), "")="", 0, IF(VLOOKUP(4, $P$6:$W$11, 5, FALSE)=1, 0, B231))</f>
        <v>0</v>
      </c>
      <c r="F231" s="134" t="str">
        <f>IF(ISTEXT(E231), MAX(F$225:F230) + 1, "")</f>
        <v/>
      </c>
      <c r="G231" s="134">
        <f>IF(ISTEXT(E217), MAX(G$225:G230) + 1, "")</f>
        <v>2</v>
      </c>
      <c r="Z231" s="188"/>
      <c r="AA231" s="188"/>
      <c r="AB231" s="188"/>
      <c r="AC231" s="188"/>
      <c r="AD231" s="188"/>
      <c r="AE231" s="188"/>
    </row>
    <row r="232" spans="1:31" ht="16.95" customHeight="1" x14ac:dyDescent="0.3">
      <c r="B232" s="132" t="s">
        <v>236</v>
      </c>
      <c r="C232" s="132" t="s">
        <v>185</v>
      </c>
      <c r="E232" s="111">
        <f>IF(IFERROR(VLOOKUP(4, $P$6:$W$11, 2, FALSE), "")="", 0, IF(VLOOKUP(4, $P$6:$W$11, 6, FALSE)=1, 0, B232))</f>
        <v>0</v>
      </c>
      <c r="F232" s="134" t="str">
        <f>IF(ISTEXT(E232), MAX(F$225:F231) + 1, "")</f>
        <v/>
      </c>
      <c r="G232" s="134">
        <f>IF(ISTEXT(E218), MAX(G$225:G231) + 1, "")</f>
        <v>3</v>
      </c>
      <c r="Z232" s="188"/>
      <c r="AA232" s="188"/>
      <c r="AB232" s="188"/>
      <c r="AC232" s="188"/>
      <c r="AD232" s="188"/>
      <c r="AE232" s="188"/>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88"/>
      <c r="AA233" s="188"/>
      <c r="AB233" s="188"/>
      <c r="AC233" s="188"/>
      <c r="AD233" s="188"/>
      <c r="AE233" s="188"/>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88"/>
      <c r="AA234" s="188"/>
      <c r="AB234" s="188"/>
      <c r="AC234" s="188"/>
      <c r="AD234" s="188"/>
      <c r="AE234" s="188"/>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88"/>
      <c r="AA235" s="188"/>
      <c r="AB235" s="188"/>
      <c r="AC235" s="188"/>
      <c r="AD235" s="188"/>
      <c r="AE235" s="188"/>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88"/>
      <c r="AA236" s="188"/>
      <c r="AB236" s="188"/>
      <c r="AC236" s="188"/>
      <c r="AD236" s="188"/>
      <c r="AE236" s="188"/>
    </row>
    <row r="238" spans="1:31" ht="19.95" customHeight="1" x14ac:dyDescent="0.35">
      <c r="A238" s="135" t="s">
        <v>241</v>
      </c>
      <c r="C238" s="190" t="s">
        <v>242</v>
      </c>
      <c r="D238" s="190"/>
      <c r="E238" s="136" t="s">
        <v>243</v>
      </c>
      <c r="Z238" s="189" t="s">
        <v>244</v>
      </c>
      <c r="AA238" s="189"/>
      <c r="AB238" s="189"/>
      <c r="AC238" s="189"/>
      <c r="AD238" s="189"/>
      <c r="AE238" s="189"/>
    </row>
    <row r="239" spans="1:31" ht="16.95" customHeight="1" x14ac:dyDescent="0.3">
      <c r="E239" s="136" t="s">
        <v>245</v>
      </c>
      <c r="Z239" s="188" t="s">
        <v>246</v>
      </c>
      <c r="AA239" s="188"/>
      <c r="AB239" s="188"/>
      <c r="AC239" s="188"/>
      <c r="AD239" s="188"/>
      <c r="AE239" s="188"/>
    </row>
    <row r="240" spans="1:31" ht="16.95" customHeight="1" x14ac:dyDescent="0.3">
      <c r="A240" s="163" t="s">
        <v>247</v>
      </c>
      <c r="C240" s="197" t="s">
        <v>248</v>
      </c>
      <c r="D240" s="197"/>
      <c r="E240" s="197"/>
      <c r="F240" s="197"/>
      <c r="G240" s="197"/>
      <c r="H240" s="197"/>
      <c r="I240" s="197"/>
      <c r="J240" s="197"/>
      <c r="K240" s="197"/>
      <c r="L240" s="197"/>
      <c r="M240" s="197"/>
      <c r="N240" s="197"/>
      <c r="P240" s="163" t="s">
        <v>249</v>
      </c>
      <c r="Z240" s="188" t="s">
        <v>250</v>
      </c>
      <c r="AA240" s="188"/>
      <c r="AB240" s="188"/>
      <c r="AC240" s="188"/>
      <c r="AD240" s="188"/>
      <c r="AE240" s="188"/>
    </row>
    <row r="241" spans="1:31" ht="16.95" customHeight="1" x14ac:dyDescent="0.3">
      <c r="A241" s="137">
        <f t="shared" ref="A241:A252" si="28">E211</f>
        <v>1000</v>
      </c>
      <c r="C241" s="159">
        <f t="shared" ref="C241:N252" si="29">B196</f>
        <v>4483.0768633181942</v>
      </c>
      <c r="D241" s="159">
        <f t="shared" si="29"/>
        <v>567.01685871224254</v>
      </c>
      <c r="E241" s="159">
        <f t="shared" si="29"/>
        <v>-4269.0748412273124</v>
      </c>
      <c r="F241" s="159">
        <f t="shared" si="29"/>
        <v>-1423.0249470757706</v>
      </c>
      <c r="G241" s="159">
        <f t="shared" si="29"/>
        <v>0</v>
      </c>
      <c r="H241" s="159">
        <f t="shared" si="29"/>
        <v>0</v>
      </c>
      <c r="I241" s="159">
        <f t="shared" si="29"/>
        <v>-214.00202209088201</v>
      </c>
      <c r="J241" s="159">
        <f t="shared" si="29"/>
        <v>856.00808836352803</v>
      </c>
      <c r="K241" s="159">
        <f t="shared" si="29"/>
        <v>0</v>
      </c>
      <c r="L241" s="159">
        <f t="shared" si="29"/>
        <v>0</v>
      </c>
      <c r="M241" s="159">
        <f t="shared" si="29"/>
        <v>0</v>
      </c>
      <c r="N241" s="159">
        <f t="shared" si="29"/>
        <v>0</v>
      </c>
      <c r="O241" s="13" t="s">
        <v>251</v>
      </c>
      <c r="P241" s="132" t="str">
        <f t="shared" ref="P241:P252" si="30">E225</f>
        <v>D1X</v>
      </c>
      <c r="Z241" s="188" t="s">
        <v>252</v>
      </c>
      <c r="AA241" s="188"/>
      <c r="AB241" s="188"/>
      <c r="AC241" s="188"/>
      <c r="AD241" s="188"/>
      <c r="AE241" s="188"/>
    </row>
    <row r="242" spans="1:31" ht="16.95" customHeight="1" x14ac:dyDescent="0.3">
      <c r="A242" s="137">
        <f t="shared" si="28"/>
        <v>-2000</v>
      </c>
      <c r="C242" s="159">
        <f t="shared" si="29"/>
        <v>567.01685871224254</v>
      </c>
      <c r="D242" s="159">
        <f t="shared" si="29"/>
        <v>3898.3740024793688</v>
      </c>
      <c r="E242" s="159">
        <f t="shared" si="29"/>
        <v>-1423.0249470757706</v>
      </c>
      <c r="F242" s="159">
        <f t="shared" si="29"/>
        <v>-474.34164902525674</v>
      </c>
      <c r="G242" s="159">
        <f t="shared" si="29"/>
        <v>0</v>
      </c>
      <c r="H242" s="159">
        <f t="shared" si="29"/>
        <v>0</v>
      </c>
      <c r="I242" s="159">
        <f t="shared" si="29"/>
        <v>856.00808836352803</v>
      </c>
      <c r="J242" s="159">
        <f t="shared" si="29"/>
        <v>-3424.0323534541121</v>
      </c>
      <c r="K242" s="159">
        <f t="shared" si="29"/>
        <v>0</v>
      </c>
      <c r="L242" s="159">
        <f t="shared" si="29"/>
        <v>0</v>
      </c>
      <c r="M242" s="159">
        <f t="shared" si="29"/>
        <v>0</v>
      </c>
      <c r="N242" s="159">
        <f t="shared" si="29"/>
        <v>0</v>
      </c>
      <c r="O242" s="13" t="s">
        <v>251</v>
      </c>
      <c r="P242" s="132" t="str">
        <f t="shared" si="30"/>
        <v>D1Y</v>
      </c>
      <c r="Z242" s="188" t="s">
        <v>253</v>
      </c>
      <c r="AA242" s="188"/>
      <c r="AB242" s="188"/>
      <c r="AC242" s="188"/>
      <c r="AD242" s="188"/>
      <c r="AE242" s="188"/>
    </row>
    <row r="243" spans="1:31" ht="16.95" customHeight="1" x14ac:dyDescent="0.3">
      <c r="A243" s="137">
        <f t="shared" si="28"/>
        <v>2000</v>
      </c>
      <c r="C243" s="159">
        <f t="shared" si="29"/>
        <v>-4269.0748412273124</v>
      </c>
      <c r="D243" s="159">
        <f t="shared" si="29"/>
        <v>-1423.0249470757706</v>
      </c>
      <c r="E243" s="159">
        <f t="shared" si="29"/>
        <v>6663.416490252569</v>
      </c>
      <c r="F243" s="159">
        <f t="shared" si="29"/>
        <v>1406.0498941515409</v>
      </c>
      <c r="G243" s="159">
        <f t="shared" si="29"/>
        <v>-474.34164902525674</v>
      </c>
      <c r="H243" s="159">
        <f t="shared" si="29"/>
        <v>-1423.0249470757703</v>
      </c>
      <c r="I243" s="159">
        <f t="shared" si="29"/>
        <v>-1920</v>
      </c>
      <c r="J243" s="159">
        <f t="shared" si="29"/>
        <v>1440</v>
      </c>
      <c r="K243" s="159">
        <f t="shared" si="29"/>
        <v>0</v>
      </c>
      <c r="L243" s="159">
        <f t="shared" si="29"/>
        <v>0</v>
      </c>
      <c r="M243" s="159">
        <f t="shared" si="29"/>
        <v>0</v>
      </c>
      <c r="N243" s="159">
        <f t="shared" si="29"/>
        <v>0</v>
      </c>
      <c r="O243" s="13" t="s">
        <v>251</v>
      </c>
      <c r="P243" s="132" t="str">
        <f t="shared" si="30"/>
        <v>D2X</v>
      </c>
      <c r="Z243" s="188" t="s">
        <v>254</v>
      </c>
      <c r="AA243" s="188"/>
      <c r="AB243" s="188"/>
      <c r="AC243" s="188"/>
      <c r="AD243" s="188"/>
      <c r="AE243" s="188"/>
    </row>
    <row r="244" spans="1:31" ht="16.95" customHeight="1" x14ac:dyDescent="0.3">
      <c r="A244" s="137">
        <f t="shared" si="28"/>
        <v>-1000</v>
      </c>
      <c r="C244" s="159">
        <f t="shared" si="29"/>
        <v>-1423.0249470757706</v>
      </c>
      <c r="D244" s="159">
        <f t="shared" si="29"/>
        <v>-474.34164902525674</v>
      </c>
      <c r="E244" s="159">
        <f t="shared" si="29"/>
        <v>1406.0498941515409</v>
      </c>
      <c r="F244" s="159">
        <f t="shared" si="29"/>
        <v>5823.416490252569</v>
      </c>
      <c r="G244" s="159">
        <f t="shared" si="29"/>
        <v>-1423.0249470757703</v>
      </c>
      <c r="H244" s="159">
        <f t="shared" si="29"/>
        <v>-4269.0748412273124</v>
      </c>
      <c r="I244" s="159">
        <f t="shared" si="29"/>
        <v>1440</v>
      </c>
      <c r="J244" s="159">
        <f t="shared" si="29"/>
        <v>-1080</v>
      </c>
      <c r="K244" s="159">
        <f t="shared" si="29"/>
        <v>0</v>
      </c>
      <c r="L244" s="159">
        <f t="shared" si="29"/>
        <v>0</v>
      </c>
      <c r="M244" s="159">
        <f t="shared" si="29"/>
        <v>0</v>
      </c>
      <c r="N244" s="159">
        <f t="shared" si="29"/>
        <v>0</v>
      </c>
      <c r="O244" s="13" t="s">
        <v>251</v>
      </c>
      <c r="P244" s="132" t="str">
        <f t="shared" si="30"/>
        <v>D2Y</v>
      </c>
      <c r="Z244" s="188" t="s">
        <v>255</v>
      </c>
      <c r="AA244" s="188"/>
      <c r="AB244" s="188"/>
      <c r="AC244" s="188"/>
      <c r="AD244" s="188"/>
      <c r="AE244" s="188"/>
    </row>
    <row r="245" spans="1:31" ht="16.95" customHeight="1" x14ac:dyDescent="0.3">
      <c r="A245" s="137">
        <f t="shared" si="28"/>
        <v>0</v>
      </c>
      <c r="C245" s="159">
        <f t="shared" si="29"/>
        <v>0</v>
      </c>
      <c r="D245" s="159">
        <f t="shared" si="29"/>
        <v>0</v>
      </c>
      <c r="E245" s="159">
        <f t="shared" si="29"/>
        <v>-474.34164902525674</v>
      </c>
      <c r="F245" s="159">
        <f t="shared" si="29"/>
        <v>-1423.0249470757703</v>
      </c>
      <c r="G245" s="159">
        <f t="shared" si="29"/>
        <v>3474.3416490252566</v>
      </c>
      <c r="H245" s="159">
        <f t="shared" si="29"/>
        <v>1423.0249470757703</v>
      </c>
      <c r="I245" s="159">
        <f t="shared" si="29"/>
        <v>-3000</v>
      </c>
      <c r="J245" s="159">
        <f t="shared" si="29"/>
        <v>0</v>
      </c>
      <c r="K245" s="159">
        <f t="shared" si="29"/>
        <v>0</v>
      </c>
      <c r="L245" s="159">
        <f t="shared" si="29"/>
        <v>0</v>
      </c>
      <c r="M245" s="159">
        <f t="shared" si="29"/>
        <v>0</v>
      </c>
      <c r="N245" s="159">
        <f t="shared" si="29"/>
        <v>0</v>
      </c>
      <c r="O245" s="13" t="s">
        <v>251</v>
      </c>
      <c r="P245" s="132" t="str">
        <f t="shared" si="30"/>
        <v>D3X</v>
      </c>
      <c r="Z245" s="188" t="s">
        <v>256</v>
      </c>
      <c r="AA245" s="188"/>
      <c r="AB245" s="188"/>
      <c r="AC245" s="188"/>
      <c r="AD245" s="188"/>
      <c r="AE245" s="188"/>
    </row>
    <row r="246" spans="1:31" ht="16.95" customHeight="1" x14ac:dyDescent="0.3">
      <c r="A246" s="137" t="str">
        <f t="shared" si="28"/>
        <v>C3Y</v>
      </c>
      <c r="C246" s="159">
        <f t="shared" si="29"/>
        <v>0</v>
      </c>
      <c r="D246" s="159">
        <f t="shared" si="29"/>
        <v>0</v>
      </c>
      <c r="E246" s="159">
        <f t="shared" si="29"/>
        <v>-1423.0249470757703</v>
      </c>
      <c r="F246" s="159">
        <f t="shared" si="29"/>
        <v>-4269.0748412273124</v>
      </c>
      <c r="G246" s="159">
        <f t="shared" si="29"/>
        <v>1423.0249470757703</v>
      </c>
      <c r="H246" s="159">
        <f t="shared" si="29"/>
        <v>4269.0748412273124</v>
      </c>
      <c r="I246" s="159">
        <f t="shared" si="29"/>
        <v>0</v>
      </c>
      <c r="J246" s="159">
        <f t="shared" si="29"/>
        <v>0</v>
      </c>
      <c r="K246" s="159">
        <f t="shared" si="29"/>
        <v>0</v>
      </c>
      <c r="L246" s="159">
        <f t="shared" si="29"/>
        <v>0</v>
      </c>
      <c r="M246" s="159">
        <f t="shared" si="29"/>
        <v>0</v>
      </c>
      <c r="N246" s="159">
        <f t="shared" si="29"/>
        <v>0</v>
      </c>
      <c r="O246" s="13" t="s">
        <v>251</v>
      </c>
      <c r="P246" s="132">
        <f t="shared" si="30"/>
        <v>0</v>
      </c>
      <c r="Z246" s="188"/>
      <c r="AA246" s="188"/>
      <c r="AB246" s="188"/>
      <c r="AC246" s="188"/>
      <c r="AD246" s="188"/>
      <c r="AE246" s="188"/>
    </row>
    <row r="247" spans="1:31" ht="16.95" customHeight="1" x14ac:dyDescent="0.3">
      <c r="A247" s="137" t="str">
        <f t="shared" si="28"/>
        <v>C4X</v>
      </c>
      <c r="B247" s="13" t="s">
        <v>220</v>
      </c>
      <c r="C247" s="159">
        <f t="shared" si="29"/>
        <v>-214.00202209088201</v>
      </c>
      <c r="D247" s="159">
        <f t="shared" si="29"/>
        <v>856.00808836352803</v>
      </c>
      <c r="E247" s="159">
        <f t="shared" si="29"/>
        <v>-1920</v>
      </c>
      <c r="F247" s="159">
        <f t="shared" si="29"/>
        <v>1440</v>
      </c>
      <c r="G247" s="159">
        <f t="shared" si="29"/>
        <v>-3000</v>
      </c>
      <c r="H247" s="159">
        <f t="shared" si="29"/>
        <v>0</v>
      </c>
      <c r="I247" s="159">
        <f t="shared" si="29"/>
        <v>5134.0020220908818</v>
      </c>
      <c r="J247" s="159">
        <f t="shared" si="29"/>
        <v>-2296.0080883635283</v>
      </c>
      <c r="K247" s="159">
        <f t="shared" si="29"/>
        <v>0</v>
      </c>
      <c r="L247" s="159">
        <f t="shared" si="29"/>
        <v>0</v>
      </c>
      <c r="M247" s="159">
        <f t="shared" si="29"/>
        <v>0</v>
      </c>
      <c r="N247" s="159">
        <f t="shared" si="29"/>
        <v>0</v>
      </c>
      <c r="O247" s="13" t="s">
        <v>251</v>
      </c>
      <c r="P247" s="132">
        <f t="shared" si="30"/>
        <v>0</v>
      </c>
      <c r="Z247" s="188"/>
      <c r="AA247" s="188"/>
      <c r="AB247" s="188"/>
      <c r="AC247" s="188"/>
      <c r="AD247" s="188"/>
      <c r="AE247" s="188"/>
    </row>
    <row r="248" spans="1:31" ht="16.95" customHeight="1" x14ac:dyDescent="0.3">
      <c r="A248" s="137" t="str">
        <f t="shared" si="28"/>
        <v>C4Y</v>
      </c>
      <c r="C248" s="159">
        <f t="shared" si="29"/>
        <v>856.00808836352803</v>
      </c>
      <c r="D248" s="159">
        <f t="shared" si="29"/>
        <v>-3424.0323534541121</v>
      </c>
      <c r="E248" s="159">
        <f t="shared" si="29"/>
        <v>1440</v>
      </c>
      <c r="F248" s="159">
        <f t="shared" si="29"/>
        <v>-1080</v>
      </c>
      <c r="G248" s="159">
        <f t="shared" si="29"/>
        <v>0</v>
      </c>
      <c r="H248" s="159">
        <f t="shared" si="29"/>
        <v>0</v>
      </c>
      <c r="I248" s="159">
        <f t="shared" si="29"/>
        <v>-2296.0080883635283</v>
      </c>
      <c r="J248" s="159">
        <f t="shared" si="29"/>
        <v>4504.0323534541121</v>
      </c>
      <c r="K248" s="159">
        <f t="shared" si="29"/>
        <v>0</v>
      </c>
      <c r="L248" s="159">
        <f t="shared" si="29"/>
        <v>0</v>
      </c>
      <c r="M248" s="159">
        <f t="shared" si="29"/>
        <v>0</v>
      </c>
      <c r="N248" s="159">
        <f t="shared" si="29"/>
        <v>0</v>
      </c>
      <c r="O248" s="13" t="s">
        <v>251</v>
      </c>
      <c r="P248" s="132">
        <f t="shared" si="30"/>
        <v>0</v>
      </c>
      <c r="Z248" s="188"/>
      <c r="AA248" s="188"/>
      <c r="AB248" s="188"/>
      <c r="AC248" s="188"/>
      <c r="AD248" s="188"/>
      <c r="AE248" s="188"/>
    </row>
    <row r="249" spans="1:31" ht="16.95" customHeight="1" x14ac:dyDescent="0.3">
      <c r="A249" s="137">
        <f t="shared" si="28"/>
        <v>0</v>
      </c>
      <c r="C249" s="159">
        <f t="shared" si="29"/>
        <v>0</v>
      </c>
      <c r="D249" s="159">
        <f t="shared" si="29"/>
        <v>0</v>
      </c>
      <c r="E249" s="159">
        <f t="shared" si="29"/>
        <v>0</v>
      </c>
      <c r="F249" s="159">
        <f t="shared" si="29"/>
        <v>0</v>
      </c>
      <c r="G249" s="159">
        <f t="shared" si="29"/>
        <v>0</v>
      </c>
      <c r="H249" s="159">
        <f t="shared" si="29"/>
        <v>0</v>
      </c>
      <c r="I249" s="159">
        <f t="shared" si="29"/>
        <v>0</v>
      </c>
      <c r="J249" s="159">
        <f t="shared" si="29"/>
        <v>0</v>
      </c>
      <c r="K249" s="159">
        <f t="shared" si="29"/>
        <v>0</v>
      </c>
      <c r="L249" s="159">
        <f t="shared" si="29"/>
        <v>0</v>
      </c>
      <c r="M249" s="159">
        <f t="shared" si="29"/>
        <v>0</v>
      </c>
      <c r="N249" s="159">
        <f t="shared" si="29"/>
        <v>0</v>
      </c>
      <c r="O249" s="13" t="s">
        <v>251</v>
      </c>
      <c r="P249" s="132">
        <f t="shared" si="30"/>
        <v>0</v>
      </c>
      <c r="Z249" s="188"/>
      <c r="AA249" s="188"/>
      <c r="AB249" s="188"/>
      <c r="AC249" s="188"/>
      <c r="AD249" s="188"/>
      <c r="AE249" s="188"/>
    </row>
    <row r="250" spans="1:31" ht="16.95" customHeight="1" x14ac:dyDescent="0.3">
      <c r="A250" s="137">
        <f t="shared" si="28"/>
        <v>0</v>
      </c>
      <c r="C250" s="159">
        <f t="shared" si="29"/>
        <v>0</v>
      </c>
      <c r="D250" s="159">
        <f t="shared" si="29"/>
        <v>0</v>
      </c>
      <c r="E250" s="159">
        <f t="shared" si="29"/>
        <v>0</v>
      </c>
      <c r="F250" s="159">
        <f t="shared" si="29"/>
        <v>0</v>
      </c>
      <c r="G250" s="159">
        <f t="shared" si="29"/>
        <v>0</v>
      </c>
      <c r="H250" s="159">
        <f t="shared" si="29"/>
        <v>0</v>
      </c>
      <c r="I250" s="159">
        <f t="shared" si="29"/>
        <v>0</v>
      </c>
      <c r="J250" s="159">
        <f t="shared" si="29"/>
        <v>0</v>
      </c>
      <c r="K250" s="159">
        <f t="shared" si="29"/>
        <v>0</v>
      </c>
      <c r="L250" s="159">
        <f t="shared" si="29"/>
        <v>0</v>
      </c>
      <c r="M250" s="159">
        <f t="shared" si="29"/>
        <v>0</v>
      </c>
      <c r="N250" s="159">
        <f t="shared" si="29"/>
        <v>0</v>
      </c>
      <c r="O250" s="13" t="s">
        <v>251</v>
      </c>
      <c r="P250" s="132">
        <f t="shared" si="30"/>
        <v>0</v>
      </c>
      <c r="Z250" s="188"/>
      <c r="AA250" s="188"/>
      <c r="AB250" s="188"/>
      <c r="AC250" s="188"/>
      <c r="AD250" s="188"/>
      <c r="AE250" s="188"/>
    </row>
    <row r="251" spans="1:31" ht="16.95" customHeight="1" x14ac:dyDescent="0.3">
      <c r="A251" s="137">
        <f t="shared" si="28"/>
        <v>0</v>
      </c>
      <c r="C251" s="159">
        <f t="shared" si="29"/>
        <v>0</v>
      </c>
      <c r="D251" s="159">
        <f t="shared" si="29"/>
        <v>0</v>
      </c>
      <c r="E251" s="159">
        <f t="shared" si="29"/>
        <v>0</v>
      </c>
      <c r="F251" s="159">
        <f t="shared" si="29"/>
        <v>0</v>
      </c>
      <c r="G251" s="159">
        <f t="shared" si="29"/>
        <v>0</v>
      </c>
      <c r="H251" s="159">
        <f t="shared" si="29"/>
        <v>0</v>
      </c>
      <c r="I251" s="159">
        <f t="shared" si="29"/>
        <v>0</v>
      </c>
      <c r="J251" s="159">
        <f t="shared" si="29"/>
        <v>0</v>
      </c>
      <c r="K251" s="159">
        <f t="shared" si="29"/>
        <v>0</v>
      </c>
      <c r="L251" s="159">
        <f t="shared" si="29"/>
        <v>0</v>
      </c>
      <c r="M251" s="159">
        <f t="shared" si="29"/>
        <v>0</v>
      </c>
      <c r="N251" s="159">
        <f t="shared" si="29"/>
        <v>0</v>
      </c>
      <c r="O251" s="13" t="s">
        <v>251</v>
      </c>
      <c r="P251" s="132">
        <f t="shared" si="30"/>
        <v>0</v>
      </c>
      <c r="Z251" s="188"/>
      <c r="AA251" s="188"/>
      <c r="AB251" s="188"/>
      <c r="AC251" s="188"/>
      <c r="AD251" s="188"/>
      <c r="AE251" s="188"/>
    </row>
    <row r="252" spans="1:31" ht="16.95" customHeight="1" x14ac:dyDescent="0.3">
      <c r="A252" s="137">
        <f t="shared" si="28"/>
        <v>0</v>
      </c>
      <c r="C252" s="159">
        <f t="shared" si="29"/>
        <v>0</v>
      </c>
      <c r="D252" s="159">
        <f t="shared" si="29"/>
        <v>0</v>
      </c>
      <c r="E252" s="159">
        <f t="shared" si="29"/>
        <v>0</v>
      </c>
      <c r="F252" s="159">
        <f t="shared" si="29"/>
        <v>0</v>
      </c>
      <c r="G252" s="159">
        <f t="shared" si="29"/>
        <v>0</v>
      </c>
      <c r="H252" s="159">
        <f t="shared" si="29"/>
        <v>0</v>
      </c>
      <c r="I252" s="159">
        <f t="shared" si="29"/>
        <v>0</v>
      </c>
      <c r="J252" s="159">
        <f t="shared" si="29"/>
        <v>0</v>
      </c>
      <c r="K252" s="159">
        <f t="shared" si="29"/>
        <v>0</v>
      </c>
      <c r="L252" s="159">
        <f t="shared" si="29"/>
        <v>0</v>
      </c>
      <c r="M252" s="159">
        <f t="shared" si="29"/>
        <v>0</v>
      </c>
      <c r="N252" s="159">
        <f t="shared" si="29"/>
        <v>0</v>
      </c>
      <c r="O252" s="13" t="s">
        <v>251</v>
      </c>
      <c r="P252" s="132">
        <f t="shared" si="30"/>
        <v>0</v>
      </c>
      <c r="Z252" s="188"/>
      <c r="AA252" s="188"/>
      <c r="AB252" s="188"/>
      <c r="AC252" s="188"/>
      <c r="AD252" s="188"/>
      <c r="AE252" s="188"/>
    </row>
    <row r="255" spans="1:31" ht="19.95" customHeight="1" x14ac:dyDescent="0.35">
      <c r="A255" s="135" t="s">
        <v>257</v>
      </c>
      <c r="Z255" s="189" t="s">
        <v>258</v>
      </c>
      <c r="AA255" s="189"/>
      <c r="AB255" s="189"/>
      <c r="AC255" s="189"/>
      <c r="AD255" s="189"/>
      <c r="AE255" s="189"/>
    </row>
    <row r="256" spans="1:31" ht="16.95" customHeight="1" x14ac:dyDescent="0.3">
      <c r="C256" s="161" t="str">
        <f>IFERROR(INDEX(C$225:C$236, MATCH(1, F$225:F$236, 0)), "-")</f>
        <v>U1X</v>
      </c>
      <c r="D256" s="161" t="str">
        <f>IFERROR(INDEX(C$225:C$236, MATCH(2, F$225:F$236, 0)), "-")</f>
        <v>U1Y</v>
      </c>
      <c r="E256" s="161" t="str">
        <f>IFERROR(INDEX(C$225:C$236, MATCH(3, F$225:F$236, 0)), "-")</f>
        <v>U2X</v>
      </c>
      <c r="F256" s="161" t="str">
        <f>IFERROR(INDEX(C$225:C$236, MATCH(4, F$225:F$236, 0)), "-")</f>
        <v>U2Y</v>
      </c>
      <c r="G256" s="161" t="str">
        <f>IFERROR(INDEX(C$225:C$236, MATCH(5, F$225:F$236, 0)), "-")</f>
        <v>U3X</v>
      </c>
      <c r="H256" s="161" t="str">
        <f>IFERROR(INDEX(C$225:C$236, MATCH(6, F$225:F$236, 0)), "-")</f>
        <v>-</v>
      </c>
      <c r="I256" s="161" t="str">
        <f>IFERROR(INDEX(C$225:C$236, MATCH(7, F$225:F$236, 0)), "-")</f>
        <v>-</v>
      </c>
      <c r="J256" s="161" t="str">
        <f>IFERROR(INDEX(C$225:C$236, MATCH(8, F$225:F$236, 0)), "-")</f>
        <v>-</v>
      </c>
      <c r="K256" s="161" t="str">
        <f>IFERROR(INDEX(C$225:C$236, MATCH(9, F$225:F$236, 0)), "-")</f>
        <v>-</v>
      </c>
      <c r="Z256" s="188" t="s">
        <v>259</v>
      </c>
      <c r="AA256" s="188"/>
      <c r="AB256" s="188"/>
      <c r="AC256" s="188"/>
      <c r="AD256" s="188"/>
      <c r="AE256" s="188"/>
    </row>
    <row r="257" spans="1:31" ht="16.95" customHeight="1" x14ac:dyDescent="0.3">
      <c r="A257" s="138">
        <f t="shared" ref="A257:A265" si="31">IF($N257="-", 0, IFERROR(INDEX(E$211:E$222, MATCH($N257, C$211:C$222, 0)), 0))</f>
        <v>1000</v>
      </c>
      <c r="C257" s="138">
        <f>IF(OR($N257="-", C$256="-"), 1, IF(OR(IFERROR(INDEX($B$196:$M$207, MATCH($N257, $N$196:$N$207, 0), MATCH($N257, $B$195:$M$195, 0)), 0)=0, IFERROR(INDEX($B$196:$M$207, MATCH(C$256, $N$196:$N$207, 0), MATCH(C$256, $B$195:$M$195, 0)), 0)=0), 1, IFERROR(INDEX($B$196:$M$207, MATCH($N257, $N$196:$N$207, 0), MATCH(C$256, $B$195:$M$195, 0)), 0)))</f>
        <v>4483.0768633181942</v>
      </c>
      <c r="D257" s="138">
        <f t="shared" ref="D257:K259" si="32">IF(OR($N257="-", D$256="-"), 0, IF(OR(IFERROR(INDEX($B$196:$M$207, MATCH($N257, $N$196:$N$207, 0), MATCH($N257, $B$195:$M$195, 0)), 0)=0, IFERROR(INDEX($B$196:$M$207, MATCH(D$256, $N$196:$N$207, 0), MATCH(D$256, $B$195:$M$195, 0)), 0)=0), 0, IFERROR(INDEX($B$196:$M$207, MATCH($N257, $N$196:$N$207, 0), MATCH(D$256, $B$195:$M$195, 0)), 0)))</f>
        <v>567.01685871224254</v>
      </c>
      <c r="E257" s="138">
        <f t="shared" si="32"/>
        <v>-4269.0748412273124</v>
      </c>
      <c r="F257" s="138">
        <f t="shared" si="32"/>
        <v>-1423.0249470757706</v>
      </c>
      <c r="G257" s="138">
        <f t="shared" si="32"/>
        <v>0</v>
      </c>
      <c r="H257" s="138">
        <f t="shared" si="32"/>
        <v>0</v>
      </c>
      <c r="I257" s="138">
        <f t="shared" si="32"/>
        <v>0</v>
      </c>
      <c r="J257" s="138">
        <f t="shared" si="32"/>
        <v>0</v>
      </c>
      <c r="K257" s="138">
        <f t="shared" si="32"/>
        <v>0</v>
      </c>
      <c r="L257" s="13" t="s">
        <v>251</v>
      </c>
      <c r="M257" s="161" t="str">
        <f>IFERROR(INDEX(B$225:B$236, MATCH(1, F$225:F$236, 0)), "-")</f>
        <v>D1X</v>
      </c>
      <c r="N257" s="134" t="str">
        <f>IFERROR(INDEX(C$225:C$236, MATCH(1, F$225:F$236, 0)), "-")</f>
        <v>U1X</v>
      </c>
      <c r="Z257" s="188" t="s">
        <v>260</v>
      </c>
      <c r="AA257" s="188"/>
      <c r="AB257" s="188"/>
      <c r="AC257" s="188"/>
      <c r="AD257" s="188"/>
      <c r="AE257" s="188"/>
    </row>
    <row r="258" spans="1:31" ht="16.95" customHeight="1" x14ac:dyDescent="0.3">
      <c r="A258" s="138">
        <f t="shared" si="31"/>
        <v>-2000</v>
      </c>
      <c r="C258" s="138">
        <f t="shared" ref="C258:E265" si="33">IF(OR($N258="-", C$256="-"), 0, IF(OR(IFERROR(INDEX($B$196:$M$207, MATCH($N258, $N$196:$N$207, 0), MATCH($N258, $B$195:$M$195, 0)), 0)=0, IFERROR(INDEX($B$196:$M$207, MATCH(C$256, $N$196:$N$207, 0), MATCH(C$256, $B$195:$M$195, 0)), 0)=0), 0, IFERROR(INDEX($B$196:$M$207, MATCH($N258, $N$196:$N$207, 0), MATCH(C$256, $B$195:$M$195, 0)), 0)))</f>
        <v>567.01685871224254</v>
      </c>
      <c r="D258" s="138">
        <f>IF(OR($N258="-", D$256="-"), 1, IF(OR(IFERROR(INDEX($B$196:$M$207, MATCH($N258, $N$196:$N$207, 0), MATCH($N258, $B$195:$M$195, 0)), 0)=0, IFERROR(INDEX($B$196:$M$207, MATCH(D$256, $N$196:$N$207, 0), MATCH(D$256, $B$195:$M$195, 0)), 0)=0), 1, IFERROR(INDEX($B$196:$M$207, MATCH($N258, $N$196:$N$207, 0), MATCH(D$256, $B$195:$M$195, 0)), 0)))</f>
        <v>3898.3740024793688</v>
      </c>
      <c r="E258" s="138">
        <f t="shared" si="32"/>
        <v>-1423.0249470757706</v>
      </c>
      <c r="F258" s="138">
        <f t="shared" si="32"/>
        <v>-474.34164902525674</v>
      </c>
      <c r="G258" s="138">
        <f t="shared" si="32"/>
        <v>0</v>
      </c>
      <c r="H258" s="138">
        <f t="shared" si="32"/>
        <v>0</v>
      </c>
      <c r="I258" s="138">
        <f t="shared" si="32"/>
        <v>0</v>
      </c>
      <c r="J258" s="138">
        <f t="shared" si="32"/>
        <v>0</v>
      </c>
      <c r="K258" s="138">
        <f t="shared" si="32"/>
        <v>0</v>
      </c>
      <c r="L258" s="13" t="s">
        <v>251</v>
      </c>
      <c r="M258" s="161" t="str">
        <f>IFERROR(INDEX(B$225:B$236, MATCH(2, F$225:F$236, 0)), "-")</f>
        <v>D1Y</v>
      </c>
      <c r="N258" s="134" t="str">
        <f>IFERROR(INDEX(C$225:C$236, MATCH(2, F$225:F$236, 0)), "-")</f>
        <v>U1Y</v>
      </c>
      <c r="Z258" s="188" t="s">
        <v>261</v>
      </c>
      <c r="AA258" s="188"/>
      <c r="AB258" s="188"/>
      <c r="AC258" s="188"/>
      <c r="AD258" s="188"/>
      <c r="AE258" s="188"/>
    </row>
    <row r="259" spans="1:31" ht="16.95" customHeight="1" x14ac:dyDescent="0.3">
      <c r="A259" s="138">
        <f t="shared" si="31"/>
        <v>2000</v>
      </c>
      <c r="C259" s="138">
        <f t="shared" si="33"/>
        <v>-4269.0748412273124</v>
      </c>
      <c r="D259" s="138">
        <f t="shared" si="33"/>
        <v>-1423.0249470757706</v>
      </c>
      <c r="E259" s="138">
        <f>IF(OR($N259="-", E$256="-"), 1, IF(OR(IFERROR(INDEX($B$196:$M$207, MATCH($N259, $N$196:$N$207, 0), MATCH($N259, $B$195:$M$195, 0)), 0)=0, IFERROR(INDEX($B$196:$M$207, MATCH(E$256, $N$196:$N$207, 0), MATCH(E$256, $B$195:$M$195, 0)), 0)=0), 1, IFERROR(INDEX($B$196:$M$207, MATCH($N259, $N$196:$N$207, 0), MATCH(E$256, $B$195:$M$195, 0)), 0)))</f>
        <v>6663.416490252569</v>
      </c>
      <c r="F259" s="138">
        <f t="shared" si="32"/>
        <v>1406.0498941515409</v>
      </c>
      <c r="G259" s="138">
        <f t="shared" si="32"/>
        <v>-474.34164902525674</v>
      </c>
      <c r="H259" s="138">
        <f t="shared" si="32"/>
        <v>0</v>
      </c>
      <c r="I259" s="138">
        <f t="shared" si="32"/>
        <v>0</v>
      </c>
      <c r="J259" s="138">
        <f t="shared" si="32"/>
        <v>0</v>
      </c>
      <c r="K259" s="138">
        <f t="shared" si="32"/>
        <v>0</v>
      </c>
      <c r="L259" s="13" t="s">
        <v>251</v>
      </c>
      <c r="M259" s="161" t="str">
        <f>IFERROR(INDEX(B$225:B$236, MATCH(3, F$225:F$236, 0)), "-")</f>
        <v>D2X</v>
      </c>
      <c r="N259" s="134" t="str">
        <f>IFERROR(INDEX(C$225:C$236, MATCH(3, F$225:F$236, 0)), "-")</f>
        <v>U2X</v>
      </c>
      <c r="Z259" s="188" t="s">
        <v>262</v>
      </c>
      <c r="AA259" s="188"/>
      <c r="AB259" s="188"/>
      <c r="AC259" s="188"/>
      <c r="AD259" s="188"/>
      <c r="AE259" s="188"/>
    </row>
    <row r="260" spans="1:31" ht="16.95" customHeight="1" x14ac:dyDescent="0.3">
      <c r="A260" s="138">
        <f t="shared" si="31"/>
        <v>-1000</v>
      </c>
      <c r="C260" s="138">
        <f t="shared" si="33"/>
        <v>-1423.0249470757706</v>
      </c>
      <c r="D260" s="138">
        <f t="shared" si="33"/>
        <v>-474.34164902525674</v>
      </c>
      <c r="E260" s="138">
        <f t="shared" si="33"/>
        <v>1406.0498941515409</v>
      </c>
      <c r="F260" s="138">
        <f>IF(OR($N260="-", F$256="-"), 1, IF(OR(IFERROR(INDEX($B$196:$M$207, MATCH($N260, $N$196:$N$207, 0), MATCH($N260, $B$195:$M$195, 0)), 0)=0, IFERROR(INDEX($B$196:$M$207, MATCH(F$256, $N$196:$N$207, 0), MATCH(F$256, $B$195:$M$195, 0)), 0)=0), 1, IFERROR(INDEX($B$196:$M$207, MATCH($N260, $N$196:$N$207, 0), MATCH(F$256, $B$195:$M$195, 0)), 0)))</f>
        <v>5823.416490252569</v>
      </c>
      <c r="G260" s="138">
        <f>IF(OR($N260="-", G$256="-"), 0, IF(OR(IFERROR(INDEX($B$196:$M$207, MATCH($N260, $N$196:$N$207, 0), MATCH($N260, $B$195:$M$195, 0)), 0)=0, IFERROR(INDEX($B$196:$M$207, MATCH(G$256, $N$196:$N$207, 0), MATCH(G$256, $B$195:$M$195, 0)), 0)=0), 0, IFERROR(INDEX($B$196:$M$207, MATCH($N260, $N$196:$N$207, 0), MATCH(G$256, $B$195:$M$195, 0)), 0)))</f>
        <v>-1423.0249470757703</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61" t="str">
        <f>IFERROR(INDEX(B$225:B$236, MATCH(4, F$225:F$236, 0)), "-")</f>
        <v>D2Y</v>
      </c>
      <c r="N260" s="134" t="str">
        <f>IFERROR(INDEX(C$225:C$236, MATCH(4, F$225:F$236, 0)), "-")</f>
        <v>U2Y</v>
      </c>
      <c r="Z260" s="188"/>
      <c r="AA260" s="188"/>
      <c r="AB260" s="188"/>
      <c r="AC260" s="188"/>
      <c r="AD260" s="188"/>
      <c r="AE260" s="188"/>
    </row>
    <row r="261" spans="1:31" ht="16.95" customHeight="1" x14ac:dyDescent="0.3">
      <c r="A261" s="138">
        <f t="shared" si="31"/>
        <v>0</v>
      </c>
      <c r="B261" s="13" t="s">
        <v>220</v>
      </c>
      <c r="C261" s="138">
        <f t="shared" si="33"/>
        <v>0</v>
      </c>
      <c r="D261" s="138">
        <f t="shared" si="33"/>
        <v>0</v>
      </c>
      <c r="E261" s="138">
        <f t="shared" si="33"/>
        <v>-474.34164902525674</v>
      </c>
      <c r="F261" s="138">
        <f>IF(OR($N261="-", F$256="-"), 0, IF(OR(IFERROR(INDEX($B$196:$M$207, MATCH($N261, $N$196:$N$207, 0), MATCH($N261, $B$195:$M$195, 0)), 0)=0, IFERROR(INDEX($B$196:$M$207, MATCH(F$256, $N$196:$N$207, 0), MATCH(F$256, $B$195:$M$195, 0)), 0)=0), 0, IFERROR(INDEX($B$196:$M$207, MATCH($N261, $N$196:$N$207, 0), MATCH(F$256, $B$195:$M$195, 0)), 0)))</f>
        <v>-1423.0249470757703</v>
      </c>
      <c r="G261" s="138">
        <f>IF(OR($N261="-", G$256="-"), 1, IF(OR(IFERROR(INDEX($B$196:$M$207, MATCH($N261, $N$196:$N$207, 0), MATCH($N261, $B$195:$M$195, 0)), 0)=0, IFERROR(INDEX($B$196:$M$207, MATCH(G$256, $N$196:$N$207, 0), MATCH(G$256, $B$195:$M$195, 0)), 0)=0), 1, IFERROR(INDEX($B$196:$M$207, MATCH($N261, $N$196:$N$207, 0), MATCH(G$256, $B$195:$M$195, 0)), 0)))</f>
        <v>3474.3416490252566</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61" t="str">
        <f>IFERROR(INDEX(B$225:B$236, MATCH(5, F$225:F$236, 0)), "-")</f>
        <v>D3X</v>
      </c>
      <c r="N261" s="134" t="str">
        <f>IFERROR(INDEX(C$225:C$236, MATCH(5, F$225:F$236, 0)), "-")</f>
        <v>U3X</v>
      </c>
      <c r="Z261" s="188"/>
      <c r="AA261" s="188"/>
      <c r="AB261" s="188"/>
      <c r="AC261" s="188"/>
      <c r="AD261" s="188"/>
      <c r="AE261" s="188"/>
    </row>
    <row r="262" spans="1:31" ht="16.95" customHeight="1" x14ac:dyDescent="0.3">
      <c r="A262" s="138">
        <f t="shared" si="31"/>
        <v>0</v>
      </c>
      <c r="C262" s="138">
        <f t="shared" si="33"/>
        <v>0</v>
      </c>
      <c r="D262" s="138">
        <f t="shared" si="33"/>
        <v>0</v>
      </c>
      <c r="E262" s="138">
        <f t="shared" si="33"/>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61" t="str">
        <f>IFERROR(INDEX(B$225:B$236, MATCH(6, F$225:F$236, 0)), "-")</f>
        <v>-</v>
      </c>
      <c r="N262" s="134" t="str">
        <f>IFERROR(INDEX(C$225:C$236, MATCH(6, F$225:F$236, 0)), "-")</f>
        <v>-</v>
      </c>
      <c r="Z262" s="188"/>
      <c r="AA262" s="188"/>
      <c r="AB262" s="188"/>
      <c r="AC262" s="188"/>
      <c r="AD262" s="188"/>
      <c r="AE262" s="188"/>
    </row>
    <row r="263" spans="1:31" ht="16.95" customHeight="1" x14ac:dyDescent="0.3">
      <c r="A263" s="138">
        <f t="shared" si="31"/>
        <v>0</v>
      </c>
      <c r="C263" s="138">
        <f t="shared" si="33"/>
        <v>0</v>
      </c>
      <c r="D263" s="138">
        <f t="shared" si="33"/>
        <v>0</v>
      </c>
      <c r="E263" s="138">
        <f t="shared" si="33"/>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61" t="str">
        <f>IFERROR(INDEX(B$225:B$236, MATCH(7, F$225:F$236, 0)), "-")</f>
        <v>-</v>
      </c>
      <c r="N263" s="134" t="str">
        <f>IFERROR(INDEX(C$225:C$236, MATCH(7, F$225:F$236, 0)), "-")</f>
        <v>-</v>
      </c>
      <c r="Z263" s="188"/>
      <c r="AA263" s="188"/>
      <c r="AB263" s="188"/>
      <c r="AC263" s="188"/>
      <c r="AD263" s="188"/>
      <c r="AE263" s="188"/>
    </row>
    <row r="264" spans="1:31" ht="16.95" customHeight="1" x14ac:dyDescent="0.3">
      <c r="A264" s="138">
        <f t="shared" si="31"/>
        <v>0</v>
      </c>
      <c r="C264" s="138">
        <f t="shared" si="33"/>
        <v>0</v>
      </c>
      <c r="D264" s="138">
        <f t="shared" si="33"/>
        <v>0</v>
      </c>
      <c r="E264" s="138">
        <f t="shared" si="33"/>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61" t="str">
        <f>IFERROR(INDEX(B$225:B$236, MATCH(8, F$225:F$236, 0)), "-")</f>
        <v>-</v>
      </c>
      <c r="N264" s="134" t="str">
        <f>IFERROR(INDEX(C$225:C$236, MATCH(8, F$225:F$236, 0)), "-")</f>
        <v>-</v>
      </c>
      <c r="Z264" s="188"/>
      <c r="AA264" s="188"/>
      <c r="AB264" s="188"/>
      <c r="AC264" s="188"/>
      <c r="AD264" s="188"/>
      <c r="AE264" s="188"/>
    </row>
    <row r="265" spans="1:31" ht="16.95" customHeight="1" x14ac:dyDescent="0.3">
      <c r="A265" s="138">
        <f t="shared" si="31"/>
        <v>0</v>
      </c>
      <c r="C265" s="138">
        <f t="shared" si="33"/>
        <v>0</v>
      </c>
      <c r="D265" s="138">
        <f t="shared" si="33"/>
        <v>0</v>
      </c>
      <c r="E265" s="138">
        <f t="shared" si="33"/>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61" t="str">
        <f>IFERROR(INDEX(B$225:B$236, MATCH(9, F$225:F$236, 0)), "-")</f>
        <v>-</v>
      </c>
      <c r="N265" s="134" t="str">
        <f>IFERROR(INDEX(C$225:C$236, MATCH(9, F$225:F$236, 0)), "-")</f>
        <v>-</v>
      </c>
      <c r="Z265" s="188"/>
      <c r="AA265" s="188"/>
      <c r="AB265" s="188"/>
      <c r="AC265" s="188"/>
      <c r="AD265" s="188"/>
      <c r="AE265" s="188"/>
    </row>
    <row r="266" spans="1:31" ht="16.95" customHeight="1" x14ac:dyDescent="0.3">
      <c r="Z266" s="188"/>
      <c r="AA266" s="188"/>
      <c r="AB266" s="188"/>
      <c r="AC266" s="188"/>
      <c r="AD266" s="188"/>
      <c r="AE266" s="188"/>
    </row>
    <row r="267" spans="1:31" ht="16.95" customHeight="1" x14ac:dyDescent="0.3">
      <c r="C267" s="190" t="s">
        <v>263</v>
      </c>
      <c r="D267" s="190"/>
      <c r="E267" s="190"/>
      <c r="F267" s="190"/>
      <c r="G267" s="190"/>
      <c r="H267" s="190"/>
      <c r="I267" s="190"/>
      <c r="J267" s="190"/>
      <c r="K267" s="190"/>
      <c r="Z267" s="188"/>
      <c r="AA267" s="188"/>
      <c r="AB267" s="188"/>
      <c r="AC267" s="188"/>
      <c r="AD267" s="188"/>
      <c r="AE267" s="188"/>
    </row>
    <row r="268" spans="1:31" ht="16.95" customHeight="1" x14ac:dyDescent="0.3">
      <c r="A268" s="163" t="s">
        <v>249</v>
      </c>
      <c r="C268" s="193" t="s">
        <v>264</v>
      </c>
      <c r="D268" s="175"/>
      <c r="E268" s="175"/>
      <c r="F268" s="175"/>
      <c r="G268" s="175"/>
      <c r="H268" s="175"/>
      <c r="I268" s="175"/>
      <c r="J268" s="175"/>
      <c r="K268" s="175"/>
      <c r="M268" s="163" t="s">
        <v>247</v>
      </c>
      <c r="Z268" s="188"/>
      <c r="AA268" s="188"/>
      <c r="AB268" s="188"/>
      <c r="AC268" s="188"/>
      <c r="AD268" s="188"/>
      <c r="AE268" s="188"/>
    </row>
    <row r="269" spans="1:31" ht="16.95" customHeight="1" x14ac:dyDescent="0.3">
      <c r="A269" s="132" t="str">
        <f t="shared" ref="A269:A277" si="34">M257</f>
        <v>D1X</v>
      </c>
      <c r="C269" s="139">
        <f t="array" ref="C269:K277">MINVERSE(C257:K265)</f>
        <v>6.2527435935130792E-4</v>
      </c>
      <c r="D269" s="139">
        <v>6.6456031330775392E-5</v>
      </c>
      <c r="E269" s="139">
        <v>4.0371859031026038E-4</v>
      </c>
      <c r="F269" s="139">
        <v>8.2450997906557936E-5</v>
      </c>
      <c r="G269" s="139">
        <v>8.8888888888888866E-5</v>
      </c>
      <c r="H269" s="139">
        <v>0</v>
      </c>
      <c r="I269" s="139">
        <v>0</v>
      </c>
      <c r="J269" s="139">
        <v>0</v>
      </c>
      <c r="K269" s="139">
        <v>0</v>
      </c>
      <c r="M269" s="137">
        <f t="shared" ref="M269:M277" si="35">A257</f>
        <v>1000</v>
      </c>
      <c r="Z269" s="188"/>
      <c r="AA269" s="188"/>
      <c r="AB269" s="188"/>
      <c r="AC269" s="188"/>
      <c r="AD269" s="188"/>
      <c r="AE269" s="188"/>
    </row>
    <row r="270" spans="1:31" ht="16.95" customHeight="1" x14ac:dyDescent="0.3">
      <c r="A270" s="132" t="str">
        <f t="shared" si="34"/>
        <v>D1Y</v>
      </c>
      <c r="C270" s="139">
        <v>6.6456031330775392E-5</v>
      </c>
      <c r="D270" s="139">
        <v>2.8620168335384864E-4</v>
      </c>
      <c r="E270" s="139">
        <v>1.0092964757756509E-4</v>
      </c>
      <c r="F270" s="139">
        <v>2.0612749476639477E-5</v>
      </c>
      <c r="G270" s="139">
        <v>2.222222222222222E-5</v>
      </c>
      <c r="H270" s="139">
        <v>0</v>
      </c>
      <c r="I270" s="139">
        <v>0</v>
      </c>
      <c r="J270" s="139">
        <v>0</v>
      </c>
      <c r="K270" s="139">
        <v>0</v>
      </c>
      <c r="M270" s="137">
        <f t="shared" si="35"/>
        <v>-2000</v>
      </c>
      <c r="Z270" s="188"/>
      <c r="AA270" s="188"/>
      <c r="AB270" s="188"/>
      <c r="AC270" s="188"/>
      <c r="AD270" s="188"/>
      <c r="AE270" s="188"/>
    </row>
    <row r="271" spans="1:31" ht="16.95" customHeight="1" x14ac:dyDescent="0.3">
      <c r="A271" s="132" t="str">
        <f t="shared" si="34"/>
        <v>D2X</v>
      </c>
      <c r="C271" s="139">
        <v>4.0371859031026043E-4</v>
      </c>
      <c r="D271" s="139">
        <v>1.0092964757756511E-4</v>
      </c>
      <c r="E271" s="139">
        <v>4.3099407093782351E-4</v>
      </c>
      <c r="F271" s="139">
        <v>1.9103205694875724E-5</v>
      </c>
      <c r="G271" s="139">
        <v>6.6666666666666656E-5</v>
      </c>
      <c r="H271" s="139">
        <v>0</v>
      </c>
      <c r="I271" s="139">
        <v>0</v>
      </c>
      <c r="J271" s="139">
        <v>0</v>
      </c>
      <c r="K271" s="139">
        <v>0</v>
      </c>
      <c r="M271" s="137">
        <f t="shared" si="35"/>
        <v>2000</v>
      </c>
      <c r="Z271" s="188"/>
      <c r="AA271" s="188"/>
      <c r="AB271" s="188"/>
      <c r="AC271" s="188"/>
      <c r="AD271" s="188"/>
      <c r="AE271" s="188"/>
    </row>
    <row r="272" spans="1:31" ht="16.95" customHeight="1" x14ac:dyDescent="0.3">
      <c r="A272" s="132" t="str">
        <f t="shared" si="34"/>
        <v>D2Y</v>
      </c>
      <c r="C272" s="139">
        <v>8.2450997906557922E-5</v>
      </c>
      <c r="D272" s="139">
        <v>2.0612749476639481E-5</v>
      </c>
      <c r="E272" s="139">
        <v>1.910320569487572E-5</v>
      </c>
      <c r="F272" s="139">
        <v>2.106561261116861E-4</v>
      </c>
      <c r="G272" s="139">
        <v>8.8888888888888866E-5</v>
      </c>
      <c r="H272" s="139">
        <v>0</v>
      </c>
      <c r="I272" s="139">
        <v>0</v>
      </c>
      <c r="J272" s="139">
        <v>0</v>
      </c>
      <c r="K272" s="139">
        <v>0</v>
      </c>
      <c r="M272" s="137">
        <f t="shared" si="35"/>
        <v>-1000</v>
      </c>
      <c r="Z272" s="188"/>
      <c r="AA272" s="188"/>
      <c r="AB272" s="188"/>
      <c r="AC272" s="188"/>
      <c r="AD272" s="188"/>
      <c r="AE272" s="188"/>
    </row>
    <row r="273" spans="1:31" ht="16.95" customHeight="1" x14ac:dyDescent="0.3">
      <c r="A273" s="132" t="str">
        <f t="shared" si="34"/>
        <v>D3X</v>
      </c>
      <c r="B273" s="13" t="s">
        <v>220</v>
      </c>
      <c r="C273" s="139">
        <v>8.8888888888888866E-5</v>
      </c>
      <c r="D273" s="139">
        <v>2.2222222222222217E-5</v>
      </c>
      <c r="E273" s="139">
        <v>6.6666666666666656E-5</v>
      </c>
      <c r="F273" s="139">
        <v>8.8888888888888852E-5</v>
      </c>
      <c r="G273" s="139">
        <v>3.3333333333333332E-4</v>
      </c>
      <c r="H273" s="139">
        <v>0</v>
      </c>
      <c r="I273" s="139">
        <v>0</v>
      </c>
      <c r="J273" s="139">
        <v>0</v>
      </c>
      <c r="K273" s="139">
        <v>0</v>
      </c>
      <c r="M273" s="137">
        <f t="shared" si="35"/>
        <v>0</v>
      </c>
      <c r="Z273" s="188"/>
      <c r="AA273" s="188"/>
      <c r="AB273" s="188"/>
      <c r="AC273" s="188"/>
      <c r="AD273" s="188"/>
      <c r="AE273" s="188"/>
    </row>
    <row r="274" spans="1:31" ht="16.95" customHeight="1" x14ac:dyDescent="0.3">
      <c r="A274" s="132" t="str">
        <f t="shared" si="34"/>
        <v>-</v>
      </c>
      <c r="C274" s="139">
        <v>0</v>
      </c>
      <c r="D274" s="139">
        <v>0</v>
      </c>
      <c r="E274" s="139">
        <v>0</v>
      </c>
      <c r="F274" s="139">
        <v>0</v>
      </c>
      <c r="G274" s="139">
        <v>0</v>
      </c>
      <c r="H274" s="139">
        <v>1</v>
      </c>
      <c r="I274" s="139">
        <v>0</v>
      </c>
      <c r="J274" s="139">
        <v>0</v>
      </c>
      <c r="K274" s="139">
        <v>0</v>
      </c>
      <c r="M274" s="137">
        <f t="shared" si="35"/>
        <v>0</v>
      </c>
      <c r="Z274" s="188"/>
      <c r="AA274" s="188"/>
      <c r="AB274" s="188"/>
      <c r="AC274" s="188"/>
      <c r="AD274" s="188"/>
      <c r="AE274" s="188"/>
    </row>
    <row r="275" spans="1:31" ht="16.95" customHeight="1" x14ac:dyDescent="0.3">
      <c r="A275" s="132" t="str">
        <f t="shared" si="34"/>
        <v>-</v>
      </c>
      <c r="C275" s="139">
        <v>0</v>
      </c>
      <c r="D275" s="139">
        <v>0</v>
      </c>
      <c r="E275" s="139">
        <v>0</v>
      </c>
      <c r="F275" s="139">
        <v>0</v>
      </c>
      <c r="G275" s="139">
        <v>0</v>
      </c>
      <c r="H275" s="139">
        <v>0</v>
      </c>
      <c r="I275" s="139">
        <v>1</v>
      </c>
      <c r="J275" s="139">
        <v>0</v>
      </c>
      <c r="K275" s="139">
        <v>0</v>
      </c>
      <c r="M275" s="137">
        <f t="shared" si="35"/>
        <v>0</v>
      </c>
      <c r="Z275" s="188"/>
      <c r="AA275" s="188"/>
      <c r="AB275" s="188"/>
      <c r="AC275" s="188"/>
      <c r="AD275" s="188"/>
      <c r="AE275" s="188"/>
    </row>
    <row r="276" spans="1:31" ht="16.95" customHeight="1" x14ac:dyDescent="0.3">
      <c r="A276" s="132" t="str">
        <f t="shared" si="34"/>
        <v>-</v>
      </c>
      <c r="C276" s="139">
        <v>0</v>
      </c>
      <c r="D276" s="139">
        <v>0</v>
      </c>
      <c r="E276" s="139">
        <v>0</v>
      </c>
      <c r="F276" s="139">
        <v>0</v>
      </c>
      <c r="G276" s="139">
        <v>0</v>
      </c>
      <c r="H276" s="139">
        <v>0</v>
      </c>
      <c r="I276" s="139">
        <v>0</v>
      </c>
      <c r="J276" s="139">
        <v>1</v>
      </c>
      <c r="K276" s="139">
        <v>0</v>
      </c>
      <c r="M276" s="137">
        <f t="shared" si="35"/>
        <v>0</v>
      </c>
      <c r="Z276" s="188"/>
      <c r="AA276" s="188"/>
      <c r="AB276" s="188"/>
      <c r="AC276" s="188"/>
      <c r="AD276" s="188"/>
      <c r="AE276" s="188"/>
    </row>
    <row r="277" spans="1:31" ht="16.95" customHeight="1" x14ac:dyDescent="0.3">
      <c r="A277" s="132" t="str">
        <f t="shared" si="34"/>
        <v>-</v>
      </c>
      <c r="C277" s="139">
        <v>0</v>
      </c>
      <c r="D277" s="139">
        <v>0</v>
      </c>
      <c r="E277" s="139">
        <v>0</v>
      </c>
      <c r="F277" s="139">
        <v>0</v>
      </c>
      <c r="G277" s="139">
        <v>0</v>
      </c>
      <c r="H277" s="139">
        <v>0</v>
      </c>
      <c r="I277" s="139">
        <v>0</v>
      </c>
      <c r="J277" s="139">
        <v>0</v>
      </c>
      <c r="K277" s="139">
        <v>1</v>
      </c>
      <c r="M277" s="137">
        <f t="shared" si="35"/>
        <v>0</v>
      </c>
      <c r="Z277" s="188"/>
      <c r="AA277" s="188"/>
      <c r="AB277" s="188"/>
      <c r="AC277" s="188"/>
      <c r="AD277" s="188"/>
      <c r="AE277" s="188"/>
    </row>
    <row r="278" spans="1:31" ht="16.95" customHeight="1" x14ac:dyDescent="0.3">
      <c r="Z278" s="188"/>
      <c r="AA278" s="188"/>
      <c r="AB278" s="188"/>
      <c r="AC278" s="188"/>
      <c r="AD278" s="188"/>
      <c r="AE278" s="188"/>
    </row>
    <row r="279" spans="1:31" ht="16.95" customHeight="1" x14ac:dyDescent="0.3">
      <c r="C279" s="190" t="s">
        <v>265</v>
      </c>
      <c r="D279" s="190"/>
      <c r="Z279" s="188"/>
      <c r="AA279" s="188"/>
      <c r="AB279" s="188"/>
      <c r="AC279" s="188"/>
      <c r="AD279" s="188"/>
      <c r="AE279" s="188"/>
    </row>
    <row r="280" spans="1:31" ht="16.95" customHeight="1" x14ac:dyDescent="0.3">
      <c r="A280" s="163" t="s">
        <v>249</v>
      </c>
      <c r="C280" s="199" t="s">
        <v>733</v>
      </c>
      <c r="D280" s="199"/>
      <c r="Z280" s="188"/>
      <c r="AA280" s="188"/>
      <c r="AB280" s="188"/>
      <c r="AC280" s="188"/>
      <c r="AD280" s="188"/>
      <c r="AE280" s="188"/>
    </row>
    <row r="281" spans="1:31" ht="16.95" customHeight="1" x14ac:dyDescent="0.3">
      <c r="A281" s="166" t="str">
        <f t="shared" ref="A281:A289" si="36">A269</f>
        <v>D1X</v>
      </c>
      <c r="C281" s="167">
        <f t="array" ref="C281:C289">MMULT(C269:K277, M269:M277)</f>
        <v>1.2173484794037199</v>
      </c>
      <c r="D281" s="132" t="s">
        <v>267</v>
      </c>
      <c r="Z281" s="188"/>
      <c r="AA281" s="188"/>
      <c r="AB281" s="188"/>
      <c r="AC281" s="188"/>
      <c r="AD281" s="188"/>
      <c r="AE281" s="188"/>
    </row>
    <row r="282" spans="1:31" ht="16.95" customHeight="1" x14ac:dyDescent="0.3">
      <c r="A282" s="166" t="str">
        <f t="shared" si="36"/>
        <v>D1Y</v>
      </c>
      <c r="C282" s="167">
        <v>-0.32470078969843125</v>
      </c>
      <c r="D282" s="132" t="s">
        <v>267</v>
      </c>
      <c r="Z282" s="188"/>
      <c r="AA282" s="188"/>
      <c r="AB282" s="188"/>
      <c r="AC282" s="188"/>
      <c r="AD282" s="188"/>
      <c r="AE282" s="188"/>
    </row>
    <row r="283" spans="1:31" ht="16.95" customHeight="1" x14ac:dyDescent="0.3">
      <c r="A283" s="166" t="str">
        <f t="shared" si="36"/>
        <v>D2X</v>
      </c>
      <c r="C283" s="167">
        <v>1.0447442313359014</v>
      </c>
      <c r="D283" s="132" t="s">
        <v>267</v>
      </c>
      <c r="Z283" s="188"/>
      <c r="AA283" s="188"/>
      <c r="AB283" s="188"/>
      <c r="AC283" s="188"/>
      <c r="AD283" s="188"/>
      <c r="AE283" s="188"/>
    </row>
    <row r="284" spans="1:31" ht="16.95" customHeight="1" x14ac:dyDescent="0.3">
      <c r="A284" s="166" t="str">
        <f t="shared" si="36"/>
        <v>D2Y</v>
      </c>
      <c r="C284" s="167">
        <v>-0.1312242157686557</v>
      </c>
      <c r="D284" s="132" t="s">
        <v>267</v>
      </c>
      <c r="Z284" s="188"/>
      <c r="AA284" s="188"/>
      <c r="AB284" s="188"/>
      <c r="AC284" s="188"/>
      <c r="AD284" s="188"/>
      <c r="AE284" s="188"/>
    </row>
    <row r="285" spans="1:31" ht="16.95" customHeight="1" x14ac:dyDescent="0.3">
      <c r="A285" s="166" t="str">
        <f t="shared" si="36"/>
        <v>D3X</v>
      </c>
      <c r="B285" s="13" t="s">
        <v>220</v>
      </c>
      <c r="C285" s="167">
        <v>8.8888888888888878E-2</v>
      </c>
      <c r="D285" s="132" t="s">
        <v>267</v>
      </c>
      <c r="Z285" s="188"/>
      <c r="AA285" s="188"/>
      <c r="AB285" s="188"/>
      <c r="AC285" s="188"/>
      <c r="AD285" s="188"/>
      <c r="AE285" s="188"/>
    </row>
    <row r="286" spans="1:31" ht="16.95" customHeight="1" x14ac:dyDescent="0.3">
      <c r="A286" s="166" t="str">
        <f t="shared" si="36"/>
        <v>-</v>
      </c>
      <c r="C286" s="167">
        <v>0</v>
      </c>
      <c r="D286" s="132" t="s">
        <v>267</v>
      </c>
      <c r="Z286" s="188"/>
      <c r="AA286" s="188"/>
      <c r="AB286" s="188"/>
      <c r="AC286" s="188"/>
      <c r="AD286" s="188"/>
      <c r="AE286" s="188"/>
    </row>
    <row r="287" spans="1:31" ht="16.95" customHeight="1" x14ac:dyDescent="0.3">
      <c r="A287" s="166" t="str">
        <f t="shared" si="36"/>
        <v>-</v>
      </c>
      <c r="C287" s="167">
        <v>0</v>
      </c>
      <c r="D287" s="132" t="s">
        <v>267</v>
      </c>
      <c r="Z287" s="188"/>
      <c r="AA287" s="188"/>
      <c r="AB287" s="188"/>
      <c r="AC287" s="188"/>
      <c r="AD287" s="188"/>
      <c r="AE287" s="188"/>
    </row>
    <row r="288" spans="1:31" ht="16.95" customHeight="1" x14ac:dyDescent="0.3">
      <c r="A288" s="166" t="str">
        <f t="shared" si="36"/>
        <v>-</v>
      </c>
      <c r="C288" s="167">
        <v>0</v>
      </c>
      <c r="D288" s="132" t="s">
        <v>267</v>
      </c>
      <c r="Z288" s="188"/>
      <c r="AA288" s="188"/>
      <c r="AB288" s="188"/>
      <c r="AC288" s="188"/>
      <c r="AD288" s="188"/>
      <c r="AE288" s="188"/>
    </row>
    <row r="289" spans="1:31" ht="16.95" customHeight="1" x14ac:dyDescent="0.3">
      <c r="A289" s="166" t="str">
        <f t="shared" si="36"/>
        <v>-</v>
      </c>
      <c r="C289" s="167">
        <v>0</v>
      </c>
      <c r="D289" s="132" t="s">
        <v>267</v>
      </c>
      <c r="Z289" s="188"/>
      <c r="AA289" s="188"/>
      <c r="AB289" s="188"/>
      <c r="AC289" s="188"/>
      <c r="AD289" s="188"/>
      <c r="AE289" s="188"/>
    </row>
    <row r="292" spans="1:31" ht="19.95" customHeight="1" x14ac:dyDescent="0.35">
      <c r="A292" s="131" t="s">
        <v>268</v>
      </c>
      <c r="Z292" s="189" t="s">
        <v>269</v>
      </c>
      <c r="AA292" s="189"/>
      <c r="AB292" s="189"/>
      <c r="AC292" s="189"/>
      <c r="AD292" s="189"/>
      <c r="AE292" s="189"/>
    </row>
    <row r="293" spans="1:31" ht="16.95" customHeight="1" x14ac:dyDescent="0.3">
      <c r="A293" s="163" t="s">
        <v>247</v>
      </c>
      <c r="M293" s="163" t="s">
        <v>249</v>
      </c>
      <c r="Z293" s="188" t="s">
        <v>270</v>
      </c>
      <c r="AA293" s="188"/>
      <c r="AB293" s="188"/>
      <c r="AC293" s="188"/>
      <c r="AD293" s="188"/>
      <c r="AE293" s="188"/>
    </row>
    <row r="294" spans="1:31" ht="16.95" customHeight="1" x14ac:dyDescent="0.3">
      <c r="A294" s="141" t="str">
        <f>IF($N294="-", "-", IFERROR(INDEX(B$211:B$222, MATCH($N294, C$211:C$222, 0)), "-"))</f>
        <v>C3Y</v>
      </c>
      <c r="C294" s="120">
        <f t="shared" ref="C294:K296" si="37">IF(OR($N294="-", C$256="-"), 0, IFERROR(INDEX($B$196:$M$207, MATCH($N294, $N$196:$N$207, 0), MATCH(C$256, $B$195:$M$195, 0)), 0))</f>
        <v>0</v>
      </c>
      <c r="D294" s="120">
        <f t="shared" si="37"/>
        <v>0</v>
      </c>
      <c r="E294" s="120">
        <f t="shared" si="37"/>
        <v>-1423.0249470757703</v>
      </c>
      <c r="F294" s="120">
        <f t="shared" si="37"/>
        <v>-4269.0748412273124</v>
      </c>
      <c r="G294" s="120">
        <f t="shared" si="37"/>
        <v>1423.0249470757703</v>
      </c>
      <c r="H294" s="120">
        <f t="shared" si="37"/>
        <v>0</v>
      </c>
      <c r="I294" s="120">
        <f t="shared" si="37"/>
        <v>0</v>
      </c>
      <c r="J294" s="120">
        <f t="shared" si="37"/>
        <v>0</v>
      </c>
      <c r="K294" s="120">
        <f t="shared" si="37"/>
        <v>0</v>
      </c>
      <c r="M294" s="142">
        <f t="shared" ref="M294:M302" si="38">C281</f>
        <v>1.2173484794037199</v>
      </c>
      <c r="N294" s="134" t="str">
        <f>IFERROR(INDEX(C$225:C$236, MATCH(1, G$225:G$236, 0)), "-")</f>
        <v>U3Y</v>
      </c>
      <c r="Z294" s="188" t="s">
        <v>271</v>
      </c>
      <c r="AA294" s="188"/>
      <c r="AB294" s="188"/>
      <c r="AC294" s="188"/>
      <c r="AD294" s="188"/>
      <c r="AE294" s="188"/>
    </row>
    <row r="295" spans="1:31" ht="16.95" customHeight="1" x14ac:dyDescent="0.3">
      <c r="A295" s="141" t="str">
        <f>IF($N295="-", "-", IFERROR(INDEX(B$211:B$222, MATCH($N295, C$211:C$222, 0)), "-"))</f>
        <v>C4X</v>
      </c>
      <c r="B295" s="13" t="s">
        <v>220</v>
      </c>
      <c r="C295" s="120">
        <f t="shared" si="37"/>
        <v>-214.00202209088201</v>
      </c>
      <c r="D295" s="120">
        <f t="shared" si="37"/>
        <v>856.00808836352803</v>
      </c>
      <c r="E295" s="120">
        <f t="shared" si="37"/>
        <v>-1920</v>
      </c>
      <c r="F295" s="120">
        <f t="shared" si="37"/>
        <v>1440</v>
      </c>
      <c r="G295" s="120">
        <f t="shared" si="37"/>
        <v>-3000</v>
      </c>
      <c r="H295" s="120">
        <f t="shared" si="37"/>
        <v>0</v>
      </c>
      <c r="I295" s="120">
        <f t="shared" si="37"/>
        <v>0</v>
      </c>
      <c r="J295" s="120">
        <f t="shared" si="37"/>
        <v>0</v>
      </c>
      <c r="K295" s="120">
        <f t="shared" si="37"/>
        <v>0</v>
      </c>
      <c r="M295" s="142">
        <f t="shared" si="38"/>
        <v>-0.32470078969843125</v>
      </c>
      <c r="N295" s="134" t="str">
        <f>IFERROR(INDEX(C$225:C$236, MATCH(2, G$225:G$236, 0)), "-")</f>
        <v>U4X</v>
      </c>
      <c r="Z295" s="188" t="s">
        <v>272</v>
      </c>
      <c r="AA295" s="188"/>
      <c r="AB295" s="188"/>
      <c r="AC295" s="188"/>
      <c r="AD295" s="188"/>
      <c r="AE295" s="188"/>
    </row>
    <row r="296" spans="1:31" ht="16.95" customHeight="1" x14ac:dyDescent="0.3">
      <c r="A296" s="141" t="str">
        <f>IF($N296="-", "-", IFERROR(INDEX(B$211:B$222, MATCH($N296, C$211:C$222, 0)), "-"))</f>
        <v>C4Y</v>
      </c>
      <c r="C296" s="120">
        <f t="shared" si="37"/>
        <v>856.00808836352803</v>
      </c>
      <c r="D296" s="120">
        <f t="shared" si="37"/>
        <v>-3424.0323534541121</v>
      </c>
      <c r="E296" s="120">
        <f t="shared" si="37"/>
        <v>1440</v>
      </c>
      <c r="F296" s="120">
        <f t="shared" si="37"/>
        <v>-1080</v>
      </c>
      <c r="G296" s="120">
        <f t="shared" si="37"/>
        <v>0</v>
      </c>
      <c r="H296" s="120">
        <f t="shared" si="37"/>
        <v>0</v>
      </c>
      <c r="I296" s="120">
        <f t="shared" si="37"/>
        <v>0</v>
      </c>
      <c r="J296" s="120">
        <f t="shared" si="37"/>
        <v>0</v>
      </c>
      <c r="K296" s="120">
        <f t="shared" si="37"/>
        <v>0</v>
      </c>
      <c r="M296" s="142">
        <f t="shared" si="38"/>
        <v>1.0447442313359014</v>
      </c>
      <c r="N296" s="134" t="str">
        <f>IFERROR(INDEX(C$225:C$236, MATCH(3, G$225:G$236, 0)), "-")</f>
        <v>U4Y</v>
      </c>
      <c r="Z296" s="188"/>
      <c r="AA296" s="188"/>
      <c r="AB296" s="188"/>
      <c r="AC296" s="188"/>
      <c r="AD296" s="188"/>
      <c r="AE296" s="188"/>
    </row>
    <row r="297" spans="1:31" ht="16.95" customHeight="1" x14ac:dyDescent="0.3">
      <c r="M297" s="142">
        <f t="shared" si="38"/>
        <v>-0.1312242157686557</v>
      </c>
      <c r="Z297" s="188"/>
      <c r="AA297" s="188"/>
      <c r="AB297" s="188"/>
      <c r="AC297" s="188"/>
      <c r="AD297" s="188"/>
      <c r="AE297" s="188"/>
    </row>
    <row r="298" spans="1:31" ht="16.95" customHeight="1" x14ac:dyDescent="0.3">
      <c r="M298" s="142">
        <f t="shared" si="38"/>
        <v>8.8888888888888878E-2</v>
      </c>
      <c r="Z298" s="188"/>
      <c r="AA298" s="188"/>
      <c r="AB298" s="188"/>
      <c r="AC298" s="188"/>
      <c r="AD298" s="188"/>
      <c r="AE298" s="188"/>
    </row>
    <row r="299" spans="1:31" ht="16.95" customHeight="1" x14ac:dyDescent="0.3">
      <c r="M299" s="142">
        <f t="shared" si="38"/>
        <v>0</v>
      </c>
      <c r="Z299" s="188"/>
      <c r="AA299" s="188"/>
      <c r="AB299" s="188"/>
      <c r="AC299" s="188"/>
      <c r="AD299" s="188"/>
      <c r="AE299" s="188"/>
    </row>
    <row r="300" spans="1:31" ht="16.95" customHeight="1" x14ac:dyDescent="0.3">
      <c r="M300" s="142">
        <f t="shared" si="38"/>
        <v>0</v>
      </c>
      <c r="Z300" s="188"/>
      <c r="AA300" s="188"/>
      <c r="AB300" s="188"/>
      <c r="AC300" s="188"/>
      <c r="AD300" s="188"/>
      <c r="AE300" s="188"/>
    </row>
    <row r="301" spans="1:31" ht="16.95" customHeight="1" x14ac:dyDescent="0.3">
      <c r="M301" s="142">
        <f t="shared" si="38"/>
        <v>0</v>
      </c>
      <c r="Z301" s="188"/>
      <c r="AA301" s="188"/>
      <c r="AB301" s="188"/>
      <c r="AC301" s="188"/>
      <c r="AD301" s="188"/>
      <c r="AE301" s="188"/>
    </row>
    <row r="302" spans="1:31" ht="16.95" customHeight="1" x14ac:dyDescent="0.3">
      <c r="M302" s="142">
        <f t="shared" si="38"/>
        <v>0</v>
      </c>
      <c r="Z302" s="188"/>
      <c r="AA302" s="188"/>
      <c r="AB302" s="188"/>
      <c r="AC302" s="188"/>
      <c r="AD302" s="188"/>
      <c r="AE302" s="188"/>
    </row>
    <row r="303" spans="1:31" ht="16.95" customHeight="1" x14ac:dyDescent="0.3">
      <c r="Z303" s="188"/>
      <c r="AA303" s="188"/>
      <c r="AB303" s="188"/>
      <c r="AC303" s="188"/>
      <c r="AD303" s="188"/>
      <c r="AE303" s="188"/>
    </row>
    <row r="304" spans="1:31" ht="16.95" customHeight="1" x14ac:dyDescent="0.3">
      <c r="A304" s="132" t="str">
        <f>A294</f>
        <v>C3Y</v>
      </c>
      <c r="C304" s="168">
        <f t="array" ref="C304:C306">MMULT(C294:K296, M294:M302)</f>
        <v>-800</v>
      </c>
      <c r="D304" s="132" t="s">
        <v>273</v>
      </c>
      <c r="Z304" s="188"/>
      <c r="AA304" s="188"/>
      <c r="AB304" s="188"/>
      <c r="AC304" s="188"/>
      <c r="AD304" s="188"/>
      <c r="AE304" s="188"/>
    </row>
    <row r="305" spans="1:31" ht="16.95" customHeight="1" x14ac:dyDescent="0.3">
      <c r="A305" s="132" t="str">
        <f>A295</f>
        <v>C4X</v>
      </c>
      <c r="B305" s="13" t="s">
        <v>220</v>
      </c>
      <c r="C305" s="168">
        <v>-3000</v>
      </c>
      <c r="D305" s="132" t="s">
        <v>273</v>
      </c>
      <c r="Z305" s="188"/>
      <c r="AA305" s="188"/>
      <c r="AB305" s="188"/>
      <c r="AC305" s="188"/>
      <c r="AD305" s="188"/>
      <c r="AE305" s="188"/>
    </row>
    <row r="306" spans="1:31" ht="16.95" customHeight="1" x14ac:dyDescent="0.3">
      <c r="A306" s="132" t="str">
        <f>A296</f>
        <v>C4Y</v>
      </c>
      <c r="C306" s="168">
        <v>3800.0000000000005</v>
      </c>
      <c r="D306" s="132" t="s">
        <v>273</v>
      </c>
      <c r="Z306" s="188"/>
      <c r="AA306" s="188"/>
      <c r="AB306" s="188"/>
      <c r="AC306" s="188"/>
      <c r="AD306" s="188"/>
      <c r="AE306" s="188"/>
    </row>
    <row r="309" spans="1:31" ht="19.95" customHeight="1" x14ac:dyDescent="0.35">
      <c r="A309" s="131" t="s">
        <v>274</v>
      </c>
    </row>
    <row r="311" spans="1:31" ht="19.05" customHeight="1" x14ac:dyDescent="0.3">
      <c r="A311" s="132" t="s">
        <v>228</v>
      </c>
      <c r="B311" s="132" t="s">
        <v>178</v>
      </c>
      <c r="D311" s="170">
        <f t="shared" ref="D311:D322" si="39">IFERROR(INDEX(C$281:C$289, MATCH(A311, A$281:A$289, 0)), 0)</f>
        <v>1.2173484794037199</v>
      </c>
    </row>
    <row r="312" spans="1:31" ht="19.05" customHeight="1" x14ac:dyDescent="0.3">
      <c r="A312" s="132" t="s">
        <v>229</v>
      </c>
      <c r="B312" s="132" t="s">
        <v>179</v>
      </c>
      <c r="D312" s="170">
        <f t="shared" si="39"/>
        <v>-0.32470078969843125</v>
      </c>
    </row>
    <row r="313" spans="1:31" ht="19.05" customHeight="1" x14ac:dyDescent="0.3">
      <c r="A313" s="132" t="s">
        <v>230</v>
      </c>
      <c r="B313" s="132" t="s">
        <v>180</v>
      </c>
      <c r="D313" s="170">
        <f t="shared" si="39"/>
        <v>1.0447442313359014</v>
      </c>
    </row>
    <row r="314" spans="1:31" ht="19.05" customHeight="1" x14ac:dyDescent="0.3">
      <c r="A314" s="132" t="s">
        <v>231</v>
      </c>
      <c r="B314" s="132" t="s">
        <v>181</v>
      </c>
      <c r="D314" s="170">
        <f t="shared" si="39"/>
        <v>-0.1312242157686557</v>
      </c>
    </row>
    <row r="315" spans="1:31" ht="19.05" customHeight="1" x14ac:dyDescent="0.3">
      <c r="A315" s="132" t="s">
        <v>232</v>
      </c>
      <c r="B315" s="132" t="s">
        <v>182</v>
      </c>
      <c r="D315" s="170">
        <f t="shared" si="39"/>
        <v>8.8888888888888878E-2</v>
      </c>
    </row>
    <row r="316" spans="1:31" ht="19.05" customHeight="1" x14ac:dyDescent="0.3">
      <c r="A316" s="132" t="s">
        <v>234</v>
      </c>
      <c r="B316" s="132" t="s">
        <v>183</v>
      </c>
      <c r="D316" s="140">
        <f t="shared" si="39"/>
        <v>0</v>
      </c>
    </row>
    <row r="317" spans="1:31" ht="19.05" customHeight="1" x14ac:dyDescent="0.3">
      <c r="A317" s="132" t="s">
        <v>235</v>
      </c>
      <c r="B317" s="132" t="s">
        <v>184</v>
      </c>
      <c r="D317" s="140">
        <f t="shared" si="39"/>
        <v>0</v>
      </c>
    </row>
    <row r="318" spans="1:31" ht="19.05" customHeight="1" x14ac:dyDescent="0.3">
      <c r="A318" s="132" t="s">
        <v>236</v>
      </c>
      <c r="B318" s="132" t="s">
        <v>185</v>
      </c>
      <c r="D318" s="140">
        <f t="shared" si="39"/>
        <v>0</v>
      </c>
    </row>
    <row r="319" spans="1:31" ht="19.05" customHeight="1" x14ac:dyDescent="0.3">
      <c r="A319" s="132" t="s">
        <v>237</v>
      </c>
      <c r="B319" s="132" t="s">
        <v>186</v>
      </c>
      <c r="D319" s="140">
        <f t="shared" si="39"/>
        <v>0</v>
      </c>
    </row>
    <row r="320" spans="1:31" ht="19.05" customHeight="1" x14ac:dyDescent="0.3">
      <c r="A320" s="132" t="s">
        <v>238</v>
      </c>
      <c r="B320" s="132" t="s">
        <v>187</v>
      </c>
      <c r="D320" s="140">
        <f t="shared" si="39"/>
        <v>0</v>
      </c>
    </row>
    <row r="321" spans="1:31" ht="19.05" customHeight="1" x14ac:dyDescent="0.3">
      <c r="A321" s="132" t="s">
        <v>239</v>
      </c>
      <c r="B321" s="132" t="s">
        <v>188</v>
      </c>
      <c r="D321" s="140">
        <f t="shared" si="39"/>
        <v>0</v>
      </c>
    </row>
    <row r="322" spans="1:31" ht="19.05" customHeight="1" x14ac:dyDescent="0.3">
      <c r="A322" s="132" t="s">
        <v>240</v>
      </c>
      <c r="B322" s="132" t="s">
        <v>189</v>
      </c>
      <c r="D322" s="140">
        <f t="shared" si="39"/>
        <v>0</v>
      </c>
    </row>
    <row r="325" spans="1:31" ht="19.95" customHeight="1" x14ac:dyDescent="0.35">
      <c r="A325" s="131" t="s">
        <v>275</v>
      </c>
      <c r="Z325" s="189" t="s">
        <v>276</v>
      </c>
      <c r="AA325" s="189"/>
      <c r="AB325" s="189"/>
      <c r="AC325" s="189"/>
      <c r="AD325" s="189"/>
      <c r="AE325" s="189"/>
    </row>
    <row r="326" spans="1:31" ht="16.95" customHeight="1" x14ac:dyDescent="0.3">
      <c r="Z326" s="188" t="s">
        <v>277</v>
      </c>
      <c r="AA326" s="188"/>
      <c r="AB326" s="188"/>
      <c r="AC326" s="188"/>
      <c r="AD326" s="188"/>
      <c r="AE326" s="188"/>
    </row>
    <row r="327" spans="1:31" ht="16.95" customHeight="1" x14ac:dyDescent="0.3">
      <c r="A327" s="143" t="s">
        <v>278</v>
      </c>
      <c r="C327" s="143" t="s">
        <v>279</v>
      </c>
      <c r="D327" s="143" t="s">
        <v>280</v>
      </c>
      <c r="E327" s="143" t="s">
        <v>279</v>
      </c>
      <c r="F327" s="143" t="s">
        <v>280</v>
      </c>
      <c r="G327" s="143" t="s">
        <v>249</v>
      </c>
      <c r="Z327" s="188" t="s">
        <v>281</v>
      </c>
      <c r="AA327" s="188"/>
      <c r="AB327" s="188"/>
      <c r="AC327" s="188"/>
      <c r="AD327" s="188"/>
      <c r="AE327" s="188"/>
    </row>
    <row r="328" spans="1:31" ht="16.95" customHeight="1" x14ac:dyDescent="0.3">
      <c r="C328" s="143" t="s">
        <v>282</v>
      </c>
      <c r="D328" s="143" t="s">
        <v>282</v>
      </c>
      <c r="E328" s="143" t="s">
        <v>283</v>
      </c>
      <c r="F328" s="143" t="s">
        <v>283</v>
      </c>
      <c r="Z328" s="188" t="s">
        <v>284</v>
      </c>
      <c r="AA328" s="188"/>
      <c r="AB328" s="188"/>
      <c r="AC328" s="188"/>
      <c r="AD328" s="188"/>
      <c r="AE328" s="188"/>
    </row>
    <row r="329" spans="1:31" ht="16.95" customHeight="1" x14ac:dyDescent="0.3">
      <c r="A329" s="137">
        <f>N6</f>
        <v>4743.416490252569</v>
      </c>
      <c r="C329" s="144">
        <f>IF(J6="","", -J6)</f>
        <v>-0.31622776601683789</v>
      </c>
      <c r="D329" s="144">
        <f>IF(K6="","", -K6)</f>
        <v>-0.94868329805051377</v>
      </c>
      <c r="E329" s="144">
        <f>IF(J6="","", J6)</f>
        <v>0.31622776601683789</v>
      </c>
      <c r="F329" s="144">
        <f>IF(K6="","", K6)</f>
        <v>0.94868329805051377</v>
      </c>
      <c r="G329" s="145">
        <f>IF(H329="","", IFERROR(VLOOKUP(H329, A$311:D$322, 4, FALSE), 0))</f>
        <v>8.8888888888888878E-2</v>
      </c>
      <c r="H329" s="132" t="str">
        <f>IF(C17="","", "D" &amp; C17 &amp; "X")</f>
        <v>D3X</v>
      </c>
      <c r="Z329" s="188"/>
      <c r="AA329" s="188"/>
      <c r="AB329" s="188"/>
      <c r="AC329" s="188"/>
      <c r="AD329" s="188"/>
      <c r="AE329" s="188"/>
    </row>
    <row r="330" spans="1:31" ht="16.95" customHeight="1" x14ac:dyDescent="0.3">
      <c r="A330" s="163" t="s">
        <v>285</v>
      </c>
      <c r="B330" s="146">
        <f>IF(OR(A329=0, C17=""), 0, (MMULT(C329:F329, G329:G332)*A329))</f>
        <v>843.27404271156797</v>
      </c>
      <c r="G330" s="145">
        <f>IF(H330="","", IFERROR(VLOOKUP(H330, A$311:D$322, 4, FALSE), 0))</f>
        <v>0</v>
      </c>
      <c r="H330" s="132" t="str">
        <f>IF(C17="","", "D" &amp; C17 &amp; "Y")</f>
        <v>D3Y</v>
      </c>
      <c r="Z330" s="188"/>
      <c r="AA330" s="188"/>
      <c r="AB330" s="188"/>
      <c r="AC330" s="188"/>
      <c r="AD330" s="188"/>
      <c r="AE330" s="188"/>
    </row>
    <row r="331" spans="1:31" ht="16.95" customHeight="1" x14ac:dyDescent="0.3">
      <c r="G331" s="145">
        <f>IF(H331="","", IFERROR(VLOOKUP(H331, A$311:D$322, 4, FALSE), 0))</f>
        <v>1.0447442313359014</v>
      </c>
      <c r="H331" s="132" t="str">
        <f>IF(F17="","", "D" &amp; F17 &amp; "X")</f>
        <v>D2X</v>
      </c>
      <c r="Z331" s="188"/>
      <c r="AA331" s="188"/>
      <c r="AB331" s="188"/>
      <c r="AC331" s="188"/>
      <c r="AD331" s="188"/>
      <c r="AE331" s="188"/>
    </row>
    <row r="332" spans="1:31" ht="16.95" customHeight="1" x14ac:dyDescent="0.3">
      <c r="G332" s="145">
        <f>IF(H332="","", IFERROR(VLOOKUP(H332, A$311:D$322, 4, FALSE), 0))</f>
        <v>-0.1312242157686557</v>
      </c>
      <c r="H332" s="132" t="str">
        <f>IF(F17="","", "D" &amp; F17 &amp; "Y")</f>
        <v>D2Y</v>
      </c>
      <c r="Z332" s="188"/>
      <c r="AA332" s="188"/>
      <c r="AB332" s="188"/>
      <c r="AC332" s="188"/>
      <c r="AD332" s="188"/>
      <c r="AE332" s="188"/>
    </row>
    <row r="333" spans="1:31" ht="16.95" customHeight="1" x14ac:dyDescent="0.3">
      <c r="B333" s="163" t="s">
        <v>273</v>
      </c>
      <c r="C333" s="185" t="str">
        <f>IF(C17="","", IF(B330&gt;0.001,"BARRA A TRACCIÓN (+)",IF(B330&lt;-0.001,"BARRA A COMPRESIÓN (-)","BARRA DE FUERZA NULA")))</f>
        <v>BARRA A TRACCIÓN (+)</v>
      </c>
      <c r="D333" s="185"/>
      <c r="E333" s="185"/>
      <c r="F333" s="185"/>
      <c r="Z333" s="188"/>
      <c r="AA333" s="188"/>
      <c r="AB333" s="188"/>
      <c r="AC333" s="188"/>
      <c r="AD333" s="188"/>
      <c r="AE333" s="188"/>
    </row>
    <row r="334" spans="1:31" ht="16.95" customHeight="1" x14ac:dyDescent="0.3">
      <c r="Z334" s="188"/>
      <c r="AA334" s="188"/>
      <c r="AB334" s="188"/>
      <c r="AC334" s="188"/>
      <c r="AD334" s="188"/>
      <c r="AE334" s="188"/>
    </row>
    <row r="335" spans="1:31" ht="16.95" customHeight="1" x14ac:dyDescent="0.3">
      <c r="A335" s="143" t="s">
        <v>278</v>
      </c>
      <c r="C335" s="143" t="s">
        <v>279</v>
      </c>
      <c r="D335" s="143" t="s">
        <v>280</v>
      </c>
      <c r="E335" s="143" t="s">
        <v>279</v>
      </c>
      <c r="F335" s="143" t="s">
        <v>280</v>
      </c>
      <c r="G335" s="143" t="s">
        <v>249</v>
      </c>
      <c r="Z335" s="188"/>
      <c r="AA335" s="188"/>
      <c r="AB335" s="188"/>
      <c r="AC335" s="188"/>
      <c r="AD335" s="188"/>
      <c r="AE335" s="188"/>
    </row>
    <row r="336" spans="1:31" ht="16.95" customHeight="1" x14ac:dyDescent="0.3">
      <c r="C336" s="143" t="s">
        <v>282</v>
      </c>
      <c r="D336" s="143" t="s">
        <v>282</v>
      </c>
      <c r="E336" s="143" t="s">
        <v>283</v>
      </c>
      <c r="F336" s="143" t="s">
        <v>283</v>
      </c>
      <c r="Z336" s="188"/>
      <c r="AA336" s="188"/>
      <c r="AB336" s="188"/>
      <c r="AC336" s="188"/>
      <c r="AD336" s="188"/>
      <c r="AE336" s="188"/>
    </row>
    <row r="337" spans="1:31" ht="16.95" customHeight="1" x14ac:dyDescent="0.3">
      <c r="A337" s="137">
        <f>N7</f>
        <v>3000</v>
      </c>
      <c r="C337" s="144">
        <f>IF(J7="","", -J7)</f>
        <v>1</v>
      </c>
      <c r="D337" s="144">
        <f>IF(K7="","", -K7)</f>
        <v>0</v>
      </c>
      <c r="E337" s="144">
        <f>IF(J7="","", J7)</f>
        <v>-1</v>
      </c>
      <c r="F337" s="144">
        <f>IF(K7="","", K7)</f>
        <v>0</v>
      </c>
      <c r="G337" s="145">
        <f>IF(H337="","", IFERROR(VLOOKUP(H337, A$311:D$322, 4, FALSE), 0))</f>
        <v>0</v>
      </c>
      <c r="H337" s="132" t="str">
        <f>IF(C18="","", "D" &amp; C18 &amp; "X")</f>
        <v>D4X</v>
      </c>
      <c r="Z337" s="188"/>
      <c r="AA337" s="188"/>
      <c r="AB337" s="188"/>
      <c r="AC337" s="188"/>
      <c r="AD337" s="188"/>
      <c r="AE337" s="188"/>
    </row>
    <row r="338" spans="1:31" ht="16.95" customHeight="1" x14ac:dyDescent="0.3">
      <c r="A338" s="163" t="s">
        <v>286</v>
      </c>
      <c r="B338" s="146">
        <f>IF(OR(A337=0, C18=""), 0, (MMULT(C337:F337, G337:G340)*A337))</f>
        <v>-266.66666666666663</v>
      </c>
      <c r="G338" s="145">
        <f>IF(H338="","", IFERROR(VLOOKUP(H338, A$311:D$322, 4, FALSE), 0))</f>
        <v>0</v>
      </c>
      <c r="H338" s="132" t="str">
        <f>IF(C18="","", "D" &amp; C18 &amp; "Y")</f>
        <v>D4Y</v>
      </c>
      <c r="Z338" s="188"/>
      <c r="AA338" s="188"/>
      <c r="AB338" s="188"/>
      <c r="AC338" s="188"/>
      <c r="AD338" s="188"/>
      <c r="AE338" s="188"/>
    </row>
    <row r="339" spans="1:31" ht="16.95" customHeight="1" x14ac:dyDescent="0.3">
      <c r="G339" s="145">
        <f>IF(H339="","", IFERROR(VLOOKUP(H339, A$311:D$322, 4, FALSE), 0))</f>
        <v>8.8888888888888878E-2</v>
      </c>
      <c r="H339" s="132" t="str">
        <f>IF(F18="","", "D" &amp; F18 &amp; "X")</f>
        <v>D3X</v>
      </c>
      <c r="Z339" s="188"/>
      <c r="AA339" s="188"/>
      <c r="AB339" s="188"/>
      <c r="AC339" s="188"/>
      <c r="AD339" s="188"/>
      <c r="AE339" s="188"/>
    </row>
    <row r="340" spans="1:31" ht="16.95" customHeight="1" x14ac:dyDescent="0.3">
      <c r="G340" s="145">
        <f>IF(H340="","", IFERROR(VLOOKUP(H340, A$311:D$322, 4, FALSE), 0))</f>
        <v>0</v>
      </c>
      <c r="H340" s="132" t="str">
        <f>IF(F18="","", "D" &amp; F18 &amp; "Y")</f>
        <v>D3Y</v>
      </c>
      <c r="Z340" s="188"/>
      <c r="AA340" s="188"/>
      <c r="AB340" s="188"/>
      <c r="AC340" s="188"/>
      <c r="AD340" s="188"/>
      <c r="AE340" s="188"/>
    </row>
    <row r="341" spans="1:31" ht="16.95" customHeight="1" x14ac:dyDescent="0.3">
      <c r="B341" s="163" t="s">
        <v>273</v>
      </c>
      <c r="C341" s="185" t="str">
        <f>IF(C18="","", IF(B338&gt;0.001,"BARRA A TRACCIÓN (+)",IF(B338&lt;-0.001,"BARRA A COMPRESIÓN (-)","BARRA DE FUERZA NULA")))</f>
        <v>BARRA A COMPRESIÓN (-)</v>
      </c>
      <c r="D341" s="185"/>
      <c r="E341" s="185"/>
      <c r="F341" s="185"/>
      <c r="Z341" s="188"/>
      <c r="AA341" s="188"/>
      <c r="AB341" s="188"/>
      <c r="AC341" s="188"/>
      <c r="AD341" s="188"/>
      <c r="AE341" s="188"/>
    </row>
    <row r="342" spans="1:31" ht="16.95" customHeight="1" x14ac:dyDescent="0.3">
      <c r="Z342" s="188"/>
      <c r="AA342" s="188"/>
      <c r="AB342" s="188"/>
      <c r="AC342" s="188"/>
      <c r="AD342" s="188"/>
      <c r="AE342" s="188"/>
    </row>
    <row r="343" spans="1:31" ht="16.95" customHeight="1" x14ac:dyDescent="0.3">
      <c r="A343" s="143" t="s">
        <v>278</v>
      </c>
      <c r="C343" s="143" t="s">
        <v>279</v>
      </c>
      <c r="D343" s="143" t="s">
        <v>280</v>
      </c>
      <c r="E343" s="143" t="s">
        <v>279</v>
      </c>
      <c r="F343" s="143" t="s">
        <v>280</v>
      </c>
      <c r="G343" s="143" t="s">
        <v>249</v>
      </c>
      <c r="Z343" s="188"/>
      <c r="AA343" s="188"/>
      <c r="AB343" s="188"/>
      <c r="AC343" s="188"/>
      <c r="AD343" s="188"/>
      <c r="AE343" s="188"/>
    </row>
    <row r="344" spans="1:31" ht="16.95" customHeight="1" x14ac:dyDescent="0.3">
      <c r="C344" s="143" t="s">
        <v>282</v>
      </c>
      <c r="D344" s="143" t="s">
        <v>282</v>
      </c>
      <c r="E344" s="143" t="s">
        <v>283</v>
      </c>
      <c r="F344" s="143" t="s">
        <v>283</v>
      </c>
      <c r="Z344" s="188"/>
      <c r="AA344" s="188"/>
      <c r="AB344" s="188"/>
      <c r="AC344" s="188"/>
      <c r="AD344" s="188"/>
      <c r="AE344" s="188"/>
    </row>
    <row r="345" spans="1:31" ht="16.95" customHeight="1" x14ac:dyDescent="0.3">
      <c r="A345" s="137">
        <f>N8</f>
        <v>3638.0343755449944</v>
      </c>
      <c r="C345" s="144">
        <f>IF(J8="","", -J8)</f>
        <v>-0.24253562503633297</v>
      </c>
      <c r="D345" s="144">
        <f>IF(K8="","", -K8)</f>
        <v>0.97014250014533188</v>
      </c>
      <c r="E345" s="144">
        <f>IF(J8="","", J8)</f>
        <v>0.24253562503633297</v>
      </c>
      <c r="F345" s="144">
        <f>IF(K8="","", K8)</f>
        <v>-0.97014250014533188</v>
      </c>
      <c r="G345" s="145">
        <f>IF(H345="","", IFERROR(VLOOKUP(H345, A$311:D$322, 4, FALSE), 0))</f>
        <v>1.2173484794037199</v>
      </c>
      <c r="H345" s="132" t="str">
        <f>IF(C19="","", "D" &amp; C19 &amp; "X")</f>
        <v>D1X</v>
      </c>
      <c r="Z345" s="188"/>
      <c r="AA345" s="188"/>
      <c r="AB345" s="188"/>
      <c r="AC345" s="188"/>
      <c r="AD345" s="188"/>
      <c r="AE345" s="188"/>
    </row>
    <row r="346" spans="1:31" ht="16.95" customHeight="1" x14ac:dyDescent="0.3">
      <c r="A346" s="163" t="s">
        <v>287</v>
      </c>
      <c r="B346" s="146">
        <f>IF(OR(A345=0, C19=""), 0, (MMULT(C345:F345, G345:G348)*A345))</f>
        <v>-2220.1337984095103</v>
      </c>
      <c r="G346" s="145">
        <f>IF(H346="","", IFERROR(VLOOKUP(H346, A$311:D$322, 4, FALSE), 0))</f>
        <v>-0.32470078969843125</v>
      </c>
      <c r="H346" s="132" t="str">
        <f>IF(C19="","", "D" &amp; C19 &amp; "Y")</f>
        <v>D1Y</v>
      </c>
      <c r="Z346" s="188"/>
      <c r="AA346" s="188"/>
      <c r="AB346" s="188"/>
      <c r="AC346" s="188"/>
      <c r="AD346" s="188"/>
      <c r="AE346" s="188"/>
    </row>
    <row r="347" spans="1:31" ht="16.95" customHeight="1" x14ac:dyDescent="0.3">
      <c r="G347" s="145">
        <f>IF(H347="","", IFERROR(VLOOKUP(H347, A$311:D$322, 4, FALSE), 0))</f>
        <v>0</v>
      </c>
      <c r="H347" s="132" t="str">
        <f>IF(F19="","", "D" &amp; F19 &amp; "X")</f>
        <v>D4X</v>
      </c>
      <c r="Z347" s="188"/>
      <c r="AA347" s="188"/>
      <c r="AB347" s="188"/>
      <c r="AC347" s="188"/>
      <c r="AD347" s="188"/>
      <c r="AE347" s="188"/>
    </row>
    <row r="348" spans="1:31" ht="16.95" customHeight="1" x14ac:dyDescent="0.3">
      <c r="G348" s="145">
        <f>IF(H348="","", IFERROR(VLOOKUP(H348, A$311:D$322, 4, FALSE), 0))</f>
        <v>0</v>
      </c>
      <c r="H348" s="132" t="str">
        <f>IF(F19="","", "D" &amp; F19 &amp; "Y")</f>
        <v>D4Y</v>
      </c>
      <c r="Z348" s="188"/>
      <c r="AA348" s="188"/>
      <c r="AB348" s="188"/>
      <c r="AC348" s="188"/>
      <c r="AD348" s="188"/>
      <c r="AE348" s="188"/>
    </row>
    <row r="349" spans="1:31" ht="16.95" customHeight="1" x14ac:dyDescent="0.3">
      <c r="B349" s="163" t="s">
        <v>273</v>
      </c>
      <c r="C349" s="185" t="str">
        <f>IF(C19="","", IF(B346&gt;0.001,"BARRA A TRACCIÓN (+)",IF(B346&lt;-0.001,"BARRA A COMPRESIÓN (-)","BARRA DE FUERZA NULA")))</f>
        <v>BARRA A COMPRESIÓN (-)</v>
      </c>
      <c r="D349" s="185"/>
      <c r="E349" s="185"/>
      <c r="F349" s="185"/>
      <c r="Z349" s="188"/>
      <c r="AA349" s="188"/>
      <c r="AB349" s="188"/>
      <c r="AC349" s="188"/>
      <c r="AD349" s="188"/>
      <c r="AE349" s="188"/>
    </row>
    <row r="350" spans="1:31" ht="16.95" customHeight="1" x14ac:dyDescent="0.3">
      <c r="Z350" s="188"/>
      <c r="AA350" s="188"/>
      <c r="AB350" s="188"/>
      <c r="AC350" s="188"/>
      <c r="AD350" s="188"/>
      <c r="AE350" s="188"/>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3000</v>
      </c>
      <c r="C353" s="144">
        <f>IF(J9="","", -J9)</f>
        <v>-0.8</v>
      </c>
      <c r="D353" s="144">
        <f>IF(K9="","", -K9)</f>
        <v>0.6</v>
      </c>
      <c r="E353" s="144">
        <f>IF(J9="","", J9)</f>
        <v>0.8</v>
      </c>
      <c r="F353" s="144">
        <f>IF(K9="","", K9)</f>
        <v>-0.6</v>
      </c>
      <c r="G353" s="145">
        <f>IF(H353="","", IFERROR(VLOOKUP(H353, A$311:D$322, 4, FALSE), 0))</f>
        <v>1.0447442313359014</v>
      </c>
      <c r="H353" s="132" t="str">
        <f>IF(C20="","", "D" &amp; C20 &amp; "X")</f>
        <v>D2X</v>
      </c>
    </row>
    <row r="354" spans="1:8" ht="19.95" customHeight="1" x14ac:dyDescent="0.3">
      <c r="A354" s="163" t="s">
        <v>288</v>
      </c>
      <c r="B354" s="146">
        <f>IF(OR(A353=0, C20=""), 0, (MMULT(C353:F353, G353:G356)*A353))</f>
        <v>-2743.5897435897436</v>
      </c>
      <c r="G354" s="145">
        <f>IF(H354="","", IFERROR(VLOOKUP(H354, A$311:D$322, 4, FALSE), 0))</f>
        <v>-0.1312242157686557</v>
      </c>
      <c r="H354" s="132" t="str">
        <f>IF(C20="","", "D" &amp; C20 &amp; "Y")</f>
        <v>D2Y</v>
      </c>
    </row>
    <row r="355" spans="1:8" ht="19.95" customHeight="1" x14ac:dyDescent="0.3">
      <c r="G355" s="145">
        <f>IF(H355="","", IFERROR(VLOOKUP(H355, A$311:D$322, 4, FALSE), 0))</f>
        <v>0</v>
      </c>
      <c r="H355" s="132" t="str">
        <f>IF(F20="","", "D" &amp; F20 &amp; "X")</f>
        <v>D4X</v>
      </c>
    </row>
    <row r="356" spans="1:8" ht="19.95" customHeight="1" x14ac:dyDescent="0.3">
      <c r="G356" s="145">
        <f>IF(H356="","", IFERROR(VLOOKUP(H356, A$311:D$322, 4, FALSE), 0))</f>
        <v>0</v>
      </c>
      <c r="H356" s="132" t="str">
        <f>IF(F20="","", "D" &amp; F20 &amp; "Y")</f>
        <v>D4Y</v>
      </c>
    </row>
    <row r="357" spans="1:8" ht="19.95" customHeight="1" x14ac:dyDescent="0.3">
      <c r="B357" s="163" t="s">
        <v>273</v>
      </c>
      <c r="C357" s="185" t="str">
        <f>IF(C20="","", IF(B354&gt;0.001,"BARRA A TRACCIÓN (+)",IF(B354&lt;-0.001,"BARRA A COMPRESIÓN (-)","BARRA DE FUERZA NULA")))</f>
        <v>BARRA A COMPRESIÓN (-)</v>
      </c>
      <c r="D357" s="185"/>
      <c r="E357" s="185"/>
      <c r="F357" s="185"/>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4743.416490252569</v>
      </c>
      <c r="C361" s="144">
        <f>IF(J10="","", -J10)</f>
        <v>-0.94868329805051377</v>
      </c>
      <c r="D361" s="144">
        <f>IF(K10="","", -K10)</f>
        <v>-0.31622776601683789</v>
      </c>
      <c r="E361" s="144">
        <f>IF(J10="","", J10)</f>
        <v>0.94868329805051377</v>
      </c>
      <c r="F361" s="144">
        <f>IF(K10="","", K10)</f>
        <v>0.31622776601683789</v>
      </c>
      <c r="G361" s="145">
        <f>IF(H361="","", IFERROR(VLOOKUP(H361, A$311:D$322, 4, FALSE), 0))</f>
        <v>1.0447442313359014</v>
      </c>
      <c r="H361" s="132" t="str">
        <f>IF(C21="","", "D" &amp; C21 &amp; "X")</f>
        <v>D2X</v>
      </c>
    </row>
    <row r="362" spans="1:8" ht="19.95" customHeight="1" x14ac:dyDescent="0.3">
      <c r="A362" s="163" t="s">
        <v>289</v>
      </c>
      <c r="B362" s="146">
        <f>IF(OR(A361=0, C21=""), 0, (MMULT(C361:F361, G361:G364)*A361))</f>
        <v>486.50425541052078</v>
      </c>
      <c r="G362" s="145">
        <f>IF(H362="","", IFERROR(VLOOKUP(H362, A$311:D$322, 4, FALSE), 0))</f>
        <v>-0.1312242157686557</v>
      </c>
      <c r="H362" s="132" t="str">
        <f>IF(C21="","", "D" &amp; C21 &amp; "Y")</f>
        <v>D2Y</v>
      </c>
    </row>
    <row r="363" spans="1:8" ht="19.95" customHeight="1" x14ac:dyDescent="0.3">
      <c r="G363" s="145">
        <f>IF(H363="","", IFERROR(VLOOKUP(H363, A$311:D$322, 4, FALSE), 0))</f>
        <v>1.2173484794037199</v>
      </c>
      <c r="H363" s="132" t="str">
        <f>IF(F21="","", "D" &amp; F21 &amp; "X")</f>
        <v>D1X</v>
      </c>
    </row>
    <row r="364" spans="1:8" ht="19.95" customHeight="1" x14ac:dyDescent="0.3">
      <c r="G364" s="145">
        <f>IF(H364="","", IFERROR(VLOOKUP(H364, A$311:D$322, 4, FALSE), 0))</f>
        <v>-0.32470078969843125</v>
      </c>
      <c r="H364" s="132" t="str">
        <f>IF(F21="","", "D" &amp; F21 &amp; "Y")</f>
        <v>D1Y</v>
      </c>
    </row>
    <row r="365" spans="1:8" ht="19.95" customHeight="1" x14ac:dyDescent="0.3">
      <c r="B365" s="163" t="s">
        <v>273</v>
      </c>
      <c r="C365" s="185" t="str">
        <f>IF(C21="","", IF(B362&gt;0.001,"BARRA A TRACCIÓN (+)",IF(B362&lt;-0.001,"BARRA A COMPRESIÓN (-)","BARRA DE FUERZA NULA")))</f>
        <v>BARRA A TRACCIÓN (+)</v>
      </c>
      <c r="D365" s="185"/>
      <c r="E365" s="185"/>
      <c r="F365" s="185"/>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163"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163" t="s">
        <v>273</v>
      </c>
      <c r="C373" s="185" t="str">
        <f>IF(C22="","", IF(B370&gt;0.001,"BARRA A TRACCIÓN (+)",IF(B370&lt;-0.001,"BARRA A COMPRESIÓN (-)","BARRA DE FUERZA NULA")))</f>
        <v/>
      </c>
      <c r="D373" s="185"/>
      <c r="E373" s="185"/>
      <c r="F373" s="185"/>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163"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163" t="s">
        <v>273</v>
      </c>
      <c r="C381" s="185" t="str">
        <f>IF(C23="","", IF(B378&gt;0.001,"BARRA A TRACCIÓN (+)",IF(B378&lt;-0.001,"BARRA A COMPRESIÓN (-)","BARRA DE FUERZA NULA")))</f>
        <v/>
      </c>
      <c r="D381" s="185"/>
      <c r="E381" s="185"/>
      <c r="F381" s="185"/>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163"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163" t="s">
        <v>273</v>
      </c>
      <c r="C389" s="185" t="str">
        <f>IF(C24="","", IF(B386&gt;0.001,"BARRA A TRACCIÓN (+)",IF(B386&lt;-0.001,"BARRA A COMPRESIÓN (-)","BARRA DE FUERZA NULA")))</f>
        <v/>
      </c>
      <c r="D389" s="185"/>
      <c r="E389" s="185"/>
      <c r="F389" s="185"/>
    </row>
    <row r="392" spans="1:8" ht="22.05" customHeight="1" x14ac:dyDescent="0.3">
      <c r="B392" s="221" t="s">
        <v>293</v>
      </c>
      <c r="C392" s="224"/>
      <c r="D392" s="224"/>
      <c r="E392" s="224"/>
      <c r="F392" s="224"/>
      <c r="G392" s="224"/>
      <c r="H392" s="224"/>
    </row>
    <row r="393" spans="1:8" ht="46.2" customHeight="1" x14ac:dyDescent="0.3">
      <c r="B393" s="162" t="s">
        <v>294</v>
      </c>
      <c r="C393" s="162" t="s">
        <v>295</v>
      </c>
      <c r="D393" s="162" t="s">
        <v>296</v>
      </c>
      <c r="E393" s="162" t="s">
        <v>297</v>
      </c>
      <c r="F393" s="162" t="s">
        <v>298</v>
      </c>
      <c r="G393" s="162" t="s">
        <v>299</v>
      </c>
      <c r="H393" s="162" t="s">
        <v>300</v>
      </c>
    </row>
    <row r="394" spans="1:8" ht="27.6" customHeight="1" x14ac:dyDescent="0.3">
      <c r="B394" s="102">
        <f>IF(C17="","", 1)</f>
        <v>1</v>
      </c>
      <c r="C394" s="108">
        <f t="shared" ref="C394:C401" si="40">IF(C17="","", C17)</f>
        <v>3</v>
      </c>
      <c r="D394" s="108">
        <f t="shared" ref="D394:D401" si="41">IF(F17="","", F17)</f>
        <v>2</v>
      </c>
      <c r="E394" s="222">
        <f t="shared" ref="E394:E401" si="42">IF(I6="","", I6)</f>
        <v>632.45553203367592</v>
      </c>
      <c r="F394" s="222">
        <f t="shared" ref="F394:F401" si="43">IF(C17="","", L6)</f>
        <v>20</v>
      </c>
      <c r="G394" s="223">
        <f>IF(C17="","", B330)</f>
        <v>843.27404271156797</v>
      </c>
      <c r="H394" s="161" t="str">
        <f>IF(C17="","", C333)</f>
        <v>BARRA A TRACCIÓN (+)</v>
      </c>
    </row>
    <row r="395" spans="1:8" ht="27.6" customHeight="1" x14ac:dyDescent="0.3">
      <c r="B395" s="161">
        <f>IF(C18="","", 2)</f>
        <v>2</v>
      </c>
      <c r="C395" s="108">
        <f t="shared" si="40"/>
        <v>4</v>
      </c>
      <c r="D395" s="108">
        <f t="shared" si="41"/>
        <v>3</v>
      </c>
      <c r="E395" s="222">
        <f t="shared" si="42"/>
        <v>1000</v>
      </c>
      <c r="F395" s="222">
        <f t="shared" si="43"/>
        <v>20</v>
      </c>
      <c r="G395" s="223">
        <f>IF(C18="","", B338)</f>
        <v>-266.66666666666663</v>
      </c>
      <c r="H395" s="161" t="str">
        <f>IF(C18="","", C341)</f>
        <v>BARRA A COMPRESIÓN (-)</v>
      </c>
    </row>
    <row r="396" spans="1:8" ht="27.6" customHeight="1" x14ac:dyDescent="0.3">
      <c r="B396" s="111">
        <f>IF(C19="","", 3)</f>
        <v>3</v>
      </c>
      <c r="C396" s="108">
        <f t="shared" si="40"/>
        <v>1</v>
      </c>
      <c r="D396" s="108">
        <f t="shared" si="41"/>
        <v>4</v>
      </c>
      <c r="E396" s="222">
        <f t="shared" si="42"/>
        <v>824.62112512353212</v>
      </c>
      <c r="F396" s="222">
        <f t="shared" si="43"/>
        <v>20</v>
      </c>
      <c r="G396" s="223">
        <f>IF(C19="","", B346)</f>
        <v>-2220.1337984095103</v>
      </c>
      <c r="H396" s="161" t="str">
        <f>IF(C19="","", C349)</f>
        <v>BARRA A COMPRESIÓN (-)</v>
      </c>
    </row>
    <row r="397" spans="1:8" ht="27.6" customHeight="1" x14ac:dyDescent="0.3">
      <c r="B397" s="112">
        <f>IF(C20="","", 4)</f>
        <v>4</v>
      </c>
      <c r="C397" s="108">
        <f t="shared" si="40"/>
        <v>2</v>
      </c>
      <c r="D397" s="108">
        <f t="shared" si="41"/>
        <v>4</v>
      </c>
      <c r="E397" s="222">
        <f t="shared" si="42"/>
        <v>1000</v>
      </c>
      <c r="F397" s="222">
        <f t="shared" si="43"/>
        <v>20</v>
      </c>
      <c r="G397" s="223">
        <f>IF(C20="","", B354)</f>
        <v>-2743.5897435897436</v>
      </c>
      <c r="H397" s="161" t="str">
        <f>IF(C20="","", C357)</f>
        <v>BARRA A COMPRESIÓN (-)</v>
      </c>
    </row>
    <row r="398" spans="1:8" ht="27.6" customHeight="1" x14ac:dyDescent="0.3">
      <c r="B398" s="113">
        <f>IF(C21="","", 5)</f>
        <v>5</v>
      </c>
      <c r="C398" s="108">
        <f t="shared" si="40"/>
        <v>2</v>
      </c>
      <c r="D398" s="108">
        <f t="shared" si="41"/>
        <v>1</v>
      </c>
      <c r="E398" s="222">
        <f t="shared" si="42"/>
        <v>632.45553203367592</v>
      </c>
      <c r="F398" s="222">
        <f t="shared" si="43"/>
        <v>20</v>
      </c>
      <c r="G398" s="223">
        <f>IF(C21="","", B362)</f>
        <v>486.50425541052078</v>
      </c>
      <c r="H398" s="161" t="str">
        <f>IF(C21="","", C365)</f>
        <v>BARRA A TRACCIÓN (+)</v>
      </c>
    </row>
    <row r="399" spans="1:8" ht="27.6" customHeight="1" x14ac:dyDescent="0.3">
      <c r="B399" s="114" t="str">
        <f>IF(C22="","", 6)</f>
        <v/>
      </c>
      <c r="C399" s="108" t="str">
        <f t="shared" si="40"/>
        <v/>
      </c>
      <c r="D399" s="108" t="str">
        <f t="shared" si="41"/>
        <v/>
      </c>
      <c r="E399" s="222" t="str">
        <f t="shared" si="42"/>
        <v/>
      </c>
      <c r="F399" s="222" t="str">
        <f t="shared" si="43"/>
        <v/>
      </c>
      <c r="G399" s="223" t="str">
        <f>IF(C22="","", B370)</f>
        <v/>
      </c>
      <c r="H399" s="161" t="str">
        <f>IF(C22="","", C373)</f>
        <v/>
      </c>
    </row>
    <row r="400" spans="1:8" ht="27.6" customHeight="1" x14ac:dyDescent="0.3">
      <c r="B400" s="115" t="str">
        <f>IF(C23="","", 7)</f>
        <v/>
      </c>
      <c r="C400" s="108" t="str">
        <f t="shared" si="40"/>
        <v/>
      </c>
      <c r="D400" s="108" t="str">
        <f t="shared" si="41"/>
        <v/>
      </c>
      <c r="E400" s="222" t="str">
        <f t="shared" si="42"/>
        <v/>
      </c>
      <c r="F400" s="222" t="str">
        <f t="shared" si="43"/>
        <v/>
      </c>
      <c r="G400" s="223" t="str">
        <f>IF(C23="","", B378)</f>
        <v/>
      </c>
      <c r="H400" s="161" t="str">
        <f>IF(C23="","", C381)</f>
        <v/>
      </c>
    </row>
    <row r="401" spans="2:8" ht="27.6" customHeight="1" x14ac:dyDescent="0.3">
      <c r="B401" s="116" t="str">
        <f>IF(C24="","", 8)</f>
        <v/>
      </c>
      <c r="C401" s="108" t="str">
        <f t="shared" si="40"/>
        <v/>
      </c>
      <c r="D401" s="108" t="str">
        <f t="shared" si="41"/>
        <v/>
      </c>
      <c r="E401" s="222" t="str">
        <f t="shared" si="42"/>
        <v/>
      </c>
      <c r="F401" s="222" t="str">
        <f t="shared" si="43"/>
        <v/>
      </c>
      <c r="G401" s="223" t="str">
        <f>IF(C24="","", B386)</f>
        <v/>
      </c>
      <c r="H401" s="161" t="str">
        <f>IF(C24="","", C389)</f>
        <v/>
      </c>
    </row>
  </sheetData>
  <mergeCells count="148">
    <mergeCell ref="C373:F373"/>
    <mergeCell ref="C381:F381"/>
    <mergeCell ref="C389:F389"/>
    <mergeCell ref="B392:H392"/>
    <mergeCell ref="Z348:AE348"/>
    <mergeCell ref="C349:F349"/>
    <mergeCell ref="Z349:AE349"/>
    <mergeCell ref="Z350:AE350"/>
    <mergeCell ref="C357:F357"/>
    <mergeCell ref="C365:F365"/>
    <mergeCell ref="Z342:AE342"/>
    <mergeCell ref="Z343:AE343"/>
    <mergeCell ref="Z344:AE344"/>
    <mergeCell ref="Z345:AE345"/>
    <mergeCell ref="Z346:AE346"/>
    <mergeCell ref="Z347:AE347"/>
    <mergeCell ref="Z336:AE336"/>
    <mergeCell ref="Z337:AE337"/>
    <mergeCell ref="Z338:AE338"/>
    <mergeCell ref="Z339:AE339"/>
    <mergeCell ref="Z340:AE340"/>
    <mergeCell ref="C341:F341"/>
    <mergeCell ref="Z341:AE341"/>
    <mergeCell ref="Z331:AE331"/>
    <mergeCell ref="Z332:AE332"/>
    <mergeCell ref="C333:F333"/>
    <mergeCell ref="Z333:AE333"/>
    <mergeCell ref="Z334:AE334"/>
    <mergeCell ref="Z335:AE335"/>
    <mergeCell ref="Z325:AE325"/>
    <mergeCell ref="Z326:AE326"/>
    <mergeCell ref="Z327:AE327"/>
    <mergeCell ref="Z328:AE328"/>
    <mergeCell ref="Z329:AE329"/>
    <mergeCell ref="Z330:AE330"/>
    <mergeCell ref="Z301:AE301"/>
    <mergeCell ref="Z302:AE302"/>
    <mergeCell ref="Z303:AE303"/>
    <mergeCell ref="Z304:AE304"/>
    <mergeCell ref="Z305:AE305"/>
    <mergeCell ref="Z306:AE306"/>
    <mergeCell ref="Z295:AE295"/>
    <mergeCell ref="Z296:AE296"/>
    <mergeCell ref="Z297:AE297"/>
    <mergeCell ref="Z298:AE298"/>
    <mergeCell ref="Z299:AE299"/>
    <mergeCell ref="Z300:AE300"/>
    <mergeCell ref="Z287:AE287"/>
    <mergeCell ref="Z288:AE288"/>
    <mergeCell ref="Z289:AE289"/>
    <mergeCell ref="Z292:AE292"/>
    <mergeCell ref="Z293:AE293"/>
    <mergeCell ref="Z294:AE294"/>
    <mergeCell ref="Z281:AE281"/>
    <mergeCell ref="Z282:AE282"/>
    <mergeCell ref="Z283:AE283"/>
    <mergeCell ref="Z284:AE284"/>
    <mergeCell ref="Z285:AE285"/>
    <mergeCell ref="Z286:AE286"/>
    <mergeCell ref="Z277:AE277"/>
    <mergeCell ref="Z278:AE278"/>
    <mergeCell ref="C279:D279"/>
    <mergeCell ref="Z279:AE279"/>
    <mergeCell ref="C280:D280"/>
    <mergeCell ref="Z280:AE280"/>
    <mergeCell ref="Z271:AE271"/>
    <mergeCell ref="Z272:AE272"/>
    <mergeCell ref="Z273:AE273"/>
    <mergeCell ref="Z274:AE274"/>
    <mergeCell ref="Z275:AE275"/>
    <mergeCell ref="Z276:AE276"/>
    <mergeCell ref="C267:K267"/>
    <mergeCell ref="Z267:AE267"/>
    <mergeCell ref="C268:K268"/>
    <mergeCell ref="Z268:AE268"/>
    <mergeCell ref="Z269:AE269"/>
    <mergeCell ref="Z270:AE270"/>
    <mergeCell ref="Z261:AE261"/>
    <mergeCell ref="Z262:AE262"/>
    <mergeCell ref="Z263:AE263"/>
    <mergeCell ref="Z264:AE264"/>
    <mergeCell ref="Z265:AE265"/>
    <mergeCell ref="Z266:AE266"/>
    <mergeCell ref="Z255:AE255"/>
    <mergeCell ref="Z256:AE256"/>
    <mergeCell ref="Z257:AE257"/>
    <mergeCell ref="Z258:AE258"/>
    <mergeCell ref="Z259:AE259"/>
    <mergeCell ref="Z260:AE260"/>
    <mergeCell ref="Z247:AE247"/>
    <mergeCell ref="Z248:AE248"/>
    <mergeCell ref="Z249:AE249"/>
    <mergeCell ref="Z250:AE250"/>
    <mergeCell ref="Z251:AE251"/>
    <mergeCell ref="Z252:AE252"/>
    <mergeCell ref="Z241:AE241"/>
    <mergeCell ref="Z242:AE242"/>
    <mergeCell ref="Z243:AE243"/>
    <mergeCell ref="Z244:AE244"/>
    <mergeCell ref="Z245:AE245"/>
    <mergeCell ref="Z246:AE246"/>
    <mergeCell ref="Z235:AE235"/>
    <mergeCell ref="Z236:AE236"/>
    <mergeCell ref="C238:D238"/>
    <mergeCell ref="Z238:AE238"/>
    <mergeCell ref="Z239:AE239"/>
    <mergeCell ref="C240:N240"/>
    <mergeCell ref="Z240:AE240"/>
    <mergeCell ref="Z229:AE229"/>
    <mergeCell ref="Z230:AE230"/>
    <mergeCell ref="Z231:AE231"/>
    <mergeCell ref="Z232:AE232"/>
    <mergeCell ref="Z233:AE233"/>
    <mergeCell ref="Z234:AE234"/>
    <mergeCell ref="Z223:AE223"/>
    <mergeCell ref="Z224:AE224"/>
    <mergeCell ref="Z225:AE225"/>
    <mergeCell ref="Z226:AE226"/>
    <mergeCell ref="Z227:AE227"/>
    <mergeCell ref="Z228:AE228"/>
    <mergeCell ref="Z217:AE217"/>
    <mergeCell ref="Z218:AE218"/>
    <mergeCell ref="Z219:AE219"/>
    <mergeCell ref="Z220:AE220"/>
    <mergeCell ref="Z221:AE221"/>
    <mergeCell ref="Z222:AE222"/>
    <mergeCell ref="Z211:AE211"/>
    <mergeCell ref="Z212:AE212"/>
    <mergeCell ref="Z213:AE213"/>
    <mergeCell ref="Z214:AE214"/>
    <mergeCell ref="Z215:AE215"/>
    <mergeCell ref="Z216:AE216"/>
    <mergeCell ref="L4:L5"/>
    <mergeCell ref="M4:M5"/>
    <mergeCell ref="N4:N5"/>
    <mergeCell ref="P4:W4"/>
    <mergeCell ref="B15:H15"/>
    <mergeCell ref="Z210:AE210"/>
    <mergeCell ref="A1:N1"/>
    <mergeCell ref="A2:N2"/>
    <mergeCell ref="B4:B5"/>
    <mergeCell ref="C4:D4"/>
    <mergeCell ref="E4:F4"/>
    <mergeCell ref="G4:G5"/>
    <mergeCell ref="H4:H5"/>
    <mergeCell ref="I4:I5"/>
    <mergeCell ref="J4:J5"/>
    <mergeCell ref="K4:K5"/>
  </mergeCells>
  <conditionalFormatting sqref="B34:M45">
    <cfRule type="cellIs" dxfId="7" priority="1" operator="notEqual">
      <formula>0</formula>
    </cfRule>
  </conditionalFormatting>
  <conditionalFormatting sqref="B55:M66">
    <cfRule type="cellIs" dxfId="6" priority="2" operator="notEqual">
      <formula>0</formula>
    </cfRule>
  </conditionalFormatting>
  <conditionalFormatting sqref="B76:M87">
    <cfRule type="cellIs" dxfId="5" priority="3" operator="notEqual">
      <formula>0</formula>
    </cfRule>
  </conditionalFormatting>
  <conditionalFormatting sqref="B97:M108">
    <cfRule type="cellIs" dxfId="4" priority="4" operator="notEqual">
      <formula>0</formula>
    </cfRule>
  </conditionalFormatting>
  <conditionalFormatting sqref="B118:M129">
    <cfRule type="cellIs" dxfId="3" priority="5" operator="notEqual">
      <formula>0</formula>
    </cfRule>
  </conditionalFormatting>
  <conditionalFormatting sqref="B139:M150">
    <cfRule type="cellIs" dxfId="2" priority="6" operator="notEqual">
      <formula>0</formula>
    </cfRule>
  </conditionalFormatting>
  <conditionalFormatting sqref="B160:M171">
    <cfRule type="cellIs" dxfId="1" priority="7" operator="notEqual">
      <formula>0</formula>
    </cfRule>
  </conditionalFormatting>
  <conditionalFormatting sqref="B181:M192">
    <cfRule type="cellIs" dxfId="0" priority="8" operator="notEqual">
      <formula>0</formula>
    </cfRule>
  </conditionalFormatting>
  <pageMargins left="0.75" right="0.75" top="1" bottom="1" header="0.5" footer="0.5"/>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BDED-5C79-4DB9-B431-003345F81268}">
  <dimension ref="A1:AE401"/>
  <sheetViews>
    <sheetView topLeftCell="A321" zoomScale="93" workbookViewId="0">
      <selection activeCell="M328" sqref="M328"/>
    </sheetView>
  </sheetViews>
  <sheetFormatPr baseColWidth="10" defaultColWidth="8.88671875" defaultRowHeight="14.4" x14ac:dyDescent="0.3"/>
  <cols>
    <col min="1" max="1" width="11" style="147" customWidth="1"/>
    <col min="2" max="7" width="13" style="147" customWidth="1"/>
    <col min="8" max="8" width="22.21875" style="147" customWidth="1"/>
    <col min="9" max="14" width="13" style="147" customWidth="1"/>
    <col min="15" max="15" width="3" style="147" customWidth="1"/>
    <col min="16" max="16" width="7" style="147" customWidth="1"/>
    <col min="17" max="18" width="11" style="147" customWidth="1"/>
    <col min="19" max="19" width="14" style="147" customWidth="1"/>
    <col min="20" max="21" width="6" style="147" customWidth="1"/>
    <col min="22" max="23" width="12" style="147" customWidth="1"/>
    <col min="24" max="25" width="3" style="147" customWidth="1"/>
    <col min="26" max="31" width="18" style="147" customWidth="1"/>
    <col min="32" max="16384" width="8.88671875" style="147"/>
  </cols>
  <sheetData>
    <row r="1" spans="1:23" ht="25.95" customHeight="1" x14ac:dyDescent="0.3">
      <c r="A1" s="192" t="s">
        <v>143</v>
      </c>
      <c r="B1" s="175"/>
      <c r="C1" s="175"/>
      <c r="D1" s="175"/>
      <c r="E1" s="175"/>
      <c r="F1" s="175"/>
      <c r="G1" s="175"/>
      <c r="H1" s="175"/>
      <c r="I1" s="175"/>
      <c r="J1" s="175"/>
      <c r="K1" s="175"/>
      <c r="L1" s="175"/>
      <c r="M1" s="175"/>
      <c r="N1" s="175"/>
    </row>
    <row r="2" spans="1:23" ht="18" customHeight="1" x14ac:dyDescent="0.3">
      <c r="A2" s="191" t="s">
        <v>144</v>
      </c>
      <c r="B2" s="175"/>
      <c r="C2" s="175"/>
      <c r="D2" s="175"/>
      <c r="E2" s="175"/>
      <c r="F2" s="175"/>
      <c r="G2" s="175"/>
      <c r="H2" s="175"/>
      <c r="I2" s="175"/>
      <c r="J2" s="175"/>
      <c r="K2" s="175"/>
      <c r="L2" s="175"/>
      <c r="M2" s="175"/>
      <c r="N2" s="175"/>
    </row>
    <row r="4" spans="1:23" ht="18" customHeight="1" x14ac:dyDescent="0.3">
      <c r="B4" s="186" t="s">
        <v>145</v>
      </c>
      <c r="C4" s="186" t="s">
        <v>146</v>
      </c>
      <c r="D4" s="186"/>
      <c r="E4" s="186" t="s">
        <v>147</v>
      </c>
      <c r="F4" s="186"/>
      <c r="G4" s="186" t="s">
        <v>148</v>
      </c>
      <c r="H4" s="186" t="s">
        <v>149</v>
      </c>
      <c r="I4" s="186" t="s">
        <v>150</v>
      </c>
      <c r="J4" s="186" t="s">
        <v>151</v>
      </c>
      <c r="K4" s="186" t="s">
        <v>152</v>
      </c>
      <c r="L4" s="186" t="s">
        <v>153</v>
      </c>
      <c r="M4" s="186" t="s">
        <v>154</v>
      </c>
      <c r="N4" s="186" t="s">
        <v>155</v>
      </c>
      <c r="P4" s="198" t="s">
        <v>156</v>
      </c>
      <c r="Q4" s="196"/>
      <c r="R4" s="196"/>
      <c r="S4" s="196"/>
      <c r="T4" s="196"/>
      <c r="U4" s="196"/>
      <c r="V4" s="196"/>
      <c r="W4" s="196"/>
    </row>
    <row r="5" spans="1:23" ht="18" customHeight="1" x14ac:dyDescent="0.3">
      <c r="B5" s="187"/>
      <c r="C5" s="149" t="s">
        <v>157</v>
      </c>
      <c r="D5" s="149" t="s">
        <v>158</v>
      </c>
      <c r="E5" s="149" t="s">
        <v>157</v>
      </c>
      <c r="F5" s="149" t="s">
        <v>158</v>
      </c>
      <c r="G5" s="187"/>
      <c r="H5" s="187"/>
      <c r="I5" s="187"/>
      <c r="J5" s="187"/>
      <c r="K5" s="187"/>
      <c r="L5" s="187"/>
      <c r="M5" s="187"/>
      <c r="N5" s="187"/>
      <c r="P5" s="149" t="s">
        <v>159</v>
      </c>
      <c r="Q5" s="149" t="s">
        <v>160</v>
      </c>
      <c r="R5" s="149" t="s">
        <v>161</v>
      </c>
      <c r="S5" s="149" t="s">
        <v>162</v>
      </c>
      <c r="T5" s="149" t="s">
        <v>163</v>
      </c>
      <c r="U5" s="149" t="s">
        <v>164</v>
      </c>
      <c r="V5" s="149" t="s">
        <v>165</v>
      </c>
      <c r="W5" s="149"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200</v>
      </c>
      <c r="F6" s="103">
        <f t="shared" ref="F6:F13" si="3">IF(F17="","", IFERROR(VLOOKUP(F17, $P$6:$W$11, 3, FALSE), ""))</f>
        <v>600</v>
      </c>
      <c r="G6" s="104">
        <f t="shared" ref="G6:H13" si="4">IF(OR(C6="",E6=""), "", E6-C6)</f>
        <v>200</v>
      </c>
      <c r="H6" s="104">
        <f t="shared" si="4"/>
        <v>600</v>
      </c>
      <c r="I6" s="105">
        <f t="shared" ref="I6:I13" si="5">IF(OR(G6="",H6=""), "", SQRT(G6^2+H6^2))</f>
        <v>632.45553203367592</v>
      </c>
      <c r="J6" s="106">
        <f t="shared" ref="J6:J13" si="6">IF(OR(I6="",I6=0), "", G6/I6)</f>
        <v>0.31622776601683789</v>
      </c>
      <c r="K6" s="106">
        <f t="shared" ref="K6:K13" si="7">IF(OR(I6="",I6=0), "", H6/I6)</f>
        <v>0.94868329805051377</v>
      </c>
      <c r="L6" s="103">
        <f>IF(C17="","", 20)</f>
        <v>20</v>
      </c>
      <c r="M6" s="107">
        <f>IF(C17="","", 150000)</f>
        <v>150000</v>
      </c>
      <c r="N6" s="105">
        <f t="shared" ref="N6:N13" si="8">IF(OR(I6="",I6=0,L6="",M6=""), 0, (L6*M6)/I6)</f>
        <v>4743.416490252569</v>
      </c>
      <c r="P6" s="108">
        <v>1</v>
      </c>
      <c r="Q6" s="103">
        <v>800</v>
      </c>
      <c r="R6" s="103">
        <v>800</v>
      </c>
      <c r="S6" s="109" t="s">
        <v>169</v>
      </c>
      <c r="T6" s="108">
        <f t="shared" ref="T6:T11" si="9">IF(Q6="","", IF(LEFT(UPPER(TRIM(S6)),4)="FIJO", 1, IF(OR(UPPER(TRIM(S6))="MOVIL X", UPPER(TRIM(S6))="MÓVIL X", UPPER(TRIM(S6))="RODILLO X"), 1, 0)))</f>
        <v>0</v>
      </c>
      <c r="U6" s="108">
        <f t="shared" ref="U6:U11" si="10">IF(Q6="","", IF(LEFT(UPPER(TRIM(S6)),4)="FIJO", 1, IF(OR(UPPER(TRIM(S6))="MOVIL Y", UPPER(TRIM(S6))="MÓVIL Y", UPPER(TRIM(S6))="RODILLO Y", UPPER(TRIM(S6))="MOVIL", UPPER(TRIM(S6))="MÓVIL"), 1, 0)))</f>
        <v>0</v>
      </c>
      <c r="V6" s="103">
        <v>1000</v>
      </c>
      <c r="W6" s="103">
        <v>-2000</v>
      </c>
    </row>
    <row r="7" spans="1:23" ht="19.05" customHeight="1" x14ac:dyDescent="0.3">
      <c r="B7" s="150">
        <v>2</v>
      </c>
      <c r="C7" s="103">
        <f t="shared" si="0"/>
        <v>1000</v>
      </c>
      <c r="D7" s="103">
        <f t="shared" si="1"/>
        <v>0</v>
      </c>
      <c r="E7" s="103">
        <f t="shared" si="2"/>
        <v>0</v>
      </c>
      <c r="F7" s="103">
        <f t="shared" si="3"/>
        <v>0</v>
      </c>
      <c r="G7" s="104">
        <f t="shared" si="4"/>
        <v>-1000</v>
      </c>
      <c r="H7" s="104">
        <f t="shared" si="4"/>
        <v>0</v>
      </c>
      <c r="I7" s="105">
        <f t="shared" si="5"/>
        <v>1000</v>
      </c>
      <c r="J7" s="106">
        <f t="shared" si="6"/>
        <v>-1</v>
      </c>
      <c r="K7" s="106">
        <f t="shared" si="7"/>
        <v>0</v>
      </c>
      <c r="L7" s="103">
        <f t="shared" ref="L7:L10" si="11">IF(C18="","", 20)</f>
        <v>20</v>
      </c>
      <c r="M7" s="107">
        <f t="shared" ref="M7:M10" si="12">IF(C18="","", 150000)</f>
        <v>150000</v>
      </c>
      <c r="N7" s="105">
        <f t="shared" si="8"/>
        <v>3000</v>
      </c>
      <c r="P7" s="108">
        <v>2</v>
      </c>
      <c r="Q7" s="103">
        <v>200</v>
      </c>
      <c r="R7" s="103">
        <v>600</v>
      </c>
      <c r="S7" s="109" t="s">
        <v>169</v>
      </c>
      <c r="T7" s="108">
        <f t="shared" si="9"/>
        <v>0</v>
      </c>
      <c r="U7" s="108">
        <f t="shared" si="10"/>
        <v>0</v>
      </c>
      <c r="V7" s="103">
        <v>2000</v>
      </c>
      <c r="W7" s="103">
        <v>-1000</v>
      </c>
    </row>
    <row r="8" spans="1:23" ht="19.05" customHeight="1" x14ac:dyDescent="0.3">
      <c r="B8" s="111">
        <v>3</v>
      </c>
      <c r="C8" s="103">
        <f t="shared" si="0"/>
        <v>800</v>
      </c>
      <c r="D8" s="103">
        <f t="shared" si="1"/>
        <v>800</v>
      </c>
      <c r="E8" s="103">
        <f t="shared" si="2"/>
        <v>1000</v>
      </c>
      <c r="F8" s="103">
        <f t="shared" si="3"/>
        <v>0</v>
      </c>
      <c r="G8" s="104">
        <f t="shared" si="4"/>
        <v>200</v>
      </c>
      <c r="H8" s="104">
        <f t="shared" si="4"/>
        <v>-800</v>
      </c>
      <c r="I8" s="105">
        <f t="shared" si="5"/>
        <v>824.62112512353212</v>
      </c>
      <c r="J8" s="106">
        <f t="shared" si="6"/>
        <v>0.24253562503633297</v>
      </c>
      <c r="K8" s="106">
        <f t="shared" si="7"/>
        <v>-0.97014250014533188</v>
      </c>
      <c r="L8" s="103">
        <f t="shared" si="11"/>
        <v>20</v>
      </c>
      <c r="M8" s="107">
        <f t="shared" si="12"/>
        <v>150000</v>
      </c>
      <c r="N8" s="105">
        <f t="shared" si="8"/>
        <v>3638.0343755449944</v>
      </c>
      <c r="P8" s="108">
        <v>3</v>
      </c>
      <c r="Q8" s="103">
        <v>0</v>
      </c>
      <c r="R8" s="103">
        <v>0</v>
      </c>
      <c r="S8" s="109" t="s">
        <v>167</v>
      </c>
      <c r="T8" s="108">
        <f t="shared" si="9"/>
        <v>0</v>
      </c>
      <c r="U8" s="108">
        <f t="shared" si="10"/>
        <v>1</v>
      </c>
      <c r="V8" s="103">
        <v>0</v>
      </c>
      <c r="W8" s="103">
        <v>0</v>
      </c>
    </row>
    <row r="9" spans="1:23" ht="19.05" customHeight="1" x14ac:dyDescent="0.3">
      <c r="B9" s="112">
        <v>4</v>
      </c>
      <c r="C9" s="103">
        <f t="shared" si="0"/>
        <v>200</v>
      </c>
      <c r="D9" s="103">
        <f t="shared" si="1"/>
        <v>600</v>
      </c>
      <c r="E9" s="103">
        <f t="shared" si="2"/>
        <v>1000</v>
      </c>
      <c r="F9" s="103">
        <f t="shared" si="3"/>
        <v>0</v>
      </c>
      <c r="G9" s="104">
        <f t="shared" si="4"/>
        <v>800</v>
      </c>
      <c r="H9" s="104">
        <f t="shared" si="4"/>
        <v>-600</v>
      </c>
      <c r="I9" s="105">
        <f t="shared" si="5"/>
        <v>1000</v>
      </c>
      <c r="J9" s="106">
        <f t="shared" si="6"/>
        <v>0.8</v>
      </c>
      <c r="K9" s="106">
        <f t="shared" si="7"/>
        <v>-0.6</v>
      </c>
      <c r="L9" s="103">
        <f t="shared" si="11"/>
        <v>20</v>
      </c>
      <c r="M9" s="107">
        <f t="shared" si="12"/>
        <v>150000</v>
      </c>
      <c r="N9" s="105">
        <f t="shared" si="8"/>
        <v>3000</v>
      </c>
      <c r="P9" s="108">
        <v>4</v>
      </c>
      <c r="Q9" s="103">
        <v>1000</v>
      </c>
      <c r="R9" s="103">
        <v>0</v>
      </c>
      <c r="S9" s="109" t="s">
        <v>168</v>
      </c>
      <c r="T9" s="108">
        <f t="shared" si="9"/>
        <v>1</v>
      </c>
      <c r="U9" s="108">
        <f t="shared" si="10"/>
        <v>1</v>
      </c>
      <c r="V9" s="103">
        <v>0</v>
      </c>
      <c r="W9" s="103">
        <v>0</v>
      </c>
    </row>
    <row r="10" spans="1:23" ht="19.05" customHeight="1" x14ac:dyDescent="0.3">
      <c r="B10" s="113">
        <v>5</v>
      </c>
      <c r="C10" s="103">
        <f t="shared" si="0"/>
        <v>200</v>
      </c>
      <c r="D10" s="103">
        <f t="shared" si="1"/>
        <v>600</v>
      </c>
      <c r="E10" s="103">
        <f t="shared" si="2"/>
        <v>800</v>
      </c>
      <c r="F10" s="103">
        <f t="shared" si="3"/>
        <v>800</v>
      </c>
      <c r="G10" s="104">
        <f t="shared" si="4"/>
        <v>600</v>
      </c>
      <c r="H10" s="104">
        <f t="shared" si="4"/>
        <v>200</v>
      </c>
      <c r="I10" s="105">
        <f t="shared" si="5"/>
        <v>632.45553203367592</v>
      </c>
      <c r="J10" s="106">
        <f t="shared" si="6"/>
        <v>0.94868329805051377</v>
      </c>
      <c r="K10" s="106">
        <f t="shared" si="7"/>
        <v>0.31622776601683789</v>
      </c>
      <c r="L10" s="103">
        <f t="shared" si="11"/>
        <v>20</v>
      </c>
      <c r="M10" s="107">
        <f t="shared" si="12"/>
        <v>150000</v>
      </c>
      <c r="N10" s="105">
        <f t="shared" si="8"/>
        <v>4743.416490252569</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95" t="s">
        <v>170</v>
      </c>
      <c r="C15" s="196"/>
      <c r="D15" s="196"/>
      <c r="E15" s="196"/>
      <c r="F15" s="196"/>
      <c r="G15" s="196"/>
      <c r="H15" s="196"/>
    </row>
    <row r="16" spans="1:23" ht="18" customHeight="1" x14ac:dyDescent="0.3">
      <c r="B16" s="148" t="s">
        <v>145</v>
      </c>
      <c r="C16" s="148" t="s">
        <v>171</v>
      </c>
      <c r="D16" s="165" t="s">
        <v>731</v>
      </c>
      <c r="E16" s="165" t="s">
        <v>732</v>
      </c>
      <c r="F16" s="148" t="s">
        <v>174</v>
      </c>
      <c r="G16" s="165" t="s">
        <v>731</v>
      </c>
      <c r="H16" s="165" t="s">
        <v>732</v>
      </c>
      <c r="S16" s="109" t="s">
        <v>167</v>
      </c>
    </row>
    <row r="17" spans="1:19" ht="19.05" customHeight="1" x14ac:dyDescent="0.3">
      <c r="B17" s="102">
        <v>1</v>
      </c>
      <c r="C17" s="117">
        <v>3</v>
      </c>
      <c r="D17" s="108" t="str">
        <f t="shared" ref="D17:D24" si="15">IF(C17="","", "U" &amp; C17 &amp; "X")</f>
        <v>U3X</v>
      </c>
      <c r="E17" s="108" t="str">
        <f t="shared" ref="E17:E24" si="16">IF(C17="","", "U" &amp; C17 &amp; "Y")</f>
        <v>U3Y</v>
      </c>
      <c r="F17" s="117">
        <v>2</v>
      </c>
      <c r="G17" s="108" t="str">
        <f t="shared" ref="G17:G24" si="17">IF(F17="","", "U" &amp; F17 &amp; "X")</f>
        <v>U2X</v>
      </c>
      <c r="H17" s="108" t="str">
        <f t="shared" ref="H17:H24" si="18">IF(F17="","", "U" &amp; F17 &amp; "Y")</f>
        <v>U2Y</v>
      </c>
      <c r="S17" s="109" t="s">
        <v>168</v>
      </c>
    </row>
    <row r="18" spans="1:19" ht="19.05" customHeight="1" x14ac:dyDescent="0.3">
      <c r="B18" s="150">
        <v>2</v>
      </c>
      <c r="C18" s="117">
        <v>4</v>
      </c>
      <c r="D18" s="108" t="str">
        <f t="shared" si="15"/>
        <v>U4X</v>
      </c>
      <c r="E18" s="108" t="str">
        <f t="shared" si="16"/>
        <v>U4Y</v>
      </c>
      <c r="F18" s="117">
        <v>3</v>
      </c>
      <c r="G18" s="108" t="str">
        <f t="shared" si="17"/>
        <v>U3X</v>
      </c>
      <c r="H18" s="108" t="str">
        <f t="shared" si="18"/>
        <v>U3Y</v>
      </c>
      <c r="S18" s="109" t="s">
        <v>169</v>
      </c>
    </row>
    <row r="19" spans="1:19" ht="19.05" customHeight="1" x14ac:dyDescent="0.3">
      <c r="B19" s="111">
        <v>3</v>
      </c>
      <c r="C19" s="117">
        <v>1</v>
      </c>
      <c r="D19" s="108" t="str">
        <f t="shared" si="15"/>
        <v>U1X</v>
      </c>
      <c r="E19" s="108" t="str">
        <f t="shared" si="16"/>
        <v>U1Y</v>
      </c>
      <c r="F19" s="117">
        <v>4</v>
      </c>
      <c r="G19" s="108" t="str">
        <f t="shared" si="17"/>
        <v>U4X</v>
      </c>
      <c r="H19" s="108" t="str">
        <f t="shared" si="18"/>
        <v>U4Y</v>
      </c>
      <c r="S19" s="109" t="s">
        <v>169</v>
      </c>
    </row>
    <row r="20" spans="1:19" ht="19.05" customHeight="1" x14ac:dyDescent="0.3">
      <c r="B20" s="112">
        <v>4</v>
      </c>
      <c r="C20" s="117">
        <v>2</v>
      </c>
      <c r="D20" s="108" t="str">
        <f t="shared" si="15"/>
        <v>U2X</v>
      </c>
      <c r="E20" s="108" t="str">
        <f t="shared" si="16"/>
        <v>U2Y</v>
      </c>
      <c r="F20" s="117">
        <v>4</v>
      </c>
      <c r="G20" s="108" t="str">
        <f t="shared" si="17"/>
        <v>U4X</v>
      </c>
      <c r="H20" s="108" t="str">
        <f t="shared" si="18"/>
        <v>U4Y</v>
      </c>
      <c r="S20" s="109" t="s">
        <v>169</v>
      </c>
    </row>
    <row r="21" spans="1:19" ht="19.05" customHeight="1" x14ac:dyDescent="0.3">
      <c r="B21" s="113">
        <v>5</v>
      </c>
      <c r="C21" s="117">
        <v>2</v>
      </c>
      <c r="D21" s="108" t="str">
        <f t="shared" si="15"/>
        <v>U2X</v>
      </c>
      <c r="E21" s="108" t="str">
        <f t="shared" si="16"/>
        <v>U2Y</v>
      </c>
      <c r="F21" s="117">
        <v>1</v>
      </c>
      <c r="G21" s="108" t="str">
        <f t="shared" si="17"/>
        <v>U1X</v>
      </c>
      <c r="H21" s="108" t="str">
        <f t="shared" si="18"/>
        <v>U1Y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U3X</v>
      </c>
      <c r="C27" s="102" t="str">
        <f>IF(E17="","-",E17)</f>
        <v>U3Y</v>
      </c>
      <c r="D27" s="102" t="str">
        <f>IF(G17="","-",G17)</f>
        <v>U2X</v>
      </c>
      <c r="E27" s="102" t="str">
        <f>IF(H17="","-",H17)</f>
        <v>U2Y</v>
      </c>
    </row>
    <row r="28" spans="1:19" ht="18" customHeight="1" x14ac:dyDescent="0.3">
      <c r="B28" s="119">
        <f>IF(N6=0, 0, N6*J6*J6)</f>
        <v>474.34164902525674</v>
      </c>
      <c r="C28" s="119">
        <f>IF(N6=0, 0, N6*J6*K6)</f>
        <v>1423.0249470757703</v>
      </c>
      <c r="D28" s="119">
        <f>IF(N6=0, 0, -N6*J6*J6)</f>
        <v>-474.34164902525674</v>
      </c>
      <c r="E28" s="119">
        <f>IF(N6=0, 0, -N6*J6*K6)</f>
        <v>-1423.0249470757703</v>
      </c>
      <c r="F28" s="102" t="str">
        <f>IF(D17="","-",D17)</f>
        <v>U3X</v>
      </c>
    </row>
    <row r="29" spans="1:19" ht="18" customHeight="1" x14ac:dyDescent="0.3">
      <c r="B29" s="119">
        <f>IF(N6=0, 0, N6*J6*K6)</f>
        <v>1423.0249470757703</v>
      </c>
      <c r="C29" s="119">
        <f>IF(N6=0, 0, N6*K6*K6)</f>
        <v>4269.0748412273124</v>
      </c>
      <c r="D29" s="119">
        <f>IF(N6=0, 0, -N6*J6*K6)</f>
        <v>-1423.0249470757703</v>
      </c>
      <c r="E29" s="119">
        <f>IF(N6=0, 0, -N6*K6*K6)</f>
        <v>-4269.0748412273124</v>
      </c>
      <c r="F29" s="102" t="str">
        <f>IF(E17="","-",E17)</f>
        <v>U3Y</v>
      </c>
    </row>
    <row r="30" spans="1:19" ht="18" customHeight="1" x14ac:dyDescent="0.3">
      <c r="B30" s="119">
        <f>IF(N6=0, 0, -N6*J6*J6)</f>
        <v>-474.34164902525674</v>
      </c>
      <c r="C30" s="119">
        <f>IF(N6=0, 0, -N6*J6*K6)</f>
        <v>-1423.0249470757703</v>
      </c>
      <c r="D30" s="119">
        <f>IF(N6=0, 0, N6*J6*J6)</f>
        <v>474.34164902525674</v>
      </c>
      <c r="E30" s="119">
        <f>IF(N6=0, 0, N6*J6*K6)</f>
        <v>1423.0249470757703</v>
      </c>
      <c r="F30" s="102" t="str">
        <f>IF(G17="","-",G17)</f>
        <v>U2X</v>
      </c>
    </row>
    <row r="31" spans="1:19" ht="18" customHeight="1" x14ac:dyDescent="0.3">
      <c r="B31" s="119">
        <f>IF(N6=0, 0, -N6*J6*K6)</f>
        <v>-1423.0249470757703</v>
      </c>
      <c r="C31" s="119">
        <f>IF(N6=0, 0, -N6*K6*K6)</f>
        <v>-4269.0748412273124</v>
      </c>
      <c r="D31" s="119">
        <f>IF(N6=0, 0, N6*J6*K6)</f>
        <v>1423.0249470757703</v>
      </c>
      <c r="E31" s="119">
        <f>IF(N6=0, 0, N6*K6*K6)</f>
        <v>4269.0748412273124</v>
      </c>
      <c r="F31" s="102" t="str">
        <f>IF(H17="","-",H17)</f>
        <v>U2Y</v>
      </c>
    </row>
    <row r="33" spans="1:14" ht="19.05" customHeight="1" x14ac:dyDescent="0.3">
      <c r="B33" s="148" t="s">
        <v>178</v>
      </c>
      <c r="C33" s="148" t="s">
        <v>179</v>
      </c>
      <c r="D33" s="148" t="s">
        <v>180</v>
      </c>
      <c r="E33" s="148" t="s">
        <v>181</v>
      </c>
      <c r="F33" s="148" t="s">
        <v>182</v>
      </c>
      <c r="G33" s="148" t="s">
        <v>183</v>
      </c>
      <c r="H33" s="148" t="s">
        <v>184</v>
      </c>
      <c r="I33" s="148" t="s">
        <v>185</v>
      </c>
      <c r="J33" s="148" t="s">
        <v>186</v>
      </c>
      <c r="K33" s="148" t="s">
        <v>187</v>
      </c>
      <c r="L33" s="148" t="s">
        <v>188</v>
      </c>
      <c r="M33" s="148" t="s">
        <v>189</v>
      </c>
    </row>
    <row r="34" spans="1:14" ht="19.05" customHeight="1" x14ac:dyDescent="0.3">
      <c r="B34" s="120">
        <f t="shared" ref="B34:M45" si="19">IFERROR(INDEX($B$28:$E$31, MATCH($N34, $B$27:$E$27, 0), MATCH(B$33, $B$27:$E$27, 0)), 0)</f>
        <v>0</v>
      </c>
      <c r="C34" s="120">
        <f t="shared" si="19"/>
        <v>0</v>
      </c>
      <c r="D34" s="120">
        <f t="shared" si="19"/>
        <v>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0</v>
      </c>
      <c r="C36" s="120">
        <f t="shared" si="19"/>
        <v>0</v>
      </c>
      <c r="D36" s="120">
        <f t="shared" si="19"/>
        <v>474.34164902525674</v>
      </c>
      <c r="E36" s="120">
        <f t="shared" si="19"/>
        <v>1423.0249470757703</v>
      </c>
      <c r="F36" s="120">
        <f t="shared" si="19"/>
        <v>-474.34164902525674</v>
      </c>
      <c r="G36" s="120">
        <f t="shared" si="19"/>
        <v>-1423.0249470757703</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1423.0249470757703</v>
      </c>
      <c r="E37" s="120">
        <f t="shared" si="19"/>
        <v>4269.0748412273124</v>
      </c>
      <c r="F37" s="120">
        <f t="shared" si="19"/>
        <v>-1423.0249470757703</v>
      </c>
      <c r="G37" s="120">
        <f t="shared" si="19"/>
        <v>-4269.0748412273124</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-474.34164902525674</v>
      </c>
      <c r="E38" s="120">
        <f t="shared" si="19"/>
        <v>-1423.0249470757703</v>
      </c>
      <c r="F38" s="120">
        <f t="shared" si="19"/>
        <v>474.34164902525674</v>
      </c>
      <c r="G38" s="120">
        <f t="shared" si="19"/>
        <v>1423.0249470757703</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-1423.0249470757703</v>
      </c>
      <c r="E39" s="120">
        <f t="shared" si="19"/>
        <v>-4269.0748412273124</v>
      </c>
      <c r="F39" s="120">
        <f t="shared" si="19"/>
        <v>1423.0249470757703</v>
      </c>
      <c r="G39" s="120">
        <f t="shared" si="19"/>
        <v>4269.0748412273124</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50" t="str">
        <f>IF(D18="","-",D18)</f>
        <v>U4X</v>
      </c>
      <c r="C48" s="150" t="str">
        <f>IF(E18="","-",E18)</f>
        <v>U4Y</v>
      </c>
      <c r="D48" s="150" t="str">
        <f>IF(G18="","-",G18)</f>
        <v>U3X</v>
      </c>
      <c r="E48" s="150" t="str">
        <f>IF(H18="","-",H18)</f>
        <v>U3Y</v>
      </c>
    </row>
    <row r="49" spans="1:14" ht="18" customHeight="1" x14ac:dyDescent="0.3">
      <c r="B49" s="121">
        <f>IF(N7=0, 0, N7*J7*J7)</f>
        <v>3000</v>
      </c>
      <c r="C49" s="121">
        <f>IF(N7=0, 0, N7*J7*K7)</f>
        <v>0</v>
      </c>
      <c r="D49" s="121">
        <f>IF(N7=0, 0, -N7*J7*J7)</f>
        <v>-3000</v>
      </c>
      <c r="E49" s="121">
        <f>IF(N7=0, 0, -N7*J7*K7)</f>
        <v>0</v>
      </c>
      <c r="F49" s="150" t="str">
        <f>IF(D18="","-",D18)</f>
        <v>U4X</v>
      </c>
    </row>
    <row r="50" spans="1:14" ht="18" customHeight="1" x14ac:dyDescent="0.3">
      <c r="B50" s="121">
        <f>IF(N7=0, 0, N7*J7*K7)</f>
        <v>0</v>
      </c>
      <c r="C50" s="121">
        <f>IF(N7=0, 0, N7*K7*K7)</f>
        <v>0</v>
      </c>
      <c r="D50" s="121">
        <f>IF(N7=0, 0, -N7*J7*K7)</f>
        <v>0</v>
      </c>
      <c r="E50" s="121">
        <f>IF(N7=0, 0, -N7*K7*K7)</f>
        <v>0</v>
      </c>
      <c r="F50" s="150" t="str">
        <f>IF(E18="","-",E18)</f>
        <v>U4Y</v>
      </c>
    </row>
    <row r="51" spans="1:14" ht="18" customHeight="1" x14ac:dyDescent="0.3">
      <c r="B51" s="121">
        <f>IF(N7=0, 0, -N7*J7*J7)</f>
        <v>-3000</v>
      </c>
      <c r="C51" s="121">
        <f>IF(N7=0, 0, -N7*J7*K7)</f>
        <v>0</v>
      </c>
      <c r="D51" s="121">
        <f>IF(N7=0, 0, N7*J7*J7)</f>
        <v>3000</v>
      </c>
      <c r="E51" s="121">
        <f>IF(N7=0, 0, N7*J7*K7)</f>
        <v>0</v>
      </c>
      <c r="F51" s="150" t="str">
        <f>IF(G18="","-",G18)</f>
        <v>U3X</v>
      </c>
    </row>
    <row r="52" spans="1:14" ht="18" customHeight="1" x14ac:dyDescent="0.3">
      <c r="B52" s="121">
        <f>IF(N7=0, 0, -N7*J7*K7)</f>
        <v>0</v>
      </c>
      <c r="C52" s="121">
        <f>IF(N7=0, 0, -N7*K7*K7)</f>
        <v>0</v>
      </c>
      <c r="D52" s="121">
        <f>IF(N7=0, 0, N7*J7*K7)</f>
        <v>0</v>
      </c>
      <c r="E52" s="121">
        <f>IF(N7=0, 0, N7*K7*K7)</f>
        <v>0</v>
      </c>
      <c r="F52" s="150" t="str">
        <f>IF(H18="","-",H18)</f>
        <v>U3Y</v>
      </c>
    </row>
    <row r="54" spans="1:14" ht="19.05" customHeight="1" x14ac:dyDescent="0.3">
      <c r="B54" s="148" t="s">
        <v>178</v>
      </c>
      <c r="C54" s="148" t="s">
        <v>179</v>
      </c>
      <c r="D54" s="148" t="s">
        <v>180</v>
      </c>
      <c r="E54" s="148" t="s">
        <v>181</v>
      </c>
      <c r="F54" s="148" t="s">
        <v>182</v>
      </c>
      <c r="G54" s="148" t="s">
        <v>183</v>
      </c>
      <c r="H54" s="148" t="s">
        <v>184</v>
      </c>
      <c r="I54" s="148" t="s">
        <v>185</v>
      </c>
      <c r="J54" s="148" t="s">
        <v>186</v>
      </c>
      <c r="K54" s="148" t="s">
        <v>187</v>
      </c>
      <c r="L54" s="148" t="s">
        <v>188</v>
      </c>
      <c r="M54" s="148" t="s">
        <v>189</v>
      </c>
    </row>
    <row r="55" spans="1:14" ht="19.05" customHeight="1" x14ac:dyDescent="0.3">
      <c r="B55" s="120">
        <f t="shared" ref="B55:M66" si="20">IFERROR(INDEX($B$49:$E$52, MATCH($N55, $B$48:$E$48, 0), MATCH(B$54, $B$48:$E$48, 0)), 0)</f>
        <v>0</v>
      </c>
      <c r="C55" s="120">
        <f t="shared" si="20"/>
        <v>0</v>
      </c>
      <c r="D55" s="120">
        <f t="shared" si="20"/>
        <v>0</v>
      </c>
      <c r="E55" s="120">
        <f t="shared" si="20"/>
        <v>0</v>
      </c>
      <c r="F55" s="120">
        <f t="shared" si="20"/>
        <v>0</v>
      </c>
      <c r="G55" s="120">
        <f t="shared" si="20"/>
        <v>0</v>
      </c>
      <c r="H55" s="120">
        <f t="shared" si="20"/>
        <v>0</v>
      </c>
      <c r="I55" s="120">
        <f t="shared" si="20"/>
        <v>0</v>
      </c>
      <c r="J55" s="120">
        <f t="shared" si="20"/>
        <v>0</v>
      </c>
      <c r="K55" s="120">
        <f t="shared" si="20"/>
        <v>0</v>
      </c>
      <c r="L55" s="120">
        <f t="shared" si="20"/>
        <v>0</v>
      </c>
      <c r="M55" s="120">
        <f t="shared" si="20"/>
        <v>0</v>
      </c>
      <c r="N55" s="150" t="s">
        <v>178</v>
      </c>
    </row>
    <row r="56" spans="1:14" ht="19.05" customHeight="1" x14ac:dyDescent="0.3">
      <c r="B56" s="120">
        <f t="shared" si="20"/>
        <v>0</v>
      </c>
      <c r="C56" s="120">
        <f t="shared" si="20"/>
        <v>0</v>
      </c>
      <c r="D56" s="120">
        <f t="shared" si="20"/>
        <v>0</v>
      </c>
      <c r="E56" s="120">
        <f t="shared" si="20"/>
        <v>0</v>
      </c>
      <c r="F56" s="120">
        <f t="shared" si="20"/>
        <v>0</v>
      </c>
      <c r="G56" s="120">
        <f t="shared" si="20"/>
        <v>0</v>
      </c>
      <c r="H56" s="120">
        <f t="shared" si="20"/>
        <v>0</v>
      </c>
      <c r="I56" s="120">
        <f t="shared" si="20"/>
        <v>0</v>
      </c>
      <c r="J56" s="120">
        <f t="shared" si="20"/>
        <v>0</v>
      </c>
      <c r="K56" s="120">
        <f t="shared" si="20"/>
        <v>0</v>
      </c>
      <c r="L56" s="120">
        <f t="shared" si="20"/>
        <v>0</v>
      </c>
      <c r="M56" s="120">
        <f t="shared" si="20"/>
        <v>0</v>
      </c>
      <c r="N56" s="150" t="s">
        <v>179</v>
      </c>
    </row>
    <row r="57" spans="1:14" ht="19.05" customHeight="1" x14ac:dyDescent="0.3">
      <c r="B57" s="120">
        <f t="shared" si="20"/>
        <v>0</v>
      </c>
      <c r="C57" s="120">
        <f t="shared" si="20"/>
        <v>0</v>
      </c>
      <c r="D57" s="120">
        <f t="shared" si="20"/>
        <v>0</v>
      </c>
      <c r="E57" s="120">
        <f t="shared" si="20"/>
        <v>0</v>
      </c>
      <c r="F57" s="120">
        <f t="shared" si="20"/>
        <v>0</v>
      </c>
      <c r="G57" s="120">
        <f t="shared" si="20"/>
        <v>0</v>
      </c>
      <c r="H57" s="120">
        <f t="shared" si="20"/>
        <v>0</v>
      </c>
      <c r="I57" s="120">
        <f t="shared" si="20"/>
        <v>0</v>
      </c>
      <c r="J57" s="120">
        <f t="shared" si="20"/>
        <v>0</v>
      </c>
      <c r="K57" s="120">
        <f t="shared" si="20"/>
        <v>0</v>
      </c>
      <c r="L57" s="120">
        <f t="shared" si="20"/>
        <v>0</v>
      </c>
      <c r="M57" s="120">
        <f t="shared" si="20"/>
        <v>0</v>
      </c>
      <c r="N57" s="150" t="s">
        <v>180</v>
      </c>
    </row>
    <row r="58" spans="1:14" ht="19.05" customHeight="1" x14ac:dyDescent="0.3">
      <c r="B58" s="120">
        <f t="shared" si="20"/>
        <v>0</v>
      </c>
      <c r="C58" s="120">
        <f t="shared" si="20"/>
        <v>0</v>
      </c>
      <c r="D58" s="120">
        <f t="shared" si="20"/>
        <v>0</v>
      </c>
      <c r="E58" s="120">
        <f t="shared" si="20"/>
        <v>0</v>
      </c>
      <c r="F58" s="120">
        <f t="shared" si="20"/>
        <v>0</v>
      </c>
      <c r="G58" s="120">
        <f t="shared" si="20"/>
        <v>0</v>
      </c>
      <c r="H58" s="120">
        <f t="shared" si="20"/>
        <v>0</v>
      </c>
      <c r="I58" s="120">
        <f t="shared" si="20"/>
        <v>0</v>
      </c>
      <c r="J58" s="120">
        <f t="shared" si="20"/>
        <v>0</v>
      </c>
      <c r="K58" s="120">
        <f t="shared" si="20"/>
        <v>0</v>
      </c>
      <c r="L58" s="120">
        <f t="shared" si="20"/>
        <v>0</v>
      </c>
      <c r="M58" s="120">
        <f t="shared" si="20"/>
        <v>0</v>
      </c>
      <c r="N58" s="150" t="s">
        <v>181</v>
      </c>
    </row>
    <row r="59" spans="1:14" ht="19.05" customHeight="1" x14ac:dyDescent="0.3">
      <c r="B59" s="120">
        <f t="shared" si="20"/>
        <v>0</v>
      </c>
      <c r="C59" s="120">
        <f t="shared" si="20"/>
        <v>0</v>
      </c>
      <c r="D59" s="120">
        <f t="shared" si="20"/>
        <v>0</v>
      </c>
      <c r="E59" s="120">
        <f t="shared" si="20"/>
        <v>0</v>
      </c>
      <c r="F59" s="120">
        <f t="shared" si="20"/>
        <v>3000</v>
      </c>
      <c r="G59" s="120">
        <f t="shared" si="20"/>
        <v>0</v>
      </c>
      <c r="H59" s="120">
        <f t="shared" si="20"/>
        <v>-3000</v>
      </c>
      <c r="I59" s="120">
        <f t="shared" si="20"/>
        <v>0</v>
      </c>
      <c r="J59" s="120">
        <f t="shared" si="20"/>
        <v>0</v>
      </c>
      <c r="K59" s="120">
        <f t="shared" si="20"/>
        <v>0</v>
      </c>
      <c r="L59" s="120">
        <f t="shared" si="20"/>
        <v>0</v>
      </c>
      <c r="M59" s="120">
        <f t="shared" si="20"/>
        <v>0</v>
      </c>
      <c r="N59" s="150" t="s">
        <v>182</v>
      </c>
    </row>
    <row r="60" spans="1:14" ht="19.05" customHeight="1" x14ac:dyDescent="0.3">
      <c r="A60" s="118" t="s">
        <v>192</v>
      </c>
      <c r="B60" s="120">
        <f t="shared" si="20"/>
        <v>0</v>
      </c>
      <c r="C60" s="120">
        <f t="shared" si="20"/>
        <v>0</v>
      </c>
      <c r="D60" s="120">
        <f t="shared" si="20"/>
        <v>0</v>
      </c>
      <c r="E60" s="120">
        <f t="shared" si="20"/>
        <v>0</v>
      </c>
      <c r="F60" s="120">
        <f t="shared" si="20"/>
        <v>0</v>
      </c>
      <c r="G60" s="120">
        <f t="shared" si="20"/>
        <v>0</v>
      </c>
      <c r="H60" s="120">
        <f t="shared" si="20"/>
        <v>0</v>
      </c>
      <c r="I60" s="120">
        <f t="shared" si="20"/>
        <v>0</v>
      </c>
      <c r="J60" s="120">
        <f t="shared" si="20"/>
        <v>0</v>
      </c>
      <c r="K60" s="120">
        <f t="shared" si="20"/>
        <v>0</v>
      </c>
      <c r="L60" s="120">
        <f t="shared" si="20"/>
        <v>0</v>
      </c>
      <c r="M60" s="120">
        <f t="shared" si="20"/>
        <v>0</v>
      </c>
      <c r="N60" s="150" t="s">
        <v>183</v>
      </c>
    </row>
    <row r="61" spans="1:14" ht="19.05" customHeight="1" x14ac:dyDescent="0.3">
      <c r="B61" s="120">
        <f t="shared" si="20"/>
        <v>0</v>
      </c>
      <c r="C61" s="120">
        <f t="shared" si="20"/>
        <v>0</v>
      </c>
      <c r="D61" s="120">
        <f t="shared" si="20"/>
        <v>0</v>
      </c>
      <c r="E61" s="120">
        <f t="shared" si="20"/>
        <v>0</v>
      </c>
      <c r="F61" s="120">
        <f t="shared" si="20"/>
        <v>-3000</v>
      </c>
      <c r="G61" s="120">
        <f t="shared" si="20"/>
        <v>0</v>
      </c>
      <c r="H61" s="120">
        <f t="shared" si="20"/>
        <v>3000</v>
      </c>
      <c r="I61" s="120">
        <f t="shared" si="20"/>
        <v>0</v>
      </c>
      <c r="J61" s="120">
        <f t="shared" si="20"/>
        <v>0</v>
      </c>
      <c r="K61" s="120">
        <f t="shared" si="20"/>
        <v>0</v>
      </c>
      <c r="L61" s="120">
        <f t="shared" si="20"/>
        <v>0</v>
      </c>
      <c r="M61" s="120">
        <f t="shared" si="20"/>
        <v>0</v>
      </c>
      <c r="N61" s="150"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50"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50"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50"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50"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50" t="s">
        <v>189</v>
      </c>
    </row>
    <row r="69" spans="1:14" ht="19.05" customHeight="1" x14ac:dyDescent="0.3">
      <c r="A69" s="118" t="s">
        <v>193</v>
      </c>
      <c r="B69" s="111" t="str">
        <f>IF(D19="","-",D19)</f>
        <v>U1X</v>
      </c>
      <c r="C69" s="111" t="str">
        <f>IF(E19="","-",E19)</f>
        <v>U1Y</v>
      </c>
      <c r="D69" s="111" t="str">
        <f>IF(G19="","-",G19)</f>
        <v>U4X</v>
      </c>
      <c r="E69" s="111" t="str">
        <f>IF(H19="","-",H19)</f>
        <v>U4Y</v>
      </c>
    </row>
    <row r="70" spans="1:14" ht="18" customHeight="1" x14ac:dyDescent="0.3">
      <c r="B70" s="122">
        <f>IF(N8=0, 0, N8*J8*J8)</f>
        <v>214.00202209088201</v>
      </c>
      <c r="C70" s="122">
        <f>IF(N8=0, 0, N8*J8*K8)</f>
        <v>-856.00808836352803</v>
      </c>
      <c r="D70" s="122">
        <f>IF(N8=0, 0, -N8*J8*J8)</f>
        <v>-214.00202209088201</v>
      </c>
      <c r="E70" s="122">
        <f>IF(N8=0, 0, -N8*J8*K8)</f>
        <v>856.00808836352803</v>
      </c>
      <c r="F70" s="111" t="str">
        <f>IF(D19="","-",D19)</f>
        <v>U1X</v>
      </c>
    </row>
    <row r="71" spans="1:14" ht="18" customHeight="1" x14ac:dyDescent="0.3">
      <c r="B71" s="122">
        <f>IF(N8=0, 0, N8*J8*K8)</f>
        <v>-856.00808836352803</v>
      </c>
      <c r="C71" s="122">
        <f>IF(N8=0, 0, N8*K8*K8)</f>
        <v>3424.0323534541121</v>
      </c>
      <c r="D71" s="122">
        <f>IF(N8=0, 0, -N8*J8*K8)</f>
        <v>856.00808836352803</v>
      </c>
      <c r="E71" s="122">
        <f>IF(N8=0, 0, -N8*K8*K8)</f>
        <v>-3424.0323534541121</v>
      </c>
      <c r="F71" s="111" t="str">
        <f>IF(E19="","-",E19)</f>
        <v>U1Y</v>
      </c>
    </row>
    <row r="72" spans="1:14" ht="18" customHeight="1" x14ac:dyDescent="0.3">
      <c r="B72" s="122">
        <f>IF(N8=0, 0, -N8*J8*J8)</f>
        <v>-214.00202209088201</v>
      </c>
      <c r="C72" s="122">
        <f>IF(N8=0, 0, -N8*J8*K8)</f>
        <v>856.00808836352803</v>
      </c>
      <c r="D72" s="122">
        <f>IF(N8=0, 0, N8*J8*J8)</f>
        <v>214.00202209088201</v>
      </c>
      <c r="E72" s="122">
        <f>IF(N8=0, 0, N8*J8*K8)</f>
        <v>-856.00808836352803</v>
      </c>
      <c r="F72" s="111" t="str">
        <f>IF(G19="","-",G19)</f>
        <v>U4X</v>
      </c>
    </row>
    <row r="73" spans="1:14" ht="18" customHeight="1" x14ac:dyDescent="0.3">
      <c r="B73" s="122">
        <f>IF(N8=0, 0, -N8*J8*K8)</f>
        <v>856.00808836352803</v>
      </c>
      <c r="C73" s="122">
        <f>IF(N8=0, 0, -N8*K8*K8)</f>
        <v>-3424.0323534541121</v>
      </c>
      <c r="D73" s="122">
        <f>IF(N8=0, 0, N8*J8*K8)</f>
        <v>-856.00808836352803</v>
      </c>
      <c r="E73" s="122">
        <f>IF(N8=0, 0, N8*K8*K8)</f>
        <v>3424.0323534541121</v>
      </c>
      <c r="F73" s="111" t="str">
        <f>IF(H19="","-",H19)</f>
        <v>U4Y</v>
      </c>
    </row>
    <row r="75" spans="1:14" ht="19.05" customHeight="1" x14ac:dyDescent="0.3">
      <c r="B75" s="148" t="s">
        <v>178</v>
      </c>
      <c r="C75" s="148" t="s">
        <v>179</v>
      </c>
      <c r="D75" s="148" t="s">
        <v>180</v>
      </c>
      <c r="E75" s="148" t="s">
        <v>181</v>
      </c>
      <c r="F75" s="148" t="s">
        <v>182</v>
      </c>
      <c r="G75" s="148" t="s">
        <v>183</v>
      </c>
      <c r="H75" s="148" t="s">
        <v>184</v>
      </c>
      <c r="I75" s="148" t="s">
        <v>185</v>
      </c>
      <c r="J75" s="148" t="s">
        <v>186</v>
      </c>
      <c r="K75" s="148" t="s">
        <v>187</v>
      </c>
      <c r="L75" s="148" t="s">
        <v>188</v>
      </c>
      <c r="M75" s="148" t="s">
        <v>189</v>
      </c>
    </row>
    <row r="76" spans="1:14" ht="19.05" customHeight="1" x14ac:dyDescent="0.3">
      <c r="B76" s="120">
        <f t="shared" ref="B76:M87" si="21">IFERROR(INDEX($B$70:$E$73, MATCH($N76, $B$69:$E$69, 0), MATCH(B$75, $B$69:$E$69, 0)), 0)</f>
        <v>214.00202209088201</v>
      </c>
      <c r="C76" s="120">
        <f t="shared" si="21"/>
        <v>-856.00808836352803</v>
      </c>
      <c r="D76" s="120">
        <f t="shared" si="21"/>
        <v>0</v>
      </c>
      <c r="E76" s="120">
        <f t="shared" si="21"/>
        <v>0</v>
      </c>
      <c r="F76" s="120">
        <f t="shared" si="21"/>
        <v>0</v>
      </c>
      <c r="G76" s="120">
        <f t="shared" si="21"/>
        <v>0</v>
      </c>
      <c r="H76" s="120">
        <f t="shared" si="21"/>
        <v>-214.00202209088201</v>
      </c>
      <c r="I76" s="120">
        <f t="shared" si="21"/>
        <v>856.00808836352803</v>
      </c>
      <c r="J76" s="120">
        <f t="shared" si="21"/>
        <v>0</v>
      </c>
      <c r="K76" s="120">
        <f t="shared" si="21"/>
        <v>0</v>
      </c>
      <c r="L76" s="120">
        <f t="shared" si="21"/>
        <v>0</v>
      </c>
      <c r="M76" s="120">
        <f t="shared" si="21"/>
        <v>0</v>
      </c>
      <c r="N76" s="111" t="s">
        <v>178</v>
      </c>
    </row>
    <row r="77" spans="1:14" ht="19.05" customHeight="1" x14ac:dyDescent="0.3">
      <c r="B77" s="120">
        <f t="shared" si="21"/>
        <v>-856.00808836352803</v>
      </c>
      <c r="C77" s="120">
        <f t="shared" si="21"/>
        <v>3424.0323534541121</v>
      </c>
      <c r="D77" s="120">
        <f t="shared" si="21"/>
        <v>0</v>
      </c>
      <c r="E77" s="120">
        <f t="shared" si="21"/>
        <v>0</v>
      </c>
      <c r="F77" s="120">
        <f t="shared" si="21"/>
        <v>0</v>
      </c>
      <c r="G77" s="120">
        <f t="shared" si="21"/>
        <v>0</v>
      </c>
      <c r="H77" s="120">
        <f t="shared" si="21"/>
        <v>856.00808836352803</v>
      </c>
      <c r="I77" s="120">
        <f t="shared" si="21"/>
        <v>-3424.0323534541121</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0</v>
      </c>
      <c r="E78" s="120">
        <f t="shared" si="21"/>
        <v>0</v>
      </c>
      <c r="F78" s="120">
        <f t="shared" si="21"/>
        <v>0</v>
      </c>
      <c r="G78" s="120">
        <f t="shared" si="21"/>
        <v>0</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0</v>
      </c>
      <c r="E79" s="120">
        <f t="shared" si="21"/>
        <v>0</v>
      </c>
      <c r="F79" s="120">
        <f t="shared" si="21"/>
        <v>0</v>
      </c>
      <c r="G79" s="120">
        <f t="shared" si="21"/>
        <v>0</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0</v>
      </c>
      <c r="E80" s="120">
        <f t="shared" si="21"/>
        <v>0</v>
      </c>
      <c r="F80" s="120">
        <f t="shared" si="21"/>
        <v>0</v>
      </c>
      <c r="G80" s="120">
        <f t="shared" si="21"/>
        <v>0</v>
      </c>
      <c r="H80" s="120">
        <f t="shared" si="21"/>
        <v>0</v>
      </c>
      <c r="I80" s="120">
        <f t="shared" si="21"/>
        <v>0</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0</v>
      </c>
      <c r="E81" s="120">
        <f t="shared" si="21"/>
        <v>0</v>
      </c>
      <c r="F81" s="120">
        <f t="shared" si="21"/>
        <v>0</v>
      </c>
      <c r="G81" s="120">
        <f t="shared" si="21"/>
        <v>0</v>
      </c>
      <c r="H81" s="120">
        <f t="shared" si="21"/>
        <v>0</v>
      </c>
      <c r="I81" s="120">
        <f t="shared" si="21"/>
        <v>0</v>
      </c>
      <c r="J81" s="120">
        <f t="shared" si="21"/>
        <v>0</v>
      </c>
      <c r="K81" s="120">
        <f t="shared" si="21"/>
        <v>0</v>
      </c>
      <c r="L81" s="120">
        <f t="shared" si="21"/>
        <v>0</v>
      </c>
      <c r="M81" s="120">
        <f t="shared" si="21"/>
        <v>0</v>
      </c>
      <c r="N81" s="111" t="s">
        <v>183</v>
      </c>
    </row>
    <row r="82" spans="1:14" ht="19.05" customHeight="1" x14ac:dyDescent="0.3">
      <c r="B82" s="120">
        <f t="shared" si="21"/>
        <v>-214.00202209088201</v>
      </c>
      <c r="C82" s="120">
        <f t="shared" si="21"/>
        <v>856.00808836352803</v>
      </c>
      <c r="D82" s="120">
        <f t="shared" si="21"/>
        <v>0</v>
      </c>
      <c r="E82" s="120">
        <f t="shared" si="21"/>
        <v>0</v>
      </c>
      <c r="F82" s="120">
        <f t="shared" si="21"/>
        <v>0</v>
      </c>
      <c r="G82" s="120">
        <f t="shared" si="21"/>
        <v>0</v>
      </c>
      <c r="H82" s="120">
        <f t="shared" si="21"/>
        <v>214.00202209088201</v>
      </c>
      <c r="I82" s="120">
        <f t="shared" si="21"/>
        <v>-856.00808836352803</v>
      </c>
      <c r="J82" s="120">
        <f t="shared" si="21"/>
        <v>0</v>
      </c>
      <c r="K82" s="120">
        <f t="shared" si="21"/>
        <v>0</v>
      </c>
      <c r="L82" s="120">
        <f t="shared" si="21"/>
        <v>0</v>
      </c>
      <c r="M82" s="120">
        <f t="shared" si="21"/>
        <v>0</v>
      </c>
      <c r="N82" s="111" t="s">
        <v>184</v>
      </c>
    </row>
    <row r="83" spans="1:14" ht="19.05" customHeight="1" x14ac:dyDescent="0.3">
      <c r="B83" s="120">
        <f t="shared" si="21"/>
        <v>856.00808836352803</v>
      </c>
      <c r="C83" s="120">
        <f t="shared" si="21"/>
        <v>-3424.0323534541121</v>
      </c>
      <c r="D83" s="120">
        <f t="shared" si="21"/>
        <v>0</v>
      </c>
      <c r="E83" s="120">
        <f t="shared" si="21"/>
        <v>0</v>
      </c>
      <c r="F83" s="120">
        <f t="shared" si="21"/>
        <v>0</v>
      </c>
      <c r="G83" s="120">
        <f t="shared" si="21"/>
        <v>0</v>
      </c>
      <c r="H83" s="120">
        <f t="shared" si="21"/>
        <v>-856.00808836352803</v>
      </c>
      <c r="I83" s="120">
        <f t="shared" si="21"/>
        <v>3424.0323534541121</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U2X</v>
      </c>
      <c r="C90" s="112" t="str">
        <f>IF(E20="","-",E20)</f>
        <v>U2Y</v>
      </c>
      <c r="D90" s="112" t="str">
        <f>IF(G20="","-",G20)</f>
        <v>U4X</v>
      </c>
      <c r="E90" s="112" t="str">
        <f>IF(H20="","-",H20)</f>
        <v>U4Y</v>
      </c>
    </row>
    <row r="91" spans="1:14" ht="18" customHeight="1" x14ac:dyDescent="0.3">
      <c r="B91" s="123">
        <f>IF(N9=0, 0, N9*J9*J9)</f>
        <v>1920</v>
      </c>
      <c r="C91" s="123">
        <f>IF(N9=0, 0, N9*J9*K9)</f>
        <v>-1440</v>
      </c>
      <c r="D91" s="123">
        <f>IF(N9=0, 0, -N9*J9*J9)</f>
        <v>-1920</v>
      </c>
      <c r="E91" s="123">
        <f>IF(N9=0, 0, -N9*J9*K9)</f>
        <v>1440</v>
      </c>
      <c r="F91" s="112" t="str">
        <f>IF(D20="","-",D20)</f>
        <v>U2X</v>
      </c>
    </row>
    <row r="92" spans="1:14" ht="18" customHeight="1" x14ac:dyDescent="0.3">
      <c r="B92" s="123">
        <f>IF(N9=0, 0, N9*J9*K9)</f>
        <v>-1440</v>
      </c>
      <c r="C92" s="123">
        <f>IF(N9=0, 0, N9*K9*K9)</f>
        <v>1080</v>
      </c>
      <c r="D92" s="123">
        <f>IF(N9=0, 0, -N9*J9*K9)</f>
        <v>1440</v>
      </c>
      <c r="E92" s="123">
        <f>IF(N9=0, 0, -N9*K9*K9)</f>
        <v>-1080</v>
      </c>
      <c r="F92" s="112" t="str">
        <f>IF(E20="","-",E20)</f>
        <v>U2Y</v>
      </c>
    </row>
    <row r="93" spans="1:14" ht="18" customHeight="1" x14ac:dyDescent="0.3">
      <c r="B93" s="123">
        <f>IF(N9=0, 0, -N9*J9*J9)</f>
        <v>-1920</v>
      </c>
      <c r="C93" s="123">
        <f>IF(N9=0, 0, -N9*J9*K9)</f>
        <v>1440</v>
      </c>
      <c r="D93" s="123">
        <f>IF(N9=0, 0, N9*J9*J9)</f>
        <v>1920</v>
      </c>
      <c r="E93" s="123">
        <f>IF(N9=0, 0, N9*J9*K9)</f>
        <v>-1440</v>
      </c>
      <c r="F93" s="112" t="str">
        <f>IF(G20="","-",G20)</f>
        <v>U4X</v>
      </c>
    </row>
    <row r="94" spans="1:14" ht="18" customHeight="1" x14ac:dyDescent="0.3">
      <c r="B94" s="123">
        <f>IF(N9=0, 0, -N9*J9*K9)</f>
        <v>1440</v>
      </c>
      <c r="C94" s="123">
        <f>IF(N9=0, 0, -N9*K9*K9)</f>
        <v>-1080</v>
      </c>
      <c r="D94" s="123">
        <f>IF(N9=0, 0, N9*J9*K9)</f>
        <v>-1440</v>
      </c>
      <c r="E94" s="123">
        <f>IF(N9=0, 0, N9*K9*K9)</f>
        <v>1080</v>
      </c>
      <c r="F94" s="112" t="str">
        <f>IF(H20="","-",H20)</f>
        <v>U4Y</v>
      </c>
    </row>
    <row r="96" spans="1:14" ht="19.05" customHeight="1" x14ac:dyDescent="0.3">
      <c r="B96" s="148" t="s">
        <v>178</v>
      </c>
      <c r="C96" s="148" t="s">
        <v>179</v>
      </c>
      <c r="D96" s="148" t="s">
        <v>180</v>
      </c>
      <c r="E96" s="148" t="s">
        <v>181</v>
      </c>
      <c r="F96" s="148" t="s">
        <v>182</v>
      </c>
      <c r="G96" s="148" t="s">
        <v>183</v>
      </c>
      <c r="H96" s="148" t="s">
        <v>184</v>
      </c>
      <c r="I96" s="148" t="s">
        <v>185</v>
      </c>
      <c r="J96" s="148" t="s">
        <v>186</v>
      </c>
      <c r="K96" s="148" t="s">
        <v>187</v>
      </c>
      <c r="L96" s="148" t="s">
        <v>188</v>
      </c>
      <c r="M96" s="148" t="s">
        <v>189</v>
      </c>
    </row>
    <row r="97" spans="1:14" ht="19.05" customHeight="1" x14ac:dyDescent="0.3">
      <c r="B97" s="120">
        <f t="shared" ref="B97:M108" si="22">IFERROR(INDEX($B$91:$E$94, MATCH($N97, $B$90:$E$90, 0), MATCH(B$96, $B$90:$E$90, 0)), 0)</f>
        <v>0</v>
      </c>
      <c r="C97" s="120">
        <f t="shared" si="22"/>
        <v>0</v>
      </c>
      <c r="D97" s="120">
        <f t="shared" si="22"/>
        <v>0</v>
      </c>
      <c r="E97" s="120">
        <f t="shared" si="22"/>
        <v>0</v>
      </c>
      <c r="F97" s="120">
        <f t="shared" si="22"/>
        <v>0</v>
      </c>
      <c r="G97" s="120">
        <f t="shared" si="22"/>
        <v>0</v>
      </c>
      <c r="H97" s="120">
        <f t="shared" si="22"/>
        <v>0</v>
      </c>
      <c r="I97" s="120">
        <f t="shared" si="22"/>
        <v>0</v>
      </c>
      <c r="J97" s="120">
        <f t="shared" si="22"/>
        <v>0</v>
      </c>
      <c r="K97" s="120">
        <f t="shared" si="22"/>
        <v>0</v>
      </c>
      <c r="L97" s="120">
        <f t="shared" si="22"/>
        <v>0</v>
      </c>
      <c r="M97" s="120">
        <f t="shared" si="22"/>
        <v>0</v>
      </c>
      <c r="N97" s="112" t="s">
        <v>178</v>
      </c>
    </row>
    <row r="98" spans="1:14" ht="19.05" customHeight="1" x14ac:dyDescent="0.3">
      <c r="B98" s="120">
        <f t="shared" si="22"/>
        <v>0</v>
      </c>
      <c r="C98" s="120">
        <f t="shared" si="22"/>
        <v>0</v>
      </c>
      <c r="D98" s="120">
        <f t="shared" si="22"/>
        <v>0</v>
      </c>
      <c r="E98" s="120">
        <f t="shared" si="22"/>
        <v>0</v>
      </c>
      <c r="F98" s="120">
        <f t="shared" si="22"/>
        <v>0</v>
      </c>
      <c r="G98" s="120">
        <f t="shared" si="22"/>
        <v>0</v>
      </c>
      <c r="H98" s="120">
        <f t="shared" si="22"/>
        <v>0</v>
      </c>
      <c r="I98" s="120">
        <f t="shared" si="22"/>
        <v>0</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1920</v>
      </c>
      <c r="E99" s="120">
        <f t="shared" si="22"/>
        <v>-1440</v>
      </c>
      <c r="F99" s="120">
        <f t="shared" si="22"/>
        <v>0</v>
      </c>
      <c r="G99" s="120">
        <f t="shared" si="22"/>
        <v>0</v>
      </c>
      <c r="H99" s="120">
        <f t="shared" si="22"/>
        <v>-1920</v>
      </c>
      <c r="I99" s="120">
        <f t="shared" si="22"/>
        <v>1440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-1440</v>
      </c>
      <c r="E100" s="120">
        <f t="shared" si="22"/>
        <v>1080</v>
      </c>
      <c r="F100" s="120">
        <f t="shared" si="22"/>
        <v>0</v>
      </c>
      <c r="G100" s="120">
        <f t="shared" si="22"/>
        <v>0</v>
      </c>
      <c r="H100" s="120">
        <f t="shared" si="22"/>
        <v>1440</v>
      </c>
      <c r="I100" s="120">
        <f t="shared" si="22"/>
        <v>-1080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0</v>
      </c>
      <c r="G101" s="120">
        <f t="shared" si="22"/>
        <v>0</v>
      </c>
      <c r="H101" s="120">
        <f t="shared" si="22"/>
        <v>0</v>
      </c>
      <c r="I101" s="120">
        <f t="shared" si="22"/>
        <v>0</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0</v>
      </c>
      <c r="G102" s="120">
        <f t="shared" si="22"/>
        <v>0</v>
      </c>
      <c r="H102" s="120">
        <f t="shared" si="22"/>
        <v>0</v>
      </c>
      <c r="I102" s="120">
        <f t="shared" si="22"/>
        <v>0</v>
      </c>
      <c r="J102" s="120">
        <f t="shared" si="22"/>
        <v>0</v>
      </c>
      <c r="K102" s="120">
        <f t="shared" si="22"/>
        <v>0</v>
      </c>
      <c r="L102" s="120">
        <f t="shared" si="22"/>
        <v>0</v>
      </c>
      <c r="M102" s="120">
        <f t="shared" si="22"/>
        <v>0</v>
      </c>
      <c r="N102" s="112" t="s">
        <v>183</v>
      </c>
    </row>
    <row r="103" spans="1:14" ht="19.05" customHeight="1" x14ac:dyDescent="0.3">
      <c r="B103" s="120">
        <f t="shared" si="22"/>
        <v>0</v>
      </c>
      <c r="C103" s="120">
        <f t="shared" si="22"/>
        <v>0</v>
      </c>
      <c r="D103" s="120">
        <f t="shared" si="22"/>
        <v>-1920</v>
      </c>
      <c r="E103" s="120">
        <f t="shared" si="22"/>
        <v>1440</v>
      </c>
      <c r="F103" s="120">
        <f t="shared" si="22"/>
        <v>0</v>
      </c>
      <c r="G103" s="120">
        <f t="shared" si="22"/>
        <v>0</v>
      </c>
      <c r="H103" s="120">
        <f t="shared" si="22"/>
        <v>1920</v>
      </c>
      <c r="I103" s="120">
        <f t="shared" si="22"/>
        <v>-1440</v>
      </c>
      <c r="J103" s="120">
        <f t="shared" si="22"/>
        <v>0</v>
      </c>
      <c r="K103" s="120">
        <f t="shared" si="22"/>
        <v>0</v>
      </c>
      <c r="L103" s="120">
        <f t="shared" si="22"/>
        <v>0</v>
      </c>
      <c r="M103" s="120">
        <f t="shared" si="22"/>
        <v>0</v>
      </c>
      <c r="N103" s="112" t="s">
        <v>184</v>
      </c>
    </row>
    <row r="104" spans="1:14" ht="19.05" customHeight="1" x14ac:dyDescent="0.3">
      <c r="B104" s="120">
        <f t="shared" si="22"/>
        <v>0</v>
      </c>
      <c r="C104" s="120">
        <f t="shared" si="22"/>
        <v>0</v>
      </c>
      <c r="D104" s="120">
        <f t="shared" si="22"/>
        <v>1440</v>
      </c>
      <c r="E104" s="120">
        <f t="shared" si="22"/>
        <v>-1080</v>
      </c>
      <c r="F104" s="120">
        <f t="shared" si="22"/>
        <v>0</v>
      </c>
      <c r="G104" s="120">
        <f t="shared" si="22"/>
        <v>0</v>
      </c>
      <c r="H104" s="120">
        <f t="shared" si="22"/>
        <v>-1440</v>
      </c>
      <c r="I104" s="120">
        <f t="shared" si="22"/>
        <v>1080</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U2X</v>
      </c>
      <c r="C111" s="113" t="str">
        <f>IF(E21="","-",E21)</f>
        <v>U2Y</v>
      </c>
      <c r="D111" s="113" t="str">
        <f>IF(G21="","-",G21)</f>
        <v>U1X</v>
      </c>
      <c r="E111" s="113" t="str">
        <f>IF(H21="","-",H21)</f>
        <v>U1Y</v>
      </c>
    </row>
    <row r="112" spans="1:14" ht="18" customHeight="1" x14ac:dyDescent="0.3">
      <c r="B112" s="124">
        <f>IF(N10=0, 0, N10*J10*J10)</f>
        <v>4269.0748412273124</v>
      </c>
      <c r="C112" s="124">
        <f>IF(N10=0, 0, N10*J10*K10)</f>
        <v>1423.0249470757706</v>
      </c>
      <c r="D112" s="124">
        <f>IF(N10=0, 0, -N10*J10*J10)</f>
        <v>-4269.0748412273124</v>
      </c>
      <c r="E112" s="124">
        <f>IF(N10=0, 0, -N10*J10*K10)</f>
        <v>-1423.0249470757706</v>
      </c>
      <c r="F112" s="113" t="str">
        <f>IF(D21="","-",D21)</f>
        <v>U2X</v>
      </c>
    </row>
    <row r="113" spans="1:14" ht="18" customHeight="1" x14ac:dyDescent="0.3">
      <c r="B113" s="124">
        <f>IF(N10=0, 0, N10*J10*K10)</f>
        <v>1423.0249470757706</v>
      </c>
      <c r="C113" s="124">
        <f>IF(N10=0, 0, N10*K10*K10)</f>
        <v>474.34164902525674</v>
      </c>
      <c r="D113" s="124">
        <f>IF(N10=0, 0, -N10*J10*K10)</f>
        <v>-1423.0249470757706</v>
      </c>
      <c r="E113" s="124">
        <f>IF(N10=0, 0, -N10*K10*K10)</f>
        <v>-474.34164902525674</v>
      </c>
      <c r="F113" s="113" t="str">
        <f>IF(E21="","-",E21)</f>
        <v>U2Y</v>
      </c>
    </row>
    <row r="114" spans="1:14" ht="18" customHeight="1" x14ac:dyDescent="0.3">
      <c r="B114" s="124">
        <f>IF(N10=0, 0, -N10*J10*J10)</f>
        <v>-4269.0748412273124</v>
      </c>
      <c r="C114" s="124">
        <f>IF(N10=0, 0, -N10*J10*K10)</f>
        <v>-1423.0249470757706</v>
      </c>
      <c r="D114" s="124">
        <f>IF(N10=0, 0, N10*J10*J10)</f>
        <v>4269.0748412273124</v>
      </c>
      <c r="E114" s="124">
        <f>IF(N10=0, 0, N10*J10*K10)</f>
        <v>1423.0249470757706</v>
      </c>
      <c r="F114" s="113" t="str">
        <f>IF(G21="","-",G21)</f>
        <v>U1X</v>
      </c>
    </row>
    <row r="115" spans="1:14" ht="18" customHeight="1" x14ac:dyDescent="0.3">
      <c r="B115" s="124">
        <f>IF(N10=0, 0, -N10*J10*K10)</f>
        <v>-1423.0249470757706</v>
      </c>
      <c r="C115" s="124">
        <f>IF(N10=0, 0, -N10*K10*K10)</f>
        <v>-474.34164902525674</v>
      </c>
      <c r="D115" s="124">
        <f>IF(N10=0, 0, N10*J10*K10)</f>
        <v>1423.0249470757706</v>
      </c>
      <c r="E115" s="124">
        <f>IF(N10=0, 0, N10*K10*K10)</f>
        <v>474.34164902525674</v>
      </c>
      <c r="F115" s="113" t="str">
        <f>IF(H21="","-",H21)</f>
        <v>U1Y</v>
      </c>
    </row>
    <row r="117" spans="1:14" ht="19.05" customHeight="1" x14ac:dyDescent="0.3">
      <c r="B117" s="148" t="s">
        <v>178</v>
      </c>
      <c r="C117" s="148" t="s">
        <v>179</v>
      </c>
      <c r="D117" s="148" t="s">
        <v>180</v>
      </c>
      <c r="E117" s="148" t="s">
        <v>181</v>
      </c>
      <c r="F117" s="148" t="s">
        <v>182</v>
      </c>
      <c r="G117" s="148" t="s">
        <v>183</v>
      </c>
      <c r="H117" s="148" t="s">
        <v>184</v>
      </c>
      <c r="I117" s="148" t="s">
        <v>185</v>
      </c>
      <c r="J117" s="148" t="s">
        <v>186</v>
      </c>
      <c r="K117" s="148" t="s">
        <v>187</v>
      </c>
      <c r="L117" s="148" t="s">
        <v>188</v>
      </c>
      <c r="M117" s="148" t="s">
        <v>189</v>
      </c>
    </row>
    <row r="118" spans="1:14" ht="19.05" customHeight="1" x14ac:dyDescent="0.3">
      <c r="B118" s="120">
        <f t="shared" ref="B118:M129" si="23">IFERROR(INDEX($B$112:$E$115, MATCH($N118, $B$111:$E$111, 0), MATCH(B$117, $B$111:$E$111, 0)), 0)</f>
        <v>4269.0748412273124</v>
      </c>
      <c r="C118" s="120">
        <f t="shared" si="23"/>
        <v>1423.0249470757706</v>
      </c>
      <c r="D118" s="120">
        <f t="shared" si="23"/>
        <v>-4269.0748412273124</v>
      </c>
      <c r="E118" s="120">
        <f t="shared" si="23"/>
        <v>-1423.0249470757706</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1423.0249470757706</v>
      </c>
      <c r="C119" s="120">
        <f t="shared" si="23"/>
        <v>474.34164902525674</v>
      </c>
      <c r="D119" s="120">
        <f t="shared" si="23"/>
        <v>-1423.0249470757706</v>
      </c>
      <c r="E119" s="120">
        <f t="shared" si="23"/>
        <v>-474.34164902525674</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-4269.0748412273124</v>
      </c>
      <c r="C120" s="120">
        <f t="shared" si="23"/>
        <v>-1423.0249470757706</v>
      </c>
      <c r="D120" s="120">
        <f t="shared" si="23"/>
        <v>4269.0748412273124</v>
      </c>
      <c r="E120" s="120">
        <f t="shared" si="23"/>
        <v>1423.0249470757706</v>
      </c>
      <c r="F120" s="120">
        <f t="shared" si="23"/>
        <v>0</v>
      </c>
      <c r="G120" s="120">
        <f t="shared" si="23"/>
        <v>0</v>
      </c>
      <c r="H120" s="120">
        <f t="shared" si="23"/>
        <v>0</v>
      </c>
      <c r="I120" s="120">
        <f t="shared" si="23"/>
        <v>0</v>
      </c>
      <c r="J120" s="120">
        <f t="shared" si="23"/>
        <v>0</v>
      </c>
      <c r="K120" s="120">
        <f t="shared" si="23"/>
        <v>0</v>
      </c>
      <c r="L120" s="120">
        <f t="shared" si="23"/>
        <v>0</v>
      </c>
      <c r="M120" s="120">
        <f t="shared" si="23"/>
        <v>0</v>
      </c>
      <c r="N120" s="113" t="s">
        <v>180</v>
      </c>
    </row>
    <row r="121" spans="1:14" ht="19.05" customHeight="1" x14ac:dyDescent="0.3">
      <c r="B121" s="120">
        <f t="shared" si="23"/>
        <v>-1423.0249470757706</v>
      </c>
      <c r="C121" s="120">
        <f t="shared" si="23"/>
        <v>-474.34164902525674</v>
      </c>
      <c r="D121" s="120">
        <f t="shared" si="23"/>
        <v>1423.0249470757706</v>
      </c>
      <c r="E121" s="120">
        <f t="shared" si="23"/>
        <v>474.34164902525674</v>
      </c>
      <c r="F121" s="120">
        <f t="shared" si="23"/>
        <v>0</v>
      </c>
      <c r="G121" s="120">
        <f t="shared" si="23"/>
        <v>0</v>
      </c>
      <c r="H121" s="120">
        <f t="shared" si="23"/>
        <v>0</v>
      </c>
      <c r="I121" s="120">
        <f t="shared" si="23"/>
        <v>0</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0</v>
      </c>
      <c r="E124" s="120">
        <f t="shared" si="23"/>
        <v>0</v>
      </c>
      <c r="F124" s="120">
        <f t="shared" si="23"/>
        <v>0</v>
      </c>
      <c r="G124" s="120">
        <f t="shared" si="23"/>
        <v>0</v>
      </c>
      <c r="H124" s="120">
        <f t="shared" si="23"/>
        <v>0</v>
      </c>
      <c r="I124" s="120">
        <f t="shared" si="23"/>
        <v>0</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0</v>
      </c>
      <c r="E125" s="120">
        <f t="shared" si="23"/>
        <v>0</v>
      </c>
      <c r="F125" s="120">
        <f t="shared" si="23"/>
        <v>0</v>
      </c>
      <c r="G125" s="120">
        <f t="shared" si="23"/>
        <v>0</v>
      </c>
      <c r="H125" s="120">
        <f t="shared" si="23"/>
        <v>0</v>
      </c>
      <c r="I125" s="120">
        <f t="shared" si="23"/>
        <v>0</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48" t="s">
        <v>178</v>
      </c>
      <c r="C138" s="148" t="s">
        <v>179</v>
      </c>
      <c r="D138" s="148" t="s">
        <v>180</v>
      </c>
      <c r="E138" s="148" t="s">
        <v>181</v>
      </c>
      <c r="F138" s="148" t="s">
        <v>182</v>
      </c>
      <c r="G138" s="148" t="s">
        <v>183</v>
      </c>
      <c r="H138" s="148" t="s">
        <v>184</v>
      </c>
      <c r="I138" s="148" t="s">
        <v>185</v>
      </c>
      <c r="J138" s="148" t="s">
        <v>186</v>
      </c>
      <c r="K138" s="148" t="s">
        <v>187</v>
      </c>
      <c r="L138" s="148" t="s">
        <v>188</v>
      </c>
      <c r="M138" s="148"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48" t="s">
        <v>178</v>
      </c>
      <c r="C159" s="148" t="s">
        <v>179</v>
      </c>
      <c r="D159" s="148" t="s">
        <v>180</v>
      </c>
      <c r="E159" s="148" t="s">
        <v>181</v>
      </c>
      <c r="F159" s="148" t="s">
        <v>182</v>
      </c>
      <c r="G159" s="148" t="s">
        <v>183</v>
      </c>
      <c r="H159" s="148" t="s">
        <v>184</v>
      </c>
      <c r="I159" s="148" t="s">
        <v>185</v>
      </c>
      <c r="J159" s="148" t="s">
        <v>186</v>
      </c>
      <c r="K159" s="148" t="s">
        <v>187</v>
      </c>
      <c r="L159" s="148" t="s">
        <v>188</v>
      </c>
      <c r="M159" s="148"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48" t="s">
        <v>178</v>
      </c>
      <c r="C180" s="148" t="s">
        <v>179</v>
      </c>
      <c r="D180" s="148" t="s">
        <v>180</v>
      </c>
      <c r="E180" s="148" t="s">
        <v>181</v>
      </c>
      <c r="F180" s="148" t="s">
        <v>182</v>
      </c>
      <c r="G180" s="148" t="s">
        <v>183</v>
      </c>
      <c r="H180" s="148" t="s">
        <v>184</v>
      </c>
      <c r="I180" s="148" t="s">
        <v>185</v>
      </c>
      <c r="J180" s="148" t="s">
        <v>186</v>
      </c>
      <c r="K180" s="148" t="s">
        <v>187</v>
      </c>
      <c r="L180" s="148" t="s">
        <v>188</v>
      </c>
      <c r="M180" s="148"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thickBot="1" x14ac:dyDescent="0.35">
      <c r="B195" s="153" t="s">
        <v>178</v>
      </c>
      <c r="C195" s="148" t="s">
        <v>179</v>
      </c>
      <c r="D195" s="148" t="s">
        <v>180</v>
      </c>
      <c r="E195" s="148" t="s">
        <v>181</v>
      </c>
      <c r="F195" s="148" t="s">
        <v>182</v>
      </c>
      <c r="G195" s="148" t="s">
        <v>183</v>
      </c>
      <c r="H195" s="148" t="s">
        <v>184</v>
      </c>
      <c r="I195" s="148" t="s">
        <v>185</v>
      </c>
      <c r="J195" s="148" t="s">
        <v>186</v>
      </c>
      <c r="K195" s="148" t="s">
        <v>187</v>
      </c>
      <c r="L195" s="148" t="s">
        <v>188</v>
      </c>
      <c r="M195" s="148" t="s">
        <v>189</v>
      </c>
    </row>
    <row r="196" spans="1:14" ht="19.95" customHeight="1" thickBot="1" x14ac:dyDescent="0.35">
      <c r="B196" s="158">
        <f t="shared" ref="B196:M207" si="27">B34+B55+B76+B97+B118+B139+B160+B181</f>
        <v>4483.0768633181942</v>
      </c>
      <c r="C196" s="154">
        <f t="shared" si="27"/>
        <v>567.01685871224254</v>
      </c>
      <c r="D196" s="120">
        <f t="shared" si="27"/>
        <v>-4269.0748412273124</v>
      </c>
      <c r="E196" s="120">
        <f t="shared" si="27"/>
        <v>-1423.0249470757706</v>
      </c>
      <c r="F196" s="120">
        <f t="shared" si="27"/>
        <v>0</v>
      </c>
      <c r="G196" s="120">
        <f t="shared" si="27"/>
        <v>0</v>
      </c>
      <c r="H196" s="120">
        <f t="shared" si="27"/>
        <v>-214.00202209088201</v>
      </c>
      <c r="I196" s="120">
        <f t="shared" si="27"/>
        <v>856.00808836352803</v>
      </c>
      <c r="J196" s="120">
        <f t="shared" si="27"/>
        <v>0</v>
      </c>
      <c r="K196" s="120">
        <f t="shared" si="27"/>
        <v>0</v>
      </c>
      <c r="L196" s="120">
        <f t="shared" si="27"/>
        <v>0</v>
      </c>
      <c r="M196" s="120">
        <f t="shared" si="27"/>
        <v>0</v>
      </c>
      <c r="N196" s="130" t="s">
        <v>178</v>
      </c>
    </row>
    <row r="197" spans="1:14" ht="19.95" customHeight="1" thickBot="1" x14ac:dyDescent="0.35">
      <c r="B197" s="156">
        <f t="shared" si="27"/>
        <v>567.01685871224254</v>
      </c>
      <c r="C197" s="158">
        <f t="shared" si="27"/>
        <v>3898.3740024793688</v>
      </c>
      <c r="D197" s="155">
        <f t="shared" si="27"/>
        <v>-1423.0249470757706</v>
      </c>
      <c r="E197" s="120">
        <f t="shared" si="27"/>
        <v>-474.34164902525674</v>
      </c>
      <c r="F197" s="120">
        <f t="shared" si="27"/>
        <v>0</v>
      </c>
      <c r="G197" s="120">
        <f t="shared" si="27"/>
        <v>0</v>
      </c>
      <c r="H197" s="120">
        <f t="shared" si="27"/>
        <v>856.00808836352803</v>
      </c>
      <c r="I197" s="120">
        <f t="shared" si="27"/>
        <v>-3424.0323534541121</v>
      </c>
      <c r="J197" s="120">
        <f t="shared" si="27"/>
        <v>0</v>
      </c>
      <c r="K197" s="120">
        <f t="shared" si="27"/>
        <v>0</v>
      </c>
      <c r="L197" s="120">
        <f t="shared" si="27"/>
        <v>0</v>
      </c>
      <c r="M197" s="120">
        <f t="shared" si="27"/>
        <v>0</v>
      </c>
      <c r="N197" s="130" t="s">
        <v>179</v>
      </c>
    </row>
    <row r="198" spans="1:14" ht="19.95" customHeight="1" thickBot="1" x14ac:dyDescent="0.35">
      <c r="B198" s="120">
        <f t="shared" si="27"/>
        <v>-4269.0748412273124</v>
      </c>
      <c r="C198" s="157">
        <f t="shared" si="27"/>
        <v>-1423.0249470757706</v>
      </c>
      <c r="D198" s="158">
        <f t="shared" si="27"/>
        <v>6663.416490252569</v>
      </c>
      <c r="E198" s="154">
        <f t="shared" si="27"/>
        <v>1406.0498941515409</v>
      </c>
      <c r="F198" s="120">
        <f t="shared" si="27"/>
        <v>-474.34164902525674</v>
      </c>
      <c r="G198" s="120">
        <f t="shared" si="27"/>
        <v>-1423.0249470757703</v>
      </c>
      <c r="H198" s="120">
        <f t="shared" si="27"/>
        <v>-1920</v>
      </c>
      <c r="I198" s="120">
        <f t="shared" si="27"/>
        <v>1440</v>
      </c>
      <c r="J198" s="120">
        <f t="shared" si="27"/>
        <v>0</v>
      </c>
      <c r="K198" s="120">
        <f t="shared" si="27"/>
        <v>0</v>
      </c>
      <c r="L198" s="120">
        <f t="shared" si="27"/>
        <v>0</v>
      </c>
      <c r="M198" s="120">
        <f t="shared" si="27"/>
        <v>0</v>
      </c>
      <c r="N198" s="130" t="s">
        <v>180</v>
      </c>
    </row>
    <row r="199" spans="1:14" ht="19.95" customHeight="1" thickBot="1" x14ac:dyDescent="0.35">
      <c r="B199" s="120">
        <f t="shared" si="27"/>
        <v>-1423.0249470757706</v>
      </c>
      <c r="C199" s="120">
        <f t="shared" si="27"/>
        <v>-474.34164902525674</v>
      </c>
      <c r="D199" s="156">
        <f t="shared" si="27"/>
        <v>1406.0498941515409</v>
      </c>
      <c r="E199" s="158">
        <f t="shared" si="27"/>
        <v>5823.416490252569</v>
      </c>
      <c r="F199" s="155">
        <f t="shared" si="27"/>
        <v>-1423.0249470757703</v>
      </c>
      <c r="G199" s="120">
        <f t="shared" si="27"/>
        <v>-4269.0748412273124</v>
      </c>
      <c r="H199" s="120">
        <f t="shared" si="27"/>
        <v>1440</v>
      </c>
      <c r="I199" s="120">
        <f t="shared" si="27"/>
        <v>-1080</v>
      </c>
      <c r="J199" s="120">
        <f t="shared" si="27"/>
        <v>0</v>
      </c>
      <c r="K199" s="120">
        <f t="shared" si="27"/>
        <v>0</v>
      </c>
      <c r="L199" s="120">
        <f t="shared" si="27"/>
        <v>0</v>
      </c>
      <c r="M199" s="120">
        <f t="shared" si="27"/>
        <v>0</v>
      </c>
      <c r="N199" s="130" t="s">
        <v>181</v>
      </c>
    </row>
    <row r="200" spans="1:14" ht="19.95" customHeight="1" thickBot="1" x14ac:dyDescent="0.35">
      <c r="B200" s="120">
        <f t="shared" si="27"/>
        <v>0</v>
      </c>
      <c r="C200" s="120">
        <f t="shared" si="27"/>
        <v>0</v>
      </c>
      <c r="D200" s="120">
        <f t="shared" si="27"/>
        <v>-474.34164902525674</v>
      </c>
      <c r="E200" s="157">
        <f t="shared" si="27"/>
        <v>-1423.0249470757703</v>
      </c>
      <c r="F200" s="158">
        <f t="shared" si="27"/>
        <v>3474.3416490252566</v>
      </c>
      <c r="G200" s="154">
        <f t="shared" si="27"/>
        <v>1423.0249470757703</v>
      </c>
      <c r="H200" s="120">
        <f t="shared" si="27"/>
        <v>-3000</v>
      </c>
      <c r="I200" s="120">
        <f t="shared" si="27"/>
        <v>0</v>
      </c>
      <c r="J200" s="120">
        <f t="shared" si="27"/>
        <v>0</v>
      </c>
      <c r="K200" s="120">
        <f t="shared" si="27"/>
        <v>0</v>
      </c>
      <c r="L200" s="120">
        <f t="shared" si="27"/>
        <v>0</v>
      </c>
      <c r="M200" s="120">
        <f t="shared" si="27"/>
        <v>0</v>
      </c>
      <c r="N200" s="130" t="s">
        <v>182</v>
      </c>
    </row>
    <row r="201" spans="1:14" ht="19.95" customHeight="1" thickBot="1" x14ac:dyDescent="0.35">
      <c r="A201" s="118" t="s">
        <v>205</v>
      </c>
      <c r="B201" s="120">
        <f t="shared" si="27"/>
        <v>0</v>
      </c>
      <c r="C201" s="120">
        <f t="shared" si="27"/>
        <v>0</v>
      </c>
      <c r="D201" s="120">
        <f t="shared" si="27"/>
        <v>-1423.0249470757703</v>
      </c>
      <c r="E201" s="120">
        <f t="shared" si="27"/>
        <v>-4269.0748412273124</v>
      </c>
      <c r="F201" s="156">
        <f t="shared" si="27"/>
        <v>1423.0249470757703</v>
      </c>
      <c r="G201" s="158">
        <f t="shared" si="27"/>
        <v>4269.0748412273124</v>
      </c>
      <c r="H201" s="155">
        <f t="shared" si="27"/>
        <v>0</v>
      </c>
      <c r="I201" s="120">
        <f t="shared" si="27"/>
        <v>0</v>
      </c>
      <c r="J201" s="120">
        <f t="shared" si="27"/>
        <v>0</v>
      </c>
      <c r="K201" s="120">
        <f t="shared" si="27"/>
        <v>0</v>
      </c>
      <c r="L201" s="120">
        <f t="shared" si="27"/>
        <v>0</v>
      </c>
      <c r="M201" s="120">
        <f t="shared" si="27"/>
        <v>0</v>
      </c>
      <c r="N201" s="130" t="s">
        <v>183</v>
      </c>
    </row>
    <row r="202" spans="1:14" ht="19.95" customHeight="1" thickBot="1" x14ac:dyDescent="0.35">
      <c r="B202" s="120">
        <f t="shared" si="27"/>
        <v>-214.00202209088201</v>
      </c>
      <c r="C202" s="120">
        <f t="shared" si="27"/>
        <v>856.00808836352803</v>
      </c>
      <c r="D202" s="120">
        <f t="shared" si="27"/>
        <v>-1920</v>
      </c>
      <c r="E202" s="120">
        <f t="shared" si="27"/>
        <v>1440</v>
      </c>
      <c r="F202" s="120">
        <f t="shared" si="27"/>
        <v>-3000</v>
      </c>
      <c r="G202" s="157">
        <f t="shared" si="27"/>
        <v>0</v>
      </c>
      <c r="H202" s="158">
        <f t="shared" si="27"/>
        <v>5134.0020220908818</v>
      </c>
      <c r="I202" s="154">
        <f t="shared" si="27"/>
        <v>-2296.0080883635283</v>
      </c>
      <c r="J202" s="120">
        <f t="shared" si="27"/>
        <v>0</v>
      </c>
      <c r="K202" s="120">
        <f t="shared" si="27"/>
        <v>0</v>
      </c>
      <c r="L202" s="120">
        <f t="shared" si="27"/>
        <v>0</v>
      </c>
      <c r="M202" s="120">
        <f t="shared" si="27"/>
        <v>0</v>
      </c>
      <c r="N202" s="130" t="s">
        <v>184</v>
      </c>
    </row>
    <row r="203" spans="1:14" ht="19.95" customHeight="1" thickBot="1" x14ac:dyDescent="0.35">
      <c r="B203" s="120">
        <f t="shared" si="27"/>
        <v>856.00808836352803</v>
      </c>
      <c r="C203" s="120">
        <f t="shared" si="27"/>
        <v>-3424.0323534541121</v>
      </c>
      <c r="D203" s="120">
        <f t="shared" si="27"/>
        <v>1440</v>
      </c>
      <c r="E203" s="120">
        <f t="shared" si="27"/>
        <v>-1080</v>
      </c>
      <c r="F203" s="120">
        <f t="shared" si="27"/>
        <v>0</v>
      </c>
      <c r="G203" s="120">
        <f t="shared" si="27"/>
        <v>0</v>
      </c>
      <c r="H203" s="156">
        <f t="shared" si="27"/>
        <v>-2296.0080883635283</v>
      </c>
      <c r="I203" s="158">
        <f t="shared" si="27"/>
        <v>4504.0323534541121</v>
      </c>
      <c r="J203" s="155">
        <f t="shared" si="27"/>
        <v>0</v>
      </c>
      <c r="K203" s="120">
        <f t="shared" si="27"/>
        <v>0</v>
      </c>
      <c r="L203" s="120">
        <f t="shared" si="27"/>
        <v>0</v>
      </c>
      <c r="M203" s="120">
        <f t="shared" si="27"/>
        <v>0</v>
      </c>
      <c r="N203" s="130" t="s">
        <v>185</v>
      </c>
    </row>
    <row r="204" spans="1:14" ht="19.95" customHeight="1" thickBot="1" x14ac:dyDescent="0.35">
      <c r="B204" s="120">
        <f t="shared" si="27"/>
        <v>0</v>
      </c>
      <c r="C204" s="120">
        <f t="shared" si="27"/>
        <v>0</v>
      </c>
      <c r="D204" s="120">
        <f t="shared" si="27"/>
        <v>0</v>
      </c>
      <c r="E204" s="120">
        <f t="shared" si="27"/>
        <v>0</v>
      </c>
      <c r="F204" s="120">
        <f t="shared" si="27"/>
        <v>0</v>
      </c>
      <c r="G204" s="120">
        <f t="shared" si="27"/>
        <v>0</v>
      </c>
      <c r="H204" s="120">
        <f t="shared" si="27"/>
        <v>0</v>
      </c>
      <c r="I204" s="157">
        <f t="shared" si="27"/>
        <v>0</v>
      </c>
      <c r="J204" s="158">
        <f t="shared" si="27"/>
        <v>0</v>
      </c>
      <c r="K204" s="154">
        <f t="shared" si="27"/>
        <v>0</v>
      </c>
      <c r="L204" s="120">
        <f t="shared" si="27"/>
        <v>0</v>
      </c>
      <c r="M204" s="120">
        <f t="shared" si="27"/>
        <v>0</v>
      </c>
      <c r="N204" s="130" t="s">
        <v>186</v>
      </c>
    </row>
    <row r="205" spans="1:14" ht="19.95" customHeight="1" thickBot="1" x14ac:dyDescent="0.35">
      <c r="B205" s="120">
        <f t="shared" si="27"/>
        <v>0</v>
      </c>
      <c r="C205" s="120">
        <f t="shared" si="27"/>
        <v>0</v>
      </c>
      <c r="D205" s="120">
        <f t="shared" si="27"/>
        <v>0</v>
      </c>
      <c r="E205" s="120">
        <f t="shared" si="27"/>
        <v>0</v>
      </c>
      <c r="F205" s="120">
        <f t="shared" si="27"/>
        <v>0</v>
      </c>
      <c r="G205" s="120">
        <f t="shared" si="27"/>
        <v>0</v>
      </c>
      <c r="H205" s="120">
        <f t="shared" si="27"/>
        <v>0</v>
      </c>
      <c r="I205" s="120">
        <f t="shared" si="27"/>
        <v>0</v>
      </c>
      <c r="J205" s="156">
        <f t="shared" si="27"/>
        <v>0</v>
      </c>
      <c r="K205" s="158">
        <f t="shared" si="27"/>
        <v>0</v>
      </c>
      <c r="L205" s="155">
        <f t="shared" si="27"/>
        <v>0</v>
      </c>
      <c r="M205" s="120">
        <f t="shared" si="27"/>
        <v>0</v>
      </c>
      <c r="N205" s="130" t="s">
        <v>187</v>
      </c>
    </row>
    <row r="206" spans="1:14" ht="19.95" customHeight="1" thickBot="1" x14ac:dyDescent="0.35">
      <c r="B206" s="120">
        <f t="shared" si="27"/>
        <v>0</v>
      </c>
      <c r="C206" s="120">
        <f t="shared" si="27"/>
        <v>0</v>
      </c>
      <c r="D206" s="120">
        <f t="shared" si="27"/>
        <v>0</v>
      </c>
      <c r="E206" s="120">
        <f t="shared" si="27"/>
        <v>0</v>
      </c>
      <c r="F206" s="120">
        <f t="shared" si="27"/>
        <v>0</v>
      </c>
      <c r="G206" s="120">
        <f t="shared" si="27"/>
        <v>0</v>
      </c>
      <c r="H206" s="120">
        <f t="shared" si="27"/>
        <v>0</v>
      </c>
      <c r="I206" s="120">
        <f t="shared" si="27"/>
        <v>0</v>
      </c>
      <c r="J206" s="120">
        <f t="shared" si="27"/>
        <v>0</v>
      </c>
      <c r="K206" s="157">
        <f t="shared" si="27"/>
        <v>0</v>
      </c>
      <c r="L206" s="158">
        <f t="shared" si="27"/>
        <v>0</v>
      </c>
      <c r="M206" s="154">
        <f t="shared" si="27"/>
        <v>0</v>
      </c>
      <c r="N206" s="130" t="s">
        <v>188</v>
      </c>
    </row>
    <row r="207" spans="1:14" ht="19.95" customHeight="1" thickBot="1" x14ac:dyDescent="0.35">
      <c r="B207" s="120">
        <f t="shared" si="27"/>
        <v>0</v>
      </c>
      <c r="C207" s="120">
        <f t="shared" si="27"/>
        <v>0</v>
      </c>
      <c r="D207" s="120">
        <f t="shared" si="27"/>
        <v>0</v>
      </c>
      <c r="E207" s="120">
        <f t="shared" si="27"/>
        <v>0</v>
      </c>
      <c r="F207" s="120">
        <f t="shared" si="27"/>
        <v>0</v>
      </c>
      <c r="G207" s="120">
        <f t="shared" si="27"/>
        <v>0</v>
      </c>
      <c r="H207" s="120">
        <f t="shared" si="27"/>
        <v>0</v>
      </c>
      <c r="I207" s="120">
        <f t="shared" si="27"/>
        <v>0</v>
      </c>
      <c r="J207" s="120">
        <f t="shared" si="27"/>
        <v>0</v>
      </c>
      <c r="K207" s="120">
        <f t="shared" si="27"/>
        <v>0</v>
      </c>
      <c r="L207" s="156">
        <f t="shared" si="27"/>
        <v>0</v>
      </c>
      <c r="M207" s="158">
        <f t="shared" si="27"/>
        <v>0</v>
      </c>
      <c r="N207" s="152" t="s">
        <v>189</v>
      </c>
    </row>
    <row r="210" spans="1:31" ht="19.95" customHeight="1" x14ac:dyDescent="0.35">
      <c r="A210" s="131" t="s">
        <v>206</v>
      </c>
      <c r="Z210" s="189" t="s">
        <v>207</v>
      </c>
      <c r="AA210" s="189"/>
      <c r="AB210" s="189"/>
      <c r="AC210" s="189"/>
      <c r="AD210" s="189"/>
      <c r="AE210" s="189"/>
    </row>
    <row r="211" spans="1:31" ht="16.95" customHeight="1" x14ac:dyDescent="0.3">
      <c r="B211" s="132" t="s">
        <v>208</v>
      </c>
      <c r="C211" s="132" t="s">
        <v>178</v>
      </c>
      <c r="E211" s="169">
        <f>IF(IFERROR(VLOOKUP(1, $P$6:$W$11, 2, FALSE), "")="", 0, IF(VLOOKUP(1, $P$6:$W$11, 5, FALSE)=1, B211, VLOOKUP(1, $P$6:$W$11, 7, FALSE)))</f>
        <v>1000</v>
      </c>
      <c r="Z211" s="188" t="s">
        <v>209</v>
      </c>
      <c r="AA211" s="188"/>
      <c r="AB211" s="188"/>
      <c r="AC211" s="188"/>
      <c r="AD211" s="188"/>
      <c r="AE211" s="188"/>
    </row>
    <row r="212" spans="1:31" ht="16.95" customHeight="1" x14ac:dyDescent="0.3">
      <c r="B212" s="132" t="s">
        <v>210</v>
      </c>
      <c r="C212" s="132" t="s">
        <v>179</v>
      </c>
      <c r="E212" s="169">
        <f>IF(IFERROR(VLOOKUP(1, $P$6:$W$11, 2, FALSE), "")="", 0, IF(VLOOKUP(1, $P$6:$W$11, 6, FALSE)=1, B212, VLOOKUP(1, $P$6:$W$11, 8, FALSE)))</f>
        <v>-2000</v>
      </c>
      <c r="Z212" s="188" t="s">
        <v>211</v>
      </c>
      <c r="AA212" s="188"/>
      <c r="AB212" s="188"/>
      <c r="AC212" s="188"/>
      <c r="AD212" s="188"/>
      <c r="AE212" s="188"/>
    </row>
    <row r="213" spans="1:31" ht="16.95" customHeight="1" x14ac:dyDescent="0.3">
      <c r="B213" s="132" t="s">
        <v>212</v>
      </c>
      <c r="C213" s="132" t="s">
        <v>180</v>
      </c>
      <c r="E213" s="169">
        <f>IF(IFERROR(VLOOKUP(2, $P$6:$W$11, 2, FALSE), "")="", 0, IF(VLOOKUP(2, $P$6:$W$11, 5, FALSE)=1, B213, VLOOKUP(2, $P$6:$W$11, 7, FALSE)))</f>
        <v>2000</v>
      </c>
      <c r="Z213" s="188" t="s">
        <v>213</v>
      </c>
      <c r="AA213" s="188"/>
      <c r="AB213" s="188"/>
      <c r="AC213" s="188"/>
      <c r="AD213" s="188"/>
      <c r="AE213" s="188"/>
    </row>
    <row r="214" spans="1:31" ht="16.95" customHeight="1" x14ac:dyDescent="0.3">
      <c r="B214" s="132" t="s">
        <v>214</v>
      </c>
      <c r="C214" s="132" t="s">
        <v>181</v>
      </c>
      <c r="E214" s="169">
        <f>IF(IFERROR(VLOOKUP(2, $P$6:$W$11, 2, FALSE), "")="", 0, IF(VLOOKUP(2, $P$6:$W$11, 6, FALSE)=1, B214, VLOOKUP(2, $P$6:$W$11, 8, FALSE)))</f>
        <v>-1000</v>
      </c>
      <c r="Z214" s="188" t="s">
        <v>215</v>
      </c>
      <c r="AA214" s="188"/>
      <c r="AB214" s="188"/>
      <c r="AC214" s="188"/>
      <c r="AD214" s="188"/>
      <c r="AE214" s="188"/>
    </row>
    <row r="215" spans="1:31" ht="16.95" customHeight="1" x14ac:dyDescent="0.3">
      <c r="B215" s="132" t="s">
        <v>216</v>
      </c>
      <c r="C215" s="132" t="s">
        <v>182</v>
      </c>
      <c r="E215" s="169">
        <f>IF(IFERROR(VLOOKUP(3, $P$6:$W$11, 2, FALSE), "")="", 0, IF(VLOOKUP(3, $P$6:$W$11, 5, FALSE)=1, B215, VLOOKUP(3, $P$6:$W$11, 7, FALSE)))</f>
        <v>0</v>
      </c>
      <c r="Z215" s="188" t="s">
        <v>217</v>
      </c>
      <c r="AA215" s="188"/>
      <c r="AB215" s="188"/>
      <c r="AC215" s="188"/>
      <c r="AD215" s="188"/>
      <c r="AE215" s="188"/>
    </row>
    <row r="216" spans="1:31" ht="16.95" customHeight="1" x14ac:dyDescent="0.3">
      <c r="A216" s="150" t="s">
        <v>218</v>
      </c>
      <c r="B216" s="132" t="s">
        <v>219</v>
      </c>
      <c r="C216" s="132" t="s">
        <v>183</v>
      </c>
      <c r="D216" s="13" t="s">
        <v>220</v>
      </c>
      <c r="E216" s="169" t="str">
        <f>IF(IFERROR(VLOOKUP(3, $P$6:$W$11, 2, FALSE), "")="", 0, IF(VLOOKUP(3, $P$6:$W$11, 6, FALSE)=1, B216, VLOOKUP(3, $P$6:$W$11, 8, FALSE)))</f>
        <v>C3Y</v>
      </c>
      <c r="Z216" s="188"/>
      <c r="AA216" s="188"/>
      <c r="AB216" s="188"/>
      <c r="AC216" s="188"/>
      <c r="AD216" s="188"/>
      <c r="AE216" s="188"/>
    </row>
    <row r="217" spans="1:31" ht="16.95" customHeight="1" x14ac:dyDescent="0.3">
      <c r="B217" s="132" t="s">
        <v>221</v>
      </c>
      <c r="C217" s="132" t="s">
        <v>184</v>
      </c>
      <c r="E217" s="169" t="str">
        <f>IF(IFERROR(VLOOKUP(4, $P$6:$W$11, 2, FALSE), "")="", 0, IF(VLOOKUP(4, $P$6:$W$11, 5, FALSE)=1, B217, VLOOKUP(4, $P$6:$W$11, 7, FALSE)))</f>
        <v>C4X</v>
      </c>
      <c r="Z217" s="188"/>
      <c r="AA217" s="188"/>
      <c r="AB217" s="188"/>
      <c r="AC217" s="188"/>
      <c r="AD217" s="188"/>
      <c r="AE217" s="188"/>
    </row>
    <row r="218" spans="1:31" ht="16.95" customHeight="1" x14ac:dyDescent="0.3">
      <c r="B218" s="132" t="s">
        <v>222</v>
      </c>
      <c r="C218" s="132" t="s">
        <v>185</v>
      </c>
      <c r="E218" s="169" t="str">
        <f>IF(IFERROR(VLOOKUP(4, $P$6:$W$11, 2, FALSE), "")="", 0, IF(VLOOKUP(4, $P$6:$W$11, 6, FALSE)=1, B218, VLOOKUP(4, $P$6:$W$11, 8, FALSE)))</f>
        <v>C4Y</v>
      </c>
      <c r="Z218" s="188"/>
      <c r="AA218" s="188"/>
      <c r="AB218" s="188"/>
      <c r="AC218" s="188"/>
      <c r="AD218" s="188"/>
      <c r="AE218" s="188"/>
    </row>
    <row r="219" spans="1:31" ht="16.95" customHeight="1" x14ac:dyDescent="0.3">
      <c r="B219" s="132" t="s">
        <v>223</v>
      </c>
      <c r="C219" s="132" t="s">
        <v>186</v>
      </c>
      <c r="E219" s="169">
        <f>IF(IFERROR(VLOOKUP(5, $P$6:$W$11, 2, FALSE), "")="", 0, IF(VLOOKUP(5, $P$6:$W$11, 5, FALSE)=1, B219, VLOOKUP(5, $P$6:$W$11, 7, FALSE)))</f>
        <v>0</v>
      </c>
      <c r="Z219" s="188"/>
      <c r="AA219" s="188"/>
      <c r="AB219" s="188"/>
      <c r="AC219" s="188"/>
      <c r="AD219" s="188"/>
      <c r="AE219" s="188"/>
    </row>
    <row r="220" spans="1:31" ht="16.95" customHeight="1" x14ac:dyDescent="0.3">
      <c r="B220" s="132" t="s">
        <v>224</v>
      </c>
      <c r="C220" s="132" t="s">
        <v>187</v>
      </c>
      <c r="E220" s="169">
        <f>IF(IFERROR(VLOOKUP(5, $P$6:$W$11, 2, FALSE), "")="", 0, IF(VLOOKUP(5, $P$6:$W$11, 6, FALSE)=1, B220, VLOOKUP(5, $P$6:$W$11, 8, FALSE)))</f>
        <v>0</v>
      </c>
      <c r="Z220" s="188"/>
      <c r="AA220" s="188"/>
      <c r="AB220" s="188"/>
      <c r="AC220" s="188"/>
      <c r="AD220" s="188"/>
      <c r="AE220" s="188"/>
    </row>
    <row r="221" spans="1:31" ht="16.95" customHeight="1" x14ac:dyDescent="0.3">
      <c r="B221" s="132" t="s">
        <v>225</v>
      </c>
      <c r="C221" s="132" t="s">
        <v>188</v>
      </c>
      <c r="E221" s="169">
        <f>IF(IFERROR(VLOOKUP(6, $P$6:$W$11, 2, FALSE), "")="", 0, IF(VLOOKUP(6, $P$6:$W$11, 5, FALSE)=1, B221, VLOOKUP(6, $P$6:$W$11, 7, FALSE)))</f>
        <v>0</v>
      </c>
      <c r="Z221" s="188"/>
      <c r="AA221" s="188"/>
      <c r="AB221" s="188"/>
      <c r="AC221" s="188"/>
      <c r="AD221" s="188"/>
      <c r="AE221" s="188"/>
    </row>
    <row r="222" spans="1:31" ht="16.95" customHeight="1" x14ac:dyDescent="0.3">
      <c r="B222" s="132" t="s">
        <v>226</v>
      </c>
      <c r="C222" s="132" t="s">
        <v>189</v>
      </c>
      <c r="E222" s="169">
        <f>IF(IFERROR(VLOOKUP(6, $P$6:$W$11, 2, FALSE), "")="", 0, IF(VLOOKUP(6, $P$6:$W$11, 6, FALSE)=1, B222, VLOOKUP(6, $P$6:$W$11, 8, FALSE)))</f>
        <v>0</v>
      </c>
      <c r="Z222" s="188"/>
      <c r="AA222" s="188"/>
      <c r="AB222" s="188"/>
      <c r="AC222" s="188"/>
      <c r="AD222" s="188"/>
      <c r="AE222" s="188"/>
    </row>
    <row r="223" spans="1:31" ht="16.95" customHeight="1" x14ac:dyDescent="0.3">
      <c r="Z223" s="188"/>
      <c r="AA223" s="188"/>
      <c r="AB223" s="188"/>
      <c r="AC223" s="188"/>
      <c r="AD223" s="188"/>
      <c r="AE223" s="188"/>
    </row>
    <row r="224" spans="1:31" ht="16.95" customHeight="1" x14ac:dyDescent="0.35">
      <c r="A224" s="131" t="s">
        <v>227</v>
      </c>
      <c r="Z224" s="188"/>
      <c r="AA224" s="188"/>
      <c r="AB224" s="188"/>
      <c r="AC224" s="188"/>
      <c r="AD224" s="188"/>
      <c r="AE224" s="188"/>
    </row>
    <row r="225" spans="1:31" ht="16.95" customHeight="1" x14ac:dyDescent="0.3">
      <c r="B225" s="132" t="s">
        <v>228</v>
      </c>
      <c r="C225" s="132" t="s">
        <v>178</v>
      </c>
      <c r="E225" s="111" t="str">
        <f>IF(IFERROR(VLOOKUP(1, $P$6:$W$11, 2, FALSE), "")="", 0, IF(VLOOKUP(1, $P$6:$W$11, 5, FALSE)=1, 0, B225))</f>
        <v>D1X</v>
      </c>
      <c r="F225" s="134">
        <f>IF(ISTEXT(E225), 1, "")</f>
        <v>1</v>
      </c>
      <c r="G225" s="134" t="str">
        <f>IF(ISTEXT(E211), 1, "")</f>
        <v/>
      </c>
      <c r="Z225" s="188"/>
      <c r="AA225" s="188"/>
      <c r="AB225" s="188"/>
      <c r="AC225" s="188"/>
      <c r="AD225" s="188"/>
      <c r="AE225" s="188"/>
    </row>
    <row r="226" spans="1:31" ht="16.95" customHeight="1" x14ac:dyDescent="0.3">
      <c r="B226" s="132" t="s">
        <v>229</v>
      </c>
      <c r="C226" s="132" t="s">
        <v>179</v>
      </c>
      <c r="E226" s="111" t="str">
        <f>IF(IFERROR(VLOOKUP(1, $P$6:$W$11, 2, FALSE), "")="", 0, IF(VLOOKUP(1, $P$6:$W$11, 6, FALSE)=1, 0, B226))</f>
        <v>D1Y</v>
      </c>
      <c r="F226" s="134">
        <f>IF(ISTEXT(E226), MAX(F$225:F225) + 1, "")</f>
        <v>2</v>
      </c>
      <c r="G226" s="134" t="str">
        <f>IF(ISTEXT(E212), MAX(G$225:G225) + 1, "")</f>
        <v/>
      </c>
      <c r="Z226" s="188"/>
      <c r="AA226" s="188"/>
      <c r="AB226" s="188"/>
      <c r="AC226" s="188"/>
      <c r="AD226" s="188"/>
      <c r="AE226" s="188"/>
    </row>
    <row r="227" spans="1:31" ht="16.95" customHeight="1" x14ac:dyDescent="0.3">
      <c r="B227" s="132" t="s">
        <v>230</v>
      </c>
      <c r="C227" s="132" t="s">
        <v>180</v>
      </c>
      <c r="E227" s="111" t="str">
        <f>IF(IFERROR(VLOOKUP(2, $P$6:$W$11, 2, FALSE), "")="", 0, IF(VLOOKUP(2, $P$6:$W$11, 5, FALSE)=1, 0, B227))</f>
        <v>D2X</v>
      </c>
      <c r="F227" s="134">
        <f>IF(ISTEXT(E227), MAX(F$225:F226) + 1, "")</f>
        <v>3</v>
      </c>
      <c r="G227" s="134" t="str">
        <f>IF(ISTEXT(E213), MAX(G$225:G226) + 1, "")</f>
        <v/>
      </c>
      <c r="Z227" s="188"/>
      <c r="AA227" s="188"/>
      <c r="AB227" s="188"/>
      <c r="AC227" s="188"/>
      <c r="AD227" s="188"/>
      <c r="AE227" s="188"/>
    </row>
    <row r="228" spans="1:31" ht="16.95" customHeight="1" x14ac:dyDescent="0.3">
      <c r="B228" s="132" t="s">
        <v>231</v>
      </c>
      <c r="C228" s="132" t="s">
        <v>181</v>
      </c>
      <c r="E228" s="111" t="str">
        <f>IF(IFERROR(VLOOKUP(2, $P$6:$W$11, 2, FALSE), "")="", 0, IF(VLOOKUP(2, $P$6:$W$11, 6, FALSE)=1, 0, B228))</f>
        <v>D2Y</v>
      </c>
      <c r="F228" s="134">
        <f>IF(ISTEXT(E228), MAX(F$225:F227) + 1, "")</f>
        <v>4</v>
      </c>
      <c r="G228" s="134" t="str">
        <f>IF(ISTEXT(E214), MAX(G$225:G227) + 1, "")</f>
        <v/>
      </c>
      <c r="Z228" s="188"/>
      <c r="AA228" s="188"/>
      <c r="AB228" s="188"/>
      <c r="AC228" s="188"/>
      <c r="AD228" s="188"/>
      <c r="AE228" s="188"/>
    </row>
    <row r="229" spans="1:31" ht="16.95" customHeight="1" x14ac:dyDescent="0.3">
      <c r="B229" s="132" t="s">
        <v>232</v>
      </c>
      <c r="C229" s="132" t="s">
        <v>182</v>
      </c>
      <c r="E229" s="111" t="str">
        <f>IF(IFERROR(VLOOKUP(3, $P$6:$W$11, 2, FALSE), "")="", 0, IF(VLOOKUP(3, $P$6:$W$11, 5, FALSE)=1, 0, B229))</f>
        <v>D3X</v>
      </c>
      <c r="F229" s="134">
        <f>IF(ISTEXT(E229), MAX(F$225:F228) + 1, "")</f>
        <v>5</v>
      </c>
      <c r="G229" s="134" t="str">
        <f>IF(ISTEXT(E215), MAX(G$225:G228) + 1, "")</f>
        <v/>
      </c>
      <c r="Z229" s="188"/>
      <c r="AA229" s="188"/>
      <c r="AB229" s="188"/>
      <c r="AC229" s="188"/>
      <c r="AD229" s="188"/>
      <c r="AE229" s="188"/>
    </row>
    <row r="230" spans="1:31" ht="16.95" customHeight="1" x14ac:dyDescent="0.3">
      <c r="A230" s="150" t="s">
        <v>233</v>
      </c>
      <c r="B230" s="132" t="s">
        <v>234</v>
      </c>
      <c r="C230" s="132" t="s">
        <v>183</v>
      </c>
      <c r="D230" s="13" t="s">
        <v>220</v>
      </c>
      <c r="E230" s="111">
        <f>IF(IFERROR(VLOOKUP(3, $P$6:$W$11, 2, FALSE), "")="", 0, IF(VLOOKUP(3, $P$6:$W$11, 6, FALSE)=1, 0, B230))</f>
        <v>0</v>
      </c>
      <c r="F230" s="134" t="str">
        <f>IF(ISTEXT(E230), MAX(F$225:F229) + 1, "")</f>
        <v/>
      </c>
      <c r="G230" s="134">
        <f>IF(ISTEXT(E216), MAX(G$225:G229) + 1, "")</f>
        <v>1</v>
      </c>
      <c r="Z230" s="188"/>
      <c r="AA230" s="188"/>
      <c r="AB230" s="188"/>
      <c r="AC230" s="188"/>
      <c r="AD230" s="188"/>
      <c r="AE230" s="188"/>
    </row>
    <row r="231" spans="1:31" ht="16.95" customHeight="1" x14ac:dyDescent="0.3">
      <c r="B231" s="132" t="s">
        <v>235</v>
      </c>
      <c r="C231" s="132" t="s">
        <v>184</v>
      </c>
      <c r="E231" s="111">
        <f>IF(IFERROR(VLOOKUP(4, $P$6:$W$11, 2, FALSE), "")="", 0, IF(VLOOKUP(4, $P$6:$W$11, 5, FALSE)=1, 0, B231))</f>
        <v>0</v>
      </c>
      <c r="F231" s="134" t="str">
        <f>IF(ISTEXT(E231), MAX(F$225:F230) + 1, "")</f>
        <v/>
      </c>
      <c r="G231" s="134">
        <f>IF(ISTEXT(E217), MAX(G$225:G230) + 1, "")</f>
        <v>2</v>
      </c>
      <c r="Z231" s="188"/>
      <c r="AA231" s="188"/>
      <c r="AB231" s="188"/>
      <c r="AC231" s="188"/>
      <c r="AD231" s="188"/>
      <c r="AE231" s="188"/>
    </row>
    <row r="232" spans="1:31" ht="16.95" customHeight="1" x14ac:dyDescent="0.3">
      <c r="B232" s="132" t="s">
        <v>236</v>
      </c>
      <c r="C232" s="132" t="s">
        <v>185</v>
      </c>
      <c r="E232" s="111">
        <f>IF(IFERROR(VLOOKUP(4, $P$6:$W$11, 2, FALSE), "")="", 0, IF(VLOOKUP(4, $P$6:$W$11, 6, FALSE)=1, 0, B232))</f>
        <v>0</v>
      </c>
      <c r="F232" s="134" t="str">
        <f>IF(ISTEXT(E232), MAX(F$225:F231) + 1, "")</f>
        <v/>
      </c>
      <c r="G232" s="134">
        <f>IF(ISTEXT(E218), MAX(G$225:G231) + 1, "")</f>
        <v>3</v>
      </c>
      <c r="Z232" s="188"/>
      <c r="AA232" s="188"/>
      <c r="AB232" s="188"/>
      <c r="AC232" s="188"/>
      <c r="AD232" s="188"/>
      <c r="AE232" s="188"/>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88"/>
      <c r="AA233" s="188"/>
      <c r="AB233" s="188"/>
      <c r="AC233" s="188"/>
      <c r="AD233" s="188"/>
      <c r="AE233" s="188"/>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88"/>
      <c r="AA234" s="188"/>
      <c r="AB234" s="188"/>
      <c r="AC234" s="188"/>
      <c r="AD234" s="188"/>
      <c r="AE234" s="188"/>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88"/>
      <c r="AA235" s="188"/>
      <c r="AB235" s="188"/>
      <c r="AC235" s="188"/>
      <c r="AD235" s="188"/>
      <c r="AE235" s="188"/>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88"/>
      <c r="AA236" s="188"/>
      <c r="AB236" s="188"/>
      <c r="AC236" s="188"/>
      <c r="AD236" s="188"/>
      <c r="AE236" s="188"/>
    </row>
    <row r="238" spans="1:31" ht="19.95" customHeight="1" x14ac:dyDescent="0.35">
      <c r="A238" s="135" t="s">
        <v>241</v>
      </c>
      <c r="C238" s="190" t="s">
        <v>242</v>
      </c>
      <c r="D238" s="190"/>
      <c r="E238" s="136" t="s">
        <v>243</v>
      </c>
      <c r="Z238" s="189" t="s">
        <v>244</v>
      </c>
      <c r="AA238" s="189"/>
      <c r="AB238" s="189"/>
      <c r="AC238" s="189"/>
      <c r="AD238" s="189"/>
      <c r="AE238" s="189"/>
    </row>
    <row r="239" spans="1:31" ht="16.95" customHeight="1" x14ac:dyDescent="0.3">
      <c r="E239" s="136" t="s">
        <v>245</v>
      </c>
      <c r="Z239" s="188" t="s">
        <v>246</v>
      </c>
      <c r="AA239" s="188"/>
      <c r="AB239" s="188"/>
      <c r="AC239" s="188"/>
      <c r="AD239" s="188"/>
      <c r="AE239" s="188"/>
    </row>
    <row r="240" spans="1:31" ht="16.95" customHeight="1" x14ac:dyDescent="0.3">
      <c r="A240" s="151" t="s">
        <v>247</v>
      </c>
      <c r="C240" s="197" t="s">
        <v>248</v>
      </c>
      <c r="D240" s="197"/>
      <c r="E240" s="197"/>
      <c r="F240" s="197"/>
      <c r="G240" s="197"/>
      <c r="H240" s="197"/>
      <c r="I240" s="197"/>
      <c r="J240" s="197"/>
      <c r="K240" s="197"/>
      <c r="L240" s="197"/>
      <c r="M240" s="197"/>
      <c r="N240" s="197"/>
      <c r="P240" s="151" t="s">
        <v>249</v>
      </c>
      <c r="Z240" s="188" t="s">
        <v>250</v>
      </c>
      <c r="AA240" s="188"/>
      <c r="AB240" s="188"/>
      <c r="AC240" s="188"/>
      <c r="AD240" s="188"/>
      <c r="AE240" s="188"/>
    </row>
    <row r="241" spans="1:31" ht="16.95" customHeight="1" x14ac:dyDescent="0.3">
      <c r="A241" s="137">
        <f t="shared" ref="A241:A252" si="28">E211</f>
        <v>1000</v>
      </c>
      <c r="C241" s="159">
        <f t="shared" ref="C241:N252" si="29">B196</f>
        <v>4483.0768633181942</v>
      </c>
      <c r="D241" s="159">
        <f t="shared" si="29"/>
        <v>567.01685871224254</v>
      </c>
      <c r="E241" s="159">
        <f t="shared" si="29"/>
        <v>-4269.0748412273124</v>
      </c>
      <c r="F241" s="159">
        <f t="shared" si="29"/>
        <v>-1423.0249470757706</v>
      </c>
      <c r="G241" s="159">
        <f t="shared" si="29"/>
        <v>0</v>
      </c>
      <c r="H241" s="159">
        <f t="shared" si="29"/>
        <v>0</v>
      </c>
      <c r="I241" s="159">
        <f t="shared" si="29"/>
        <v>-214.00202209088201</v>
      </c>
      <c r="J241" s="159">
        <f t="shared" si="29"/>
        <v>856.00808836352803</v>
      </c>
      <c r="K241" s="159">
        <f t="shared" si="29"/>
        <v>0</v>
      </c>
      <c r="L241" s="159">
        <f t="shared" si="29"/>
        <v>0</v>
      </c>
      <c r="M241" s="159">
        <f t="shared" si="29"/>
        <v>0</v>
      </c>
      <c r="N241" s="159">
        <f t="shared" si="29"/>
        <v>0</v>
      </c>
      <c r="O241" s="13" t="s">
        <v>251</v>
      </c>
      <c r="P241" s="132" t="str">
        <f t="shared" ref="P241:P252" si="30">E225</f>
        <v>D1X</v>
      </c>
      <c r="Z241" s="188" t="s">
        <v>252</v>
      </c>
      <c r="AA241" s="188"/>
      <c r="AB241" s="188"/>
      <c r="AC241" s="188"/>
      <c r="AD241" s="188"/>
      <c r="AE241" s="188"/>
    </row>
    <row r="242" spans="1:31" ht="16.95" customHeight="1" x14ac:dyDescent="0.3">
      <c r="A242" s="137">
        <f t="shared" si="28"/>
        <v>-2000</v>
      </c>
      <c r="C242" s="159">
        <f t="shared" si="29"/>
        <v>567.01685871224254</v>
      </c>
      <c r="D242" s="159">
        <f t="shared" si="29"/>
        <v>3898.3740024793688</v>
      </c>
      <c r="E242" s="159">
        <f t="shared" si="29"/>
        <v>-1423.0249470757706</v>
      </c>
      <c r="F242" s="159">
        <f t="shared" si="29"/>
        <v>-474.34164902525674</v>
      </c>
      <c r="G242" s="159">
        <f t="shared" si="29"/>
        <v>0</v>
      </c>
      <c r="H242" s="159">
        <f t="shared" si="29"/>
        <v>0</v>
      </c>
      <c r="I242" s="159">
        <f t="shared" si="29"/>
        <v>856.00808836352803</v>
      </c>
      <c r="J242" s="159">
        <f t="shared" si="29"/>
        <v>-3424.0323534541121</v>
      </c>
      <c r="K242" s="159">
        <f t="shared" si="29"/>
        <v>0</v>
      </c>
      <c r="L242" s="159">
        <f t="shared" si="29"/>
        <v>0</v>
      </c>
      <c r="M242" s="159">
        <f t="shared" si="29"/>
        <v>0</v>
      </c>
      <c r="N242" s="159">
        <f t="shared" si="29"/>
        <v>0</v>
      </c>
      <c r="O242" s="13" t="s">
        <v>251</v>
      </c>
      <c r="P242" s="132" t="str">
        <f t="shared" si="30"/>
        <v>D1Y</v>
      </c>
      <c r="Z242" s="188" t="s">
        <v>253</v>
      </c>
      <c r="AA242" s="188"/>
      <c r="AB242" s="188"/>
      <c r="AC242" s="188"/>
      <c r="AD242" s="188"/>
      <c r="AE242" s="188"/>
    </row>
    <row r="243" spans="1:31" ht="16.95" customHeight="1" x14ac:dyDescent="0.3">
      <c r="A243" s="137">
        <f t="shared" si="28"/>
        <v>2000</v>
      </c>
      <c r="C243" s="159">
        <f t="shared" si="29"/>
        <v>-4269.0748412273124</v>
      </c>
      <c r="D243" s="159">
        <f t="shared" si="29"/>
        <v>-1423.0249470757706</v>
      </c>
      <c r="E243" s="159">
        <f t="shared" si="29"/>
        <v>6663.416490252569</v>
      </c>
      <c r="F243" s="159">
        <f t="shared" si="29"/>
        <v>1406.0498941515409</v>
      </c>
      <c r="G243" s="159">
        <f t="shared" si="29"/>
        <v>-474.34164902525674</v>
      </c>
      <c r="H243" s="159">
        <f t="shared" si="29"/>
        <v>-1423.0249470757703</v>
      </c>
      <c r="I243" s="159">
        <f t="shared" si="29"/>
        <v>-1920</v>
      </c>
      <c r="J243" s="159">
        <f t="shared" si="29"/>
        <v>1440</v>
      </c>
      <c r="K243" s="159">
        <f t="shared" si="29"/>
        <v>0</v>
      </c>
      <c r="L243" s="159">
        <f t="shared" si="29"/>
        <v>0</v>
      </c>
      <c r="M243" s="159">
        <f t="shared" si="29"/>
        <v>0</v>
      </c>
      <c r="N243" s="159">
        <f t="shared" si="29"/>
        <v>0</v>
      </c>
      <c r="O243" s="13" t="s">
        <v>251</v>
      </c>
      <c r="P243" s="132" t="str">
        <f t="shared" si="30"/>
        <v>D2X</v>
      </c>
      <c r="Z243" s="188" t="s">
        <v>254</v>
      </c>
      <c r="AA243" s="188"/>
      <c r="AB243" s="188"/>
      <c r="AC243" s="188"/>
      <c r="AD243" s="188"/>
      <c r="AE243" s="188"/>
    </row>
    <row r="244" spans="1:31" ht="16.95" customHeight="1" x14ac:dyDescent="0.3">
      <c r="A244" s="137">
        <f t="shared" si="28"/>
        <v>-1000</v>
      </c>
      <c r="C244" s="159">
        <f t="shared" si="29"/>
        <v>-1423.0249470757706</v>
      </c>
      <c r="D244" s="159">
        <f t="shared" si="29"/>
        <v>-474.34164902525674</v>
      </c>
      <c r="E244" s="159">
        <f t="shared" si="29"/>
        <v>1406.0498941515409</v>
      </c>
      <c r="F244" s="159">
        <f t="shared" si="29"/>
        <v>5823.416490252569</v>
      </c>
      <c r="G244" s="159">
        <f t="shared" si="29"/>
        <v>-1423.0249470757703</v>
      </c>
      <c r="H244" s="159">
        <f t="shared" si="29"/>
        <v>-4269.0748412273124</v>
      </c>
      <c r="I244" s="159">
        <f t="shared" si="29"/>
        <v>1440</v>
      </c>
      <c r="J244" s="159">
        <f t="shared" si="29"/>
        <v>-1080</v>
      </c>
      <c r="K244" s="159">
        <f t="shared" si="29"/>
        <v>0</v>
      </c>
      <c r="L244" s="159">
        <f t="shared" si="29"/>
        <v>0</v>
      </c>
      <c r="M244" s="159">
        <f t="shared" si="29"/>
        <v>0</v>
      </c>
      <c r="N244" s="159">
        <f t="shared" si="29"/>
        <v>0</v>
      </c>
      <c r="O244" s="13" t="s">
        <v>251</v>
      </c>
      <c r="P244" s="132" t="str">
        <f t="shared" si="30"/>
        <v>D2Y</v>
      </c>
      <c r="Z244" s="188" t="s">
        <v>255</v>
      </c>
      <c r="AA244" s="188"/>
      <c r="AB244" s="188"/>
      <c r="AC244" s="188"/>
      <c r="AD244" s="188"/>
      <c r="AE244" s="188"/>
    </row>
    <row r="245" spans="1:31" ht="16.95" customHeight="1" x14ac:dyDescent="0.3">
      <c r="A245" s="137">
        <f t="shared" si="28"/>
        <v>0</v>
      </c>
      <c r="C245" s="159">
        <f t="shared" si="29"/>
        <v>0</v>
      </c>
      <c r="D245" s="159">
        <f t="shared" si="29"/>
        <v>0</v>
      </c>
      <c r="E245" s="159">
        <f t="shared" si="29"/>
        <v>-474.34164902525674</v>
      </c>
      <c r="F245" s="159">
        <f t="shared" si="29"/>
        <v>-1423.0249470757703</v>
      </c>
      <c r="G245" s="159">
        <f t="shared" si="29"/>
        <v>3474.3416490252566</v>
      </c>
      <c r="H245" s="159">
        <f t="shared" si="29"/>
        <v>1423.0249470757703</v>
      </c>
      <c r="I245" s="159">
        <f t="shared" si="29"/>
        <v>-3000</v>
      </c>
      <c r="J245" s="159">
        <f t="shared" si="29"/>
        <v>0</v>
      </c>
      <c r="K245" s="159">
        <f t="shared" si="29"/>
        <v>0</v>
      </c>
      <c r="L245" s="159">
        <f t="shared" si="29"/>
        <v>0</v>
      </c>
      <c r="M245" s="159">
        <f t="shared" si="29"/>
        <v>0</v>
      </c>
      <c r="N245" s="159">
        <f t="shared" si="29"/>
        <v>0</v>
      </c>
      <c r="O245" s="13" t="s">
        <v>251</v>
      </c>
      <c r="P245" s="132" t="str">
        <f t="shared" si="30"/>
        <v>D3X</v>
      </c>
      <c r="Z245" s="188" t="s">
        <v>256</v>
      </c>
      <c r="AA245" s="188"/>
      <c r="AB245" s="188"/>
      <c r="AC245" s="188"/>
      <c r="AD245" s="188"/>
      <c r="AE245" s="188"/>
    </row>
    <row r="246" spans="1:31" ht="16.95" customHeight="1" x14ac:dyDescent="0.3">
      <c r="A246" s="137" t="str">
        <f t="shared" si="28"/>
        <v>C3Y</v>
      </c>
      <c r="C246" s="159">
        <f t="shared" si="29"/>
        <v>0</v>
      </c>
      <c r="D246" s="159">
        <f t="shared" si="29"/>
        <v>0</v>
      </c>
      <c r="E246" s="159">
        <f t="shared" si="29"/>
        <v>-1423.0249470757703</v>
      </c>
      <c r="F246" s="159">
        <f t="shared" si="29"/>
        <v>-4269.0748412273124</v>
      </c>
      <c r="G246" s="159">
        <f t="shared" si="29"/>
        <v>1423.0249470757703</v>
      </c>
      <c r="H246" s="159">
        <f t="shared" si="29"/>
        <v>4269.0748412273124</v>
      </c>
      <c r="I246" s="159">
        <f t="shared" si="29"/>
        <v>0</v>
      </c>
      <c r="J246" s="159">
        <f t="shared" si="29"/>
        <v>0</v>
      </c>
      <c r="K246" s="159">
        <f t="shared" si="29"/>
        <v>0</v>
      </c>
      <c r="L246" s="159">
        <f t="shared" si="29"/>
        <v>0</v>
      </c>
      <c r="M246" s="159">
        <f t="shared" si="29"/>
        <v>0</v>
      </c>
      <c r="N246" s="159">
        <f t="shared" si="29"/>
        <v>0</v>
      </c>
      <c r="O246" s="13" t="s">
        <v>251</v>
      </c>
      <c r="P246" s="132">
        <f t="shared" si="30"/>
        <v>0</v>
      </c>
      <c r="Z246" s="188"/>
      <c r="AA246" s="188"/>
      <c r="AB246" s="188"/>
      <c r="AC246" s="188"/>
      <c r="AD246" s="188"/>
      <c r="AE246" s="188"/>
    </row>
    <row r="247" spans="1:31" ht="16.95" customHeight="1" x14ac:dyDescent="0.3">
      <c r="A247" s="137" t="str">
        <f t="shared" si="28"/>
        <v>C4X</v>
      </c>
      <c r="B247" s="13" t="s">
        <v>220</v>
      </c>
      <c r="C247" s="159">
        <f t="shared" si="29"/>
        <v>-214.00202209088201</v>
      </c>
      <c r="D247" s="159">
        <f t="shared" si="29"/>
        <v>856.00808836352803</v>
      </c>
      <c r="E247" s="159">
        <f t="shared" si="29"/>
        <v>-1920</v>
      </c>
      <c r="F247" s="159">
        <f t="shared" si="29"/>
        <v>1440</v>
      </c>
      <c r="G247" s="159">
        <f t="shared" si="29"/>
        <v>-3000</v>
      </c>
      <c r="H247" s="159">
        <f t="shared" si="29"/>
        <v>0</v>
      </c>
      <c r="I247" s="159">
        <f t="shared" si="29"/>
        <v>5134.0020220908818</v>
      </c>
      <c r="J247" s="159">
        <f t="shared" si="29"/>
        <v>-2296.0080883635283</v>
      </c>
      <c r="K247" s="159">
        <f t="shared" si="29"/>
        <v>0</v>
      </c>
      <c r="L247" s="159">
        <f t="shared" si="29"/>
        <v>0</v>
      </c>
      <c r="M247" s="159">
        <f t="shared" si="29"/>
        <v>0</v>
      </c>
      <c r="N247" s="159">
        <f t="shared" si="29"/>
        <v>0</v>
      </c>
      <c r="O247" s="13" t="s">
        <v>251</v>
      </c>
      <c r="P247" s="132">
        <f t="shared" si="30"/>
        <v>0</v>
      </c>
      <c r="Z247" s="188"/>
      <c r="AA247" s="188"/>
      <c r="AB247" s="188"/>
      <c r="AC247" s="188"/>
      <c r="AD247" s="188"/>
      <c r="AE247" s="188"/>
    </row>
    <row r="248" spans="1:31" ht="16.95" customHeight="1" x14ac:dyDescent="0.3">
      <c r="A248" s="137" t="str">
        <f t="shared" si="28"/>
        <v>C4Y</v>
      </c>
      <c r="C248" s="159">
        <f t="shared" si="29"/>
        <v>856.00808836352803</v>
      </c>
      <c r="D248" s="159">
        <f t="shared" si="29"/>
        <v>-3424.0323534541121</v>
      </c>
      <c r="E248" s="159">
        <f t="shared" si="29"/>
        <v>1440</v>
      </c>
      <c r="F248" s="159">
        <f t="shared" si="29"/>
        <v>-1080</v>
      </c>
      <c r="G248" s="159">
        <f t="shared" si="29"/>
        <v>0</v>
      </c>
      <c r="H248" s="159">
        <f t="shared" si="29"/>
        <v>0</v>
      </c>
      <c r="I248" s="159">
        <f t="shared" si="29"/>
        <v>-2296.0080883635283</v>
      </c>
      <c r="J248" s="159">
        <f t="shared" si="29"/>
        <v>4504.0323534541121</v>
      </c>
      <c r="K248" s="159">
        <f t="shared" si="29"/>
        <v>0</v>
      </c>
      <c r="L248" s="159">
        <f t="shared" si="29"/>
        <v>0</v>
      </c>
      <c r="M248" s="159">
        <f t="shared" si="29"/>
        <v>0</v>
      </c>
      <c r="N248" s="159">
        <f t="shared" si="29"/>
        <v>0</v>
      </c>
      <c r="O248" s="13" t="s">
        <v>251</v>
      </c>
      <c r="P248" s="132">
        <f t="shared" si="30"/>
        <v>0</v>
      </c>
      <c r="Z248" s="188"/>
      <c r="AA248" s="188"/>
      <c r="AB248" s="188"/>
      <c r="AC248" s="188"/>
      <c r="AD248" s="188"/>
      <c r="AE248" s="188"/>
    </row>
    <row r="249" spans="1:31" ht="16.95" customHeight="1" x14ac:dyDescent="0.3">
      <c r="A249" s="137">
        <f t="shared" si="28"/>
        <v>0</v>
      </c>
      <c r="C249" s="159">
        <f t="shared" si="29"/>
        <v>0</v>
      </c>
      <c r="D249" s="159">
        <f t="shared" si="29"/>
        <v>0</v>
      </c>
      <c r="E249" s="159">
        <f t="shared" si="29"/>
        <v>0</v>
      </c>
      <c r="F249" s="159">
        <f t="shared" si="29"/>
        <v>0</v>
      </c>
      <c r="G249" s="159">
        <f t="shared" si="29"/>
        <v>0</v>
      </c>
      <c r="H249" s="159">
        <f t="shared" si="29"/>
        <v>0</v>
      </c>
      <c r="I249" s="159">
        <f t="shared" si="29"/>
        <v>0</v>
      </c>
      <c r="J249" s="159">
        <f t="shared" si="29"/>
        <v>0</v>
      </c>
      <c r="K249" s="159">
        <f t="shared" si="29"/>
        <v>0</v>
      </c>
      <c r="L249" s="159">
        <f t="shared" si="29"/>
        <v>0</v>
      </c>
      <c r="M249" s="159">
        <f t="shared" si="29"/>
        <v>0</v>
      </c>
      <c r="N249" s="159">
        <f t="shared" si="29"/>
        <v>0</v>
      </c>
      <c r="O249" s="13" t="s">
        <v>251</v>
      </c>
      <c r="P249" s="132">
        <f t="shared" si="30"/>
        <v>0</v>
      </c>
      <c r="Z249" s="188"/>
      <c r="AA249" s="188"/>
      <c r="AB249" s="188"/>
      <c r="AC249" s="188"/>
      <c r="AD249" s="188"/>
      <c r="AE249" s="188"/>
    </row>
    <row r="250" spans="1:31" ht="16.95" customHeight="1" x14ac:dyDescent="0.3">
      <c r="A250" s="137">
        <f t="shared" si="28"/>
        <v>0</v>
      </c>
      <c r="C250" s="159">
        <f t="shared" si="29"/>
        <v>0</v>
      </c>
      <c r="D250" s="159">
        <f t="shared" si="29"/>
        <v>0</v>
      </c>
      <c r="E250" s="159">
        <f t="shared" si="29"/>
        <v>0</v>
      </c>
      <c r="F250" s="159">
        <f t="shared" si="29"/>
        <v>0</v>
      </c>
      <c r="G250" s="159">
        <f t="shared" si="29"/>
        <v>0</v>
      </c>
      <c r="H250" s="159">
        <f t="shared" si="29"/>
        <v>0</v>
      </c>
      <c r="I250" s="159">
        <f t="shared" si="29"/>
        <v>0</v>
      </c>
      <c r="J250" s="159">
        <f t="shared" si="29"/>
        <v>0</v>
      </c>
      <c r="K250" s="159">
        <f t="shared" si="29"/>
        <v>0</v>
      </c>
      <c r="L250" s="159">
        <f t="shared" si="29"/>
        <v>0</v>
      </c>
      <c r="M250" s="159">
        <f t="shared" si="29"/>
        <v>0</v>
      </c>
      <c r="N250" s="159">
        <f t="shared" si="29"/>
        <v>0</v>
      </c>
      <c r="O250" s="13" t="s">
        <v>251</v>
      </c>
      <c r="P250" s="132">
        <f t="shared" si="30"/>
        <v>0</v>
      </c>
      <c r="Z250" s="188"/>
      <c r="AA250" s="188"/>
      <c r="AB250" s="188"/>
      <c r="AC250" s="188"/>
      <c r="AD250" s="188"/>
      <c r="AE250" s="188"/>
    </row>
    <row r="251" spans="1:31" ht="16.95" customHeight="1" x14ac:dyDescent="0.3">
      <c r="A251" s="137">
        <f t="shared" si="28"/>
        <v>0</v>
      </c>
      <c r="C251" s="159">
        <f t="shared" si="29"/>
        <v>0</v>
      </c>
      <c r="D251" s="159">
        <f t="shared" si="29"/>
        <v>0</v>
      </c>
      <c r="E251" s="159">
        <f t="shared" si="29"/>
        <v>0</v>
      </c>
      <c r="F251" s="159">
        <f t="shared" si="29"/>
        <v>0</v>
      </c>
      <c r="G251" s="159">
        <f t="shared" si="29"/>
        <v>0</v>
      </c>
      <c r="H251" s="159">
        <f t="shared" si="29"/>
        <v>0</v>
      </c>
      <c r="I251" s="159">
        <f t="shared" si="29"/>
        <v>0</v>
      </c>
      <c r="J251" s="159">
        <f t="shared" si="29"/>
        <v>0</v>
      </c>
      <c r="K251" s="159">
        <f t="shared" si="29"/>
        <v>0</v>
      </c>
      <c r="L251" s="159">
        <f t="shared" si="29"/>
        <v>0</v>
      </c>
      <c r="M251" s="159">
        <f t="shared" si="29"/>
        <v>0</v>
      </c>
      <c r="N251" s="159">
        <f t="shared" si="29"/>
        <v>0</v>
      </c>
      <c r="O251" s="13" t="s">
        <v>251</v>
      </c>
      <c r="P251" s="132">
        <f t="shared" si="30"/>
        <v>0</v>
      </c>
      <c r="Z251" s="188"/>
      <c r="AA251" s="188"/>
      <c r="AB251" s="188"/>
      <c r="AC251" s="188"/>
      <c r="AD251" s="188"/>
      <c r="AE251" s="188"/>
    </row>
    <row r="252" spans="1:31" ht="16.95" customHeight="1" x14ac:dyDescent="0.3">
      <c r="A252" s="137">
        <f t="shared" si="28"/>
        <v>0</v>
      </c>
      <c r="C252" s="159">
        <f t="shared" si="29"/>
        <v>0</v>
      </c>
      <c r="D252" s="159">
        <f t="shared" si="29"/>
        <v>0</v>
      </c>
      <c r="E252" s="159">
        <f t="shared" si="29"/>
        <v>0</v>
      </c>
      <c r="F252" s="159">
        <f t="shared" si="29"/>
        <v>0</v>
      </c>
      <c r="G252" s="159">
        <f t="shared" si="29"/>
        <v>0</v>
      </c>
      <c r="H252" s="159">
        <f t="shared" si="29"/>
        <v>0</v>
      </c>
      <c r="I252" s="159">
        <f t="shared" si="29"/>
        <v>0</v>
      </c>
      <c r="J252" s="159">
        <f t="shared" si="29"/>
        <v>0</v>
      </c>
      <c r="K252" s="159">
        <f t="shared" si="29"/>
        <v>0</v>
      </c>
      <c r="L252" s="159">
        <f t="shared" si="29"/>
        <v>0</v>
      </c>
      <c r="M252" s="159">
        <f t="shared" si="29"/>
        <v>0</v>
      </c>
      <c r="N252" s="159">
        <f t="shared" si="29"/>
        <v>0</v>
      </c>
      <c r="O252" s="13" t="s">
        <v>251</v>
      </c>
      <c r="P252" s="132">
        <f t="shared" si="30"/>
        <v>0</v>
      </c>
      <c r="Z252" s="188"/>
      <c r="AA252" s="188"/>
      <c r="AB252" s="188"/>
      <c r="AC252" s="188"/>
      <c r="AD252" s="188"/>
      <c r="AE252" s="188"/>
    </row>
    <row r="255" spans="1:31" ht="19.95" customHeight="1" x14ac:dyDescent="0.35">
      <c r="A255" s="135" t="s">
        <v>257</v>
      </c>
      <c r="Z255" s="189" t="s">
        <v>258</v>
      </c>
      <c r="AA255" s="189"/>
      <c r="AB255" s="189"/>
      <c r="AC255" s="189"/>
      <c r="AD255" s="189"/>
      <c r="AE255" s="189"/>
    </row>
    <row r="256" spans="1:31" ht="16.95" customHeight="1" x14ac:dyDescent="0.3">
      <c r="C256" s="150" t="str">
        <f>IFERROR(INDEX(C$225:C$236, MATCH(1, F$225:F$236, 0)), "-")</f>
        <v>U1X</v>
      </c>
      <c r="D256" s="150" t="str">
        <f>IFERROR(INDEX(C$225:C$236, MATCH(2, F$225:F$236, 0)), "-")</f>
        <v>U1Y</v>
      </c>
      <c r="E256" s="150" t="str">
        <f>IFERROR(INDEX(C$225:C$236, MATCH(3, F$225:F$236, 0)), "-")</f>
        <v>U2X</v>
      </c>
      <c r="F256" s="150" t="str">
        <f>IFERROR(INDEX(C$225:C$236, MATCH(4, F$225:F$236, 0)), "-")</f>
        <v>U2Y</v>
      </c>
      <c r="G256" s="150" t="str">
        <f>IFERROR(INDEX(C$225:C$236, MATCH(5, F$225:F$236, 0)), "-")</f>
        <v>U3X</v>
      </c>
      <c r="H256" s="150" t="str">
        <f>IFERROR(INDEX(C$225:C$236, MATCH(6, F$225:F$236, 0)), "-")</f>
        <v>-</v>
      </c>
      <c r="I256" s="150" t="str">
        <f>IFERROR(INDEX(C$225:C$236, MATCH(7, F$225:F$236, 0)), "-")</f>
        <v>-</v>
      </c>
      <c r="J256" s="150" t="str">
        <f>IFERROR(INDEX(C$225:C$236, MATCH(8, F$225:F$236, 0)), "-")</f>
        <v>-</v>
      </c>
      <c r="K256" s="150" t="str">
        <f>IFERROR(INDEX(C$225:C$236, MATCH(9, F$225:F$236, 0)), "-")</f>
        <v>-</v>
      </c>
      <c r="Z256" s="188" t="s">
        <v>259</v>
      </c>
      <c r="AA256" s="188"/>
      <c r="AB256" s="188"/>
      <c r="AC256" s="188"/>
      <c r="AD256" s="188"/>
      <c r="AE256" s="188"/>
    </row>
    <row r="257" spans="1:31" ht="16.95" customHeight="1" x14ac:dyDescent="0.3">
      <c r="A257" s="138">
        <f t="shared" ref="A257:A265" si="31">IF($N257="-", 0, IFERROR(INDEX(E$211:E$222, MATCH($N257, C$211:C$222, 0)), 0))</f>
        <v>1000</v>
      </c>
      <c r="C257" s="138">
        <f>IF(OR($N257="-", C$256="-"), 1, IF(OR(IFERROR(INDEX($B$196:$M$207, MATCH($N257, $N$196:$N$207, 0), MATCH($N257, $B$195:$M$195, 0)), 0)=0, IFERROR(INDEX($B$196:$M$207, MATCH(C$256, $N$196:$N$207, 0), MATCH(C$256, $B$195:$M$195, 0)), 0)=0), 1, IFERROR(INDEX($B$196:$M$207, MATCH($N257, $N$196:$N$207, 0), MATCH(C$256, $B$195:$M$195, 0)), 0)))</f>
        <v>4483.0768633181942</v>
      </c>
      <c r="D257" s="138">
        <f t="shared" ref="D257:K259" si="32">IF(OR($N257="-", D$256="-"), 0, IF(OR(IFERROR(INDEX($B$196:$M$207, MATCH($N257, $N$196:$N$207, 0), MATCH($N257, $B$195:$M$195, 0)), 0)=0, IFERROR(INDEX($B$196:$M$207, MATCH(D$256, $N$196:$N$207, 0), MATCH(D$256, $B$195:$M$195, 0)), 0)=0), 0, IFERROR(INDEX($B$196:$M$207, MATCH($N257, $N$196:$N$207, 0), MATCH(D$256, $B$195:$M$195, 0)), 0)))</f>
        <v>567.01685871224254</v>
      </c>
      <c r="E257" s="138">
        <f t="shared" si="32"/>
        <v>-4269.0748412273124</v>
      </c>
      <c r="F257" s="138">
        <f t="shared" si="32"/>
        <v>-1423.0249470757706</v>
      </c>
      <c r="G257" s="138">
        <f t="shared" si="32"/>
        <v>0</v>
      </c>
      <c r="H257" s="138">
        <f t="shared" si="32"/>
        <v>0</v>
      </c>
      <c r="I257" s="138">
        <f t="shared" si="32"/>
        <v>0</v>
      </c>
      <c r="J257" s="138">
        <f t="shared" si="32"/>
        <v>0</v>
      </c>
      <c r="K257" s="138">
        <f t="shared" si="32"/>
        <v>0</v>
      </c>
      <c r="L257" s="13" t="s">
        <v>251</v>
      </c>
      <c r="M257" s="150" t="str">
        <f>IFERROR(INDEX(B$225:B$236, MATCH(1, F$225:F$236, 0)), "-")</f>
        <v>D1X</v>
      </c>
      <c r="N257" s="134" t="str">
        <f>IFERROR(INDEX(C$225:C$236, MATCH(1, F$225:F$236, 0)), "-")</f>
        <v>U1X</v>
      </c>
      <c r="Z257" s="188" t="s">
        <v>260</v>
      </c>
      <c r="AA257" s="188"/>
      <c r="AB257" s="188"/>
      <c r="AC257" s="188"/>
      <c r="AD257" s="188"/>
      <c r="AE257" s="188"/>
    </row>
    <row r="258" spans="1:31" ht="16.95" customHeight="1" x14ac:dyDescent="0.3">
      <c r="A258" s="138">
        <f t="shared" si="31"/>
        <v>-2000</v>
      </c>
      <c r="C258" s="138">
        <f t="shared" ref="C258:E265" si="33">IF(OR($N258="-", C$256="-"), 0, IF(OR(IFERROR(INDEX($B$196:$M$207, MATCH($N258, $N$196:$N$207, 0), MATCH($N258, $B$195:$M$195, 0)), 0)=0, IFERROR(INDEX($B$196:$M$207, MATCH(C$256, $N$196:$N$207, 0), MATCH(C$256, $B$195:$M$195, 0)), 0)=0), 0, IFERROR(INDEX($B$196:$M$207, MATCH($N258, $N$196:$N$207, 0), MATCH(C$256, $B$195:$M$195, 0)), 0)))</f>
        <v>567.01685871224254</v>
      </c>
      <c r="D258" s="138">
        <f>IF(OR($N258="-", D$256="-"), 1, IF(OR(IFERROR(INDEX($B$196:$M$207, MATCH($N258, $N$196:$N$207, 0), MATCH($N258, $B$195:$M$195, 0)), 0)=0, IFERROR(INDEX($B$196:$M$207, MATCH(D$256, $N$196:$N$207, 0), MATCH(D$256, $B$195:$M$195, 0)), 0)=0), 1, IFERROR(INDEX($B$196:$M$207, MATCH($N258, $N$196:$N$207, 0), MATCH(D$256, $B$195:$M$195, 0)), 0)))</f>
        <v>3898.3740024793688</v>
      </c>
      <c r="E258" s="138">
        <f t="shared" si="32"/>
        <v>-1423.0249470757706</v>
      </c>
      <c r="F258" s="138">
        <f t="shared" si="32"/>
        <v>-474.34164902525674</v>
      </c>
      <c r="G258" s="138">
        <f t="shared" si="32"/>
        <v>0</v>
      </c>
      <c r="H258" s="138">
        <f t="shared" si="32"/>
        <v>0</v>
      </c>
      <c r="I258" s="138">
        <f t="shared" si="32"/>
        <v>0</v>
      </c>
      <c r="J258" s="138">
        <f t="shared" si="32"/>
        <v>0</v>
      </c>
      <c r="K258" s="138">
        <f t="shared" si="32"/>
        <v>0</v>
      </c>
      <c r="L258" s="13" t="s">
        <v>251</v>
      </c>
      <c r="M258" s="150" t="str">
        <f>IFERROR(INDEX(B$225:B$236, MATCH(2, F$225:F$236, 0)), "-")</f>
        <v>D1Y</v>
      </c>
      <c r="N258" s="134" t="str">
        <f>IFERROR(INDEX(C$225:C$236, MATCH(2, F$225:F$236, 0)), "-")</f>
        <v>U1Y</v>
      </c>
      <c r="Z258" s="188" t="s">
        <v>261</v>
      </c>
      <c r="AA258" s="188"/>
      <c r="AB258" s="188"/>
      <c r="AC258" s="188"/>
      <c r="AD258" s="188"/>
      <c r="AE258" s="188"/>
    </row>
    <row r="259" spans="1:31" ht="16.95" customHeight="1" x14ac:dyDescent="0.3">
      <c r="A259" s="138">
        <f t="shared" si="31"/>
        <v>2000</v>
      </c>
      <c r="C259" s="138">
        <f t="shared" si="33"/>
        <v>-4269.0748412273124</v>
      </c>
      <c r="D259" s="138">
        <f t="shared" si="33"/>
        <v>-1423.0249470757706</v>
      </c>
      <c r="E259" s="138">
        <f>IF(OR($N259="-", E$256="-"), 1, IF(OR(IFERROR(INDEX($B$196:$M$207, MATCH($N259, $N$196:$N$207, 0), MATCH($N259, $B$195:$M$195, 0)), 0)=0, IFERROR(INDEX($B$196:$M$207, MATCH(E$256, $N$196:$N$207, 0), MATCH(E$256, $B$195:$M$195, 0)), 0)=0), 1, IFERROR(INDEX($B$196:$M$207, MATCH($N259, $N$196:$N$207, 0), MATCH(E$256, $B$195:$M$195, 0)), 0)))</f>
        <v>6663.416490252569</v>
      </c>
      <c r="F259" s="138">
        <f t="shared" si="32"/>
        <v>1406.0498941515409</v>
      </c>
      <c r="G259" s="138">
        <f t="shared" si="32"/>
        <v>-474.34164902525674</v>
      </c>
      <c r="H259" s="138">
        <f t="shared" si="32"/>
        <v>0</v>
      </c>
      <c r="I259" s="138">
        <f t="shared" si="32"/>
        <v>0</v>
      </c>
      <c r="J259" s="138">
        <f t="shared" si="32"/>
        <v>0</v>
      </c>
      <c r="K259" s="138">
        <f t="shared" si="32"/>
        <v>0</v>
      </c>
      <c r="L259" s="13" t="s">
        <v>251</v>
      </c>
      <c r="M259" s="150" t="str">
        <f>IFERROR(INDEX(B$225:B$236, MATCH(3, F$225:F$236, 0)), "-")</f>
        <v>D2X</v>
      </c>
      <c r="N259" s="134" t="str">
        <f>IFERROR(INDEX(C$225:C$236, MATCH(3, F$225:F$236, 0)), "-")</f>
        <v>U2X</v>
      </c>
      <c r="Z259" s="188" t="s">
        <v>262</v>
      </c>
      <c r="AA259" s="188"/>
      <c r="AB259" s="188"/>
      <c r="AC259" s="188"/>
      <c r="AD259" s="188"/>
      <c r="AE259" s="188"/>
    </row>
    <row r="260" spans="1:31" ht="16.95" customHeight="1" x14ac:dyDescent="0.3">
      <c r="A260" s="138">
        <f t="shared" si="31"/>
        <v>-1000</v>
      </c>
      <c r="C260" s="138">
        <f t="shared" si="33"/>
        <v>-1423.0249470757706</v>
      </c>
      <c r="D260" s="138">
        <f t="shared" si="33"/>
        <v>-474.34164902525674</v>
      </c>
      <c r="E260" s="138">
        <f t="shared" si="33"/>
        <v>1406.0498941515409</v>
      </c>
      <c r="F260" s="138">
        <f>IF(OR($N260="-", F$256="-"), 1, IF(OR(IFERROR(INDEX($B$196:$M$207, MATCH($N260, $N$196:$N$207, 0), MATCH($N260, $B$195:$M$195, 0)), 0)=0, IFERROR(INDEX($B$196:$M$207, MATCH(F$256, $N$196:$N$207, 0), MATCH(F$256, $B$195:$M$195, 0)), 0)=0), 1, IFERROR(INDEX($B$196:$M$207, MATCH($N260, $N$196:$N$207, 0), MATCH(F$256, $B$195:$M$195, 0)), 0)))</f>
        <v>5823.416490252569</v>
      </c>
      <c r="G260" s="138">
        <f>IF(OR($N260="-", G$256="-"), 0, IF(OR(IFERROR(INDEX($B$196:$M$207, MATCH($N260, $N$196:$N$207, 0), MATCH($N260, $B$195:$M$195, 0)), 0)=0, IFERROR(INDEX($B$196:$M$207, MATCH(G$256, $N$196:$N$207, 0), MATCH(G$256, $B$195:$M$195, 0)), 0)=0), 0, IFERROR(INDEX($B$196:$M$207, MATCH($N260, $N$196:$N$207, 0), MATCH(G$256, $B$195:$M$195, 0)), 0)))</f>
        <v>-1423.0249470757703</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50" t="str">
        <f>IFERROR(INDEX(B$225:B$236, MATCH(4, F$225:F$236, 0)), "-")</f>
        <v>D2Y</v>
      </c>
      <c r="N260" s="134" t="str">
        <f>IFERROR(INDEX(C$225:C$236, MATCH(4, F$225:F$236, 0)), "-")</f>
        <v>U2Y</v>
      </c>
      <c r="Z260" s="188"/>
      <c r="AA260" s="188"/>
      <c r="AB260" s="188"/>
      <c r="AC260" s="188"/>
      <c r="AD260" s="188"/>
      <c r="AE260" s="188"/>
    </row>
    <row r="261" spans="1:31" ht="16.95" customHeight="1" x14ac:dyDescent="0.3">
      <c r="A261" s="138">
        <f t="shared" si="31"/>
        <v>0</v>
      </c>
      <c r="B261" s="13" t="s">
        <v>220</v>
      </c>
      <c r="C261" s="138">
        <f t="shared" si="33"/>
        <v>0</v>
      </c>
      <c r="D261" s="138">
        <f t="shared" si="33"/>
        <v>0</v>
      </c>
      <c r="E261" s="138">
        <f t="shared" si="33"/>
        <v>-474.34164902525674</v>
      </c>
      <c r="F261" s="138">
        <f>IF(OR($N261="-", F$256="-"), 0, IF(OR(IFERROR(INDEX($B$196:$M$207, MATCH($N261, $N$196:$N$207, 0), MATCH($N261, $B$195:$M$195, 0)), 0)=0, IFERROR(INDEX($B$196:$M$207, MATCH(F$256, $N$196:$N$207, 0), MATCH(F$256, $B$195:$M$195, 0)), 0)=0), 0, IFERROR(INDEX($B$196:$M$207, MATCH($N261, $N$196:$N$207, 0), MATCH(F$256, $B$195:$M$195, 0)), 0)))</f>
        <v>-1423.0249470757703</v>
      </c>
      <c r="G261" s="138">
        <f>IF(OR($N261="-", G$256="-"), 1, IF(OR(IFERROR(INDEX($B$196:$M$207, MATCH($N261, $N$196:$N$207, 0), MATCH($N261, $B$195:$M$195, 0)), 0)=0, IFERROR(INDEX($B$196:$M$207, MATCH(G$256, $N$196:$N$207, 0), MATCH(G$256, $B$195:$M$195, 0)), 0)=0), 1, IFERROR(INDEX($B$196:$M$207, MATCH($N261, $N$196:$N$207, 0), MATCH(G$256, $B$195:$M$195, 0)), 0)))</f>
        <v>3474.3416490252566</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50" t="str">
        <f>IFERROR(INDEX(B$225:B$236, MATCH(5, F$225:F$236, 0)), "-")</f>
        <v>D3X</v>
      </c>
      <c r="N261" s="134" t="str">
        <f>IFERROR(INDEX(C$225:C$236, MATCH(5, F$225:F$236, 0)), "-")</f>
        <v>U3X</v>
      </c>
      <c r="Z261" s="188"/>
      <c r="AA261" s="188"/>
      <c r="AB261" s="188"/>
      <c r="AC261" s="188"/>
      <c r="AD261" s="188"/>
      <c r="AE261" s="188"/>
    </row>
    <row r="262" spans="1:31" ht="16.95" customHeight="1" x14ac:dyDescent="0.3">
      <c r="A262" s="138">
        <f t="shared" si="31"/>
        <v>0</v>
      </c>
      <c r="C262" s="138">
        <f t="shared" si="33"/>
        <v>0</v>
      </c>
      <c r="D262" s="138">
        <f t="shared" si="33"/>
        <v>0</v>
      </c>
      <c r="E262" s="138">
        <f t="shared" si="33"/>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50" t="str">
        <f>IFERROR(INDEX(B$225:B$236, MATCH(6, F$225:F$236, 0)), "-")</f>
        <v>-</v>
      </c>
      <c r="N262" s="134" t="str">
        <f>IFERROR(INDEX(C$225:C$236, MATCH(6, F$225:F$236, 0)), "-")</f>
        <v>-</v>
      </c>
      <c r="Z262" s="188"/>
      <c r="AA262" s="188"/>
      <c r="AB262" s="188"/>
      <c r="AC262" s="188"/>
      <c r="AD262" s="188"/>
      <c r="AE262" s="188"/>
    </row>
    <row r="263" spans="1:31" ht="16.95" customHeight="1" x14ac:dyDescent="0.3">
      <c r="A263" s="138">
        <f t="shared" si="31"/>
        <v>0</v>
      </c>
      <c r="C263" s="138">
        <f t="shared" si="33"/>
        <v>0</v>
      </c>
      <c r="D263" s="138">
        <f t="shared" si="33"/>
        <v>0</v>
      </c>
      <c r="E263" s="138">
        <f t="shared" si="33"/>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50" t="str">
        <f>IFERROR(INDEX(B$225:B$236, MATCH(7, F$225:F$236, 0)), "-")</f>
        <v>-</v>
      </c>
      <c r="N263" s="134" t="str">
        <f>IFERROR(INDEX(C$225:C$236, MATCH(7, F$225:F$236, 0)), "-")</f>
        <v>-</v>
      </c>
      <c r="Z263" s="188"/>
      <c r="AA263" s="188"/>
      <c r="AB263" s="188"/>
      <c r="AC263" s="188"/>
      <c r="AD263" s="188"/>
      <c r="AE263" s="188"/>
    </row>
    <row r="264" spans="1:31" ht="16.95" customHeight="1" x14ac:dyDescent="0.3">
      <c r="A264" s="138">
        <f t="shared" si="31"/>
        <v>0</v>
      </c>
      <c r="C264" s="138">
        <f t="shared" si="33"/>
        <v>0</v>
      </c>
      <c r="D264" s="138">
        <f t="shared" si="33"/>
        <v>0</v>
      </c>
      <c r="E264" s="138">
        <f t="shared" si="33"/>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50" t="str">
        <f>IFERROR(INDEX(B$225:B$236, MATCH(8, F$225:F$236, 0)), "-")</f>
        <v>-</v>
      </c>
      <c r="N264" s="134" t="str">
        <f>IFERROR(INDEX(C$225:C$236, MATCH(8, F$225:F$236, 0)), "-")</f>
        <v>-</v>
      </c>
      <c r="Z264" s="188"/>
      <c r="AA264" s="188"/>
      <c r="AB264" s="188"/>
      <c r="AC264" s="188"/>
      <c r="AD264" s="188"/>
      <c r="AE264" s="188"/>
    </row>
    <row r="265" spans="1:31" ht="16.95" customHeight="1" x14ac:dyDescent="0.3">
      <c r="A265" s="138">
        <f t="shared" si="31"/>
        <v>0</v>
      </c>
      <c r="C265" s="138">
        <f t="shared" si="33"/>
        <v>0</v>
      </c>
      <c r="D265" s="138">
        <f t="shared" si="33"/>
        <v>0</v>
      </c>
      <c r="E265" s="138">
        <f t="shared" si="33"/>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50" t="str">
        <f>IFERROR(INDEX(B$225:B$236, MATCH(9, F$225:F$236, 0)), "-")</f>
        <v>-</v>
      </c>
      <c r="N265" s="134" t="str">
        <f>IFERROR(INDEX(C$225:C$236, MATCH(9, F$225:F$236, 0)), "-")</f>
        <v>-</v>
      </c>
      <c r="Z265" s="188"/>
      <c r="AA265" s="188"/>
      <c r="AB265" s="188"/>
      <c r="AC265" s="188"/>
      <c r="AD265" s="188"/>
      <c r="AE265" s="188"/>
    </row>
    <row r="266" spans="1:31" ht="16.95" customHeight="1" x14ac:dyDescent="0.3">
      <c r="Z266" s="188"/>
      <c r="AA266" s="188"/>
      <c r="AB266" s="188"/>
      <c r="AC266" s="188"/>
      <c r="AD266" s="188"/>
      <c r="AE266" s="188"/>
    </row>
    <row r="267" spans="1:31" ht="16.95" customHeight="1" x14ac:dyDescent="0.3">
      <c r="C267" s="190" t="s">
        <v>263</v>
      </c>
      <c r="D267" s="190"/>
      <c r="E267" s="190"/>
      <c r="F267" s="190"/>
      <c r="G267" s="190"/>
      <c r="H267" s="190"/>
      <c r="I267" s="190"/>
      <c r="J267" s="190"/>
      <c r="K267" s="190"/>
      <c r="Z267" s="188"/>
      <c r="AA267" s="188"/>
      <c r="AB267" s="188"/>
      <c r="AC267" s="188"/>
      <c r="AD267" s="188"/>
      <c r="AE267" s="188"/>
    </row>
    <row r="268" spans="1:31" ht="16.95" customHeight="1" x14ac:dyDescent="0.3">
      <c r="A268" s="151" t="s">
        <v>249</v>
      </c>
      <c r="C268" s="193" t="s">
        <v>264</v>
      </c>
      <c r="D268" s="175"/>
      <c r="E268" s="175"/>
      <c r="F268" s="175"/>
      <c r="G268" s="175"/>
      <c r="H268" s="175"/>
      <c r="I268" s="175"/>
      <c r="J268" s="175"/>
      <c r="K268" s="175"/>
      <c r="M268" s="151" t="s">
        <v>247</v>
      </c>
      <c r="Z268" s="188"/>
      <c r="AA268" s="188"/>
      <c r="AB268" s="188"/>
      <c r="AC268" s="188"/>
      <c r="AD268" s="188"/>
      <c r="AE268" s="188"/>
    </row>
    <row r="269" spans="1:31" ht="16.95" customHeight="1" x14ac:dyDescent="0.3">
      <c r="A269" s="132" t="str">
        <f t="shared" ref="A269:A277" si="34">M257</f>
        <v>D1X</v>
      </c>
      <c r="C269" s="139">
        <f t="array" ref="C269:K277">MINVERSE(C257:K265)</f>
        <v>6.2527435935130792E-4</v>
      </c>
      <c r="D269" s="139">
        <v>6.6456031330775392E-5</v>
      </c>
      <c r="E269" s="139">
        <v>4.0371859031026038E-4</v>
      </c>
      <c r="F269" s="139">
        <v>8.2450997906557936E-5</v>
      </c>
      <c r="G269" s="139">
        <v>8.8888888888888866E-5</v>
      </c>
      <c r="H269" s="139">
        <v>0</v>
      </c>
      <c r="I269" s="139">
        <v>0</v>
      </c>
      <c r="J269" s="139">
        <v>0</v>
      </c>
      <c r="K269" s="139">
        <v>0</v>
      </c>
      <c r="M269" s="137">
        <f t="shared" ref="M269:M277" si="35">A257</f>
        <v>1000</v>
      </c>
      <c r="Z269" s="188"/>
      <c r="AA269" s="188"/>
      <c r="AB269" s="188"/>
      <c r="AC269" s="188"/>
      <c r="AD269" s="188"/>
      <c r="AE269" s="188"/>
    </row>
    <row r="270" spans="1:31" ht="16.95" customHeight="1" x14ac:dyDescent="0.3">
      <c r="A270" s="132" t="str">
        <f t="shared" si="34"/>
        <v>D1Y</v>
      </c>
      <c r="C270" s="139">
        <v>6.6456031330775392E-5</v>
      </c>
      <c r="D270" s="139">
        <v>2.8620168335384864E-4</v>
      </c>
      <c r="E270" s="139">
        <v>1.0092964757756509E-4</v>
      </c>
      <c r="F270" s="139">
        <v>2.0612749476639477E-5</v>
      </c>
      <c r="G270" s="139">
        <v>2.222222222222222E-5</v>
      </c>
      <c r="H270" s="139">
        <v>0</v>
      </c>
      <c r="I270" s="139">
        <v>0</v>
      </c>
      <c r="J270" s="139">
        <v>0</v>
      </c>
      <c r="K270" s="139">
        <v>0</v>
      </c>
      <c r="M270" s="137">
        <f t="shared" si="35"/>
        <v>-2000</v>
      </c>
      <c r="Z270" s="188"/>
      <c r="AA270" s="188"/>
      <c r="AB270" s="188"/>
      <c r="AC270" s="188"/>
      <c r="AD270" s="188"/>
      <c r="AE270" s="188"/>
    </row>
    <row r="271" spans="1:31" ht="16.95" customHeight="1" x14ac:dyDescent="0.3">
      <c r="A271" s="132" t="str">
        <f t="shared" si="34"/>
        <v>D2X</v>
      </c>
      <c r="C271" s="139">
        <v>4.0371859031026043E-4</v>
      </c>
      <c r="D271" s="139">
        <v>1.0092964757756511E-4</v>
      </c>
      <c r="E271" s="139">
        <v>4.3099407093782351E-4</v>
      </c>
      <c r="F271" s="139">
        <v>1.9103205694875724E-5</v>
      </c>
      <c r="G271" s="139">
        <v>6.6666666666666656E-5</v>
      </c>
      <c r="H271" s="139">
        <v>0</v>
      </c>
      <c r="I271" s="139">
        <v>0</v>
      </c>
      <c r="J271" s="139">
        <v>0</v>
      </c>
      <c r="K271" s="139">
        <v>0</v>
      </c>
      <c r="M271" s="137">
        <f t="shared" si="35"/>
        <v>2000</v>
      </c>
      <c r="Z271" s="188"/>
      <c r="AA271" s="188"/>
      <c r="AB271" s="188"/>
      <c r="AC271" s="188"/>
      <c r="AD271" s="188"/>
      <c r="AE271" s="188"/>
    </row>
    <row r="272" spans="1:31" ht="16.95" customHeight="1" x14ac:dyDescent="0.3">
      <c r="A272" s="132" t="str">
        <f t="shared" si="34"/>
        <v>D2Y</v>
      </c>
      <c r="C272" s="139">
        <v>8.2450997906557922E-5</v>
      </c>
      <c r="D272" s="139">
        <v>2.0612749476639481E-5</v>
      </c>
      <c r="E272" s="139">
        <v>1.910320569487572E-5</v>
      </c>
      <c r="F272" s="139">
        <v>2.106561261116861E-4</v>
      </c>
      <c r="G272" s="139">
        <v>8.8888888888888866E-5</v>
      </c>
      <c r="H272" s="139">
        <v>0</v>
      </c>
      <c r="I272" s="139">
        <v>0</v>
      </c>
      <c r="J272" s="139">
        <v>0</v>
      </c>
      <c r="K272" s="139">
        <v>0</v>
      </c>
      <c r="M272" s="137">
        <f t="shared" si="35"/>
        <v>-1000</v>
      </c>
      <c r="Z272" s="188"/>
      <c r="AA272" s="188"/>
      <c r="AB272" s="188"/>
      <c r="AC272" s="188"/>
      <c r="AD272" s="188"/>
      <c r="AE272" s="188"/>
    </row>
    <row r="273" spans="1:31" ht="16.95" customHeight="1" x14ac:dyDescent="0.3">
      <c r="A273" s="132" t="str">
        <f t="shared" si="34"/>
        <v>D3X</v>
      </c>
      <c r="B273" s="13" t="s">
        <v>220</v>
      </c>
      <c r="C273" s="139">
        <v>8.8888888888888866E-5</v>
      </c>
      <c r="D273" s="139">
        <v>2.2222222222222217E-5</v>
      </c>
      <c r="E273" s="139">
        <v>6.6666666666666656E-5</v>
      </c>
      <c r="F273" s="139">
        <v>8.8888888888888852E-5</v>
      </c>
      <c r="G273" s="139">
        <v>3.3333333333333332E-4</v>
      </c>
      <c r="H273" s="139">
        <v>0</v>
      </c>
      <c r="I273" s="139">
        <v>0</v>
      </c>
      <c r="J273" s="139">
        <v>0</v>
      </c>
      <c r="K273" s="139">
        <v>0</v>
      </c>
      <c r="M273" s="137">
        <f t="shared" si="35"/>
        <v>0</v>
      </c>
      <c r="Z273" s="188"/>
      <c r="AA273" s="188"/>
      <c r="AB273" s="188"/>
      <c r="AC273" s="188"/>
      <c r="AD273" s="188"/>
      <c r="AE273" s="188"/>
    </row>
    <row r="274" spans="1:31" ht="16.95" customHeight="1" x14ac:dyDescent="0.3">
      <c r="A274" s="132" t="str">
        <f t="shared" si="34"/>
        <v>-</v>
      </c>
      <c r="C274" s="139">
        <v>0</v>
      </c>
      <c r="D274" s="139">
        <v>0</v>
      </c>
      <c r="E274" s="139">
        <v>0</v>
      </c>
      <c r="F274" s="139">
        <v>0</v>
      </c>
      <c r="G274" s="139">
        <v>0</v>
      </c>
      <c r="H274" s="139">
        <v>1</v>
      </c>
      <c r="I274" s="139">
        <v>0</v>
      </c>
      <c r="J274" s="139">
        <v>0</v>
      </c>
      <c r="K274" s="139">
        <v>0</v>
      </c>
      <c r="M274" s="137">
        <f t="shared" si="35"/>
        <v>0</v>
      </c>
      <c r="Z274" s="188"/>
      <c r="AA274" s="188"/>
      <c r="AB274" s="188"/>
      <c r="AC274" s="188"/>
      <c r="AD274" s="188"/>
      <c r="AE274" s="188"/>
    </row>
    <row r="275" spans="1:31" ht="16.95" customHeight="1" x14ac:dyDescent="0.3">
      <c r="A275" s="132" t="str">
        <f t="shared" si="34"/>
        <v>-</v>
      </c>
      <c r="C275" s="139">
        <v>0</v>
      </c>
      <c r="D275" s="139">
        <v>0</v>
      </c>
      <c r="E275" s="139">
        <v>0</v>
      </c>
      <c r="F275" s="139">
        <v>0</v>
      </c>
      <c r="G275" s="139">
        <v>0</v>
      </c>
      <c r="H275" s="139">
        <v>0</v>
      </c>
      <c r="I275" s="139">
        <v>1</v>
      </c>
      <c r="J275" s="139">
        <v>0</v>
      </c>
      <c r="K275" s="139">
        <v>0</v>
      </c>
      <c r="M275" s="137">
        <f t="shared" si="35"/>
        <v>0</v>
      </c>
      <c r="Z275" s="188"/>
      <c r="AA275" s="188"/>
      <c r="AB275" s="188"/>
      <c r="AC275" s="188"/>
      <c r="AD275" s="188"/>
      <c r="AE275" s="188"/>
    </row>
    <row r="276" spans="1:31" ht="16.95" customHeight="1" x14ac:dyDescent="0.3">
      <c r="A276" s="132" t="str">
        <f t="shared" si="34"/>
        <v>-</v>
      </c>
      <c r="C276" s="139">
        <v>0</v>
      </c>
      <c r="D276" s="139">
        <v>0</v>
      </c>
      <c r="E276" s="139">
        <v>0</v>
      </c>
      <c r="F276" s="139">
        <v>0</v>
      </c>
      <c r="G276" s="139">
        <v>0</v>
      </c>
      <c r="H276" s="139">
        <v>0</v>
      </c>
      <c r="I276" s="139">
        <v>0</v>
      </c>
      <c r="J276" s="139">
        <v>1</v>
      </c>
      <c r="K276" s="139">
        <v>0</v>
      </c>
      <c r="M276" s="137">
        <f t="shared" si="35"/>
        <v>0</v>
      </c>
      <c r="Z276" s="188"/>
      <c r="AA276" s="188"/>
      <c r="AB276" s="188"/>
      <c r="AC276" s="188"/>
      <c r="AD276" s="188"/>
      <c r="AE276" s="188"/>
    </row>
    <row r="277" spans="1:31" ht="16.95" customHeight="1" x14ac:dyDescent="0.3">
      <c r="A277" s="132" t="str">
        <f t="shared" si="34"/>
        <v>-</v>
      </c>
      <c r="C277" s="139">
        <v>0</v>
      </c>
      <c r="D277" s="139">
        <v>0</v>
      </c>
      <c r="E277" s="139">
        <v>0</v>
      </c>
      <c r="F277" s="139">
        <v>0</v>
      </c>
      <c r="G277" s="139">
        <v>0</v>
      </c>
      <c r="H277" s="139">
        <v>0</v>
      </c>
      <c r="I277" s="139">
        <v>0</v>
      </c>
      <c r="J277" s="139">
        <v>0</v>
      </c>
      <c r="K277" s="139">
        <v>1</v>
      </c>
      <c r="M277" s="137">
        <f t="shared" si="35"/>
        <v>0</v>
      </c>
      <c r="Z277" s="188"/>
      <c r="AA277" s="188"/>
      <c r="AB277" s="188"/>
      <c r="AC277" s="188"/>
      <c r="AD277" s="188"/>
      <c r="AE277" s="188"/>
    </row>
    <row r="278" spans="1:31" ht="16.95" customHeight="1" x14ac:dyDescent="0.3">
      <c r="Z278" s="188"/>
      <c r="AA278" s="188"/>
      <c r="AB278" s="188"/>
      <c r="AC278" s="188"/>
      <c r="AD278" s="188"/>
      <c r="AE278" s="188"/>
    </row>
    <row r="279" spans="1:31" ht="16.95" customHeight="1" x14ac:dyDescent="0.3">
      <c r="C279" s="190" t="s">
        <v>265</v>
      </c>
      <c r="D279" s="190"/>
      <c r="Z279" s="188"/>
      <c r="AA279" s="188"/>
      <c r="AB279" s="188"/>
      <c r="AC279" s="188"/>
      <c r="AD279" s="188"/>
      <c r="AE279" s="188"/>
    </row>
    <row r="280" spans="1:31" ht="16.95" customHeight="1" x14ac:dyDescent="0.3">
      <c r="A280" s="151" t="s">
        <v>249</v>
      </c>
      <c r="C280" s="199" t="s">
        <v>733</v>
      </c>
      <c r="D280" s="199"/>
      <c r="Z280" s="188"/>
      <c r="AA280" s="188"/>
      <c r="AB280" s="188"/>
      <c r="AC280" s="188"/>
      <c r="AD280" s="188"/>
      <c r="AE280" s="188"/>
    </row>
    <row r="281" spans="1:31" ht="16.95" customHeight="1" x14ac:dyDescent="0.3">
      <c r="A281" s="166" t="str">
        <f t="shared" ref="A281:A289" si="36">A269</f>
        <v>D1X</v>
      </c>
      <c r="C281" s="167">
        <f t="array" ref="C281:C289">MMULT(C269:K277, M269:M277)</f>
        <v>1.2173484794037199</v>
      </c>
      <c r="D281" s="132" t="s">
        <v>267</v>
      </c>
      <c r="Z281" s="188"/>
      <c r="AA281" s="188"/>
      <c r="AB281" s="188"/>
      <c r="AC281" s="188"/>
      <c r="AD281" s="188"/>
      <c r="AE281" s="188"/>
    </row>
    <row r="282" spans="1:31" ht="16.95" customHeight="1" x14ac:dyDescent="0.3">
      <c r="A282" s="166" t="str">
        <f t="shared" si="36"/>
        <v>D1Y</v>
      </c>
      <c r="C282" s="167">
        <v>-0.32470078969843125</v>
      </c>
      <c r="D282" s="132" t="s">
        <v>267</v>
      </c>
      <c r="Z282" s="188"/>
      <c r="AA282" s="188"/>
      <c r="AB282" s="188"/>
      <c r="AC282" s="188"/>
      <c r="AD282" s="188"/>
      <c r="AE282" s="188"/>
    </row>
    <row r="283" spans="1:31" ht="16.95" customHeight="1" x14ac:dyDescent="0.3">
      <c r="A283" s="166" t="str">
        <f t="shared" si="36"/>
        <v>D2X</v>
      </c>
      <c r="C283" s="167">
        <v>1.0447442313359014</v>
      </c>
      <c r="D283" s="132" t="s">
        <v>267</v>
      </c>
      <c r="Z283" s="188"/>
      <c r="AA283" s="188"/>
      <c r="AB283" s="188"/>
      <c r="AC283" s="188"/>
      <c r="AD283" s="188"/>
      <c r="AE283" s="188"/>
    </row>
    <row r="284" spans="1:31" ht="16.95" customHeight="1" x14ac:dyDescent="0.3">
      <c r="A284" s="166" t="str">
        <f t="shared" si="36"/>
        <v>D2Y</v>
      </c>
      <c r="C284" s="167">
        <v>-0.1312242157686557</v>
      </c>
      <c r="D284" s="132" t="s">
        <v>267</v>
      </c>
      <c r="Z284" s="188"/>
      <c r="AA284" s="188"/>
      <c r="AB284" s="188"/>
      <c r="AC284" s="188"/>
      <c r="AD284" s="188"/>
      <c r="AE284" s="188"/>
    </row>
    <row r="285" spans="1:31" ht="16.95" customHeight="1" x14ac:dyDescent="0.3">
      <c r="A285" s="166" t="str">
        <f t="shared" si="36"/>
        <v>D3X</v>
      </c>
      <c r="B285" s="13" t="s">
        <v>220</v>
      </c>
      <c r="C285" s="167">
        <v>8.8888888888888878E-2</v>
      </c>
      <c r="D285" s="132" t="s">
        <v>267</v>
      </c>
      <c r="Z285" s="188"/>
      <c r="AA285" s="188"/>
      <c r="AB285" s="188"/>
      <c r="AC285" s="188"/>
      <c r="AD285" s="188"/>
      <c r="AE285" s="188"/>
    </row>
    <row r="286" spans="1:31" ht="16.95" customHeight="1" x14ac:dyDescent="0.3">
      <c r="A286" s="166" t="str">
        <f t="shared" si="36"/>
        <v>-</v>
      </c>
      <c r="C286" s="167">
        <v>0</v>
      </c>
      <c r="D286" s="132" t="s">
        <v>267</v>
      </c>
      <c r="Z286" s="188"/>
      <c r="AA286" s="188"/>
      <c r="AB286" s="188"/>
      <c r="AC286" s="188"/>
      <c r="AD286" s="188"/>
      <c r="AE286" s="188"/>
    </row>
    <row r="287" spans="1:31" ht="16.95" customHeight="1" x14ac:dyDescent="0.3">
      <c r="A287" s="166" t="str">
        <f t="shared" si="36"/>
        <v>-</v>
      </c>
      <c r="C287" s="167">
        <v>0</v>
      </c>
      <c r="D287" s="132" t="s">
        <v>267</v>
      </c>
      <c r="Z287" s="188"/>
      <c r="AA287" s="188"/>
      <c r="AB287" s="188"/>
      <c r="AC287" s="188"/>
      <c r="AD287" s="188"/>
      <c r="AE287" s="188"/>
    </row>
    <row r="288" spans="1:31" ht="16.95" customHeight="1" x14ac:dyDescent="0.3">
      <c r="A288" s="166" t="str">
        <f t="shared" si="36"/>
        <v>-</v>
      </c>
      <c r="C288" s="167">
        <v>0</v>
      </c>
      <c r="D288" s="132" t="s">
        <v>267</v>
      </c>
      <c r="Z288" s="188"/>
      <c r="AA288" s="188"/>
      <c r="AB288" s="188"/>
      <c r="AC288" s="188"/>
      <c r="AD288" s="188"/>
      <c r="AE288" s="188"/>
    </row>
    <row r="289" spans="1:31" ht="16.95" customHeight="1" x14ac:dyDescent="0.3">
      <c r="A289" s="166" t="str">
        <f t="shared" si="36"/>
        <v>-</v>
      </c>
      <c r="C289" s="167">
        <v>0</v>
      </c>
      <c r="D289" s="132" t="s">
        <v>267</v>
      </c>
      <c r="Z289" s="188"/>
      <c r="AA289" s="188"/>
      <c r="AB289" s="188"/>
      <c r="AC289" s="188"/>
      <c r="AD289" s="188"/>
      <c r="AE289" s="188"/>
    </row>
    <row r="292" spans="1:31" ht="19.95" customHeight="1" x14ac:dyDescent="0.35">
      <c r="A292" s="131" t="s">
        <v>268</v>
      </c>
      <c r="Z292" s="189" t="s">
        <v>269</v>
      </c>
      <c r="AA292" s="189"/>
      <c r="AB292" s="189"/>
      <c r="AC292" s="189"/>
      <c r="AD292" s="189"/>
      <c r="AE292" s="189"/>
    </row>
    <row r="293" spans="1:31" ht="16.95" customHeight="1" x14ac:dyDescent="0.3">
      <c r="A293" s="151" t="s">
        <v>247</v>
      </c>
      <c r="M293" s="151" t="s">
        <v>249</v>
      </c>
      <c r="Z293" s="188" t="s">
        <v>270</v>
      </c>
      <c r="AA293" s="188"/>
      <c r="AB293" s="188"/>
      <c r="AC293" s="188"/>
      <c r="AD293" s="188"/>
      <c r="AE293" s="188"/>
    </row>
    <row r="294" spans="1:31" ht="16.95" customHeight="1" x14ac:dyDescent="0.3">
      <c r="A294" s="141" t="str">
        <f>IF($N294="-", "-", IFERROR(INDEX(B$211:B$222, MATCH($N294, C$211:C$222, 0)), "-"))</f>
        <v>C3Y</v>
      </c>
      <c r="C294" s="120">
        <f t="shared" ref="C294:K296" si="37">IF(OR($N294="-", C$256="-"), 0, IFERROR(INDEX($B$196:$M$207, MATCH($N294, $N$196:$N$207, 0), MATCH(C$256, $B$195:$M$195, 0)), 0))</f>
        <v>0</v>
      </c>
      <c r="D294" s="120">
        <f t="shared" si="37"/>
        <v>0</v>
      </c>
      <c r="E294" s="120">
        <f t="shared" si="37"/>
        <v>-1423.0249470757703</v>
      </c>
      <c r="F294" s="120">
        <f t="shared" si="37"/>
        <v>-4269.0748412273124</v>
      </c>
      <c r="G294" s="120">
        <f t="shared" si="37"/>
        <v>1423.0249470757703</v>
      </c>
      <c r="H294" s="120">
        <f t="shared" si="37"/>
        <v>0</v>
      </c>
      <c r="I294" s="120">
        <f t="shared" si="37"/>
        <v>0</v>
      </c>
      <c r="J294" s="120">
        <f t="shared" si="37"/>
        <v>0</v>
      </c>
      <c r="K294" s="120">
        <f t="shared" si="37"/>
        <v>0</v>
      </c>
      <c r="M294" s="142">
        <f t="shared" ref="M294:M302" si="38">C281</f>
        <v>1.2173484794037199</v>
      </c>
      <c r="N294" s="134" t="str">
        <f>IFERROR(INDEX(C$225:C$236, MATCH(1, G$225:G$236, 0)), "-")</f>
        <v>U3Y</v>
      </c>
      <c r="Z294" s="188" t="s">
        <v>271</v>
      </c>
      <c r="AA294" s="188"/>
      <c r="AB294" s="188"/>
      <c r="AC294" s="188"/>
      <c r="AD294" s="188"/>
      <c r="AE294" s="188"/>
    </row>
    <row r="295" spans="1:31" ht="16.95" customHeight="1" x14ac:dyDescent="0.3">
      <c r="A295" s="141" t="str">
        <f>IF($N295="-", "-", IFERROR(INDEX(B$211:B$222, MATCH($N295, C$211:C$222, 0)), "-"))</f>
        <v>C4X</v>
      </c>
      <c r="B295" s="13" t="s">
        <v>220</v>
      </c>
      <c r="C295" s="120">
        <f t="shared" si="37"/>
        <v>-214.00202209088201</v>
      </c>
      <c r="D295" s="120">
        <f t="shared" si="37"/>
        <v>856.00808836352803</v>
      </c>
      <c r="E295" s="120">
        <f t="shared" si="37"/>
        <v>-1920</v>
      </c>
      <c r="F295" s="120">
        <f t="shared" si="37"/>
        <v>1440</v>
      </c>
      <c r="G295" s="120">
        <f t="shared" si="37"/>
        <v>-3000</v>
      </c>
      <c r="H295" s="120">
        <f t="shared" si="37"/>
        <v>0</v>
      </c>
      <c r="I295" s="120">
        <f t="shared" si="37"/>
        <v>0</v>
      </c>
      <c r="J295" s="120">
        <f t="shared" si="37"/>
        <v>0</v>
      </c>
      <c r="K295" s="120">
        <f t="shared" si="37"/>
        <v>0</v>
      </c>
      <c r="M295" s="142">
        <f t="shared" si="38"/>
        <v>-0.32470078969843125</v>
      </c>
      <c r="N295" s="134" t="str">
        <f>IFERROR(INDEX(C$225:C$236, MATCH(2, G$225:G$236, 0)), "-")</f>
        <v>U4X</v>
      </c>
      <c r="Z295" s="188" t="s">
        <v>272</v>
      </c>
      <c r="AA295" s="188"/>
      <c r="AB295" s="188"/>
      <c r="AC295" s="188"/>
      <c r="AD295" s="188"/>
      <c r="AE295" s="188"/>
    </row>
    <row r="296" spans="1:31" ht="16.95" customHeight="1" x14ac:dyDescent="0.3">
      <c r="A296" s="141" t="str">
        <f>IF($N296="-", "-", IFERROR(INDEX(B$211:B$222, MATCH($N296, C$211:C$222, 0)), "-"))</f>
        <v>C4Y</v>
      </c>
      <c r="C296" s="120">
        <f t="shared" si="37"/>
        <v>856.00808836352803</v>
      </c>
      <c r="D296" s="120">
        <f t="shared" si="37"/>
        <v>-3424.0323534541121</v>
      </c>
      <c r="E296" s="120">
        <f t="shared" si="37"/>
        <v>1440</v>
      </c>
      <c r="F296" s="120">
        <f t="shared" si="37"/>
        <v>-1080</v>
      </c>
      <c r="G296" s="120">
        <f t="shared" si="37"/>
        <v>0</v>
      </c>
      <c r="H296" s="120">
        <f t="shared" si="37"/>
        <v>0</v>
      </c>
      <c r="I296" s="120">
        <f t="shared" si="37"/>
        <v>0</v>
      </c>
      <c r="J296" s="120">
        <f t="shared" si="37"/>
        <v>0</v>
      </c>
      <c r="K296" s="120">
        <f t="shared" si="37"/>
        <v>0</v>
      </c>
      <c r="M296" s="142">
        <f t="shared" si="38"/>
        <v>1.0447442313359014</v>
      </c>
      <c r="N296" s="134" t="str">
        <f>IFERROR(INDEX(C$225:C$236, MATCH(3, G$225:G$236, 0)), "-")</f>
        <v>U4Y</v>
      </c>
      <c r="Z296" s="188"/>
      <c r="AA296" s="188"/>
      <c r="AB296" s="188"/>
      <c r="AC296" s="188"/>
      <c r="AD296" s="188"/>
      <c r="AE296" s="188"/>
    </row>
    <row r="297" spans="1:31" ht="16.95" customHeight="1" x14ac:dyDescent="0.3">
      <c r="M297" s="142">
        <f t="shared" si="38"/>
        <v>-0.1312242157686557</v>
      </c>
      <c r="Z297" s="188"/>
      <c r="AA297" s="188"/>
      <c r="AB297" s="188"/>
      <c r="AC297" s="188"/>
      <c r="AD297" s="188"/>
      <c r="AE297" s="188"/>
    </row>
    <row r="298" spans="1:31" ht="16.95" customHeight="1" x14ac:dyDescent="0.3">
      <c r="M298" s="142">
        <f t="shared" si="38"/>
        <v>8.8888888888888878E-2</v>
      </c>
      <c r="Z298" s="188"/>
      <c r="AA298" s="188"/>
      <c r="AB298" s="188"/>
      <c r="AC298" s="188"/>
      <c r="AD298" s="188"/>
      <c r="AE298" s="188"/>
    </row>
    <row r="299" spans="1:31" ht="16.95" customHeight="1" x14ac:dyDescent="0.3">
      <c r="M299" s="142">
        <f t="shared" si="38"/>
        <v>0</v>
      </c>
      <c r="Z299" s="188"/>
      <c r="AA299" s="188"/>
      <c r="AB299" s="188"/>
      <c r="AC299" s="188"/>
      <c r="AD299" s="188"/>
      <c r="AE299" s="188"/>
    </row>
    <row r="300" spans="1:31" ht="16.95" customHeight="1" x14ac:dyDescent="0.3">
      <c r="M300" s="142">
        <f t="shared" si="38"/>
        <v>0</v>
      </c>
      <c r="Z300" s="188"/>
      <c r="AA300" s="188"/>
      <c r="AB300" s="188"/>
      <c r="AC300" s="188"/>
      <c r="AD300" s="188"/>
      <c r="AE300" s="188"/>
    </row>
    <row r="301" spans="1:31" ht="16.95" customHeight="1" x14ac:dyDescent="0.3">
      <c r="M301" s="142">
        <f t="shared" si="38"/>
        <v>0</v>
      </c>
      <c r="Z301" s="188"/>
      <c r="AA301" s="188"/>
      <c r="AB301" s="188"/>
      <c r="AC301" s="188"/>
      <c r="AD301" s="188"/>
      <c r="AE301" s="188"/>
    </row>
    <row r="302" spans="1:31" ht="16.95" customHeight="1" x14ac:dyDescent="0.3">
      <c r="M302" s="142">
        <f t="shared" si="38"/>
        <v>0</v>
      </c>
      <c r="Z302" s="188"/>
      <c r="AA302" s="188"/>
      <c r="AB302" s="188"/>
      <c r="AC302" s="188"/>
      <c r="AD302" s="188"/>
      <c r="AE302" s="188"/>
    </row>
    <row r="303" spans="1:31" ht="16.95" customHeight="1" x14ac:dyDescent="0.3">
      <c r="Z303" s="188"/>
      <c r="AA303" s="188"/>
      <c r="AB303" s="188"/>
      <c r="AC303" s="188"/>
      <c r="AD303" s="188"/>
      <c r="AE303" s="188"/>
    </row>
    <row r="304" spans="1:31" ht="16.95" customHeight="1" x14ac:dyDescent="0.3">
      <c r="A304" s="132" t="str">
        <f>A294</f>
        <v>C3Y</v>
      </c>
      <c r="C304" s="168">
        <f t="array" ref="C304:C306">MMULT(C294:K296, M294:M302)</f>
        <v>-800</v>
      </c>
      <c r="D304" s="132" t="s">
        <v>273</v>
      </c>
      <c r="Z304" s="188"/>
      <c r="AA304" s="188"/>
      <c r="AB304" s="188"/>
      <c r="AC304" s="188"/>
      <c r="AD304" s="188"/>
      <c r="AE304" s="188"/>
    </row>
    <row r="305" spans="1:31" ht="16.95" customHeight="1" x14ac:dyDescent="0.3">
      <c r="A305" s="132" t="str">
        <f>A295</f>
        <v>C4X</v>
      </c>
      <c r="B305" s="13" t="s">
        <v>220</v>
      </c>
      <c r="C305" s="168">
        <v>-3000</v>
      </c>
      <c r="D305" s="132" t="s">
        <v>273</v>
      </c>
      <c r="Z305" s="188"/>
      <c r="AA305" s="188"/>
      <c r="AB305" s="188"/>
      <c r="AC305" s="188"/>
      <c r="AD305" s="188"/>
      <c r="AE305" s="188"/>
    </row>
    <row r="306" spans="1:31" ht="16.95" customHeight="1" x14ac:dyDescent="0.3">
      <c r="A306" s="132" t="str">
        <f>A296</f>
        <v>C4Y</v>
      </c>
      <c r="C306" s="168">
        <v>3800.0000000000005</v>
      </c>
      <c r="D306" s="132" t="s">
        <v>273</v>
      </c>
      <c r="Z306" s="188"/>
      <c r="AA306" s="188"/>
      <c r="AB306" s="188"/>
      <c r="AC306" s="188"/>
      <c r="AD306" s="188"/>
      <c r="AE306" s="188"/>
    </row>
    <row r="309" spans="1:31" ht="19.95" customHeight="1" x14ac:dyDescent="0.35">
      <c r="A309" s="131" t="s">
        <v>274</v>
      </c>
    </row>
    <row r="311" spans="1:31" ht="19.05" customHeight="1" x14ac:dyDescent="0.3">
      <c r="A311" s="132" t="s">
        <v>228</v>
      </c>
      <c r="B311" s="132" t="s">
        <v>178</v>
      </c>
      <c r="D311" s="170">
        <f t="shared" ref="D311:D322" si="39">IFERROR(INDEX(C$281:C$289, MATCH(A311, A$281:A$289, 0)), 0)</f>
        <v>1.2173484794037199</v>
      </c>
    </row>
    <row r="312" spans="1:31" ht="19.05" customHeight="1" x14ac:dyDescent="0.3">
      <c r="A312" s="132" t="s">
        <v>229</v>
      </c>
      <c r="B312" s="132" t="s">
        <v>179</v>
      </c>
      <c r="D312" s="170">
        <f t="shared" si="39"/>
        <v>-0.32470078969843125</v>
      </c>
    </row>
    <row r="313" spans="1:31" ht="19.05" customHeight="1" x14ac:dyDescent="0.3">
      <c r="A313" s="132" t="s">
        <v>230</v>
      </c>
      <c r="B313" s="132" t="s">
        <v>180</v>
      </c>
      <c r="D313" s="170">
        <f t="shared" si="39"/>
        <v>1.0447442313359014</v>
      </c>
    </row>
    <row r="314" spans="1:31" ht="19.05" customHeight="1" x14ac:dyDescent="0.3">
      <c r="A314" s="132" t="s">
        <v>231</v>
      </c>
      <c r="B314" s="132" t="s">
        <v>181</v>
      </c>
      <c r="D314" s="170">
        <f t="shared" si="39"/>
        <v>-0.1312242157686557</v>
      </c>
    </row>
    <row r="315" spans="1:31" ht="19.05" customHeight="1" x14ac:dyDescent="0.3">
      <c r="A315" s="132" t="s">
        <v>232</v>
      </c>
      <c r="B315" s="132" t="s">
        <v>182</v>
      </c>
      <c r="D315" s="170">
        <f t="shared" si="39"/>
        <v>8.8888888888888878E-2</v>
      </c>
    </row>
    <row r="316" spans="1:31" ht="19.05" customHeight="1" x14ac:dyDescent="0.3">
      <c r="A316" s="132" t="s">
        <v>234</v>
      </c>
      <c r="B316" s="132" t="s">
        <v>183</v>
      </c>
      <c r="D316" s="140">
        <f t="shared" si="39"/>
        <v>0</v>
      </c>
    </row>
    <row r="317" spans="1:31" ht="19.05" customHeight="1" x14ac:dyDescent="0.3">
      <c r="A317" s="132" t="s">
        <v>235</v>
      </c>
      <c r="B317" s="132" t="s">
        <v>184</v>
      </c>
      <c r="D317" s="140">
        <f t="shared" si="39"/>
        <v>0</v>
      </c>
    </row>
    <row r="318" spans="1:31" ht="19.05" customHeight="1" x14ac:dyDescent="0.3">
      <c r="A318" s="132" t="s">
        <v>236</v>
      </c>
      <c r="B318" s="132" t="s">
        <v>185</v>
      </c>
      <c r="D318" s="140">
        <f t="shared" si="39"/>
        <v>0</v>
      </c>
    </row>
    <row r="319" spans="1:31" ht="19.05" customHeight="1" x14ac:dyDescent="0.3">
      <c r="A319" s="132" t="s">
        <v>237</v>
      </c>
      <c r="B319" s="132" t="s">
        <v>186</v>
      </c>
      <c r="D319" s="140">
        <f t="shared" si="39"/>
        <v>0</v>
      </c>
    </row>
    <row r="320" spans="1:31" ht="19.05" customHeight="1" x14ac:dyDescent="0.3">
      <c r="A320" s="132" t="s">
        <v>238</v>
      </c>
      <c r="B320" s="132" t="s">
        <v>187</v>
      </c>
      <c r="D320" s="140">
        <f t="shared" si="39"/>
        <v>0</v>
      </c>
    </row>
    <row r="321" spans="1:31" ht="19.05" customHeight="1" x14ac:dyDescent="0.3">
      <c r="A321" s="132" t="s">
        <v>239</v>
      </c>
      <c r="B321" s="132" t="s">
        <v>188</v>
      </c>
      <c r="D321" s="140">
        <f t="shared" si="39"/>
        <v>0</v>
      </c>
    </row>
    <row r="322" spans="1:31" ht="19.05" customHeight="1" x14ac:dyDescent="0.3">
      <c r="A322" s="132" t="s">
        <v>240</v>
      </c>
      <c r="B322" s="132" t="s">
        <v>189</v>
      </c>
      <c r="D322" s="140">
        <f t="shared" si="39"/>
        <v>0</v>
      </c>
    </row>
    <row r="325" spans="1:31" ht="19.95" customHeight="1" x14ac:dyDescent="0.35">
      <c r="A325" s="131" t="s">
        <v>275</v>
      </c>
      <c r="Z325" s="189" t="s">
        <v>276</v>
      </c>
      <c r="AA325" s="189"/>
      <c r="AB325" s="189"/>
      <c r="AC325" s="189"/>
      <c r="AD325" s="189"/>
      <c r="AE325" s="189"/>
    </row>
    <row r="326" spans="1:31" ht="16.95" customHeight="1" x14ac:dyDescent="0.3">
      <c r="Z326" s="188" t="s">
        <v>277</v>
      </c>
      <c r="AA326" s="188"/>
      <c r="AB326" s="188"/>
      <c r="AC326" s="188"/>
      <c r="AD326" s="188"/>
      <c r="AE326" s="188"/>
    </row>
    <row r="327" spans="1:31" ht="16.95" customHeight="1" x14ac:dyDescent="0.3">
      <c r="A327" s="143" t="s">
        <v>278</v>
      </c>
      <c r="C327" s="143" t="s">
        <v>279</v>
      </c>
      <c r="D327" s="143" t="s">
        <v>280</v>
      </c>
      <c r="E327" s="143" t="s">
        <v>279</v>
      </c>
      <c r="F327" s="143" t="s">
        <v>280</v>
      </c>
      <c r="G327" s="143" t="s">
        <v>249</v>
      </c>
      <c r="Z327" s="188" t="s">
        <v>281</v>
      </c>
      <c r="AA327" s="188"/>
      <c r="AB327" s="188"/>
      <c r="AC327" s="188"/>
      <c r="AD327" s="188"/>
      <c r="AE327" s="188"/>
    </row>
    <row r="328" spans="1:31" ht="16.95" customHeight="1" x14ac:dyDescent="0.3">
      <c r="C328" s="143" t="s">
        <v>282</v>
      </c>
      <c r="D328" s="143" t="s">
        <v>282</v>
      </c>
      <c r="E328" s="143" t="s">
        <v>283</v>
      </c>
      <c r="F328" s="143" t="s">
        <v>283</v>
      </c>
      <c r="Z328" s="188" t="s">
        <v>284</v>
      </c>
      <c r="AA328" s="188"/>
      <c r="AB328" s="188"/>
      <c r="AC328" s="188"/>
      <c r="AD328" s="188"/>
      <c r="AE328" s="188"/>
    </row>
    <row r="329" spans="1:31" ht="16.95" customHeight="1" x14ac:dyDescent="0.3">
      <c r="A329" s="137">
        <f>N6</f>
        <v>4743.416490252569</v>
      </c>
      <c r="C329" s="144">
        <f>IF(J6="","", -J6)</f>
        <v>-0.31622776601683789</v>
      </c>
      <c r="D329" s="144">
        <f>IF(K6="","", -K6)</f>
        <v>-0.94868329805051377</v>
      </c>
      <c r="E329" s="144">
        <f>IF(J6="","", J6)</f>
        <v>0.31622776601683789</v>
      </c>
      <c r="F329" s="144">
        <f>IF(K6="","", K6)</f>
        <v>0.94868329805051377</v>
      </c>
      <c r="G329" s="145">
        <f>IF(H329="","", IFERROR(VLOOKUP(H329, A$311:D$322, 4, FALSE), 0))</f>
        <v>8.8888888888888878E-2</v>
      </c>
      <c r="H329" s="132" t="str">
        <f>IF(C17="","", "D" &amp; C17 &amp; "X")</f>
        <v>D3X</v>
      </c>
      <c r="Z329" s="188"/>
      <c r="AA329" s="188"/>
      <c r="AB329" s="188"/>
      <c r="AC329" s="188"/>
      <c r="AD329" s="188"/>
      <c r="AE329" s="188"/>
    </row>
    <row r="330" spans="1:31" ht="16.95" customHeight="1" x14ac:dyDescent="0.3">
      <c r="A330" s="151" t="s">
        <v>285</v>
      </c>
      <c r="B330" s="146">
        <f>IF(OR(A329=0, C17=""), 0, (MMULT(C329:F329, G329:G332)*A329))</f>
        <v>843.27404271156797</v>
      </c>
      <c r="G330" s="145">
        <f>IF(H330="","", IFERROR(VLOOKUP(H330, A$311:D$322, 4, FALSE), 0))</f>
        <v>0</v>
      </c>
      <c r="H330" s="132" t="str">
        <f>IF(C17="","", "D" &amp; C17 &amp; "Y")</f>
        <v>D3Y</v>
      </c>
      <c r="Z330" s="188"/>
      <c r="AA330" s="188"/>
      <c r="AB330" s="188"/>
      <c r="AC330" s="188"/>
      <c r="AD330" s="188"/>
      <c r="AE330" s="188"/>
    </row>
    <row r="331" spans="1:31" ht="16.95" customHeight="1" x14ac:dyDescent="0.3">
      <c r="G331" s="145">
        <f>IF(H331="","", IFERROR(VLOOKUP(H331, A$311:D$322, 4, FALSE), 0))</f>
        <v>1.0447442313359014</v>
      </c>
      <c r="H331" s="132" t="str">
        <f>IF(F17="","", "D" &amp; F17 &amp; "X")</f>
        <v>D2X</v>
      </c>
      <c r="Z331" s="188"/>
      <c r="AA331" s="188"/>
      <c r="AB331" s="188"/>
      <c r="AC331" s="188"/>
      <c r="AD331" s="188"/>
      <c r="AE331" s="188"/>
    </row>
    <row r="332" spans="1:31" ht="16.95" customHeight="1" x14ac:dyDescent="0.3">
      <c r="G332" s="145">
        <f>IF(H332="","", IFERROR(VLOOKUP(H332, A$311:D$322, 4, FALSE), 0))</f>
        <v>-0.1312242157686557</v>
      </c>
      <c r="H332" s="132" t="str">
        <f>IF(F17="","", "D" &amp; F17 &amp; "Y")</f>
        <v>D2Y</v>
      </c>
      <c r="Z332" s="188"/>
      <c r="AA332" s="188"/>
      <c r="AB332" s="188"/>
      <c r="AC332" s="188"/>
      <c r="AD332" s="188"/>
      <c r="AE332" s="188"/>
    </row>
    <row r="333" spans="1:31" ht="16.95" customHeight="1" x14ac:dyDescent="0.3">
      <c r="B333" s="151" t="s">
        <v>273</v>
      </c>
      <c r="C333" s="185" t="str">
        <f>IF(C17="","", IF(B330&gt;0.001,"BARRA A TRACCIÓN (+)",IF(B330&lt;-0.001,"BARRA A COMPRESIÓN (-)","BARRA DE FUERZA NULA")))</f>
        <v>BARRA A TRACCIÓN (+)</v>
      </c>
      <c r="D333" s="185"/>
      <c r="E333" s="185"/>
      <c r="F333" s="185"/>
      <c r="Z333" s="188"/>
      <c r="AA333" s="188"/>
      <c r="AB333" s="188"/>
      <c r="AC333" s="188"/>
      <c r="AD333" s="188"/>
      <c r="AE333" s="188"/>
    </row>
    <row r="334" spans="1:31" ht="16.95" customHeight="1" x14ac:dyDescent="0.3">
      <c r="Z334" s="188"/>
      <c r="AA334" s="188"/>
      <c r="AB334" s="188"/>
      <c r="AC334" s="188"/>
      <c r="AD334" s="188"/>
      <c r="AE334" s="188"/>
    </row>
    <row r="335" spans="1:31" ht="16.95" customHeight="1" x14ac:dyDescent="0.3">
      <c r="A335" s="143" t="s">
        <v>278</v>
      </c>
      <c r="C335" s="143" t="s">
        <v>279</v>
      </c>
      <c r="D335" s="143" t="s">
        <v>280</v>
      </c>
      <c r="E335" s="143" t="s">
        <v>279</v>
      </c>
      <c r="F335" s="143" t="s">
        <v>280</v>
      </c>
      <c r="G335" s="143" t="s">
        <v>249</v>
      </c>
      <c r="Z335" s="188"/>
      <c r="AA335" s="188"/>
      <c r="AB335" s="188"/>
      <c r="AC335" s="188"/>
      <c r="AD335" s="188"/>
      <c r="AE335" s="188"/>
    </row>
    <row r="336" spans="1:31" ht="16.95" customHeight="1" x14ac:dyDescent="0.3">
      <c r="C336" s="143" t="s">
        <v>282</v>
      </c>
      <c r="D336" s="143" t="s">
        <v>282</v>
      </c>
      <c r="E336" s="143" t="s">
        <v>283</v>
      </c>
      <c r="F336" s="143" t="s">
        <v>283</v>
      </c>
      <c r="Z336" s="188"/>
      <c r="AA336" s="188"/>
      <c r="AB336" s="188"/>
      <c r="AC336" s="188"/>
      <c r="AD336" s="188"/>
      <c r="AE336" s="188"/>
    </row>
    <row r="337" spans="1:31" ht="16.95" customHeight="1" x14ac:dyDescent="0.3">
      <c r="A337" s="137">
        <f>N7</f>
        <v>3000</v>
      </c>
      <c r="C337" s="144">
        <f>IF(J7="","", -J7)</f>
        <v>1</v>
      </c>
      <c r="D337" s="144">
        <f>IF(K7="","", -K7)</f>
        <v>0</v>
      </c>
      <c r="E337" s="144">
        <f>IF(J7="","", J7)</f>
        <v>-1</v>
      </c>
      <c r="F337" s="144">
        <f>IF(K7="","", K7)</f>
        <v>0</v>
      </c>
      <c r="G337" s="145">
        <f>IF(H337="","", IFERROR(VLOOKUP(H337, A$311:D$322, 4, FALSE), 0))</f>
        <v>0</v>
      </c>
      <c r="H337" s="132" t="str">
        <f>IF(C18="","", "D" &amp; C18 &amp; "X")</f>
        <v>D4X</v>
      </c>
      <c r="Z337" s="188"/>
      <c r="AA337" s="188"/>
      <c r="AB337" s="188"/>
      <c r="AC337" s="188"/>
      <c r="AD337" s="188"/>
      <c r="AE337" s="188"/>
    </row>
    <row r="338" spans="1:31" ht="16.95" customHeight="1" x14ac:dyDescent="0.3">
      <c r="A338" s="151" t="s">
        <v>286</v>
      </c>
      <c r="B338" s="146">
        <f>IF(OR(A337=0, C18=""), 0, (MMULT(C337:F337, G337:G340)*A337))</f>
        <v>-266.66666666666663</v>
      </c>
      <c r="G338" s="145">
        <f>IF(H338="","", IFERROR(VLOOKUP(H338, A$311:D$322, 4, FALSE), 0))</f>
        <v>0</v>
      </c>
      <c r="H338" s="132" t="str">
        <f>IF(C18="","", "D" &amp; C18 &amp; "Y")</f>
        <v>D4Y</v>
      </c>
      <c r="Z338" s="188"/>
      <c r="AA338" s="188"/>
      <c r="AB338" s="188"/>
      <c r="AC338" s="188"/>
      <c r="AD338" s="188"/>
      <c r="AE338" s="188"/>
    </row>
    <row r="339" spans="1:31" ht="16.95" customHeight="1" x14ac:dyDescent="0.3">
      <c r="G339" s="145">
        <f>IF(H339="","", IFERROR(VLOOKUP(H339, A$311:D$322, 4, FALSE), 0))</f>
        <v>8.8888888888888878E-2</v>
      </c>
      <c r="H339" s="132" t="str">
        <f>IF(F18="","", "D" &amp; F18 &amp; "X")</f>
        <v>D3X</v>
      </c>
      <c r="Z339" s="188"/>
      <c r="AA339" s="188"/>
      <c r="AB339" s="188"/>
      <c r="AC339" s="188"/>
      <c r="AD339" s="188"/>
      <c r="AE339" s="188"/>
    </row>
    <row r="340" spans="1:31" ht="16.95" customHeight="1" x14ac:dyDescent="0.3">
      <c r="G340" s="145">
        <f>IF(H340="","", IFERROR(VLOOKUP(H340, A$311:D$322, 4, FALSE), 0))</f>
        <v>0</v>
      </c>
      <c r="H340" s="132" t="str">
        <f>IF(F18="","", "D" &amp; F18 &amp; "Y")</f>
        <v>D3Y</v>
      </c>
      <c r="Z340" s="188"/>
      <c r="AA340" s="188"/>
      <c r="AB340" s="188"/>
      <c r="AC340" s="188"/>
      <c r="AD340" s="188"/>
      <c r="AE340" s="188"/>
    </row>
    <row r="341" spans="1:31" ht="16.95" customHeight="1" x14ac:dyDescent="0.3">
      <c r="B341" s="151" t="s">
        <v>273</v>
      </c>
      <c r="C341" s="185" t="str">
        <f>IF(C18="","", IF(B338&gt;0.001,"BARRA A TRACCIÓN (+)",IF(B338&lt;-0.001,"BARRA A COMPRESIÓN (-)","BARRA DE FUERZA NULA")))</f>
        <v>BARRA A COMPRESIÓN (-)</v>
      </c>
      <c r="D341" s="185"/>
      <c r="E341" s="185"/>
      <c r="F341" s="185"/>
      <c r="Z341" s="188"/>
      <c r="AA341" s="188"/>
      <c r="AB341" s="188"/>
      <c r="AC341" s="188"/>
      <c r="AD341" s="188"/>
      <c r="AE341" s="188"/>
    </row>
    <row r="342" spans="1:31" ht="16.95" customHeight="1" x14ac:dyDescent="0.3">
      <c r="Z342" s="188"/>
      <c r="AA342" s="188"/>
      <c r="AB342" s="188"/>
      <c r="AC342" s="188"/>
      <c r="AD342" s="188"/>
      <c r="AE342" s="188"/>
    </row>
    <row r="343" spans="1:31" ht="16.95" customHeight="1" x14ac:dyDescent="0.3">
      <c r="A343" s="143" t="s">
        <v>278</v>
      </c>
      <c r="C343" s="143" t="s">
        <v>279</v>
      </c>
      <c r="D343" s="143" t="s">
        <v>280</v>
      </c>
      <c r="E343" s="143" t="s">
        <v>279</v>
      </c>
      <c r="F343" s="143" t="s">
        <v>280</v>
      </c>
      <c r="G343" s="143" t="s">
        <v>249</v>
      </c>
      <c r="Z343" s="188"/>
      <c r="AA343" s="188"/>
      <c r="AB343" s="188"/>
      <c r="AC343" s="188"/>
      <c r="AD343" s="188"/>
      <c r="AE343" s="188"/>
    </row>
    <row r="344" spans="1:31" ht="16.95" customHeight="1" x14ac:dyDescent="0.3">
      <c r="C344" s="143" t="s">
        <v>282</v>
      </c>
      <c r="D344" s="143" t="s">
        <v>282</v>
      </c>
      <c r="E344" s="143" t="s">
        <v>283</v>
      </c>
      <c r="F344" s="143" t="s">
        <v>283</v>
      </c>
      <c r="Z344" s="188"/>
      <c r="AA344" s="188"/>
      <c r="AB344" s="188"/>
      <c r="AC344" s="188"/>
      <c r="AD344" s="188"/>
      <c r="AE344" s="188"/>
    </row>
    <row r="345" spans="1:31" ht="16.95" customHeight="1" x14ac:dyDescent="0.3">
      <c r="A345" s="137">
        <f>N8</f>
        <v>3638.0343755449944</v>
      </c>
      <c r="C345" s="144">
        <f>IF(J8="","", -J8)</f>
        <v>-0.24253562503633297</v>
      </c>
      <c r="D345" s="144">
        <f>IF(K8="","", -K8)</f>
        <v>0.97014250014533188</v>
      </c>
      <c r="E345" s="144">
        <f>IF(J8="","", J8)</f>
        <v>0.24253562503633297</v>
      </c>
      <c r="F345" s="144">
        <f>IF(K8="","", K8)</f>
        <v>-0.97014250014533188</v>
      </c>
      <c r="G345" s="145">
        <f>IF(H345="","", IFERROR(VLOOKUP(H345, A$311:D$322, 4, FALSE), 0))</f>
        <v>1.2173484794037199</v>
      </c>
      <c r="H345" s="132" t="str">
        <f>IF(C19="","", "D" &amp; C19 &amp; "X")</f>
        <v>D1X</v>
      </c>
      <c r="Z345" s="188"/>
      <c r="AA345" s="188"/>
      <c r="AB345" s="188"/>
      <c r="AC345" s="188"/>
      <c r="AD345" s="188"/>
      <c r="AE345" s="188"/>
    </row>
    <row r="346" spans="1:31" ht="16.95" customHeight="1" x14ac:dyDescent="0.3">
      <c r="A346" s="151" t="s">
        <v>287</v>
      </c>
      <c r="B346" s="146">
        <f>IF(OR(A345=0, C19=""), 0, (MMULT(C345:F345, G345:G348)*A345))</f>
        <v>-2220.1337984095103</v>
      </c>
      <c r="G346" s="145">
        <f>IF(H346="","", IFERROR(VLOOKUP(H346, A$311:D$322, 4, FALSE), 0))</f>
        <v>-0.32470078969843125</v>
      </c>
      <c r="H346" s="132" t="str">
        <f>IF(C19="","", "D" &amp; C19 &amp; "Y")</f>
        <v>D1Y</v>
      </c>
      <c r="Z346" s="188"/>
      <c r="AA346" s="188"/>
      <c r="AB346" s="188"/>
      <c r="AC346" s="188"/>
      <c r="AD346" s="188"/>
      <c r="AE346" s="188"/>
    </row>
    <row r="347" spans="1:31" ht="16.95" customHeight="1" x14ac:dyDescent="0.3">
      <c r="G347" s="145">
        <f>IF(H347="","", IFERROR(VLOOKUP(H347, A$311:D$322, 4, FALSE), 0))</f>
        <v>0</v>
      </c>
      <c r="H347" s="132" t="str">
        <f>IF(F19="","", "D" &amp; F19 &amp; "X")</f>
        <v>D4X</v>
      </c>
      <c r="Z347" s="188"/>
      <c r="AA347" s="188"/>
      <c r="AB347" s="188"/>
      <c r="AC347" s="188"/>
      <c r="AD347" s="188"/>
      <c r="AE347" s="188"/>
    </row>
    <row r="348" spans="1:31" ht="16.95" customHeight="1" x14ac:dyDescent="0.3">
      <c r="G348" s="145">
        <f>IF(H348="","", IFERROR(VLOOKUP(H348, A$311:D$322, 4, FALSE), 0))</f>
        <v>0</v>
      </c>
      <c r="H348" s="132" t="str">
        <f>IF(F19="","", "D" &amp; F19 &amp; "Y")</f>
        <v>D4Y</v>
      </c>
      <c r="Z348" s="188"/>
      <c r="AA348" s="188"/>
      <c r="AB348" s="188"/>
      <c r="AC348" s="188"/>
      <c r="AD348" s="188"/>
      <c r="AE348" s="188"/>
    </row>
    <row r="349" spans="1:31" ht="16.95" customHeight="1" x14ac:dyDescent="0.3">
      <c r="B349" s="151" t="s">
        <v>273</v>
      </c>
      <c r="C349" s="185" t="str">
        <f>IF(C19="","", IF(B346&gt;0.001,"BARRA A TRACCIÓN (+)",IF(B346&lt;-0.001,"BARRA A COMPRESIÓN (-)","BARRA DE FUERZA NULA")))</f>
        <v>BARRA A COMPRESIÓN (-)</v>
      </c>
      <c r="D349" s="185"/>
      <c r="E349" s="185"/>
      <c r="F349" s="185"/>
      <c r="Z349" s="188"/>
      <c r="AA349" s="188"/>
      <c r="AB349" s="188"/>
      <c r="AC349" s="188"/>
      <c r="AD349" s="188"/>
      <c r="AE349" s="188"/>
    </row>
    <row r="350" spans="1:31" ht="16.95" customHeight="1" x14ac:dyDescent="0.3">
      <c r="Z350" s="188"/>
      <c r="AA350" s="188"/>
      <c r="AB350" s="188"/>
      <c r="AC350" s="188"/>
      <c r="AD350" s="188"/>
      <c r="AE350" s="188"/>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3000</v>
      </c>
      <c r="C353" s="144">
        <f>IF(J9="","", -J9)</f>
        <v>-0.8</v>
      </c>
      <c r="D353" s="144">
        <f>IF(K9="","", -K9)</f>
        <v>0.6</v>
      </c>
      <c r="E353" s="144">
        <f>IF(J9="","", J9)</f>
        <v>0.8</v>
      </c>
      <c r="F353" s="144">
        <f>IF(K9="","", K9)</f>
        <v>-0.6</v>
      </c>
      <c r="G353" s="145">
        <f>IF(H353="","", IFERROR(VLOOKUP(H353, A$311:D$322, 4, FALSE), 0))</f>
        <v>1.0447442313359014</v>
      </c>
      <c r="H353" s="132" t="str">
        <f>IF(C20="","", "D" &amp; C20 &amp; "X")</f>
        <v>D2X</v>
      </c>
    </row>
    <row r="354" spans="1:8" ht="19.95" customHeight="1" x14ac:dyDescent="0.3">
      <c r="A354" s="151" t="s">
        <v>288</v>
      </c>
      <c r="B354" s="146">
        <f>IF(OR(A353=0, C20=""), 0, (MMULT(C353:F353, G353:G356)*A353))</f>
        <v>-2743.5897435897436</v>
      </c>
      <c r="G354" s="145">
        <f>IF(H354="","", IFERROR(VLOOKUP(H354, A$311:D$322, 4, FALSE), 0))</f>
        <v>-0.1312242157686557</v>
      </c>
      <c r="H354" s="132" t="str">
        <f>IF(C20="","", "D" &amp; C20 &amp; "Y")</f>
        <v>D2Y</v>
      </c>
    </row>
    <row r="355" spans="1:8" ht="19.95" customHeight="1" x14ac:dyDescent="0.3">
      <c r="G355" s="145">
        <f>IF(H355="","", IFERROR(VLOOKUP(H355, A$311:D$322, 4, FALSE), 0))</f>
        <v>0</v>
      </c>
      <c r="H355" s="132" t="str">
        <f>IF(F20="","", "D" &amp; F20 &amp; "X")</f>
        <v>D4X</v>
      </c>
    </row>
    <row r="356" spans="1:8" ht="19.95" customHeight="1" x14ac:dyDescent="0.3">
      <c r="G356" s="145">
        <f>IF(H356="","", IFERROR(VLOOKUP(H356, A$311:D$322, 4, FALSE), 0))</f>
        <v>0</v>
      </c>
      <c r="H356" s="132" t="str">
        <f>IF(F20="","", "D" &amp; F20 &amp; "Y")</f>
        <v>D4Y</v>
      </c>
    </row>
    <row r="357" spans="1:8" ht="19.95" customHeight="1" x14ac:dyDescent="0.3">
      <c r="B357" s="151" t="s">
        <v>273</v>
      </c>
      <c r="C357" s="185" t="str">
        <f>IF(C20="","", IF(B354&gt;0.001,"BARRA A TRACCIÓN (+)",IF(B354&lt;-0.001,"BARRA A COMPRESIÓN (-)","BARRA DE FUERZA NULA")))</f>
        <v>BARRA A COMPRESIÓN (-)</v>
      </c>
      <c r="D357" s="185"/>
      <c r="E357" s="185"/>
      <c r="F357" s="185"/>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4743.416490252569</v>
      </c>
      <c r="C361" s="144">
        <f>IF(J10="","", -J10)</f>
        <v>-0.94868329805051377</v>
      </c>
      <c r="D361" s="144">
        <f>IF(K10="","", -K10)</f>
        <v>-0.31622776601683789</v>
      </c>
      <c r="E361" s="144">
        <f>IF(J10="","", J10)</f>
        <v>0.94868329805051377</v>
      </c>
      <c r="F361" s="144">
        <f>IF(K10="","", K10)</f>
        <v>0.31622776601683789</v>
      </c>
      <c r="G361" s="145">
        <f>IF(H361="","", IFERROR(VLOOKUP(H361, A$311:D$322, 4, FALSE), 0))</f>
        <v>1.0447442313359014</v>
      </c>
      <c r="H361" s="132" t="str">
        <f>IF(C21="","", "D" &amp; C21 &amp; "X")</f>
        <v>D2X</v>
      </c>
    </row>
    <row r="362" spans="1:8" ht="19.95" customHeight="1" x14ac:dyDescent="0.3">
      <c r="A362" s="151" t="s">
        <v>289</v>
      </c>
      <c r="B362" s="146">
        <f>IF(OR(A361=0, C21=""), 0, (MMULT(C361:F361, G361:G364)*A361))</f>
        <v>486.50425541052078</v>
      </c>
      <c r="G362" s="145">
        <f>IF(H362="","", IFERROR(VLOOKUP(H362, A$311:D$322, 4, FALSE), 0))</f>
        <v>-0.1312242157686557</v>
      </c>
      <c r="H362" s="132" t="str">
        <f>IF(C21="","", "D" &amp; C21 &amp; "Y")</f>
        <v>D2Y</v>
      </c>
    </row>
    <row r="363" spans="1:8" ht="19.95" customHeight="1" x14ac:dyDescent="0.3">
      <c r="G363" s="145">
        <f>IF(H363="","", IFERROR(VLOOKUP(H363, A$311:D$322, 4, FALSE), 0))</f>
        <v>1.2173484794037199</v>
      </c>
      <c r="H363" s="132" t="str">
        <f>IF(F21="","", "D" &amp; F21 &amp; "X")</f>
        <v>D1X</v>
      </c>
    </row>
    <row r="364" spans="1:8" ht="19.95" customHeight="1" x14ac:dyDescent="0.3">
      <c r="G364" s="145">
        <f>IF(H364="","", IFERROR(VLOOKUP(H364, A$311:D$322, 4, FALSE), 0))</f>
        <v>-0.32470078969843125</v>
      </c>
      <c r="H364" s="132" t="str">
        <f>IF(F21="","", "D" &amp; F21 &amp; "Y")</f>
        <v>D1Y</v>
      </c>
    </row>
    <row r="365" spans="1:8" ht="19.95" customHeight="1" x14ac:dyDescent="0.3">
      <c r="B365" s="151" t="s">
        <v>273</v>
      </c>
      <c r="C365" s="185" t="str">
        <f>IF(C21="","", IF(B362&gt;0.001,"BARRA A TRACCIÓN (+)",IF(B362&lt;-0.001,"BARRA A COMPRESIÓN (-)","BARRA DE FUERZA NULA")))</f>
        <v>BARRA A TRACCIÓN (+)</v>
      </c>
      <c r="D365" s="185"/>
      <c r="E365" s="185"/>
      <c r="F365" s="185"/>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151"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151" t="s">
        <v>273</v>
      </c>
      <c r="C373" s="185" t="str">
        <f>IF(C22="","", IF(B370&gt;0.001,"BARRA A TRACCIÓN (+)",IF(B370&lt;-0.001,"BARRA A COMPRESIÓN (-)","BARRA DE FUERZA NULA")))</f>
        <v/>
      </c>
      <c r="D373" s="185"/>
      <c r="E373" s="185"/>
      <c r="F373" s="185"/>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151"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151" t="s">
        <v>273</v>
      </c>
      <c r="C381" s="185" t="str">
        <f>IF(C23="","", IF(B378&gt;0.001,"BARRA A TRACCIÓN (+)",IF(B378&lt;-0.001,"BARRA A COMPRESIÓN (-)","BARRA DE FUERZA NULA")))</f>
        <v/>
      </c>
      <c r="D381" s="185"/>
      <c r="E381" s="185"/>
      <c r="F381" s="185"/>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151"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151" t="s">
        <v>273</v>
      </c>
      <c r="C389" s="185" t="str">
        <f>IF(C24="","", IF(B386&gt;0.001,"BARRA A TRACCIÓN (+)",IF(B386&lt;-0.001,"BARRA A COMPRESIÓN (-)","BARRA DE FUERZA NULA")))</f>
        <v/>
      </c>
      <c r="D389" s="185"/>
      <c r="E389" s="185"/>
      <c r="F389" s="185"/>
    </row>
    <row r="392" spans="1:8" ht="22.05" customHeight="1" x14ac:dyDescent="0.3">
      <c r="B392" s="194" t="s">
        <v>293</v>
      </c>
      <c r="C392" s="175"/>
      <c r="D392" s="175"/>
      <c r="E392" s="175"/>
      <c r="F392" s="175"/>
      <c r="G392" s="175"/>
      <c r="H392" s="175"/>
    </row>
    <row r="393" spans="1:8" ht="46.2" customHeight="1" x14ac:dyDescent="0.3">
      <c r="B393" s="148" t="s">
        <v>294</v>
      </c>
      <c r="C393" s="148" t="s">
        <v>295</v>
      </c>
      <c r="D393" s="148" t="s">
        <v>296</v>
      </c>
      <c r="E393" s="148" t="s">
        <v>297</v>
      </c>
      <c r="F393" s="148" t="s">
        <v>298</v>
      </c>
      <c r="G393" s="148" t="s">
        <v>299</v>
      </c>
      <c r="H393" s="148" t="s">
        <v>300</v>
      </c>
    </row>
    <row r="394" spans="1:8" ht="27.6" customHeight="1" x14ac:dyDescent="0.3">
      <c r="B394" s="102">
        <f>IF(C17="","", 1)</f>
        <v>1</v>
      </c>
      <c r="C394" s="108">
        <f t="shared" ref="C394:C401" si="40">IF(C17="","", C17)</f>
        <v>3</v>
      </c>
      <c r="D394" s="108">
        <f t="shared" ref="D394:D401" si="41">IF(F17="","", F17)</f>
        <v>2</v>
      </c>
      <c r="E394" s="120">
        <f t="shared" ref="E394:E401" si="42">IF(I6="","", I6)</f>
        <v>632.45553203367592</v>
      </c>
      <c r="F394" s="120">
        <f t="shared" ref="F394:F401" si="43">IF(C17="","", L6)</f>
        <v>20</v>
      </c>
      <c r="G394" s="146">
        <f>IF(C17="","", B330)</f>
        <v>843.27404271156797</v>
      </c>
      <c r="H394" s="150" t="str">
        <f>IF(C17="","", C333)</f>
        <v>BARRA A TRACCIÓN (+)</v>
      </c>
    </row>
    <row r="395" spans="1:8" ht="27.6" customHeight="1" x14ac:dyDescent="0.3">
      <c r="B395" s="150">
        <f>IF(C18="","", 2)</f>
        <v>2</v>
      </c>
      <c r="C395" s="108">
        <f t="shared" si="40"/>
        <v>4</v>
      </c>
      <c r="D395" s="108">
        <f t="shared" si="41"/>
        <v>3</v>
      </c>
      <c r="E395" s="120">
        <f t="shared" si="42"/>
        <v>1000</v>
      </c>
      <c r="F395" s="120">
        <f t="shared" si="43"/>
        <v>20</v>
      </c>
      <c r="G395" s="146">
        <f>IF(C18="","", B338)</f>
        <v>-266.66666666666663</v>
      </c>
      <c r="H395" s="150" t="str">
        <f>IF(C18="","", C341)</f>
        <v>BARRA A COMPRESIÓN (-)</v>
      </c>
    </row>
    <row r="396" spans="1:8" ht="27.6" customHeight="1" x14ac:dyDescent="0.3">
      <c r="B396" s="111">
        <f>IF(C19="","", 3)</f>
        <v>3</v>
      </c>
      <c r="C396" s="108">
        <f t="shared" si="40"/>
        <v>1</v>
      </c>
      <c r="D396" s="108">
        <f t="shared" si="41"/>
        <v>4</v>
      </c>
      <c r="E396" s="120">
        <f t="shared" si="42"/>
        <v>824.62112512353212</v>
      </c>
      <c r="F396" s="120">
        <f t="shared" si="43"/>
        <v>20</v>
      </c>
      <c r="G396" s="146">
        <f>IF(C19="","", B346)</f>
        <v>-2220.1337984095103</v>
      </c>
      <c r="H396" s="150" t="str">
        <f>IF(C19="","", C349)</f>
        <v>BARRA A COMPRESIÓN (-)</v>
      </c>
    </row>
    <row r="397" spans="1:8" ht="27.6" customHeight="1" x14ac:dyDescent="0.3">
      <c r="B397" s="112">
        <f>IF(C20="","", 4)</f>
        <v>4</v>
      </c>
      <c r="C397" s="108">
        <f t="shared" si="40"/>
        <v>2</v>
      </c>
      <c r="D397" s="108">
        <f t="shared" si="41"/>
        <v>4</v>
      </c>
      <c r="E397" s="120">
        <f t="shared" si="42"/>
        <v>1000</v>
      </c>
      <c r="F397" s="120">
        <f t="shared" si="43"/>
        <v>20</v>
      </c>
      <c r="G397" s="146">
        <f>IF(C20="","", B354)</f>
        <v>-2743.5897435897436</v>
      </c>
      <c r="H397" s="150" t="str">
        <f>IF(C20="","", C357)</f>
        <v>BARRA A COMPRESIÓN (-)</v>
      </c>
    </row>
    <row r="398" spans="1:8" ht="27.6" customHeight="1" x14ac:dyDescent="0.3">
      <c r="B398" s="113">
        <f>IF(C21="","", 5)</f>
        <v>5</v>
      </c>
      <c r="C398" s="108">
        <f t="shared" si="40"/>
        <v>2</v>
      </c>
      <c r="D398" s="108">
        <f t="shared" si="41"/>
        <v>1</v>
      </c>
      <c r="E398" s="120">
        <f t="shared" si="42"/>
        <v>632.45553203367592</v>
      </c>
      <c r="F398" s="120">
        <f t="shared" si="43"/>
        <v>20</v>
      </c>
      <c r="G398" s="146">
        <f>IF(C21="","", B362)</f>
        <v>486.50425541052078</v>
      </c>
      <c r="H398" s="150" t="str">
        <f>IF(C21="","", C365)</f>
        <v>BARRA A TRACCIÓN (+)</v>
      </c>
    </row>
    <row r="399" spans="1:8" ht="27.6" customHeight="1" x14ac:dyDescent="0.3">
      <c r="B399" s="114" t="str">
        <f>IF(C22="","", 6)</f>
        <v/>
      </c>
      <c r="C399" s="108" t="str">
        <f t="shared" si="40"/>
        <v/>
      </c>
      <c r="D399" s="108" t="str">
        <f t="shared" si="41"/>
        <v/>
      </c>
      <c r="E399" s="120" t="str">
        <f t="shared" si="42"/>
        <v/>
      </c>
      <c r="F399" s="120" t="str">
        <f t="shared" si="43"/>
        <v/>
      </c>
      <c r="G399" s="146" t="str">
        <f>IF(C22="","", B370)</f>
        <v/>
      </c>
      <c r="H399" s="150" t="str">
        <f>IF(C22="","", C373)</f>
        <v/>
      </c>
    </row>
    <row r="400" spans="1:8" ht="27.6" customHeight="1" x14ac:dyDescent="0.3">
      <c r="B400" s="115" t="str">
        <f>IF(C23="","", 7)</f>
        <v/>
      </c>
      <c r="C400" s="108" t="str">
        <f t="shared" si="40"/>
        <v/>
      </c>
      <c r="D400" s="108" t="str">
        <f t="shared" si="41"/>
        <v/>
      </c>
      <c r="E400" s="120" t="str">
        <f t="shared" si="42"/>
        <v/>
      </c>
      <c r="F400" s="120" t="str">
        <f t="shared" si="43"/>
        <v/>
      </c>
      <c r="G400" s="146" t="str">
        <f>IF(C23="","", B378)</f>
        <v/>
      </c>
      <c r="H400" s="150" t="str">
        <f>IF(C23="","", C381)</f>
        <v/>
      </c>
    </row>
    <row r="401" spans="2:8" ht="27.6" customHeight="1" x14ac:dyDescent="0.3">
      <c r="B401" s="116" t="str">
        <f>IF(C24="","", 8)</f>
        <v/>
      </c>
      <c r="C401" s="108" t="str">
        <f t="shared" si="40"/>
        <v/>
      </c>
      <c r="D401" s="108" t="str">
        <f t="shared" si="41"/>
        <v/>
      </c>
      <c r="E401" s="120" t="str">
        <f t="shared" si="42"/>
        <v/>
      </c>
      <c r="F401" s="120" t="str">
        <f t="shared" si="43"/>
        <v/>
      </c>
      <c r="G401" s="146" t="str">
        <f>IF(C24="","", B386)</f>
        <v/>
      </c>
      <c r="H401" s="150" t="str">
        <f>IF(C24="","", C389)</f>
        <v/>
      </c>
    </row>
  </sheetData>
  <mergeCells count="148">
    <mergeCell ref="L4:L5"/>
    <mergeCell ref="M4:M5"/>
    <mergeCell ref="N4:N5"/>
    <mergeCell ref="P4:W4"/>
    <mergeCell ref="B15:H15"/>
    <mergeCell ref="Z210:AE210"/>
    <mergeCell ref="A1:N1"/>
    <mergeCell ref="A2:N2"/>
    <mergeCell ref="B4:B5"/>
    <mergeCell ref="C4:D4"/>
    <mergeCell ref="E4:F4"/>
    <mergeCell ref="G4:G5"/>
    <mergeCell ref="H4:H5"/>
    <mergeCell ref="I4:I5"/>
    <mergeCell ref="J4:J5"/>
    <mergeCell ref="K4:K5"/>
    <mergeCell ref="Z217:AE217"/>
    <mergeCell ref="Z218:AE218"/>
    <mergeCell ref="Z219:AE219"/>
    <mergeCell ref="Z220:AE220"/>
    <mergeCell ref="Z221:AE221"/>
    <mergeCell ref="Z222:AE222"/>
    <mergeCell ref="Z211:AE211"/>
    <mergeCell ref="Z212:AE212"/>
    <mergeCell ref="Z213:AE213"/>
    <mergeCell ref="Z214:AE214"/>
    <mergeCell ref="Z215:AE215"/>
    <mergeCell ref="Z216:AE216"/>
    <mergeCell ref="Z229:AE229"/>
    <mergeCell ref="Z230:AE230"/>
    <mergeCell ref="Z231:AE231"/>
    <mergeCell ref="Z232:AE232"/>
    <mergeCell ref="Z233:AE233"/>
    <mergeCell ref="Z234:AE234"/>
    <mergeCell ref="Z223:AE223"/>
    <mergeCell ref="Z224:AE224"/>
    <mergeCell ref="Z225:AE225"/>
    <mergeCell ref="Z226:AE226"/>
    <mergeCell ref="Z227:AE227"/>
    <mergeCell ref="Z228:AE228"/>
    <mergeCell ref="Z241:AE241"/>
    <mergeCell ref="Z242:AE242"/>
    <mergeCell ref="Z243:AE243"/>
    <mergeCell ref="Z244:AE244"/>
    <mergeCell ref="Z245:AE245"/>
    <mergeCell ref="Z246:AE246"/>
    <mergeCell ref="Z235:AE235"/>
    <mergeCell ref="Z236:AE236"/>
    <mergeCell ref="C238:D238"/>
    <mergeCell ref="Z238:AE238"/>
    <mergeCell ref="Z239:AE239"/>
    <mergeCell ref="C240:N240"/>
    <mergeCell ref="Z240:AE240"/>
    <mergeCell ref="Z255:AE255"/>
    <mergeCell ref="Z256:AE256"/>
    <mergeCell ref="Z257:AE257"/>
    <mergeCell ref="Z258:AE258"/>
    <mergeCell ref="Z259:AE259"/>
    <mergeCell ref="Z260:AE260"/>
    <mergeCell ref="Z247:AE247"/>
    <mergeCell ref="Z248:AE248"/>
    <mergeCell ref="Z249:AE249"/>
    <mergeCell ref="Z250:AE250"/>
    <mergeCell ref="Z251:AE251"/>
    <mergeCell ref="Z252:AE252"/>
    <mergeCell ref="C267:K267"/>
    <mergeCell ref="Z267:AE267"/>
    <mergeCell ref="C268:K268"/>
    <mergeCell ref="Z268:AE268"/>
    <mergeCell ref="Z269:AE269"/>
    <mergeCell ref="Z270:AE270"/>
    <mergeCell ref="Z261:AE261"/>
    <mergeCell ref="Z262:AE262"/>
    <mergeCell ref="Z263:AE263"/>
    <mergeCell ref="Z264:AE264"/>
    <mergeCell ref="Z265:AE265"/>
    <mergeCell ref="Z266:AE266"/>
    <mergeCell ref="Z277:AE277"/>
    <mergeCell ref="Z278:AE278"/>
    <mergeCell ref="C279:D279"/>
    <mergeCell ref="Z279:AE279"/>
    <mergeCell ref="Z280:AE280"/>
    <mergeCell ref="Z281:AE281"/>
    <mergeCell ref="Z271:AE271"/>
    <mergeCell ref="Z272:AE272"/>
    <mergeCell ref="Z273:AE273"/>
    <mergeCell ref="Z274:AE274"/>
    <mergeCell ref="Z275:AE275"/>
    <mergeCell ref="Z276:AE276"/>
    <mergeCell ref="Z288:AE288"/>
    <mergeCell ref="Z289:AE289"/>
    <mergeCell ref="Z292:AE292"/>
    <mergeCell ref="Z293:AE293"/>
    <mergeCell ref="Z294:AE294"/>
    <mergeCell ref="Z295:AE295"/>
    <mergeCell ref="Z282:AE282"/>
    <mergeCell ref="Z283:AE283"/>
    <mergeCell ref="Z284:AE284"/>
    <mergeCell ref="Z285:AE285"/>
    <mergeCell ref="Z286:AE286"/>
    <mergeCell ref="Z287:AE287"/>
    <mergeCell ref="Z302:AE302"/>
    <mergeCell ref="Z303:AE303"/>
    <mergeCell ref="Z304:AE304"/>
    <mergeCell ref="Z305:AE305"/>
    <mergeCell ref="Z306:AE306"/>
    <mergeCell ref="Z325:AE325"/>
    <mergeCell ref="Z296:AE296"/>
    <mergeCell ref="Z297:AE297"/>
    <mergeCell ref="Z298:AE298"/>
    <mergeCell ref="Z299:AE299"/>
    <mergeCell ref="Z300:AE300"/>
    <mergeCell ref="Z301:AE301"/>
    <mergeCell ref="C333:F333"/>
    <mergeCell ref="Z333:AE333"/>
    <mergeCell ref="Z334:AE334"/>
    <mergeCell ref="Z335:AE335"/>
    <mergeCell ref="Z336:AE336"/>
    <mergeCell ref="Z326:AE326"/>
    <mergeCell ref="Z327:AE327"/>
    <mergeCell ref="Z328:AE328"/>
    <mergeCell ref="Z329:AE329"/>
    <mergeCell ref="Z330:AE330"/>
    <mergeCell ref="Z331:AE331"/>
    <mergeCell ref="C373:F373"/>
    <mergeCell ref="C381:F381"/>
    <mergeCell ref="C389:F389"/>
    <mergeCell ref="B392:H392"/>
    <mergeCell ref="C280:D280"/>
    <mergeCell ref="Z348:AE348"/>
    <mergeCell ref="C349:F349"/>
    <mergeCell ref="Z349:AE349"/>
    <mergeCell ref="Z350:AE350"/>
    <mergeCell ref="C357:F357"/>
    <mergeCell ref="C365:F365"/>
    <mergeCell ref="Z342:AE342"/>
    <mergeCell ref="Z343:AE343"/>
    <mergeCell ref="Z344:AE344"/>
    <mergeCell ref="Z345:AE345"/>
    <mergeCell ref="Z346:AE346"/>
    <mergeCell ref="Z347:AE347"/>
    <mergeCell ref="Z337:AE337"/>
    <mergeCell ref="Z338:AE338"/>
    <mergeCell ref="Z339:AE339"/>
    <mergeCell ref="Z340:AE340"/>
    <mergeCell ref="C341:F341"/>
    <mergeCell ref="Z341:AE341"/>
    <mergeCell ref="Z332:AE332"/>
  </mergeCells>
  <conditionalFormatting sqref="B34:M45">
    <cfRule type="cellIs" dxfId="31" priority="1" operator="notEqual">
      <formula>0</formula>
    </cfRule>
  </conditionalFormatting>
  <conditionalFormatting sqref="B55:M66">
    <cfRule type="cellIs" dxfId="30" priority="2" operator="notEqual">
      <formula>0</formula>
    </cfRule>
  </conditionalFormatting>
  <conditionalFormatting sqref="B76:M87">
    <cfRule type="cellIs" dxfId="29" priority="3" operator="notEqual">
      <formula>0</formula>
    </cfRule>
  </conditionalFormatting>
  <conditionalFormatting sqref="B97:M108">
    <cfRule type="cellIs" dxfId="28" priority="4" operator="notEqual">
      <formula>0</formula>
    </cfRule>
  </conditionalFormatting>
  <conditionalFormatting sqref="B118:M129">
    <cfRule type="cellIs" dxfId="27" priority="5" operator="notEqual">
      <formula>0</formula>
    </cfRule>
  </conditionalFormatting>
  <conditionalFormatting sqref="B139:M150">
    <cfRule type="cellIs" dxfId="26" priority="6" operator="notEqual">
      <formula>0</formula>
    </cfRule>
  </conditionalFormatting>
  <conditionalFormatting sqref="B160:M171">
    <cfRule type="cellIs" dxfId="25" priority="7" operator="notEqual">
      <formula>0</formula>
    </cfRule>
  </conditionalFormatting>
  <conditionalFormatting sqref="B181:M192">
    <cfRule type="cellIs" dxfId="24" priority="8" operator="notEqual">
      <formula>0</formula>
    </cfRule>
  </conditionalFormatting>
  <pageMargins left="0.75" right="0.75" top="1" bottom="1" header="0.5" footer="0.5"/>
  <pageSetup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4478-FD5F-4AAE-8622-0CF877B2FBF4}">
  <dimension ref="A1:AE401"/>
  <sheetViews>
    <sheetView topLeftCell="A328" zoomScale="61" workbookViewId="0">
      <selection activeCell="V15" sqref="V15"/>
    </sheetView>
  </sheetViews>
  <sheetFormatPr baseColWidth="10" defaultColWidth="8.88671875" defaultRowHeight="14.4" x14ac:dyDescent="0.3"/>
  <cols>
    <col min="1" max="1" width="11" style="147" customWidth="1"/>
    <col min="2" max="7" width="13" style="147" customWidth="1"/>
    <col min="8" max="8" width="22.21875" style="147" customWidth="1"/>
    <col min="9" max="14" width="13" style="147" customWidth="1"/>
    <col min="15" max="15" width="3" style="147" customWidth="1"/>
    <col min="16" max="16" width="7" style="147" customWidth="1"/>
    <col min="17" max="18" width="11" style="147" customWidth="1"/>
    <col min="19" max="19" width="14" style="147" customWidth="1"/>
    <col min="20" max="21" width="6" style="147" customWidth="1"/>
    <col min="22" max="23" width="12" style="147" customWidth="1"/>
    <col min="24" max="25" width="3" style="147" customWidth="1"/>
    <col min="26" max="31" width="18" style="147" customWidth="1"/>
    <col min="32" max="16384" width="8.88671875" style="147"/>
  </cols>
  <sheetData>
    <row r="1" spans="1:23" ht="25.95" customHeight="1" x14ac:dyDescent="0.3">
      <c r="A1" s="192" t="s">
        <v>143</v>
      </c>
      <c r="B1" s="175"/>
      <c r="C1" s="175"/>
      <c r="D1" s="175"/>
      <c r="E1" s="175"/>
      <c r="F1" s="175"/>
      <c r="G1" s="175"/>
      <c r="H1" s="175"/>
      <c r="I1" s="175"/>
      <c r="J1" s="175"/>
      <c r="K1" s="175"/>
      <c r="L1" s="175"/>
      <c r="M1" s="175"/>
      <c r="N1" s="175"/>
    </row>
    <row r="2" spans="1:23" ht="18" customHeight="1" x14ac:dyDescent="0.3">
      <c r="A2" s="191" t="s">
        <v>144</v>
      </c>
      <c r="B2" s="175"/>
      <c r="C2" s="175"/>
      <c r="D2" s="175"/>
      <c r="E2" s="175"/>
      <c r="F2" s="175"/>
      <c r="G2" s="175"/>
      <c r="H2" s="175"/>
      <c r="I2" s="175"/>
      <c r="J2" s="175"/>
      <c r="K2" s="175"/>
      <c r="L2" s="175"/>
      <c r="M2" s="175"/>
      <c r="N2" s="175"/>
    </row>
    <row r="4" spans="1:23" ht="18" customHeight="1" x14ac:dyDescent="0.3">
      <c r="B4" s="186" t="s">
        <v>145</v>
      </c>
      <c r="C4" s="186" t="s">
        <v>146</v>
      </c>
      <c r="D4" s="186"/>
      <c r="E4" s="186" t="s">
        <v>147</v>
      </c>
      <c r="F4" s="186"/>
      <c r="G4" s="186" t="s">
        <v>148</v>
      </c>
      <c r="H4" s="186" t="s">
        <v>149</v>
      </c>
      <c r="I4" s="186" t="s">
        <v>150</v>
      </c>
      <c r="J4" s="186" t="s">
        <v>151</v>
      </c>
      <c r="K4" s="186" t="s">
        <v>152</v>
      </c>
      <c r="L4" s="186" t="s">
        <v>153</v>
      </c>
      <c r="M4" s="186" t="s">
        <v>154</v>
      </c>
      <c r="N4" s="186" t="s">
        <v>155</v>
      </c>
      <c r="P4" s="198" t="s">
        <v>156</v>
      </c>
      <c r="Q4" s="196"/>
      <c r="R4" s="196"/>
      <c r="S4" s="196"/>
      <c r="T4" s="196"/>
      <c r="U4" s="196"/>
      <c r="V4" s="196"/>
      <c r="W4" s="196"/>
    </row>
    <row r="5" spans="1:23" ht="18" customHeight="1" x14ac:dyDescent="0.3">
      <c r="B5" s="187"/>
      <c r="C5" s="149" t="s">
        <v>157</v>
      </c>
      <c r="D5" s="149" t="s">
        <v>158</v>
      </c>
      <c r="E5" s="149" t="s">
        <v>157</v>
      </c>
      <c r="F5" s="149" t="s">
        <v>158</v>
      </c>
      <c r="G5" s="187"/>
      <c r="H5" s="187"/>
      <c r="I5" s="187"/>
      <c r="J5" s="187"/>
      <c r="K5" s="187"/>
      <c r="L5" s="187"/>
      <c r="M5" s="187"/>
      <c r="N5" s="187"/>
      <c r="P5" s="149" t="s">
        <v>159</v>
      </c>
      <c r="Q5" s="149" t="s">
        <v>160</v>
      </c>
      <c r="R5" s="149" t="s">
        <v>161</v>
      </c>
      <c r="S5" s="149" t="s">
        <v>162</v>
      </c>
      <c r="T5" s="149" t="s">
        <v>163</v>
      </c>
      <c r="U5" s="149" t="s">
        <v>164</v>
      </c>
      <c r="V5" s="149" t="s">
        <v>165</v>
      </c>
      <c r="W5" s="149" t="s">
        <v>166</v>
      </c>
    </row>
    <row r="6" spans="1:23" ht="19.05" customHeight="1" x14ac:dyDescent="0.3">
      <c r="B6" s="102">
        <v>1</v>
      </c>
      <c r="C6" s="103">
        <f t="shared" ref="C6:C13" si="0">IF(C17="","", IFERROR(VLOOKUP(C17, $P$6:$W$11, 2, FALSE), ""))</f>
        <v>-800</v>
      </c>
      <c r="D6" s="103">
        <f t="shared" ref="D6:D13" si="1">IF(C17="","", IFERROR(VLOOKUP(C17, $P$6:$W$11, 3, FALSE), ""))</f>
        <v>-800</v>
      </c>
      <c r="E6" s="103">
        <f t="shared" ref="E6:E13" si="2">IF(F17="","", IFERROR(VLOOKUP(F17, $P$6:$W$11, 2, FALSE), ""))</f>
        <v>200</v>
      </c>
      <c r="F6" s="103">
        <f t="shared" ref="F6:F13" si="3">IF(F17="","", IFERROR(VLOOKUP(F17, $P$6:$W$11, 3, FALSE), ""))</f>
        <v>-800</v>
      </c>
      <c r="G6" s="104">
        <f t="shared" ref="G6:H13" si="4">IF(OR(C6="",E6=""), "", E6-C6)</f>
        <v>1000</v>
      </c>
      <c r="H6" s="104">
        <f t="shared" si="4"/>
        <v>0</v>
      </c>
      <c r="I6" s="105">
        <f t="shared" ref="I6:I13" si="5">IF(OR(G6="",H6=""), "", SQRT(G6^2+H6^2))</f>
        <v>1000</v>
      </c>
      <c r="J6" s="106">
        <f t="shared" ref="J6:J13" si="6">IF(OR(I6="",I6=0), "", G6/I6)</f>
        <v>1</v>
      </c>
      <c r="K6" s="106">
        <f t="shared" ref="K6:K13" si="7">IF(OR(I6="",I6=0), "", H6/I6)</f>
        <v>0</v>
      </c>
      <c r="L6" s="103">
        <f>IF(C17="","", 20)</f>
        <v>20</v>
      </c>
      <c r="M6" s="107">
        <f>IF(C17="","", 150000)</f>
        <v>150000</v>
      </c>
      <c r="N6" s="105">
        <f t="shared" ref="N6:N13" si="8">IF(OR(I6="",I6=0,L6="",M6=""), 0, (L6*M6)/I6)</f>
        <v>3000</v>
      </c>
      <c r="P6" s="108">
        <v>1</v>
      </c>
      <c r="Q6" s="103">
        <v>-800</v>
      </c>
      <c r="R6" s="103">
        <v>-800</v>
      </c>
      <c r="S6" s="109" t="s">
        <v>167</v>
      </c>
      <c r="T6" s="108">
        <f t="shared" ref="T6:T11" si="9">IF(Q6="","", IF(LEFT(UPPER(TRIM(S6)),4)="FIJO", 1, IF(OR(UPPER(TRIM(S6))="MOVIL X", UPPER(TRIM(S6))="MÓVIL X", UPPER(TRIM(S6))="RODILLO X"), 1, 0)))</f>
        <v>0</v>
      </c>
      <c r="U6" s="108">
        <f t="shared" ref="U6:U11" si="10">IF(Q6="","", IF(LEFT(UPPER(TRIM(S6)),4)="FIJO", 1, IF(OR(UPPER(TRIM(S6))="MOVIL Y", UPPER(TRIM(S6))="MÓVIL Y", UPPER(TRIM(S6))="RODILLO Y", UPPER(TRIM(S6))="MOVIL", UPPER(TRIM(S6))="MÓVIL"), 1, 0)))</f>
        <v>1</v>
      </c>
      <c r="V6" s="103">
        <v>0</v>
      </c>
      <c r="W6" s="103">
        <v>0</v>
      </c>
    </row>
    <row r="7" spans="1:23" ht="19.05" customHeight="1" x14ac:dyDescent="0.3">
      <c r="B7" s="150">
        <v>2</v>
      </c>
      <c r="C7" s="103">
        <f t="shared" si="0"/>
        <v>200</v>
      </c>
      <c r="D7" s="103">
        <f t="shared" si="1"/>
        <v>-800</v>
      </c>
      <c r="E7" s="103">
        <f t="shared" si="2"/>
        <v>0</v>
      </c>
      <c r="F7" s="103">
        <f t="shared" si="3"/>
        <v>0</v>
      </c>
      <c r="G7" s="104">
        <f t="shared" si="4"/>
        <v>-200</v>
      </c>
      <c r="H7" s="104">
        <f t="shared" si="4"/>
        <v>800</v>
      </c>
      <c r="I7" s="105">
        <f t="shared" si="5"/>
        <v>824.62112512353212</v>
      </c>
      <c r="J7" s="106">
        <f t="shared" si="6"/>
        <v>-0.24253562503633297</v>
      </c>
      <c r="K7" s="106">
        <f t="shared" si="7"/>
        <v>0.97014250014533188</v>
      </c>
      <c r="L7" s="103">
        <f t="shared" ref="L7:L10" si="11">IF(C18="","", 20)</f>
        <v>20</v>
      </c>
      <c r="M7" s="107">
        <f t="shared" ref="M7:M10" si="12">IF(C18="","", 150000)</f>
        <v>150000</v>
      </c>
      <c r="N7" s="105">
        <f t="shared" si="8"/>
        <v>3638.0343755449944</v>
      </c>
      <c r="P7" s="108">
        <v>2</v>
      </c>
      <c r="Q7" s="103">
        <v>200</v>
      </c>
      <c r="R7" s="103">
        <v>-800</v>
      </c>
      <c r="S7" s="109" t="s">
        <v>168</v>
      </c>
      <c r="T7" s="108">
        <f t="shared" si="9"/>
        <v>1</v>
      </c>
      <c r="U7" s="108">
        <f t="shared" si="10"/>
        <v>1</v>
      </c>
      <c r="V7" s="103">
        <v>0</v>
      </c>
      <c r="W7" s="103">
        <v>0</v>
      </c>
    </row>
    <row r="8" spans="1:23" ht="19.05" customHeight="1" x14ac:dyDescent="0.3">
      <c r="B8" s="111">
        <v>3</v>
      </c>
      <c r="C8" s="103">
        <f t="shared" si="0"/>
        <v>0</v>
      </c>
      <c r="D8" s="103">
        <f t="shared" si="1"/>
        <v>0</v>
      </c>
      <c r="E8" s="103">
        <f t="shared" si="2"/>
        <v>-600</v>
      </c>
      <c r="F8" s="103">
        <f t="shared" si="3"/>
        <v>-200</v>
      </c>
      <c r="G8" s="104">
        <f t="shared" si="4"/>
        <v>-600</v>
      </c>
      <c r="H8" s="104">
        <f t="shared" si="4"/>
        <v>-200</v>
      </c>
      <c r="I8" s="105">
        <f t="shared" si="5"/>
        <v>632.45553203367592</v>
      </c>
      <c r="J8" s="106">
        <f t="shared" si="6"/>
        <v>-0.94868329805051377</v>
      </c>
      <c r="K8" s="106">
        <f t="shared" si="7"/>
        <v>-0.31622776601683789</v>
      </c>
      <c r="L8" s="103">
        <f t="shared" si="11"/>
        <v>20</v>
      </c>
      <c r="M8" s="107">
        <f t="shared" si="12"/>
        <v>150000</v>
      </c>
      <c r="N8" s="105">
        <f t="shared" si="8"/>
        <v>4743.416490252569</v>
      </c>
      <c r="P8" s="108">
        <v>3</v>
      </c>
      <c r="Q8" s="103">
        <v>0</v>
      </c>
      <c r="R8" s="103">
        <v>0</v>
      </c>
      <c r="S8" s="109" t="s">
        <v>169</v>
      </c>
      <c r="T8" s="108">
        <f t="shared" si="9"/>
        <v>0</v>
      </c>
      <c r="U8" s="108">
        <f t="shared" si="10"/>
        <v>0</v>
      </c>
      <c r="V8" s="103">
        <v>1000</v>
      </c>
      <c r="W8" s="103">
        <v>-2000</v>
      </c>
    </row>
    <row r="9" spans="1:23" ht="19.05" customHeight="1" x14ac:dyDescent="0.3">
      <c r="B9" s="112">
        <v>4</v>
      </c>
      <c r="C9" s="103">
        <f t="shared" si="0"/>
        <v>-600</v>
      </c>
      <c r="D9" s="103">
        <f t="shared" si="1"/>
        <v>-200</v>
      </c>
      <c r="E9" s="103">
        <f t="shared" si="2"/>
        <v>-800</v>
      </c>
      <c r="F9" s="103">
        <f t="shared" si="3"/>
        <v>-800</v>
      </c>
      <c r="G9" s="104">
        <f t="shared" si="4"/>
        <v>-200</v>
      </c>
      <c r="H9" s="104">
        <f t="shared" si="4"/>
        <v>-600</v>
      </c>
      <c r="I9" s="105">
        <f t="shared" si="5"/>
        <v>632.45553203367592</v>
      </c>
      <c r="J9" s="106">
        <f t="shared" si="6"/>
        <v>-0.31622776601683789</v>
      </c>
      <c r="K9" s="106">
        <f t="shared" si="7"/>
        <v>-0.94868329805051377</v>
      </c>
      <c r="L9" s="103">
        <f t="shared" si="11"/>
        <v>20</v>
      </c>
      <c r="M9" s="107">
        <f t="shared" si="12"/>
        <v>150000</v>
      </c>
      <c r="N9" s="105">
        <f t="shared" si="8"/>
        <v>4743.416490252569</v>
      </c>
      <c r="P9" s="108">
        <v>4</v>
      </c>
      <c r="Q9" s="103">
        <v>-600</v>
      </c>
      <c r="R9" s="103">
        <v>-200</v>
      </c>
      <c r="S9" s="109" t="s">
        <v>169</v>
      </c>
      <c r="T9" s="108">
        <f t="shared" si="9"/>
        <v>0</v>
      </c>
      <c r="U9" s="108">
        <f t="shared" si="10"/>
        <v>0</v>
      </c>
      <c r="V9" s="103">
        <v>2000</v>
      </c>
      <c r="W9" s="103">
        <v>-1000</v>
      </c>
    </row>
    <row r="10" spans="1:23" ht="19.05" customHeight="1" x14ac:dyDescent="0.3">
      <c r="B10" s="113">
        <v>5</v>
      </c>
      <c r="C10" s="103">
        <f t="shared" si="0"/>
        <v>200</v>
      </c>
      <c r="D10" s="103">
        <f t="shared" si="1"/>
        <v>-800</v>
      </c>
      <c r="E10" s="103">
        <f t="shared" si="2"/>
        <v>-600</v>
      </c>
      <c r="F10" s="103">
        <f t="shared" si="3"/>
        <v>-200</v>
      </c>
      <c r="G10" s="104">
        <f t="shared" si="4"/>
        <v>-800</v>
      </c>
      <c r="H10" s="104">
        <f t="shared" si="4"/>
        <v>600</v>
      </c>
      <c r="I10" s="105">
        <f t="shared" si="5"/>
        <v>1000</v>
      </c>
      <c r="J10" s="106">
        <f t="shared" si="6"/>
        <v>-0.8</v>
      </c>
      <c r="K10" s="106">
        <f t="shared" si="7"/>
        <v>0.6</v>
      </c>
      <c r="L10" s="103">
        <f t="shared" si="11"/>
        <v>20</v>
      </c>
      <c r="M10" s="107">
        <f t="shared" si="12"/>
        <v>150000</v>
      </c>
      <c r="N10" s="105">
        <f t="shared" si="8"/>
        <v>3000</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95" t="s">
        <v>170</v>
      </c>
      <c r="C15" s="196"/>
      <c r="D15" s="196"/>
      <c r="E15" s="196"/>
      <c r="F15" s="196"/>
      <c r="G15" s="196"/>
      <c r="H15" s="196"/>
    </row>
    <row r="16" spans="1:23" ht="18" customHeight="1" x14ac:dyDescent="0.3">
      <c r="B16" s="148" t="s">
        <v>145</v>
      </c>
      <c r="C16" s="148" t="s">
        <v>171</v>
      </c>
      <c r="D16" s="148" t="s">
        <v>172</v>
      </c>
      <c r="E16" s="148" t="s">
        <v>173</v>
      </c>
      <c r="F16" s="148" t="s">
        <v>174</v>
      </c>
      <c r="G16" s="148" t="s">
        <v>175</v>
      </c>
      <c r="H16" s="148" t="s">
        <v>176</v>
      </c>
      <c r="S16" s="109" t="s">
        <v>167</v>
      </c>
    </row>
    <row r="17" spans="1:19" ht="19.05" customHeight="1" x14ac:dyDescent="0.3">
      <c r="B17" s="102">
        <v>1</v>
      </c>
      <c r="C17" s="117">
        <v>1</v>
      </c>
      <c r="D17" s="108" t="str">
        <f t="shared" ref="D17:D24" si="15">IF(C17="","", "U" &amp; C17 &amp; "X")</f>
        <v>U1X</v>
      </c>
      <c r="E17" s="108" t="str">
        <f t="shared" ref="E17:E24" si="16">IF(C17="","", "U" &amp; C17 &amp; "Y")</f>
        <v>U1Y</v>
      </c>
      <c r="F17" s="117">
        <v>2</v>
      </c>
      <c r="G17" s="108" t="str">
        <f t="shared" ref="G17:G24" si="17">IF(F17="","", "U" &amp; F17 &amp; "X")</f>
        <v>U2X</v>
      </c>
      <c r="H17" s="108" t="str">
        <f t="shared" ref="H17:H24" si="18">IF(F17="","", "U" &amp; F17 &amp; "Y")</f>
        <v>U2Y</v>
      </c>
      <c r="S17" s="109" t="s">
        <v>168</v>
      </c>
    </row>
    <row r="18" spans="1:19" ht="19.05" customHeight="1" x14ac:dyDescent="0.3">
      <c r="B18" s="150">
        <v>2</v>
      </c>
      <c r="C18" s="117">
        <v>2</v>
      </c>
      <c r="D18" s="108" t="str">
        <f t="shared" si="15"/>
        <v>U2X</v>
      </c>
      <c r="E18" s="108" t="str">
        <f t="shared" si="16"/>
        <v>U2Y</v>
      </c>
      <c r="F18" s="117">
        <v>3</v>
      </c>
      <c r="G18" s="108" t="str">
        <f t="shared" si="17"/>
        <v>U3X</v>
      </c>
      <c r="H18" s="108" t="str">
        <f t="shared" si="18"/>
        <v>U3Y</v>
      </c>
      <c r="S18" s="109" t="s">
        <v>169</v>
      </c>
    </row>
    <row r="19" spans="1:19" ht="19.05" customHeight="1" x14ac:dyDescent="0.3">
      <c r="B19" s="111">
        <v>3</v>
      </c>
      <c r="C19" s="117">
        <v>3</v>
      </c>
      <c r="D19" s="108" t="str">
        <f t="shared" si="15"/>
        <v>U3X</v>
      </c>
      <c r="E19" s="108" t="str">
        <f t="shared" si="16"/>
        <v>U3Y</v>
      </c>
      <c r="F19" s="117">
        <v>4</v>
      </c>
      <c r="G19" s="108" t="str">
        <f t="shared" si="17"/>
        <v>U4X</v>
      </c>
      <c r="H19" s="108" t="str">
        <f t="shared" si="18"/>
        <v>U4Y</v>
      </c>
      <c r="S19" s="109" t="s">
        <v>169</v>
      </c>
    </row>
    <row r="20" spans="1:19" ht="19.05" customHeight="1" x14ac:dyDescent="0.3">
      <c r="B20" s="112">
        <v>4</v>
      </c>
      <c r="C20" s="117">
        <v>4</v>
      </c>
      <c r="D20" s="108" t="str">
        <f t="shared" si="15"/>
        <v>U4X</v>
      </c>
      <c r="E20" s="108" t="str">
        <f t="shared" si="16"/>
        <v>U4Y</v>
      </c>
      <c r="F20" s="117">
        <v>1</v>
      </c>
      <c r="G20" s="108" t="str">
        <f t="shared" si="17"/>
        <v>U1X</v>
      </c>
      <c r="H20" s="108" t="str">
        <f t="shared" si="18"/>
        <v>U1Y</v>
      </c>
      <c r="S20" s="109" t="s">
        <v>169</v>
      </c>
    </row>
    <row r="21" spans="1:19" ht="19.05" customHeight="1" x14ac:dyDescent="0.3">
      <c r="B21" s="113">
        <v>5</v>
      </c>
      <c r="C21" s="117">
        <v>2</v>
      </c>
      <c r="D21" s="108" t="str">
        <f t="shared" si="15"/>
        <v>U2X</v>
      </c>
      <c r="E21" s="108" t="str">
        <f t="shared" si="16"/>
        <v>U2Y</v>
      </c>
      <c r="F21" s="117">
        <v>4</v>
      </c>
      <c r="G21" s="108" t="str">
        <f t="shared" si="17"/>
        <v>U4X</v>
      </c>
      <c r="H21" s="108" t="str">
        <f t="shared" si="18"/>
        <v>U4Y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U1X</v>
      </c>
      <c r="C27" s="102" t="str">
        <f>IF(E17="","-",E17)</f>
        <v>U1Y</v>
      </c>
      <c r="D27" s="102" t="str">
        <f>IF(G17="","-",G17)</f>
        <v>U2X</v>
      </c>
      <c r="E27" s="102" t="str">
        <f>IF(H17="","-",H17)</f>
        <v>U2Y</v>
      </c>
    </row>
    <row r="28" spans="1:19" ht="18" customHeight="1" x14ac:dyDescent="0.3">
      <c r="B28" s="119">
        <f>IF(N6=0, 0, N6*J6*J6)</f>
        <v>3000</v>
      </c>
      <c r="C28" s="119">
        <f>IF(N6=0, 0, N6*J6*K6)</f>
        <v>0</v>
      </c>
      <c r="D28" s="119">
        <f>IF(N6=0, 0, -N6*J6*J6)</f>
        <v>-3000</v>
      </c>
      <c r="E28" s="119">
        <f>IF(N6=0, 0, -N6*J6*K6)</f>
        <v>0</v>
      </c>
      <c r="F28" s="102" t="str">
        <f>IF(D17="","-",D17)</f>
        <v>U1X</v>
      </c>
    </row>
    <row r="29" spans="1:19" ht="18" customHeight="1" x14ac:dyDescent="0.3">
      <c r="B29" s="119">
        <f>IF(N6=0, 0, N6*J6*K6)</f>
        <v>0</v>
      </c>
      <c r="C29" s="119">
        <f>IF(N6=0, 0, N6*K6*K6)</f>
        <v>0</v>
      </c>
      <c r="D29" s="119">
        <f>IF(N6=0, 0, -N6*J6*K6)</f>
        <v>0</v>
      </c>
      <c r="E29" s="119">
        <f>IF(N6=0, 0, -N6*K6*K6)</f>
        <v>0</v>
      </c>
      <c r="F29" s="102" t="str">
        <f>IF(E17="","-",E17)</f>
        <v>U1Y</v>
      </c>
    </row>
    <row r="30" spans="1:19" ht="18" customHeight="1" x14ac:dyDescent="0.3">
      <c r="B30" s="119">
        <f>IF(N6=0, 0, -N6*J6*J6)</f>
        <v>-3000</v>
      </c>
      <c r="C30" s="119">
        <f>IF(N6=0, 0, -N6*J6*K6)</f>
        <v>0</v>
      </c>
      <c r="D30" s="119">
        <f>IF(N6=0, 0, N6*J6*J6)</f>
        <v>3000</v>
      </c>
      <c r="E30" s="119">
        <f>IF(N6=0, 0, N6*J6*K6)</f>
        <v>0</v>
      </c>
      <c r="F30" s="102" t="str">
        <f>IF(G17="","-",G17)</f>
        <v>U2X</v>
      </c>
    </row>
    <row r="31" spans="1:19"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48" t="s">
        <v>178</v>
      </c>
      <c r="C33" s="148" t="s">
        <v>179</v>
      </c>
      <c r="D33" s="148" t="s">
        <v>180</v>
      </c>
      <c r="E33" s="148" t="s">
        <v>181</v>
      </c>
      <c r="F33" s="148" t="s">
        <v>182</v>
      </c>
      <c r="G33" s="148" t="s">
        <v>183</v>
      </c>
      <c r="H33" s="148" t="s">
        <v>184</v>
      </c>
      <c r="I33" s="148" t="s">
        <v>185</v>
      </c>
      <c r="J33" s="148" t="s">
        <v>186</v>
      </c>
      <c r="K33" s="148" t="s">
        <v>187</v>
      </c>
      <c r="L33" s="148" t="s">
        <v>188</v>
      </c>
      <c r="M33" s="148" t="s">
        <v>189</v>
      </c>
    </row>
    <row r="34" spans="1:14" ht="19.05" customHeight="1" x14ac:dyDescent="0.3">
      <c r="B34" s="120">
        <f t="shared" ref="B34:M45" si="19">IFERROR(INDEX($B$28:$E$31, MATCH($N34, $B$27:$E$27, 0), MATCH(B$33, $B$27:$E$27, 0)), 0)</f>
        <v>3000</v>
      </c>
      <c r="C34" s="120">
        <f t="shared" si="19"/>
        <v>0</v>
      </c>
      <c r="D34" s="120">
        <f t="shared" si="19"/>
        <v>-3000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-3000</v>
      </c>
      <c r="C36" s="120">
        <f t="shared" si="19"/>
        <v>0</v>
      </c>
      <c r="D36" s="120">
        <f t="shared" si="19"/>
        <v>3000</v>
      </c>
      <c r="E36" s="120">
        <f t="shared" si="19"/>
        <v>0</v>
      </c>
      <c r="F36" s="120">
        <f t="shared" si="19"/>
        <v>0</v>
      </c>
      <c r="G36" s="120">
        <f t="shared" si="19"/>
        <v>0</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0</v>
      </c>
      <c r="E37" s="120">
        <f t="shared" si="19"/>
        <v>0</v>
      </c>
      <c r="F37" s="120">
        <f t="shared" si="19"/>
        <v>0</v>
      </c>
      <c r="G37" s="120">
        <f t="shared" si="19"/>
        <v>0</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0</v>
      </c>
      <c r="E38" s="120">
        <f t="shared" si="19"/>
        <v>0</v>
      </c>
      <c r="F38" s="120">
        <f t="shared" si="19"/>
        <v>0</v>
      </c>
      <c r="G38" s="120">
        <f t="shared" si="19"/>
        <v>0</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0</v>
      </c>
      <c r="E39" s="120">
        <f t="shared" si="19"/>
        <v>0</v>
      </c>
      <c r="F39" s="120">
        <f t="shared" si="19"/>
        <v>0</v>
      </c>
      <c r="G39" s="120">
        <f t="shared" si="19"/>
        <v>0</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50" t="str">
        <f>IF(D18="","-",D18)</f>
        <v>U2X</v>
      </c>
      <c r="C48" s="150" t="str">
        <f>IF(E18="","-",E18)</f>
        <v>U2Y</v>
      </c>
      <c r="D48" s="150" t="str">
        <f>IF(G18="","-",G18)</f>
        <v>U3X</v>
      </c>
      <c r="E48" s="150" t="str">
        <f>IF(H18="","-",H18)</f>
        <v>U3Y</v>
      </c>
    </row>
    <row r="49" spans="1:14" ht="18" customHeight="1" x14ac:dyDescent="0.3">
      <c r="B49" s="121">
        <f>IF(N7=0, 0, N7*J7*J7)</f>
        <v>214.00202209088201</v>
      </c>
      <c r="C49" s="121">
        <f>IF(N7=0, 0, N7*J7*K7)</f>
        <v>-856.00808836352803</v>
      </c>
      <c r="D49" s="121">
        <f>IF(N7=0, 0, -N7*J7*J7)</f>
        <v>-214.00202209088201</v>
      </c>
      <c r="E49" s="121">
        <f>IF(N7=0, 0, -N7*J7*K7)</f>
        <v>856.00808836352803</v>
      </c>
      <c r="F49" s="150" t="str">
        <f>IF(D18="","-",D18)</f>
        <v>U2X</v>
      </c>
    </row>
    <row r="50" spans="1:14" ht="18" customHeight="1" x14ac:dyDescent="0.3">
      <c r="B50" s="121">
        <f>IF(N7=0, 0, N7*J7*K7)</f>
        <v>-856.00808836352803</v>
      </c>
      <c r="C50" s="121">
        <f>IF(N7=0, 0, N7*K7*K7)</f>
        <v>3424.0323534541121</v>
      </c>
      <c r="D50" s="121">
        <f>IF(N7=0, 0, -N7*J7*K7)</f>
        <v>856.00808836352803</v>
      </c>
      <c r="E50" s="121">
        <f>IF(N7=0, 0, -N7*K7*K7)</f>
        <v>-3424.0323534541121</v>
      </c>
      <c r="F50" s="150" t="str">
        <f>IF(E18="","-",E18)</f>
        <v>U2Y</v>
      </c>
    </row>
    <row r="51" spans="1:14" ht="18" customHeight="1" x14ac:dyDescent="0.3">
      <c r="B51" s="121">
        <f>IF(N7=0, 0, -N7*J7*J7)</f>
        <v>-214.00202209088201</v>
      </c>
      <c r="C51" s="121">
        <f>IF(N7=0, 0, -N7*J7*K7)</f>
        <v>856.00808836352803</v>
      </c>
      <c r="D51" s="121">
        <f>IF(N7=0, 0, N7*J7*J7)</f>
        <v>214.00202209088201</v>
      </c>
      <c r="E51" s="121">
        <f>IF(N7=0, 0, N7*J7*K7)</f>
        <v>-856.00808836352803</v>
      </c>
      <c r="F51" s="150" t="str">
        <f>IF(G18="","-",G18)</f>
        <v>U3X</v>
      </c>
    </row>
    <row r="52" spans="1:14" ht="18" customHeight="1" x14ac:dyDescent="0.3">
      <c r="B52" s="121">
        <f>IF(N7=0, 0, -N7*J7*K7)</f>
        <v>856.00808836352803</v>
      </c>
      <c r="C52" s="121">
        <f>IF(N7=0, 0, -N7*K7*K7)</f>
        <v>-3424.0323534541121</v>
      </c>
      <c r="D52" s="121">
        <f>IF(N7=0, 0, N7*J7*K7)</f>
        <v>-856.00808836352803</v>
      </c>
      <c r="E52" s="121">
        <f>IF(N7=0, 0, N7*K7*K7)</f>
        <v>3424.0323534541121</v>
      </c>
      <c r="F52" s="150" t="str">
        <f>IF(H18="","-",H18)</f>
        <v>U3Y</v>
      </c>
    </row>
    <row r="54" spans="1:14" ht="19.05" customHeight="1" x14ac:dyDescent="0.3">
      <c r="B54" s="148" t="s">
        <v>178</v>
      </c>
      <c r="C54" s="148" t="s">
        <v>179</v>
      </c>
      <c r="D54" s="148" t="s">
        <v>180</v>
      </c>
      <c r="E54" s="148" t="s">
        <v>181</v>
      </c>
      <c r="F54" s="148" t="s">
        <v>182</v>
      </c>
      <c r="G54" s="148" t="s">
        <v>183</v>
      </c>
      <c r="H54" s="148" t="s">
        <v>184</v>
      </c>
      <c r="I54" s="148" t="s">
        <v>185</v>
      </c>
      <c r="J54" s="148" t="s">
        <v>186</v>
      </c>
      <c r="K54" s="148" t="s">
        <v>187</v>
      </c>
      <c r="L54" s="148" t="s">
        <v>188</v>
      </c>
      <c r="M54" s="148" t="s">
        <v>189</v>
      </c>
    </row>
    <row r="55" spans="1:14" ht="19.05" customHeight="1" x14ac:dyDescent="0.3">
      <c r="B55" s="120">
        <f t="shared" ref="B55:M66" si="20">IFERROR(INDEX($B$49:$E$52, MATCH($N55, $B$48:$E$48, 0), MATCH(B$54, $B$48:$E$48, 0)), 0)</f>
        <v>0</v>
      </c>
      <c r="C55" s="120">
        <f t="shared" si="20"/>
        <v>0</v>
      </c>
      <c r="D55" s="120">
        <f t="shared" si="20"/>
        <v>0</v>
      </c>
      <c r="E55" s="120">
        <f t="shared" si="20"/>
        <v>0</v>
      </c>
      <c r="F55" s="120">
        <f t="shared" si="20"/>
        <v>0</v>
      </c>
      <c r="G55" s="120">
        <f t="shared" si="20"/>
        <v>0</v>
      </c>
      <c r="H55" s="120">
        <f t="shared" si="20"/>
        <v>0</v>
      </c>
      <c r="I55" s="120">
        <f t="shared" si="20"/>
        <v>0</v>
      </c>
      <c r="J55" s="120">
        <f t="shared" si="20"/>
        <v>0</v>
      </c>
      <c r="K55" s="120">
        <f t="shared" si="20"/>
        <v>0</v>
      </c>
      <c r="L55" s="120">
        <f t="shared" si="20"/>
        <v>0</v>
      </c>
      <c r="M55" s="120">
        <f t="shared" si="20"/>
        <v>0</v>
      </c>
      <c r="N55" s="150" t="s">
        <v>178</v>
      </c>
    </row>
    <row r="56" spans="1:14" ht="19.05" customHeight="1" x14ac:dyDescent="0.3">
      <c r="B56" s="120">
        <f t="shared" si="20"/>
        <v>0</v>
      </c>
      <c r="C56" s="120">
        <f t="shared" si="20"/>
        <v>0</v>
      </c>
      <c r="D56" s="120">
        <f t="shared" si="20"/>
        <v>0</v>
      </c>
      <c r="E56" s="120">
        <f t="shared" si="20"/>
        <v>0</v>
      </c>
      <c r="F56" s="120">
        <f t="shared" si="20"/>
        <v>0</v>
      </c>
      <c r="G56" s="120">
        <f t="shared" si="20"/>
        <v>0</v>
      </c>
      <c r="H56" s="120">
        <f t="shared" si="20"/>
        <v>0</v>
      </c>
      <c r="I56" s="120">
        <f t="shared" si="20"/>
        <v>0</v>
      </c>
      <c r="J56" s="120">
        <f t="shared" si="20"/>
        <v>0</v>
      </c>
      <c r="K56" s="120">
        <f t="shared" si="20"/>
        <v>0</v>
      </c>
      <c r="L56" s="120">
        <f t="shared" si="20"/>
        <v>0</v>
      </c>
      <c r="M56" s="120">
        <f t="shared" si="20"/>
        <v>0</v>
      </c>
      <c r="N56" s="150" t="s">
        <v>179</v>
      </c>
    </row>
    <row r="57" spans="1:14" ht="19.05" customHeight="1" x14ac:dyDescent="0.3">
      <c r="B57" s="120">
        <f t="shared" si="20"/>
        <v>0</v>
      </c>
      <c r="C57" s="120">
        <f t="shared" si="20"/>
        <v>0</v>
      </c>
      <c r="D57" s="120">
        <f t="shared" si="20"/>
        <v>214.00202209088201</v>
      </c>
      <c r="E57" s="120">
        <f t="shared" si="20"/>
        <v>-856.00808836352803</v>
      </c>
      <c r="F57" s="120">
        <f t="shared" si="20"/>
        <v>-214.00202209088201</v>
      </c>
      <c r="G57" s="120">
        <f t="shared" si="20"/>
        <v>856.00808836352803</v>
      </c>
      <c r="H57" s="120">
        <f t="shared" si="20"/>
        <v>0</v>
      </c>
      <c r="I57" s="120">
        <f t="shared" si="20"/>
        <v>0</v>
      </c>
      <c r="J57" s="120">
        <f t="shared" si="20"/>
        <v>0</v>
      </c>
      <c r="K57" s="120">
        <f t="shared" si="20"/>
        <v>0</v>
      </c>
      <c r="L57" s="120">
        <f t="shared" si="20"/>
        <v>0</v>
      </c>
      <c r="M57" s="120">
        <f t="shared" si="20"/>
        <v>0</v>
      </c>
      <c r="N57" s="150" t="s">
        <v>180</v>
      </c>
    </row>
    <row r="58" spans="1:14" ht="19.05" customHeight="1" x14ac:dyDescent="0.3">
      <c r="B58" s="120">
        <f t="shared" si="20"/>
        <v>0</v>
      </c>
      <c r="C58" s="120">
        <f t="shared" si="20"/>
        <v>0</v>
      </c>
      <c r="D58" s="120">
        <f t="shared" si="20"/>
        <v>-856.00808836352803</v>
      </c>
      <c r="E58" s="120">
        <f t="shared" si="20"/>
        <v>3424.0323534541121</v>
      </c>
      <c r="F58" s="120">
        <f t="shared" si="20"/>
        <v>856.00808836352803</v>
      </c>
      <c r="G58" s="120">
        <f t="shared" si="20"/>
        <v>-3424.0323534541121</v>
      </c>
      <c r="H58" s="120">
        <f t="shared" si="20"/>
        <v>0</v>
      </c>
      <c r="I58" s="120">
        <f t="shared" si="20"/>
        <v>0</v>
      </c>
      <c r="J58" s="120">
        <f t="shared" si="20"/>
        <v>0</v>
      </c>
      <c r="K58" s="120">
        <f t="shared" si="20"/>
        <v>0</v>
      </c>
      <c r="L58" s="120">
        <f t="shared" si="20"/>
        <v>0</v>
      </c>
      <c r="M58" s="120">
        <f t="shared" si="20"/>
        <v>0</v>
      </c>
      <c r="N58" s="150" t="s">
        <v>181</v>
      </c>
    </row>
    <row r="59" spans="1:14" ht="19.05" customHeight="1" x14ac:dyDescent="0.3">
      <c r="B59" s="120">
        <f t="shared" si="20"/>
        <v>0</v>
      </c>
      <c r="C59" s="120">
        <f t="shared" si="20"/>
        <v>0</v>
      </c>
      <c r="D59" s="120">
        <f t="shared" si="20"/>
        <v>-214.00202209088201</v>
      </c>
      <c r="E59" s="120">
        <f t="shared" si="20"/>
        <v>856.00808836352803</v>
      </c>
      <c r="F59" s="120">
        <f t="shared" si="20"/>
        <v>214.00202209088201</v>
      </c>
      <c r="G59" s="120">
        <f t="shared" si="20"/>
        <v>-856.00808836352803</v>
      </c>
      <c r="H59" s="120">
        <f t="shared" si="20"/>
        <v>0</v>
      </c>
      <c r="I59" s="120">
        <f t="shared" si="20"/>
        <v>0</v>
      </c>
      <c r="J59" s="120">
        <f t="shared" si="20"/>
        <v>0</v>
      </c>
      <c r="K59" s="120">
        <f t="shared" si="20"/>
        <v>0</v>
      </c>
      <c r="L59" s="120">
        <f t="shared" si="20"/>
        <v>0</v>
      </c>
      <c r="M59" s="120">
        <f t="shared" si="20"/>
        <v>0</v>
      </c>
      <c r="N59" s="150" t="s">
        <v>182</v>
      </c>
    </row>
    <row r="60" spans="1:14" ht="19.05" customHeight="1" x14ac:dyDescent="0.3">
      <c r="A60" s="118" t="s">
        <v>192</v>
      </c>
      <c r="B60" s="120">
        <f t="shared" si="20"/>
        <v>0</v>
      </c>
      <c r="C60" s="120">
        <f t="shared" si="20"/>
        <v>0</v>
      </c>
      <c r="D60" s="120">
        <f t="shared" si="20"/>
        <v>856.00808836352803</v>
      </c>
      <c r="E60" s="120">
        <f t="shared" si="20"/>
        <v>-3424.0323534541121</v>
      </c>
      <c r="F60" s="120">
        <f t="shared" si="20"/>
        <v>-856.00808836352803</v>
      </c>
      <c r="G60" s="120">
        <f t="shared" si="20"/>
        <v>3424.0323534541121</v>
      </c>
      <c r="H60" s="120">
        <f t="shared" si="20"/>
        <v>0</v>
      </c>
      <c r="I60" s="120">
        <f t="shared" si="20"/>
        <v>0</v>
      </c>
      <c r="J60" s="120">
        <f t="shared" si="20"/>
        <v>0</v>
      </c>
      <c r="K60" s="120">
        <f t="shared" si="20"/>
        <v>0</v>
      </c>
      <c r="L60" s="120">
        <f t="shared" si="20"/>
        <v>0</v>
      </c>
      <c r="M60" s="120">
        <f t="shared" si="20"/>
        <v>0</v>
      </c>
      <c r="N60" s="150" t="s">
        <v>183</v>
      </c>
    </row>
    <row r="61" spans="1:14" ht="19.05" customHeight="1" x14ac:dyDescent="0.3">
      <c r="B61" s="120">
        <f t="shared" si="20"/>
        <v>0</v>
      </c>
      <c r="C61" s="120">
        <f t="shared" si="20"/>
        <v>0</v>
      </c>
      <c r="D61" s="120">
        <f t="shared" si="20"/>
        <v>0</v>
      </c>
      <c r="E61" s="120">
        <f t="shared" si="20"/>
        <v>0</v>
      </c>
      <c r="F61" s="120">
        <f t="shared" si="20"/>
        <v>0</v>
      </c>
      <c r="G61" s="120">
        <f t="shared" si="20"/>
        <v>0</v>
      </c>
      <c r="H61" s="120">
        <f t="shared" si="20"/>
        <v>0</v>
      </c>
      <c r="I61" s="120">
        <f t="shared" si="20"/>
        <v>0</v>
      </c>
      <c r="J61" s="120">
        <f t="shared" si="20"/>
        <v>0</v>
      </c>
      <c r="K61" s="120">
        <f t="shared" si="20"/>
        <v>0</v>
      </c>
      <c r="L61" s="120">
        <f t="shared" si="20"/>
        <v>0</v>
      </c>
      <c r="M61" s="120">
        <f t="shared" si="20"/>
        <v>0</v>
      </c>
      <c r="N61" s="150"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50"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50"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50"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50"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50" t="s">
        <v>189</v>
      </c>
    </row>
    <row r="69" spans="1:14" ht="19.05" customHeight="1" x14ac:dyDescent="0.3">
      <c r="A69" s="118" t="s">
        <v>193</v>
      </c>
      <c r="B69" s="111" t="str">
        <f>IF(D19="","-",D19)</f>
        <v>U3X</v>
      </c>
      <c r="C69" s="111" t="str">
        <f>IF(E19="","-",E19)</f>
        <v>U3Y</v>
      </c>
      <c r="D69" s="111" t="str">
        <f>IF(G19="","-",G19)</f>
        <v>U4X</v>
      </c>
      <c r="E69" s="111" t="str">
        <f>IF(H19="","-",H19)</f>
        <v>U4Y</v>
      </c>
    </row>
    <row r="70" spans="1:14" ht="18" customHeight="1" x14ac:dyDescent="0.3">
      <c r="B70" s="122">
        <f>IF(N8=0, 0, N8*J8*J8)</f>
        <v>4269.0748412273124</v>
      </c>
      <c r="C70" s="122">
        <f>IF(N8=0, 0, N8*J8*K8)</f>
        <v>1423.0249470757706</v>
      </c>
      <c r="D70" s="122">
        <f>IF(N8=0, 0, -N8*J8*J8)</f>
        <v>-4269.0748412273124</v>
      </c>
      <c r="E70" s="122">
        <f>IF(N8=0, 0, -N8*J8*K8)</f>
        <v>-1423.0249470757706</v>
      </c>
      <c r="F70" s="111" t="str">
        <f>IF(D19="","-",D19)</f>
        <v>U3X</v>
      </c>
    </row>
    <row r="71" spans="1:14" ht="18" customHeight="1" x14ac:dyDescent="0.3">
      <c r="B71" s="122">
        <f>IF(N8=0, 0, N8*J8*K8)</f>
        <v>1423.0249470757706</v>
      </c>
      <c r="C71" s="122">
        <f>IF(N8=0, 0, N8*K8*K8)</f>
        <v>474.34164902525674</v>
      </c>
      <c r="D71" s="122">
        <f>IF(N8=0, 0, -N8*J8*K8)</f>
        <v>-1423.0249470757706</v>
      </c>
      <c r="E71" s="122">
        <f>IF(N8=0, 0, -N8*K8*K8)</f>
        <v>-474.34164902525674</v>
      </c>
      <c r="F71" s="111" t="str">
        <f>IF(E19="","-",E19)</f>
        <v>U3Y</v>
      </c>
    </row>
    <row r="72" spans="1:14" ht="18" customHeight="1" x14ac:dyDescent="0.3">
      <c r="B72" s="122">
        <f>IF(N8=0, 0, -N8*J8*J8)</f>
        <v>-4269.0748412273124</v>
      </c>
      <c r="C72" s="122">
        <f>IF(N8=0, 0, -N8*J8*K8)</f>
        <v>-1423.0249470757706</v>
      </c>
      <c r="D72" s="122">
        <f>IF(N8=0, 0, N8*J8*J8)</f>
        <v>4269.0748412273124</v>
      </c>
      <c r="E72" s="122">
        <f>IF(N8=0, 0, N8*J8*K8)</f>
        <v>1423.0249470757706</v>
      </c>
      <c r="F72" s="111" t="str">
        <f>IF(G19="","-",G19)</f>
        <v>U4X</v>
      </c>
    </row>
    <row r="73" spans="1:14" ht="18" customHeight="1" x14ac:dyDescent="0.3">
      <c r="B73" s="122">
        <f>IF(N8=0, 0, -N8*J8*K8)</f>
        <v>-1423.0249470757706</v>
      </c>
      <c r="C73" s="122">
        <f>IF(N8=0, 0, -N8*K8*K8)</f>
        <v>-474.34164902525674</v>
      </c>
      <c r="D73" s="122">
        <f>IF(N8=0, 0, N8*J8*K8)</f>
        <v>1423.0249470757706</v>
      </c>
      <c r="E73" s="122">
        <f>IF(N8=0, 0, N8*K8*K8)</f>
        <v>474.34164902525674</v>
      </c>
      <c r="F73" s="111" t="str">
        <f>IF(H19="","-",H19)</f>
        <v>U4Y</v>
      </c>
    </row>
    <row r="75" spans="1:14" ht="19.05" customHeight="1" x14ac:dyDescent="0.3">
      <c r="B75" s="148" t="s">
        <v>178</v>
      </c>
      <c r="C75" s="148" t="s">
        <v>179</v>
      </c>
      <c r="D75" s="148" t="s">
        <v>180</v>
      </c>
      <c r="E75" s="148" t="s">
        <v>181</v>
      </c>
      <c r="F75" s="148" t="s">
        <v>182</v>
      </c>
      <c r="G75" s="148" t="s">
        <v>183</v>
      </c>
      <c r="H75" s="148" t="s">
        <v>184</v>
      </c>
      <c r="I75" s="148" t="s">
        <v>185</v>
      </c>
      <c r="J75" s="148" t="s">
        <v>186</v>
      </c>
      <c r="K75" s="148" t="s">
        <v>187</v>
      </c>
      <c r="L75" s="148" t="s">
        <v>188</v>
      </c>
      <c r="M75" s="148" t="s">
        <v>189</v>
      </c>
    </row>
    <row r="76" spans="1:14" ht="19.05" customHeight="1" x14ac:dyDescent="0.3">
      <c r="B76" s="120">
        <f t="shared" ref="B76:M87" si="21">IFERROR(INDEX($B$70:$E$73, MATCH($N76, $B$69:$E$69, 0), MATCH(B$75, $B$69:$E$69, 0)), 0)</f>
        <v>0</v>
      </c>
      <c r="C76" s="120">
        <f t="shared" si="21"/>
        <v>0</v>
      </c>
      <c r="D76" s="120">
        <f t="shared" si="21"/>
        <v>0</v>
      </c>
      <c r="E76" s="120">
        <f t="shared" si="21"/>
        <v>0</v>
      </c>
      <c r="F76" s="120">
        <f t="shared" si="21"/>
        <v>0</v>
      </c>
      <c r="G76" s="120">
        <f t="shared" si="21"/>
        <v>0</v>
      </c>
      <c r="H76" s="120">
        <f t="shared" si="21"/>
        <v>0</v>
      </c>
      <c r="I76" s="120">
        <f t="shared" si="21"/>
        <v>0</v>
      </c>
      <c r="J76" s="120">
        <f t="shared" si="21"/>
        <v>0</v>
      </c>
      <c r="K76" s="120">
        <f t="shared" si="21"/>
        <v>0</v>
      </c>
      <c r="L76" s="120">
        <f t="shared" si="21"/>
        <v>0</v>
      </c>
      <c r="M76" s="120">
        <f t="shared" si="21"/>
        <v>0</v>
      </c>
      <c r="N76" s="111" t="s">
        <v>178</v>
      </c>
    </row>
    <row r="77" spans="1:14" ht="19.05" customHeight="1" x14ac:dyDescent="0.3">
      <c r="B77" s="120">
        <f t="shared" si="21"/>
        <v>0</v>
      </c>
      <c r="C77" s="120">
        <f t="shared" si="21"/>
        <v>0</v>
      </c>
      <c r="D77" s="120">
        <f t="shared" si="21"/>
        <v>0</v>
      </c>
      <c r="E77" s="120">
        <f t="shared" si="21"/>
        <v>0</v>
      </c>
      <c r="F77" s="120">
        <f t="shared" si="21"/>
        <v>0</v>
      </c>
      <c r="G77" s="120">
        <f t="shared" si="21"/>
        <v>0</v>
      </c>
      <c r="H77" s="120">
        <f t="shared" si="21"/>
        <v>0</v>
      </c>
      <c r="I77" s="120">
        <f t="shared" si="21"/>
        <v>0</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0</v>
      </c>
      <c r="E78" s="120">
        <f t="shared" si="21"/>
        <v>0</v>
      </c>
      <c r="F78" s="120">
        <f t="shared" si="21"/>
        <v>0</v>
      </c>
      <c r="G78" s="120">
        <f t="shared" si="21"/>
        <v>0</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0</v>
      </c>
      <c r="E79" s="120">
        <f t="shared" si="21"/>
        <v>0</v>
      </c>
      <c r="F79" s="120">
        <f t="shared" si="21"/>
        <v>0</v>
      </c>
      <c r="G79" s="120">
        <f t="shared" si="21"/>
        <v>0</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0</v>
      </c>
      <c r="E80" s="120">
        <f t="shared" si="21"/>
        <v>0</v>
      </c>
      <c r="F80" s="120">
        <f t="shared" si="21"/>
        <v>4269.0748412273124</v>
      </c>
      <c r="G80" s="120">
        <f t="shared" si="21"/>
        <v>1423.0249470757706</v>
      </c>
      <c r="H80" s="120">
        <f t="shared" si="21"/>
        <v>-4269.0748412273124</v>
      </c>
      <c r="I80" s="120">
        <f t="shared" si="21"/>
        <v>-1423.0249470757706</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0</v>
      </c>
      <c r="E81" s="120">
        <f t="shared" si="21"/>
        <v>0</v>
      </c>
      <c r="F81" s="120">
        <f t="shared" si="21"/>
        <v>1423.0249470757706</v>
      </c>
      <c r="G81" s="120">
        <f t="shared" si="21"/>
        <v>474.34164902525674</v>
      </c>
      <c r="H81" s="120">
        <f t="shared" si="21"/>
        <v>-1423.0249470757706</v>
      </c>
      <c r="I81" s="120">
        <f t="shared" si="21"/>
        <v>-474.34164902525674</v>
      </c>
      <c r="J81" s="120">
        <f t="shared" si="21"/>
        <v>0</v>
      </c>
      <c r="K81" s="120">
        <f t="shared" si="21"/>
        <v>0</v>
      </c>
      <c r="L81" s="120">
        <f t="shared" si="21"/>
        <v>0</v>
      </c>
      <c r="M81" s="120">
        <f t="shared" si="21"/>
        <v>0</v>
      </c>
      <c r="N81" s="111" t="s">
        <v>183</v>
      </c>
    </row>
    <row r="82" spans="1:14" ht="19.05" customHeight="1" x14ac:dyDescent="0.3">
      <c r="B82" s="120">
        <f t="shared" si="21"/>
        <v>0</v>
      </c>
      <c r="C82" s="120">
        <f t="shared" si="21"/>
        <v>0</v>
      </c>
      <c r="D82" s="120">
        <f t="shared" si="21"/>
        <v>0</v>
      </c>
      <c r="E82" s="120">
        <f t="shared" si="21"/>
        <v>0</v>
      </c>
      <c r="F82" s="120">
        <f t="shared" si="21"/>
        <v>-4269.0748412273124</v>
      </c>
      <c r="G82" s="120">
        <f t="shared" si="21"/>
        <v>-1423.0249470757706</v>
      </c>
      <c r="H82" s="120">
        <f t="shared" si="21"/>
        <v>4269.0748412273124</v>
      </c>
      <c r="I82" s="120">
        <f t="shared" si="21"/>
        <v>1423.0249470757706</v>
      </c>
      <c r="J82" s="120">
        <f t="shared" si="21"/>
        <v>0</v>
      </c>
      <c r="K82" s="120">
        <f t="shared" si="21"/>
        <v>0</v>
      </c>
      <c r="L82" s="120">
        <f t="shared" si="21"/>
        <v>0</v>
      </c>
      <c r="M82" s="120">
        <f t="shared" si="21"/>
        <v>0</v>
      </c>
      <c r="N82" s="111" t="s">
        <v>184</v>
      </c>
    </row>
    <row r="83" spans="1:14" ht="19.05" customHeight="1" x14ac:dyDescent="0.3">
      <c r="B83" s="120">
        <f t="shared" si="21"/>
        <v>0</v>
      </c>
      <c r="C83" s="120">
        <f t="shared" si="21"/>
        <v>0</v>
      </c>
      <c r="D83" s="120">
        <f t="shared" si="21"/>
        <v>0</v>
      </c>
      <c r="E83" s="120">
        <f t="shared" si="21"/>
        <v>0</v>
      </c>
      <c r="F83" s="120">
        <f t="shared" si="21"/>
        <v>-1423.0249470757706</v>
      </c>
      <c r="G83" s="120">
        <f t="shared" si="21"/>
        <v>-474.34164902525674</v>
      </c>
      <c r="H83" s="120">
        <f t="shared" si="21"/>
        <v>1423.0249470757706</v>
      </c>
      <c r="I83" s="120">
        <f t="shared" si="21"/>
        <v>474.34164902525674</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U4X</v>
      </c>
      <c r="C90" s="112" t="str">
        <f>IF(E20="","-",E20)</f>
        <v>U4Y</v>
      </c>
      <c r="D90" s="112" t="str">
        <f>IF(G20="","-",G20)</f>
        <v>U1X</v>
      </c>
      <c r="E90" s="112" t="str">
        <f>IF(H20="","-",H20)</f>
        <v>U1Y</v>
      </c>
    </row>
    <row r="91" spans="1:14" ht="18" customHeight="1" x14ac:dyDescent="0.3">
      <c r="B91" s="123">
        <f>IF(N9=0, 0, N9*J9*J9)</f>
        <v>474.34164902525674</v>
      </c>
      <c r="C91" s="123">
        <f>IF(N9=0, 0, N9*J9*K9)</f>
        <v>1423.0249470757703</v>
      </c>
      <c r="D91" s="123">
        <f>IF(N9=0, 0, -N9*J9*J9)</f>
        <v>-474.34164902525674</v>
      </c>
      <c r="E91" s="123">
        <f>IF(N9=0, 0, -N9*J9*K9)</f>
        <v>-1423.0249470757703</v>
      </c>
      <c r="F91" s="112" t="str">
        <f>IF(D20="","-",D20)</f>
        <v>U4X</v>
      </c>
    </row>
    <row r="92" spans="1:14" ht="18" customHeight="1" x14ac:dyDescent="0.3">
      <c r="B92" s="123">
        <f>IF(N9=0, 0, N9*J9*K9)</f>
        <v>1423.0249470757703</v>
      </c>
      <c r="C92" s="123">
        <f>IF(N9=0, 0, N9*K9*K9)</f>
        <v>4269.0748412273124</v>
      </c>
      <c r="D92" s="123">
        <f>IF(N9=0, 0, -N9*J9*K9)</f>
        <v>-1423.0249470757703</v>
      </c>
      <c r="E92" s="123">
        <f>IF(N9=0, 0, -N9*K9*K9)</f>
        <v>-4269.0748412273124</v>
      </c>
      <c r="F92" s="112" t="str">
        <f>IF(E20="","-",E20)</f>
        <v>U4Y</v>
      </c>
    </row>
    <row r="93" spans="1:14" ht="18" customHeight="1" x14ac:dyDescent="0.3">
      <c r="B93" s="123">
        <f>IF(N9=0, 0, -N9*J9*J9)</f>
        <v>-474.34164902525674</v>
      </c>
      <c r="C93" s="123">
        <f>IF(N9=0, 0, -N9*J9*K9)</f>
        <v>-1423.0249470757703</v>
      </c>
      <c r="D93" s="123">
        <f>IF(N9=0, 0, N9*J9*J9)</f>
        <v>474.34164902525674</v>
      </c>
      <c r="E93" s="123">
        <f>IF(N9=0, 0, N9*J9*K9)</f>
        <v>1423.0249470757703</v>
      </c>
      <c r="F93" s="112" t="str">
        <f>IF(G20="","-",G20)</f>
        <v>U1X</v>
      </c>
    </row>
    <row r="94" spans="1:14" ht="18" customHeight="1" x14ac:dyDescent="0.3">
      <c r="B94" s="123">
        <f>IF(N9=0, 0, -N9*J9*K9)</f>
        <v>-1423.0249470757703</v>
      </c>
      <c r="C94" s="123">
        <f>IF(N9=0, 0, -N9*K9*K9)</f>
        <v>-4269.0748412273124</v>
      </c>
      <c r="D94" s="123">
        <f>IF(N9=0, 0, N9*J9*K9)</f>
        <v>1423.0249470757703</v>
      </c>
      <c r="E94" s="123">
        <f>IF(N9=0, 0, N9*K9*K9)</f>
        <v>4269.0748412273124</v>
      </c>
      <c r="F94" s="112" t="str">
        <f>IF(H20="","-",H20)</f>
        <v>U1Y</v>
      </c>
    </row>
    <row r="96" spans="1:14" ht="19.05" customHeight="1" x14ac:dyDescent="0.3">
      <c r="B96" s="148" t="s">
        <v>178</v>
      </c>
      <c r="C96" s="148" t="s">
        <v>179</v>
      </c>
      <c r="D96" s="148" t="s">
        <v>180</v>
      </c>
      <c r="E96" s="148" t="s">
        <v>181</v>
      </c>
      <c r="F96" s="148" t="s">
        <v>182</v>
      </c>
      <c r="G96" s="148" t="s">
        <v>183</v>
      </c>
      <c r="H96" s="148" t="s">
        <v>184</v>
      </c>
      <c r="I96" s="148" t="s">
        <v>185</v>
      </c>
      <c r="J96" s="148" t="s">
        <v>186</v>
      </c>
      <c r="K96" s="148" t="s">
        <v>187</v>
      </c>
      <c r="L96" s="148" t="s">
        <v>188</v>
      </c>
      <c r="M96" s="148" t="s">
        <v>189</v>
      </c>
    </row>
    <row r="97" spans="1:14" ht="19.05" customHeight="1" x14ac:dyDescent="0.3">
      <c r="B97" s="120">
        <f t="shared" ref="B97:M108" si="22">IFERROR(INDEX($B$91:$E$94, MATCH($N97, $B$90:$E$90, 0), MATCH(B$96, $B$90:$E$90, 0)), 0)</f>
        <v>474.34164902525674</v>
      </c>
      <c r="C97" s="120">
        <f t="shared" si="22"/>
        <v>1423.0249470757703</v>
      </c>
      <c r="D97" s="120">
        <f t="shared" si="22"/>
        <v>0</v>
      </c>
      <c r="E97" s="120">
        <f t="shared" si="22"/>
        <v>0</v>
      </c>
      <c r="F97" s="120">
        <f t="shared" si="22"/>
        <v>0</v>
      </c>
      <c r="G97" s="120">
        <f t="shared" si="22"/>
        <v>0</v>
      </c>
      <c r="H97" s="120">
        <f t="shared" si="22"/>
        <v>-474.34164902525674</v>
      </c>
      <c r="I97" s="120">
        <f t="shared" si="22"/>
        <v>-1423.0249470757703</v>
      </c>
      <c r="J97" s="120">
        <f t="shared" si="22"/>
        <v>0</v>
      </c>
      <c r="K97" s="120">
        <f t="shared" si="22"/>
        <v>0</v>
      </c>
      <c r="L97" s="120">
        <f t="shared" si="22"/>
        <v>0</v>
      </c>
      <c r="M97" s="120">
        <f t="shared" si="22"/>
        <v>0</v>
      </c>
      <c r="N97" s="112" t="s">
        <v>178</v>
      </c>
    </row>
    <row r="98" spans="1:14" ht="19.05" customHeight="1" x14ac:dyDescent="0.3">
      <c r="B98" s="120">
        <f t="shared" si="22"/>
        <v>1423.0249470757703</v>
      </c>
      <c r="C98" s="120">
        <f t="shared" si="22"/>
        <v>4269.0748412273124</v>
      </c>
      <c r="D98" s="120">
        <f t="shared" si="22"/>
        <v>0</v>
      </c>
      <c r="E98" s="120">
        <f t="shared" si="22"/>
        <v>0</v>
      </c>
      <c r="F98" s="120">
        <f t="shared" si="22"/>
        <v>0</v>
      </c>
      <c r="G98" s="120">
        <f t="shared" si="22"/>
        <v>0</v>
      </c>
      <c r="H98" s="120">
        <f t="shared" si="22"/>
        <v>-1423.0249470757703</v>
      </c>
      <c r="I98" s="120">
        <f t="shared" si="22"/>
        <v>-4269.0748412273124</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0</v>
      </c>
      <c r="E99" s="120">
        <f t="shared" si="22"/>
        <v>0</v>
      </c>
      <c r="F99" s="120">
        <f t="shared" si="22"/>
        <v>0</v>
      </c>
      <c r="G99" s="120">
        <f t="shared" si="22"/>
        <v>0</v>
      </c>
      <c r="H99" s="120">
        <f t="shared" si="22"/>
        <v>0</v>
      </c>
      <c r="I99" s="120">
        <f t="shared" si="22"/>
        <v>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0</v>
      </c>
      <c r="E100" s="120">
        <f t="shared" si="22"/>
        <v>0</v>
      </c>
      <c r="F100" s="120">
        <f t="shared" si="22"/>
        <v>0</v>
      </c>
      <c r="G100" s="120">
        <f t="shared" si="22"/>
        <v>0</v>
      </c>
      <c r="H100" s="120">
        <f t="shared" si="22"/>
        <v>0</v>
      </c>
      <c r="I100" s="120">
        <f t="shared" si="22"/>
        <v>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0</v>
      </c>
      <c r="G101" s="120">
        <f t="shared" si="22"/>
        <v>0</v>
      </c>
      <c r="H101" s="120">
        <f t="shared" si="22"/>
        <v>0</v>
      </c>
      <c r="I101" s="120">
        <f t="shared" si="22"/>
        <v>0</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0</v>
      </c>
      <c r="G102" s="120">
        <f t="shared" si="22"/>
        <v>0</v>
      </c>
      <c r="H102" s="120">
        <f t="shared" si="22"/>
        <v>0</v>
      </c>
      <c r="I102" s="120">
        <f t="shared" si="22"/>
        <v>0</v>
      </c>
      <c r="J102" s="120">
        <f t="shared" si="22"/>
        <v>0</v>
      </c>
      <c r="K102" s="120">
        <f t="shared" si="22"/>
        <v>0</v>
      </c>
      <c r="L102" s="120">
        <f t="shared" si="22"/>
        <v>0</v>
      </c>
      <c r="M102" s="120">
        <f t="shared" si="22"/>
        <v>0</v>
      </c>
      <c r="N102" s="112" t="s">
        <v>183</v>
      </c>
    </row>
    <row r="103" spans="1:14" ht="19.05" customHeight="1" x14ac:dyDescent="0.3">
      <c r="B103" s="120">
        <f t="shared" si="22"/>
        <v>-474.34164902525674</v>
      </c>
      <c r="C103" s="120">
        <f t="shared" si="22"/>
        <v>-1423.0249470757703</v>
      </c>
      <c r="D103" s="120">
        <f t="shared" si="22"/>
        <v>0</v>
      </c>
      <c r="E103" s="120">
        <f t="shared" si="22"/>
        <v>0</v>
      </c>
      <c r="F103" s="120">
        <f t="shared" si="22"/>
        <v>0</v>
      </c>
      <c r="G103" s="120">
        <f t="shared" si="22"/>
        <v>0</v>
      </c>
      <c r="H103" s="120">
        <f t="shared" si="22"/>
        <v>474.34164902525674</v>
      </c>
      <c r="I103" s="120">
        <f t="shared" si="22"/>
        <v>1423.0249470757703</v>
      </c>
      <c r="J103" s="120">
        <f t="shared" si="22"/>
        <v>0</v>
      </c>
      <c r="K103" s="120">
        <f t="shared" si="22"/>
        <v>0</v>
      </c>
      <c r="L103" s="120">
        <f t="shared" si="22"/>
        <v>0</v>
      </c>
      <c r="M103" s="120">
        <f t="shared" si="22"/>
        <v>0</v>
      </c>
      <c r="N103" s="112" t="s">
        <v>184</v>
      </c>
    </row>
    <row r="104" spans="1:14" ht="19.05" customHeight="1" x14ac:dyDescent="0.3">
      <c r="B104" s="120">
        <f t="shared" si="22"/>
        <v>-1423.0249470757703</v>
      </c>
      <c r="C104" s="120">
        <f t="shared" si="22"/>
        <v>-4269.0748412273124</v>
      </c>
      <c r="D104" s="120">
        <f t="shared" si="22"/>
        <v>0</v>
      </c>
      <c r="E104" s="120">
        <f t="shared" si="22"/>
        <v>0</v>
      </c>
      <c r="F104" s="120">
        <f t="shared" si="22"/>
        <v>0</v>
      </c>
      <c r="G104" s="120">
        <f t="shared" si="22"/>
        <v>0</v>
      </c>
      <c r="H104" s="120">
        <f t="shared" si="22"/>
        <v>1423.0249470757703</v>
      </c>
      <c r="I104" s="120">
        <f t="shared" si="22"/>
        <v>4269.0748412273124</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U2X</v>
      </c>
      <c r="C111" s="113" t="str">
        <f>IF(E21="","-",E21)</f>
        <v>U2Y</v>
      </c>
      <c r="D111" s="113" t="str">
        <f>IF(G21="","-",G21)</f>
        <v>U4X</v>
      </c>
      <c r="E111" s="113" t="str">
        <f>IF(H21="","-",H21)</f>
        <v>U4Y</v>
      </c>
    </row>
    <row r="112" spans="1:14" ht="18" customHeight="1" x14ac:dyDescent="0.3">
      <c r="B112" s="124">
        <f>IF(N10=0, 0, N10*J10*J10)</f>
        <v>1920</v>
      </c>
      <c r="C112" s="124">
        <f>IF(N10=0, 0, N10*J10*K10)</f>
        <v>-1440</v>
      </c>
      <c r="D112" s="124">
        <f>IF(N10=0, 0, -N10*J10*J10)</f>
        <v>-1920</v>
      </c>
      <c r="E112" s="124">
        <f>IF(N10=0, 0, -N10*J10*K10)</f>
        <v>1440</v>
      </c>
      <c r="F112" s="113" t="str">
        <f>IF(D21="","-",D21)</f>
        <v>U2X</v>
      </c>
    </row>
    <row r="113" spans="1:14" ht="18" customHeight="1" x14ac:dyDescent="0.3">
      <c r="B113" s="124">
        <f>IF(N10=0, 0, N10*J10*K10)</f>
        <v>-1440</v>
      </c>
      <c r="C113" s="124">
        <f>IF(N10=0, 0, N10*K10*K10)</f>
        <v>1080</v>
      </c>
      <c r="D113" s="124">
        <f>IF(N10=0, 0, -N10*J10*K10)</f>
        <v>1440</v>
      </c>
      <c r="E113" s="124">
        <f>IF(N10=0, 0, -N10*K10*K10)</f>
        <v>-1080</v>
      </c>
      <c r="F113" s="113" t="str">
        <f>IF(E21="","-",E21)</f>
        <v>U2Y</v>
      </c>
    </row>
    <row r="114" spans="1:14" ht="18" customHeight="1" x14ac:dyDescent="0.3">
      <c r="B114" s="124">
        <f>IF(N10=0, 0, -N10*J10*J10)</f>
        <v>-1920</v>
      </c>
      <c r="C114" s="124">
        <f>IF(N10=0, 0, -N10*J10*K10)</f>
        <v>1440</v>
      </c>
      <c r="D114" s="124">
        <f>IF(N10=0, 0, N10*J10*J10)</f>
        <v>1920</v>
      </c>
      <c r="E114" s="124">
        <f>IF(N10=0, 0, N10*J10*K10)</f>
        <v>-1440</v>
      </c>
      <c r="F114" s="113" t="str">
        <f>IF(G21="","-",G21)</f>
        <v>U4X</v>
      </c>
    </row>
    <row r="115" spans="1:14" ht="18" customHeight="1" x14ac:dyDescent="0.3">
      <c r="B115" s="124">
        <f>IF(N10=0, 0, -N10*J10*K10)</f>
        <v>1440</v>
      </c>
      <c r="C115" s="124">
        <f>IF(N10=0, 0, -N10*K10*K10)</f>
        <v>-1080</v>
      </c>
      <c r="D115" s="124">
        <f>IF(N10=0, 0, N10*J10*K10)</f>
        <v>-1440</v>
      </c>
      <c r="E115" s="124">
        <f>IF(N10=0, 0, N10*K10*K10)</f>
        <v>1080</v>
      </c>
      <c r="F115" s="113" t="str">
        <f>IF(H21="","-",H21)</f>
        <v>U4Y</v>
      </c>
    </row>
    <row r="117" spans="1:14" ht="19.05" customHeight="1" x14ac:dyDescent="0.3">
      <c r="B117" s="148" t="s">
        <v>178</v>
      </c>
      <c r="C117" s="148" t="s">
        <v>179</v>
      </c>
      <c r="D117" s="148" t="s">
        <v>180</v>
      </c>
      <c r="E117" s="148" t="s">
        <v>181</v>
      </c>
      <c r="F117" s="148" t="s">
        <v>182</v>
      </c>
      <c r="G117" s="148" t="s">
        <v>183</v>
      </c>
      <c r="H117" s="148" t="s">
        <v>184</v>
      </c>
      <c r="I117" s="148" t="s">
        <v>185</v>
      </c>
      <c r="J117" s="148" t="s">
        <v>186</v>
      </c>
      <c r="K117" s="148" t="s">
        <v>187</v>
      </c>
      <c r="L117" s="148" t="s">
        <v>188</v>
      </c>
      <c r="M117" s="148" t="s">
        <v>189</v>
      </c>
    </row>
    <row r="118" spans="1:14" ht="19.05" customHeight="1" x14ac:dyDescent="0.3">
      <c r="B118" s="120">
        <f t="shared" ref="B118:M129" si="23">IFERROR(INDEX($B$112:$E$115, MATCH($N118, $B$111:$E$111, 0), MATCH(B$117, $B$111:$E$111, 0)), 0)</f>
        <v>0</v>
      </c>
      <c r="C118" s="120">
        <f t="shared" si="23"/>
        <v>0</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0</v>
      </c>
      <c r="C119" s="120">
        <f t="shared" si="23"/>
        <v>0</v>
      </c>
      <c r="D119" s="120">
        <f t="shared" si="23"/>
        <v>0</v>
      </c>
      <c r="E119" s="120">
        <f t="shared" si="23"/>
        <v>0</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0</v>
      </c>
      <c r="C120" s="120">
        <f t="shared" si="23"/>
        <v>0</v>
      </c>
      <c r="D120" s="120">
        <f t="shared" si="23"/>
        <v>1920</v>
      </c>
      <c r="E120" s="120">
        <f t="shared" si="23"/>
        <v>-1440</v>
      </c>
      <c r="F120" s="120">
        <f t="shared" si="23"/>
        <v>0</v>
      </c>
      <c r="G120" s="120">
        <f t="shared" si="23"/>
        <v>0</v>
      </c>
      <c r="H120" s="120">
        <f t="shared" si="23"/>
        <v>-1920</v>
      </c>
      <c r="I120" s="120">
        <f t="shared" si="23"/>
        <v>1440</v>
      </c>
      <c r="J120" s="120">
        <f t="shared" si="23"/>
        <v>0</v>
      </c>
      <c r="K120" s="120">
        <f t="shared" si="23"/>
        <v>0</v>
      </c>
      <c r="L120" s="120">
        <f t="shared" si="23"/>
        <v>0</v>
      </c>
      <c r="M120" s="120">
        <f t="shared" si="23"/>
        <v>0</v>
      </c>
      <c r="N120" s="113" t="s">
        <v>180</v>
      </c>
    </row>
    <row r="121" spans="1:14" ht="19.05" customHeight="1" x14ac:dyDescent="0.3">
      <c r="B121" s="120">
        <f t="shared" si="23"/>
        <v>0</v>
      </c>
      <c r="C121" s="120">
        <f t="shared" si="23"/>
        <v>0</v>
      </c>
      <c r="D121" s="120">
        <f t="shared" si="23"/>
        <v>-1440</v>
      </c>
      <c r="E121" s="120">
        <f t="shared" si="23"/>
        <v>1080</v>
      </c>
      <c r="F121" s="120">
        <f t="shared" si="23"/>
        <v>0</v>
      </c>
      <c r="G121" s="120">
        <f t="shared" si="23"/>
        <v>0</v>
      </c>
      <c r="H121" s="120">
        <f t="shared" si="23"/>
        <v>1440</v>
      </c>
      <c r="I121" s="120">
        <f t="shared" si="23"/>
        <v>-1080</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-1920</v>
      </c>
      <c r="E124" s="120">
        <f t="shared" si="23"/>
        <v>1440</v>
      </c>
      <c r="F124" s="120">
        <f t="shared" si="23"/>
        <v>0</v>
      </c>
      <c r="G124" s="120">
        <f t="shared" si="23"/>
        <v>0</v>
      </c>
      <c r="H124" s="120">
        <f t="shared" si="23"/>
        <v>1920</v>
      </c>
      <c r="I124" s="120">
        <f t="shared" si="23"/>
        <v>-1440</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1440</v>
      </c>
      <c r="E125" s="120">
        <f t="shared" si="23"/>
        <v>-1080</v>
      </c>
      <c r="F125" s="120">
        <f t="shared" si="23"/>
        <v>0</v>
      </c>
      <c r="G125" s="120">
        <f t="shared" si="23"/>
        <v>0</v>
      </c>
      <c r="H125" s="120">
        <f t="shared" si="23"/>
        <v>-1440</v>
      </c>
      <c r="I125" s="120">
        <f t="shared" si="23"/>
        <v>1080</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48" t="s">
        <v>178</v>
      </c>
      <c r="C138" s="148" t="s">
        <v>179</v>
      </c>
      <c r="D138" s="148" t="s">
        <v>180</v>
      </c>
      <c r="E138" s="148" t="s">
        <v>181</v>
      </c>
      <c r="F138" s="148" t="s">
        <v>182</v>
      </c>
      <c r="G138" s="148" t="s">
        <v>183</v>
      </c>
      <c r="H138" s="148" t="s">
        <v>184</v>
      </c>
      <c r="I138" s="148" t="s">
        <v>185</v>
      </c>
      <c r="J138" s="148" t="s">
        <v>186</v>
      </c>
      <c r="K138" s="148" t="s">
        <v>187</v>
      </c>
      <c r="L138" s="148" t="s">
        <v>188</v>
      </c>
      <c r="M138" s="148"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48" t="s">
        <v>178</v>
      </c>
      <c r="C159" s="148" t="s">
        <v>179</v>
      </c>
      <c r="D159" s="148" t="s">
        <v>180</v>
      </c>
      <c r="E159" s="148" t="s">
        <v>181</v>
      </c>
      <c r="F159" s="148" t="s">
        <v>182</v>
      </c>
      <c r="G159" s="148" t="s">
        <v>183</v>
      </c>
      <c r="H159" s="148" t="s">
        <v>184</v>
      </c>
      <c r="I159" s="148" t="s">
        <v>185</v>
      </c>
      <c r="J159" s="148" t="s">
        <v>186</v>
      </c>
      <c r="K159" s="148" t="s">
        <v>187</v>
      </c>
      <c r="L159" s="148" t="s">
        <v>188</v>
      </c>
      <c r="M159" s="148"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48" t="s">
        <v>178</v>
      </c>
      <c r="C180" s="148" t="s">
        <v>179</v>
      </c>
      <c r="D180" s="148" t="s">
        <v>180</v>
      </c>
      <c r="E180" s="148" t="s">
        <v>181</v>
      </c>
      <c r="F180" s="148" t="s">
        <v>182</v>
      </c>
      <c r="G180" s="148" t="s">
        <v>183</v>
      </c>
      <c r="H180" s="148" t="s">
        <v>184</v>
      </c>
      <c r="I180" s="148" t="s">
        <v>185</v>
      </c>
      <c r="J180" s="148" t="s">
        <v>186</v>
      </c>
      <c r="K180" s="148" t="s">
        <v>187</v>
      </c>
      <c r="L180" s="148" t="s">
        <v>188</v>
      </c>
      <c r="M180" s="148"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thickBot="1" x14ac:dyDescent="0.35">
      <c r="B195" s="153" t="s">
        <v>178</v>
      </c>
      <c r="C195" s="148" t="s">
        <v>179</v>
      </c>
      <c r="D195" s="148" t="s">
        <v>180</v>
      </c>
      <c r="E195" s="148" t="s">
        <v>181</v>
      </c>
      <c r="F195" s="148" t="s">
        <v>182</v>
      </c>
      <c r="G195" s="148" t="s">
        <v>183</v>
      </c>
      <c r="H195" s="148" t="s">
        <v>184</v>
      </c>
      <c r="I195" s="148" t="s">
        <v>185</v>
      </c>
      <c r="J195" s="148" t="s">
        <v>186</v>
      </c>
      <c r="K195" s="148" t="s">
        <v>187</v>
      </c>
      <c r="L195" s="148" t="s">
        <v>188</v>
      </c>
      <c r="M195" s="148" t="s">
        <v>189</v>
      </c>
    </row>
    <row r="196" spans="1:14" ht="19.95" customHeight="1" thickBot="1" x14ac:dyDescent="0.35">
      <c r="B196" s="158">
        <f t="shared" ref="B196:M207" si="27">B34+B55+B76+B97+B118+B139+B160+B181</f>
        <v>3474.3416490252566</v>
      </c>
      <c r="C196" s="154">
        <f t="shared" si="27"/>
        <v>1423.0249470757703</v>
      </c>
      <c r="D196" s="120">
        <f t="shared" si="27"/>
        <v>-3000</v>
      </c>
      <c r="E196" s="120">
        <f t="shared" si="27"/>
        <v>0</v>
      </c>
      <c r="F196" s="120">
        <f t="shared" si="27"/>
        <v>0</v>
      </c>
      <c r="G196" s="120">
        <f t="shared" si="27"/>
        <v>0</v>
      </c>
      <c r="H196" s="120">
        <f t="shared" si="27"/>
        <v>-474.34164902525674</v>
      </c>
      <c r="I196" s="120">
        <f t="shared" si="27"/>
        <v>-1423.0249470757703</v>
      </c>
      <c r="J196" s="120">
        <f t="shared" si="27"/>
        <v>0</v>
      </c>
      <c r="K196" s="120">
        <f t="shared" si="27"/>
        <v>0</v>
      </c>
      <c r="L196" s="120">
        <f t="shared" si="27"/>
        <v>0</v>
      </c>
      <c r="M196" s="120">
        <f t="shared" si="27"/>
        <v>0</v>
      </c>
      <c r="N196" s="130" t="s">
        <v>178</v>
      </c>
    </row>
    <row r="197" spans="1:14" ht="19.95" customHeight="1" thickBot="1" x14ac:dyDescent="0.35">
      <c r="B197" s="156">
        <f t="shared" si="27"/>
        <v>1423.0249470757703</v>
      </c>
      <c r="C197" s="158">
        <f t="shared" si="27"/>
        <v>4269.0748412273124</v>
      </c>
      <c r="D197" s="155">
        <f t="shared" si="27"/>
        <v>0</v>
      </c>
      <c r="E197" s="120">
        <f t="shared" si="27"/>
        <v>0</v>
      </c>
      <c r="F197" s="120">
        <f t="shared" si="27"/>
        <v>0</v>
      </c>
      <c r="G197" s="120">
        <f t="shared" si="27"/>
        <v>0</v>
      </c>
      <c r="H197" s="120">
        <f t="shared" si="27"/>
        <v>-1423.0249470757703</v>
      </c>
      <c r="I197" s="120">
        <f t="shared" si="27"/>
        <v>-4269.0748412273124</v>
      </c>
      <c r="J197" s="120">
        <f t="shared" si="27"/>
        <v>0</v>
      </c>
      <c r="K197" s="120">
        <f t="shared" si="27"/>
        <v>0</v>
      </c>
      <c r="L197" s="120">
        <f t="shared" si="27"/>
        <v>0</v>
      </c>
      <c r="M197" s="120">
        <f t="shared" si="27"/>
        <v>0</v>
      </c>
      <c r="N197" s="130" t="s">
        <v>179</v>
      </c>
    </row>
    <row r="198" spans="1:14" ht="19.95" customHeight="1" thickBot="1" x14ac:dyDescent="0.35">
      <c r="B198" s="120">
        <f t="shared" si="27"/>
        <v>-3000</v>
      </c>
      <c r="C198" s="157">
        <f t="shared" si="27"/>
        <v>0</v>
      </c>
      <c r="D198" s="158">
        <f t="shared" si="27"/>
        <v>5134.0020220908818</v>
      </c>
      <c r="E198" s="154">
        <f t="shared" si="27"/>
        <v>-2296.0080883635283</v>
      </c>
      <c r="F198" s="120">
        <f t="shared" si="27"/>
        <v>-214.00202209088201</v>
      </c>
      <c r="G198" s="120">
        <f t="shared" si="27"/>
        <v>856.00808836352803</v>
      </c>
      <c r="H198" s="120">
        <f t="shared" si="27"/>
        <v>-1920</v>
      </c>
      <c r="I198" s="120">
        <f t="shared" si="27"/>
        <v>1440</v>
      </c>
      <c r="J198" s="120">
        <f t="shared" si="27"/>
        <v>0</v>
      </c>
      <c r="K198" s="120">
        <f t="shared" si="27"/>
        <v>0</v>
      </c>
      <c r="L198" s="120">
        <f t="shared" si="27"/>
        <v>0</v>
      </c>
      <c r="M198" s="120">
        <f t="shared" si="27"/>
        <v>0</v>
      </c>
      <c r="N198" s="130" t="s">
        <v>180</v>
      </c>
    </row>
    <row r="199" spans="1:14" ht="19.95" customHeight="1" thickBot="1" x14ac:dyDescent="0.35">
      <c r="B199" s="120">
        <f t="shared" si="27"/>
        <v>0</v>
      </c>
      <c r="C199" s="120">
        <f t="shared" si="27"/>
        <v>0</v>
      </c>
      <c r="D199" s="156">
        <f t="shared" si="27"/>
        <v>-2296.0080883635283</v>
      </c>
      <c r="E199" s="158">
        <f t="shared" si="27"/>
        <v>4504.0323534541121</v>
      </c>
      <c r="F199" s="155">
        <f t="shared" si="27"/>
        <v>856.00808836352803</v>
      </c>
      <c r="G199" s="120">
        <f t="shared" si="27"/>
        <v>-3424.0323534541121</v>
      </c>
      <c r="H199" s="120">
        <f t="shared" si="27"/>
        <v>1440</v>
      </c>
      <c r="I199" s="120">
        <f t="shared" si="27"/>
        <v>-1080</v>
      </c>
      <c r="J199" s="120">
        <f t="shared" si="27"/>
        <v>0</v>
      </c>
      <c r="K199" s="120">
        <f t="shared" si="27"/>
        <v>0</v>
      </c>
      <c r="L199" s="120">
        <f t="shared" si="27"/>
        <v>0</v>
      </c>
      <c r="M199" s="120">
        <f t="shared" si="27"/>
        <v>0</v>
      </c>
      <c r="N199" s="130" t="s">
        <v>181</v>
      </c>
    </row>
    <row r="200" spans="1:14" ht="19.95" customHeight="1" thickBot="1" x14ac:dyDescent="0.35">
      <c r="B200" s="120">
        <f t="shared" si="27"/>
        <v>0</v>
      </c>
      <c r="C200" s="120">
        <f t="shared" si="27"/>
        <v>0</v>
      </c>
      <c r="D200" s="120">
        <f t="shared" si="27"/>
        <v>-214.00202209088201</v>
      </c>
      <c r="E200" s="157">
        <f t="shared" si="27"/>
        <v>856.00808836352803</v>
      </c>
      <c r="F200" s="158">
        <f t="shared" si="27"/>
        <v>4483.0768633181942</v>
      </c>
      <c r="G200" s="154">
        <f t="shared" si="27"/>
        <v>567.01685871224254</v>
      </c>
      <c r="H200" s="120">
        <f t="shared" si="27"/>
        <v>-4269.0748412273124</v>
      </c>
      <c r="I200" s="120">
        <f t="shared" si="27"/>
        <v>-1423.0249470757706</v>
      </c>
      <c r="J200" s="120">
        <f t="shared" si="27"/>
        <v>0</v>
      </c>
      <c r="K200" s="120">
        <f t="shared" si="27"/>
        <v>0</v>
      </c>
      <c r="L200" s="120">
        <f t="shared" si="27"/>
        <v>0</v>
      </c>
      <c r="M200" s="120">
        <f t="shared" si="27"/>
        <v>0</v>
      </c>
      <c r="N200" s="130" t="s">
        <v>182</v>
      </c>
    </row>
    <row r="201" spans="1:14" ht="19.95" customHeight="1" thickBot="1" x14ac:dyDescent="0.35">
      <c r="A201" s="118" t="s">
        <v>205</v>
      </c>
      <c r="B201" s="120">
        <f t="shared" si="27"/>
        <v>0</v>
      </c>
      <c r="C201" s="120">
        <f t="shared" si="27"/>
        <v>0</v>
      </c>
      <c r="D201" s="120">
        <f t="shared" si="27"/>
        <v>856.00808836352803</v>
      </c>
      <c r="E201" s="120">
        <f t="shared" si="27"/>
        <v>-3424.0323534541121</v>
      </c>
      <c r="F201" s="156">
        <f t="shared" si="27"/>
        <v>567.01685871224254</v>
      </c>
      <c r="G201" s="158">
        <f t="shared" si="27"/>
        <v>3898.3740024793688</v>
      </c>
      <c r="H201" s="155">
        <f t="shared" si="27"/>
        <v>-1423.0249470757706</v>
      </c>
      <c r="I201" s="120">
        <f t="shared" si="27"/>
        <v>-474.34164902525674</v>
      </c>
      <c r="J201" s="120">
        <f t="shared" si="27"/>
        <v>0</v>
      </c>
      <c r="K201" s="120">
        <f t="shared" si="27"/>
        <v>0</v>
      </c>
      <c r="L201" s="120">
        <f t="shared" si="27"/>
        <v>0</v>
      </c>
      <c r="M201" s="120">
        <f t="shared" si="27"/>
        <v>0</v>
      </c>
      <c r="N201" s="130" t="s">
        <v>183</v>
      </c>
    </row>
    <row r="202" spans="1:14" ht="19.95" customHeight="1" thickBot="1" x14ac:dyDescent="0.35">
      <c r="B202" s="120">
        <f t="shared" si="27"/>
        <v>-474.34164902525674</v>
      </c>
      <c r="C202" s="120">
        <f t="shared" si="27"/>
        <v>-1423.0249470757703</v>
      </c>
      <c r="D202" s="120">
        <f t="shared" si="27"/>
        <v>-1920</v>
      </c>
      <c r="E202" s="120">
        <f t="shared" si="27"/>
        <v>1440</v>
      </c>
      <c r="F202" s="120">
        <f t="shared" si="27"/>
        <v>-4269.0748412273124</v>
      </c>
      <c r="G202" s="157">
        <f t="shared" si="27"/>
        <v>-1423.0249470757706</v>
      </c>
      <c r="H202" s="158">
        <f t="shared" si="27"/>
        <v>6663.416490252569</v>
      </c>
      <c r="I202" s="154">
        <f t="shared" si="27"/>
        <v>1406.0498941515407</v>
      </c>
      <c r="J202" s="120">
        <f t="shared" si="27"/>
        <v>0</v>
      </c>
      <c r="K202" s="120">
        <f t="shared" si="27"/>
        <v>0</v>
      </c>
      <c r="L202" s="120">
        <f t="shared" si="27"/>
        <v>0</v>
      </c>
      <c r="M202" s="120">
        <f t="shared" si="27"/>
        <v>0</v>
      </c>
      <c r="N202" s="130" t="s">
        <v>184</v>
      </c>
    </row>
    <row r="203" spans="1:14" ht="19.95" customHeight="1" thickBot="1" x14ac:dyDescent="0.35">
      <c r="B203" s="120">
        <f t="shared" si="27"/>
        <v>-1423.0249470757703</v>
      </c>
      <c r="C203" s="120">
        <f t="shared" si="27"/>
        <v>-4269.0748412273124</v>
      </c>
      <c r="D203" s="120">
        <f t="shared" si="27"/>
        <v>1440</v>
      </c>
      <c r="E203" s="120">
        <f t="shared" si="27"/>
        <v>-1080</v>
      </c>
      <c r="F203" s="120">
        <f t="shared" si="27"/>
        <v>-1423.0249470757706</v>
      </c>
      <c r="G203" s="120">
        <f t="shared" si="27"/>
        <v>-474.34164902525674</v>
      </c>
      <c r="H203" s="156">
        <f t="shared" si="27"/>
        <v>1406.0498941515407</v>
      </c>
      <c r="I203" s="158">
        <f t="shared" si="27"/>
        <v>5823.416490252569</v>
      </c>
      <c r="J203" s="155">
        <f t="shared" si="27"/>
        <v>0</v>
      </c>
      <c r="K203" s="120">
        <f t="shared" si="27"/>
        <v>0</v>
      </c>
      <c r="L203" s="120">
        <f t="shared" si="27"/>
        <v>0</v>
      </c>
      <c r="M203" s="120">
        <f t="shared" si="27"/>
        <v>0</v>
      </c>
      <c r="N203" s="130" t="s">
        <v>185</v>
      </c>
    </row>
    <row r="204" spans="1:14" ht="19.95" customHeight="1" thickBot="1" x14ac:dyDescent="0.35">
      <c r="B204" s="120">
        <f t="shared" si="27"/>
        <v>0</v>
      </c>
      <c r="C204" s="120">
        <f t="shared" si="27"/>
        <v>0</v>
      </c>
      <c r="D204" s="120">
        <f t="shared" si="27"/>
        <v>0</v>
      </c>
      <c r="E204" s="120">
        <f t="shared" si="27"/>
        <v>0</v>
      </c>
      <c r="F204" s="120">
        <f t="shared" si="27"/>
        <v>0</v>
      </c>
      <c r="G204" s="120">
        <f t="shared" si="27"/>
        <v>0</v>
      </c>
      <c r="H204" s="120">
        <f t="shared" si="27"/>
        <v>0</v>
      </c>
      <c r="I204" s="157">
        <f t="shared" si="27"/>
        <v>0</v>
      </c>
      <c r="J204" s="158">
        <f t="shared" si="27"/>
        <v>0</v>
      </c>
      <c r="K204" s="154">
        <f t="shared" si="27"/>
        <v>0</v>
      </c>
      <c r="L204" s="120">
        <f t="shared" si="27"/>
        <v>0</v>
      </c>
      <c r="M204" s="120">
        <f t="shared" si="27"/>
        <v>0</v>
      </c>
      <c r="N204" s="130" t="s">
        <v>186</v>
      </c>
    </row>
    <row r="205" spans="1:14" ht="19.95" customHeight="1" thickBot="1" x14ac:dyDescent="0.35">
      <c r="B205" s="120">
        <f t="shared" si="27"/>
        <v>0</v>
      </c>
      <c r="C205" s="120">
        <f t="shared" si="27"/>
        <v>0</v>
      </c>
      <c r="D205" s="120">
        <f t="shared" si="27"/>
        <v>0</v>
      </c>
      <c r="E205" s="120">
        <f t="shared" si="27"/>
        <v>0</v>
      </c>
      <c r="F205" s="120">
        <f t="shared" si="27"/>
        <v>0</v>
      </c>
      <c r="G205" s="120">
        <f t="shared" si="27"/>
        <v>0</v>
      </c>
      <c r="H205" s="120">
        <f t="shared" si="27"/>
        <v>0</v>
      </c>
      <c r="I205" s="120">
        <f t="shared" si="27"/>
        <v>0</v>
      </c>
      <c r="J205" s="156">
        <f t="shared" si="27"/>
        <v>0</v>
      </c>
      <c r="K205" s="158">
        <f t="shared" si="27"/>
        <v>0</v>
      </c>
      <c r="L205" s="155">
        <f t="shared" si="27"/>
        <v>0</v>
      </c>
      <c r="M205" s="120">
        <f t="shared" si="27"/>
        <v>0</v>
      </c>
      <c r="N205" s="130" t="s">
        <v>187</v>
      </c>
    </row>
    <row r="206" spans="1:14" ht="19.95" customHeight="1" thickBot="1" x14ac:dyDescent="0.35">
      <c r="B206" s="120">
        <f t="shared" si="27"/>
        <v>0</v>
      </c>
      <c r="C206" s="120">
        <f t="shared" si="27"/>
        <v>0</v>
      </c>
      <c r="D206" s="120">
        <f t="shared" si="27"/>
        <v>0</v>
      </c>
      <c r="E206" s="120">
        <f t="shared" si="27"/>
        <v>0</v>
      </c>
      <c r="F206" s="120">
        <f t="shared" si="27"/>
        <v>0</v>
      </c>
      <c r="G206" s="120">
        <f t="shared" si="27"/>
        <v>0</v>
      </c>
      <c r="H206" s="120">
        <f t="shared" si="27"/>
        <v>0</v>
      </c>
      <c r="I206" s="120">
        <f t="shared" si="27"/>
        <v>0</v>
      </c>
      <c r="J206" s="120">
        <f t="shared" si="27"/>
        <v>0</v>
      </c>
      <c r="K206" s="157">
        <f t="shared" si="27"/>
        <v>0</v>
      </c>
      <c r="L206" s="158">
        <f t="shared" si="27"/>
        <v>0</v>
      </c>
      <c r="M206" s="154">
        <f t="shared" si="27"/>
        <v>0</v>
      </c>
      <c r="N206" s="130" t="s">
        <v>188</v>
      </c>
    </row>
    <row r="207" spans="1:14" ht="19.95" customHeight="1" thickBot="1" x14ac:dyDescent="0.35">
      <c r="B207" s="120">
        <f t="shared" si="27"/>
        <v>0</v>
      </c>
      <c r="C207" s="120">
        <f t="shared" si="27"/>
        <v>0</v>
      </c>
      <c r="D207" s="120">
        <f t="shared" si="27"/>
        <v>0</v>
      </c>
      <c r="E207" s="120">
        <f t="shared" si="27"/>
        <v>0</v>
      </c>
      <c r="F207" s="120">
        <f t="shared" si="27"/>
        <v>0</v>
      </c>
      <c r="G207" s="120">
        <f t="shared" si="27"/>
        <v>0</v>
      </c>
      <c r="H207" s="120">
        <f t="shared" si="27"/>
        <v>0</v>
      </c>
      <c r="I207" s="120">
        <f t="shared" si="27"/>
        <v>0</v>
      </c>
      <c r="J207" s="120">
        <f t="shared" si="27"/>
        <v>0</v>
      </c>
      <c r="K207" s="120">
        <f t="shared" si="27"/>
        <v>0</v>
      </c>
      <c r="L207" s="156">
        <f t="shared" si="27"/>
        <v>0</v>
      </c>
      <c r="M207" s="158">
        <f t="shared" si="27"/>
        <v>0</v>
      </c>
      <c r="N207" s="152" t="s">
        <v>189</v>
      </c>
    </row>
    <row r="210" spans="1:31" ht="19.95" customHeight="1" x14ac:dyDescent="0.35">
      <c r="A210" s="131" t="s">
        <v>206</v>
      </c>
      <c r="Z210" s="189" t="s">
        <v>207</v>
      </c>
      <c r="AA210" s="189"/>
      <c r="AB210" s="189"/>
      <c r="AC210" s="189"/>
      <c r="AD210" s="189"/>
      <c r="AE210" s="189"/>
    </row>
    <row r="211" spans="1:31" ht="16.95" customHeight="1" x14ac:dyDescent="0.3">
      <c r="B211" s="132" t="s">
        <v>208</v>
      </c>
      <c r="C211" s="132" t="s">
        <v>178</v>
      </c>
      <c r="E211" s="133">
        <f>IF(IFERROR(VLOOKUP(1, $P$6:$W$11, 2, FALSE), "")="", 0, IF(VLOOKUP(1, $P$6:$W$11, 5, FALSE)=1, B211, VLOOKUP(1, $P$6:$W$11, 7, FALSE)))</f>
        <v>0</v>
      </c>
      <c r="Z211" s="188" t="s">
        <v>209</v>
      </c>
      <c r="AA211" s="188"/>
      <c r="AB211" s="188"/>
      <c r="AC211" s="188"/>
      <c r="AD211" s="188"/>
      <c r="AE211" s="188"/>
    </row>
    <row r="212" spans="1:31" ht="16.95" customHeight="1" x14ac:dyDescent="0.3">
      <c r="B212" s="132" t="s">
        <v>210</v>
      </c>
      <c r="C212" s="132" t="s">
        <v>179</v>
      </c>
      <c r="E212" s="133" t="str">
        <f>IF(IFERROR(VLOOKUP(1, $P$6:$W$11, 2, FALSE), "")="", 0, IF(VLOOKUP(1, $P$6:$W$11, 6, FALSE)=1, B212, VLOOKUP(1, $P$6:$W$11, 8, FALSE)))</f>
        <v>C1Y</v>
      </c>
      <c r="Z212" s="188" t="s">
        <v>211</v>
      </c>
      <c r="AA212" s="188"/>
      <c r="AB212" s="188"/>
      <c r="AC212" s="188"/>
      <c r="AD212" s="188"/>
      <c r="AE212" s="188"/>
    </row>
    <row r="213" spans="1:31" ht="16.95" customHeight="1" x14ac:dyDescent="0.3">
      <c r="B213" s="132" t="s">
        <v>212</v>
      </c>
      <c r="C213" s="132" t="s">
        <v>180</v>
      </c>
      <c r="E213" s="133" t="str">
        <f>IF(IFERROR(VLOOKUP(2, $P$6:$W$11, 2, FALSE), "")="", 0, IF(VLOOKUP(2, $P$6:$W$11, 5, FALSE)=1, B213, VLOOKUP(2, $P$6:$W$11, 7, FALSE)))</f>
        <v>C2X</v>
      </c>
      <c r="Z213" s="188" t="s">
        <v>213</v>
      </c>
      <c r="AA213" s="188"/>
      <c r="AB213" s="188"/>
      <c r="AC213" s="188"/>
      <c r="AD213" s="188"/>
      <c r="AE213" s="188"/>
    </row>
    <row r="214" spans="1:31" ht="16.95" customHeight="1" x14ac:dyDescent="0.3">
      <c r="B214" s="132" t="s">
        <v>214</v>
      </c>
      <c r="C214" s="132" t="s">
        <v>181</v>
      </c>
      <c r="E214" s="133" t="str">
        <f>IF(IFERROR(VLOOKUP(2, $P$6:$W$11, 2, FALSE), "")="", 0, IF(VLOOKUP(2, $P$6:$W$11, 6, FALSE)=1, B214, VLOOKUP(2, $P$6:$W$11, 8, FALSE)))</f>
        <v>C2Y</v>
      </c>
      <c r="Z214" s="188" t="s">
        <v>215</v>
      </c>
      <c r="AA214" s="188"/>
      <c r="AB214" s="188"/>
      <c r="AC214" s="188"/>
      <c r="AD214" s="188"/>
      <c r="AE214" s="188"/>
    </row>
    <row r="215" spans="1:31" ht="16.95" customHeight="1" x14ac:dyDescent="0.3">
      <c r="B215" s="132" t="s">
        <v>216</v>
      </c>
      <c r="C215" s="132" t="s">
        <v>182</v>
      </c>
      <c r="E215" s="133">
        <f>IF(IFERROR(VLOOKUP(3, $P$6:$W$11, 2, FALSE), "")="", 0, IF(VLOOKUP(3, $P$6:$W$11, 5, FALSE)=1, B215, VLOOKUP(3, $P$6:$W$11, 7, FALSE)))</f>
        <v>1000</v>
      </c>
      <c r="Z215" s="188" t="s">
        <v>217</v>
      </c>
      <c r="AA215" s="188"/>
      <c r="AB215" s="188"/>
      <c r="AC215" s="188"/>
      <c r="AD215" s="188"/>
      <c r="AE215" s="188"/>
    </row>
    <row r="216" spans="1:31" ht="16.95" customHeight="1" x14ac:dyDescent="0.3">
      <c r="A216" s="150" t="s">
        <v>218</v>
      </c>
      <c r="B216" s="132" t="s">
        <v>219</v>
      </c>
      <c r="C216" s="132" t="s">
        <v>183</v>
      </c>
      <c r="D216" s="13" t="s">
        <v>220</v>
      </c>
      <c r="E216" s="133">
        <f>IF(IFERROR(VLOOKUP(3, $P$6:$W$11, 2, FALSE), "")="", 0, IF(VLOOKUP(3, $P$6:$W$11, 6, FALSE)=1, B216, VLOOKUP(3, $P$6:$W$11, 8, FALSE)))</f>
        <v>-2000</v>
      </c>
      <c r="Z216" s="188"/>
      <c r="AA216" s="188"/>
      <c r="AB216" s="188"/>
      <c r="AC216" s="188"/>
      <c r="AD216" s="188"/>
      <c r="AE216" s="188"/>
    </row>
    <row r="217" spans="1:31" ht="16.95" customHeight="1" x14ac:dyDescent="0.3">
      <c r="B217" s="132" t="s">
        <v>221</v>
      </c>
      <c r="C217" s="132" t="s">
        <v>184</v>
      </c>
      <c r="E217" s="133">
        <f>IF(IFERROR(VLOOKUP(4, $P$6:$W$11, 2, FALSE), "")="", 0, IF(VLOOKUP(4, $P$6:$W$11, 5, FALSE)=1, B217, VLOOKUP(4, $P$6:$W$11, 7, FALSE)))</f>
        <v>2000</v>
      </c>
      <c r="Z217" s="188"/>
      <c r="AA217" s="188"/>
      <c r="AB217" s="188"/>
      <c r="AC217" s="188"/>
      <c r="AD217" s="188"/>
      <c r="AE217" s="188"/>
    </row>
    <row r="218" spans="1:31" ht="16.95" customHeight="1" x14ac:dyDescent="0.3">
      <c r="B218" s="132" t="s">
        <v>222</v>
      </c>
      <c r="C218" s="132" t="s">
        <v>185</v>
      </c>
      <c r="E218" s="133">
        <f>IF(IFERROR(VLOOKUP(4, $P$6:$W$11, 2, FALSE), "")="", 0, IF(VLOOKUP(4, $P$6:$W$11, 6, FALSE)=1, B218, VLOOKUP(4, $P$6:$W$11, 8, FALSE)))</f>
        <v>-1000</v>
      </c>
      <c r="Z218" s="188"/>
      <c r="AA218" s="188"/>
      <c r="AB218" s="188"/>
      <c r="AC218" s="188"/>
      <c r="AD218" s="188"/>
      <c r="AE218" s="188"/>
    </row>
    <row r="219" spans="1:31" ht="16.95" customHeight="1" x14ac:dyDescent="0.3">
      <c r="B219" s="132" t="s">
        <v>223</v>
      </c>
      <c r="C219" s="132" t="s">
        <v>186</v>
      </c>
      <c r="E219" s="133">
        <f>IF(IFERROR(VLOOKUP(5, $P$6:$W$11, 2, FALSE), "")="", 0, IF(VLOOKUP(5, $P$6:$W$11, 5, FALSE)=1, B219, VLOOKUP(5, $P$6:$W$11, 7, FALSE)))</f>
        <v>0</v>
      </c>
      <c r="Z219" s="188"/>
      <c r="AA219" s="188"/>
      <c r="AB219" s="188"/>
      <c r="AC219" s="188"/>
      <c r="AD219" s="188"/>
      <c r="AE219" s="188"/>
    </row>
    <row r="220" spans="1:31" ht="16.95" customHeight="1" x14ac:dyDescent="0.3">
      <c r="B220" s="132" t="s">
        <v>224</v>
      </c>
      <c r="C220" s="132" t="s">
        <v>187</v>
      </c>
      <c r="E220" s="133">
        <f>IF(IFERROR(VLOOKUP(5, $P$6:$W$11, 2, FALSE), "")="", 0, IF(VLOOKUP(5, $P$6:$W$11, 6, FALSE)=1, B220, VLOOKUP(5, $P$6:$W$11, 8, FALSE)))</f>
        <v>0</v>
      </c>
      <c r="Z220" s="188"/>
      <c r="AA220" s="188"/>
      <c r="AB220" s="188"/>
      <c r="AC220" s="188"/>
      <c r="AD220" s="188"/>
      <c r="AE220" s="188"/>
    </row>
    <row r="221" spans="1:31" ht="16.95" customHeight="1" x14ac:dyDescent="0.3">
      <c r="B221" s="132" t="s">
        <v>225</v>
      </c>
      <c r="C221" s="132" t="s">
        <v>188</v>
      </c>
      <c r="E221" s="133">
        <f>IF(IFERROR(VLOOKUP(6, $P$6:$W$11, 2, FALSE), "")="", 0, IF(VLOOKUP(6, $P$6:$W$11, 5, FALSE)=1, B221, VLOOKUP(6, $P$6:$W$11, 7, FALSE)))</f>
        <v>0</v>
      </c>
      <c r="Z221" s="188"/>
      <c r="AA221" s="188"/>
      <c r="AB221" s="188"/>
      <c r="AC221" s="188"/>
      <c r="AD221" s="188"/>
      <c r="AE221" s="188"/>
    </row>
    <row r="222" spans="1:31" ht="16.95" customHeight="1" x14ac:dyDescent="0.3">
      <c r="B222" s="132" t="s">
        <v>226</v>
      </c>
      <c r="C222" s="132" t="s">
        <v>189</v>
      </c>
      <c r="E222" s="133">
        <f>IF(IFERROR(VLOOKUP(6, $P$6:$W$11, 2, FALSE), "")="", 0, IF(VLOOKUP(6, $P$6:$W$11, 6, FALSE)=1, B222, VLOOKUP(6, $P$6:$W$11, 8, FALSE)))</f>
        <v>0</v>
      </c>
      <c r="Z222" s="188"/>
      <c r="AA222" s="188"/>
      <c r="AB222" s="188"/>
      <c r="AC222" s="188"/>
      <c r="AD222" s="188"/>
      <c r="AE222" s="188"/>
    </row>
    <row r="223" spans="1:31" ht="16.95" customHeight="1" x14ac:dyDescent="0.3">
      <c r="Z223" s="188"/>
      <c r="AA223" s="188"/>
      <c r="AB223" s="188"/>
      <c r="AC223" s="188"/>
      <c r="AD223" s="188"/>
      <c r="AE223" s="188"/>
    </row>
    <row r="224" spans="1:31" ht="16.95" customHeight="1" x14ac:dyDescent="0.35">
      <c r="A224" s="131" t="s">
        <v>227</v>
      </c>
      <c r="Z224" s="188"/>
      <c r="AA224" s="188"/>
      <c r="AB224" s="188"/>
      <c r="AC224" s="188"/>
      <c r="AD224" s="188"/>
      <c r="AE224" s="188"/>
    </row>
    <row r="225" spans="1:31" ht="16.95" customHeight="1" x14ac:dyDescent="0.3">
      <c r="B225" s="132" t="s">
        <v>228</v>
      </c>
      <c r="C225" s="132" t="s">
        <v>178</v>
      </c>
      <c r="E225" s="111" t="str">
        <f>IF(IFERROR(VLOOKUP(1, $P$6:$W$11, 2, FALSE), "")="", 0, IF(VLOOKUP(1, $P$6:$W$11, 5, FALSE)=1, 0, B225))</f>
        <v>D1X</v>
      </c>
      <c r="F225" s="134">
        <f>IF(ISTEXT(E225), 1, "")</f>
        <v>1</v>
      </c>
      <c r="G225" s="134" t="str">
        <f>IF(ISTEXT(E211), 1, "")</f>
        <v/>
      </c>
      <c r="Z225" s="188"/>
      <c r="AA225" s="188"/>
      <c r="AB225" s="188"/>
      <c r="AC225" s="188"/>
      <c r="AD225" s="188"/>
      <c r="AE225" s="188"/>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1</v>
      </c>
      <c r="Z226" s="188"/>
      <c r="AA226" s="188"/>
      <c r="AB226" s="188"/>
      <c r="AC226" s="188"/>
      <c r="AD226" s="188"/>
      <c r="AE226" s="188"/>
    </row>
    <row r="227" spans="1:31" ht="16.95" customHeight="1" x14ac:dyDescent="0.3">
      <c r="B227" s="132" t="s">
        <v>230</v>
      </c>
      <c r="C227" s="132" t="s">
        <v>180</v>
      </c>
      <c r="E227" s="111">
        <f>IF(IFERROR(VLOOKUP(2, $P$6:$W$11, 2, FALSE), "")="", 0, IF(VLOOKUP(2, $P$6:$W$11, 5, FALSE)=1, 0, B227))</f>
        <v>0</v>
      </c>
      <c r="F227" s="134" t="str">
        <f>IF(ISTEXT(E227), MAX(F$225:F226) + 1, "")</f>
        <v/>
      </c>
      <c r="G227" s="134">
        <f>IF(ISTEXT(E213), MAX(G$225:G226) + 1, "")</f>
        <v>2</v>
      </c>
      <c r="Z227" s="188"/>
      <c r="AA227" s="188"/>
      <c r="AB227" s="188"/>
      <c r="AC227" s="188"/>
      <c r="AD227" s="188"/>
      <c r="AE227" s="188"/>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3</v>
      </c>
      <c r="Z228" s="188"/>
      <c r="AA228" s="188"/>
      <c r="AB228" s="188"/>
      <c r="AC228" s="188"/>
      <c r="AD228" s="188"/>
      <c r="AE228" s="188"/>
    </row>
    <row r="229" spans="1:31" ht="16.95" customHeight="1" x14ac:dyDescent="0.3">
      <c r="B229" s="132" t="s">
        <v>232</v>
      </c>
      <c r="C229" s="132" t="s">
        <v>182</v>
      </c>
      <c r="E229" s="111" t="str">
        <f>IF(IFERROR(VLOOKUP(3, $P$6:$W$11, 2, FALSE), "")="", 0, IF(VLOOKUP(3, $P$6:$W$11, 5, FALSE)=1, 0, B229))</f>
        <v>D3X</v>
      </c>
      <c r="F229" s="134">
        <f>IF(ISTEXT(E229), MAX(F$225:F228) + 1, "")</f>
        <v>2</v>
      </c>
      <c r="G229" s="134" t="str">
        <f>IF(ISTEXT(E215), MAX(G$225:G228) + 1, "")</f>
        <v/>
      </c>
      <c r="Z229" s="188"/>
      <c r="AA229" s="188"/>
      <c r="AB229" s="188"/>
      <c r="AC229" s="188"/>
      <c r="AD229" s="188"/>
      <c r="AE229" s="188"/>
    </row>
    <row r="230" spans="1:31" ht="16.95" customHeight="1" x14ac:dyDescent="0.3">
      <c r="A230" s="150" t="s">
        <v>233</v>
      </c>
      <c r="B230" s="132" t="s">
        <v>234</v>
      </c>
      <c r="C230" s="132" t="s">
        <v>183</v>
      </c>
      <c r="D230" s="13" t="s">
        <v>220</v>
      </c>
      <c r="E230" s="111" t="str">
        <f>IF(IFERROR(VLOOKUP(3, $P$6:$W$11, 2, FALSE), "")="", 0, IF(VLOOKUP(3, $P$6:$W$11, 6, FALSE)=1, 0, B230))</f>
        <v>D3Y</v>
      </c>
      <c r="F230" s="134">
        <f>IF(ISTEXT(E230), MAX(F$225:F229) + 1, "")</f>
        <v>3</v>
      </c>
      <c r="G230" s="134" t="str">
        <f>IF(ISTEXT(E216), MAX(G$225:G229) + 1, "")</f>
        <v/>
      </c>
      <c r="Z230" s="188"/>
      <c r="AA230" s="188"/>
      <c r="AB230" s="188"/>
      <c r="AC230" s="188"/>
      <c r="AD230" s="188"/>
      <c r="AE230" s="188"/>
    </row>
    <row r="231" spans="1:31" ht="16.95" customHeight="1" x14ac:dyDescent="0.3">
      <c r="B231" s="132" t="s">
        <v>235</v>
      </c>
      <c r="C231" s="132" t="s">
        <v>184</v>
      </c>
      <c r="E231" s="111" t="str">
        <f>IF(IFERROR(VLOOKUP(4, $P$6:$W$11, 2, FALSE), "")="", 0, IF(VLOOKUP(4, $P$6:$W$11, 5, FALSE)=1, 0, B231))</f>
        <v>D4X</v>
      </c>
      <c r="F231" s="134">
        <f>IF(ISTEXT(E231), MAX(F$225:F230) + 1, "")</f>
        <v>4</v>
      </c>
      <c r="G231" s="134" t="str">
        <f>IF(ISTEXT(E217), MAX(G$225:G230) + 1, "")</f>
        <v/>
      </c>
      <c r="Z231" s="188"/>
      <c r="AA231" s="188"/>
      <c r="AB231" s="188"/>
      <c r="AC231" s="188"/>
      <c r="AD231" s="188"/>
      <c r="AE231" s="188"/>
    </row>
    <row r="232" spans="1:31" ht="16.95" customHeight="1" x14ac:dyDescent="0.3">
      <c r="B232" s="132" t="s">
        <v>236</v>
      </c>
      <c r="C232" s="132" t="s">
        <v>185</v>
      </c>
      <c r="E232" s="111" t="str">
        <f>IF(IFERROR(VLOOKUP(4, $P$6:$W$11, 2, FALSE), "")="", 0, IF(VLOOKUP(4, $P$6:$W$11, 6, FALSE)=1, 0, B232))</f>
        <v>D4Y</v>
      </c>
      <c r="F232" s="134">
        <f>IF(ISTEXT(E232), MAX(F$225:F231) + 1, "")</f>
        <v>5</v>
      </c>
      <c r="G232" s="134" t="str">
        <f>IF(ISTEXT(E218), MAX(G$225:G231) + 1, "")</f>
        <v/>
      </c>
      <c r="Z232" s="188"/>
      <c r="AA232" s="188"/>
      <c r="AB232" s="188"/>
      <c r="AC232" s="188"/>
      <c r="AD232" s="188"/>
      <c r="AE232" s="188"/>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88"/>
      <c r="AA233" s="188"/>
      <c r="AB233" s="188"/>
      <c r="AC233" s="188"/>
      <c r="AD233" s="188"/>
      <c r="AE233" s="188"/>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88"/>
      <c r="AA234" s="188"/>
      <c r="AB234" s="188"/>
      <c r="AC234" s="188"/>
      <c r="AD234" s="188"/>
      <c r="AE234" s="188"/>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88"/>
      <c r="AA235" s="188"/>
      <c r="AB235" s="188"/>
      <c r="AC235" s="188"/>
      <c r="AD235" s="188"/>
      <c r="AE235" s="188"/>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88"/>
      <c r="AA236" s="188"/>
      <c r="AB236" s="188"/>
      <c r="AC236" s="188"/>
      <c r="AD236" s="188"/>
      <c r="AE236" s="188"/>
    </row>
    <row r="238" spans="1:31" ht="19.95" customHeight="1" x14ac:dyDescent="0.35">
      <c r="A238" s="135" t="s">
        <v>241</v>
      </c>
      <c r="C238" s="190" t="s">
        <v>242</v>
      </c>
      <c r="D238" s="190"/>
      <c r="E238" s="136" t="s">
        <v>243</v>
      </c>
      <c r="Z238" s="189" t="s">
        <v>244</v>
      </c>
      <c r="AA238" s="189"/>
      <c r="AB238" s="189"/>
      <c r="AC238" s="189"/>
      <c r="AD238" s="189"/>
      <c r="AE238" s="189"/>
    </row>
    <row r="239" spans="1:31" ht="16.95" customHeight="1" x14ac:dyDescent="0.3">
      <c r="E239" s="136" t="s">
        <v>245</v>
      </c>
      <c r="Z239" s="188" t="s">
        <v>246</v>
      </c>
      <c r="AA239" s="188"/>
      <c r="AB239" s="188"/>
      <c r="AC239" s="188"/>
      <c r="AD239" s="188"/>
      <c r="AE239" s="188"/>
    </row>
    <row r="240" spans="1:31" ht="16.95" customHeight="1" x14ac:dyDescent="0.3">
      <c r="A240" s="151" t="s">
        <v>247</v>
      </c>
      <c r="C240" s="197" t="s">
        <v>248</v>
      </c>
      <c r="D240" s="197"/>
      <c r="E240" s="197"/>
      <c r="F240" s="197"/>
      <c r="G240" s="197"/>
      <c r="H240" s="197"/>
      <c r="I240" s="197"/>
      <c r="J240" s="197"/>
      <c r="K240" s="197"/>
      <c r="L240" s="197"/>
      <c r="M240" s="197"/>
      <c r="N240" s="197"/>
      <c r="P240" s="151" t="s">
        <v>249</v>
      </c>
      <c r="Z240" s="188" t="s">
        <v>250</v>
      </c>
      <c r="AA240" s="188"/>
      <c r="AB240" s="188"/>
      <c r="AC240" s="188"/>
      <c r="AD240" s="188"/>
      <c r="AE240" s="188"/>
    </row>
    <row r="241" spans="1:31" ht="16.95" customHeight="1" x14ac:dyDescent="0.3">
      <c r="A241" s="137">
        <f t="shared" ref="A241:A252" si="28">E211</f>
        <v>0</v>
      </c>
      <c r="C241" s="159">
        <f t="shared" ref="C241:N252" si="29">B196</f>
        <v>3474.3416490252566</v>
      </c>
      <c r="D241" s="159">
        <f t="shared" si="29"/>
        <v>1423.0249470757703</v>
      </c>
      <c r="E241" s="159">
        <f t="shared" si="29"/>
        <v>-3000</v>
      </c>
      <c r="F241" s="159">
        <f t="shared" si="29"/>
        <v>0</v>
      </c>
      <c r="G241" s="159">
        <f t="shared" si="29"/>
        <v>0</v>
      </c>
      <c r="H241" s="159">
        <f t="shared" si="29"/>
        <v>0</v>
      </c>
      <c r="I241" s="159">
        <f t="shared" si="29"/>
        <v>-474.34164902525674</v>
      </c>
      <c r="J241" s="159">
        <f t="shared" si="29"/>
        <v>-1423.0249470757703</v>
      </c>
      <c r="K241" s="159">
        <f t="shared" si="29"/>
        <v>0</v>
      </c>
      <c r="L241" s="159">
        <f t="shared" si="29"/>
        <v>0</v>
      </c>
      <c r="M241" s="159">
        <f t="shared" si="29"/>
        <v>0</v>
      </c>
      <c r="N241" s="159">
        <f t="shared" si="29"/>
        <v>0</v>
      </c>
      <c r="O241" s="13" t="s">
        <v>251</v>
      </c>
      <c r="P241" s="132" t="str">
        <f t="shared" ref="P241:P252" si="30">E225</f>
        <v>D1X</v>
      </c>
      <c r="Z241" s="188" t="s">
        <v>252</v>
      </c>
      <c r="AA241" s="188"/>
      <c r="AB241" s="188"/>
      <c r="AC241" s="188"/>
      <c r="AD241" s="188"/>
      <c r="AE241" s="188"/>
    </row>
    <row r="242" spans="1:31" ht="16.95" customHeight="1" x14ac:dyDescent="0.3">
      <c r="A242" s="137" t="str">
        <f t="shared" si="28"/>
        <v>C1Y</v>
      </c>
      <c r="C242" s="159">
        <f t="shared" si="29"/>
        <v>1423.0249470757703</v>
      </c>
      <c r="D242" s="159">
        <f t="shared" si="29"/>
        <v>4269.0748412273124</v>
      </c>
      <c r="E242" s="159">
        <f t="shared" si="29"/>
        <v>0</v>
      </c>
      <c r="F242" s="159">
        <f t="shared" si="29"/>
        <v>0</v>
      </c>
      <c r="G242" s="159">
        <f t="shared" si="29"/>
        <v>0</v>
      </c>
      <c r="H242" s="159">
        <f t="shared" si="29"/>
        <v>0</v>
      </c>
      <c r="I242" s="159">
        <f t="shared" si="29"/>
        <v>-1423.0249470757703</v>
      </c>
      <c r="J242" s="159">
        <f t="shared" si="29"/>
        <v>-4269.0748412273124</v>
      </c>
      <c r="K242" s="159">
        <f t="shared" si="29"/>
        <v>0</v>
      </c>
      <c r="L242" s="159">
        <f t="shared" si="29"/>
        <v>0</v>
      </c>
      <c r="M242" s="159">
        <f t="shared" si="29"/>
        <v>0</v>
      </c>
      <c r="N242" s="159">
        <f t="shared" si="29"/>
        <v>0</v>
      </c>
      <c r="O242" s="13" t="s">
        <v>251</v>
      </c>
      <c r="P242" s="132">
        <f t="shared" si="30"/>
        <v>0</v>
      </c>
      <c r="Z242" s="188" t="s">
        <v>253</v>
      </c>
      <c r="AA242" s="188"/>
      <c r="AB242" s="188"/>
      <c r="AC242" s="188"/>
      <c r="AD242" s="188"/>
      <c r="AE242" s="188"/>
    </row>
    <row r="243" spans="1:31" ht="16.95" customHeight="1" x14ac:dyDescent="0.3">
      <c r="A243" s="137" t="str">
        <f t="shared" si="28"/>
        <v>C2X</v>
      </c>
      <c r="C243" s="159">
        <f t="shared" si="29"/>
        <v>-3000</v>
      </c>
      <c r="D243" s="159">
        <f t="shared" si="29"/>
        <v>0</v>
      </c>
      <c r="E243" s="159">
        <f t="shared" si="29"/>
        <v>5134.0020220908818</v>
      </c>
      <c r="F243" s="159">
        <f t="shared" si="29"/>
        <v>-2296.0080883635283</v>
      </c>
      <c r="G243" s="159">
        <f t="shared" si="29"/>
        <v>-214.00202209088201</v>
      </c>
      <c r="H243" s="159">
        <f t="shared" si="29"/>
        <v>856.00808836352803</v>
      </c>
      <c r="I243" s="159">
        <f t="shared" si="29"/>
        <v>-1920</v>
      </c>
      <c r="J243" s="159">
        <f t="shared" si="29"/>
        <v>1440</v>
      </c>
      <c r="K243" s="159">
        <f t="shared" si="29"/>
        <v>0</v>
      </c>
      <c r="L243" s="159">
        <f t="shared" si="29"/>
        <v>0</v>
      </c>
      <c r="M243" s="159">
        <f t="shared" si="29"/>
        <v>0</v>
      </c>
      <c r="N243" s="159">
        <f t="shared" si="29"/>
        <v>0</v>
      </c>
      <c r="O243" s="13" t="s">
        <v>251</v>
      </c>
      <c r="P243" s="132">
        <f t="shared" si="30"/>
        <v>0</v>
      </c>
      <c r="Z243" s="188" t="s">
        <v>254</v>
      </c>
      <c r="AA243" s="188"/>
      <c r="AB243" s="188"/>
      <c r="AC243" s="188"/>
      <c r="AD243" s="188"/>
      <c r="AE243" s="188"/>
    </row>
    <row r="244" spans="1:31" ht="16.95" customHeight="1" x14ac:dyDescent="0.3">
      <c r="A244" s="137" t="str">
        <f t="shared" si="28"/>
        <v>C2Y</v>
      </c>
      <c r="C244" s="159">
        <f t="shared" si="29"/>
        <v>0</v>
      </c>
      <c r="D244" s="159">
        <f t="shared" si="29"/>
        <v>0</v>
      </c>
      <c r="E244" s="159">
        <f t="shared" si="29"/>
        <v>-2296.0080883635283</v>
      </c>
      <c r="F244" s="159">
        <f t="shared" si="29"/>
        <v>4504.0323534541121</v>
      </c>
      <c r="G244" s="159">
        <f t="shared" si="29"/>
        <v>856.00808836352803</v>
      </c>
      <c r="H244" s="159">
        <f t="shared" si="29"/>
        <v>-3424.0323534541121</v>
      </c>
      <c r="I244" s="159">
        <f t="shared" si="29"/>
        <v>1440</v>
      </c>
      <c r="J244" s="159">
        <f t="shared" si="29"/>
        <v>-1080</v>
      </c>
      <c r="K244" s="159">
        <f t="shared" si="29"/>
        <v>0</v>
      </c>
      <c r="L244" s="159">
        <f t="shared" si="29"/>
        <v>0</v>
      </c>
      <c r="M244" s="159">
        <f t="shared" si="29"/>
        <v>0</v>
      </c>
      <c r="N244" s="159">
        <f t="shared" si="29"/>
        <v>0</v>
      </c>
      <c r="O244" s="13" t="s">
        <v>251</v>
      </c>
      <c r="P244" s="132">
        <f t="shared" si="30"/>
        <v>0</v>
      </c>
      <c r="Z244" s="188" t="s">
        <v>255</v>
      </c>
      <c r="AA244" s="188"/>
      <c r="AB244" s="188"/>
      <c r="AC244" s="188"/>
      <c r="AD244" s="188"/>
      <c r="AE244" s="188"/>
    </row>
    <row r="245" spans="1:31" ht="16.95" customHeight="1" x14ac:dyDescent="0.3">
      <c r="A245" s="137">
        <f t="shared" si="28"/>
        <v>1000</v>
      </c>
      <c r="C245" s="159">
        <f t="shared" si="29"/>
        <v>0</v>
      </c>
      <c r="D245" s="159">
        <f t="shared" si="29"/>
        <v>0</v>
      </c>
      <c r="E245" s="159">
        <f t="shared" si="29"/>
        <v>-214.00202209088201</v>
      </c>
      <c r="F245" s="159">
        <f t="shared" si="29"/>
        <v>856.00808836352803</v>
      </c>
      <c r="G245" s="159">
        <f t="shared" si="29"/>
        <v>4483.0768633181942</v>
      </c>
      <c r="H245" s="159">
        <f t="shared" si="29"/>
        <v>567.01685871224254</v>
      </c>
      <c r="I245" s="159">
        <f t="shared" si="29"/>
        <v>-4269.0748412273124</v>
      </c>
      <c r="J245" s="159">
        <f t="shared" si="29"/>
        <v>-1423.0249470757706</v>
      </c>
      <c r="K245" s="159">
        <f t="shared" si="29"/>
        <v>0</v>
      </c>
      <c r="L245" s="159">
        <f t="shared" si="29"/>
        <v>0</v>
      </c>
      <c r="M245" s="159">
        <f t="shared" si="29"/>
        <v>0</v>
      </c>
      <c r="N245" s="159">
        <f t="shared" si="29"/>
        <v>0</v>
      </c>
      <c r="O245" s="13" t="s">
        <v>251</v>
      </c>
      <c r="P245" s="132" t="str">
        <f t="shared" si="30"/>
        <v>D3X</v>
      </c>
      <c r="Z245" s="188" t="s">
        <v>256</v>
      </c>
      <c r="AA245" s="188"/>
      <c r="AB245" s="188"/>
      <c r="AC245" s="188"/>
      <c r="AD245" s="188"/>
      <c r="AE245" s="188"/>
    </row>
    <row r="246" spans="1:31" ht="16.95" customHeight="1" x14ac:dyDescent="0.3">
      <c r="A246" s="137">
        <f t="shared" si="28"/>
        <v>-2000</v>
      </c>
      <c r="C246" s="159">
        <f t="shared" si="29"/>
        <v>0</v>
      </c>
      <c r="D246" s="159">
        <f t="shared" si="29"/>
        <v>0</v>
      </c>
      <c r="E246" s="159">
        <f t="shared" si="29"/>
        <v>856.00808836352803</v>
      </c>
      <c r="F246" s="159">
        <f t="shared" si="29"/>
        <v>-3424.0323534541121</v>
      </c>
      <c r="G246" s="159">
        <f t="shared" si="29"/>
        <v>567.01685871224254</v>
      </c>
      <c r="H246" s="159">
        <f t="shared" si="29"/>
        <v>3898.3740024793688</v>
      </c>
      <c r="I246" s="159">
        <f t="shared" si="29"/>
        <v>-1423.0249470757706</v>
      </c>
      <c r="J246" s="159">
        <f t="shared" si="29"/>
        <v>-474.34164902525674</v>
      </c>
      <c r="K246" s="159">
        <f t="shared" si="29"/>
        <v>0</v>
      </c>
      <c r="L246" s="159">
        <f t="shared" si="29"/>
        <v>0</v>
      </c>
      <c r="M246" s="159">
        <f t="shared" si="29"/>
        <v>0</v>
      </c>
      <c r="N246" s="159">
        <f t="shared" si="29"/>
        <v>0</v>
      </c>
      <c r="O246" s="13" t="s">
        <v>251</v>
      </c>
      <c r="P246" s="132" t="str">
        <f t="shared" si="30"/>
        <v>D3Y</v>
      </c>
      <c r="Z246" s="188"/>
      <c r="AA246" s="188"/>
      <c r="AB246" s="188"/>
      <c r="AC246" s="188"/>
      <c r="AD246" s="188"/>
      <c r="AE246" s="188"/>
    </row>
    <row r="247" spans="1:31" ht="16.95" customHeight="1" x14ac:dyDescent="0.3">
      <c r="A247" s="137">
        <f t="shared" si="28"/>
        <v>2000</v>
      </c>
      <c r="B247" s="13" t="s">
        <v>220</v>
      </c>
      <c r="C247" s="159">
        <f t="shared" si="29"/>
        <v>-474.34164902525674</v>
      </c>
      <c r="D247" s="159">
        <f t="shared" si="29"/>
        <v>-1423.0249470757703</v>
      </c>
      <c r="E247" s="159">
        <f t="shared" si="29"/>
        <v>-1920</v>
      </c>
      <c r="F247" s="159">
        <f t="shared" si="29"/>
        <v>1440</v>
      </c>
      <c r="G247" s="159">
        <f t="shared" si="29"/>
        <v>-4269.0748412273124</v>
      </c>
      <c r="H247" s="159">
        <f t="shared" si="29"/>
        <v>-1423.0249470757706</v>
      </c>
      <c r="I247" s="159">
        <f t="shared" si="29"/>
        <v>6663.416490252569</v>
      </c>
      <c r="J247" s="159">
        <f t="shared" si="29"/>
        <v>1406.0498941515407</v>
      </c>
      <c r="K247" s="159">
        <f t="shared" si="29"/>
        <v>0</v>
      </c>
      <c r="L247" s="159">
        <f t="shared" si="29"/>
        <v>0</v>
      </c>
      <c r="M247" s="159">
        <f t="shared" si="29"/>
        <v>0</v>
      </c>
      <c r="N247" s="159">
        <f t="shared" si="29"/>
        <v>0</v>
      </c>
      <c r="O247" s="13" t="s">
        <v>251</v>
      </c>
      <c r="P247" s="132" t="str">
        <f t="shared" si="30"/>
        <v>D4X</v>
      </c>
      <c r="Z247" s="188"/>
      <c r="AA247" s="188"/>
      <c r="AB247" s="188"/>
      <c r="AC247" s="188"/>
      <c r="AD247" s="188"/>
      <c r="AE247" s="188"/>
    </row>
    <row r="248" spans="1:31" ht="16.95" customHeight="1" x14ac:dyDescent="0.3">
      <c r="A248" s="137">
        <f t="shared" si="28"/>
        <v>-1000</v>
      </c>
      <c r="C248" s="159">
        <f t="shared" si="29"/>
        <v>-1423.0249470757703</v>
      </c>
      <c r="D248" s="159">
        <f t="shared" si="29"/>
        <v>-4269.0748412273124</v>
      </c>
      <c r="E248" s="159">
        <f t="shared" si="29"/>
        <v>1440</v>
      </c>
      <c r="F248" s="159">
        <f t="shared" si="29"/>
        <v>-1080</v>
      </c>
      <c r="G248" s="159">
        <f t="shared" si="29"/>
        <v>-1423.0249470757706</v>
      </c>
      <c r="H248" s="159">
        <f t="shared" si="29"/>
        <v>-474.34164902525674</v>
      </c>
      <c r="I248" s="159">
        <f t="shared" si="29"/>
        <v>1406.0498941515407</v>
      </c>
      <c r="J248" s="159">
        <f t="shared" si="29"/>
        <v>5823.416490252569</v>
      </c>
      <c r="K248" s="159">
        <f t="shared" si="29"/>
        <v>0</v>
      </c>
      <c r="L248" s="159">
        <f t="shared" si="29"/>
        <v>0</v>
      </c>
      <c r="M248" s="159">
        <f t="shared" si="29"/>
        <v>0</v>
      </c>
      <c r="N248" s="159">
        <f t="shared" si="29"/>
        <v>0</v>
      </c>
      <c r="O248" s="13" t="s">
        <v>251</v>
      </c>
      <c r="P248" s="132" t="str">
        <f t="shared" si="30"/>
        <v>D4Y</v>
      </c>
      <c r="Z248" s="188"/>
      <c r="AA248" s="188"/>
      <c r="AB248" s="188"/>
      <c r="AC248" s="188"/>
      <c r="AD248" s="188"/>
      <c r="AE248" s="188"/>
    </row>
    <row r="249" spans="1:31" ht="16.95" customHeight="1" x14ac:dyDescent="0.3">
      <c r="A249" s="137">
        <f t="shared" si="28"/>
        <v>0</v>
      </c>
      <c r="C249" s="159">
        <f t="shared" si="29"/>
        <v>0</v>
      </c>
      <c r="D249" s="159">
        <f t="shared" si="29"/>
        <v>0</v>
      </c>
      <c r="E249" s="159">
        <f t="shared" si="29"/>
        <v>0</v>
      </c>
      <c r="F249" s="159">
        <f t="shared" si="29"/>
        <v>0</v>
      </c>
      <c r="G249" s="159">
        <f t="shared" si="29"/>
        <v>0</v>
      </c>
      <c r="H249" s="159">
        <f t="shared" si="29"/>
        <v>0</v>
      </c>
      <c r="I249" s="159">
        <f t="shared" si="29"/>
        <v>0</v>
      </c>
      <c r="J249" s="159">
        <f t="shared" si="29"/>
        <v>0</v>
      </c>
      <c r="K249" s="159">
        <f t="shared" si="29"/>
        <v>0</v>
      </c>
      <c r="L249" s="159">
        <f t="shared" si="29"/>
        <v>0</v>
      </c>
      <c r="M249" s="159">
        <f t="shared" si="29"/>
        <v>0</v>
      </c>
      <c r="N249" s="159">
        <f t="shared" si="29"/>
        <v>0</v>
      </c>
      <c r="O249" s="13" t="s">
        <v>251</v>
      </c>
      <c r="P249" s="132">
        <f t="shared" si="30"/>
        <v>0</v>
      </c>
      <c r="Z249" s="188"/>
      <c r="AA249" s="188"/>
      <c r="AB249" s="188"/>
      <c r="AC249" s="188"/>
      <c r="AD249" s="188"/>
      <c r="AE249" s="188"/>
    </row>
    <row r="250" spans="1:31" ht="16.95" customHeight="1" x14ac:dyDescent="0.3">
      <c r="A250" s="137">
        <f t="shared" si="28"/>
        <v>0</v>
      </c>
      <c r="C250" s="159">
        <f t="shared" si="29"/>
        <v>0</v>
      </c>
      <c r="D250" s="159">
        <f t="shared" si="29"/>
        <v>0</v>
      </c>
      <c r="E250" s="159">
        <f t="shared" si="29"/>
        <v>0</v>
      </c>
      <c r="F250" s="159">
        <f t="shared" si="29"/>
        <v>0</v>
      </c>
      <c r="G250" s="159">
        <f t="shared" si="29"/>
        <v>0</v>
      </c>
      <c r="H250" s="159">
        <f t="shared" si="29"/>
        <v>0</v>
      </c>
      <c r="I250" s="159">
        <f t="shared" si="29"/>
        <v>0</v>
      </c>
      <c r="J250" s="159">
        <f t="shared" si="29"/>
        <v>0</v>
      </c>
      <c r="K250" s="159">
        <f t="shared" si="29"/>
        <v>0</v>
      </c>
      <c r="L250" s="159">
        <f t="shared" si="29"/>
        <v>0</v>
      </c>
      <c r="M250" s="159">
        <f t="shared" si="29"/>
        <v>0</v>
      </c>
      <c r="N250" s="159">
        <f t="shared" si="29"/>
        <v>0</v>
      </c>
      <c r="O250" s="13" t="s">
        <v>251</v>
      </c>
      <c r="P250" s="132">
        <f t="shared" si="30"/>
        <v>0</v>
      </c>
      <c r="Z250" s="188"/>
      <c r="AA250" s="188"/>
      <c r="AB250" s="188"/>
      <c r="AC250" s="188"/>
      <c r="AD250" s="188"/>
      <c r="AE250" s="188"/>
    </row>
    <row r="251" spans="1:31" ht="16.95" customHeight="1" x14ac:dyDescent="0.3">
      <c r="A251" s="137">
        <f t="shared" si="28"/>
        <v>0</v>
      </c>
      <c r="C251" s="159">
        <f t="shared" si="29"/>
        <v>0</v>
      </c>
      <c r="D251" s="159">
        <f t="shared" si="29"/>
        <v>0</v>
      </c>
      <c r="E251" s="159">
        <f t="shared" si="29"/>
        <v>0</v>
      </c>
      <c r="F251" s="159">
        <f t="shared" si="29"/>
        <v>0</v>
      </c>
      <c r="G251" s="159">
        <f t="shared" si="29"/>
        <v>0</v>
      </c>
      <c r="H251" s="159">
        <f t="shared" si="29"/>
        <v>0</v>
      </c>
      <c r="I251" s="159">
        <f t="shared" si="29"/>
        <v>0</v>
      </c>
      <c r="J251" s="159">
        <f t="shared" si="29"/>
        <v>0</v>
      </c>
      <c r="K251" s="159">
        <f t="shared" si="29"/>
        <v>0</v>
      </c>
      <c r="L251" s="159">
        <f t="shared" si="29"/>
        <v>0</v>
      </c>
      <c r="M251" s="159">
        <f t="shared" si="29"/>
        <v>0</v>
      </c>
      <c r="N251" s="159">
        <f t="shared" si="29"/>
        <v>0</v>
      </c>
      <c r="O251" s="13" t="s">
        <v>251</v>
      </c>
      <c r="P251" s="132">
        <f t="shared" si="30"/>
        <v>0</v>
      </c>
      <c r="Z251" s="188"/>
      <c r="AA251" s="188"/>
      <c r="AB251" s="188"/>
      <c r="AC251" s="188"/>
      <c r="AD251" s="188"/>
      <c r="AE251" s="188"/>
    </row>
    <row r="252" spans="1:31" ht="16.95" customHeight="1" x14ac:dyDescent="0.3">
      <c r="A252" s="137">
        <f t="shared" si="28"/>
        <v>0</v>
      </c>
      <c r="C252" s="159">
        <f t="shared" si="29"/>
        <v>0</v>
      </c>
      <c r="D252" s="159">
        <f t="shared" si="29"/>
        <v>0</v>
      </c>
      <c r="E252" s="159">
        <f t="shared" si="29"/>
        <v>0</v>
      </c>
      <c r="F252" s="159">
        <f t="shared" si="29"/>
        <v>0</v>
      </c>
      <c r="G252" s="159">
        <f t="shared" si="29"/>
        <v>0</v>
      </c>
      <c r="H252" s="159">
        <f t="shared" si="29"/>
        <v>0</v>
      </c>
      <c r="I252" s="159">
        <f t="shared" si="29"/>
        <v>0</v>
      </c>
      <c r="J252" s="159">
        <f t="shared" si="29"/>
        <v>0</v>
      </c>
      <c r="K252" s="159">
        <f t="shared" si="29"/>
        <v>0</v>
      </c>
      <c r="L252" s="159">
        <f t="shared" si="29"/>
        <v>0</v>
      </c>
      <c r="M252" s="159">
        <f t="shared" si="29"/>
        <v>0</v>
      </c>
      <c r="N252" s="159">
        <f t="shared" si="29"/>
        <v>0</v>
      </c>
      <c r="O252" s="13" t="s">
        <v>251</v>
      </c>
      <c r="P252" s="132">
        <f t="shared" si="30"/>
        <v>0</v>
      </c>
      <c r="Z252" s="188"/>
      <c r="AA252" s="188"/>
      <c r="AB252" s="188"/>
      <c r="AC252" s="188"/>
      <c r="AD252" s="188"/>
      <c r="AE252" s="188"/>
    </row>
    <row r="255" spans="1:31" ht="19.95" customHeight="1" x14ac:dyDescent="0.35">
      <c r="A255" s="135" t="s">
        <v>257</v>
      </c>
      <c r="Z255" s="189" t="s">
        <v>258</v>
      </c>
      <c r="AA255" s="189"/>
      <c r="AB255" s="189"/>
      <c r="AC255" s="189"/>
      <c r="AD255" s="189"/>
      <c r="AE255" s="189"/>
    </row>
    <row r="256" spans="1:31" ht="16.95" customHeight="1" x14ac:dyDescent="0.3">
      <c r="C256" s="150" t="str">
        <f>IFERROR(INDEX(C$225:C$236, MATCH(1, F$225:F$236, 0)), "-")</f>
        <v>U1X</v>
      </c>
      <c r="D256" s="150" t="str">
        <f>IFERROR(INDEX(C$225:C$236, MATCH(2, F$225:F$236, 0)), "-")</f>
        <v>U3X</v>
      </c>
      <c r="E256" s="150" t="str">
        <f>IFERROR(INDEX(C$225:C$236, MATCH(3, F$225:F$236, 0)), "-")</f>
        <v>U3Y</v>
      </c>
      <c r="F256" s="150" t="str">
        <f>IFERROR(INDEX(C$225:C$236, MATCH(4, F$225:F$236, 0)), "-")</f>
        <v>U4X</v>
      </c>
      <c r="G256" s="150" t="str">
        <f>IFERROR(INDEX(C$225:C$236, MATCH(5, F$225:F$236, 0)), "-")</f>
        <v>U4Y</v>
      </c>
      <c r="H256" s="150" t="str">
        <f>IFERROR(INDEX(C$225:C$236, MATCH(6, F$225:F$236, 0)), "-")</f>
        <v>-</v>
      </c>
      <c r="I256" s="150" t="str">
        <f>IFERROR(INDEX(C$225:C$236, MATCH(7, F$225:F$236, 0)), "-")</f>
        <v>-</v>
      </c>
      <c r="J256" s="150" t="str">
        <f>IFERROR(INDEX(C$225:C$236, MATCH(8, F$225:F$236, 0)), "-")</f>
        <v>-</v>
      </c>
      <c r="K256" s="150" t="str">
        <f>IFERROR(INDEX(C$225:C$236, MATCH(9, F$225:F$236, 0)), "-")</f>
        <v>-</v>
      </c>
      <c r="Z256" s="188" t="s">
        <v>259</v>
      </c>
      <c r="AA256" s="188"/>
      <c r="AB256" s="188"/>
      <c r="AC256" s="188"/>
      <c r="AD256" s="188"/>
      <c r="AE256" s="188"/>
    </row>
    <row r="257" spans="1:31" ht="16.95" customHeight="1" x14ac:dyDescent="0.3">
      <c r="A257" s="138">
        <f t="shared" ref="A257:A265" si="31">IF($N257="-", 0, IFERROR(INDEX(E$211:E$222, MATCH($N257, C$211:C$222, 0)), 0))</f>
        <v>0</v>
      </c>
      <c r="C257" s="138">
        <f>IF(OR($N257="-", C$256="-"), 1, IF(OR(IFERROR(INDEX($B$196:$M$207, MATCH($N257, $N$196:$N$207, 0), MATCH($N257, $B$195:$M$195, 0)), 0)=0, IFERROR(INDEX($B$196:$M$207, MATCH(C$256, $N$196:$N$207, 0), MATCH(C$256, $B$195:$M$195, 0)), 0)=0), 1, IFERROR(INDEX($B$196:$M$207, MATCH($N257, $N$196:$N$207, 0), MATCH(C$256, $B$195:$M$195, 0)), 0)))</f>
        <v>3474.3416490252566</v>
      </c>
      <c r="D257" s="138">
        <f t="shared" ref="D257:K259" si="32">IF(OR($N257="-", D$256="-"), 0, IF(OR(IFERROR(INDEX($B$196:$M$207, MATCH($N257, $N$196:$N$207, 0), MATCH($N257, $B$195:$M$195, 0)), 0)=0, IFERROR(INDEX($B$196:$M$207, MATCH(D$256, $N$196:$N$207, 0), MATCH(D$256, $B$195:$M$195, 0)), 0)=0), 0, IFERROR(INDEX($B$196:$M$207, MATCH($N257, $N$196:$N$207, 0), MATCH(D$256, $B$195:$M$195, 0)), 0)))</f>
        <v>0</v>
      </c>
      <c r="E257" s="138">
        <f t="shared" si="32"/>
        <v>0</v>
      </c>
      <c r="F257" s="138">
        <f t="shared" si="32"/>
        <v>-474.34164902525674</v>
      </c>
      <c r="G257" s="138">
        <f t="shared" si="32"/>
        <v>-1423.0249470757703</v>
      </c>
      <c r="H257" s="138">
        <f t="shared" si="32"/>
        <v>0</v>
      </c>
      <c r="I257" s="138">
        <f t="shared" si="32"/>
        <v>0</v>
      </c>
      <c r="J257" s="138">
        <f t="shared" si="32"/>
        <v>0</v>
      </c>
      <c r="K257" s="138">
        <f t="shared" si="32"/>
        <v>0</v>
      </c>
      <c r="L257" s="13" t="s">
        <v>251</v>
      </c>
      <c r="M257" s="150" t="str">
        <f>IFERROR(INDEX(B$225:B$236, MATCH(1, F$225:F$236, 0)), "-")</f>
        <v>D1X</v>
      </c>
      <c r="N257" s="134" t="str">
        <f>IFERROR(INDEX(C$225:C$236, MATCH(1, F$225:F$236, 0)), "-")</f>
        <v>U1X</v>
      </c>
      <c r="Z257" s="188" t="s">
        <v>260</v>
      </c>
      <c r="AA257" s="188"/>
      <c r="AB257" s="188"/>
      <c r="AC257" s="188"/>
      <c r="AD257" s="188"/>
      <c r="AE257" s="188"/>
    </row>
    <row r="258" spans="1:31" ht="16.95" customHeight="1" x14ac:dyDescent="0.3">
      <c r="A258" s="138">
        <f t="shared" si="31"/>
        <v>1000</v>
      </c>
      <c r="C258" s="138">
        <f t="shared" ref="C258:E265" si="33">IF(OR($N258="-", C$256="-"), 0, IF(OR(IFERROR(INDEX($B$196:$M$207, MATCH($N258, $N$196:$N$207, 0), MATCH($N258, $B$195:$M$195, 0)), 0)=0, IFERROR(INDEX($B$196:$M$207, MATCH(C$256, $N$196:$N$207, 0), MATCH(C$256, $B$195:$M$195, 0)), 0)=0), 0, IFERROR(INDEX($B$196:$M$207, MATCH($N258, $N$196:$N$207, 0), MATCH(C$256, $B$195:$M$195, 0)), 0)))</f>
        <v>0</v>
      </c>
      <c r="D258" s="138">
        <f>IF(OR($N258="-", D$256="-"), 1, IF(OR(IFERROR(INDEX($B$196:$M$207, MATCH($N258, $N$196:$N$207, 0), MATCH($N258, $B$195:$M$195, 0)), 0)=0, IFERROR(INDEX($B$196:$M$207, MATCH(D$256, $N$196:$N$207, 0), MATCH(D$256, $B$195:$M$195, 0)), 0)=0), 1, IFERROR(INDEX($B$196:$M$207, MATCH($N258, $N$196:$N$207, 0), MATCH(D$256, $B$195:$M$195, 0)), 0)))</f>
        <v>4483.0768633181942</v>
      </c>
      <c r="E258" s="138">
        <f t="shared" si="32"/>
        <v>567.01685871224254</v>
      </c>
      <c r="F258" s="138">
        <f t="shared" si="32"/>
        <v>-4269.0748412273124</v>
      </c>
      <c r="G258" s="138">
        <f t="shared" si="32"/>
        <v>-1423.0249470757706</v>
      </c>
      <c r="H258" s="138">
        <f t="shared" si="32"/>
        <v>0</v>
      </c>
      <c r="I258" s="138">
        <f t="shared" si="32"/>
        <v>0</v>
      </c>
      <c r="J258" s="138">
        <f t="shared" si="32"/>
        <v>0</v>
      </c>
      <c r="K258" s="138">
        <f t="shared" si="32"/>
        <v>0</v>
      </c>
      <c r="L258" s="13" t="s">
        <v>251</v>
      </c>
      <c r="M258" s="150" t="str">
        <f>IFERROR(INDEX(B$225:B$236, MATCH(2, F$225:F$236, 0)), "-")</f>
        <v>D3X</v>
      </c>
      <c r="N258" s="134" t="str">
        <f>IFERROR(INDEX(C$225:C$236, MATCH(2, F$225:F$236, 0)), "-")</f>
        <v>U3X</v>
      </c>
      <c r="Z258" s="188" t="s">
        <v>261</v>
      </c>
      <c r="AA258" s="188"/>
      <c r="AB258" s="188"/>
      <c r="AC258" s="188"/>
      <c r="AD258" s="188"/>
      <c r="AE258" s="188"/>
    </row>
    <row r="259" spans="1:31" ht="16.95" customHeight="1" x14ac:dyDescent="0.3">
      <c r="A259" s="138">
        <f t="shared" si="31"/>
        <v>-2000</v>
      </c>
      <c r="C259" s="138">
        <f t="shared" si="33"/>
        <v>0</v>
      </c>
      <c r="D259" s="138">
        <f t="shared" si="33"/>
        <v>567.01685871224254</v>
      </c>
      <c r="E259" s="138">
        <f>IF(OR($N259="-", E$256="-"), 1, IF(OR(IFERROR(INDEX($B$196:$M$207, MATCH($N259, $N$196:$N$207, 0), MATCH($N259, $B$195:$M$195, 0)), 0)=0, IFERROR(INDEX($B$196:$M$207, MATCH(E$256, $N$196:$N$207, 0), MATCH(E$256, $B$195:$M$195, 0)), 0)=0), 1, IFERROR(INDEX($B$196:$M$207, MATCH($N259, $N$196:$N$207, 0), MATCH(E$256, $B$195:$M$195, 0)), 0)))</f>
        <v>3898.3740024793688</v>
      </c>
      <c r="F259" s="138">
        <f t="shared" si="32"/>
        <v>-1423.0249470757706</v>
      </c>
      <c r="G259" s="138">
        <f t="shared" si="32"/>
        <v>-474.34164902525674</v>
      </c>
      <c r="H259" s="138">
        <f t="shared" si="32"/>
        <v>0</v>
      </c>
      <c r="I259" s="138">
        <f t="shared" si="32"/>
        <v>0</v>
      </c>
      <c r="J259" s="138">
        <f t="shared" si="32"/>
        <v>0</v>
      </c>
      <c r="K259" s="138">
        <f t="shared" si="32"/>
        <v>0</v>
      </c>
      <c r="L259" s="13" t="s">
        <v>251</v>
      </c>
      <c r="M259" s="150" t="str">
        <f>IFERROR(INDEX(B$225:B$236, MATCH(3, F$225:F$236, 0)), "-")</f>
        <v>D3Y</v>
      </c>
      <c r="N259" s="134" t="str">
        <f>IFERROR(INDEX(C$225:C$236, MATCH(3, F$225:F$236, 0)), "-")</f>
        <v>U3Y</v>
      </c>
      <c r="Z259" s="188" t="s">
        <v>262</v>
      </c>
      <c r="AA259" s="188"/>
      <c r="AB259" s="188"/>
      <c r="AC259" s="188"/>
      <c r="AD259" s="188"/>
      <c r="AE259" s="188"/>
    </row>
    <row r="260" spans="1:31" ht="16.95" customHeight="1" x14ac:dyDescent="0.3">
      <c r="A260" s="138">
        <f t="shared" si="31"/>
        <v>2000</v>
      </c>
      <c r="C260" s="138">
        <f t="shared" si="33"/>
        <v>-474.34164902525674</v>
      </c>
      <c r="D260" s="138">
        <f t="shared" si="33"/>
        <v>-4269.0748412273124</v>
      </c>
      <c r="E260" s="138">
        <f t="shared" si="33"/>
        <v>-1423.0249470757706</v>
      </c>
      <c r="F260" s="138">
        <f>IF(OR($N260="-", F$256="-"), 1, IF(OR(IFERROR(INDEX($B$196:$M$207, MATCH($N260, $N$196:$N$207, 0), MATCH($N260, $B$195:$M$195, 0)), 0)=0, IFERROR(INDEX($B$196:$M$207, MATCH(F$256, $N$196:$N$207, 0), MATCH(F$256, $B$195:$M$195, 0)), 0)=0), 1, IFERROR(INDEX($B$196:$M$207, MATCH($N260, $N$196:$N$207, 0), MATCH(F$256, $B$195:$M$195, 0)), 0)))</f>
        <v>6663.416490252569</v>
      </c>
      <c r="G260" s="138">
        <f>IF(OR($N260="-", G$256="-"), 0, IF(OR(IFERROR(INDEX($B$196:$M$207, MATCH($N260, $N$196:$N$207, 0), MATCH($N260, $B$195:$M$195, 0)), 0)=0, IFERROR(INDEX($B$196:$M$207, MATCH(G$256, $N$196:$N$207, 0), MATCH(G$256, $B$195:$M$195, 0)), 0)=0), 0, IFERROR(INDEX($B$196:$M$207, MATCH($N260, $N$196:$N$207, 0), MATCH(G$256, $B$195:$M$195, 0)), 0)))</f>
        <v>1406.0498941515407</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50" t="str">
        <f>IFERROR(INDEX(B$225:B$236, MATCH(4, F$225:F$236, 0)), "-")</f>
        <v>D4X</v>
      </c>
      <c r="N260" s="134" t="str">
        <f>IFERROR(INDEX(C$225:C$236, MATCH(4, F$225:F$236, 0)), "-")</f>
        <v>U4X</v>
      </c>
      <c r="Z260" s="188"/>
      <c r="AA260" s="188"/>
      <c r="AB260" s="188"/>
      <c r="AC260" s="188"/>
      <c r="AD260" s="188"/>
      <c r="AE260" s="188"/>
    </row>
    <row r="261" spans="1:31" ht="16.95" customHeight="1" x14ac:dyDescent="0.3">
      <c r="A261" s="138">
        <f t="shared" si="31"/>
        <v>-1000</v>
      </c>
      <c r="B261" s="13" t="s">
        <v>220</v>
      </c>
      <c r="C261" s="138">
        <f t="shared" si="33"/>
        <v>-1423.0249470757703</v>
      </c>
      <c r="D261" s="138">
        <f t="shared" si="33"/>
        <v>-1423.0249470757706</v>
      </c>
      <c r="E261" s="138">
        <f t="shared" si="33"/>
        <v>-474.34164902525674</v>
      </c>
      <c r="F261" s="138">
        <f>IF(OR($N261="-", F$256="-"), 0, IF(OR(IFERROR(INDEX($B$196:$M$207, MATCH($N261, $N$196:$N$207, 0), MATCH($N261, $B$195:$M$195, 0)), 0)=0, IFERROR(INDEX($B$196:$M$207, MATCH(F$256, $N$196:$N$207, 0), MATCH(F$256, $B$195:$M$195, 0)), 0)=0), 0, IFERROR(INDEX($B$196:$M$207, MATCH($N261, $N$196:$N$207, 0), MATCH(F$256, $B$195:$M$195, 0)), 0)))</f>
        <v>1406.0498941515407</v>
      </c>
      <c r="G261" s="138">
        <f>IF(OR($N261="-", G$256="-"), 1, IF(OR(IFERROR(INDEX($B$196:$M$207, MATCH($N261, $N$196:$N$207, 0), MATCH($N261, $B$195:$M$195, 0)), 0)=0, IFERROR(INDEX($B$196:$M$207, MATCH(G$256, $N$196:$N$207, 0), MATCH(G$256, $B$195:$M$195, 0)), 0)=0), 1, IFERROR(INDEX($B$196:$M$207, MATCH($N261, $N$196:$N$207, 0), MATCH(G$256, $B$195:$M$195, 0)), 0)))</f>
        <v>5823.416490252569</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50" t="str">
        <f>IFERROR(INDEX(B$225:B$236, MATCH(5, F$225:F$236, 0)), "-")</f>
        <v>D4Y</v>
      </c>
      <c r="N261" s="134" t="str">
        <f>IFERROR(INDEX(C$225:C$236, MATCH(5, F$225:F$236, 0)), "-")</f>
        <v>U4Y</v>
      </c>
      <c r="Z261" s="188"/>
      <c r="AA261" s="188"/>
      <c r="AB261" s="188"/>
      <c r="AC261" s="188"/>
      <c r="AD261" s="188"/>
      <c r="AE261" s="188"/>
    </row>
    <row r="262" spans="1:31" ht="16.95" customHeight="1" x14ac:dyDescent="0.3">
      <c r="A262" s="138">
        <f t="shared" si="31"/>
        <v>0</v>
      </c>
      <c r="C262" s="138">
        <f t="shared" si="33"/>
        <v>0</v>
      </c>
      <c r="D262" s="138">
        <f t="shared" si="33"/>
        <v>0</v>
      </c>
      <c r="E262" s="138">
        <f t="shared" si="33"/>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50" t="str">
        <f>IFERROR(INDEX(B$225:B$236, MATCH(6, F$225:F$236, 0)), "-")</f>
        <v>-</v>
      </c>
      <c r="N262" s="134" t="str">
        <f>IFERROR(INDEX(C$225:C$236, MATCH(6, F$225:F$236, 0)), "-")</f>
        <v>-</v>
      </c>
      <c r="Z262" s="188"/>
      <c r="AA262" s="188"/>
      <c r="AB262" s="188"/>
      <c r="AC262" s="188"/>
      <c r="AD262" s="188"/>
      <c r="AE262" s="188"/>
    </row>
    <row r="263" spans="1:31" ht="16.95" customHeight="1" x14ac:dyDescent="0.3">
      <c r="A263" s="138">
        <f t="shared" si="31"/>
        <v>0</v>
      </c>
      <c r="C263" s="138">
        <f t="shared" si="33"/>
        <v>0</v>
      </c>
      <c r="D263" s="138">
        <f t="shared" si="33"/>
        <v>0</v>
      </c>
      <c r="E263" s="138">
        <f t="shared" si="33"/>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50" t="str">
        <f>IFERROR(INDEX(B$225:B$236, MATCH(7, F$225:F$236, 0)), "-")</f>
        <v>-</v>
      </c>
      <c r="N263" s="134" t="str">
        <f>IFERROR(INDEX(C$225:C$236, MATCH(7, F$225:F$236, 0)), "-")</f>
        <v>-</v>
      </c>
      <c r="Z263" s="188"/>
      <c r="AA263" s="188"/>
      <c r="AB263" s="188"/>
      <c r="AC263" s="188"/>
      <c r="AD263" s="188"/>
      <c r="AE263" s="188"/>
    </row>
    <row r="264" spans="1:31" ht="16.95" customHeight="1" x14ac:dyDescent="0.3">
      <c r="A264" s="138">
        <f t="shared" si="31"/>
        <v>0</v>
      </c>
      <c r="C264" s="138">
        <f t="shared" si="33"/>
        <v>0</v>
      </c>
      <c r="D264" s="138">
        <f t="shared" si="33"/>
        <v>0</v>
      </c>
      <c r="E264" s="138">
        <f t="shared" si="33"/>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50" t="str">
        <f>IFERROR(INDEX(B$225:B$236, MATCH(8, F$225:F$236, 0)), "-")</f>
        <v>-</v>
      </c>
      <c r="N264" s="134" t="str">
        <f>IFERROR(INDEX(C$225:C$236, MATCH(8, F$225:F$236, 0)), "-")</f>
        <v>-</v>
      </c>
      <c r="Z264" s="188"/>
      <c r="AA264" s="188"/>
      <c r="AB264" s="188"/>
      <c r="AC264" s="188"/>
      <c r="AD264" s="188"/>
      <c r="AE264" s="188"/>
    </row>
    <row r="265" spans="1:31" ht="16.95" customHeight="1" x14ac:dyDescent="0.3">
      <c r="A265" s="138">
        <f t="shared" si="31"/>
        <v>0</v>
      </c>
      <c r="C265" s="138">
        <f t="shared" si="33"/>
        <v>0</v>
      </c>
      <c r="D265" s="138">
        <f t="shared" si="33"/>
        <v>0</v>
      </c>
      <c r="E265" s="138">
        <f t="shared" si="33"/>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50" t="str">
        <f>IFERROR(INDEX(B$225:B$236, MATCH(9, F$225:F$236, 0)), "-")</f>
        <v>-</v>
      </c>
      <c r="N265" s="134" t="str">
        <f>IFERROR(INDEX(C$225:C$236, MATCH(9, F$225:F$236, 0)), "-")</f>
        <v>-</v>
      </c>
      <c r="Z265" s="188"/>
      <c r="AA265" s="188"/>
      <c r="AB265" s="188"/>
      <c r="AC265" s="188"/>
      <c r="AD265" s="188"/>
      <c r="AE265" s="188"/>
    </row>
    <row r="266" spans="1:31" ht="16.95" customHeight="1" x14ac:dyDescent="0.3">
      <c r="Z266" s="188"/>
      <c r="AA266" s="188"/>
      <c r="AB266" s="188"/>
      <c r="AC266" s="188"/>
      <c r="AD266" s="188"/>
      <c r="AE266" s="188"/>
    </row>
    <row r="267" spans="1:31" ht="16.95" customHeight="1" x14ac:dyDescent="0.3">
      <c r="C267" s="190" t="s">
        <v>263</v>
      </c>
      <c r="D267" s="190"/>
      <c r="E267" s="190"/>
      <c r="F267" s="190"/>
      <c r="G267" s="190"/>
      <c r="H267" s="190"/>
      <c r="I267" s="190"/>
      <c r="J267" s="190"/>
      <c r="K267" s="190"/>
      <c r="Z267" s="188"/>
      <c r="AA267" s="188"/>
      <c r="AB267" s="188"/>
      <c r="AC267" s="188"/>
      <c r="AD267" s="188"/>
      <c r="AE267" s="188"/>
    </row>
    <row r="268" spans="1:31" ht="16.95" customHeight="1" x14ac:dyDescent="0.3">
      <c r="A268" s="151" t="s">
        <v>249</v>
      </c>
      <c r="C268" s="193" t="s">
        <v>264</v>
      </c>
      <c r="D268" s="175"/>
      <c r="E268" s="175"/>
      <c r="F268" s="175"/>
      <c r="G268" s="175"/>
      <c r="H268" s="175"/>
      <c r="I268" s="175"/>
      <c r="J268" s="175"/>
      <c r="K268" s="175"/>
      <c r="M268" s="151" t="s">
        <v>247</v>
      </c>
      <c r="Z268" s="188"/>
      <c r="AA268" s="188"/>
      <c r="AB268" s="188"/>
      <c r="AC268" s="188"/>
      <c r="AD268" s="188"/>
      <c r="AE268" s="188"/>
    </row>
    <row r="269" spans="1:31" ht="16.95" customHeight="1" x14ac:dyDescent="0.3">
      <c r="A269" s="132" t="str">
        <f t="shared" ref="A269:A277" si="34">M257</f>
        <v>D1X</v>
      </c>
      <c r="C269" s="139">
        <f t="array" ref="C269:K277">MINVERSE(C257:K265)</f>
        <v>3.3333333333333338E-4</v>
      </c>
      <c r="D269" s="139">
        <v>8.8888888888888866E-5</v>
      </c>
      <c r="E269" s="139">
        <v>2.2222222222222217E-5</v>
      </c>
      <c r="F269" s="139">
        <v>6.6666666666666656E-5</v>
      </c>
      <c r="G269" s="139">
        <v>8.8888888888888866E-5</v>
      </c>
      <c r="H269" s="139">
        <v>0</v>
      </c>
      <c r="I269" s="139">
        <v>0</v>
      </c>
      <c r="J269" s="139">
        <v>0</v>
      </c>
      <c r="K269" s="139">
        <v>0</v>
      </c>
      <c r="M269" s="137">
        <f t="shared" ref="M269:M277" si="35">A257</f>
        <v>0</v>
      </c>
      <c r="Z269" s="188"/>
      <c r="AA269" s="188"/>
      <c r="AB269" s="188"/>
      <c r="AC269" s="188"/>
      <c r="AD269" s="188"/>
      <c r="AE269" s="188"/>
    </row>
    <row r="270" spans="1:31" ht="16.95" customHeight="1" x14ac:dyDescent="0.3">
      <c r="A270" s="132" t="str">
        <f t="shared" si="34"/>
        <v>D3X</v>
      </c>
      <c r="C270" s="139">
        <v>8.8888888888888866E-5</v>
      </c>
      <c r="D270" s="139">
        <v>6.2527435935130782E-4</v>
      </c>
      <c r="E270" s="139">
        <v>6.6456031330775365E-5</v>
      </c>
      <c r="F270" s="139">
        <v>4.0371859031026032E-4</v>
      </c>
      <c r="G270" s="139">
        <v>8.2450997906557936E-5</v>
      </c>
      <c r="H270" s="139">
        <v>0</v>
      </c>
      <c r="I270" s="139">
        <v>0</v>
      </c>
      <c r="J270" s="139">
        <v>0</v>
      </c>
      <c r="K270" s="139">
        <v>0</v>
      </c>
      <c r="M270" s="137">
        <f t="shared" si="35"/>
        <v>1000</v>
      </c>
      <c r="Z270" s="188"/>
      <c r="AA270" s="188"/>
      <c r="AB270" s="188"/>
      <c r="AC270" s="188"/>
      <c r="AD270" s="188"/>
      <c r="AE270" s="188"/>
    </row>
    <row r="271" spans="1:31" ht="16.95" customHeight="1" x14ac:dyDescent="0.3">
      <c r="A271" s="132" t="str">
        <f t="shared" si="34"/>
        <v>D3Y</v>
      </c>
      <c r="C271" s="139">
        <v>2.222222222222222E-5</v>
      </c>
      <c r="D271" s="139">
        <v>6.6456031330775365E-5</v>
      </c>
      <c r="E271" s="139">
        <v>2.8620168335384864E-4</v>
      </c>
      <c r="F271" s="139">
        <v>1.0092964757756507E-4</v>
      </c>
      <c r="G271" s="139">
        <v>2.0612749476639481E-5</v>
      </c>
      <c r="H271" s="139">
        <v>0</v>
      </c>
      <c r="I271" s="139">
        <v>0</v>
      </c>
      <c r="J271" s="139">
        <v>0</v>
      </c>
      <c r="K271" s="139">
        <v>0</v>
      </c>
      <c r="M271" s="137">
        <f t="shared" si="35"/>
        <v>-2000</v>
      </c>
      <c r="Z271" s="188"/>
      <c r="AA271" s="188"/>
      <c r="AB271" s="188"/>
      <c r="AC271" s="188"/>
      <c r="AD271" s="188"/>
      <c r="AE271" s="188"/>
    </row>
    <row r="272" spans="1:31" ht="16.95" customHeight="1" x14ac:dyDescent="0.3">
      <c r="A272" s="132" t="str">
        <f t="shared" si="34"/>
        <v>D4X</v>
      </c>
      <c r="C272" s="139">
        <v>6.6666666666666656E-5</v>
      </c>
      <c r="D272" s="139">
        <v>4.0371859031026032E-4</v>
      </c>
      <c r="E272" s="139">
        <v>1.0092964757756508E-4</v>
      </c>
      <c r="F272" s="139">
        <v>4.3099407093782341E-4</v>
      </c>
      <c r="G272" s="139">
        <v>1.9103205694875734E-5</v>
      </c>
      <c r="H272" s="139">
        <v>0</v>
      </c>
      <c r="I272" s="139">
        <v>0</v>
      </c>
      <c r="J272" s="139">
        <v>0</v>
      </c>
      <c r="K272" s="139">
        <v>0</v>
      </c>
      <c r="M272" s="137">
        <f t="shared" si="35"/>
        <v>2000</v>
      </c>
      <c r="Z272" s="188"/>
      <c r="AA272" s="188"/>
      <c r="AB272" s="188"/>
      <c r="AC272" s="188"/>
      <c r="AD272" s="188"/>
      <c r="AE272" s="188"/>
    </row>
    <row r="273" spans="1:31" ht="16.95" customHeight="1" x14ac:dyDescent="0.3">
      <c r="A273" s="132" t="str">
        <f t="shared" si="34"/>
        <v>D4Y</v>
      </c>
      <c r="B273" s="13" t="s">
        <v>220</v>
      </c>
      <c r="C273" s="139">
        <v>8.8888888888888866E-5</v>
      </c>
      <c r="D273" s="139">
        <v>8.2450997906557922E-5</v>
      </c>
      <c r="E273" s="139">
        <v>2.0612749476639481E-5</v>
      </c>
      <c r="F273" s="139">
        <v>1.9103205694875734E-5</v>
      </c>
      <c r="G273" s="139">
        <v>2.106561261116861E-4</v>
      </c>
      <c r="H273" s="139">
        <v>0</v>
      </c>
      <c r="I273" s="139">
        <v>0</v>
      </c>
      <c r="J273" s="139">
        <v>0</v>
      </c>
      <c r="K273" s="139">
        <v>0</v>
      </c>
      <c r="M273" s="137">
        <f t="shared" si="35"/>
        <v>-1000</v>
      </c>
      <c r="Z273" s="188"/>
      <c r="AA273" s="188"/>
      <c r="AB273" s="188"/>
      <c r="AC273" s="188"/>
      <c r="AD273" s="188"/>
      <c r="AE273" s="188"/>
    </row>
    <row r="274" spans="1:31" ht="16.95" customHeight="1" x14ac:dyDescent="0.3">
      <c r="A274" s="132" t="str">
        <f t="shared" si="34"/>
        <v>-</v>
      </c>
      <c r="C274" s="139">
        <v>0</v>
      </c>
      <c r="D274" s="139">
        <v>0</v>
      </c>
      <c r="E274" s="139">
        <v>0</v>
      </c>
      <c r="F274" s="139">
        <v>0</v>
      </c>
      <c r="G274" s="139">
        <v>0</v>
      </c>
      <c r="H274" s="139">
        <v>1</v>
      </c>
      <c r="I274" s="139">
        <v>0</v>
      </c>
      <c r="J274" s="139">
        <v>0</v>
      </c>
      <c r="K274" s="139">
        <v>0</v>
      </c>
      <c r="M274" s="137">
        <f t="shared" si="35"/>
        <v>0</v>
      </c>
      <c r="Z274" s="188"/>
      <c r="AA274" s="188"/>
      <c r="AB274" s="188"/>
      <c r="AC274" s="188"/>
      <c r="AD274" s="188"/>
      <c r="AE274" s="188"/>
    </row>
    <row r="275" spans="1:31" ht="16.95" customHeight="1" x14ac:dyDescent="0.3">
      <c r="A275" s="132" t="str">
        <f t="shared" si="34"/>
        <v>-</v>
      </c>
      <c r="C275" s="139">
        <v>0</v>
      </c>
      <c r="D275" s="139">
        <v>0</v>
      </c>
      <c r="E275" s="139">
        <v>0</v>
      </c>
      <c r="F275" s="139">
        <v>0</v>
      </c>
      <c r="G275" s="139">
        <v>0</v>
      </c>
      <c r="H275" s="139">
        <v>0</v>
      </c>
      <c r="I275" s="139">
        <v>1</v>
      </c>
      <c r="J275" s="139">
        <v>0</v>
      </c>
      <c r="K275" s="139">
        <v>0</v>
      </c>
      <c r="M275" s="137">
        <f t="shared" si="35"/>
        <v>0</v>
      </c>
      <c r="Z275" s="188"/>
      <c r="AA275" s="188"/>
      <c r="AB275" s="188"/>
      <c r="AC275" s="188"/>
      <c r="AD275" s="188"/>
      <c r="AE275" s="188"/>
    </row>
    <row r="276" spans="1:31" ht="16.95" customHeight="1" x14ac:dyDescent="0.3">
      <c r="A276" s="132" t="str">
        <f t="shared" si="34"/>
        <v>-</v>
      </c>
      <c r="C276" s="139">
        <v>0</v>
      </c>
      <c r="D276" s="139">
        <v>0</v>
      </c>
      <c r="E276" s="139">
        <v>0</v>
      </c>
      <c r="F276" s="139">
        <v>0</v>
      </c>
      <c r="G276" s="139">
        <v>0</v>
      </c>
      <c r="H276" s="139">
        <v>0</v>
      </c>
      <c r="I276" s="139">
        <v>0</v>
      </c>
      <c r="J276" s="139">
        <v>1</v>
      </c>
      <c r="K276" s="139">
        <v>0</v>
      </c>
      <c r="M276" s="137">
        <f t="shared" si="35"/>
        <v>0</v>
      </c>
      <c r="Z276" s="188"/>
      <c r="AA276" s="188"/>
      <c r="AB276" s="188"/>
      <c r="AC276" s="188"/>
      <c r="AD276" s="188"/>
      <c r="AE276" s="188"/>
    </row>
    <row r="277" spans="1:31" ht="16.95" customHeight="1" x14ac:dyDescent="0.3">
      <c r="A277" s="132" t="str">
        <f t="shared" si="34"/>
        <v>-</v>
      </c>
      <c r="C277" s="139">
        <v>0</v>
      </c>
      <c r="D277" s="139">
        <v>0</v>
      </c>
      <c r="E277" s="139">
        <v>0</v>
      </c>
      <c r="F277" s="139">
        <v>0</v>
      </c>
      <c r="G277" s="139">
        <v>0</v>
      </c>
      <c r="H277" s="139">
        <v>0</v>
      </c>
      <c r="I277" s="139">
        <v>0</v>
      </c>
      <c r="J277" s="139">
        <v>0</v>
      </c>
      <c r="K277" s="139">
        <v>1</v>
      </c>
      <c r="M277" s="137">
        <f t="shared" si="35"/>
        <v>0</v>
      </c>
      <c r="Z277" s="188"/>
      <c r="AA277" s="188"/>
      <c r="AB277" s="188"/>
      <c r="AC277" s="188"/>
      <c r="AD277" s="188"/>
      <c r="AE277" s="188"/>
    </row>
    <row r="278" spans="1:31" ht="16.95" customHeight="1" x14ac:dyDescent="0.3">
      <c r="Z278" s="188"/>
      <c r="AA278" s="188"/>
      <c r="AB278" s="188"/>
      <c r="AC278" s="188"/>
      <c r="AD278" s="188"/>
      <c r="AE278" s="188"/>
    </row>
    <row r="279" spans="1:31" ht="16.95" customHeight="1" x14ac:dyDescent="0.3">
      <c r="C279" s="190" t="s">
        <v>265</v>
      </c>
      <c r="D279" s="190"/>
      <c r="Z279" s="188"/>
      <c r="AA279" s="188"/>
      <c r="AB279" s="188"/>
      <c r="AC279" s="188"/>
      <c r="AD279" s="188"/>
      <c r="AE279" s="188"/>
    </row>
    <row r="280" spans="1:31" ht="16.95" customHeight="1" x14ac:dyDescent="0.3">
      <c r="A280" s="151" t="s">
        <v>249</v>
      </c>
      <c r="C280" s="151" t="s">
        <v>266</v>
      </c>
      <c r="Z280" s="188"/>
      <c r="AA280" s="188"/>
      <c r="AB280" s="188"/>
      <c r="AC280" s="188"/>
      <c r="AD280" s="188"/>
      <c r="AE280" s="188"/>
    </row>
    <row r="281" spans="1:31" ht="16.95" customHeight="1" x14ac:dyDescent="0.3">
      <c r="A281" s="132" t="str">
        <f t="shared" ref="A281:A289" si="36">A269</f>
        <v>D1X</v>
      </c>
      <c r="C281" s="140">
        <f t="array" ref="C281:C289">MMULT(C269:K277, M269:M277)</f>
        <v>8.8888888888888865E-2</v>
      </c>
      <c r="D281" s="132" t="s">
        <v>267</v>
      </c>
      <c r="Z281" s="188"/>
      <c r="AA281" s="188"/>
      <c r="AB281" s="188"/>
      <c r="AC281" s="188"/>
      <c r="AD281" s="188"/>
      <c r="AE281" s="188"/>
    </row>
    <row r="282" spans="1:31" ht="16.95" customHeight="1" x14ac:dyDescent="0.3">
      <c r="A282" s="132" t="str">
        <f t="shared" si="36"/>
        <v>D3X</v>
      </c>
      <c r="C282" s="140">
        <v>1.2173484794037197</v>
      </c>
      <c r="D282" s="132" t="s">
        <v>267</v>
      </c>
      <c r="Z282" s="188"/>
      <c r="AA282" s="188"/>
      <c r="AB282" s="188"/>
      <c r="AC282" s="188"/>
      <c r="AD282" s="188"/>
      <c r="AE282" s="188"/>
    </row>
    <row r="283" spans="1:31" ht="16.95" customHeight="1" x14ac:dyDescent="0.3">
      <c r="A283" s="132" t="str">
        <f t="shared" si="36"/>
        <v>D3Y</v>
      </c>
      <c r="C283" s="140">
        <v>-0.3247007896984313</v>
      </c>
      <c r="D283" s="132" t="s">
        <v>267</v>
      </c>
      <c r="Z283" s="188"/>
      <c r="AA283" s="188"/>
      <c r="AB283" s="188"/>
      <c r="AC283" s="188"/>
      <c r="AD283" s="188"/>
      <c r="AE283" s="188"/>
    </row>
    <row r="284" spans="1:31" ht="16.95" customHeight="1" x14ac:dyDescent="0.3">
      <c r="A284" s="132" t="str">
        <f t="shared" si="36"/>
        <v>D4X</v>
      </c>
      <c r="C284" s="140">
        <v>1.0447442313359012</v>
      </c>
      <c r="D284" s="132" t="s">
        <v>267</v>
      </c>
      <c r="Z284" s="188"/>
      <c r="AA284" s="188"/>
      <c r="AB284" s="188"/>
      <c r="AC284" s="188"/>
      <c r="AD284" s="188"/>
      <c r="AE284" s="188"/>
    </row>
    <row r="285" spans="1:31" ht="16.95" customHeight="1" x14ac:dyDescent="0.3">
      <c r="A285" s="132" t="str">
        <f t="shared" si="36"/>
        <v>D4Y</v>
      </c>
      <c r="B285" s="13" t="s">
        <v>220</v>
      </c>
      <c r="C285" s="140">
        <v>-0.13122421576865567</v>
      </c>
      <c r="D285" s="132" t="s">
        <v>267</v>
      </c>
      <c r="Z285" s="188"/>
      <c r="AA285" s="188"/>
      <c r="AB285" s="188"/>
      <c r="AC285" s="188"/>
      <c r="AD285" s="188"/>
      <c r="AE285" s="188"/>
    </row>
    <row r="286" spans="1:31" ht="16.95" customHeight="1" x14ac:dyDescent="0.3">
      <c r="A286" s="132" t="str">
        <f t="shared" si="36"/>
        <v>-</v>
      </c>
      <c r="C286" s="140">
        <v>0</v>
      </c>
      <c r="D286" s="132" t="s">
        <v>267</v>
      </c>
      <c r="Z286" s="188"/>
      <c r="AA286" s="188"/>
      <c r="AB286" s="188"/>
      <c r="AC286" s="188"/>
      <c r="AD286" s="188"/>
      <c r="AE286" s="188"/>
    </row>
    <row r="287" spans="1:31" ht="16.95" customHeight="1" x14ac:dyDescent="0.3">
      <c r="A287" s="132" t="str">
        <f t="shared" si="36"/>
        <v>-</v>
      </c>
      <c r="C287" s="140">
        <v>0</v>
      </c>
      <c r="D287" s="132" t="s">
        <v>267</v>
      </c>
      <c r="Z287" s="188"/>
      <c r="AA287" s="188"/>
      <c r="AB287" s="188"/>
      <c r="AC287" s="188"/>
      <c r="AD287" s="188"/>
      <c r="AE287" s="188"/>
    </row>
    <row r="288" spans="1:31" ht="16.95" customHeight="1" x14ac:dyDescent="0.3">
      <c r="A288" s="132" t="str">
        <f t="shared" si="36"/>
        <v>-</v>
      </c>
      <c r="C288" s="140">
        <v>0</v>
      </c>
      <c r="D288" s="132" t="s">
        <v>267</v>
      </c>
      <c r="Z288" s="188"/>
      <c r="AA288" s="188"/>
      <c r="AB288" s="188"/>
      <c r="AC288" s="188"/>
      <c r="AD288" s="188"/>
      <c r="AE288" s="188"/>
    </row>
    <row r="289" spans="1:31" ht="16.95" customHeight="1" x14ac:dyDescent="0.3">
      <c r="A289" s="132" t="str">
        <f t="shared" si="36"/>
        <v>-</v>
      </c>
      <c r="C289" s="140">
        <v>0</v>
      </c>
      <c r="D289" s="132" t="s">
        <v>267</v>
      </c>
      <c r="Z289" s="188"/>
      <c r="AA289" s="188"/>
      <c r="AB289" s="188"/>
      <c r="AC289" s="188"/>
      <c r="AD289" s="188"/>
      <c r="AE289" s="188"/>
    </row>
    <row r="292" spans="1:31" ht="19.95" customHeight="1" x14ac:dyDescent="0.35">
      <c r="A292" s="131" t="s">
        <v>268</v>
      </c>
      <c r="Z292" s="189" t="s">
        <v>269</v>
      </c>
      <c r="AA292" s="189"/>
      <c r="AB292" s="189"/>
      <c r="AC292" s="189"/>
      <c r="AD292" s="189"/>
      <c r="AE292" s="189"/>
    </row>
    <row r="293" spans="1:31" ht="16.95" customHeight="1" x14ac:dyDescent="0.3">
      <c r="A293" s="151" t="s">
        <v>247</v>
      </c>
      <c r="M293" s="151" t="s">
        <v>249</v>
      </c>
      <c r="Z293" s="188" t="s">
        <v>270</v>
      </c>
      <c r="AA293" s="188"/>
      <c r="AB293" s="188"/>
      <c r="AC293" s="188"/>
      <c r="AD293" s="188"/>
      <c r="AE293" s="188"/>
    </row>
    <row r="294" spans="1:31" ht="16.95" customHeight="1" x14ac:dyDescent="0.3">
      <c r="A294" s="141" t="str">
        <f>IF($N294="-", "-", IFERROR(INDEX(B$211:B$222, MATCH($N294, C$211:C$222, 0)), "-"))</f>
        <v>C1Y</v>
      </c>
      <c r="C294" s="120">
        <f t="shared" ref="C294:K296" si="37">IF(OR($N294="-", C$256="-"), 0, IFERROR(INDEX($B$196:$M$207, MATCH($N294, $N$196:$N$207, 0), MATCH(C$256, $B$195:$M$195, 0)), 0))</f>
        <v>1423.0249470757703</v>
      </c>
      <c r="D294" s="120">
        <f t="shared" si="37"/>
        <v>0</v>
      </c>
      <c r="E294" s="120">
        <f t="shared" si="37"/>
        <v>0</v>
      </c>
      <c r="F294" s="120">
        <f t="shared" si="37"/>
        <v>-1423.0249470757703</v>
      </c>
      <c r="G294" s="120">
        <f t="shared" si="37"/>
        <v>-4269.0748412273124</v>
      </c>
      <c r="H294" s="120">
        <f t="shared" si="37"/>
        <v>0</v>
      </c>
      <c r="I294" s="120">
        <f t="shared" si="37"/>
        <v>0</v>
      </c>
      <c r="J294" s="120">
        <f t="shared" si="37"/>
        <v>0</v>
      </c>
      <c r="K294" s="120">
        <f t="shared" si="37"/>
        <v>0</v>
      </c>
      <c r="M294" s="142">
        <f t="shared" ref="M294:M302" si="38">C281</f>
        <v>8.8888888888888865E-2</v>
      </c>
      <c r="N294" s="134" t="str">
        <f>IFERROR(INDEX(C$225:C$236, MATCH(1, G$225:G$236, 0)), "-")</f>
        <v>U1Y</v>
      </c>
      <c r="Z294" s="188" t="s">
        <v>271</v>
      </c>
      <c r="AA294" s="188"/>
      <c r="AB294" s="188"/>
      <c r="AC294" s="188"/>
      <c r="AD294" s="188"/>
      <c r="AE294" s="188"/>
    </row>
    <row r="295" spans="1:31" ht="16.95" customHeight="1" x14ac:dyDescent="0.3">
      <c r="A295" s="141" t="str">
        <f>IF($N295="-", "-", IFERROR(INDEX(B$211:B$222, MATCH($N295, C$211:C$222, 0)), "-"))</f>
        <v>C2X</v>
      </c>
      <c r="B295" s="13" t="s">
        <v>220</v>
      </c>
      <c r="C295" s="120">
        <f t="shared" si="37"/>
        <v>-3000</v>
      </c>
      <c r="D295" s="120">
        <f t="shared" si="37"/>
        <v>-214.00202209088201</v>
      </c>
      <c r="E295" s="120">
        <f t="shared" si="37"/>
        <v>856.00808836352803</v>
      </c>
      <c r="F295" s="120">
        <f t="shared" si="37"/>
        <v>-1920</v>
      </c>
      <c r="G295" s="120">
        <f t="shared" si="37"/>
        <v>1440</v>
      </c>
      <c r="H295" s="120">
        <f t="shared" si="37"/>
        <v>0</v>
      </c>
      <c r="I295" s="120">
        <f t="shared" si="37"/>
        <v>0</v>
      </c>
      <c r="J295" s="120">
        <f t="shared" si="37"/>
        <v>0</v>
      </c>
      <c r="K295" s="120">
        <f t="shared" si="37"/>
        <v>0</v>
      </c>
      <c r="M295" s="142">
        <f t="shared" si="38"/>
        <v>1.2173484794037197</v>
      </c>
      <c r="N295" s="134" t="str">
        <f>IFERROR(INDEX(C$225:C$236, MATCH(2, G$225:G$236, 0)), "-")</f>
        <v>U2X</v>
      </c>
      <c r="Z295" s="188" t="s">
        <v>272</v>
      </c>
      <c r="AA295" s="188"/>
      <c r="AB295" s="188"/>
      <c r="AC295" s="188"/>
      <c r="AD295" s="188"/>
      <c r="AE295" s="188"/>
    </row>
    <row r="296" spans="1:31" ht="16.95" customHeight="1" x14ac:dyDescent="0.3">
      <c r="A296" s="141" t="str">
        <f>IF($N296="-", "-", IFERROR(INDEX(B$211:B$222, MATCH($N296, C$211:C$222, 0)), "-"))</f>
        <v>C2Y</v>
      </c>
      <c r="C296" s="120">
        <f t="shared" si="37"/>
        <v>0</v>
      </c>
      <c r="D296" s="120">
        <f t="shared" si="37"/>
        <v>856.00808836352803</v>
      </c>
      <c r="E296" s="120">
        <f t="shared" si="37"/>
        <v>-3424.0323534541121</v>
      </c>
      <c r="F296" s="120">
        <f t="shared" si="37"/>
        <v>1440</v>
      </c>
      <c r="G296" s="120">
        <f t="shared" si="37"/>
        <v>-1080</v>
      </c>
      <c r="H296" s="120">
        <f t="shared" si="37"/>
        <v>0</v>
      </c>
      <c r="I296" s="120">
        <f t="shared" si="37"/>
        <v>0</v>
      </c>
      <c r="J296" s="120">
        <f t="shared" si="37"/>
        <v>0</v>
      </c>
      <c r="K296" s="120">
        <f t="shared" si="37"/>
        <v>0</v>
      </c>
      <c r="M296" s="142">
        <f t="shared" si="38"/>
        <v>-0.3247007896984313</v>
      </c>
      <c r="N296" s="134" t="str">
        <f>IFERROR(INDEX(C$225:C$236, MATCH(3, G$225:G$236, 0)), "-")</f>
        <v>U2Y</v>
      </c>
      <c r="Z296" s="188"/>
      <c r="AA296" s="188"/>
      <c r="AB296" s="188"/>
      <c r="AC296" s="188"/>
      <c r="AD296" s="188"/>
      <c r="AE296" s="188"/>
    </row>
    <row r="297" spans="1:31" ht="16.95" customHeight="1" x14ac:dyDescent="0.3">
      <c r="M297" s="142">
        <f t="shared" si="38"/>
        <v>1.0447442313359012</v>
      </c>
      <c r="Z297" s="188"/>
      <c r="AA297" s="188"/>
      <c r="AB297" s="188"/>
      <c r="AC297" s="188"/>
      <c r="AD297" s="188"/>
      <c r="AE297" s="188"/>
    </row>
    <row r="298" spans="1:31" ht="16.95" customHeight="1" x14ac:dyDescent="0.3">
      <c r="M298" s="142">
        <f t="shared" si="38"/>
        <v>-0.13122421576865567</v>
      </c>
      <c r="Z298" s="188"/>
      <c r="AA298" s="188"/>
      <c r="AB298" s="188"/>
      <c r="AC298" s="188"/>
      <c r="AD298" s="188"/>
      <c r="AE298" s="188"/>
    </row>
    <row r="299" spans="1:31" ht="16.95" customHeight="1" x14ac:dyDescent="0.3">
      <c r="M299" s="142">
        <f t="shared" si="38"/>
        <v>0</v>
      </c>
      <c r="Z299" s="188"/>
      <c r="AA299" s="188"/>
      <c r="AB299" s="188"/>
      <c r="AC299" s="188"/>
      <c r="AD299" s="188"/>
      <c r="AE299" s="188"/>
    </row>
    <row r="300" spans="1:31" ht="16.95" customHeight="1" x14ac:dyDescent="0.3">
      <c r="M300" s="142">
        <f t="shared" si="38"/>
        <v>0</v>
      </c>
      <c r="Z300" s="188"/>
      <c r="AA300" s="188"/>
      <c r="AB300" s="188"/>
      <c r="AC300" s="188"/>
      <c r="AD300" s="188"/>
      <c r="AE300" s="188"/>
    </row>
    <row r="301" spans="1:31" ht="16.95" customHeight="1" x14ac:dyDescent="0.3">
      <c r="M301" s="142">
        <f t="shared" si="38"/>
        <v>0</v>
      </c>
      <c r="Z301" s="188"/>
      <c r="AA301" s="188"/>
      <c r="AB301" s="188"/>
      <c r="AC301" s="188"/>
      <c r="AD301" s="188"/>
      <c r="AE301" s="188"/>
    </row>
    <row r="302" spans="1:31" ht="16.95" customHeight="1" x14ac:dyDescent="0.3">
      <c r="M302" s="142">
        <f t="shared" si="38"/>
        <v>0</v>
      </c>
      <c r="Z302" s="188"/>
      <c r="AA302" s="188"/>
      <c r="AB302" s="188"/>
      <c r="AC302" s="188"/>
      <c r="AD302" s="188"/>
      <c r="AE302" s="188"/>
    </row>
    <row r="303" spans="1:31" ht="16.95" customHeight="1" x14ac:dyDescent="0.3">
      <c r="Z303" s="188"/>
      <c r="AA303" s="188"/>
      <c r="AB303" s="188"/>
      <c r="AC303" s="188"/>
      <c r="AD303" s="188"/>
      <c r="AE303" s="188"/>
    </row>
    <row r="304" spans="1:31" ht="16.95" customHeight="1" x14ac:dyDescent="0.3">
      <c r="A304" s="132" t="str">
        <f>A294</f>
        <v>C1Y</v>
      </c>
      <c r="C304" s="137">
        <f t="array" ref="C304:C306">MMULT(C294:K296, M294:M302)</f>
        <v>-799.99999999999989</v>
      </c>
      <c r="D304" s="132" t="s">
        <v>273</v>
      </c>
      <c r="Z304" s="188"/>
      <c r="AA304" s="188"/>
      <c r="AB304" s="188"/>
      <c r="AC304" s="188"/>
      <c r="AD304" s="188"/>
      <c r="AE304" s="188"/>
    </row>
    <row r="305" spans="1:31" ht="16.95" customHeight="1" x14ac:dyDescent="0.3">
      <c r="A305" s="132" t="str">
        <f>A295</f>
        <v>C2X</v>
      </c>
      <c r="B305" s="13" t="s">
        <v>220</v>
      </c>
      <c r="C305" s="137">
        <v>-2999.9999999999995</v>
      </c>
      <c r="D305" s="132" t="s">
        <v>273</v>
      </c>
      <c r="Z305" s="188"/>
      <c r="AA305" s="188"/>
      <c r="AB305" s="188"/>
      <c r="AC305" s="188"/>
      <c r="AD305" s="188"/>
      <c r="AE305" s="188"/>
    </row>
    <row r="306" spans="1:31" ht="16.95" customHeight="1" x14ac:dyDescent="0.3">
      <c r="A306" s="132" t="str">
        <f>A296</f>
        <v>C2Y</v>
      </c>
      <c r="C306" s="137">
        <v>3800</v>
      </c>
      <c r="D306" s="132" t="s">
        <v>273</v>
      </c>
      <c r="Z306" s="188"/>
      <c r="AA306" s="188"/>
      <c r="AB306" s="188"/>
      <c r="AC306" s="188"/>
      <c r="AD306" s="188"/>
      <c r="AE306" s="188"/>
    </row>
    <row r="309" spans="1:31" ht="19.95" customHeight="1" x14ac:dyDescent="0.35">
      <c r="A309" s="131" t="s">
        <v>274</v>
      </c>
    </row>
    <row r="311" spans="1:31" ht="19.05" customHeight="1" x14ac:dyDescent="0.3">
      <c r="A311" s="132" t="s">
        <v>228</v>
      </c>
      <c r="B311" s="132" t="s">
        <v>178</v>
      </c>
      <c r="D311" s="140">
        <f t="shared" ref="D311:D322" si="39">IFERROR(INDEX(C$281:C$289, MATCH(A311, A$281:A$289, 0)), 0)</f>
        <v>8.8888888888888865E-2</v>
      </c>
    </row>
    <row r="312" spans="1:31" ht="19.05" customHeight="1" x14ac:dyDescent="0.3">
      <c r="A312" s="132" t="s">
        <v>229</v>
      </c>
      <c r="B312" s="132" t="s">
        <v>179</v>
      </c>
      <c r="D312" s="140">
        <f t="shared" si="39"/>
        <v>0</v>
      </c>
    </row>
    <row r="313" spans="1:31" ht="19.05" customHeight="1" x14ac:dyDescent="0.3">
      <c r="A313" s="132" t="s">
        <v>230</v>
      </c>
      <c r="B313" s="132" t="s">
        <v>180</v>
      </c>
      <c r="D313" s="140">
        <f t="shared" si="39"/>
        <v>0</v>
      </c>
    </row>
    <row r="314" spans="1:31" ht="19.05" customHeight="1" x14ac:dyDescent="0.3">
      <c r="A314" s="132" t="s">
        <v>231</v>
      </c>
      <c r="B314" s="132" t="s">
        <v>181</v>
      </c>
      <c r="D314" s="140">
        <f t="shared" si="39"/>
        <v>0</v>
      </c>
    </row>
    <row r="315" spans="1:31" ht="19.05" customHeight="1" x14ac:dyDescent="0.3">
      <c r="A315" s="132" t="s">
        <v>232</v>
      </c>
      <c r="B315" s="132" t="s">
        <v>182</v>
      </c>
      <c r="D315" s="140">
        <f t="shared" si="39"/>
        <v>1.2173484794037197</v>
      </c>
    </row>
    <row r="316" spans="1:31" ht="19.05" customHeight="1" x14ac:dyDescent="0.3">
      <c r="A316" s="132" t="s">
        <v>234</v>
      </c>
      <c r="B316" s="132" t="s">
        <v>183</v>
      </c>
      <c r="D316" s="140">
        <f t="shared" si="39"/>
        <v>-0.3247007896984313</v>
      </c>
    </row>
    <row r="317" spans="1:31" ht="19.05" customHeight="1" x14ac:dyDescent="0.3">
      <c r="A317" s="132" t="s">
        <v>235</v>
      </c>
      <c r="B317" s="132" t="s">
        <v>184</v>
      </c>
      <c r="D317" s="140">
        <f t="shared" si="39"/>
        <v>1.0447442313359012</v>
      </c>
    </row>
    <row r="318" spans="1:31" ht="19.05" customHeight="1" x14ac:dyDescent="0.3">
      <c r="A318" s="132" t="s">
        <v>236</v>
      </c>
      <c r="B318" s="132" t="s">
        <v>185</v>
      </c>
      <c r="D318" s="140">
        <f t="shared" si="39"/>
        <v>-0.13122421576865567</v>
      </c>
    </row>
    <row r="319" spans="1:31" ht="19.05" customHeight="1" x14ac:dyDescent="0.3">
      <c r="A319" s="132" t="s">
        <v>237</v>
      </c>
      <c r="B319" s="132" t="s">
        <v>186</v>
      </c>
      <c r="D319" s="140">
        <f t="shared" si="39"/>
        <v>0</v>
      </c>
    </row>
    <row r="320" spans="1:31" ht="19.05" customHeight="1" x14ac:dyDescent="0.3">
      <c r="A320" s="132" t="s">
        <v>238</v>
      </c>
      <c r="B320" s="132" t="s">
        <v>187</v>
      </c>
      <c r="D320" s="140">
        <f t="shared" si="39"/>
        <v>0</v>
      </c>
    </row>
    <row r="321" spans="1:31" ht="19.05" customHeight="1" x14ac:dyDescent="0.3">
      <c r="A321" s="132" t="s">
        <v>239</v>
      </c>
      <c r="B321" s="132" t="s">
        <v>188</v>
      </c>
      <c r="D321" s="140">
        <f t="shared" si="39"/>
        <v>0</v>
      </c>
    </row>
    <row r="322" spans="1:31" ht="19.05" customHeight="1" x14ac:dyDescent="0.3">
      <c r="A322" s="132" t="s">
        <v>240</v>
      </c>
      <c r="B322" s="132" t="s">
        <v>189</v>
      </c>
      <c r="D322" s="140">
        <f t="shared" si="39"/>
        <v>0</v>
      </c>
    </row>
    <row r="325" spans="1:31" ht="19.95" customHeight="1" x14ac:dyDescent="0.35">
      <c r="A325" s="131" t="s">
        <v>275</v>
      </c>
      <c r="Z325" s="189" t="s">
        <v>276</v>
      </c>
      <c r="AA325" s="189"/>
      <c r="AB325" s="189"/>
      <c r="AC325" s="189"/>
      <c r="AD325" s="189"/>
      <c r="AE325" s="189"/>
    </row>
    <row r="326" spans="1:31" ht="16.95" customHeight="1" x14ac:dyDescent="0.3">
      <c r="Z326" s="188" t="s">
        <v>277</v>
      </c>
      <c r="AA326" s="188"/>
      <c r="AB326" s="188"/>
      <c r="AC326" s="188"/>
      <c r="AD326" s="188"/>
      <c r="AE326" s="188"/>
    </row>
    <row r="327" spans="1:31" ht="16.95" customHeight="1" x14ac:dyDescent="0.3">
      <c r="A327" s="143" t="s">
        <v>278</v>
      </c>
      <c r="C327" s="143" t="s">
        <v>279</v>
      </c>
      <c r="D327" s="143" t="s">
        <v>280</v>
      </c>
      <c r="E327" s="143" t="s">
        <v>279</v>
      </c>
      <c r="F327" s="143" t="s">
        <v>280</v>
      </c>
      <c r="G327" s="143" t="s">
        <v>249</v>
      </c>
      <c r="Z327" s="188" t="s">
        <v>281</v>
      </c>
      <c r="AA327" s="188"/>
      <c r="AB327" s="188"/>
      <c r="AC327" s="188"/>
      <c r="AD327" s="188"/>
      <c r="AE327" s="188"/>
    </row>
    <row r="328" spans="1:31" ht="16.95" customHeight="1" x14ac:dyDescent="0.3">
      <c r="C328" s="143" t="s">
        <v>282</v>
      </c>
      <c r="D328" s="143" t="s">
        <v>282</v>
      </c>
      <c r="E328" s="143" t="s">
        <v>283</v>
      </c>
      <c r="F328" s="143" t="s">
        <v>283</v>
      </c>
      <c r="Z328" s="188" t="s">
        <v>284</v>
      </c>
      <c r="AA328" s="188"/>
      <c r="AB328" s="188"/>
      <c r="AC328" s="188"/>
      <c r="AD328" s="188"/>
      <c r="AE328" s="188"/>
    </row>
    <row r="329" spans="1:31" ht="16.95" customHeight="1" x14ac:dyDescent="0.3">
      <c r="A329" s="137">
        <f>N6</f>
        <v>3000</v>
      </c>
      <c r="C329" s="144">
        <f>IF(J6="","", -J6)</f>
        <v>-1</v>
      </c>
      <c r="D329" s="144">
        <f>IF(K6="","", -K6)</f>
        <v>0</v>
      </c>
      <c r="E329" s="144">
        <f>IF(J6="","", J6)</f>
        <v>1</v>
      </c>
      <c r="F329" s="144">
        <f>IF(K6="","", K6)</f>
        <v>0</v>
      </c>
      <c r="G329" s="145">
        <f>IF(H329="","", IFERROR(VLOOKUP(H329, A$311:D$322, 4, FALSE), 0))</f>
        <v>8.8888888888888865E-2</v>
      </c>
      <c r="H329" s="132" t="str">
        <f>IF(C17="","", "D" &amp; C17 &amp; "X")</f>
        <v>D1X</v>
      </c>
      <c r="Z329" s="188"/>
      <c r="AA329" s="188"/>
      <c r="AB329" s="188"/>
      <c r="AC329" s="188"/>
      <c r="AD329" s="188"/>
      <c r="AE329" s="188"/>
    </row>
    <row r="330" spans="1:31" ht="16.95" customHeight="1" x14ac:dyDescent="0.3">
      <c r="A330" s="151" t="s">
        <v>285</v>
      </c>
      <c r="B330" s="146">
        <f>IF(OR(A329=0, C17=""), 0, (MMULT(C329:F329, G329:G332)*A329))</f>
        <v>-266.66666666666657</v>
      </c>
      <c r="G330" s="145">
        <f>IF(H330="","", IFERROR(VLOOKUP(H330, A$311:D$322, 4, FALSE), 0))</f>
        <v>0</v>
      </c>
      <c r="H330" s="132" t="str">
        <f>IF(C17="","", "D" &amp; C17 &amp; "Y")</f>
        <v>D1Y</v>
      </c>
      <c r="Z330" s="188"/>
      <c r="AA330" s="188"/>
      <c r="AB330" s="188"/>
      <c r="AC330" s="188"/>
      <c r="AD330" s="188"/>
      <c r="AE330" s="188"/>
    </row>
    <row r="331" spans="1:31" ht="16.95" customHeight="1" x14ac:dyDescent="0.3">
      <c r="G331" s="145">
        <f>IF(H331="","", IFERROR(VLOOKUP(H331, A$311:D$322, 4, FALSE), 0))</f>
        <v>0</v>
      </c>
      <c r="H331" s="132" t="str">
        <f>IF(F17="","", "D" &amp; F17 &amp; "X")</f>
        <v>D2X</v>
      </c>
      <c r="Z331" s="188"/>
      <c r="AA331" s="188"/>
      <c r="AB331" s="188"/>
      <c r="AC331" s="188"/>
      <c r="AD331" s="188"/>
      <c r="AE331" s="188"/>
    </row>
    <row r="332" spans="1:31" ht="16.95" customHeight="1" x14ac:dyDescent="0.3">
      <c r="G332" s="145">
        <f>IF(H332="","", IFERROR(VLOOKUP(H332, A$311:D$322, 4, FALSE), 0))</f>
        <v>0</v>
      </c>
      <c r="H332" s="132" t="str">
        <f>IF(F17="","", "D" &amp; F17 &amp; "Y")</f>
        <v>D2Y</v>
      </c>
      <c r="Z332" s="188"/>
      <c r="AA332" s="188"/>
      <c r="AB332" s="188"/>
      <c r="AC332" s="188"/>
      <c r="AD332" s="188"/>
      <c r="AE332" s="188"/>
    </row>
    <row r="333" spans="1:31" ht="16.95" customHeight="1" x14ac:dyDescent="0.3">
      <c r="B333" s="151" t="s">
        <v>273</v>
      </c>
      <c r="C333" s="185" t="str">
        <f>IF(C17="","", IF(B330&gt;0.001,"BARRA A TRACCIÓN (+)",IF(B330&lt;-0.001,"BARRA A COMPRESIÓN (-)","BARRA DE FUERZA NULA")))</f>
        <v>BARRA A COMPRESIÓN (-)</v>
      </c>
      <c r="D333" s="185"/>
      <c r="E333" s="185"/>
      <c r="F333" s="185"/>
      <c r="Z333" s="188"/>
      <c r="AA333" s="188"/>
      <c r="AB333" s="188"/>
      <c r="AC333" s="188"/>
      <c r="AD333" s="188"/>
      <c r="AE333" s="188"/>
    </row>
    <row r="334" spans="1:31" ht="16.95" customHeight="1" x14ac:dyDescent="0.3">
      <c r="Z334" s="188"/>
      <c r="AA334" s="188"/>
      <c r="AB334" s="188"/>
      <c r="AC334" s="188"/>
      <c r="AD334" s="188"/>
      <c r="AE334" s="188"/>
    </row>
    <row r="335" spans="1:31" ht="16.95" customHeight="1" x14ac:dyDescent="0.3">
      <c r="A335" s="143" t="s">
        <v>278</v>
      </c>
      <c r="C335" s="143" t="s">
        <v>279</v>
      </c>
      <c r="D335" s="143" t="s">
        <v>280</v>
      </c>
      <c r="E335" s="143" t="s">
        <v>279</v>
      </c>
      <c r="F335" s="143" t="s">
        <v>280</v>
      </c>
      <c r="G335" s="143" t="s">
        <v>249</v>
      </c>
      <c r="Z335" s="188"/>
      <c r="AA335" s="188"/>
      <c r="AB335" s="188"/>
      <c r="AC335" s="188"/>
      <c r="AD335" s="188"/>
      <c r="AE335" s="188"/>
    </row>
    <row r="336" spans="1:31" ht="16.95" customHeight="1" x14ac:dyDescent="0.3">
      <c r="C336" s="143" t="s">
        <v>282</v>
      </c>
      <c r="D336" s="143" t="s">
        <v>282</v>
      </c>
      <c r="E336" s="143" t="s">
        <v>283</v>
      </c>
      <c r="F336" s="143" t="s">
        <v>283</v>
      </c>
      <c r="Z336" s="188"/>
      <c r="AA336" s="188"/>
      <c r="AB336" s="188"/>
      <c r="AC336" s="188"/>
      <c r="AD336" s="188"/>
      <c r="AE336" s="188"/>
    </row>
    <row r="337" spans="1:31" ht="16.95" customHeight="1" x14ac:dyDescent="0.3">
      <c r="A337" s="137">
        <f>N7</f>
        <v>3638.0343755449944</v>
      </c>
      <c r="C337" s="144">
        <f>IF(J7="","", -J7)</f>
        <v>0.24253562503633297</v>
      </c>
      <c r="D337" s="144">
        <f>IF(K7="","", -K7)</f>
        <v>-0.97014250014533188</v>
      </c>
      <c r="E337" s="144">
        <f>IF(J7="","", J7)</f>
        <v>-0.24253562503633297</v>
      </c>
      <c r="F337" s="144">
        <f>IF(K7="","", K7)</f>
        <v>0.97014250014533188</v>
      </c>
      <c r="G337" s="145">
        <f>IF(H337="","", IFERROR(VLOOKUP(H337, A$311:D$322, 4, FALSE), 0))</f>
        <v>0</v>
      </c>
      <c r="H337" s="132" t="str">
        <f>IF(C18="","", "D" &amp; C18 &amp; "X")</f>
        <v>D2X</v>
      </c>
      <c r="Z337" s="188"/>
      <c r="AA337" s="188"/>
      <c r="AB337" s="188"/>
      <c r="AC337" s="188"/>
      <c r="AD337" s="188"/>
      <c r="AE337" s="188"/>
    </row>
    <row r="338" spans="1:31" ht="16.95" customHeight="1" x14ac:dyDescent="0.3">
      <c r="A338" s="151" t="s">
        <v>286</v>
      </c>
      <c r="B338" s="146">
        <f>IF(OR(A337=0, C18=""), 0, (MMULT(C337:F337, G337:G340)*A337))</f>
        <v>-2220.1337984095103</v>
      </c>
      <c r="G338" s="145">
        <f>IF(H338="","", IFERROR(VLOOKUP(H338, A$311:D$322, 4, FALSE), 0))</f>
        <v>0</v>
      </c>
      <c r="H338" s="132" t="str">
        <f>IF(C18="","", "D" &amp; C18 &amp; "Y")</f>
        <v>D2Y</v>
      </c>
      <c r="Z338" s="188"/>
      <c r="AA338" s="188"/>
      <c r="AB338" s="188"/>
      <c r="AC338" s="188"/>
      <c r="AD338" s="188"/>
      <c r="AE338" s="188"/>
    </row>
    <row r="339" spans="1:31" ht="16.95" customHeight="1" x14ac:dyDescent="0.3">
      <c r="G339" s="145">
        <f>IF(H339="","", IFERROR(VLOOKUP(H339, A$311:D$322, 4, FALSE), 0))</f>
        <v>1.2173484794037197</v>
      </c>
      <c r="H339" s="132" t="str">
        <f>IF(F18="","", "D" &amp; F18 &amp; "X")</f>
        <v>D3X</v>
      </c>
      <c r="Z339" s="188"/>
      <c r="AA339" s="188"/>
      <c r="AB339" s="188"/>
      <c r="AC339" s="188"/>
      <c r="AD339" s="188"/>
      <c r="AE339" s="188"/>
    </row>
    <row r="340" spans="1:31" ht="16.95" customHeight="1" x14ac:dyDescent="0.3">
      <c r="G340" s="145">
        <f>IF(H340="","", IFERROR(VLOOKUP(H340, A$311:D$322, 4, FALSE), 0))</f>
        <v>-0.3247007896984313</v>
      </c>
      <c r="H340" s="132" t="str">
        <f>IF(F18="","", "D" &amp; F18 &amp; "Y")</f>
        <v>D3Y</v>
      </c>
      <c r="Z340" s="188"/>
      <c r="AA340" s="188"/>
      <c r="AB340" s="188"/>
      <c r="AC340" s="188"/>
      <c r="AD340" s="188"/>
      <c r="AE340" s="188"/>
    </row>
    <row r="341" spans="1:31" ht="16.95" customHeight="1" x14ac:dyDescent="0.3">
      <c r="B341" s="151" t="s">
        <v>273</v>
      </c>
      <c r="C341" s="185" t="str">
        <f>IF(C18="","", IF(B338&gt;0.001,"BARRA A TRACCIÓN (+)",IF(B338&lt;-0.001,"BARRA A COMPRESIÓN (-)","BARRA DE FUERZA NULA")))</f>
        <v>BARRA A COMPRESIÓN (-)</v>
      </c>
      <c r="D341" s="185"/>
      <c r="E341" s="185"/>
      <c r="F341" s="185"/>
      <c r="Z341" s="188"/>
      <c r="AA341" s="188"/>
      <c r="AB341" s="188"/>
      <c r="AC341" s="188"/>
      <c r="AD341" s="188"/>
      <c r="AE341" s="188"/>
    </row>
    <row r="342" spans="1:31" ht="16.95" customHeight="1" x14ac:dyDescent="0.3">
      <c r="Z342" s="188"/>
      <c r="AA342" s="188"/>
      <c r="AB342" s="188"/>
      <c r="AC342" s="188"/>
      <c r="AD342" s="188"/>
      <c r="AE342" s="188"/>
    </row>
    <row r="343" spans="1:31" ht="16.95" customHeight="1" x14ac:dyDescent="0.3">
      <c r="A343" s="143" t="s">
        <v>278</v>
      </c>
      <c r="C343" s="143" t="s">
        <v>279</v>
      </c>
      <c r="D343" s="143" t="s">
        <v>280</v>
      </c>
      <c r="E343" s="143" t="s">
        <v>279</v>
      </c>
      <c r="F343" s="143" t="s">
        <v>280</v>
      </c>
      <c r="G343" s="143" t="s">
        <v>249</v>
      </c>
      <c r="Z343" s="188"/>
      <c r="AA343" s="188"/>
      <c r="AB343" s="188"/>
      <c r="AC343" s="188"/>
      <c r="AD343" s="188"/>
      <c r="AE343" s="188"/>
    </row>
    <row r="344" spans="1:31" ht="16.95" customHeight="1" x14ac:dyDescent="0.3">
      <c r="C344" s="143" t="s">
        <v>282</v>
      </c>
      <c r="D344" s="143" t="s">
        <v>282</v>
      </c>
      <c r="E344" s="143" t="s">
        <v>283</v>
      </c>
      <c r="F344" s="143" t="s">
        <v>283</v>
      </c>
      <c r="Z344" s="188"/>
      <c r="AA344" s="188"/>
      <c r="AB344" s="188"/>
      <c r="AC344" s="188"/>
      <c r="AD344" s="188"/>
      <c r="AE344" s="188"/>
    </row>
    <row r="345" spans="1:31" ht="16.95" customHeight="1" x14ac:dyDescent="0.3">
      <c r="A345" s="137">
        <f>N8</f>
        <v>4743.416490252569</v>
      </c>
      <c r="C345" s="144">
        <f>IF(J8="","", -J8)</f>
        <v>0.94868329805051377</v>
      </c>
      <c r="D345" s="144">
        <f>IF(K8="","", -K8)</f>
        <v>0.31622776601683789</v>
      </c>
      <c r="E345" s="144">
        <f>IF(J8="","", J8)</f>
        <v>-0.94868329805051377</v>
      </c>
      <c r="F345" s="144">
        <f>IF(K8="","", K8)</f>
        <v>-0.31622776601683789</v>
      </c>
      <c r="G345" s="145">
        <f>IF(H345="","", IFERROR(VLOOKUP(H345, A$311:D$322, 4, FALSE), 0))</f>
        <v>1.2173484794037197</v>
      </c>
      <c r="H345" s="132" t="str">
        <f>IF(C19="","", "D" &amp; C19 &amp; "X")</f>
        <v>D3X</v>
      </c>
      <c r="Z345" s="188"/>
      <c r="AA345" s="188"/>
      <c r="AB345" s="188"/>
      <c r="AC345" s="188"/>
      <c r="AD345" s="188"/>
      <c r="AE345" s="188"/>
    </row>
    <row r="346" spans="1:31" ht="16.95" customHeight="1" x14ac:dyDescent="0.3">
      <c r="A346" s="151" t="s">
        <v>287</v>
      </c>
      <c r="B346" s="146">
        <f>IF(OR(A345=0, C19=""), 0, (MMULT(C345:F345, G345:G348)*A345))</f>
        <v>486.50425541052056</v>
      </c>
      <c r="G346" s="145">
        <f>IF(H346="","", IFERROR(VLOOKUP(H346, A$311:D$322, 4, FALSE), 0))</f>
        <v>-0.3247007896984313</v>
      </c>
      <c r="H346" s="132" t="str">
        <f>IF(C19="","", "D" &amp; C19 &amp; "Y")</f>
        <v>D3Y</v>
      </c>
      <c r="Z346" s="188"/>
      <c r="AA346" s="188"/>
      <c r="AB346" s="188"/>
      <c r="AC346" s="188"/>
      <c r="AD346" s="188"/>
      <c r="AE346" s="188"/>
    </row>
    <row r="347" spans="1:31" ht="16.95" customHeight="1" x14ac:dyDescent="0.3">
      <c r="G347" s="145">
        <f>IF(H347="","", IFERROR(VLOOKUP(H347, A$311:D$322, 4, FALSE), 0))</f>
        <v>1.0447442313359012</v>
      </c>
      <c r="H347" s="132" t="str">
        <f>IF(F19="","", "D" &amp; F19 &amp; "X")</f>
        <v>D4X</v>
      </c>
      <c r="Z347" s="188"/>
      <c r="AA347" s="188"/>
      <c r="AB347" s="188"/>
      <c r="AC347" s="188"/>
      <c r="AD347" s="188"/>
      <c r="AE347" s="188"/>
    </row>
    <row r="348" spans="1:31" ht="16.95" customHeight="1" x14ac:dyDescent="0.3">
      <c r="G348" s="145">
        <f>IF(H348="","", IFERROR(VLOOKUP(H348, A$311:D$322, 4, FALSE), 0))</f>
        <v>-0.13122421576865567</v>
      </c>
      <c r="H348" s="132" t="str">
        <f>IF(F19="","", "D" &amp; F19 &amp; "Y")</f>
        <v>D4Y</v>
      </c>
      <c r="Z348" s="188"/>
      <c r="AA348" s="188"/>
      <c r="AB348" s="188"/>
      <c r="AC348" s="188"/>
      <c r="AD348" s="188"/>
      <c r="AE348" s="188"/>
    </row>
    <row r="349" spans="1:31" ht="16.95" customHeight="1" x14ac:dyDescent="0.3">
      <c r="B349" s="151" t="s">
        <v>273</v>
      </c>
      <c r="C349" s="185" t="str">
        <f>IF(C19="","", IF(B346&gt;0.001,"BARRA A TRACCIÓN (+)",IF(B346&lt;-0.001,"BARRA A COMPRESIÓN (-)","BARRA DE FUERZA NULA")))</f>
        <v>BARRA A TRACCIÓN (+)</v>
      </c>
      <c r="D349" s="185"/>
      <c r="E349" s="185"/>
      <c r="F349" s="185"/>
      <c r="Z349" s="188"/>
      <c r="AA349" s="188"/>
      <c r="AB349" s="188"/>
      <c r="AC349" s="188"/>
      <c r="AD349" s="188"/>
      <c r="AE349" s="188"/>
    </row>
    <row r="350" spans="1:31" ht="16.95" customHeight="1" x14ac:dyDescent="0.3">
      <c r="Z350" s="188"/>
      <c r="AA350" s="188"/>
      <c r="AB350" s="188"/>
      <c r="AC350" s="188"/>
      <c r="AD350" s="188"/>
      <c r="AE350" s="188"/>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4743.416490252569</v>
      </c>
      <c r="C353" s="144">
        <f>IF(J9="","", -J9)</f>
        <v>0.31622776601683789</v>
      </c>
      <c r="D353" s="144">
        <f>IF(K9="","", -K9)</f>
        <v>0.94868329805051377</v>
      </c>
      <c r="E353" s="144">
        <f>IF(J9="","", J9)</f>
        <v>-0.31622776601683789</v>
      </c>
      <c r="F353" s="144">
        <f>IF(K9="","", K9)</f>
        <v>-0.94868329805051377</v>
      </c>
      <c r="G353" s="145">
        <f>IF(H353="","", IFERROR(VLOOKUP(H353, A$311:D$322, 4, FALSE), 0))</f>
        <v>1.0447442313359012</v>
      </c>
      <c r="H353" s="132" t="str">
        <f>IF(C20="","", "D" &amp; C20 &amp; "X")</f>
        <v>D4X</v>
      </c>
    </row>
    <row r="354" spans="1:8" ht="19.95" customHeight="1" x14ac:dyDescent="0.3">
      <c r="A354" s="151" t="s">
        <v>288</v>
      </c>
      <c r="B354" s="146">
        <f>IF(OR(A353=0, C20=""), 0, (MMULT(C353:F353, G353:G356)*A353))</f>
        <v>843.27404271156797</v>
      </c>
      <c r="G354" s="145">
        <f>IF(H354="","", IFERROR(VLOOKUP(H354, A$311:D$322, 4, FALSE), 0))</f>
        <v>-0.13122421576865567</v>
      </c>
      <c r="H354" s="132" t="str">
        <f>IF(C20="","", "D" &amp; C20 &amp; "Y")</f>
        <v>D4Y</v>
      </c>
    </row>
    <row r="355" spans="1:8" ht="19.95" customHeight="1" x14ac:dyDescent="0.3">
      <c r="G355" s="145">
        <f>IF(H355="","", IFERROR(VLOOKUP(H355, A$311:D$322, 4, FALSE), 0))</f>
        <v>8.8888888888888865E-2</v>
      </c>
      <c r="H355" s="132" t="str">
        <f>IF(F20="","", "D" &amp; F20 &amp; "X")</f>
        <v>D1X</v>
      </c>
    </row>
    <row r="356" spans="1:8" ht="19.95" customHeight="1" x14ac:dyDescent="0.3">
      <c r="G356" s="145">
        <f>IF(H356="","", IFERROR(VLOOKUP(H356, A$311:D$322, 4, FALSE), 0))</f>
        <v>0</v>
      </c>
      <c r="H356" s="132" t="str">
        <f>IF(F20="","", "D" &amp; F20 &amp; "Y")</f>
        <v>D1Y</v>
      </c>
    </row>
    <row r="357" spans="1:8" ht="19.95" customHeight="1" x14ac:dyDescent="0.3">
      <c r="B357" s="151" t="s">
        <v>273</v>
      </c>
      <c r="C357" s="185" t="str">
        <f>IF(C20="","", IF(B354&gt;0.001,"BARRA A TRACCIÓN (+)",IF(B354&lt;-0.001,"BARRA A COMPRESIÓN (-)","BARRA DE FUERZA NULA")))</f>
        <v>BARRA A TRACCIÓN (+)</v>
      </c>
      <c r="D357" s="185"/>
      <c r="E357" s="185"/>
      <c r="F357" s="185"/>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3000</v>
      </c>
      <c r="C361" s="144">
        <f>IF(J10="","", -J10)</f>
        <v>0.8</v>
      </c>
      <c r="D361" s="144">
        <f>IF(K10="","", -K10)</f>
        <v>-0.6</v>
      </c>
      <c r="E361" s="144">
        <f>IF(J10="","", J10)</f>
        <v>-0.8</v>
      </c>
      <c r="F361" s="144">
        <f>IF(K10="","", K10)</f>
        <v>0.6</v>
      </c>
      <c r="G361" s="145">
        <f>IF(H361="","", IFERROR(VLOOKUP(H361, A$311:D$322, 4, FALSE), 0))</f>
        <v>0</v>
      </c>
      <c r="H361" s="132" t="str">
        <f>IF(C21="","", "D" &amp; C21 &amp; "X")</f>
        <v>D2X</v>
      </c>
    </row>
    <row r="362" spans="1:8" ht="19.95" customHeight="1" x14ac:dyDescent="0.3">
      <c r="A362" s="151" t="s">
        <v>289</v>
      </c>
      <c r="B362" s="146">
        <f>IF(OR(A361=0, C21=""), 0, (MMULT(C361:F361, G361:G364)*A361))</f>
        <v>-2743.5897435897432</v>
      </c>
      <c r="G362" s="145">
        <f>IF(H362="","", IFERROR(VLOOKUP(H362, A$311:D$322, 4, FALSE), 0))</f>
        <v>0</v>
      </c>
      <c r="H362" s="132" t="str">
        <f>IF(C21="","", "D" &amp; C21 &amp; "Y")</f>
        <v>D2Y</v>
      </c>
    </row>
    <row r="363" spans="1:8" ht="19.95" customHeight="1" x14ac:dyDescent="0.3">
      <c r="G363" s="145">
        <f>IF(H363="","", IFERROR(VLOOKUP(H363, A$311:D$322, 4, FALSE), 0))</f>
        <v>1.0447442313359012</v>
      </c>
      <c r="H363" s="132" t="str">
        <f>IF(F21="","", "D" &amp; F21 &amp; "X")</f>
        <v>D4X</v>
      </c>
    </row>
    <row r="364" spans="1:8" ht="19.95" customHeight="1" x14ac:dyDescent="0.3">
      <c r="G364" s="145">
        <f>IF(H364="","", IFERROR(VLOOKUP(H364, A$311:D$322, 4, FALSE), 0))</f>
        <v>-0.13122421576865567</v>
      </c>
      <c r="H364" s="132" t="str">
        <f>IF(F21="","", "D" &amp; F21 &amp; "Y")</f>
        <v>D4Y</v>
      </c>
    </row>
    <row r="365" spans="1:8" ht="19.95" customHeight="1" x14ac:dyDescent="0.3">
      <c r="B365" s="151" t="s">
        <v>273</v>
      </c>
      <c r="C365" s="185" t="str">
        <f>IF(C21="","", IF(B362&gt;0.001,"BARRA A TRACCIÓN (+)",IF(B362&lt;-0.001,"BARRA A COMPRESIÓN (-)","BARRA DE FUERZA NULA")))</f>
        <v>BARRA A COMPRESIÓN (-)</v>
      </c>
      <c r="D365" s="185"/>
      <c r="E365" s="185"/>
      <c r="F365" s="185"/>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151"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151" t="s">
        <v>273</v>
      </c>
      <c r="C373" s="185" t="str">
        <f>IF(C22="","", IF(B370&gt;0.001,"BARRA A TRACCIÓN (+)",IF(B370&lt;-0.001,"BARRA A COMPRESIÓN (-)","BARRA DE FUERZA NULA")))</f>
        <v/>
      </c>
      <c r="D373" s="185"/>
      <c r="E373" s="185"/>
      <c r="F373" s="185"/>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151"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151" t="s">
        <v>273</v>
      </c>
      <c r="C381" s="185" t="str">
        <f>IF(C23="","", IF(B378&gt;0.001,"BARRA A TRACCIÓN (+)",IF(B378&lt;-0.001,"BARRA A COMPRESIÓN (-)","BARRA DE FUERZA NULA")))</f>
        <v/>
      </c>
      <c r="D381" s="185"/>
      <c r="E381" s="185"/>
      <c r="F381" s="185"/>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151"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151" t="s">
        <v>273</v>
      </c>
      <c r="C389" s="185" t="str">
        <f>IF(C24="","", IF(B386&gt;0.001,"BARRA A TRACCIÓN (+)",IF(B386&lt;-0.001,"BARRA A COMPRESIÓN (-)","BARRA DE FUERZA NULA")))</f>
        <v/>
      </c>
      <c r="D389" s="185"/>
      <c r="E389" s="185"/>
      <c r="F389" s="185"/>
    </row>
    <row r="392" spans="1:8" ht="22.05" customHeight="1" x14ac:dyDescent="0.3">
      <c r="B392" s="194" t="s">
        <v>293</v>
      </c>
      <c r="C392" s="175"/>
      <c r="D392" s="175"/>
      <c r="E392" s="175"/>
      <c r="F392" s="175"/>
      <c r="G392" s="175"/>
      <c r="H392" s="175"/>
    </row>
    <row r="393" spans="1:8" ht="46.2" customHeight="1" x14ac:dyDescent="0.3">
      <c r="B393" s="148" t="s">
        <v>294</v>
      </c>
      <c r="C393" s="148" t="s">
        <v>295</v>
      </c>
      <c r="D393" s="148" t="s">
        <v>296</v>
      </c>
      <c r="E393" s="148" t="s">
        <v>297</v>
      </c>
      <c r="F393" s="148" t="s">
        <v>298</v>
      </c>
      <c r="G393" s="148" t="s">
        <v>299</v>
      </c>
      <c r="H393" s="148" t="s">
        <v>300</v>
      </c>
    </row>
    <row r="394" spans="1:8" ht="27.6" customHeight="1" x14ac:dyDescent="0.3">
      <c r="B394" s="102">
        <f>IF(C17="","", 1)</f>
        <v>1</v>
      </c>
      <c r="C394" s="108">
        <f t="shared" ref="C394:C401" si="40">IF(C17="","", C17)</f>
        <v>1</v>
      </c>
      <c r="D394" s="108">
        <f t="shared" ref="D394:D401" si="41">IF(F17="","", F17)</f>
        <v>2</v>
      </c>
      <c r="E394" s="120">
        <f t="shared" ref="E394:E401" si="42">IF(I6="","", I6)</f>
        <v>1000</v>
      </c>
      <c r="F394" s="120">
        <f t="shared" ref="F394:F401" si="43">IF(C17="","", L6)</f>
        <v>20</v>
      </c>
      <c r="G394" s="146">
        <f>IF(C17="","", B330)</f>
        <v>-266.66666666666657</v>
      </c>
      <c r="H394" s="150" t="str">
        <f>IF(C17="","", C333)</f>
        <v>BARRA A COMPRESIÓN (-)</v>
      </c>
    </row>
    <row r="395" spans="1:8" ht="27.6" customHeight="1" x14ac:dyDescent="0.3">
      <c r="B395" s="150">
        <f>IF(C18="","", 2)</f>
        <v>2</v>
      </c>
      <c r="C395" s="108">
        <f t="shared" si="40"/>
        <v>2</v>
      </c>
      <c r="D395" s="108">
        <f t="shared" si="41"/>
        <v>3</v>
      </c>
      <c r="E395" s="120">
        <f t="shared" si="42"/>
        <v>824.62112512353212</v>
      </c>
      <c r="F395" s="120">
        <f t="shared" si="43"/>
        <v>20</v>
      </c>
      <c r="G395" s="146">
        <f>IF(C18="","", B338)</f>
        <v>-2220.1337984095103</v>
      </c>
      <c r="H395" s="150" t="str">
        <f>IF(C18="","", C341)</f>
        <v>BARRA A COMPRESIÓN (-)</v>
      </c>
    </row>
    <row r="396" spans="1:8" ht="27.6" customHeight="1" x14ac:dyDescent="0.3">
      <c r="B396" s="111">
        <f>IF(C19="","", 3)</f>
        <v>3</v>
      </c>
      <c r="C396" s="108">
        <f t="shared" si="40"/>
        <v>3</v>
      </c>
      <c r="D396" s="108">
        <f t="shared" si="41"/>
        <v>4</v>
      </c>
      <c r="E396" s="120">
        <f t="shared" si="42"/>
        <v>632.45553203367592</v>
      </c>
      <c r="F396" s="120">
        <f t="shared" si="43"/>
        <v>20</v>
      </c>
      <c r="G396" s="146">
        <f>IF(C19="","", B346)</f>
        <v>486.50425541052056</v>
      </c>
      <c r="H396" s="150" t="str">
        <f>IF(C19="","", C349)</f>
        <v>BARRA A TRACCIÓN (+)</v>
      </c>
    </row>
    <row r="397" spans="1:8" ht="27.6" customHeight="1" x14ac:dyDescent="0.3">
      <c r="B397" s="112">
        <f>IF(C20="","", 4)</f>
        <v>4</v>
      </c>
      <c r="C397" s="108">
        <f t="shared" si="40"/>
        <v>4</v>
      </c>
      <c r="D397" s="108">
        <f t="shared" si="41"/>
        <v>1</v>
      </c>
      <c r="E397" s="120">
        <f t="shared" si="42"/>
        <v>632.45553203367592</v>
      </c>
      <c r="F397" s="120">
        <f t="shared" si="43"/>
        <v>20</v>
      </c>
      <c r="G397" s="146">
        <f>IF(C20="","", B354)</f>
        <v>843.27404271156797</v>
      </c>
      <c r="H397" s="150" t="str">
        <f>IF(C20="","", C357)</f>
        <v>BARRA A TRACCIÓN (+)</v>
      </c>
    </row>
    <row r="398" spans="1:8" ht="27.6" customHeight="1" x14ac:dyDescent="0.3">
      <c r="B398" s="113">
        <f>IF(C21="","", 5)</f>
        <v>5</v>
      </c>
      <c r="C398" s="108">
        <f t="shared" si="40"/>
        <v>2</v>
      </c>
      <c r="D398" s="108">
        <f t="shared" si="41"/>
        <v>4</v>
      </c>
      <c r="E398" s="120">
        <f t="shared" si="42"/>
        <v>1000</v>
      </c>
      <c r="F398" s="120">
        <f t="shared" si="43"/>
        <v>20</v>
      </c>
      <c r="G398" s="146">
        <f>IF(C21="","", B362)</f>
        <v>-2743.5897435897432</v>
      </c>
      <c r="H398" s="150" t="str">
        <f>IF(C21="","", C365)</f>
        <v>BARRA A COMPRESIÓN (-)</v>
      </c>
    </row>
    <row r="399" spans="1:8" ht="27.6" customHeight="1" x14ac:dyDescent="0.3">
      <c r="B399" s="114" t="str">
        <f>IF(C22="","", 6)</f>
        <v/>
      </c>
      <c r="C399" s="108" t="str">
        <f t="shared" si="40"/>
        <v/>
      </c>
      <c r="D399" s="108" t="str">
        <f t="shared" si="41"/>
        <v/>
      </c>
      <c r="E399" s="120" t="str">
        <f t="shared" si="42"/>
        <v/>
      </c>
      <c r="F399" s="120" t="str">
        <f t="shared" si="43"/>
        <v/>
      </c>
      <c r="G399" s="146" t="str">
        <f>IF(C22="","", B370)</f>
        <v/>
      </c>
      <c r="H399" s="150" t="str">
        <f>IF(C22="","", C373)</f>
        <v/>
      </c>
    </row>
    <row r="400" spans="1:8" ht="27.6" customHeight="1" x14ac:dyDescent="0.3">
      <c r="B400" s="115" t="str">
        <f>IF(C23="","", 7)</f>
        <v/>
      </c>
      <c r="C400" s="108" t="str">
        <f t="shared" si="40"/>
        <v/>
      </c>
      <c r="D400" s="108" t="str">
        <f t="shared" si="41"/>
        <v/>
      </c>
      <c r="E400" s="120" t="str">
        <f t="shared" si="42"/>
        <v/>
      </c>
      <c r="F400" s="120" t="str">
        <f t="shared" si="43"/>
        <v/>
      </c>
      <c r="G400" s="146" t="str">
        <f>IF(C23="","", B378)</f>
        <v/>
      </c>
      <c r="H400" s="150" t="str">
        <f>IF(C23="","", C381)</f>
        <v/>
      </c>
    </row>
    <row r="401" spans="2:8" ht="27.6" customHeight="1" x14ac:dyDescent="0.3">
      <c r="B401" s="116" t="str">
        <f>IF(C24="","", 8)</f>
        <v/>
      </c>
      <c r="C401" s="108" t="str">
        <f t="shared" si="40"/>
        <v/>
      </c>
      <c r="D401" s="108" t="str">
        <f t="shared" si="41"/>
        <v/>
      </c>
      <c r="E401" s="120" t="str">
        <f t="shared" si="42"/>
        <v/>
      </c>
      <c r="F401" s="120" t="str">
        <f t="shared" si="43"/>
        <v/>
      </c>
      <c r="G401" s="146" t="str">
        <f>IF(C24="","", B386)</f>
        <v/>
      </c>
      <c r="H401" s="150" t="str">
        <f>IF(C24="","", C389)</f>
        <v/>
      </c>
    </row>
  </sheetData>
  <mergeCells count="147">
    <mergeCell ref="L4:L5"/>
    <mergeCell ref="M4:M5"/>
    <mergeCell ref="N4:N5"/>
    <mergeCell ref="P4:W4"/>
    <mergeCell ref="B15:H15"/>
    <mergeCell ref="Z210:AE210"/>
    <mergeCell ref="A1:N1"/>
    <mergeCell ref="A2:N2"/>
    <mergeCell ref="B4:B5"/>
    <mergeCell ref="C4:D4"/>
    <mergeCell ref="E4:F4"/>
    <mergeCell ref="G4:G5"/>
    <mergeCell ref="H4:H5"/>
    <mergeCell ref="I4:I5"/>
    <mergeCell ref="J4:J5"/>
    <mergeCell ref="K4:K5"/>
    <mergeCell ref="Z217:AE217"/>
    <mergeCell ref="Z218:AE218"/>
    <mergeCell ref="Z219:AE219"/>
    <mergeCell ref="Z220:AE220"/>
    <mergeCell ref="Z221:AE221"/>
    <mergeCell ref="Z222:AE222"/>
    <mergeCell ref="Z211:AE211"/>
    <mergeCell ref="Z212:AE212"/>
    <mergeCell ref="Z213:AE213"/>
    <mergeCell ref="Z214:AE214"/>
    <mergeCell ref="Z215:AE215"/>
    <mergeCell ref="Z216:AE216"/>
    <mergeCell ref="Z229:AE229"/>
    <mergeCell ref="Z230:AE230"/>
    <mergeCell ref="Z231:AE231"/>
    <mergeCell ref="Z232:AE232"/>
    <mergeCell ref="Z233:AE233"/>
    <mergeCell ref="Z234:AE234"/>
    <mergeCell ref="Z223:AE223"/>
    <mergeCell ref="Z224:AE224"/>
    <mergeCell ref="Z225:AE225"/>
    <mergeCell ref="Z226:AE226"/>
    <mergeCell ref="Z227:AE227"/>
    <mergeCell ref="Z228:AE228"/>
    <mergeCell ref="Z241:AE241"/>
    <mergeCell ref="Z242:AE242"/>
    <mergeCell ref="Z243:AE243"/>
    <mergeCell ref="Z244:AE244"/>
    <mergeCell ref="Z245:AE245"/>
    <mergeCell ref="Z246:AE246"/>
    <mergeCell ref="Z235:AE235"/>
    <mergeCell ref="Z236:AE236"/>
    <mergeCell ref="C238:D238"/>
    <mergeCell ref="Z238:AE238"/>
    <mergeCell ref="Z239:AE239"/>
    <mergeCell ref="C240:N240"/>
    <mergeCell ref="Z240:AE240"/>
    <mergeCell ref="Z255:AE255"/>
    <mergeCell ref="Z256:AE256"/>
    <mergeCell ref="Z257:AE257"/>
    <mergeCell ref="Z258:AE258"/>
    <mergeCell ref="Z259:AE259"/>
    <mergeCell ref="Z260:AE260"/>
    <mergeCell ref="Z247:AE247"/>
    <mergeCell ref="Z248:AE248"/>
    <mergeCell ref="Z249:AE249"/>
    <mergeCell ref="Z250:AE250"/>
    <mergeCell ref="Z251:AE251"/>
    <mergeCell ref="Z252:AE252"/>
    <mergeCell ref="C267:K267"/>
    <mergeCell ref="Z267:AE267"/>
    <mergeCell ref="C268:K268"/>
    <mergeCell ref="Z268:AE268"/>
    <mergeCell ref="Z269:AE269"/>
    <mergeCell ref="Z270:AE270"/>
    <mergeCell ref="Z261:AE261"/>
    <mergeCell ref="Z262:AE262"/>
    <mergeCell ref="Z263:AE263"/>
    <mergeCell ref="Z264:AE264"/>
    <mergeCell ref="Z265:AE265"/>
    <mergeCell ref="Z266:AE266"/>
    <mergeCell ref="Z277:AE277"/>
    <mergeCell ref="Z278:AE278"/>
    <mergeCell ref="C279:D279"/>
    <mergeCell ref="Z279:AE279"/>
    <mergeCell ref="Z280:AE280"/>
    <mergeCell ref="Z281:AE281"/>
    <mergeCell ref="Z271:AE271"/>
    <mergeCell ref="Z272:AE272"/>
    <mergeCell ref="Z273:AE273"/>
    <mergeCell ref="Z274:AE274"/>
    <mergeCell ref="Z275:AE275"/>
    <mergeCell ref="Z276:AE276"/>
    <mergeCell ref="Z288:AE288"/>
    <mergeCell ref="Z289:AE289"/>
    <mergeCell ref="Z292:AE292"/>
    <mergeCell ref="Z293:AE293"/>
    <mergeCell ref="Z294:AE294"/>
    <mergeCell ref="Z295:AE295"/>
    <mergeCell ref="Z282:AE282"/>
    <mergeCell ref="Z283:AE283"/>
    <mergeCell ref="Z284:AE284"/>
    <mergeCell ref="Z285:AE285"/>
    <mergeCell ref="Z286:AE286"/>
    <mergeCell ref="Z287:AE287"/>
    <mergeCell ref="Z302:AE302"/>
    <mergeCell ref="Z303:AE303"/>
    <mergeCell ref="Z304:AE304"/>
    <mergeCell ref="Z305:AE305"/>
    <mergeCell ref="Z306:AE306"/>
    <mergeCell ref="Z325:AE325"/>
    <mergeCell ref="Z296:AE296"/>
    <mergeCell ref="Z297:AE297"/>
    <mergeCell ref="Z298:AE298"/>
    <mergeCell ref="Z299:AE299"/>
    <mergeCell ref="Z300:AE300"/>
    <mergeCell ref="Z301:AE301"/>
    <mergeCell ref="C341:F341"/>
    <mergeCell ref="Z341:AE341"/>
    <mergeCell ref="Z332:AE332"/>
    <mergeCell ref="C333:F333"/>
    <mergeCell ref="Z333:AE333"/>
    <mergeCell ref="Z334:AE334"/>
    <mergeCell ref="Z335:AE335"/>
    <mergeCell ref="Z336:AE336"/>
    <mergeCell ref="Z326:AE326"/>
    <mergeCell ref="Z327:AE327"/>
    <mergeCell ref="Z328:AE328"/>
    <mergeCell ref="Z329:AE329"/>
    <mergeCell ref="Z330:AE330"/>
    <mergeCell ref="Z331:AE331"/>
    <mergeCell ref="Z342:AE342"/>
    <mergeCell ref="Z343:AE343"/>
    <mergeCell ref="Z344:AE344"/>
    <mergeCell ref="Z345:AE345"/>
    <mergeCell ref="Z346:AE346"/>
    <mergeCell ref="Z347:AE347"/>
    <mergeCell ref="Z337:AE337"/>
    <mergeCell ref="Z338:AE338"/>
    <mergeCell ref="Z339:AE339"/>
    <mergeCell ref="Z340:AE340"/>
    <mergeCell ref="C373:F373"/>
    <mergeCell ref="C381:F381"/>
    <mergeCell ref="C389:F389"/>
    <mergeCell ref="B392:H392"/>
    <mergeCell ref="Z348:AE348"/>
    <mergeCell ref="C349:F349"/>
    <mergeCell ref="Z349:AE349"/>
    <mergeCell ref="Z350:AE350"/>
    <mergeCell ref="C357:F357"/>
    <mergeCell ref="C365:F365"/>
  </mergeCells>
  <conditionalFormatting sqref="B34:M45">
    <cfRule type="cellIs" dxfId="23" priority="1" operator="notEqual">
      <formula>0</formula>
    </cfRule>
  </conditionalFormatting>
  <conditionalFormatting sqref="B55:M66">
    <cfRule type="cellIs" dxfId="22" priority="2" operator="notEqual">
      <formula>0</formula>
    </cfRule>
  </conditionalFormatting>
  <conditionalFormatting sqref="B76:M87">
    <cfRule type="cellIs" dxfId="21" priority="3" operator="notEqual">
      <formula>0</formula>
    </cfRule>
  </conditionalFormatting>
  <conditionalFormatting sqref="B97:M108">
    <cfRule type="cellIs" dxfId="20" priority="4" operator="notEqual">
      <formula>0</formula>
    </cfRule>
  </conditionalFormatting>
  <conditionalFormatting sqref="B118:M129">
    <cfRule type="cellIs" dxfId="19" priority="5" operator="notEqual">
      <formula>0</formula>
    </cfRule>
  </conditionalFormatting>
  <conditionalFormatting sqref="B139:M150">
    <cfRule type="cellIs" dxfId="18" priority="6" operator="notEqual">
      <formula>0</formula>
    </cfRule>
  </conditionalFormatting>
  <conditionalFormatting sqref="B160:M171">
    <cfRule type="cellIs" dxfId="17" priority="7" operator="notEqual">
      <formula>0</formula>
    </cfRule>
  </conditionalFormatting>
  <conditionalFormatting sqref="B181:M192">
    <cfRule type="cellIs" dxfId="16" priority="8" operator="notEqual">
      <formula>0</formula>
    </cfRule>
  </conditionalFormatting>
  <pageMargins left="0.75" right="0.75" top="1" bottom="1" header="0.5" footer="0.5"/>
  <pageSetup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98"/>
  <sheetViews>
    <sheetView workbookViewId="0">
      <selection sqref="A1:N1"/>
    </sheetView>
  </sheetViews>
  <sheetFormatPr baseColWidth="10" defaultColWidth="8.88671875" defaultRowHeight="14.4" x14ac:dyDescent="0.3"/>
  <cols>
    <col min="1" max="1" width="11" style="98" customWidth="1"/>
    <col min="2" max="14" width="13" style="98" customWidth="1"/>
    <col min="15" max="15" width="3" style="98" customWidth="1"/>
    <col min="16" max="16" width="7" style="98" customWidth="1"/>
    <col min="17" max="18" width="11" style="98" customWidth="1"/>
    <col min="19" max="19" width="14" style="98" customWidth="1"/>
    <col min="20" max="21" width="6" style="98" customWidth="1"/>
    <col min="22" max="23" width="12" style="98" customWidth="1"/>
    <col min="24" max="25" width="3" style="98" customWidth="1"/>
    <col min="26" max="31" width="18" style="98" customWidth="1"/>
  </cols>
  <sheetData>
    <row r="1" spans="1:23" ht="25.95" customHeight="1" x14ac:dyDescent="0.3">
      <c r="A1" s="192" t="s">
        <v>301</v>
      </c>
      <c r="B1" s="175"/>
      <c r="C1" s="175"/>
      <c r="D1" s="175"/>
      <c r="E1" s="175"/>
      <c r="F1" s="175"/>
      <c r="G1" s="175"/>
      <c r="H1" s="175"/>
      <c r="I1" s="175"/>
      <c r="J1" s="175"/>
      <c r="K1" s="175"/>
      <c r="L1" s="175"/>
      <c r="M1" s="175"/>
      <c r="N1" s="175"/>
    </row>
    <row r="2" spans="1:23" ht="18" customHeight="1" x14ac:dyDescent="0.3">
      <c r="A2" s="191" t="s">
        <v>144</v>
      </c>
      <c r="B2" s="175"/>
      <c r="C2" s="175"/>
      <c r="D2" s="175"/>
      <c r="E2" s="175"/>
      <c r="F2" s="175"/>
      <c r="G2" s="175"/>
      <c r="H2" s="175"/>
      <c r="I2" s="175"/>
      <c r="J2" s="175"/>
      <c r="K2" s="175"/>
      <c r="L2" s="175"/>
      <c r="M2" s="175"/>
      <c r="N2" s="175"/>
    </row>
    <row r="4" spans="1:23" ht="18" customHeight="1" x14ac:dyDescent="0.3">
      <c r="B4" s="186" t="s">
        <v>145</v>
      </c>
      <c r="C4" s="186" t="s">
        <v>146</v>
      </c>
      <c r="D4" s="186"/>
      <c r="E4" s="186" t="s">
        <v>147</v>
      </c>
      <c r="F4" s="186"/>
      <c r="G4" s="186" t="s">
        <v>148</v>
      </c>
      <c r="H4" s="186" t="s">
        <v>149</v>
      </c>
      <c r="I4" s="186" t="s">
        <v>150</v>
      </c>
      <c r="J4" s="186" t="s">
        <v>151</v>
      </c>
      <c r="K4" s="186" t="s">
        <v>152</v>
      </c>
      <c r="L4" s="186" t="s">
        <v>153</v>
      </c>
      <c r="M4" s="186" t="s">
        <v>154</v>
      </c>
      <c r="N4" s="186" t="s">
        <v>155</v>
      </c>
      <c r="P4" s="201" t="s">
        <v>156</v>
      </c>
      <c r="Q4" s="175"/>
      <c r="R4" s="175"/>
      <c r="S4" s="175"/>
      <c r="T4" s="175"/>
      <c r="U4" s="175"/>
      <c r="V4" s="175"/>
      <c r="W4" s="175"/>
    </row>
    <row r="5" spans="1:23" ht="18" customHeight="1" x14ac:dyDescent="0.3">
      <c r="B5" s="187"/>
      <c r="C5" s="101" t="s">
        <v>157</v>
      </c>
      <c r="D5" s="101" t="s">
        <v>158</v>
      </c>
      <c r="E5" s="101" t="s">
        <v>157</v>
      </c>
      <c r="F5" s="101" t="s">
        <v>158</v>
      </c>
      <c r="G5" s="187"/>
      <c r="H5" s="187"/>
      <c r="I5" s="187"/>
      <c r="J5" s="187"/>
      <c r="K5" s="187"/>
      <c r="L5" s="187"/>
      <c r="M5" s="187"/>
      <c r="N5" s="187"/>
      <c r="P5" s="101" t="s">
        <v>159</v>
      </c>
      <c r="Q5" s="101" t="s">
        <v>160</v>
      </c>
      <c r="R5" s="101" t="s">
        <v>161</v>
      </c>
      <c r="S5" s="101" t="s">
        <v>162</v>
      </c>
      <c r="T5" s="101" t="s">
        <v>163</v>
      </c>
      <c r="U5" s="101" t="s">
        <v>164</v>
      </c>
      <c r="V5" s="101" t="s">
        <v>165</v>
      </c>
      <c r="W5" s="101"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400</v>
      </c>
      <c r="F6" s="103">
        <f t="shared" ref="F6:F13" si="3">IF(F17="","", IFERROR(VLOOKUP(F17, $P$6:$W$11, 3, FALSE), ""))</f>
        <v>0</v>
      </c>
      <c r="G6" s="104">
        <f t="shared" ref="G6:H13" si="4">IF(OR(C6="",E6=""), "", E6-C6)</f>
        <v>400</v>
      </c>
      <c r="H6" s="104">
        <f t="shared" si="4"/>
        <v>0</v>
      </c>
      <c r="I6" s="105">
        <f t="shared" ref="I6:I13" si="5">IF(OR(G6="",H6=""), "", SQRT(G6^2+H6^2))</f>
        <v>400</v>
      </c>
      <c r="J6" s="106">
        <f t="shared" ref="J6:J13" si="6">IF(OR(I6="",I6=0), "", G6/I6)</f>
        <v>1</v>
      </c>
      <c r="K6" s="106">
        <f t="shared" ref="K6:K13" si="7">IF(OR(I6="",I6=0), "", H6/I6)</f>
        <v>0</v>
      </c>
      <c r="L6" s="103">
        <f t="shared" ref="L6:L13" si="8">IF(C17="","", 12)</f>
        <v>12</v>
      </c>
      <c r="M6" s="107">
        <f t="shared" ref="M6:M13" si="9">IF(C17="","", 2100000)</f>
        <v>2100000</v>
      </c>
      <c r="N6" s="105">
        <f t="shared" ref="N6:N13" si="10">IF(OR(I6="",I6=0,L6="",M6=""), 0, (L6*M6)/I6)</f>
        <v>63000</v>
      </c>
      <c r="P6" s="108">
        <v>1</v>
      </c>
      <c r="Q6" s="103">
        <v>0</v>
      </c>
      <c r="R6" s="103">
        <v>0</v>
      </c>
      <c r="S6" s="109" t="s">
        <v>168</v>
      </c>
      <c r="T6" s="108">
        <f t="shared" ref="T6:T11" si="11">IF(Q6="","", IF(LEFT(UPPER(TRIM(S6)),4)="FIJO", 1, IF(OR(UPPER(TRIM(S6))="MOVIL X", UPPER(TRIM(S6))="MÓVIL X", UPPER(TRIM(S6))="RODILLO X"), 1, 0)))</f>
        <v>1</v>
      </c>
      <c r="U6" s="108">
        <f t="shared" ref="U6:U11" si="12">IF(Q6="","", IF(LEFT(UPPER(TRIM(S6)),4)="FIJO", 1, IF(OR(UPPER(TRIM(S6))="MOVIL Y", UPPER(TRIM(S6))="MÓVIL Y", UPPER(TRIM(S6))="RODILLO Y", UPPER(TRIM(S6))="MOVIL", UPPER(TRIM(S6))="MÓVIL"), 1, 0)))</f>
        <v>1</v>
      </c>
      <c r="V6" s="103">
        <v>0</v>
      </c>
      <c r="W6" s="103">
        <v>0</v>
      </c>
    </row>
    <row r="7" spans="1:23" ht="19.05" customHeight="1" x14ac:dyDescent="0.3">
      <c r="B7" s="110">
        <v>2</v>
      </c>
      <c r="C7" s="103">
        <f t="shared" si="0"/>
        <v>400</v>
      </c>
      <c r="D7" s="103">
        <f t="shared" si="1"/>
        <v>0</v>
      </c>
      <c r="E7" s="103">
        <f t="shared" si="2"/>
        <v>400</v>
      </c>
      <c r="F7" s="103">
        <f t="shared" si="3"/>
        <v>300</v>
      </c>
      <c r="G7" s="104">
        <f t="shared" si="4"/>
        <v>0</v>
      </c>
      <c r="H7" s="104">
        <f t="shared" si="4"/>
        <v>300</v>
      </c>
      <c r="I7" s="105">
        <f t="shared" si="5"/>
        <v>300</v>
      </c>
      <c r="J7" s="106">
        <f t="shared" si="6"/>
        <v>0</v>
      </c>
      <c r="K7" s="106">
        <f t="shared" si="7"/>
        <v>1</v>
      </c>
      <c r="L7" s="103">
        <f t="shared" si="8"/>
        <v>12</v>
      </c>
      <c r="M7" s="107">
        <f t="shared" si="9"/>
        <v>2100000</v>
      </c>
      <c r="N7" s="105">
        <f t="shared" si="10"/>
        <v>84000</v>
      </c>
      <c r="P7" s="108">
        <v>2</v>
      </c>
      <c r="Q7" s="103">
        <v>400</v>
      </c>
      <c r="R7" s="103">
        <v>0</v>
      </c>
      <c r="S7" s="109" t="s">
        <v>168</v>
      </c>
      <c r="T7" s="108">
        <f t="shared" si="11"/>
        <v>1</v>
      </c>
      <c r="U7" s="108">
        <f t="shared" si="12"/>
        <v>1</v>
      </c>
      <c r="V7" s="103">
        <v>0</v>
      </c>
      <c r="W7" s="103">
        <v>0</v>
      </c>
    </row>
    <row r="8" spans="1:23" ht="19.05" customHeight="1" x14ac:dyDescent="0.3">
      <c r="B8" s="111">
        <v>3</v>
      </c>
      <c r="C8" s="103">
        <f t="shared" si="0"/>
        <v>400</v>
      </c>
      <c r="D8" s="103">
        <f t="shared" si="1"/>
        <v>300</v>
      </c>
      <c r="E8" s="103">
        <f t="shared" si="2"/>
        <v>0</v>
      </c>
      <c r="F8" s="103">
        <f t="shared" si="3"/>
        <v>300</v>
      </c>
      <c r="G8" s="104">
        <f t="shared" si="4"/>
        <v>-400</v>
      </c>
      <c r="H8" s="104">
        <f t="shared" si="4"/>
        <v>0</v>
      </c>
      <c r="I8" s="105">
        <f t="shared" si="5"/>
        <v>400</v>
      </c>
      <c r="J8" s="106">
        <f t="shared" si="6"/>
        <v>-1</v>
      </c>
      <c r="K8" s="106">
        <f t="shared" si="7"/>
        <v>0</v>
      </c>
      <c r="L8" s="103">
        <f t="shared" si="8"/>
        <v>12</v>
      </c>
      <c r="M8" s="107">
        <f t="shared" si="9"/>
        <v>2100000</v>
      </c>
      <c r="N8" s="105">
        <f t="shared" si="10"/>
        <v>63000</v>
      </c>
      <c r="P8" s="108">
        <v>3</v>
      </c>
      <c r="Q8" s="103">
        <v>400</v>
      </c>
      <c r="R8" s="103">
        <v>300</v>
      </c>
      <c r="S8" s="109" t="s">
        <v>169</v>
      </c>
      <c r="T8" s="108">
        <f t="shared" si="11"/>
        <v>0</v>
      </c>
      <c r="U8" s="108">
        <f t="shared" si="12"/>
        <v>0</v>
      </c>
      <c r="V8" s="103">
        <v>3500</v>
      </c>
      <c r="W8" s="103">
        <v>-5000</v>
      </c>
    </row>
    <row r="9" spans="1:23" ht="19.05" customHeight="1" x14ac:dyDescent="0.3">
      <c r="B9" s="112">
        <v>4</v>
      </c>
      <c r="C9" s="103">
        <f t="shared" si="0"/>
        <v>0</v>
      </c>
      <c r="D9" s="103">
        <f t="shared" si="1"/>
        <v>300</v>
      </c>
      <c r="E9" s="103">
        <f t="shared" si="2"/>
        <v>0</v>
      </c>
      <c r="F9" s="103">
        <f t="shared" si="3"/>
        <v>0</v>
      </c>
      <c r="G9" s="104">
        <f t="shared" si="4"/>
        <v>0</v>
      </c>
      <c r="H9" s="104">
        <f t="shared" si="4"/>
        <v>-300</v>
      </c>
      <c r="I9" s="105">
        <f t="shared" si="5"/>
        <v>300</v>
      </c>
      <c r="J9" s="106">
        <f t="shared" si="6"/>
        <v>0</v>
      </c>
      <c r="K9" s="106">
        <f t="shared" si="7"/>
        <v>-1</v>
      </c>
      <c r="L9" s="103">
        <f t="shared" si="8"/>
        <v>12</v>
      </c>
      <c r="M9" s="107">
        <f t="shared" si="9"/>
        <v>2100000</v>
      </c>
      <c r="N9" s="105">
        <f t="shared" si="10"/>
        <v>84000</v>
      </c>
      <c r="P9" s="108">
        <v>4</v>
      </c>
      <c r="Q9" s="103">
        <v>0</v>
      </c>
      <c r="R9" s="103">
        <v>300</v>
      </c>
      <c r="S9" s="109" t="s">
        <v>169</v>
      </c>
      <c r="T9" s="108">
        <f t="shared" si="11"/>
        <v>0</v>
      </c>
      <c r="U9" s="108">
        <f t="shared" si="12"/>
        <v>0</v>
      </c>
      <c r="V9" s="103">
        <v>3500</v>
      </c>
      <c r="W9" s="103">
        <v>0</v>
      </c>
    </row>
    <row r="10" spans="1:23" ht="19.05" customHeight="1" x14ac:dyDescent="0.3">
      <c r="B10" s="113">
        <v>5</v>
      </c>
      <c r="C10" s="103">
        <f t="shared" si="0"/>
        <v>0</v>
      </c>
      <c r="D10" s="103">
        <f t="shared" si="1"/>
        <v>0</v>
      </c>
      <c r="E10" s="103">
        <f t="shared" si="2"/>
        <v>400</v>
      </c>
      <c r="F10" s="103">
        <f t="shared" si="3"/>
        <v>300</v>
      </c>
      <c r="G10" s="104">
        <f t="shared" si="4"/>
        <v>400</v>
      </c>
      <c r="H10" s="104">
        <f t="shared" si="4"/>
        <v>300</v>
      </c>
      <c r="I10" s="105">
        <f t="shared" si="5"/>
        <v>500</v>
      </c>
      <c r="J10" s="106">
        <f t="shared" si="6"/>
        <v>0.8</v>
      </c>
      <c r="K10" s="106">
        <f t="shared" si="7"/>
        <v>0.6</v>
      </c>
      <c r="L10" s="103">
        <f t="shared" si="8"/>
        <v>12</v>
      </c>
      <c r="M10" s="107">
        <f t="shared" si="9"/>
        <v>2100000</v>
      </c>
      <c r="N10" s="105">
        <f t="shared" si="10"/>
        <v>50400</v>
      </c>
      <c r="P10" s="108">
        <v>5</v>
      </c>
      <c r="Q10" s="103"/>
      <c r="R10" s="103"/>
      <c r="S10" s="109" t="s">
        <v>169</v>
      </c>
      <c r="T10" s="108" t="str">
        <f t="shared" si="11"/>
        <v/>
      </c>
      <c r="U10" s="108" t="str">
        <f t="shared" si="12"/>
        <v/>
      </c>
      <c r="V10" s="103"/>
      <c r="W10" s="103"/>
    </row>
    <row r="11" spans="1:23" ht="19.05" customHeight="1" x14ac:dyDescent="0.3">
      <c r="B11" s="114">
        <v>6</v>
      </c>
      <c r="C11" s="103">
        <f t="shared" si="0"/>
        <v>400</v>
      </c>
      <c r="D11" s="103">
        <f t="shared" si="1"/>
        <v>0</v>
      </c>
      <c r="E11" s="103">
        <f t="shared" si="2"/>
        <v>0</v>
      </c>
      <c r="F11" s="103">
        <f t="shared" si="3"/>
        <v>300</v>
      </c>
      <c r="G11" s="104">
        <f t="shared" si="4"/>
        <v>-400</v>
      </c>
      <c r="H11" s="104">
        <f t="shared" si="4"/>
        <v>300</v>
      </c>
      <c r="I11" s="105">
        <f t="shared" si="5"/>
        <v>500</v>
      </c>
      <c r="J11" s="106">
        <f t="shared" si="6"/>
        <v>-0.8</v>
      </c>
      <c r="K11" s="106">
        <f t="shared" si="7"/>
        <v>0.6</v>
      </c>
      <c r="L11" s="103">
        <f t="shared" si="8"/>
        <v>12</v>
      </c>
      <c r="M11" s="107">
        <f t="shared" si="9"/>
        <v>2100000</v>
      </c>
      <c r="N11" s="105">
        <f t="shared" si="10"/>
        <v>50400</v>
      </c>
      <c r="P11" s="108">
        <v>6</v>
      </c>
      <c r="Q11" s="103"/>
      <c r="R11" s="103"/>
      <c r="S11" s="109" t="s">
        <v>169</v>
      </c>
      <c r="T11" s="108" t="str">
        <f t="shared" si="11"/>
        <v/>
      </c>
      <c r="U11" s="108" t="str">
        <f t="shared" si="12"/>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8"/>
        <v/>
      </c>
      <c r="M12" s="107" t="str">
        <f t="shared" si="9"/>
        <v/>
      </c>
      <c r="N12" s="105">
        <f t="shared" si="10"/>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8"/>
        <v/>
      </c>
      <c r="M13" s="107" t="str">
        <f t="shared" si="9"/>
        <v/>
      </c>
      <c r="N13" s="105">
        <f t="shared" si="10"/>
        <v>0</v>
      </c>
    </row>
    <row r="15" spans="1:23" ht="19.95" customHeight="1" x14ac:dyDescent="0.35">
      <c r="B15" s="200" t="s">
        <v>170</v>
      </c>
      <c r="C15" s="175"/>
      <c r="D15" s="175"/>
      <c r="E15" s="175"/>
      <c r="F15" s="175"/>
      <c r="G15" s="175"/>
      <c r="H15" s="175"/>
    </row>
    <row r="16" spans="1:23" ht="18" customHeight="1" x14ac:dyDescent="0.3">
      <c r="B16" s="100" t="s">
        <v>145</v>
      </c>
      <c r="C16" s="100" t="s">
        <v>171</v>
      </c>
      <c r="D16" s="100" t="s">
        <v>172</v>
      </c>
      <c r="E16" s="100" t="s">
        <v>173</v>
      </c>
      <c r="F16" s="100" t="s">
        <v>174</v>
      </c>
      <c r="G16" s="100" t="s">
        <v>175</v>
      </c>
      <c r="H16" s="100" t="s">
        <v>176</v>
      </c>
    </row>
    <row r="17" spans="1:8" ht="19.05" customHeight="1" x14ac:dyDescent="0.3">
      <c r="B17" s="102">
        <v>1</v>
      </c>
      <c r="C17" s="117">
        <v>1</v>
      </c>
      <c r="D17" s="108" t="str">
        <f t="shared" ref="D17:D24" si="13">IF(C17="","", "U" &amp; C17 &amp; "X")</f>
        <v>U1X</v>
      </c>
      <c r="E17" s="108" t="str">
        <f t="shared" ref="E17:E24" si="14">IF(C17="","", "U" &amp; C17 &amp; "Y")</f>
        <v>U1Y</v>
      </c>
      <c r="F17" s="117">
        <v>2</v>
      </c>
      <c r="G17" s="108" t="str">
        <f t="shared" ref="G17:G24" si="15">IF(F17="","", "U" &amp; F17 &amp; "X")</f>
        <v>U2X</v>
      </c>
      <c r="H17" s="108" t="str">
        <f t="shared" ref="H17:H24" si="16">IF(F17="","", "U" &amp; F17 &amp; "Y")</f>
        <v>U2Y</v>
      </c>
    </row>
    <row r="18" spans="1:8" ht="19.05" customHeight="1" x14ac:dyDescent="0.3">
      <c r="B18" s="110">
        <v>2</v>
      </c>
      <c r="C18" s="117">
        <v>2</v>
      </c>
      <c r="D18" s="108" t="str">
        <f t="shared" si="13"/>
        <v>U2X</v>
      </c>
      <c r="E18" s="108" t="str">
        <f t="shared" si="14"/>
        <v>U2Y</v>
      </c>
      <c r="F18" s="117">
        <v>3</v>
      </c>
      <c r="G18" s="108" t="str">
        <f t="shared" si="15"/>
        <v>U3X</v>
      </c>
      <c r="H18" s="108" t="str">
        <f t="shared" si="16"/>
        <v>U3Y</v>
      </c>
    </row>
    <row r="19" spans="1:8" ht="19.05" customHeight="1" x14ac:dyDescent="0.3">
      <c r="B19" s="111">
        <v>3</v>
      </c>
      <c r="C19" s="117">
        <v>3</v>
      </c>
      <c r="D19" s="108" t="str">
        <f t="shared" si="13"/>
        <v>U3X</v>
      </c>
      <c r="E19" s="108" t="str">
        <f t="shared" si="14"/>
        <v>U3Y</v>
      </c>
      <c r="F19" s="117">
        <v>4</v>
      </c>
      <c r="G19" s="108" t="str">
        <f t="shared" si="15"/>
        <v>U4X</v>
      </c>
      <c r="H19" s="108" t="str">
        <f t="shared" si="16"/>
        <v>U4Y</v>
      </c>
    </row>
    <row r="20" spans="1:8" ht="19.05" customHeight="1" x14ac:dyDescent="0.3">
      <c r="B20" s="112">
        <v>4</v>
      </c>
      <c r="C20" s="117">
        <v>4</v>
      </c>
      <c r="D20" s="108" t="str">
        <f t="shared" si="13"/>
        <v>U4X</v>
      </c>
      <c r="E20" s="108" t="str">
        <f t="shared" si="14"/>
        <v>U4Y</v>
      </c>
      <c r="F20" s="117">
        <v>1</v>
      </c>
      <c r="G20" s="108" t="str">
        <f t="shared" si="15"/>
        <v>U1X</v>
      </c>
      <c r="H20" s="108" t="str">
        <f t="shared" si="16"/>
        <v>U1Y</v>
      </c>
    </row>
    <row r="21" spans="1:8" ht="19.05" customHeight="1" x14ac:dyDescent="0.3">
      <c r="B21" s="113">
        <v>5</v>
      </c>
      <c r="C21" s="117">
        <v>1</v>
      </c>
      <c r="D21" s="108" t="str">
        <f t="shared" si="13"/>
        <v>U1X</v>
      </c>
      <c r="E21" s="108" t="str">
        <f t="shared" si="14"/>
        <v>U1Y</v>
      </c>
      <c r="F21" s="117">
        <v>3</v>
      </c>
      <c r="G21" s="108" t="str">
        <f t="shared" si="15"/>
        <v>U3X</v>
      </c>
      <c r="H21" s="108" t="str">
        <f t="shared" si="16"/>
        <v>U3Y</v>
      </c>
    </row>
    <row r="22" spans="1:8" ht="19.05" customHeight="1" x14ac:dyDescent="0.3">
      <c r="B22" s="114">
        <v>6</v>
      </c>
      <c r="C22" s="117">
        <v>2</v>
      </c>
      <c r="D22" s="108" t="str">
        <f t="shared" si="13"/>
        <v>U2X</v>
      </c>
      <c r="E22" s="108" t="str">
        <f t="shared" si="14"/>
        <v>U2Y</v>
      </c>
      <c r="F22" s="117">
        <v>4</v>
      </c>
      <c r="G22" s="108" t="str">
        <f t="shared" si="15"/>
        <v>U4X</v>
      </c>
      <c r="H22" s="108" t="str">
        <f t="shared" si="16"/>
        <v>U4Y</v>
      </c>
    </row>
    <row r="23" spans="1:8" ht="19.05" customHeight="1" x14ac:dyDescent="0.3">
      <c r="B23" s="115">
        <v>7</v>
      </c>
      <c r="C23" s="117"/>
      <c r="D23" s="108" t="str">
        <f t="shared" si="13"/>
        <v/>
      </c>
      <c r="E23" s="108" t="str">
        <f t="shared" si="14"/>
        <v/>
      </c>
      <c r="F23" s="117"/>
      <c r="G23" s="108" t="str">
        <f t="shared" si="15"/>
        <v/>
      </c>
      <c r="H23" s="108" t="str">
        <f t="shared" si="16"/>
        <v/>
      </c>
    </row>
    <row r="24" spans="1:8" ht="19.05" customHeight="1" x14ac:dyDescent="0.3">
      <c r="B24" s="116">
        <v>8</v>
      </c>
      <c r="C24" s="117"/>
      <c r="D24" s="108" t="str">
        <f t="shared" si="13"/>
        <v/>
      </c>
      <c r="E24" s="108" t="str">
        <f t="shared" si="14"/>
        <v/>
      </c>
      <c r="F24" s="117"/>
      <c r="G24" s="108" t="str">
        <f t="shared" si="15"/>
        <v/>
      </c>
      <c r="H24" s="108" t="str">
        <f t="shared" si="16"/>
        <v/>
      </c>
    </row>
    <row r="27" spans="1:8" ht="19.05" customHeight="1" x14ac:dyDescent="0.3">
      <c r="A27" s="118" t="s">
        <v>177</v>
      </c>
      <c r="B27" s="102" t="str">
        <f>IF(D17="","-",D17)</f>
        <v>U1X</v>
      </c>
      <c r="C27" s="102" t="str">
        <f>IF(E17="","-",E17)</f>
        <v>U1Y</v>
      </c>
      <c r="D27" s="102" t="str">
        <f>IF(G17="","-",G17)</f>
        <v>U2X</v>
      </c>
      <c r="E27" s="102" t="str">
        <f>IF(H17="","-",H17)</f>
        <v>U2Y</v>
      </c>
    </row>
    <row r="28" spans="1:8" ht="18" customHeight="1" x14ac:dyDescent="0.3">
      <c r="B28" s="119">
        <f>IF(N6=0, 0, N6*J6*J6)</f>
        <v>63000</v>
      </c>
      <c r="C28" s="119">
        <f>IF(N6=0, 0, N6*J6*K6)</f>
        <v>0</v>
      </c>
      <c r="D28" s="119">
        <f>IF(N6=0, 0, -N6*J6*J6)</f>
        <v>-63000</v>
      </c>
      <c r="E28" s="119">
        <f>IF(N6=0, 0, -N6*J6*K6)</f>
        <v>0</v>
      </c>
      <c r="F28" s="102" t="str">
        <f>IF(D17="","-",D17)</f>
        <v>U1X</v>
      </c>
    </row>
    <row r="29" spans="1:8" ht="18" customHeight="1" x14ac:dyDescent="0.3">
      <c r="B29" s="119">
        <f>IF(N6=0, 0, N6*J6*K6)</f>
        <v>0</v>
      </c>
      <c r="C29" s="119">
        <f>IF(N6=0, 0, N6*K6*K6)</f>
        <v>0</v>
      </c>
      <c r="D29" s="119">
        <f>IF(N6=0, 0, -N6*J6*K6)</f>
        <v>0</v>
      </c>
      <c r="E29" s="119">
        <f>IF(N6=0, 0, -N6*K6*K6)</f>
        <v>0</v>
      </c>
      <c r="F29" s="102" t="str">
        <f>IF(E17="","-",E17)</f>
        <v>U1Y</v>
      </c>
    </row>
    <row r="30" spans="1:8" ht="18" customHeight="1" x14ac:dyDescent="0.3">
      <c r="B30" s="119">
        <f>IF(N6=0, 0, -N6*J6*J6)</f>
        <v>-63000</v>
      </c>
      <c r="C30" s="119">
        <f>IF(N6=0, 0, -N6*J6*K6)</f>
        <v>0</v>
      </c>
      <c r="D30" s="119">
        <f>IF(N6=0, 0, N6*J6*J6)</f>
        <v>63000</v>
      </c>
      <c r="E30" s="119">
        <f>IF(N6=0, 0, N6*J6*K6)</f>
        <v>0</v>
      </c>
      <c r="F30" s="102" t="str">
        <f>IF(G17="","-",G17)</f>
        <v>U2X</v>
      </c>
    </row>
    <row r="31" spans="1:8"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00" t="s">
        <v>178</v>
      </c>
      <c r="C33" s="100" t="s">
        <v>179</v>
      </c>
      <c r="D33" s="100" t="s">
        <v>180</v>
      </c>
      <c r="E33" s="100" t="s">
        <v>181</v>
      </c>
      <c r="F33" s="100" t="s">
        <v>182</v>
      </c>
      <c r="G33" s="100" t="s">
        <v>183</v>
      </c>
      <c r="H33" s="100" t="s">
        <v>184</v>
      </c>
      <c r="I33" s="100" t="s">
        <v>185</v>
      </c>
      <c r="J33" s="100" t="s">
        <v>186</v>
      </c>
      <c r="K33" s="100" t="s">
        <v>187</v>
      </c>
      <c r="L33" s="100" t="s">
        <v>188</v>
      </c>
      <c r="M33" s="100" t="s">
        <v>189</v>
      </c>
    </row>
    <row r="34" spans="1:14" ht="19.05" customHeight="1" x14ac:dyDescent="0.3">
      <c r="B34" s="120">
        <f t="shared" ref="B34:M45" si="17">IFERROR(INDEX($B$28:$E$31, MATCH($N34, $B$27:$E$27, 0), MATCH(B$33, $B$27:$E$27, 0)), 0)</f>
        <v>63000</v>
      </c>
      <c r="C34" s="120">
        <f t="shared" si="17"/>
        <v>0</v>
      </c>
      <c r="D34" s="120">
        <f t="shared" si="17"/>
        <v>-63000</v>
      </c>
      <c r="E34" s="120">
        <f t="shared" si="17"/>
        <v>0</v>
      </c>
      <c r="F34" s="120">
        <f t="shared" si="17"/>
        <v>0</v>
      </c>
      <c r="G34" s="120">
        <f t="shared" si="17"/>
        <v>0</v>
      </c>
      <c r="H34" s="120">
        <f t="shared" si="17"/>
        <v>0</v>
      </c>
      <c r="I34" s="120">
        <f t="shared" si="17"/>
        <v>0</v>
      </c>
      <c r="J34" s="120">
        <f t="shared" si="17"/>
        <v>0</v>
      </c>
      <c r="K34" s="120">
        <f t="shared" si="17"/>
        <v>0</v>
      </c>
      <c r="L34" s="120">
        <f t="shared" si="17"/>
        <v>0</v>
      </c>
      <c r="M34" s="120">
        <f t="shared" si="17"/>
        <v>0</v>
      </c>
      <c r="N34" s="102" t="s">
        <v>178</v>
      </c>
    </row>
    <row r="35" spans="1:14" ht="19.05" customHeight="1" x14ac:dyDescent="0.3">
      <c r="B35" s="120">
        <f t="shared" si="17"/>
        <v>0</v>
      </c>
      <c r="C35" s="120">
        <f t="shared" si="17"/>
        <v>0</v>
      </c>
      <c r="D35" s="120">
        <f t="shared" si="17"/>
        <v>0</v>
      </c>
      <c r="E35" s="120">
        <f t="shared" si="17"/>
        <v>0</v>
      </c>
      <c r="F35" s="120">
        <f t="shared" si="17"/>
        <v>0</v>
      </c>
      <c r="G35" s="120">
        <f t="shared" si="17"/>
        <v>0</v>
      </c>
      <c r="H35" s="120">
        <f t="shared" si="17"/>
        <v>0</v>
      </c>
      <c r="I35" s="120">
        <f t="shared" si="17"/>
        <v>0</v>
      </c>
      <c r="J35" s="120">
        <f t="shared" si="17"/>
        <v>0</v>
      </c>
      <c r="K35" s="120">
        <f t="shared" si="17"/>
        <v>0</v>
      </c>
      <c r="L35" s="120">
        <f t="shared" si="17"/>
        <v>0</v>
      </c>
      <c r="M35" s="120">
        <f t="shared" si="17"/>
        <v>0</v>
      </c>
      <c r="N35" s="102" t="s">
        <v>179</v>
      </c>
    </row>
    <row r="36" spans="1:14" ht="19.05" customHeight="1" x14ac:dyDescent="0.3">
      <c r="B36" s="120">
        <f t="shared" si="17"/>
        <v>-63000</v>
      </c>
      <c r="C36" s="120">
        <f t="shared" si="17"/>
        <v>0</v>
      </c>
      <c r="D36" s="120">
        <f t="shared" si="17"/>
        <v>63000</v>
      </c>
      <c r="E36" s="120">
        <f t="shared" si="17"/>
        <v>0</v>
      </c>
      <c r="F36" s="120">
        <f t="shared" si="17"/>
        <v>0</v>
      </c>
      <c r="G36" s="120">
        <f t="shared" si="17"/>
        <v>0</v>
      </c>
      <c r="H36" s="120">
        <f t="shared" si="17"/>
        <v>0</v>
      </c>
      <c r="I36" s="120">
        <f t="shared" si="17"/>
        <v>0</v>
      </c>
      <c r="J36" s="120">
        <f t="shared" si="17"/>
        <v>0</v>
      </c>
      <c r="K36" s="120">
        <f t="shared" si="17"/>
        <v>0</v>
      </c>
      <c r="L36" s="120">
        <f t="shared" si="17"/>
        <v>0</v>
      </c>
      <c r="M36" s="120">
        <f t="shared" si="17"/>
        <v>0</v>
      </c>
      <c r="N36" s="102" t="s">
        <v>180</v>
      </c>
    </row>
    <row r="37" spans="1:14" ht="19.05" customHeight="1" x14ac:dyDescent="0.3">
      <c r="B37" s="120">
        <f t="shared" si="17"/>
        <v>0</v>
      </c>
      <c r="C37" s="120">
        <f t="shared" si="17"/>
        <v>0</v>
      </c>
      <c r="D37" s="120">
        <f t="shared" si="17"/>
        <v>0</v>
      </c>
      <c r="E37" s="120">
        <f t="shared" si="17"/>
        <v>0</v>
      </c>
      <c r="F37" s="120">
        <f t="shared" si="17"/>
        <v>0</v>
      </c>
      <c r="G37" s="120">
        <f t="shared" si="17"/>
        <v>0</v>
      </c>
      <c r="H37" s="120">
        <f t="shared" si="17"/>
        <v>0</v>
      </c>
      <c r="I37" s="120">
        <f t="shared" si="17"/>
        <v>0</v>
      </c>
      <c r="J37" s="120">
        <f t="shared" si="17"/>
        <v>0</v>
      </c>
      <c r="K37" s="120">
        <f t="shared" si="17"/>
        <v>0</v>
      </c>
      <c r="L37" s="120">
        <f t="shared" si="17"/>
        <v>0</v>
      </c>
      <c r="M37" s="120">
        <f t="shared" si="17"/>
        <v>0</v>
      </c>
      <c r="N37" s="102" t="s">
        <v>181</v>
      </c>
    </row>
    <row r="38" spans="1:14" ht="19.05" customHeight="1" x14ac:dyDescent="0.3">
      <c r="B38" s="120">
        <f t="shared" si="17"/>
        <v>0</v>
      </c>
      <c r="C38" s="120">
        <f t="shared" si="17"/>
        <v>0</v>
      </c>
      <c r="D38" s="120">
        <f t="shared" si="17"/>
        <v>0</v>
      </c>
      <c r="E38" s="120">
        <f t="shared" si="17"/>
        <v>0</v>
      </c>
      <c r="F38" s="120">
        <f t="shared" si="17"/>
        <v>0</v>
      </c>
      <c r="G38" s="120">
        <f t="shared" si="17"/>
        <v>0</v>
      </c>
      <c r="H38" s="120">
        <f t="shared" si="17"/>
        <v>0</v>
      </c>
      <c r="I38" s="120">
        <f t="shared" si="17"/>
        <v>0</v>
      </c>
      <c r="J38" s="120">
        <f t="shared" si="17"/>
        <v>0</v>
      </c>
      <c r="K38" s="120">
        <f t="shared" si="17"/>
        <v>0</v>
      </c>
      <c r="L38" s="120">
        <f t="shared" si="17"/>
        <v>0</v>
      </c>
      <c r="M38" s="120">
        <f t="shared" si="17"/>
        <v>0</v>
      </c>
      <c r="N38" s="102" t="s">
        <v>182</v>
      </c>
    </row>
    <row r="39" spans="1:14" ht="19.05" customHeight="1" x14ac:dyDescent="0.3">
      <c r="A39" s="118" t="s">
        <v>190</v>
      </c>
      <c r="B39" s="120">
        <f t="shared" si="17"/>
        <v>0</v>
      </c>
      <c r="C39" s="120">
        <f t="shared" si="17"/>
        <v>0</v>
      </c>
      <c r="D39" s="120">
        <f t="shared" si="17"/>
        <v>0</v>
      </c>
      <c r="E39" s="120">
        <f t="shared" si="17"/>
        <v>0</v>
      </c>
      <c r="F39" s="120">
        <f t="shared" si="17"/>
        <v>0</v>
      </c>
      <c r="G39" s="120">
        <f t="shared" si="17"/>
        <v>0</v>
      </c>
      <c r="H39" s="120">
        <f t="shared" si="17"/>
        <v>0</v>
      </c>
      <c r="I39" s="120">
        <f t="shared" si="17"/>
        <v>0</v>
      </c>
      <c r="J39" s="120">
        <f t="shared" si="17"/>
        <v>0</v>
      </c>
      <c r="K39" s="120">
        <f t="shared" si="17"/>
        <v>0</v>
      </c>
      <c r="L39" s="120">
        <f t="shared" si="17"/>
        <v>0</v>
      </c>
      <c r="M39" s="120">
        <f t="shared" si="17"/>
        <v>0</v>
      </c>
      <c r="N39" s="102" t="s">
        <v>183</v>
      </c>
    </row>
    <row r="40" spans="1:14" ht="19.05" customHeight="1" x14ac:dyDescent="0.3">
      <c r="B40" s="120">
        <f t="shared" si="17"/>
        <v>0</v>
      </c>
      <c r="C40" s="120">
        <f t="shared" si="17"/>
        <v>0</v>
      </c>
      <c r="D40" s="120">
        <f t="shared" si="17"/>
        <v>0</v>
      </c>
      <c r="E40" s="120">
        <f t="shared" si="17"/>
        <v>0</v>
      </c>
      <c r="F40" s="120">
        <f t="shared" si="17"/>
        <v>0</v>
      </c>
      <c r="G40" s="120">
        <f t="shared" si="17"/>
        <v>0</v>
      </c>
      <c r="H40" s="120">
        <f t="shared" si="17"/>
        <v>0</v>
      </c>
      <c r="I40" s="120">
        <f t="shared" si="17"/>
        <v>0</v>
      </c>
      <c r="J40" s="120">
        <f t="shared" si="17"/>
        <v>0</v>
      </c>
      <c r="K40" s="120">
        <f t="shared" si="17"/>
        <v>0</v>
      </c>
      <c r="L40" s="120">
        <f t="shared" si="17"/>
        <v>0</v>
      </c>
      <c r="M40" s="120">
        <f t="shared" si="17"/>
        <v>0</v>
      </c>
      <c r="N40" s="102" t="s">
        <v>184</v>
      </c>
    </row>
    <row r="41" spans="1:14" ht="19.05" customHeight="1" x14ac:dyDescent="0.3">
      <c r="B41" s="120">
        <f t="shared" si="17"/>
        <v>0</v>
      </c>
      <c r="C41" s="120">
        <f t="shared" si="17"/>
        <v>0</v>
      </c>
      <c r="D41" s="120">
        <f t="shared" si="17"/>
        <v>0</v>
      </c>
      <c r="E41" s="120">
        <f t="shared" si="17"/>
        <v>0</v>
      </c>
      <c r="F41" s="120">
        <f t="shared" si="17"/>
        <v>0</v>
      </c>
      <c r="G41" s="120">
        <f t="shared" si="17"/>
        <v>0</v>
      </c>
      <c r="H41" s="120">
        <f t="shared" si="17"/>
        <v>0</v>
      </c>
      <c r="I41" s="120">
        <f t="shared" si="17"/>
        <v>0</v>
      </c>
      <c r="J41" s="120">
        <f t="shared" si="17"/>
        <v>0</v>
      </c>
      <c r="K41" s="120">
        <f t="shared" si="17"/>
        <v>0</v>
      </c>
      <c r="L41" s="120">
        <f t="shared" si="17"/>
        <v>0</v>
      </c>
      <c r="M41" s="120">
        <f t="shared" si="17"/>
        <v>0</v>
      </c>
      <c r="N41" s="102" t="s">
        <v>185</v>
      </c>
    </row>
    <row r="42" spans="1:14" ht="19.05" customHeight="1" x14ac:dyDescent="0.3">
      <c r="B42" s="120">
        <f t="shared" si="17"/>
        <v>0</v>
      </c>
      <c r="C42" s="120">
        <f t="shared" si="17"/>
        <v>0</v>
      </c>
      <c r="D42" s="120">
        <f t="shared" si="17"/>
        <v>0</v>
      </c>
      <c r="E42" s="120">
        <f t="shared" si="17"/>
        <v>0</v>
      </c>
      <c r="F42" s="120">
        <f t="shared" si="17"/>
        <v>0</v>
      </c>
      <c r="G42" s="120">
        <f t="shared" si="17"/>
        <v>0</v>
      </c>
      <c r="H42" s="120">
        <f t="shared" si="17"/>
        <v>0</v>
      </c>
      <c r="I42" s="120">
        <f t="shared" si="17"/>
        <v>0</v>
      </c>
      <c r="J42" s="120">
        <f t="shared" si="17"/>
        <v>0</v>
      </c>
      <c r="K42" s="120">
        <f t="shared" si="17"/>
        <v>0</v>
      </c>
      <c r="L42" s="120">
        <f t="shared" si="17"/>
        <v>0</v>
      </c>
      <c r="M42" s="120">
        <f t="shared" si="17"/>
        <v>0</v>
      </c>
      <c r="N42" s="102" t="s">
        <v>186</v>
      </c>
    </row>
    <row r="43" spans="1:14" ht="19.05" customHeight="1" x14ac:dyDescent="0.3">
      <c r="B43" s="120">
        <f t="shared" si="17"/>
        <v>0</v>
      </c>
      <c r="C43" s="120">
        <f t="shared" si="17"/>
        <v>0</v>
      </c>
      <c r="D43" s="120">
        <f t="shared" si="17"/>
        <v>0</v>
      </c>
      <c r="E43" s="120">
        <f t="shared" si="17"/>
        <v>0</v>
      </c>
      <c r="F43" s="120">
        <f t="shared" si="17"/>
        <v>0</v>
      </c>
      <c r="G43" s="120">
        <f t="shared" si="17"/>
        <v>0</v>
      </c>
      <c r="H43" s="120">
        <f t="shared" si="17"/>
        <v>0</v>
      </c>
      <c r="I43" s="120">
        <f t="shared" si="17"/>
        <v>0</v>
      </c>
      <c r="J43" s="120">
        <f t="shared" si="17"/>
        <v>0</v>
      </c>
      <c r="K43" s="120">
        <f t="shared" si="17"/>
        <v>0</v>
      </c>
      <c r="L43" s="120">
        <f t="shared" si="17"/>
        <v>0</v>
      </c>
      <c r="M43" s="120">
        <f t="shared" si="17"/>
        <v>0</v>
      </c>
      <c r="N43" s="102" t="s">
        <v>187</v>
      </c>
    </row>
    <row r="44" spans="1:14" ht="19.05" customHeight="1" x14ac:dyDescent="0.3">
      <c r="B44" s="120">
        <f t="shared" si="17"/>
        <v>0</v>
      </c>
      <c r="C44" s="120">
        <f t="shared" si="17"/>
        <v>0</v>
      </c>
      <c r="D44" s="120">
        <f t="shared" si="17"/>
        <v>0</v>
      </c>
      <c r="E44" s="120">
        <f t="shared" si="17"/>
        <v>0</v>
      </c>
      <c r="F44" s="120">
        <f t="shared" si="17"/>
        <v>0</v>
      </c>
      <c r="G44" s="120">
        <f t="shared" si="17"/>
        <v>0</v>
      </c>
      <c r="H44" s="120">
        <f t="shared" si="17"/>
        <v>0</v>
      </c>
      <c r="I44" s="120">
        <f t="shared" si="17"/>
        <v>0</v>
      </c>
      <c r="J44" s="120">
        <f t="shared" si="17"/>
        <v>0</v>
      </c>
      <c r="K44" s="120">
        <f t="shared" si="17"/>
        <v>0</v>
      </c>
      <c r="L44" s="120">
        <f t="shared" si="17"/>
        <v>0</v>
      </c>
      <c r="M44" s="120">
        <f t="shared" si="17"/>
        <v>0</v>
      </c>
      <c r="N44" s="102" t="s">
        <v>188</v>
      </c>
    </row>
    <row r="45" spans="1:14" ht="19.05" customHeight="1" x14ac:dyDescent="0.3">
      <c r="B45" s="120">
        <f t="shared" si="17"/>
        <v>0</v>
      </c>
      <c r="C45" s="120">
        <f t="shared" si="17"/>
        <v>0</v>
      </c>
      <c r="D45" s="120">
        <f t="shared" si="17"/>
        <v>0</v>
      </c>
      <c r="E45" s="120">
        <f t="shared" si="17"/>
        <v>0</v>
      </c>
      <c r="F45" s="120">
        <f t="shared" si="17"/>
        <v>0</v>
      </c>
      <c r="G45" s="120">
        <f t="shared" si="17"/>
        <v>0</v>
      </c>
      <c r="H45" s="120">
        <f t="shared" si="17"/>
        <v>0</v>
      </c>
      <c r="I45" s="120">
        <f t="shared" si="17"/>
        <v>0</v>
      </c>
      <c r="J45" s="120">
        <f t="shared" si="17"/>
        <v>0</v>
      </c>
      <c r="K45" s="120">
        <f t="shared" si="17"/>
        <v>0</v>
      </c>
      <c r="L45" s="120">
        <f t="shared" si="17"/>
        <v>0</v>
      </c>
      <c r="M45" s="120">
        <f t="shared" si="17"/>
        <v>0</v>
      </c>
      <c r="N45" s="102" t="s">
        <v>189</v>
      </c>
    </row>
    <row r="48" spans="1:14" ht="19.05" customHeight="1" x14ac:dyDescent="0.3">
      <c r="A48" s="118" t="s">
        <v>191</v>
      </c>
      <c r="B48" s="110" t="str">
        <f>IF(D18="","-",D18)</f>
        <v>U2X</v>
      </c>
      <c r="C48" s="110" t="str">
        <f>IF(E18="","-",E18)</f>
        <v>U2Y</v>
      </c>
      <c r="D48" s="110" t="str">
        <f>IF(G18="","-",G18)</f>
        <v>U3X</v>
      </c>
      <c r="E48" s="110" t="str">
        <f>IF(H18="","-",H18)</f>
        <v>U3Y</v>
      </c>
    </row>
    <row r="49" spans="1:14" ht="18" customHeight="1" x14ac:dyDescent="0.3">
      <c r="B49" s="121">
        <f>IF(N7=0, 0, N7*J7*J7)</f>
        <v>0</v>
      </c>
      <c r="C49" s="121">
        <f>IF(N7=0, 0, N7*J7*K7)</f>
        <v>0</v>
      </c>
      <c r="D49" s="121">
        <f>IF(N7=0, 0, -N7*J7*J7)</f>
        <v>0</v>
      </c>
      <c r="E49" s="121">
        <f>IF(N7=0, 0, -N7*J7*K7)</f>
        <v>0</v>
      </c>
      <c r="F49" s="110" t="str">
        <f>IF(D18="","-",D18)</f>
        <v>U2X</v>
      </c>
    </row>
    <row r="50" spans="1:14" ht="18" customHeight="1" x14ac:dyDescent="0.3">
      <c r="B50" s="121">
        <f>IF(N7=0, 0, N7*J7*K7)</f>
        <v>0</v>
      </c>
      <c r="C50" s="121">
        <f>IF(N7=0, 0, N7*K7*K7)</f>
        <v>84000</v>
      </c>
      <c r="D50" s="121">
        <f>IF(N7=0, 0, -N7*J7*K7)</f>
        <v>0</v>
      </c>
      <c r="E50" s="121">
        <f>IF(N7=0, 0, -N7*K7*K7)</f>
        <v>-84000</v>
      </c>
      <c r="F50" s="110" t="str">
        <f>IF(E18="","-",E18)</f>
        <v>U2Y</v>
      </c>
    </row>
    <row r="51" spans="1:14" ht="18" customHeight="1" x14ac:dyDescent="0.3">
      <c r="B51" s="121">
        <f>IF(N7=0, 0, -N7*J7*J7)</f>
        <v>0</v>
      </c>
      <c r="C51" s="121">
        <f>IF(N7=0, 0, -N7*J7*K7)</f>
        <v>0</v>
      </c>
      <c r="D51" s="121">
        <f>IF(N7=0, 0, N7*J7*J7)</f>
        <v>0</v>
      </c>
      <c r="E51" s="121">
        <f>IF(N7=0, 0, N7*J7*K7)</f>
        <v>0</v>
      </c>
      <c r="F51" s="110" t="str">
        <f>IF(G18="","-",G18)</f>
        <v>U3X</v>
      </c>
    </row>
    <row r="52" spans="1:14" ht="18" customHeight="1" x14ac:dyDescent="0.3">
      <c r="B52" s="121">
        <f>IF(N7=0, 0, -N7*J7*K7)</f>
        <v>0</v>
      </c>
      <c r="C52" s="121">
        <f>IF(N7=0, 0, -N7*K7*K7)</f>
        <v>-84000</v>
      </c>
      <c r="D52" s="121">
        <f>IF(N7=0, 0, N7*J7*K7)</f>
        <v>0</v>
      </c>
      <c r="E52" s="121">
        <f>IF(N7=0, 0, N7*K7*K7)</f>
        <v>84000</v>
      </c>
      <c r="F52" s="110" t="str">
        <f>IF(H18="","-",H18)</f>
        <v>U3Y</v>
      </c>
    </row>
    <row r="54" spans="1:14" ht="19.05" customHeight="1" x14ac:dyDescent="0.3">
      <c r="B54" s="100" t="s">
        <v>178</v>
      </c>
      <c r="C54" s="100" t="s">
        <v>179</v>
      </c>
      <c r="D54" s="100" t="s">
        <v>180</v>
      </c>
      <c r="E54" s="100" t="s">
        <v>181</v>
      </c>
      <c r="F54" s="100" t="s">
        <v>182</v>
      </c>
      <c r="G54" s="100" t="s">
        <v>183</v>
      </c>
      <c r="H54" s="100" t="s">
        <v>184</v>
      </c>
      <c r="I54" s="100" t="s">
        <v>185</v>
      </c>
      <c r="J54" s="100" t="s">
        <v>186</v>
      </c>
      <c r="K54" s="100" t="s">
        <v>187</v>
      </c>
      <c r="L54" s="100" t="s">
        <v>188</v>
      </c>
      <c r="M54" s="100" t="s">
        <v>189</v>
      </c>
    </row>
    <row r="55" spans="1:14" ht="19.05" customHeight="1" x14ac:dyDescent="0.3">
      <c r="B55" s="120">
        <f t="shared" ref="B55:M66" si="18">IFERROR(INDEX($B$49:$E$52, MATCH($N55, $B$48:$E$48, 0), MATCH(B$54, $B$48:$E$48, 0)), 0)</f>
        <v>0</v>
      </c>
      <c r="C55" s="120">
        <f t="shared" si="18"/>
        <v>0</v>
      </c>
      <c r="D55" s="120">
        <f t="shared" si="18"/>
        <v>0</v>
      </c>
      <c r="E55" s="120">
        <f t="shared" si="18"/>
        <v>0</v>
      </c>
      <c r="F55" s="120">
        <f t="shared" si="18"/>
        <v>0</v>
      </c>
      <c r="G55" s="120">
        <f t="shared" si="18"/>
        <v>0</v>
      </c>
      <c r="H55" s="120">
        <f t="shared" si="18"/>
        <v>0</v>
      </c>
      <c r="I55" s="120">
        <f t="shared" si="18"/>
        <v>0</v>
      </c>
      <c r="J55" s="120">
        <f t="shared" si="18"/>
        <v>0</v>
      </c>
      <c r="K55" s="120">
        <f t="shared" si="18"/>
        <v>0</v>
      </c>
      <c r="L55" s="120">
        <f t="shared" si="18"/>
        <v>0</v>
      </c>
      <c r="M55" s="120">
        <f t="shared" si="18"/>
        <v>0</v>
      </c>
      <c r="N55" s="110" t="s">
        <v>178</v>
      </c>
    </row>
    <row r="56" spans="1:14" ht="19.05" customHeight="1" x14ac:dyDescent="0.3">
      <c r="B56" s="120">
        <f t="shared" si="18"/>
        <v>0</v>
      </c>
      <c r="C56" s="120">
        <f t="shared" si="18"/>
        <v>0</v>
      </c>
      <c r="D56" s="120">
        <f t="shared" si="18"/>
        <v>0</v>
      </c>
      <c r="E56" s="120">
        <f t="shared" si="18"/>
        <v>0</v>
      </c>
      <c r="F56" s="120">
        <f t="shared" si="18"/>
        <v>0</v>
      </c>
      <c r="G56" s="120">
        <f t="shared" si="18"/>
        <v>0</v>
      </c>
      <c r="H56" s="120">
        <f t="shared" si="18"/>
        <v>0</v>
      </c>
      <c r="I56" s="120">
        <f t="shared" si="18"/>
        <v>0</v>
      </c>
      <c r="J56" s="120">
        <f t="shared" si="18"/>
        <v>0</v>
      </c>
      <c r="K56" s="120">
        <f t="shared" si="18"/>
        <v>0</v>
      </c>
      <c r="L56" s="120">
        <f t="shared" si="18"/>
        <v>0</v>
      </c>
      <c r="M56" s="120">
        <f t="shared" si="18"/>
        <v>0</v>
      </c>
      <c r="N56" s="110" t="s">
        <v>179</v>
      </c>
    </row>
    <row r="57" spans="1:14" ht="19.05" customHeight="1" x14ac:dyDescent="0.3">
      <c r="B57" s="120">
        <f t="shared" si="18"/>
        <v>0</v>
      </c>
      <c r="C57" s="120">
        <f t="shared" si="18"/>
        <v>0</v>
      </c>
      <c r="D57" s="120">
        <f t="shared" si="18"/>
        <v>0</v>
      </c>
      <c r="E57" s="120">
        <f t="shared" si="18"/>
        <v>0</v>
      </c>
      <c r="F57" s="120">
        <f t="shared" si="18"/>
        <v>0</v>
      </c>
      <c r="G57" s="120">
        <f t="shared" si="18"/>
        <v>0</v>
      </c>
      <c r="H57" s="120">
        <f t="shared" si="18"/>
        <v>0</v>
      </c>
      <c r="I57" s="120">
        <f t="shared" si="18"/>
        <v>0</v>
      </c>
      <c r="J57" s="120">
        <f t="shared" si="18"/>
        <v>0</v>
      </c>
      <c r="K57" s="120">
        <f t="shared" si="18"/>
        <v>0</v>
      </c>
      <c r="L57" s="120">
        <f t="shared" si="18"/>
        <v>0</v>
      </c>
      <c r="M57" s="120">
        <f t="shared" si="18"/>
        <v>0</v>
      </c>
      <c r="N57" s="110" t="s">
        <v>180</v>
      </c>
    </row>
    <row r="58" spans="1:14" ht="19.05" customHeight="1" x14ac:dyDescent="0.3">
      <c r="B58" s="120">
        <f t="shared" si="18"/>
        <v>0</v>
      </c>
      <c r="C58" s="120">
        <f t="shared" si="18"/>
        <v>0</v>
      </c>
      <c r="D58" s="120">
        <f t="shared" si="18"/>
        <v>0</v>
      </c>
      <c r="E58" s="120">
        <f t="shared" si="18"/>
        <v>84000</v>
      </c>
      <c r="F58" s="120">
        <f t="shared" si="18"/>
        <v>0</v>
      </c>
      <c r="G58" s="120">
        <f t="shared" si="18"/>
        <v>-84000</v>
      </c>
      <c r="H58" s="120">
        <f t="shared" si="18"/>
        <v>0</v>
      </c>
      <c r="I58" s="120">
        <f t="shared" si="18"/>
        <v>0</v>
      </c>
      <c r="J58" s="120">
        <f t="shared" si="18"/>
        <v>0</v>
      </c>
      <c r="K58" s="120">
        <f t="shared" si="18"/>
        <v>0</v>
      </c>
      <c r="L58" s="120">
        <f t="shared" si="18"/>
        <v>0</v>
      </c>
      <c r="M58" s="120">
        <f t="shared" si="18"/>
        <v>0</v>
      </c>
      <c r="N58" s="110" t="s">
        <v>181</v>
      </c>
    </row>
    <row r="59" spans="1:14" ht="19.05" customHeight="1" x14ac:dyDescent="0.3">
      <c r="B59" s="120">
        <f t="shared" si="18"/>
        <v>0</v>
      </c>
      <c r="C59" s="120">
        <f t="shared" si="18"/>
        <v>0</v>
      </c>
      <c r="D59" s="120">
        <f t="shared" si="18"/>
        <v>0</v>
      </c>
      <c r="E59" s="120">
        <f t="shared" si="18"/>
        <v>0</v>
      </c>
      <c r="F59" s="120">
        <f t="shared" si="18"/>
        <v>0</v>
      </c>
      <c r="G59" s="120">
        <f t="shared" si="18"/>
        <v>0</v>
      </c>
      <c r="H59" s="120">
        <f t="shared" si="18"/>
        <v>0</v>
      </c>
      <c r="I59" s="120">
        <f t="shared" si="18"/>
        <v>0</v>
      </c>
      <c r="J59" s="120">
        <f t="shared" si="18"/>
        <v>0</v>
      </c>
      <c r="K59" s="120">
        <f t="shared" si="18"/>
        <v>0</v>
      </c>
      <c r="L59" s="120">
        <f t="shared" si="18"/>
        <v>0</v>
      </c>
      <c r="M59" s="120">
        <f t="shared" si="18"/>
        <v>0</v>
      </c>
      <c r="N59" s="110" t="s">
        <v>182</v>
      </c>
    </row>
    <row r="60" spans="1:14" ht="19.05" customHeight="1" x14ac:dyDescent="0.3">
      <c r="A60" s="118" t="s">
        <v>192</v>
      </c>
      <c r="B60" s="120">
        <f t="shared" si="18"/>
        <v>0</v>
      </c>
      <c r="C60" s="120">
        <f t="shared" si="18"/>
        <v>0</v>
      </c>
      <c r="D60" s="120">
        <f t="shared" si="18"/>
        <v>0</v>
      </c>
      <c r="E60" s="120">
        <f t="shared" si="18"/>
        <v>-84000</v>
      </c>
      <c r="F60" s="120">
        <f t="shared" si="18"/>
        <v>0</v>
      </c>
      <c r="G60" s="120">
        <f t="shared" si="18"/>
        <v>84000</v>
      </c>
      <c r="H60" s="120">
        <f t="shared" si="18"/>
        <v>0</v>
      </c>
      <c r="I60" s="120">
        <f t="shared" si="18"/>
        <v>0</v>
      </c>
      <c r="J60" s="120">
        <f t="shared" si="18"/>
        <v>0</v>
      </c>
      <c r="K60" s="120">
        <f t="shared" si="18"/>
        <v>0</v>
      </c>
      <c r="L60" s="120">
        <f t="shared" si="18"/>
        <v>0</v>
      </c>
      <c r="M60" s="120">
        <f t="shared" si="18"/>
        <v>0</v>
      </c>
      <c r="N60" s="110" t="s">
        <v>183</v>
      </c>
    </row>
    <row r="61" spans="1:14" ht="19.05" customHeight="1" x14ac:dyDescent="0.3">
      <c r="B61" s="120">
        <f t="shared" si="18"/>
        <v>0</v>
      </c>
      <c r="C61" s="120">
        <f t="shared" si="18"/>
        <v>0</v>
      </c>
      <c r="D61" s="120">
        <f t="shared" si="18"/>
        <v>0</v>
      </c>
      <c r="E61" s="120">
        <f t="shared" si="18"/>
        <v>0</v>
      </c>
      <c r="F61" s="120">
        <f t="shared" si="18"/>
        <v>0</v>
      </c>
      <c r="G61" s="120">
        <f t="shared" si="18"/>
        <v>0</v>
      </c>
      <c r="H61" s="120">
        <f t="shared" si="18"/>
        <v>0</v>
      </c>
      <c r="I61" s="120">
        <f t="shared" si="18"/>
        <v>0</v>
      </c>
      <c r="J61" s="120">
        <f t="shared" si="18"/>
        <v>0</v>
      </c>
      <c r="K61" s="120">
        <f t="shared" si="18"/>
        <v>0</v>
      </c>
      <c r="L61" s="120">
        <f t="shared" si="18"/>
        <v>0</v>
      </c>
      <c r="M61" s="120">
        <f t="shared" si="18"/>
        <v>0</v>
      </c>
      <c r="N61" s="110" t="s">
        <v>184</v>
      </c>
    </row>
    <row r="62" spans="1:14" ht="19.05" customHeight="1" x14ac:dyDescent="0.3">
      <c r="B62" s="120">
        <f t="shared" si="18"/>
        <v>0</v>
      </c>
      <c r="C62" s="120">
        <f t="shared" si="18"/>
        <v>0</v>
      </c>
      <c r="D62" s="120">
        <f t="shared" si="18"/>
        <v>0</v>
      </c>
      <c r="E62" s="120">
        <f t="shared" si="18"/>
        <v>0</v>
      </c>
      <c r="F62" s="120">
        <f t="shared" si="18"/>
        <v>0</v>
      </c>
      <c r="G62" s="120">
        <f t="shared" si="18"/>
        <v>0</v>
      </c>
      <c r="H62" s="120">
        <f t="shared" si="18"/>
        <v>0</v>
      </c>
      <c r="I62" s="120">
        <f t="shared" si="18"/>
        <v>0</v>
      </c>
      <c r="J62" s="120">
        <f t="shared" si="18"/>
        <v>0</v>
      </c>
      <c r="K62" s="120">
        <f t="shared" si="18"/>
        <v>0</v>
      </c>
      <c r="L62" s="120">
        <f t="shared" si="18"/>
        <v>0</v>
      </c>
      <c r="M62" s="120">
        <f t="shared" si="18"/>
        <v>0</v>
      </c>
      <c r="N62" s="110" t="s">
        <v>185</v>
      </c>
    </row>
    <row r="63" spans="1:14" ht="19.05" customHeight="1" x14ac:dyDescent="0.3">
      <c r="B63" s="120">
        <f t="shared" si="18"/>
        <v>0</v>
      </c>
      <c r="C63" s="120">
        <f t="shared" si="18"/>
        <v>0</v>
      </c>
      <c r="D63" s="120">
        <f t="shared" si="18"/>
        <v>0</v>
      </c>
      <c r="E63" s="120">
        <f t="shared" si="18"/>
        <v>0</v>
      </c>
      <c r="F63" s="120">
        <f t="shared" si="18"/>
        <v>0</v>
      </c>
      <c r="G63" s="120">
        <f t="shared" si="18"/>
        <v>0</v>
      </c>
      <c r="H63" s="120">
        <f t="shared" si="18"/>
        <v>0</v>
      </c>
      <c r="I63" s="120">
        <f t="shared" si="18"/>
        <v>0</v>
      </c>
      <c r="J63" s="120">
        <f t="shared" si="18"/>
        <v>0</v>
      </c>
      <c r="K63" s="120">
        <f t="shared" si="18"/>
        <v>0</v>
      </c>
      <c r="L63" s="120">
        <f t="shared" si="18"/>
        <v>0</v>
      </c>
      <c r="M63" s="120">
        <f t="shared" si="18"/>
        <v>0</v>
      </c>
      <c r="N63" s="110" t="s">
        <v>186</v>
      </c>
    </row>
    <row r="64" spans="1:14" ht="19.05" customHeight="1" x14ac:dyDescent="0.3">
      <c r="B64" s="120">
        <f t="shared" si="18"/>
        <v>0</v>
      </c>
      <c r="C64" s="120">
        <f t="shared" si="18"/>
        <v>0</v>
      </c>
      <c r="D64" s="120">
        <f t="shared" si="18"/>
        <v>0</v>
      </c>
      <c r="E64" s="120">
        <f t="shared" si="18"/>
        <v>0</v>
      </c>
      <c r="F64" s="120">
        <f t="shared" si="18"/>
        <v>0</v>
      </c>
      <c r="G64" s="120">
        <f t="shared" si="18"/>
        <v>0</v>
      </c>
      <c r="H64" s="120">
        <f t="shared" si="18"/>
        <v>0</v>
      </c>
      <c r="I64" s="120">
        <f t="shared" si="18"/>
        <v>0</v>
      </c>
      <c r="J64" s="120">
        <f t="shared" si="18"/>
        <v>0</v>
      </c>
      <c r="K64" s="120">
        <f t="shared" si="18"/>
        <v>0</v>
      </c>
      <c r="L64" s="120">
        <f t="shared" si="18"/>
        <v>0</v>
      </c>
      <c r="M64" s="120">
        <f t="shared" si="18"/>
        <v>0</v>
      </c>
      <c r="N64" s="110" t="s">
        <v>187</v>
      </c>
    </row>
    <row r="65" spans="1:14" ht="19.05" customHeight="1" x14ac:dyDescent="0.3">
      <c r="B65" s="120">
        <f t="shared" si="18"/>
        <v>0</v>
      </c>
      <c r="C65" s="120">
        <f t="shared" si="18"/>
        <v>0</v>
      </c>
      <c r="D65" s="120">
        <f t="shared" si="18"/>
        <v>0</v>
      </c>
      <c r="E65" s="120">
        <f t="shared" si="18"/>
        <v>0</v>
      </c>
      <c r="F65" s="120">
        <f t="shared" si="18"/>
        <v>0</v>
      </c>
      <c r="G65" s="120">
        <f t="shared" si="18"/>
        <v>0</v>
      </c>
      <c r="H65" s="120">
        <f t="shared" si="18"/>
        <v>0</v>
      </c>
      <c r="I65" s="120">
        <f t="shared" si="18"/>
        <v>0</v>
      </c>
      <c r="J65" s="120">
        <f t="shared" si="18"/>
        <v>0</v>
      </c>
      <c r="K65" s="120">
        <f t="shared" si="18"/>
        <v>0</v>
      </c>
      <c r="L65" s="120">
        <f t="shared" si="18"/>
        <v>0</v>
      </c>
      <c r="M65" s="120">
        <f t="shared" si="18"/>
        <v>0</v>
      </c>
      <c r="N65" s="110" t="s">
        <v>188</v>
      </c>
    </row>
    <row r="66" spans="1:14" ht="19.05" customHeight="1" x14ac:dyDescent="0.3">
      <c r="B66" s="120">
        <f t="shared" si="18"/>
        <v>0</v>
      </c>
      <c r="C66" s="120">
        <f t="shared" si="18"/>
        <v>0</v>
      </c>
      <c r="D66" s="120">
        <f t="shared" si="18"/>
        <v>0</v>
      </c>
      <c r="E66" s="120">
        <f t="shared" si="18"/>
        <v>0</v>
      </c>
      <c r="F66" s="120">
        <f t="shared" si="18"/>
        <v>0</v>
      </c>
      <c r="G66" s="120">
        <f t="shared" si="18"/>
        <v>0</v>
      </c>
      <c r="H66" s="120">
        <f t="shared" si="18"/>
        <v>0</v>
      </c>
      <c r="I66" s="120">
        <f t="shared" si="18"/>
        <v>0</v>
      </c>
      <c r="J66" s="120">
        <f t="shared" si="18"/>
        <v>0</v>
      </c>
      <c r="K66" s="120">
        <f t="shared" si="18"/>
        <v>0</v>
      </c>
      <c r="L66" s="120">
        <f t="shared" si="18"/>
        <v>0</v>
      </c>
      <c r="M66" s="120">
        <f t="shared" si="18"/>
        <v>0</v>
      </c>
      <c r="N66" s="110" t="s">
        <v>189</v>
      </c>
    </row>
    <row r="69" spans="1:14" ht="19.05" customHeight="1" x14ac:dyDescent="0.3">
      <c r="A69" s="118" t="s">
        <v>193</v>
      </c>
      <c r="B69" s="111" t="str">
        <f>IF(D19="","-",D19)</f>
        <v>U3X</v>
      </c>
      <c r="C69" s="111" t="str">
        <f>IF(E19="","-",E19)</f>
        <v>U3Y</v>
      </c>
      <c r="D69" s="111" t="str">
        <f>IF(G19="","-",G19)</f>
        <v>U4X</v>
      </c>
      <c r="E69" s="111" t="str">
        <f>IF(H19="","-",H19)</f>
        <v>U4Y</v>
      </c>
    </row>
    <row r="70" spans="1:14" ht="18" customHeight="1" x14ac:dyDescent="0.3">
      <c r="B70" s="122">
        <f>IF(N8=0, 0, N8*J8*J8)</f>
        <v>63000</v>
      </c>
      <c r="C70" s="122">
        <f>IF(N8=0, 0, N8*J8*K8)</f>
        <v>0</v>
      </c>
      <c r="D70" s="122">
        <f>IF(N8=0, 0, -N8*J8*J8)</f>
        <v>-63000</v>
      </c>
      <c r="E70" s="122">
        <f>IF(N8=0, 0, -N8*J8*K8)</f>
        <v>0</v>
      </c>
      <c r="F70" s="111" t="str">
        <f>IF(D19="","-",D19)</f>
        <v>U3X</v>
      </c>
    </row>
    <row r="71" spans="1:14" ht="18" customHeight="1" x14ac:dyDescent="0.3">
      <c r="B71" s="122">
        <f>IF(N8=0, 0, N8*J8*K8)</f>
        <v>0</v>
      </c>
      <c r="C71" s="122">
        <f>IF(N8=0, 0, N8*K8*K8)</f>
        <v>0</v>
      </c>
      <c r="D71" s="122">
        <f>IF(N8=0, 0, -N8*J8*K8)</f>
        <v>0</v>
      </c>
      <c r="E71" s="122">
        <f>IF(N8=0, 0, -N8*K8*K8)</f>
        <v>0</v>
      </c>
      <c r="F71" s="111" t="str">
        <f>IF(E19="","-",E19)</f>
        <v>U3Y</v>
      </c>
    </row>
    <row r="72" spans="1:14" ht="18" customHeight="1" x14ac:dyDescent="0.3">
      <c r="B72" s="122">
        <f>IF(N8=0, 0, -N8*J8*J8)</f>
        <v>-63000</v>
      </c>
      <c r="C72" s="122">
        <f>IF(N8=0, 0, -N8*J8*K8)</f>
        <v>0</v>
      </c>
      <c r="D72" s="122">
        <f>IF(N8=0, 0, N8*J8*J8)</f>
        <v>63000</v>
      </c>
      <c r="E72" s="122">
        <f>IF(N8=0, 0, N8*J8*K8)</f>
        <v>0</v>
      </c>
      <c r="F72" s="111" t="str">
        <f>IF(G19="","-",G19)</f>
        <v>U4X</v>
      </c>
    </row>
    <row r="73" spans="1:14" ht="18" customHeight="1" x14ac:dyDescent="0.3">
      <c r="B73" s="122">
        <f>IF(N8=0, 0, -N8*J8*K8)</f>
        <v>0</v>
      </c>
      <c r="C73" s="122">
        <f>IF(N8=0, 0, -N8*K8*K8)</f>
        <v>0</v>
      </c>
      <c r="D73" s="122">
        <f>IF(N8=0, 0, N8*J8*K8)</f>
        <v>0</v>
      </c>
      <c r="E73" s="122">
        <f>IF(N8=0, 0, N8*K8*K8)</f>
        <v>0</v>
      </c>
      <c r="F73" s="111" t="str">
        <f>IF(H19="","-",H19)</f>
        <v>U4Y</v>
      </c>
    </row>
    <row r="75" spans="1:14" ht="19.05" customHeight="1" x14ac:dyDescent="0.3">
      <c r="B75" s="100" t="s">
        <v>178</v>
      </c>
      <c r="C75" s="100" t="s">
        <v>179</v>
      </c>
      <c r="D75" s="100" t="s">
        <v>180</v>
      </c>
      <c r="E75" s="100" t="s">
        <v>181</v>
      </c>
      <c r="F75" s="100" t="s">
        <v>182</v>
      </c>
      <c r="G75" s="100" t="s">
        <v>183</v>
      </c>
      <c r="H75" s="100" t="s">
        <v>184</v>
      </c>
      <c r="I75" s="100" t="s">
        <v>185</v>
      </c>
      <c r="J75" s="100" t="s">
        <v>186</v>
      </c>
      <c r="K75" s="100" t="s">
        <v>187</v>
      </c>
      <c r="L75" s="100" t="s">
        <v>188</v>
      </c>
      <c r="M75" s="100" t="s">
        <v>189</v>
      </c>
    </row>
    <row r="76" spans="1:14" ht="19.05" customHeight="1" x14ac:dyDescent="0.3">
      <c r="B76" s="120">
        <f t="shared" ref="B76:M87" si="19">IFERROR(INDEX($B$70:$E$73, MATCH($N76, $B$69:$E$69, 0), MATCH(B$75, $B$69:$E$69, 0)), 0)</f>
        <v>0</v>
      </c>
      <c r="C76" s="120">
        <f t="shared" si="19"/>
        <v>0</v>
      </c>
      <c r="D76" s="120">
        <f t="shared" si="19"/>
        <v>0</v>
      </c>
      <c r="E76" s="120">
        <f t="shared" si="19"/>
        <v>0</v>
      </c>
      <c r="F76" s="120">
        <f t="shared" si="19"/>
        <v>0</v>
      </c>
      <c r="G76" s="120">
        <f t="shared" si="19"/>
        <v>0</v>
      </c>
      <c r="H76" s="120">
        <f t="shared" si="19"/>
        <v>0</v>
      </c>
      <c r="I76" s="120">
        <f t="shared" si="19"/>
        <v>0</v>
      </c>
      <c r="J76" s="120">
        <f t="shared" si="19"/>
        <v>0</v>
      </c>
      <c r="K76" s="120">
        <f t="shared" si="19"/>
        <v>0</v>
      </c>
      <c r="L76" s="120">
        <f t="shared" si="19"/>
        <v>0</v>
      </c>
      <c r="M76" s="120">
        <f t="shared" si="19"/>
        <v>0</v>
      </c>
      <c r="N76" s="111" t="s">
        <v>178</v>
      </c>
    </row>
    <row r="77" spans="1:14" ht="19.05" customHeight="1" x14ac:dyDescent="0.3">
      <c r="B77" s="120">
        <f t="shared" si="19"/>
        <v>0</v>
      </c>
      <c r="C77" s="120">
        <f t="shared" si="19"/>
        <v>0</v>
      </c>
      <c r="D77" s="120">
        <f t="shared" si="19"/>
        <v>0</v>
      </c>
      <c r="E77" s="120">
        <f t="shared" si="19"/>
        <v>0</v>
      </c>
      <c r="F77" s="120">
        <f t="shared" si="19"/>
        <v>0</v>
      </c>
      <c r="G77" s="120">
        <f t="shared" si="19"/>
        <v>0</v>
      </c>
      <c r="H77" s="120">
        <f t="shared" si="19"/>
        <v>0</v>
      </c>
      <c r="I77" s="120">
        <f t="shared" si="19"/>
        <v>0</v>
      </c>
      <c r="J77" s="120">
        <f t="shared" si="19"/>
        <v>0</v>
      </c>
      <c r="K77" s="120">
        <f t="shared" si="19"/>
        <v>0</v>
      </c>
      <c r="L77" s="120">
        <f t="shared" si="19"/>
        <v>0</v>
      </c>
      <c r="M77" s="120">
        <f t="shared" si="19"/>
        <v>0</v>
      </c>
      <c r="N77" s="111" t="s">
        <v>179</v>
      </c>
    </row>
    <row r="78" spans="1:14" ht="19.05" customHeight="1" x14ac:dyDescent="0.3">
      <c r="B78" s="120">
        <f t="shared" si="19"/>
        <v>0</v>
      </c>
      <c r="C78" s="120">
        <f t="shared" si="19"/>
        <v>0</v>
      </c>
      <c r="D78" s="120">
        <f t="shared" si="19"/>
        <v>0</v>
      </c>
      <c r="E78" s="120">
        <f t="shared" si="19"/>
        <v>0</v>
      </c>
      <c r="F78" s="120">
        <f t="shared" si="19"/>
        <v>0</v>
      </c>
      <c r="G78" s="120">
        <f t="shared" si="19"/>
        <v>0</v>
      </c>
      <c r="H78" s="120">
        <f t="shared" si="19"/>
        <v>0</v>
      </c>
      <c r="I78" s="120">
        <f t="shared" si="19"/>
        <v>0</v>
      </c>
      <c r="J78" s="120">
        <f t="shared" si="19"/>
        <v>0</v>
      </c>
      <c r="K78" s="120">
        <f t="shared" si="19"/>
        <v>0</v>
      </c>
      <c r="L78" s="120">
        <f t="shared" si="19"/>
        <v>0</v>
      </c>
      <c r="M78" s="120">
        <f t="shared" si="19"/>
        <v>0</v>
      </c>
      <c r="N78" s="111" t="s">
        <v>180</v>
      </c>
    </row>
    <row r="79" spans="1:14" ht="19.05" customHeight="1" x14ac:dyDescent="0.3">
      <c r="B79" s="120">
        <f t="shared" si="19"/>
        <v>0</v>
      </c>
      <c r="C79" s="120">
        <f t="shared" si="19"/>
        <v>0</v>
      </c>
      <c r="D79" s="120">
        <f t="shared" si="19"/>
        <v>0</v>
      </c>
      <c r="E79" s="120">
        <f t="shared" si="19"/>
        <v>0</v>
      </c>
      <c r="F79" s="120">
        <f t="shared" si="19"/>
        <v>0</v>
      </c>
      <c r="G79" s="120">
        <f t="shared" si="19"/>
        <v>0</v>
      </c>
      <c r="H79" s="120">
        <f t="shared" si="19"/>
        <v>0</v>
      </c>
      <c r="I79" s="120">
        <f t="shared" si="19"/>
        <v>0</v>
      </c>
      <c r="J79" s="120">
        <f t="shared" si="19"/>
        <v>0</v>
      </c>
      <c r="K79" s="120">
        <f t="shared" si="19"/>
        <v>0</v>
      </c>
      <c r="L79" s="120">
        <f t="shared" si="19"/>
        <v>0</v>
      </c>
      <c r="M79" s="120">
        <f t="shared" si="19"/>
        <v>0</v>
      </c>
      <c r="N79" s="111" t="s">
        <v>181</v>
      </c>
    </row>
    <row r="80" spans="1:14" ht="19.05" customHeight="1" x14ac:dyDescent="0.3">
      <c r="B80" s="120">
        <f t="shared" si="19"/>
        <v>0</v>
      </c>
      <c r="C80" s="120">
        <f t="shared" si="19"/>
        <v>0</v>
      </c>
      <c r="D80" s="120">
        <f t="shared" si="19"/>
        <v>0</v>
      </c>
      <c r="E80" s="120">
        <f t="shared" si="19"/>
        <v>0</v>
      </c>
      <c r="F80" s="120">
        <f t="shared" si="19"/>
        <v>63000</v>
      </c>
      <c r="G80" s="120">
        <f t="shared" si="19"/>
        <v>0</v>
      </c>
      <c r="H80" s="120">
        <f t="shared" si="19"/>
        <v>-63000</v>
      </c>
      <c r="I80" s="120">
        <f t="shared" si="19"/>
        <v>0</v>
      </c>
      <c r="J80" s="120">
        <f t="shared" si="19"/>
        <v>0</v>
      </c>
      <c r="K80" s="120">
        <f t="shared" si="19"/>
        <v>0</v>
      </c>
      <c r="L80" s="120">
        <f t="shared" si="19"/>
        <v>0</v>
      </c>
      <c r="M80" s="120">
        <f t="shared" si="19"/>
        <v>0</v>
      </c>
      <c r="N80" s="111" t="s">
        <v>182</v>
      </c>
    </row>
    <row r="81" spans="1:14" ht="19.05" customHeight="1" x14ac:dyDescent="0.3">
      <c r="A81" s="118" t="s">
        <v>194</v>
      </c>
      <c r="B81" s="120">
        <f t="shared" si="19"/>
        <v>0</v>
      </c>
      <c r="C81" s="120">
        <f t="shared" si="19"/>
        <v>0</v>
      </c>
      <c r="D81" s="120">
        <f t="shared" si="19"/>
        <v>0</v>
      </c>
      <c r="E81" s="120">
        <f t="shared" si="19"/>
        <v>0</v>
      </c>
      <c r="F81" s="120">
        <f t="shared" si="19"/>
        <v>0</v>
      </c>
      <c r="G81" s="120">
        <f t="shared" si="19"/>
        <v>0</v>
      </c>
      <c r="H81" s="120">
        <f t="shared" si="19"/>
        <v>0</v>
      </c>
      <c r="I81" s="120">
        <f t="shared" si="19"/>
        <v>0</v>
      </c>
      <c r="J81" s="120">
        <f t="shared" si="19"/>
        <v>0</v>
      </c>
      <c r="K81" s="120">
        <f t="shared" si="19"/>
        <v>0</v>
      </c>
      <c r="L81" s="120">
        <f t="shared" si="19"/>
        <v>0</v>
      </c>
      <c r="M81" s="120">
        <f t="shared" si="19"/>
        <v>0</v>
      </c>
      <c r="N81" s="111" t="s">
        <v>183</v>
      </c>
    </row>
    <row r="82" spans="1:14" ht="19.05" customHeight="1" x14ac:dyDescent="0.3">
      <c r="B82" s="120">
        <f t="shared" si="19"/>
        <v>0</v>
      </c>
      <c r="C82" s="120">
        <f t="shared" si="19"/>
        <v>0</v>
      </c>
      <c r="D82" s="120">
        <f t="shared" si="19"/>
        <v>0</v>
      </c>
      <c r="E82" s="120">
        <f t="shared" si="19"/>
        <v>0</v>
      </c>
      <c r="F82" s="120">
        <f t="shared" si="19"/>
        <v>-63000</v>
      </c>
      <c r="G82" s="120">
        <f t="shared" si="19"/>
        <v>0</v>
      </c>
      <c r="H82" s="120">
        <f t="shared" si="19"/>
        <v>63000</v>
      </c>
      <c r="I82" s="120">
        <f t="shared" si="19"/>
        <v>0</v>
      </c>
      <c r="J82" s="120">
        <f t="shared" si="19"/>
        <v>0</v>
      </c>
      <c r="K82" s="120">
        <f t="shared" si="19"/>
        <v>0</v>
      </c>
      <c r="L82" s="120">
        <f t="shared" si="19"/>
        <v>0</v>
      </c>
      <c r="M82" s="120">
        <f t="shared" si="19"/>
        <v>0</v>
      </c>
      <c r="N82" s="111" t="s">
        <v>184</v>
      </c>
    </row>
    <row r="83" spans="1:14" ht="19.05" customHeight="1" x14ac:dyDescent="0.3">
      <c r="B83" s="120">
        <f t="shared" si="19"/>
        <v>0</v>
      </c>
      <c r="C83" s="120">
        <f t="shared" si="19"/>
        <v>0</v>
      </c>
      <c r="D83" s="120">
        <f t="shared" si="19"/>
        <v>0</v>
      </c>
      <c r="E83" s="120">
        <f t="shared" si="19"/>
        <v>0</v>
      </c>
      <c r="F83" s="120">
        <f t="shared" si="19"/>
        <v>0</v>
      </c>
      <c r="G83" s="120">
        <f t="shared" si="19"/>
        <v>0</v>
      </c>
      <c r="H83" s="120">
        <f t="shared" si="19"/>
        <v>0</v>
      </c>
      <c r="I83" s="120">
        <f t="shared" si="19"/>
        <v>0</v>
      </c>
      <c r="J83" s="120">
        <f t="shared" si="19"/>
        <v>0</v>
      </c>
      <c r="K83" s="120">
        <f t="shared" si="19"/>
        <v>0</v>
      </c>
      <c r="L83" s="120">
        <f t="shared" si="19"/>
        <v>0</v>
      </c>
      <c r="M83" s="120">
        <f t="shared" si="19"/>
        <v>0</v>
      </c>
      <c r="N83" s="111" t="s">
        <v>185</v>
      </c>
    </row>
    <row r="84" spans="1:14" ht="19.05" customHeight="1" x14ac:dyDescent="0.3">
      <c r="B84" s="120">
        <f t="shared" si="19"/>
        <v>0</v>
      </c>
      <c r="C84" s="120">
        <f t="shared" si="19"/>
        <v>0</v>
      </c>
      <c r="D84" s="120">
        <f t="shared" si="19"/>
        <v>0</v>
      </c>
      <c r="E84" s="120">
        <f t="shared" si="19"/>
        <v>0</v>
      </c>
      <c r="F84" s="120">
        <f t="shared" si="19"/>
        <v>0</v>
      </c>
      <c r="G84" s="120">
        <f t="shared" si="19"/>
        <v>0</v>
      </c>
      <c r="H84" s="120">
        <f t="shared" si="19"/>
        <v>0</v>
      </c>
      <c r="I84" s="120">
        <f t="shared" si="19"/>
        <v>0</v>
      </c>
      <c r="J84" s="120">
        <f t="shared" si="19"/>
        <v>0</v>
      </c>
      <c r="K84" s="120">
        <f t="shared" si="19"/>
        <v>0</v>
      </c>
      <c r="L84" s="120">
        <f t="shared" si="19"/>
        <v>0</v>
      </c>
      <c r="M84" s="120">
        <f t="shared" si="19"/>
        <v>0</v>
      </c>
      <c r="N84" s="111" t="s">
        <v>186</v>
      </c>
    </row>
    <row r="85" spans="1:14" ht="19.05" customHeight="1" x14ac:dyDescent="0.3">
      <c r="B85" s="120">
        <f t="shared" si="19"/>
        <v>0</v>
      </c>
      <c r="C85" s="120">
        <f t="shared" si="19"/>
        <v>0</v>
      </c>
      <c r="D85" s="120">
        <f t="shared" si="19"/>
        <v>0</v>
      </c>
      <c r="E85" s="120">
        <f t="shared" si="19"/>
        <v>0</v>
      </c>
      <c r="F85" s="120">
        <f t="shared" si="19"/>
        <v>0</v>
      </c>
      <c r="G85" s="120">
        <f t="shared" si="19"/>
        <v>0</v>
      </c>
      <c r="H85" s="120">
        <f t="shared" si="19"/>
        <v>0</v>
      </c>
      <c r="I85" s="120">
        <f t="shared" si="19"/>
        <v>0</v>
      </c>
      <c r="J85" s="120">
        <f t="shared" si="19"/>
        <v>0</v>
      </c>
      <c r="K85" s="120">
        <f t="shared" si="19"/>
        <v>0</v>
      </c>
      <c r="L85" s="120">
        <f t="shared" si="19"/>
        <v>0</v>
      </c>
      <c r="M85" s="120">
        <f t="shared" si="19"/>
        <v>0</v>
      </c>
      <c r="N85" s="111" t="s">
        <v>187</v>
      </c>
    </row>
    <row r="86" spans="1:14" ht="19.05" customHeight="1" x14ac:dyDescent="0.3">
      <c r="B86" s="120">
        <f t="shared" si="19"/>
        <v>0</v>
      </c>
      <c r="C86" s="120">
        <f t="shared" si="19"/>
        <v>0</v>
      </c>
      <c r="D86" s="120">
        <f t="shared" si="19"/>
        <v>0</v>
      </c>
      <c r="E86" s="120">
        <f t="shared" si="19"/>
        <v>0</v>
      </c>
      <c r="F86" s="120">
        <f t="shared" si="19"/>
        <v>0</v>
      </c>
      <c r="G86" s="120">
        <f t="shared" si="19"/>
        <v>0</v>
      </c>
      <c r="H86" s="120">
        <f t="shared" si="19"/>
        <v>0</v>
      </c>
      <c r="I86" s="120">
        <f t="shared" si="19"/>
        <v>0</v>
      </c>
      <c r="J86" s="120">
        <f t="shared" si="19"/>
        <v>0</v>
      </c>
      <c r="K86" s="120">
        <f t="shared" si="19"/>
        <v>0</v>
      </c>
      <c r="L86" s="120">
        <f t="shared" si="19"/>
        <v>0</v>
      </c>
      <c r="M86" s="120">
        <f t="shared" si="19"/>
        <v>0</v>
      </c>
      <c r="N86" s="111" t="s">
        <v>188</v>
      </c>
    </row>
    <row r="87" spans="1:14" ht="19.05" customHeight="1" x14ac:dyDescent="0.3">
      <c r="B87" s="120">
        <f t="shared" si="19"/>
        <v>0</v>
      </c>
      <c r="C87" s="120">
        <f t="shared" si="19"/>
        <v>0</v>
      </c>
      <c r="D87" s="120">
        <f t="shared" si="19"/>
        <v>0</v>
      </c>
      <c r="E87" s="120">
        <f t="shared" si="19"/>
        <v>0</v>
      </c>
      <c r="F87" s="120">
        <f t="shared" si="19"/>
        <v>0</v>
      </c>
      <c r="G87" s="120">
        <f t="shared" si="19"/>
        <v>0</v>
      </c>
      <c r="H87" s="120">
        <f t="shared" si="19"/>
        <v>0</v>
      </c>
      <c r="I87" s="120">
        <f t="shared" si="19"/>
        <v>0</v>
      </c>
      <c r="J87" s="120">
        <f t="shared" si="19"/>
        <v>0</v>
      </c>
      <c r="K87" s="120">
        <f t="shared" si="19"/>
        <v>0</v>
      </c>
      <c r="L87" s="120">
        <f t="shared" si="19"/>
        <v>0</v>
      </c>
      <c r="M87" s="120">
        <f t="shared" si="19"/>
        <v>0</v>
      </c>
      <c r="N87" s="111" t="s">
        <v>189</v>
      </c>
    </row>
    <row r="90" spans="1:14" ht="19.05" customHeight="1" x14ac:dyDescent="0.3">
      <c r="A90" s="118" t="s">
        <v>195</v>
      </c>
      <c r="B90" s="112" t="str">
        <f>IF(D20="","-",D20)</f>
        <v>U4X</v>
      </c>
      <c r="C90" s="112" t="str">
        <f>IF(E20="","-",E20)</f>
        <v>U4Y</v>
      </c>
      <c r="D90" s="112" t="str">
        <f>IF(G20="","-",G20)</f>
        <v>U1X</v>
      </c>
      <c r="E90" s="112" t="str">
        <f>IF(H20="","-",H20)</f>
        <v>U1Y</v>
      </c>
    </row>
    <row r="91" spans="1:14" ht="18" customHeight="1" x14ac:dyDescent="0.3">
      <c r="B91" s="123">
        <f>IF(N9=0, 0, N9*J9*J9)</f>
        <v>0</v>
      </c>
      <c r="C91" s="123">
        <f>IF(N9=0, 0, N9*J9*K9)</f>
        <v>0</v>
      </c>
      <c r="D91" s="123">
        <f>IF(N9=0, 0, -N9*J9*J9)</f>
        <v>0</v>
      </c>
      <c r="E91" s="123">
        <f>IF(N9=0, 0, -N9*J9*K9)</f>
        <v>0</v>
      </c>
      <c r="F91" s="112" t="str">
        <f>IF(D20="","-",D20)</f>
        <v>U4X</v>
      </c>
    </row>
    <row r="92" spans="1:14" ht="18" customHeight="1" x14ac:dyDescent="0.3">
      <c r="B92" s="123">
        <f>IF(N9=0, 0, N9*J9*K9)</f>
        <v>0</v>
      </c>
      <c r="C92" s="123">
        <f>IF(N9=0, 0, N9*K9*K9)</f>
        <v>84000</v>
      </c>
      <c r="D92" s="123">
        <f>IF(N9=0, 0, -N9*J9*K9)</f>
        <v>0</v>
      </c>
      <c r="E92" s="123">
        <f>IF(N9=0, 0, -N9*K9*K9)</f>
        <v>-84000</v>
      </c>
      <c r="F92" s="112" t="str">
        <f>IF(E20="","-",E20)</f>
        <v>U4Y</v>
      </c>
    </row>
    <row r="93" spans="1:14" ht="18" customHeight="1" x14ac:dyDescent="0.3">
      <c r="B93" s="123">
        <f>IF(N9=0, 0, -N9*J9*J9)</f>
        <v>0</v>
      </c>
      <c r="C93" s="123">
        <f>IF(N9=0, 0, -N9*J9*K9)</f>
        <v>0</v>
      </c>
      <c r="D93" s="123">
        <f>IF(N9=0, 0, N9*J9*J9)</f>
        <v>0</v>
      </c>
      <c r="E93" s="123">
        <f>IF(N9=0, 0, N9*J9*K9)</f>
        <v>0</v>
      </c>
      <c r="F93" s="112" t="str">
        <f>IF(G20="","-",G20)</f>
        <v>U1X</v>
      </c>
    </row>
    <row r="94" spans="1:14" ht="18" customHeight="1" x14ac:dyDescent="0.3">
      <c r="B94" s="123">
        <f>IF(N9=0, 0, -N9*J9*K9)</f>
        <v>0</v>
      </c>
      <c r="C94" s="123">
        <f>IF(N9=0, 0, -N9*K9*K9)</f>
        <v>-84000</v>
      </c>
      <c r="D94" s="123">
        <f>IF(N9=0, 0, N9*J9*K9)</f>
        <v>0</v>
      </c>
      <c r="E94" s="123">
        <f>IF(N9=0, 0, N9*K9*K9)</f>
        <v>84000</v>
      </c>
      <c r="F94" s="112" t="str">
        <f>IF(H20="","-",H20)</f>
        <v>U1Y</v>
      </c>
    </row>
    <row r="96" spans="1:14" ht="19.05" customHeight="1" x14ac:dyDescent="0.3">
      <c r="B96" s="100" t="s">
        <v>178</v>
      </c>
      <c r="C96" s="100" t="s">
        <v>179</v>
      </c>
      <c r="D96" s="100" t="s">
        <v>180</v>
      </c>
      <c r="E96" s="100" t="s">
        <v>181</v>
      </c>
      <c r="F96" s="100" t="s">
        <v>182</v>
      </c>
      <c r="G96" s="100" t="s">
        <v>183</v>
      </c>
      <c r="H96" s="100" t="s">
        <v>184</v>
      </c>
      <c r="I96" s="100" t="s">
        <v>185</v>
      </c>
      <c r="J96" s="100" t="s">
        <v>186</v>
      </c>
      <c r="K96" s="100" t="s">
        <v>187</v>
      </c>
      <c r="L96" s="100" t="s">
        <v>188</v>
      </c>
      <c r="M96" s="100" t="s">
        <v>189</v>
      </c>
    </row>
    <row r="97" spans="1:14" ht="19.05" customHeight="1" x14ac:dyDescent="0.3">
      <c r="B97" s="120">
        <f t="shared" ref="B97:M108" si="20">IFERROR(INDEX($B$91:$E$94, MATCH($N97, $B$90:$E$90, 0), MATCH(B$96, $B$90:$E$90, 0)), 0)</f>
        <v>0</v>
      </c>
      <c r="C97" s="120">
        <f t="shared" si="20"/>
        <v>0</v>
      </c>
      <c r="D97" s="120">
        <f t="shared" si="20"/>
        <v>0</v>
      </c>
      <c r="E97" s="120">
        <f t="shared" si="20"/>
        <v>0</v>
      </c>
      <c r="F97" s="120">
        <f t="shared" si="20"/>
        <v>0</v>
      </c>
      <c r="G97" s="120">
        <f t="shared" si="20"/>
        <v>0</v>
      </c>
      <c r="H97" s="120">
        <f t="shared" si="20"/>
        <v>0</v>
      </c>
      <c r="I97" s="120">
        <f t="shared" si="20"/>
        <v>0</v>
      </c>
      <c r="J97" s="120">
        <f t="shared" si="20"/>
        <v>0</v>
      </c>
      <c r="K97" s="120">
        <f t="shared" si="20"/>
        <v>0</v>
      </c>
      <c r="L97" s="120">
        <f t="shared" si="20"/>
        <v>0</v>
      </c>
      <c r="M97" s="120">
        <f t="shared" si="20"/>
        <v>0</v>
      </c>
      <c r="N97" s="112" t="s">
        <v>178</v>
      </c>
    </row>
    <row r="98" spans="1:14" ht="19.05" customHeight="1" x14ac:dyDescent="0.3">
      <c r="B98" s="120">
        <f t="shared" si="20"/>
        <v>0</v>
      </c>
      <c r="C98" s="120">
        <f t="shared" si="20"/>
        <v>84000</v>
      </c>
      <c r="D98" s="120">
        <f t="shared" si="20"/>
        <v>0</v>
      </c>
      <c r="E98" s="120">
        <f t="shared" si="20"/>
        <v>0</v>
      </c>
      <c r="F98" s="120">
        <f t="shared" si="20"/>
        <v>0</v>
      </c>
      <c r="G98" s="120">
        <f t="shared" si="20"/>
        <v>0</v>
      </c>
      <c r="H98" s="120">
        <f t="shared" si="20"/>
        <v>0</v>
      </c>
      <c r="I98" s="120">
        <f t="shared" si="20"/>
        <v>-84000</v>
      </c>
      <c r="J98" s="120">
        <f t="shared" si="20"/>
        <v>0</v>
      </c>
      <c r="K98" s="120">
        <f t="shared" si="20"/>
        <v>0</v>
      </c>
      <c r="L98" s="120">
        <f t="shared" si="20"/>
        <v>0</v>
      </c>
      <c r="M98" s="120">
        <f t="shared" si="20"/>
        <v>0</v>
      </c>
      <c r="N98" s="112" t="s">
        <v>179</v>
      </c>
    </row>
    <row r="99" spans="1:14" ht="19.05" customHeight="1" x14ac:dyDescent="0.3">
      <c r="B99" s="120">
        <f t="shared" si="20"/>
        <v>0</v>
      </c>
      <c r="C99" s="120">
        <f t="shared" si="20"/>
        <v>0</v>
      </c>
      <c r="D99" s="120">
        <f t="shared" si="20"/>
        <v>0</v>
      </c>
      <c r="E99" s="120">
        <f t="shared" si="20"/>
        <v>0</v>
      </c>
      <c r="F99" s="120">
        <f t="shared" si="20"/>
        <v>0</v>
      </c>
      <c r="G99" s="120">
        <f t="shared" si="20"/>
        <v>0</v>
      </c>
      <c r="H99" s="120">
        <f t="shared" si="20"/>
        <v>0</v>
      </c>
      <c r="I99" s="120">
        <f t="shared" si="20"/>
        <v>0</v>
      </c>
      <c r="J99" s="120">
        <f t="shared" si="20"/>
        <v>0</v>
      </c>
      <c r="K99" s="120">
        <f t="shared" si="20"/>
        <v>0</v>
      </c>
      <c r="L99" s="120">
        <f t="shared" si="20"/>
        <v>0</v>
      </c>
      <c r="M99" s="120">
        <f t="shared" si="20"/>
        <v>0</v>
      </c>
      <c r="N99" s="112" t="s">
        <v>180</v>
      </c>
    </row>
    <row r="100" spans="1:14" ht="19.05" customHeight="1" x14ac:dyDescent="0.3">
      <c r="B100" s="120">
        <f t="shared" si="20"/>
        <v>0</v>
      </c>
      <c r="C100" s="120">
        <f t="shared" si="20"/>
        <v>0</v>
      </c>
      <c r="D100" s="120">
        <f t="shared" si="20"/>
        <v>0</v>
      </c>
      <c r="E100" s="120">
        <f t="shared" si="20"/>
        <v>0</v>
      </c>
      <c r="F100" s="120">
        <f t="shared" si="20"/>
        <v>0</v>
      </c>
      <c r="G100" s="120">
        <f t="shared" si="20"/>
        <v>0</v>
      </c>
      <c r="H100" s="120">
        <f t="shared" si="20"/>
        <v>0</v>
      </c>
      <c r="I100" s="120">
        <f t="shared" si="20"/>
        <v>0</v>
      </c>
      <c r="J100" s="120">
        <f t="shared" si="20"/>
        <v>0</v>
      </c>
      <c r="K100" s="120">
        <f t="shared" si="20"/>
        <v>0</v>
      </c>
      <c r="L100" s="120">
        <f t="shared" si="20"/>
        <v>0</v>
      </c>
      <c r="M100" s="120">
        <f t="shared" si="20"/>
        <v>0</v>
      </c>
      <c r="N100" s="112" t="s">
        <v>181</v>
      </c>
    </row>
    <row r="101" spans="1:14" ht="19.05" customHeight="1" x14ac:dyDescent="0.3">
      <c r="B101" s="120">
        <f t="shared" si="20"/>
        <v>0</v>
      </c>
      <c r="C101" s="120">
        <f t="shared" si="20"/>
        <v>0</v>
      </c>
      <c r="D101" s="120">
        <f t="shared" si="20"/>
        <v>0</v>
      </c>
      <c r="E101" s="120">
        <f t="shared" si="20"/>
        <v>0</v>
      </c>
      <c r="F101" s="120">
        <f t="shared" si="20"/>
        <v>0</v>
      </c>
      <c r="G101" s="120">
        <f t="shared" si="20"/>
        <v>0</v>
      </c>
      <c r="H101" s="120">
        <f t="shared" si="20"/>
        <v>0</v>
      </c>
      <c r="I101" s="120">
        <f t="shared" si="20"/>
        <v>0</v>
      </c>
      <c r="J101" s="120">
        <f t="shared" si="20"/>
        <v>0</v>
      </c>
      <c r="K101" s="120">
        <f t="shared" si="20"/>
        <v>0</v>
      </c>
      <c r="L101" s="120">
        <f t="shared" si="20"/>
        <v>0</v>
      </c>
      <c r="M101" s="120">
        <f t="shared" si="20"/>
        <v>0</v>
      </c>
      <c r="N101" s="112" t="s">
        <v>182</v>
      </c>
    </row>
    <row r="102" spans="1:14" ht="19.05" customHeight="1" x14ac:dyDescent="0.3">
      <c r="A102" s="118" t="s">
        <v>196</v>
      </c>
      <c r="B102" s="120">
        <f t="shared" si="20"/>
        <v>0</v>
      </c>
      <c r="C102" s="120">
        <f t="shared" si="20"/>
        <v>0</v>
      </c>
      <c r="D102" s="120">
        <f t="shared" si="20"/>
        <v>0</v>
      </c>
      <c r="E102" s="120">
        <f t="shared" si="20"/>
        <v>0</v>
      </c>
      <c r="F102" s="120">
        <f t="shared" si="20"/>
        <v>0</v>
      </c>
      <c r="G102" s="120">
        <f t="shared" si="20"/>
        <v>0</v>
      </c>
      <c r="H102" s="120">
        <f t="shared" si="20"/>
        <v>0</v>
      </c>
      <c r="I102" s="120">
        <f t="shared" si="20"/>
        <v>0</v>
      </c>
      <c r="J102" s="120">
        <f t="shared" si="20"/>
        <v>0</v>
      </c>
      <c r="K102" s="120">
        <f t="shared" si="20"/>
        <v>0</v>
      </c>
      <c r="L102" s="120">
        <f t="shared" si="20"/>
        <v>0</v>
      </c>
      <c r="M102" s="120">
        <f t="shared" si="20"/>
        <v>0</v>
      </c>
      <c r="N102" s="112" t="s">
        <v>183</v>
      </c>
    </row>
    <row r="103" spans="1:14" ht="19.05" customHeight="1" x14ac:dyDescent="0.3">
      <c r="B103" s="120">
        <f t="shared" si="20"/>
        <v>0</v>
      </c>
      <c r="C103" s="120">
        <f t="shared" si="20"/>
        <v>0</v>
      </c>
      <c r="D103" s="120">
        <f t="shared" si="20"/>
        <v>0</v>
      </c>
      <c r="E103" s="120">
        <f t="shared" si="20"/>
        <v>0</v>
      </c>
      <c r="F103" s="120">
        <f t="shared" si="20"/>
        <v>0</v>
      </c>
      <c r="G103" s="120">
        <f t="shared" si="20"/>
        <v>0</v>
      </c>
      <c r="H103" s="120">
        <f t="shared" si="20"/>
        <v>0</v>
      </c>
      <c r="I103" s="120">
        <f t="shared" si="20"/>
        <v>0</v>
      </c>
      <c r="J103" s="120">
        <f t="shared" si="20"/>
        <v>0</v>
      </c>
      <c r="K103" s="120">
        <f t="shared" si="20"/>
        <v>0</v>
      </c>
      <c r="L103" s="120">
        <f t="shared" si="20"/>
        <v>0</v>
      </c>
      <c r="M103" s="120">
        <f t="shared" si="20"/>
        <v>0</v>
      </c>
      <c r="N103" s="112" t="s">
        <v>184</v>
      </c>
    </row>
    <row r="104" spans="1:14" ht="19.05" customHeight="1" x14ac:dyDescent="0.3">
      <c r="B104" s="120">
        <f t="shared" si="20"/>
        <v>0</v>
      </c>
      <c r="C104" s="120">
        <f t="shared" si="20"/>
        <v>-84000</v>
      </c>
      <c r="D104" s="120">
        <f t="shared" si="20"/>
        <v>0</v>
      </c>
      <c r="E104" s="120">
        <f t="shared" si="20"/>
        <v>0</v>
      </c>
      <c r="F104" s="120">
        <f t="shared" si="20"/>
        <v>0</v>
      </c>
      <c r="G104" s="120">
        <f t="shared" si="20"/>
        <v>0</v>
      </c>
      <c r="H104" s="120">
        <f t="shared" si="20"/>
        <v>0</v>
      </c>
      <c r="I104" s="120">
        <f t="shared" si="20"/>
        <v>84000</v>
      </c>
      <c r="J104" s="120">
        <f t="shared" si="20"/>
        <v>0</v>
      </c>
      <c r="K104" s="120">
        <f t="shared" si="20"/>
        <v>0</v>
      </c>
      <c r="L104" s="120">
        <f t="shared" si="20"/>
        <v>0</v>
      </c>
      <c r="M104" s="120">
        <f t="shared" si="20"/>
        <v>0</v>
      </c>
      <c r="N104" s="112" t="s">
        <v>185</v>
      </c>
    </row>
    <row r="105" spans="1:14" ht="19.05" customHeight="1" x14ac:dyDescent="0.3">
      <c r="B105" s="120">
        <f t="shared" si="20"/>
        <v>0</v>
      </c>
      <c r="C105" s="120">
        <f t="shared" si="20"/>
        <v>0</v>
      </c>
      <c r="D105" s="120">
        <f t="shared" si="20"/>
        <v>0</v>
      </c>
      <c r="E105" s="120">
        <f t="shared" si="20"/>
        <v>0</v>
      </c>
      <c r="F105" s="120">
        <f t="shared" si="20"/>
        <v>0</v>
      </c>
      <c r="G105" s="120">
        <f t="shared" si="20"/>
        <v>0</v>
      </c>
      <c r="H105" s="120">
        <f t="shared" si="20"/>
        <v>0</v>
      </c>
      <c r="I105" s="120">
        <f t="shared" si="20"/>
        <v>0</v>
      </c>
      <c r="J105" s="120">
        <f t="shared" si="20"/>
        <v>0</v>
      </c>
      <c r="K105" s="120">
        <f t="shared" si="20"/>
        <v>0</v>
      </c>
      <c r="L105" s="120">
        <f t="shared" si="20"/>
        <v>0</v>
      </c>
      <c r="M105" s="120">
        <f t="shared" si="20"/>
        <v>0</v>
      </c>
      <c r="N105" s="112" t="s">
        <v>186</v>
      </c>
    </row>
    <row r="106" spans="1:14" ht="19.05" customHeight="1" x14ac:dyDescent="0.3">
      <c r="B106" s="120">
        <f t="shared" si="20"/>
        <v>0</v>
      </c>
      <c r="C106" s="120">
        <f t="shared" si="20"/>
        <v>0</v>
      </c>
      <c r="D106" s="120">
        <f t="shared" si="20"/>
        <v>0</v>
      </c>
      <c r="E106" s="120">
        <f t="shared" si="20"/>
        <v>0</v>
      </c>
      <c r="F106" s="120">
        <f t="shared" si="20"/>
        <v>0</v>
      </c>
      <c r="G106" s="120">
        <f t="shared" si="20"/>
        <v>0</v>
      </c>
      <c r="H106" s="120">
        <f t="shared" si="20"/>
        <v>0</v>
      </c>
      <c r="I106" s="120">
        <f t="shared" si="20"/>
        <v>0</v>
      </c>
      <c r="J106" s="120">
        <f t="shared" si="20"/>
        <v>0</v>
      </c>
      <c r="K106" s="120">
        <f t="shared" si="20"/>
        <v>0</v>
      </c>
      <c r="L106" s="120">
        <f t="shared" si="20"/>
        <v>0</v>
      </c>
      <c r="M106" s="120">
        <f t="shared" si="20"/>
        <v>0</v>
      </c>
      <c r="N106" s="112" t="s">
        <v>187</v>
      </c>
    </row>
    <row r="107" spans="1:14" ht="19.05" customHeight="1" x14ac:dyDescent="0.3">
      <c r="B107" s="120">
        <f t="shared" si="20"/>
        <v>0</v>
      </c>
      <c r="C107" s="120">
        <f t="shared" si="20"/>
        <v>0</v>
      </c>
      <c r="D107" s="120">
        <f t="shared" si="20"/>
        <v>0</v>
      </c>
      <c r="E107" s="120">
        <f t="shared" si="20"/>
        <v>0</v>
      </c>
      <c r="F107" s="120">
        <f t="shared" si="20"/>
        <v>0</v>
      </c>
      <c r="G107" s="120">
        <f t="shared" si="20"/>
        <v>0</v>
      </c>
      <c r="H107" s="120">
        <f t="shared" si="20"/>
        <v>0</v>
      </c>
      <c r="I107" s="120">
        <f t="shared" si="20"/>
        <v>0</v>
      </c>
      <c r="J107" s="120">
        <f t="shared" si="20"/>
        <v>0</v>
      </c>
      <c r="K107" s="120">
        <f t="shared" si="20"/>
        <v>0</v>
      </c>
      <c r="L107" s="120">
        <f t="shared" si="20"/>
        <v>0</v>
      </c>
      <c r="M107" s="120">
        <f t="shared" si="20"/>
        <v>0</v>
      </c>
      <c r="N107" s="112" t="s">
        <v>188</v>
      </c>
    </row>
    <row r="108" spans="1:14" ht="19.05" customHeight="1" x14ac:dyDescent="0.3">
      <c r="B108" s="120">
        <f t="shared" si="20"/>
        <v>0</v>
      </c>
      <c r="C108" s="120">
        <f t="shared" si="20"/>
        <v>0</v>
      </c>
      <c r="D108" s="120">
        <f t="shared" si="20"/>
        <v>0</v>
      </c>
      <c r="E108" s="120">
        <f t="shared" si="20"/>
        <v>0</v>
      </c>
      <c r="F108" s="120">
        <f t="shared" si="20"/>
        <v>0</v>
      </c>
      <c r="G108" s="120">
        <f t="shared" si="20"/>
        <v>0</v>
      </c>
      <c r="H108" s="120">
        <f t="shared" si="20"/>
        <v>0</v>
      </c>
      <c r="I108" s="120">
        <f t="shared" si="20"/>
        <v>0</v>
      </c>
      <c r="J108" s="120">
        <f t="shared" si="20"/>
        <v>0</v>
      </c>
      <c r="K108" s="120">
        <f t="shared" si="20"/>
        <v>0</v>
      </c>
      <c r="L108" s="120">
        <f t="shared" si="20"/>
        <v>0</v>
      </c>
      <c r="M108" s="120">
        <f t="shared" si="20"/>
        <v>0</v>
      </c>
      <c r="N108" s="112" t="s">
        <v>189</v>
      </c>
    </row>
    <row r="111" spans="1:14" ht="19.05" customHeight="1" x14ac:dyDescent="0.3">
      <c r="A111" s="118" t="s">
        <v>197</v>
      </c>
      <c r="B111" s="113" t="str">
        <f>IF(D21="","-",D21)</f>
        <v>U1X</v>
      </c>
      <c r="C111" s="113" t="str">
        <f>IF(E21="","-",E21)</f>
        <v>U1Y</v>
      </c>
      <c r="D111" s="113" t="str">
        <f>IF(G21="","-",G21)</f>
        <v>U3X</v>
      </c>
      <c r="E111" s="113" t="str">
        <f>IF(H21="","-",H21)</f>
        <v>U3Y</v>
      </c>
    </row>
    <row r="112" spans="1:14" ht="18" customHeight="1" x14ac:dyDescent="0.3">
      <c r="B112" s="124">
        <f>IF(N10=0, 0, N10*J10*J10)</f>
        <v>32256</v>
      </c>
      <c r="C112" s="124">
        <f>IF(N10=0, 0, N10*J10*K10)</f>
        <v>24192</v>
      </c>
      <c r="D112" s="124">
        <f>IF(N10=0, 0, -N10*J10*J10)</f>
        <v>-32256</v>
      </c>
      <c r="E112" s="124">
        <f>IF(N10=0, 0, -N10*J10*K10)</f>
        <v>-24192</v>
      </c>
      <c r="F112" s="113" t="str">
        <f>IF(D21="","-",D21)</f>
        <v>U1X</v>
      </c>
    </row>
    <row r="113" spans="1:14" ht="18" customHeight="1" x14ac:dyDescent="0.3">
      <c r="B113" s="124">
        <f>IF(N10=0, 0, N10*J10*K10)</f>
        <v>24192</v>
      </c>
      <c r="C113" s="124">
        <f>IF(N10=0, 0, N10*K10*K10)</f>
        <v>18144</v>
      </c>
      <c r="D113" s="124">
        <f>IF(N10=0, 0, -N10*J10*K10)</f>
        <v>-24192</v>
      </c>
      <c r="E113" s="124">
        <f>IF(N10=0, 0, -N10*K10*K10)</f>
        <v>-18144</v>
      </c>
      <c r="F113" s="113" t="str">
        <f>IF(E21="","-",E21)</f>
        <v>U1Y</v>
      </c>
    </row>
    <row r="114" spans="1:14" ht="18" customHeight="1" x14ac:dyDescent="0.3">
      <c r="B114" s="124">
        <f>IF(N10=0, 0, -N10*J10*J10)</f>
        <v>-32256</v>
      </c>
      <c r="C114" s="124">
        <f>IF(N10=0, 0, -N10*J10*K10)</f>
        <v>-24192</v>
      </c>
      <c r="D114" s="124">
        <f>IF(N10=0, 0, N10*J10*J10)</f>
        <v>32256</v>
      </c>
      <c r="E114" s="124">
        <f>IF(N10=0, 0, N10*J10*K10)</f>
        <v>24192</v>
      </c>
      <c r="F114" s="113" t="str">
        <f>IF(G21="","-",G21)</f>
        <v>U3X</v>
      </c>
    </row>
    <row r="115" spans="1:14" ht="18" customHeight="1" x14ac:dyDescent="0.3">
      <c r="B115" s="124">
        <f>IF(N10=0, 0, -N10*J10*K10)</f>
        <v>-24192</v>
      </c>
      <c r="C115" s="124">
        <f>IF(N10=0, 0, -N10*K10*K10)</f>
        <v>-18144</v>
      </c>
      <c r="D115" s="124">
        <f>IF(N10=0, 0, N10*J10*K10)</f>
        <v>24192</v>
      </c>
      <c r="E115" s="124">
        <f>IF(N10=0, 0, N10*K10*K10)</f>
        <v>18144</v>
      </c>
      <c r="F115" s="113" t="str">
        <f>IF(H21="","-",H21)</f>
        <v>U3Y</v>
      </c>
    </row>
    <row r="117" spans="1:14" ht="19.05" customHeight="1" x14ac:dyDescent="0.3">
      <c r="B117" s="100" t="s">
        <v>178</v>
      </c>
      <c r="C117" s="100" t="s">
        <v>179</v>
      </c>
      <c r="D117" s="100" t="s">
        <v>180</v>
      </c>
      <c r="E117" s="100" t="s">
        <v>181</v>
      </c>
      <c r="F117" s="100" t="s">
        <v>182</v>
      </c>
      <c r="G117" s="100" t="s">
        <v>183</v>
      </c>
      <c r="H117" s="100" t="s">
        <v>184</v>
      </c>
      <c r="I117" s="100" t="s">
        <v>185</v>
      </c>
      <c r="J117" s="100" t="s">
        <v>186</v>
      </c>
      <c r="K117" s="100" t="s">
        <v>187</v>
      </c>
      <c r="L117" s="100" t="s">
        <v>188</v>
      </c>
      <c r="M117" s="100" t="s">
        <v>189</v>
      </c>
    </row>
    <row r="118" spans="1:14" ht="19.05" customHeight="1" x14ac:dyDescent="0.3">
      <c r="B118" s="120">
        <f t="shared" ref="B118:M129" si="21">IFERROR(INDEX($B$112:$E$115, MATCH($N118, $B$111:$E$111, 0), MATCH(B$117, $B$111:$E$111, 0)), 0)</f>
        <v>32256</v>
      </c>
      <c r="C118" s="120">
        <f t="shared" si="21"/>
        <v>24192</v>
      </c>
      <c r="D118" s="120">
        <f t="shared" si="21"/>
        <v>0</v>
      </c>
      <c r="E118" s="120">
        <f t="shared" si="21"/>
        <v>0</v>
      </c>
      <c r="F118" s="120">
        <f t="shared" si="21"/>
        <v>-32256</v>
      </c>
      <c r="G118" s="120">
        <f t="shared" si="21"/>
        <v>-24192</v>
      </c>
      <c r="H118" s="120">
        <f t="shared" si="21"/>
        <v>0</v>
      </c>
      <c r="I118" s="120">
        <f t="shared" si="21"/>
        <v>0</v>
      </c>
      <c r="J118" s="120">
        <f t="shared" si="21"/>
        <v>0</v>
      </c>
      <c r="K118" s="120">
        <f t="shared" si="21"/>
        <v>0</v>
      </c>
      <c r="L118" s="120">
        <f t="shared" si="21"/>
        <v>0</v>
      </c>
      <c r="M118" s="120">
        <f t="shared" si="21"/>
        <v>0</v>
      </c>
      <c r="N118" s="113" t="s">
        <v>178</v>
      </c>
    </row>
    <row r="119" spans="1:14" ht="19.05" customHeight="1" x14ac:dyDescent="0.3">
      <c r="B119" s="120">
        <f t="shared" si="21"/>
        <v>24192</v>
      </c>
      <c r="C119" s="120">
        <f t="shared" si="21"/>
        <v>18144</v>
      </c>
      <c r="D119" s="120">
        <f t="shared" si="21"/>
        <v>0</v>
      </c>
      <c r="E119" s="120">
        <f t="shared" si="21"/>
        <v>0</v>
      </c>
      <c r="F119" s="120">
        <f t="shared" si="21"/>
        <v>-24192</v>
      </c>
      <c r="G119" s="120">
        <f t="shared" si="21"/>
        <v>-18144</v>
      </c>
      <c r="H119" s="120">
        <f t="shared" si="21"/>
        <v>0</v>
      </c>
      <c r="I119" s="120">
        <f t="shared" si="21"/>
        <v>0</v>
      </c>
      <c r="J119" s="120">
        <f t="shared" si="21"/>
        <v>0</v>
      </c>
      <c r="K119" s="120">
        <f t="shared" si="21"/>
        <v>0</v>
      </c>
      <c r="L119" s="120">
        <f t="shared" si="21"/>
        <v>0</v>
      </c>
      <c r="M119" s="120">
        <f t="shared" si="21"/>
        <v>0</v>
      </c>
      <c r="N119" s="113" t="s">
        <v>179</v>
      </c>
    </row>
    <row r="120" spans="1:14" ht="19.05" customHeight="1" x14ac:dyDescent="0.3">
      <c r="B120" s="120">
        <f t="shared" si="21"/>
        <v>0</v>
      </c>
      <c r="C120" s="120">
        <f t="shared" si="21"/>
        <v>0</v>
      </c>
      <c r="D120" s="120">
        <f t="shared" si="21"/>
        <v>0</v>
      </c>
      <c r="E120" s="120">
        <f t="shared" si="21"/>
        <v>0</v>
      </c>
      <c r="F120" s="120">
        <f t="shared" si="21"/>
        <v>0</v>
      </c>
      <c r="G120" s="120">
        <f t="shared" si="21"/>
        <v>0</v>
      </c>
      <c r="H120" s="120">
        <f t="shared" si="21"/>
        <v>0</v>
      </c>
      <c r="I120" s="120">
        <f t="shared" si="21"/>
        <v>0</v>
      </c>
      <c r="J120" s="120">
        <f t="shared" si="21"/>
        <v>0</v>
      </c>
      <c r="K120" s="120">
        <f t="shared" si="21"/>
        <v>0</v>
      </c>
      <c r="L120" s="120">
        <f t="shared" si="21"/>
        <v>0</v>
      </c>
      <c r="M120" s="120">
        <f t="shared" si="21"/>
        <v>0</v>
      </c>
      <c r="N120" s="113" t="s">
        <v>180</v>
      </c>
    </row>
    <row r="121" spans="1:14" ht="19.05" customHeight="1" x14ac:dyDescent="0.3">
      <c r="B121" s="120">
        <f t="shared" si="21"/>
        <v>0</v>
      </c>
      <c r="C121" s="120">
        <f t="shared" si="21"/>
        <v>0</v>
      </c>
      <c r="D121" s="120">
        <f t="shared" si="21"/>
        <v>0</v>
      </c>
      <c r="E121" s="120">
        <f t="shared" si="21"/>
        <v>0</v>
      </c>
      <c r="F121" s="120">
        <f t="shared" si="21"/>
        <v>0</v>
      </c>
      <c r="G121" s="120">
        <f t="shared" si="21"/>
        <v>0</v>
      </c>
      <c r="H121" s="120">
        <f t="shared" si="21"/>
        <v>0</v>
      </c>
      <c r="I121" s="120">
        <f t="shared" si="21"/>
        <v>0</v>
      </c>
      <c r="J121" s="120">
        <f t="shared" si="21"/>
        <v>0</v>
      </c>
      <c r="K121" s="120">
        <f t="shared" si="21"/>
        <v>0</v>
      </c>
      <c r="L121" s="120">
        <f t="shared" si="21"/>
        <v>0</v>
      </c>
      <c r="M121" s="120">
        <f t="shared" si="21"/>
        <v>0</v>
      </c>
      <c r="N121" s="113" t="s">
        <v>181</v>
      </c>
    </row>
    <row r="122" spans="1:14" ht="19.05" customHeight="1" x14ac:dyDescent="0.3">
      <c r="B122" s="120">
        <f t="shared" si="21"/>
        <v>-32256</v>
      </c>
      <c r="C122" s="120">
        <f t="shared" si="21"/>
        <v>-24192</v>
      </c>
      <c r="D122" s="120">
        <f t="shared" si="21"/>
        <v>0</v>
      </c>
      <c r="E122" s="120">
        <f t="shared" si="21"/>
        <v>0</v>
      </c>
      <c r="F122" s="120">
        <f t="shared" si="21"/>
        <v>32256</v>
      </c>
      <c r="G122" s="120">
        <f t="shared" si="21"/>
        <v>24192</v>
      </c>
      <c r="H122" s="120">
        <f t="shared" si="21"/>
        <v>0</v>
      </c>
      <c r="I122" s="120">
        <f t="shared" si="21"/>
        <v>0</v>
      </c>
      <c r="J122" s="120">
        <f t="shared" si="21"/>
        <v>0</v>
      </c>
      <c r="K122" s="120">
        <f t="shared" si="21"/>
        <v>0</v>
      </c>
      <c r="L122" s="120">
        <f t="shared" si="21"/>
        <v>0</v>
      </c>
      <c r="M122" s="120">
        <f t="shared" si="21"/>
        <v>0</v>
      </c>
      <c r="N122" s="113" t="s">
        <v>182</v>
      </c>
    </row>
    <row r="123" spans="1:14" ht="19.05" customHeight="1" x14ac:dyDescent="0.3">
      <c r="A123" s="118" t="s">
        <v>198</v>
      </c>
      <c r="B123" s="120">
        <f t="shared" si="21"/>
        <v>-24192</v>
      </c>
      <c r="C123" s="120">
        <f t="shared" si="21"/>
        <v>-18144</v>
      </c>
      <c r="D123" s="120">
        <f t="shared" si="21"/>
        <v>0</v>
      </c>
      <c r="E123" s="120">
        <f t="shared" si="21"/>
        <v>0</v>
      </c>
      <c r="F123" s="120">
        <f t="shared" si="21"/>
        <v>24192</v>
      </c>
      <c r="G123" s="120">
        <f t="shared" si="21"/>
        <v>18144</v>
      </c>
      <c r="H123" s="120">
        <f t="shared" si="21"/>
        <v>0</v>
      </c>
      <c r="I123" s="120">
        <f t="shared" si="21"/>
        <v>0</v>
      </c>
      <c r="J123" s="120">
        <f t="shared" si="21"/>
        <v>0</v>
      </c>
      <c r="K123" s="120">
        <f t="shared" si="21"/>
        <v>0</v>
      </c>
      <c r="L123" s="120">
        <f t="shared" si="21"/>
        <v>0</v>
      </c>
      <c r="M123" s="120">
        <f t="shared" si="21"/>
        <v>0</v>
      </c>
      <c r="N123" s="113" t="s">
        <v>183</v>
      </c>
    </row>
    <row r="124" spans="1:14" ht="19.05" customHeight="1" x14ac:dyDescent="0.3">
      <c r="B124" s="120">
        <f t="shared" si="21"/>
        <v>0</v>
      </c>
      <c r="C124" s="120">
        <f t="shared" si="21"/>
        <v>0</v>
      </c>
      <c r="D124" s="120">
        <f t="shared" si="21"/>
        <v>0</v>
      </c>
      <c r="E124" s="120">
        <f t="shared" si="21"/>
        <v>0</v>
      </c>
      <c r="F124" s="120">
        <f t="shared" si="21"/>
        <v>0</v>
      </c>
      <c r="G124" s="120">
        <f t="shared" si="21"/>
        <v>0</v>
      </c>
      <c r="H124" s="120">
        <f t="shared" si="21"/>
        <v>0</v>
      </c>
      <c r="I124" s="120">
        <f t="shared" si="21"/>
        <v>0</v>
      </c>
      <c r="J124" s="120">
        <f t="shared" si="21"/>
        <v>0</v>
      </c>
      <c r="K124" s="120">
        <f t="shared" si="21"/>
        <v>0</v>
      </c>
      <c r="L124" s="120">
        <f t="shared" si="21"/>
        <v>0</v>
      </c>
      <c r="M124" s="120">
        <f t="shared" si="21"/>
        <v>0</v>
      </c>
      <c r="N124" s="113" t="s">
        <v>184</v>
      </c>
    </row>
    <row r="125" spans="1:14" ht="19.05" customHeight="1" x14ac:dyDescent="0.3">
      <c r="B125" s="120">
        <f t="shared" si="21"/>
        <v>0</v>
      </c>
      <c r="C125" s="120">
        <f t="shared" si="21"/>
        <v>0</v>
      </c>
      <c r="D125" s="120">
        <f t="shared" si="21"/>
        <v>0</v>
      </c>
      <c r="E125" s="120">
        <f t="shared" si="21"/>
        <v>0</v>
      </c>
      <c r="F125" s="120">
        <f t="shared" si="21"/>
        <v>0</v>
      </c>
      <c r="G125" s="120">
        <f t="shared" si="21"/>
        <v>0</v>
      </c>
      <c r="H125" s="120">
        <f t="shared" si="21"/>
        <v>0</v>
      </c>
      <c r="I125" s="120">
        <f t="shared" si="21"/>
        <v>0</v>
      </c>
      <c r="J125" s="120">
        <f t="shared" si="21"/>
        <v>0</v>
      </c>
      <c r="K125" s="120">
        <f t="shared" si="21"/>
        <v>0</v>
      </c>
      <c r="L125" s="120">
        <f t="shared" si="21"/>
        <v>0</v>
      </c>
      <c r="M125" s="120">
        <f t="shared" si="21"/>
        <v>0</v>
      </c>
      <c r="N125" s="113" t="s">
        <v>185</v>
      </c>
    </row>
    <row r="126" spans="1:14" ht="19.05" customHeight="1" x14ac:dyDescent="0.3">
      <c r="B126" s="120">
        <f t="shared" si="21"/>
        <v>0</v>
      </c>
      <c r="C126" s="120">
        <f t="shared" si="21"/>
        <v>0</v>
      </c>
      <c r="D126" s="120">
        <f t="shared" si="21"/>
        <v>0</v>
      </c>
      <c r="E126" s="120">
        <f t="shared" si="21"/>
        <v>0</v>
      </c>
      <c r="F126" s="120">
        <f t="shared" si="21"/>
        <v>0</v>
      </c>
      <c r="G126" s="120">
        <f t="shared" si="21"/>
        <v>0</v>
      </c>
      <c r="H126" s="120">
        <f t="shared" si="21"/>
        <v>0</v>
      </c>
      <c r="I126" s="120">
        <f t="shared" si="21"/>
        <v>0</v>
      </c>
      <c r="J126" s="120">
        <f t="shared" si="21"/>
        <v>0</v>
      </c>
      <c r="K126" s="120">
        <f t="shared" si="21"/>
        <v>0</v>
      </c>
      <c r="L126" s="120">
        <f t="shared" si="21"/>
        <v>0</v>
      </c>
      <c r="M126" s="120">
        <f t="shared" si="21"/>
        <v>0</v>
      </c>
      <c r="N126" s="113" t="s">
        <v>186</v>
      </c>
    </row>
    <row r="127" spans="1:14" ht="19.05" customHeight="1" x14ac:dyDescent="0.3">
      <c r="B127" s="120">
        <f t="shared" si="21"/>
        <v>0</v>
      </c>
      <c r="C127" s="120">
        <f t="shared" si="21"/>
        <v>0</v>
      </c>
      <c r="D127" s="120">
        <f t="shared" si="21"/>
        <v>0</v>
      </c>
      <c r="E127" s="120">
        <f t="shared" si="21"/>
        <v>0</v>
      </c>
      <c r="F127" s="120">
        <f t="shared" si="21"/>
        <v>0</v>
      </c>
      <c r="G127" s="120">
        <f t="shared" si="21"/>
        <v>0</v>
      </c>
      <c r="H127" s="120">
        <f t="shared" si="21"/>
        <v>0</v>
      </c>
      <c r="I127" s="120">
        <f t="shared" si="21"/>
        <v>0</v>
      </c>
      <c r="J127" s="120">
        <f t="shared" si="21"/>
        <v>0</v>
      </c>
      <c r="K127" s="120">
        <f t="shared" si="21"/>
        <v>0</v>
      </c>
      <c r="L127" s="120">
        <f t="shared" si="21"/>
        <v>0</v>
      </c>
      <c r="M127" s="120">
        <f t="shared" si="21"/>
        <v>0</v>
      </c>
      <c r="N127" s="113" t="s">
        <v>187</v>
      </c>
    </row>
    <row r="128" spans="1:14" ht="19.05" customHeight="1" x14ac:dyDescent="0.3">
      <c r="B128" s="120">
        <f t="shared" si="21"/>
        <v>0</v>
      </c>
      <c r="C128" s="120">
        <f t="shared" si="21"/>
        <v>0</v>
      </c>
      <c r="D128" s="120">
        <f t="shared" si="21"/>
        <v>0</v>
      </c>
      <c r="E128" s="120">
        <f t="shared" si="21"/>
        <v>0</v>
      </c>
      <c r="F128" s="120">
        <f t="shared" si="21"/>
        <v>0</v>
      </c>
      <c r="G128" s="120">
        <f t="shared" si="21"/>
        <v>0</v>
      </c>
      <c r="H128" s="120">
        <f t="shared" si="21"/>
        <v>0</v>
      </c>
      <c r="I128" s="120">
        <f t="shared" si="21"/>
        <v>0</v>
      </c>
      <c r="J128" s="120">
        <f t="shared" si="21"/>
        <v>0</v>
      </c>
      <c r="K128" s="120">
        <f t="shared" si="21"/>
        <v>0</v>
      </c>
      <c r="L128" s="120">
        <f t="shared" si="21"/>
        <v>0</v>
      </c>
      <c r="M128" s="120">
        <f t="shared" si="21"/>
        <v>0</v>
      </c>
      <c r="N128" s="113" t="s">
        <v>188</v>
      </c>
    </row>
    <row r="129" spans="1:14" ht="19.05" customHeight="1" x14ac:dyDescent="0.3">
      <c r="B129" s="120">
        <f t="shared" si="21"/>
        <v>0</v>
      </c>
      <c r="C129" s="120">
        <f t="shared" si="21"/>
        <v>0</v>
      </c>
      <c r="D129" s="120">
        <f t="shared" si="21"/>
        <v>0</v>
      </c>
      <c r="E129" s="120">
        <f t="shared" si="21"/>
        <v>0</v>
      </c>
      <c r="F129" s="120">
        <f t="shared" si="21"/>
        <v>0</v>
      </c>
      <c r="G129" s="120">
        <f t="shared" si="21"/>
        <v>0</v>
      </c>
      <c r="H129" s="120">
        <f t="shared" si="21"/>
        <v>0</v>
      </c>
      <c r="I129" s="120">
        <f t="shared" si="21"/>
        <v>0</v>
      </c>
      <c r="J129" s="120">
        <f t="shared" si="21"/>
        <v>0</v>
      </c>
      <c r="K129" s="120">
        <f t="shared" si="21"/>
        <v>0</v>
      </c>
      <c r="L129" s="120">
        <f t="shared" si="21"/>
        <v>0</v>
      </c>
      <c r="M129" s="120">
        <f t="shared" si="21"/>
        <v>0</v>
      </c>
      <c r="N129" s="113" t="s">
        <v>189</v>
      </c>
    </row>
    <row r="132" spans="1:14" ht="19.05" customHeight="1" x14ac:dyDescent="0.3">
      <c r="A132" s="118" t="s">
        <v>199</v>
      </c>
      <c r="B132" s="114" t="str">
        <f>IF(D22="","-",D22)</f>
        <v>U2X</v>
      </c>
      <c r="C132" s="114" t="str">
        <f>IF(E22="","-",E22)</f>
        <v>U2Y</v>
      </c>
      <c r="D132" s="114" t="str">
        <f>IF(G22="","-",G22)</f>
        <v>U4X</v>
      </c>
      <c r="E132" s="114" t="str">
        <f>IF(H22="","-",H22)</f>
        <v>U4Y</v>
      </c>
    </row>
    <row r="133" spans="1:14" ht="18" customHeight="1" x14ac:dyDescent="0.3">
      <c r="B133" s="125">
        <f>IF(N11=0, 0, N11*J11*J11)</f>
        <v>32256</v>
      </c>
      <c r="C133" s="125">
        <f>IF(N11=0, 0, N11*J11*K11)</f>
        <v>-24192</v>
      </c>
      <c r="D133" s="125">
        <f>IF(N11=0, 0, -N11*J11*J11)</f>
        <v>-32256</v>
      </c>
      <c r="E133" s="125">
        <f>IF(N11=0, 0, -N11*J11*K11)</f>
        <v>24192</v>
      </c>
      <c r="F133" s="114" t="str">
        <f>IF(D22="","-",D22)</f>
        <v>U2X</v>
      </c>
    </row>
    <row r="134" spans="1:14" ht="18" customHeight="1" x14ac:dyDescent="0.3">
      <c r="B134" s="125">
        <f>IF(N11=0, 0, N11*J11*K11)</f>
        <v>-24192</v>
      </c>
      <c r="C134" s="125">
        <f>IF(N11=0, 0, N11*K11*K11)</f>
        <v>18144</v>
      </c>
      <c r="D134" s="125">
        <f>IF(N11=0, 0, -N11*J11*K11)</f>
        <v>24192</v>
      </c>
      <c r="E134" s="125">
        <f>IF(N11=0, 0, -N11*K11*K11)</f>
        <v>-18144</v>
      </c>
      <c r="F134" s="114" t="str">
        <f>IF(E22="","-",E22)</f>
        <v>U2Y</v>
      </c>
    </row>
    <row r="135" spans="1:14" ht="18" customHeight="1" x14ac:dyDescent="0.3">
      <c r="B135" s="125">
        <f>IF(N11=0, 0, -N11*J11*J11)</f>
        <v>-32256</v>
      </c>
      <c r="C135" s="125">
        <f>IF(N11=0, 0, -N11*J11*K11)</f>
        <v>24192</v>
      </c>
      <c r="D135" s="125">
        <f>IF(N11=0, 0, N11*J11*J11)</f>
        <v>32256</v>
      </c>
      <c r="E135" s="125">
        <f>IF(N11=0, 0, N11*J11*K11)</f>
        <v>-24192</v>
      </c>
      <c r="F135" s="114" t="str">
        <f>IF(G22="","-",G22)</f>
        <v>U4X</v>
      </c>
    </row>
    <row r="136" spans="1:14" ht="18" customHeight="1" x14ac:dyDescent="0.3">
      <c r="B136" s="125">
        <f>IF(N11=0, 0, -N11*J11*K11)</f>
        <v>24192</v>
      </c>
      <c r="C136" s="125">
        <f>IF(N11=0, 0, -N11*K11*K11)</f>
        <v>-18144</v>
      </c>
      <c r="D136" s="125">
        <f>IF(N11=0, 0, N11*J11*K11)</f>
        <v>-24192</v>
      </c>
      <c r="E136" s="125">
        <f>IF(N11=0, 0, N11*K11*K11)</f>
        <v>18144</v>
      </c>
      <c r="F136" s="114" t="str">
        <f>IF(H22="","-",H22)</f>
        <v>U4Y</v>
      </c>
    </row>
    <row r="138" spans="1:14" ht="19.05" customHeight="1" x14ac:dyDescent="0.3">
      <c r="B138" s="100" t="s">
        <v>178</v>
      </c>
      <c r="C138" s="100" t="s">
        <v>179</v>
      </c>
      <c r="D138" s="100" t="s">
        <v>180</v>
      </c>
      <c r="E138" s="100" t="s">
        <v>181</v>
      </c>
      <c r="F138" s="100" t="s">
        <v>182</v>
      </c>
      <c r="G138" s="100" t="s">
        <v>183</v>
      </c>
      <c r="H138" s="100" t="s">
        <v>184</v>
      </c>
      <c r="I138" s="100" t="s">
        <v>185</v>
      </c>
      <c r="J138" s="100" t="s">
        <v>186</v>
      </c>
      <c r="K138" s="100" t="s">
        <v>187</v>
      </c>
      <c r="L138" s="100" t="s">
        <v>188</v>
      </c>
      <c r="M138" s="100" t="s">
        <v>189</v>
      </c>
    </row>
    <row r="139" spans="1:14" ht="19.05" customHeight="1" x14ac:dyDescent="0.3">
      <c r="B139" s="120">
        <f t="shared" ref="B139:M150" si="22">IFERROR(INDEX($B$133:$E$136, MATCH($N139, $B$132:$E$132, 0), MATCH(B$138, $B$132:$E$132, 0)), 0)</f>
        <v>0</v>
      </c>
      <c r="C139" s="120">
        <f t="shared" si="22"/>
        <v>0</v>
      </c>
      <c r="D139" s="120">
        <f t="shared" si="22"/>
        <v>0</v>
      </c>
      <c r="E139" s="120">
        <f t="shared" si="22"/>
        <v>0</v>
      </c>
      <c r="F139" s="120">
        <f t="shared" si="22"/>
        <v>0</v>
      </c>
      <c r="G139" s="120">
        <f t="shared" si="22"/>
        <v>0</v>
      </c>
      <c r="H139" s="120">
        <f t="shared" si="22"/>
        <v>0</v>
      </c>
      <c r="I139" s="120">
        <f t="shared" si="22"/>
        <v>0</v>
      </c>
      <c r="J139" s="120">
        <f t="shared" si="22"/>
        <v>0</v>
      </c>
      <c r="K139" s="120">
        <f t="shared" si="22"/>
        <v>0</v>
      </c>
      <c r="L139" s="120">
        <f t="shared" si="22"/>
        <v>0</v>
      </c>
      <c r="M139" s="120">
        <f t="shared" si="22"/>
        <v>0</v>
      </c>
      <c r="N139" s="114" t="s">
        <v>178</v>
      </c>
    </row>
    <row r="140" spans="1:14" ht="19.05" customHeight="1" x14ac:dyDescent="0.3">
      <c r="B140" s="120">
        <f t="shared" si="22"/>
        <v>0</v>
      </c>
      <c r="C140" s="120">
        <f t="shared" si="22"/>
        <v>0</v>
      </c>
      <c r="D140" s="120">
        <f t="shared" si="22"/>
        <v>0</v>
      </c>
      <c r="E140" s="120">
        <f t="shared" si="22"/>
        <v>0</v>
      </c>
      <c r="F140" s="120">
        <f t="shared" si="22"/>
        <v>0</v>
      </c>
      <c r="G140" s="120">
        <f t="shared" si="22"/>
        <v>0</v>
      </c>
      <c r="H140" s="120">
        <f t="shared" si="22"/>
        <v>0</v>
      </c>
      <c r="I140" s="120">
        <f t="shared" si="22"/>
        <v>0</v>
      </c>
      <c r="J140" s="120">
        <f t="shared" si="22"/>
        <v>0</v>
      </c>
      <c r="K140" s="120">
        <f t="shared" si="22"/>
        <v>0</v>
      </c>
      <c r="L140" s="120">
        <f t="shared" si="22"/>
        <v>0</v>
      </c>
      <c r="M140" s="120">
        <f t="shared" si="22"/>
        <v>0</v>
      </c>
      <c r="N140" s="114" t="s">
        <v>179</v>
      </c>
    </row>
    <row r="141" spans="1:14" ht="19.05" customHeight="1" x14ac:dyDescent="0.3">
      <c r="B141" s="120">
        <f t="shared" si="22"/>
        <v>0</v>
      </c>
      <c r="C141" s="120">
        <f t="shared" si="22"/>
        <v>0</v>
      </c>
      <c r="D141" s="120">
        <f t="shared" si="22"/>
        <v>32256</v>
      </c>
      <c r="E141" s="120">
        <f t="shared" si="22"/>
        <v>-24192</v>
      </c>
      <c r="F141" s="120">
        <f t="shared" si="22"/>
        <v>0</v>
      </c>
      <c r="G141" s="120">
        <f t="shared" si="22"/>
        <v>0</v>
      </c>
      <c r="H141" s="120">
        <f t="shared" si="22"/>
        <v>-32256</v>
      </c>
      <c r="I141" s="120">
        <f t="shared" si="22"/>
        <v>24192</v>
      </c>
      <c r="J141" s="120">
        <f t="shared" si="22"/>
        <v>0</v>
      </c>
      <c r="K141" s="120">
        <f t="shared" si="22"/>
        <v>0</v>
      </c>
      <c r="L141" s="120">
        <f t="shared" si="22"/>
        <v>0</v>
      </c>
      <c r="M141" s="120">
        <f t="shared" si="22"/>
        <v>0</v>
      </c>
      <c r="N141" s="114" t="s">
        <v>180</v>
      </c>
    </row>
    <row r="142" spans="1:14" ht="19.05" customHeight="1" x14ac:dyDescent="0.3">
      <c r="B142" s="120">
        <f t="shared" si="22"/>
        <v>0</v>
      </c>
      <c r="C142" s="120">
        <f t="shared" si="22"/>
        <v>0</v>
      </c>
      <c r="D142" s="120">
        <f t="shared" si="22"/>
        <v>-24192</v>
      </c>
      <c r="E142" s="120">
        <f t="shared" si="22"/>
        <v>18144</v>
      </c>
      <c r="F142" s="120">
        <f t="shared" si="22"/>
        <v>0</v>
      </c>
      <c r="G142" s="120">
        <f t="shared" si="22"/>
        <v>0</v>
      </c>
      <c r="H142" s="120">
        <f t="shared" si="22"/>
        <v>24192</v>
      </c>
      <c r="I142" s="120">
        <f t="shared" si="22"/>
        <v>-18144</v>
      </c>
      <c r="J142" s="120">
        <f t="shared" si="22"/>
        <v>0</v>
      </c>
      <c r="K142" s="120">
        <f t="shared" si="22"/>
        <v>0</v>
      </c>
      <c r="L142" s="120">
        <f t="shared" si="22"/>
        <v>0</v>
      </c>
      <c r="M142" s="120">
        <f t="shared" si="22"/>
        <v>0</v>
      </c>
      <c r="N142" s="114" t="s">
        <v>181</v>
      </c>
    </row>
    <row r="143" spans="1:14" ht="19.05" customHeight="1" x14ac:dyDescent="0.3">
      <c r="B143" s="120">
        <f t="shared" si="22"/>
        <v>0</v>
      </c>
      <c r="C143" s="120">
        <f t="shared" si="22"/>
        <v>0</v>
      </c>
      <c r="D143" s="120">
        <f t="shared" si="22"/>
        <v>0</v>
      </c>
      <c r="E143" s="120">
        <f t="shared" si="22"/>
        <v>0</v>
      </c>
      <c r="F143" s="120">
        <f t="shared" si="22"/>
        <v>0</v>
      </c>
      <c r="G143" s="120">
        <f t="shared" si="22"/>
        <v>0</v>
      </c>
      <c r="H143" s="120">
        <f t="shared" si="22"/>
        <v>0</v>
      </c>
      <c r="I143" s="120">
        <f t="shared" si="22"/>
        <v>0</v>
      </c>
      <c r="J143" s="120">
        <f t="shared" si="22"/>
        <v>0</v>
      </c>
      <c r="K143" s="120">
        <f t="shared" si="22"/>
        <v>0</v>
      </c>
      <c r="L143" s="120">
        <f t="shared" si="22"/>
        <v>0</v>
      </c>
      <c r="M143" s="120">
        <f t="shared" si="22"/>
        <v>0</v>
      </c>
      <c r="N143" s="114" t="s">
        <v>182</v>
      </c>
    </row>
    <row r="144" spans="1:14" ht="19.05" customHeight="1" x14ac:dyDescent="0.3">
      <c r="A144" s="118" t="s">
        <v>200</v>
      </c>
      <c r="B144" s="120">
        <f t="shared" si="22"/>
        <v>0</v>
      </c>
      <c r="C144" s="120">
        <f t="shared" si="22"/>
        <v>0</v>
      </c>
      <c r="D144" s="120">
        <f t="shared" si="22"/>
        <v>0</v>
      </c>
      <c r="E144" s="120">
        <f t="shared" si="22"/>
        <v>0</v>
      </c>
      <c r="F144" s="120">
        <f t="shared" si="22"/>
        <v>0</v>
      </c>
      <c r="G144" s="120">
        <f t="shared" si="22"/>
        <v>0</v>
      </c>
      <c r="H144" s="120">
        <f t="shared" si="22"/>
        <v>0</v>
      </c>
      <c r="I144" s="120">
        <f t="shared" si="22"/>
        <v>0</v>
      </c>
      <c r="J144" s="120">
        <f t="shared" si="22"/>
        <v>0</v>
      </c>
      <c r="K144" s="120">
        <f t="shared" si="22"/>
        <v>0</v>
      </c>
      <c r="L144" s="120">
        <f t="shared" si="22"/>
        <v>0</v>
      </c>
      <c r="M144" s="120">
        <f t="shared" si="22"/>
        <v>0</v>
      </c>
      <c r="N144" s="114" t="s">
        <v>183</v>
      </c>
    </row>
    <row r="145" spans="1:14" ht="19.05" customHeight="1" x14ac:dyDescent="0.3">
      <c r="B145" s="120">
        <f t="shared" si="22"/>
        <v>0</v>
      </c>
      <c r="C145" s="120">
        <f t="shared" si="22"/>
        <v>0</v>
      </c>
      <c r="D145" s="120">
        <f t="shared" si="22"/>
        <v>-32256</v>
      </c>
      <c r="E145" s="120">
        <f t="shared" si="22"/>
        <v>24192</v>
      </c>
      <c r="F145" s="120">
        <f t="shared" si="22"/>
        <v>0</v>
      </c>
      <c r="G145" s="120">
        <f t="shared" si="22"/>
        <v>0</v>
      </c>
      <c r="H145" s="120">
        <f t="shared" si="22"/>
        <v>32256</v>
      </c>
      <c r="I145" s="120">
        <f t="shared" si="22"/>
        <v>-24192</v>
      </c>
      <c r="J145" s="120">
        <f t="shared" si="22"/>
        <v>0</v>
      </c>
      <c r="K145" s="120">
        <f t="shared" si="22"/>
        <v>0</v>
      </c>
      <c r="L145" s="120">
        <f t="shared" si="22"/>
        <v>0</v>
      </c>
      <c r="M145" s="120">
        <f t="shared" si="22"/>
        <v>0</v>
      </c>
      <c r="N145" s="114" t="s">
        <v>184</v>
      </c>
    </row>
    <row r="146" spans="1:14" ht="19.05" customHeight="1" x14ac:dyDescent="0.3">
      <c r="B146" s="120">
        <f t="shared" si="22"/>
        <v>0</v>
      </c>
      <c r="C146" s="120">
        <f t="shared" si="22"/>
        <v>0</v>
      </c>
      <c r="D146" s="120">
        <f t="shared" si="22"/>
        <v>24192</v>
      </c>
      <c r="E146" s="120">
        <f t="shared" si="22"/>
        <v>-18144</v>
      </c>
      <c r="F146" s="120">
        <f t="shared" si="22"/>
        <v>0</v>
      </c>
      <c r="G146" s="120">
        <f t="shared" si="22"/>
        <v>0</v>
      </c>
      <c r="H146" s="120">
        <f t="shared" si="22"/>
        <v>-24192</v>
      </c>
      <c r="I146" s="120">
        <f t="shared" si="22"/>
        <v>18144</v>
      </c>
      <c r="J146" s="120">
        <f t="shared" si="22"/>
        <v>0</v>
      </c>
      <c r="K146" s="120">
        <f t="shared" si="22"/>
        <v>0</v>
      </c>
      <c r="L146" s="120">
        <f t="shared" si="22"/>
        <v>0</v>
      </c>
      <c r="M146" s="120">
        <f t="shared" si="22"/>
        <v>0</v>
      </c>
      <c r="N146" s="114" t="s">
        <v>185</v>
      </c>
    </row>
    <row r="147" spans="1:14" ht="19.05" customHeight="1" x14ac:dyDescent="0.3">
      <c r="B147" s="120">
        <f t="shared" si="22"/>
        <v>0</v>
      </c>
      <c r="C147" s="120">
        <f t="shared" si="22"/>
        <v>0</v>
      </c>
      <c r="D147" s="120">
        <f t="shared" si="22"/>
        <v>0</v>
      </c>
      <c r="E147" s="120">
        <f t="shared" si="22"/>
        <v>0</v>
      </c>
      <c r="F147" s="120">
        <f t="shared" si="22"/>
        <v>0</v>
      </c>
      <c r="G147" s="120">
        <f t="shared" si="22"/>
        <v>0</v>
      </c>
      <c r="H147" s="120">
        <f t="shared" si="22"/>
        <v>0</v>
      </c>
      <c r="I147" s="120">
        <f t="shared" si="22"/>
        <v>0</v>
      </c>
      <c r="J147" s="120">
        <f t="shared" si="22"/>
        <v>0</v>
      </c>
      <c r="K147" s="120">
        <f t="shared" si="22"/>
        <v>0</v>
      </c>
      <c r="L147" s="120">
        <f t="shared" si="22"/>
        <v>0</v>
      </c>
      <c r="M147" s="120">
        <f t="shared" si="22"/>
        <v>0</v>
      </c>
      <c r="N147" s="114" t="s">
        <v>186</v>
      </c>
    </row>
    <row r="148" spans="1:14" ht="19.05" customHeight="1" x14ac:dyDescent="0.3">
      <c r="B148" s="120">
        <f t="shared" si="22"/>
        <v>0</v>
      </c>
      <c r="C148" s="120">
        <f t="shared" si="22"/>
        <v>0</v>
      </c>
      <c r="D148" s="120">
        <f t="shared" si="22"/>
        <v>0</v>
      </c>
      <c r="E148" s="120">
        <f t="shared" si="22"/>
        <v>0</v>
      </c>
      <c r="F148" s="120">
        <f t="shared" si="22"/>
        <v>0</v>
      </c>
      <c r="G148" s="120">
        <f t="shared" si="22"/>
        <v>0</v>
      </c>
      <c r="H148" s="120">
        <f t="shared" si="22"/>
        <v>0</v>
      </c>
      <c r="I148" s="120">
        <f t="shared" si="22"/>
        <v>0</v>
      </c>
      <c r="J148" s="120">
        <f t="shared" si="22"/>
        <v>0</v>
      </c>
      <c r="K148" s="120">
        <f t="shared" si="22"/>
        <v>0</v>
      </c>
      <c r="L148" s="120">
        <f t="shared" si="22"/>
        <v>0</v>
      </c>
      <c r="M148" s="120">
        <f t="shared" si="22"/>
        <v>0</v>
      </c>
      <c r="N148" s="114" t="s">
        <v>187</v>
      </c>
    </row>
    <row r="149" spans="1:14" ht="19.05" customHeight="1" x14ac:dyDescent="0.3">
      <c r="B149" s="120">
        <f t="shared" si="22"/>
        <v>0</v>
      </c>
      <c r="C149" s="120">
        <f t="shared" si="22"/>
        <v>0</v>
      </c>
      <c r="D149" s="120">
        <f t="shared" si="22"/>
        <v>0</v>
      </c>
      <c r="E149" s="120">
        <f t="shared" si="22"/>
        <v>0</v>
      </c>
      <c r="F149" s="120">
        <f t="shared" si="22"/>
        <v>0</v>
      </c>
      <c r="G149" s="120">
        <f t="shared" si="22"/>
        <v>0</v>
      </c>
      <c r="H149" s="120">
        <f t="shared" si="22"/>
        <v>0</v>
      </c>
      <c r="I149" s="120">
        <f t="shared" si="22"/>
        <v>0</v>
      </c>
      <c r="J149" s="120">
        <f t="shared" si="22"/>
        <v>0</v>
      </c>
      <c r="K149" s="120">
        <f t="shared" si="22"/>
        <v>0</v>
      </c>
      <c r="L149" s="120">
        <f t="shared" si="22"/>
        <v>0</v>
      </c>
      <c r="M149" s="120">
        <f t="shared" si="22"/>
        <v>0</v>
      </c>
      <c r="N149" s="114" t="s">
        <v>188</v>
      </c>
    </row>
    <row r="150" spans="1:14" ht="19.05" customHeight="1" x14ac:dyDescent="0.3">
      <c r="B150" s="120">
        <f t="shared" si="22"/>
        <v>0</v>
      </c>
      <c r="C150" s="120">
        <f t="shared" si="22"/>
        <v>0</v>
      </c>
      <c r="D150" s="120">
        <f t="shared" si="22"/>
        <v>0</v>
      </c>
      <c r="E150" s="120">
        <f t="shared" si="22"/>
        <v>0</v>
      </c>
      <c r="F150" s="120">
        <f t="shared" si="22"/>
        <v>0</v>
      </c>
      <c r="G150" s="120">
        <f t="shared" si="22"/>
        <v>0</v>
      </c>
      <c r="H150" s="120">
        <f t="shared" si="22"/>
        <v>0</v>
      </c>
      <c r="I150" s="120">
        <f t="shared" si="22"/>
        <v>0</v>
      </c>
      <c r="J150" s="120">
        <f t="shared" si="22"/>
        <v>0</v>
      </c>
      <c r="K150" s="120">
        <f t="shared" si="22"/>
        <v>0</v>
      </c>
      <c r="L150" s="120">
        <f t="shared" si="22"/>
        <v>0</v>
      </c>
      <c r="M150" s="120">
        <f t="shared" si="22"/>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00" t="s">
        <v>178</v>
      </c>
      <c r="C159" s="100" t="s">
        <v>179</v>
      </c>
      <c r="D159" s="100" t="s">
        <v>180</v>
      </c>
      <c r="E159" s="100" t="s">
        <v>181</v>
      </c>
      <c r="F159" s="100" t="s">
        <v>182</v>
      </c>
      <c r="G159" s="100" t="s">
        <v>183</v>
      </c>
      <c r="H159" s="100" t="s">
        <v>184</v>
      </c>
      <c r="I159" s="100" t="s">
        <v>185</v>
      </c>
      <c r="J159" s="100" t="s">
        <v>186</v>
      </c>
      <c r="K159" s="100" t="s">
        <v>187</v>
      </c>
      <c r="L159" s="100" t="s">
        <v>188</v>
      </c>
      <c r="M159" s="100" t="s">
        <v>189</v>
      </c>
    </row>
    <row r="160" spans="1:14" ht="19.05" customHeight="1" x14ac:dyDescent="0.3">
      <c r="B160" s="120">
        <f t="shared" ref="B160:M171" si="23">IFERROR(INDEX($B$154:$E$157, MATCH($N160, $B$153:$E$153, 0), MATCH(B$159, $B$153:$E$153, 0)), 0)</f>
        <v>0</v>
      </c>
      <c r="C160" s="120">
        <f t="shared" si="23"/>
        <v>0</v>
      </c>
      <c r="D160" s="120">
        <f t="shared" si="23"/>
        <v>0</v>
      </c>
      <c r="E160" s="120">
        <f t="shared" si="23"/>
        <v>0</v>
      </c>
      <c r="F160" s="120">
        <f t="shared" si="23"/>
        <v>0</v>
      </c>
      <c r="G160" s="120">
        <f t="shared" si="23"/>
        <v>0</v>
      </c>
      <c r="H160" s="120">
        <f t="shared" si="23"/>
        <v>0</v>
      </c>
      <c r="I160" s="120">
        <f t="shared" si="23"/>
        <v>0</v>
      </c>
      <c r="J160" s="120">
        <f t="shared" si="23"/>
        <v>0</v>
      </c>
      <c r="K160" s="120">
        <f t="shared" si="23"/>
        <v>0</v>
      </c>
      <c r="L160" s="120">
        <f t="shared" si="23"/>
        <v>0</v>
      </c>
      <c r="M160" s="120">
        <f t="shared" si="23"/>
        <v>0</v>
      </c>
      <c r="N160" s="115" t="s">
        <v>178</v>
      </c>
    </row>
    <row r="161" spans="1:14" ht="19.05" customHeight="1" x14ac:dyDescent="0.3">
      <c r="B161" s="120">
        <f t="shared" si="23"/>
        <v>0</v>
      </c>
      <c r="C161" s="120">
        <f t="shared" si="23"/>
        <v>0</v>
      </c>
      <c r="D161" s="120">
        <f t="shared" si="23"/>
        <v>0</v>
      </c>
      <c r="E161" s="120">
        <f t="shared" si="23"/>
        <v>0</v>
      </c>
      <c r="F161" s="120">
        <f t="shared" si="23"/>
        <v>0</v>
      </c>
      <c r="G161" s="120">
        <f t="shared" si="23"/>
        <v>0</v>
      </c>
      <c r="H161" s="120">
        <f t="shared" si="23"/>
        <v>0</v>
      </c>
      <c r="I161" s="120">
        <f t="shared" si="23"/>
        <v>0</v>
      </c>
      <c r="J161" s="120">
        <f t="shared" si="23"/>
        <v>0</v>
      </c>
      <c r="K161" s="120">
        <f t="shared" si="23"/>
        <v>0</v>
      </c>
      <c r="L161" s="120">
        <f t="shared" si="23"/>
        <v>0</v>
      </c>
      <c r="M161" s="120">
        <f t="shared" si="23"/>
        <v>0</v>
      </c>
      <c r="N161" s="115" t="s">
        <v>179</v>
      </c>
    </row>
    <row r="162" spans="1:14" ht="19.05" customHeight="1" x14ac:dyDescent="0.3">
      <c r="B162" s="120">
        <f t="shared" si="23"/>
        <v>0</v>
      </c>
      <c r="C162" s="120">
        <f t="shared" si="23"/>
        <v>0</v>
      </c>
      <c r="D162" s="120">
        <f t="shared" si="23"/>
        <v>0</v>
      </c>
      <c r="E162" s="120">
        <f t="shared" si="23"/>
        <v>0</v>
      </c>
      <c r="F162" s="120">
        <f t="shared" si="23"/>
        <v>0</v>
      </c>
      <c r="G162" s="120">
        <f t="shared" si="23"/>
        <v>0</v>
      </c>
      <c r="H162" s="120">
        <f t="shared" si="23"/>
        <v>0</v>
      </c>
      <c r="I162" s="120">
        <f t="shared" si="23"/>
        <v>0</v>
      </c>
      <c r="J162" s="120">
        <f t="shared" si="23"/>
        <v>0</v>
      </c>
      <c r="K162" s="120">
        <f t="shared" si="23"/>
        <v>0</v>
      </c>
      <c r="L162" s="120">
        <f t="shared" si="23"/>
        <v>0</v>
      </c>
      <c r="M162" s="120">
        <f t="shared" si="23"/>
        <v>0</v>
      </c>
      <c r="N162" s="115" t="s">
        <v>180</v>
      </c>
    </row>
    <row r="163" spans="1:14" ht="19.05" customHeight="1" x14ac:dyDescent="0.3">
      <c r="B163" s="120">
        <f t="shared" si="23"/>
        <v>0</v>
      </c>
      <c r="C163" s="120">
        <f t="shared" si="23"/>
        <v>0</v>
      </c>
      <c r="D163" s="120">
        <f t="shared" si="23"/>
        <v>0</v>
      </c>
      <c r="E163" s="120">
        <f t="shared" si="23"/>
        <v>0</v>
      </c>
      <c r="F163" s="120">
        <f t="shared" si="23"/>
        <v>0</v>
      </c>
      <c r="G163" s="120">
        <f t="shared" si="23"/>
        <v>0</v>
      </c>
      <c r="H163" s="120">
        <f t="shared" si="23"/>
        <v>0</v>
      </c>
      <c r="I163" s="120">
        <f t="shared" si="23"/>
        <v>0</v>
      </c>
      <c r="J163" s="120">
        <f t="shared" si="23"/>
        <v>0</v>
      </c>
      <c r="K163" s="120">
        <f t="shared" si="23"/>
        <v>0</v>
      </c>
      <c r="L163" s="120">
        <f t="shared" si="23"/>
        <v>0</v>
      </c>
      <c r="M163" s="120">
        <f t="shared" si="23"/>
        <v>0</v>
      </c>
      <c r="N163" s="115" t="s">
        <v>181</v>
      </c>
    </row>
    <row r="164" spans="1:14" ht="19.05" customHeight="1" x14ac:dyDescent="0.3">
      <c r="B164" s="120">
        <f t="shared" si="23"/>
        <v>0</v>
      </c>
      <c r="C164" s="120">
        <f t="shared" si="23"/>
        <v>0</v>
      </c>
      <c r="D164" s="120">
        <f t="shared" si="23"/>
        <v>0</v>
      </c>
      <c r="E164" s="120">
        <f t="shared" si="23"/>
        <v>0</v>
      </c>
      <c r="F164" s="120">
        <f t="shared" si="23"/>
        <v>0</v>
      </c>
      <c r="G164" s="120">
        <f t="shared" si="23"/>
        <v>0</v>
      </c>
      <c r="H164" s="120">
        <f t="shared" si="23"/>
        <v>0</v>
      </c>
      <c r="I164" s="120">
        <f t="shared" si="23"/>
        <v>0</v>
      </c>
      <c r="J164" s="120">
        <f t="shared" si="23"/>
        <v>0</v>
      </c>
      <c r="K164" s="120">
        <f t="shared" si="23"/>
        <v>0</v>
      </c>
      <c r="L164" s="120">
        <f t="shared" si="23"/>
        <v>0</v>
      </c>
      <c r="M164" s="120">
        <f t="shared" si="23"/>
        <v>0</v>
      </c>
      <c r="N164" s="115" t="s">
        <v>182</v>
      </c>
    </row>
    <row r="165" spans="1:14" ht="19.05" customHeight="1" x14ac:dyDescent="0.3">
      <c r="A165" s="118" t="s">
        <v>202</v>
      </c>
      <c r="B165" s="120">
        <f t="shared" si="23"/>
        <v>0</v>
      </c>
      <c r="C165" s="120">
        <f t="shared" si="23"/>
        <v>0</v>
      </c>
      <c r="D165" s="120">
        <f t="shared" si="23"/>
        <v>0</v>
      </c>
      <c r="E165" s="120">
        <f t="shared" si="23"/>
        <v>0</v>
      </c>
      <c r="F165" s="120">
        <f t="shared" si="23"/>
        <v>0</v>
      </c>
      <c r="G165" s="120">
        <f t="shared" si="23"/>
        <v>0</v>
      </c>
      <c r="H165" s="120">
        <f t="shared" si="23"/>
        <v>0</v>
      </c>
      <c r="I165" s="120">
        <f t="shared" si="23"/>
        <v>0</v>
      </c>
      <c r="J165" s="120">
        <f t="shared" si="23"/>
        <v>0</v>
      </c>
      <c r="K165" s="120">
        <f t="shared" si="23"/>
        <v>0</v>
      </c>
      <c r="L165" s="120">
        <f t="shared" si="23"/>
        <v>0</v>
      </c>
      <c r="M165" s="120">
        <f t="shared" si="23"/>
        <v>0</v>
      </c>
      <c r="N165" s="115" t="s">
        <v>183</v>
      </c>
    </row>
    <row r="166" spans="1:14" ht="19.05" customHeight="1" x14ac:dyDescent="0.3">
      <c r="B166" s="120">
        <f t="shared" si="23"/>
        <v>0</v>
      </c>
      <c r="C166" s="120">
        <f t="shared" si="23"/>
        <v>0</v>
      </c>
      <c r="D166" s="120">
        <f t="shared" si="23"/>
        <v>0</v>
      </c>
      <c r="E166" s="120">
        <f t="shared" si="23"/>
        <v>0</v>
      </c>
      <c r="F166" s="120">
        <f t="shared" si="23"/>
        <v>0</v>
      </c>
      <c r="G166" s="120">
        <f t="shared" si="23"/>
        <v>0</v>
      </c>
      <c r="H166" s="120">
        <f t="shared" si="23"/>
        <v>0</v>
      </c>
      <c r="I166" s="120">
        <f t="shared" si="23"/>
        <v>0</v>
      </c>
      <c r="J166" s="120">
        <f t="shared" si="23"/>
        <v>0</v>
      </c>
      <c r="K166" s="120">
        <f t="shared" si="23"/>
        <v>0</v>
      </c>
      <c r="L166" s="120">
        <f t="shared" si="23"/>
        <v>0</v>
      </c>
      <c r="M166" s="120">
        <f t="shared" si="23"/>
        <v>0</v>
      </c>
      <c r="N166" s="115" t="s">
        <v>184</v>
      </c>
    </row>
    <row r="167" spans="1:14" ht="19.05" customHeight="1" x14ac:dyDescent="0.3">
      <c r="B167" s="120">
        <f t="shared" si="23"/>
        <v>0</v>
      </c>
      <c r="C167" s="120">
        <f t="shared" si="23"/>
        <v>0</v>
      </c>
      <c r="D167" s="120">
        <f t="shared" si="23"/>
        <v>0</v>
      </c>
      <c r="E167" s="120">
        <f t="shared" si="23"/>
        <v>0</v>
      </c>
      <c r="F167" s="120">
        <f t="shared" si="23"/>
        <v>0</v>
      </c>
      <c r="G167" s="120">
        <f t="shared" si="23"/>
        <v>0</v>
      </c>
      <c r="H167" s="120">
        <f t="shared" si="23"/>
        <v>0</v>
      </c>
      <c r="I167" s="120">
        <f t="shared" si="23"/>
        <v>0</v>
      </c>
      <c r="J167" s="120">
        <f t="shared" si="23"/>
        <v>0</v>
      </c>
      <c r="K167" s="120">
        <f t="shared" si="23"/>
        <v>0</v>
      </c>
      <c r="L167" s="120">
        <f t="shared" si="23"/>
        <v>0</v>
      </c>
      <c r="M167" s="120">
        <f t="shared" si="23"/>
        <v>0</v>
      </c>
      <c r="N167" s="115" t="s">
        <v>185</v>
      </c>
    </row>
    <row r="168" spans="1:14" ht="19.05" customHeight="1" x14ac:dyDescent="0.3">
      <c r="B168" s="120">
        <f t="shared" si="23"/>
        <v>0</v>
      </c>
      <c r="C168" s="120">
        <f t="shared" si="23"/>
        <v>0</v>
      </c>
      <c r="D168" s="120">
        <f t="shared" si="23"/>
        <v>0</v>
      </c>
      <c r="E168" s="120">
        <f t="shared" si="23"/>
        <v>0</v>
      </c>
      <c r="F168" s="120">
        <f t="shared" si="23"/>
        <v>0</v>
      </c>
      <c r="G168" s="120">
        <f t="shared" si="23"/>
        <v>0</v>
      </c>
      <c r="H168" s="120">
        <f t="shared" si="23"/>
        <v>0</v>
      </c>
      <c r="I168" s="120">
        <f t="shared" si="23"/>
        <v>0</v>
      </c>
      <c r="J168" s="120">
        <f t="shared" si="23"/>
        <v>0</v>
      </c>
      <c r="K168" s="120">
        <f t="shared" si="23"/>
        <v>0</v>
      </c>
      <c r="L168" s="120">
        <f t="shared" si="23"/>
        <v>0</v>
      </c>
      <c r="M168" s="120">
        <f t="shared" si="23"/>
        <v>0</v>
      </c>
      <c r="N168" s="115" t="s">
        <v>186</v>
      </c>
    </row>
    <row r="169" spans="1:14" ht="19.05" customHeight="1" x14ac:dyDescent="0.3">
      <c r="B169" s="120">
        <f t="shared" si="23"/>
        <v>0</v>
      </c>
      <c r="C169" s="120">
        <f t="shared" si="23"/>
        <v>0</v>
      </c>
      <c r="D169" s="120">
        <f t="shared" si="23"/>
        <v>0</v>
      </c>
      <c r="E169" s="120">
        <f t="shared" si="23"/>
        <v>0</v>
      </c>
      <c r="F169" s="120">
        <f t="shared" si="23"/>
        <v>0</v>
      </c>
      <c r="G169" s="120">
        <f t="shared" si="23"/>
        <v>0</v>
      </c>
      <c r="H169" s="120">
        <f t="shared" si="23"/>
        <v>0</v>
      </c>
      <c r="I169" s="120">
        <f t="shared" si="23"/>
        <v>0</v>
      </c>
      <c r="J169" s="120">
        <f t="shared" si="23"/>
        <v>0</v>
      </c>
      <c r="K169" s="120">
        <f t="shared" si="23"/>
        <v>0</v>
      </c>
      <c r="L169" s="120">
        <f t="shared" si="23"/>
        <v>0</v>
      </c>
      <c r="M169" s="120">
        <f t="shared" si="23"/>
        <v>0</v>
      </c>
      <c r="N169" s="115" t="s">
        <v>187</v>
      </c>
    </row>
    <row r="170" spans="1:14" ht="19.05" customHeight="1" x14ac:dyDescent="0.3">
      <c r="B170" s="120">
        <f t="shared" si="23"/>
        <v>0</v>
      </c>
      <c r="C170" s="120">
        <f t="shared" si="23"/>
        <v>0</v>
      </c>
      <c r="D170" s="120">
        <f t="shared" si="23"/>
        <v>0</v>
      </c>
      <c r="E170" s="120">
        <f t="shared" si="23"/>
        <v>0</v>
      </c>
      <c r="F170" s="120">
        <f t="shared" si="23"/>
        <v>0</v>
      </c>
      <c r="G170" s="120">
        <f t="shared" si="23"/>
        <v>0</v>
      </c>
      <c r="H170" s="120">
        <f t="shared" si="23"/>
        <v>0</v>
      </c>
      <c r="I170" s="120">
        <f t="shared" si="23"/>
        <v>0</v>
      </c>
      <c r="J170" s="120">
        <f t="shared" si="23"/>
        <v>0</v>
      </c>
      <c r="K170" s="120">
        <f t="shared" si="23"/>
        <v>0</v>
      </c>
      <c r="L170" s="120">
        <f t="shared" si="23"/>
        <v>0</v>
      </c>
      <c r="M170" s="120">
        <f t="shared" si="23"/>
        <v>0</v>
      </c>
      <c r="N170" s="115" t="s">
        <v>188</v>
      </c>
    </row>
    <row r="171" spans="1:14" ht="19.05" customHeight="1" x14ac:dyDescent="0.3">
      <c r="B171" s="120">
        <f t="shared" si="23"/>
        <v>0</v>
      </c>
      <c r="C171" s="120">
        <f t="shared" si="23"/>
        <v>0</v>
      </c>
      <c r="D171" s="120">
        <f t="shared" si="23"/>
        <v>0</v>
      </c>
      <c r="E171" s="120">
        <f t="shared" si="23"/>
        <v>0</v>
      </c>
      <c r="F171" s="120">
        <f t="shared" si="23"/>
        <v>0</v>
      </c>
      <c r="G171" s="120">
        <f t="shared" si="23"/>
        <v>0</v>
      </c>
      <c r="H171" s="120">
        <f t="shared" si="23"/>
        <v>0</v>
      </c>
      <c r="I171" s="120">
        <f t="shared" si="23"/>
        <v>0</v>
      </c>
      <c r="J171" s="120">
        <f t="shared" si="23"/>
        <v>0</v>
      </c>
      <c r="K171" s="120">
        <f t="shared" si="23"/>
        <v>0</v>
      </c>
      <c r="L171" s="120">
        <f t="shared" si="23"/>
        <v>0</v>
      </c>
      <c r="M171" s="120">
        <f t="shared" si="23"/>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00" t="s">
        <v>178</v>
      </c>
      <c r="C180" s="100" t="s">
        <v>179</v>
      </c>
      <c r="D180" s="100" t="s">
        <v>180</v>
      </c>
      <c r="E180" s="100" t="s">
        <v>181</v>
      </c>
      <c r="F180" s="100" t="s">
        <v>182</v>
      </c>
      <c r="G180" s="100" t="s">
        <v>183</v>
      </c>
      <c r="H180" s="100" t="s">
        <v>184</v>
      </c>
      <c r="I180" s="100" t="s">
        <v>185</v>
      </c>
      <c r="J180" s="100" t="s">
        <v>186</v>
      </c>
      <c r="K180" s="100" t="s">
        <v>187</v>
      </c>
      <c r="L180" s="100" t="s">
        <v>188</v>
      </c>
      <c r="M180" s="100" t="s">
        <v>189</v>
      </c>
    </row>
    <row r="181" spans="1:14" ht="19.05" customHeight="1" x14ac:dyDescent="0.3">
      <c r="B181" s="120">
        <f t="shared" ref="B181:M192" si="24">IFERROR(INDEX($B$175:$E$178, MATCH($N181, $B$174:$E$174, 0), MATCH(B$180, $B$174:$E$174, 0)), 0)</f>
        <v>0</v>
      </c>
      <c r="C181" s="120">
        <f t="shared" si="24"/>
        <v>0</v>
      </c>
      <c r="D181" s="120">
        <f t="shared" si="24"/>
        <v>0</v>
      </c>
      <c r="E181" s="120">
        <f t="shared" si="24"/>
        <v>0</v>
      </c>
      <c r="F181" s="120">
        <f t="shared" si="24"/>
        <v>0</v>
      </c>
      <c r="G181" s="120">
        <f t="shared" si="24"/>
        <v>0</v>
      </c>
      <c r="H181" s="120">
        <f t="shared" si="24"/>
        <v>0</v>
      </c>
      <c r="I181" s="120">
        <f t="shared" si="24"/>
        <v>0</v>
      </c>
      <c r="J181" s="120">
        <f t="shared" si="24"/>
        <v>0</v>
      </c>
      <c r="K181" s="120">
        <f t="shared" si="24"/>
        <v>0</v>
      </c>
      <c r="L181" s="120">
        <f t="shared" si="24"/>
        <v>0</v>
      </c>
      <c r="M181" s="120">
        <f t="shared" si="24"/>
        <v>0</v>
      </c>
      <c r="N181" s="116" t="s">
        <v>178</v>
      </c>
    </row>
    <row r="182" spans="1:14" ht="19.05" customHeight="1" x14ac:dyDescent="0.3">
      <c r="B182" s="120">
        <f t="shared" si="24"/>
        <v>0</v>
      </c>
      <c r="C182" s="120">
        <f t="shared" si="24"/>
        <v>0</v>
      </c>
      <c r="D182" s="120">
        <f t="shared" si="24"/>
        <v>0</v>
      </c>
      <c r="E182" s="120">
        <f t="shared" si="24"/>
        <v>0</v>
      </c>
      <c r="F182" s="120">
        <f t="shared" si="24"/>
        <v>0</v>
      </c>
      <c r="G182" s="120">
        <f t="shared" si="24"/>
        <v>0</v>
      </c>
      <c r="H182" s="120">
        <f t="shared" si="24"/>
        <v>0</v>
      </c>
      <c r="I182" s="120">
        <f t="shared" si="24"/>
        <v>0</v>
      </c>
      <c r="J182" s="120">
        <f t="shared" si="24"/>
        <v>0</v>
      </c>
      <c r="K182" s="120">
        <f t="shared" si="24"/>
        <v>0</v>
      </c>
      <c r="L182" s="120">
        <f t="shared" si="24"/>
        <v>0</v>
      </c>
      <c r="M182" s="120">
        <f t="shared" si="24"/>
        <v>0</v>
      </c>
      <c r="N182" s="116" t="s">
        <v>179</v>
      </c>
    </row>
    <row r="183" spans="1:14" ht="19.05" customHeight="1" x14ac:dyDescent="0.3">
      <c r="B183" s="120">
        <f t="shared" si="24"/>
        <v>0</v>
      </c>
      <c r="C183" s="120">
        <f t="shared" si="24"/>
        <v>0</v>
      </c>
      <c r="D183" s="120">
        <f t="shared" si="24"/>
        <v>0</v>
      </c>
      <c r="E183" s="120">
        <f t="shared" si="24"/>
        <v>0</v>
      </c>
      <c r="F183" s="120">
        <f t="shared" si="24"/>
        <v>0</v>
      </c>
      <c r="G183" s="120">
        <f t="shared" si="24"/>
        <v>0</v>
      </c>
      <c r="H183" s="120">
        <f t="shared" si="24"/>
        <v>0</v>
      </c>
      <c r="I183" s="120">
        <f t="shared" si="24"/>
        <v>0</v>
      </c>
      <c r="J183" s="120">
        <f t="shared" si="24"/>
        <v>0</v>
      </c>
      <c r="K183" s="120">
        <f t="shared" si="24"/>
        <v>0</v>
      </c>
      <c r="L183" s="120">
        <f t="shared" si="24"/>
        <v>0</v>
      </c>
      <c r="M183" s="120">
        <f t="shared" si="24"/>
        <v>0</v>
      </c>
      <c r="N183" s="116" t="s">
        <v>180</v>
      </c>
    </row>
    <row r="184" spans="1:14" ht="19.05" customHeight="1" x14ac:dyDescent="0.3">
      <c r="B184" s="120">
        <f t="shared" si="24"/>
        <v>0</v>
      </c>
      <c r="C184" s="120">
        <f t="shared" si="24"/>
        <v>0</v>
      </c>
      <c r="D184" s="120">
        <f t="shared" si="24"/>
        <v>0</v>
      </c>
      <c r="E184" s="120">
        <f t="shared" si="24"/>
        <v>0</v>
      </c>
      <c r="F184" s="120">
        <f t="shared" si="24"/>
        <v>0</v>
      </c>
      <c r="G184" s="120">
        <f t="shared" si="24"/>
        <v>0</v>
      </c>
      <c r="H184" s="120">
        <f t="shared" si="24"/>
        <v>0</v>
      </c>
      <c r="I184" s="120">
        <f t="shared" si="24"/>
        <v>0</v>
      </c>
      <c r="J184" s="120">
        <f t="shared" si="24"/>
        <v>0</v>
      </c>
      <c r="K184" s="120">
        <f t="shared" si="24"/>
        <v>0</v>
      </c>
      <c r="L184" s="120">
        <f t="shared" si="24"/>
        <v>0</v>
      </c>
      <c r="M184" s="120">
        <f t="shared" si="24"/>
        <v>0</v>
      </c>
      <c r="N184" s="116" t="s">
        <v>181</v>
      </c>
    </row>
    <row r="185" spans="1:14" ht="19.05" customHeight="1" x14ac:dyDescent="0.3">
      <c r="B185" s="120">
        <f t="shared" si="24"/>
        <v>0</v>
      </c>
      <c r="C185" s="120">
        <f t="shared" si="24"/>
        <v>0</v>
      </c>
      <c r="D185" s="120">
        <f t="shared" si="24"/>
        <v>0</v>
      </c>
      <c r="E185" s="120">
        <f t="shared" si="24"/>
        <v>0</v>
      </c>
      <c r="F185" s="120">
        <f t="shared" si="24"/>
        <v>0</v>
      </c>
      <c r="G185" s="120">
        <f t="shared" si="24"/>
        <v>0</v>
      </c>
      <c r="H185" s="120">
        <f t="shared" si="24"/>
        <v>0</v>
      </c>
      <c r="I185" s="120">
        <f t="shared" si="24"/>
        <v>0</v>
      </c>
      <c r="J185" s="120">
        <f t="shared" si="24"/>
        <v>0</v>
      </c>
      <c r="K185" s="120">
        <f t="shared" si="24"/>
        <v>0</v>
      </c>
      <c r="L185" s="120">
        <f t="shared" si="24"/>
        <v>0</v>
      </c>
      <c r="M185" s="120">
        <f t="shared" si="24"/>
        <v>0</v>
      </c>
      <c r="N185" s="116" t="s">
        <v>182</v>
      </c>
    </row>
    <row r="186" spans="1:14" ht="19.05" customHeight="1" x14ac:dyDescent="0.3">
      <c r="A186" s="118" t="s">
        <v>204</v>
      </c>
      <c r="B186" s="120">
        <f t="shared" si="24"/>
        <v>0</v>
      </c>
      <c r="C186" s="120">
        <f t="shared" si="24"/>
        <v>0</v>
      </c>
      <c r="D186" s="120">
        <f t="shared" si="24"/>
        <v>0</v>
      </c>
      <c r="E186" s="120">
        <f t="shared" si="24"/>
        <v>0</v>
      </c>
      <c r="F186" s="120">
        <f t="shared" si="24"/>
        <v>0</v>
      </c>
      <c r="G186" s="120">
        <f t="shared" si="24"/>
        <v>0</v>
      </c>
      <c r="H186" s="120">
        <f t="shared" si="24"/>
        <v>0</v>
      </c>
      <c r="I186" s="120">
        <f t="shared" si="24"/>
        <v>0</v>
      </c>
      <c r="J186" s="120">
        <f t="shared" si="24"/>
        <v>0</v>
      </c>
      <c r="K186" s="120">
        <f t="shared" si="24"/>
        <v>0</v>
      </c>
      <c r="L186" s="120">
        <f t="shared" si="24"/>
        <v>0</v>
      </c>
      <c r="M186" s="120">
        <f t="shared" si="24"/>
        <v>0</v>
      </c>
      <c r="N186" s="116" t="s">
        <v>183</v>
      </c>
    </row>
    <row r="187" spans="1:14" ht="19.05" customHeight="1" x14ac:dyDescent="0.3">
      <c r="B187" s="120">
        <f t="shared" si="24"/>
        <v>0</v>
      </c>
      <c r="C187" s="120">
        <f t="shared" si="24"/>
        <v>0</v>
      </c>
      <c r="D187" s="120">
        <f t="shared" si="24"/>
        <v>0</v>
      </c>
      <c r="E187" s="120">
        <f t="shared" si="24"/>
        <v>0</v>
      </c>
      <c r="F187" s="120">
        <f t="shared" si="24"/>
        <v>0</v>
      </c>
      <c r="G187" s="120">
        <f t="shared" si="24"/>
        <v>0</v>
      </c>
      <c r="H187" s="120">
        <f t="shared" si="24"/>
        <v>0</v>
      </c>
      <c r="I187" s="120">
        <f t="shared" si="24"/>
        <v>0</v>
      </c>
      <c r="J187" s="120">
        <f t="shared" si="24"/>
        <v>0</v>
      </c>
      <c r="K187" s="120">
        <f t="shared" si="24"/>
        <v>0</v>
      </c>
      <c r="L187" s="120">
        <f t="shared" si="24"/>
        <v>0</v>
      </c>
      <c r="M187" s="120">
        <f t="shared" si="24"/>
        <v>0</v>
      </c>
      <c r="N187" s="116" t="s">
        <v>184</v>
      </c>
    </row>
    <row r="188" spans="1:14" ht="19.05" customHeight="1" x14ac:dyDescent="0.3">
      <c r="B188" s="120">
        <f t="shared" si="24"/>
        <v>0</v>
      </c>
      <c r="C188" s="120">
        <f t="shared" si="24"/>
        <v>0</v>
      </c>
      <c r="D188" s="120">
        <f t="shared" si="24"/>
        <v>0</v>
      </c>
      <c r="E188" s="120">
        <f t="shared" si="24"/>
        <v>0</v>
      </c>
      <c r="F188" s="120">
        <f t="shared" si="24"/>
        <v>0</v>
      </c>
      <c r="G188" s="120">
        <f t="shared" si="24"/>
        <v>0</v>
      </c>
      <c r="H188" s="120">
        <f t="shared" si="24"/>
        <v>0</v>
      </c>
      <c r="I188" s="120">
        <f t="shared" si="24"/>
        <v>0</v>
      </c>
      <c r="J188" s="120">
        <f t="shared" si="24"/>
        <v>0</v>
      </c>
      <c r="K188" s="120">
        <f t="shared" si="24"/>
        <v>0</v>
      </c>
      <c r="L188" s="120">
        <f t="shared" si="24"/>
        <v>0</v>
      </c>
      <c r="M188" s="120">
        <f t="shared" si="24"/>
        <v>0</v>
      </c>
      <c r="N188" s="116" t="s">
        <v>185</v>
      </c>
    </row>
    <row r="189" spans="1:14" ht="19.05" customHeight="1" x14ac:dyDescent="0.3">
      <c r="B189" s="120">
        <f t="shared" si="24"/>
        <v>0</v>
      </c>
      <c r="C189" s="120">
        <f t="shared" si="24"/>
        <v>0</v>
      </c>
      <c r="D189" s="120">
        <f t="shared" si="24"/>
        <v>0</v>
      </c>
      <c r="E189" s="120">
        <f t="shared" si="24"/>
        <v>0</v>
      </c>
      <c r="F189" s="120">
        <f t="shared" si="24"/>
        <v>0</v>
      </c>
      <c r="G189" s="120">
        <f t="shared" si="24"/>
        <v>0</v>
      </c>
      <c r="H189" s="120">
        <f t="shared" si="24"/>
        <v>0</v>
      </c>
      <c r="I189" s="120">
        <f t="shared" si="24"/>
        <v>0</v>
      </c>
      <c r="J189" s="120">
        <f t="shared" si="24"/>
        <v>0</v>
      </c>
      <c r="K189" s="120">
        <f t="shared" si="24"/>
        <v>0</v>
      </c>
      <c r="L189" s="120">
        <f t="shared" si="24"/>
        <v>0</v>
      </c>
      <c r="M189" s="120">
        <f t="shared" si="24"/>
        <v>0</v>
      </c>
      <c r="N189" s="116" t="s">
        <v>186</v>
      </c>
    </row>
    <row r="190" spans="1:14" ht="19.05" customHeight="1" x14ac:dyDescent="0.3">
      <c r="B190" s="120">
        <f t="shared" si="24"/>
        <v>0</v>
      </c>
      <c r="C190" s="120">
        <f t="shared" si="24"/>
        <v>0</v>
      </c>
      <c r="D190" s="120">
        <f t="shared" si="24"/>
        <v>0</v>
      </c>
      <c r="E190" s="120">
        <f t="shared" si="24"/>
        <v>0</v>
      </c>
      <c r="F190" s="120">
        <f t="shared" si="24"/>
        <v>0</v>
      </c>
      <c r="G190" s="120">
        <f t="shared" si="24"/>
        <v>0</v>
      </c>
      <c r="H190" s="120">
        <f t="shared" si="24"/>
        <v>0</v>
      </c>
      <c r="I190" s="120">
        <f t="shared" si="24"/>
        <v>0</v>
      </c>
      <c r="J190" s="120">
        <f t="shared" si="24"/>
        <v>0</v>
      </c>
      <c r="K190" s="120">
        <f t="shared" si="24"/>
        <v>0</v>
      </c>
      <c r="L190" s="120">
        <f t="shared" si="24"/>
        <v>0</v>
      </c>
      <c r="M190" s="120">
        <f t="shared" si="24"/>
        <v>0</v>
      </c>
      <c r="N190" s="116" t="s">
        <v>187</v>
      </c>
    </row>
    <row r="191" spans="1:14" ht="19.05" customHeight="1" x14ac:dyDescent="0.3">
      <c r="B191" s="120">
        <f t="shared" si="24"/>
        <v>0</v>
      </c>
      <c r="C191" s="120">
        <f t="shared" si="24"/>
        <v>0</v>
      </c>
      <c r="D191" s="120">
        <f t="shared" si="24"/>
        <v>0</v>
      </c>
      <c r="E191" s="120">
        <f t="shared" si="24"/>
        <v>0</v>
      </c>
      <c r="F191" s="120">
        <f t="shared" si="24"/>
        <v>0</v>
      </c>
      <c r="G191" s="120">
        <f t="shared" si="24"/>
        <v>0</v>
      </c>
      <c r="H191" s="120">
        <f t="shared" si="24"/>
        <v>0</v>
      </c>
      <c r="I191" s="120">
        <f t="shared" si="24"/>
        <v>0</v>
      </c>
      <c r="J191" s="120">
        <f t="shared" si="24"/>
        <v>0</v>
      </c>
      <c r="K191" s="120">
        <f t="shared" si="24"/>
        <v>0</v>
      </c>
      <c r="L191" s="120">
        <f t="shared" si="24"/>
        <v>0</v>
      </c>
      <c r="M191" s="120">
        <f t="shared" si="24"/>
        <v>0</v>
      </c>
      <c r="N191" s="116" t="s">
        <v>188</v>
      </c>
    </row>
    <row r="192" spans="1:14" ht="19.05" customHeight="1" x14ac:dyDescent="0.3">
      <c r="B192" s="120">
        <f t="shared" si="24"/>
        <v>0</v>
      </c>
      <c r="C192" s="120">
        <f t="shared" si="24"/>
        <v>0</v>
      </c>
      <c r="D192" s="120">
        <f t="shared" si="24"/>
        <v>0</v>
      </c>
      <c r="E192" s="120">
        <f t="shared" si="24"/>
        <v>0</v>
      </c>
      <c r="F192" s="120">
        <f t="shared" si="24"/>
        <v>0</v>
      </c>
      <c r="G192" s="120">
        <f t="shared" si="24"/>
        <v>0</v>
      </c>
      <c r="H192" s="120">
        <f t="shared" si="24"/>
        <v>0</v>
      </c>
      <c r="I192" s="120">
        <f t="shared" si="24"/>
        <v>0</v>
      </c>
      <c r="J192" s="120">
        <f t="shared" si="24"/>
        <v>0</v>
      </c>
      <c r="K192" s="120">
        <f t="shared" si="24"/>
        <v>0</v>
      </c>
      <c r="L192" s="120">
        <f t="shared" si="24"/>
        <v>0</v>
      </c>
      <c r="M192" s="120">
        <f t="shared" si="24"/>
        <v>0</v>
      </c>
      <c r="N192" s="116" t="s">
        <v>189</v>
      </c>
    </row>
    <row r="195" spans="1:14" ht="19.95" customHeight="1" x14ac:dyDescent="0.3">
      <c r="B195" s="100" t="s">
        <v>178</v>
      </c>
      <c r="C195" s="100" t="s">
        <v>179</v>
      </c>
      <c r="D195" s="100" t="s">
        <v>180</v>
      </c>
      <c r="E195" s="100" t="s">
        <v>181</v>
      </c>
      <c r="F195" s="100" t="s">
        <v>182</v>
      </c>
      <c r="G195" s="100" t="s">
        <v>183</v>
      </c>
      <c r="H195" s="100" t="s">
        <v>184</v>
      </c>
      <c r="I195" s="100" t="s">
        <v>185</v>
      </c>
      <c r="J195" s="100" t="s">
        <v>186</v>
      </c>
      <c r="K195" s="100" t="s">
        <v>187</v>
      </c>
      <c r="L195" s="100" t="s">
        <v>188</v>
      </c>
      <c r="M195" s="100" t="s">
        <v>189</v>
      </c>
    </row>
    <row r="196" spans="1:14" ht="19.95" customHeight="1" x14ac:dyDescent="0.3">
      <c r="B196" s="128">
        <f t="shared" ref="B196:M196" si="25">B34+B55+B76+B97+B118+B139+B160+B181</f>
        <v>95256</v>
      </c>
      <c r="C196" s="129">
        <f t="shared" si="25"/>
        <v>24192</v>
      </c>
      <c r="D196" s="120">
        <f t="shared" si="25"/>
        <v>-63000</v>
      </c>
      <c r="E196" s="120">
        <f t="shared" si="25"/>
        <v>0</v>
      </c>
      <c r="F196" s="120">
        <f t="shared" si="25"/>
        <v>-32256</v>
      </c>
      <c r="G196" s="120">
        <f t="shared" si="25"/>
        <v>-24192</v>
      </c>
      <c r="H196" s="120">
        <f t="shared" si="25"/>
        <v>0</v>
      </c>
      <c r="I196" s="120">
        <f t="shared" si="25"/>
        <v>0</v>
      </c>
      <c r="J196" s="120">
        <f t="shared" si="25"/>
        <v>0</v>
      </c>
      <c r="K196" s="120">
        <f t="shared" si="25"/>
        <v>0</v>
      </c>
      <c r="L196" s="120">
        <f t="shared" si="25"/>
        <v>0</v>
      </c>
      <c r="M196" s="120">
        <f t="shared" si="25"/>
        <v>0</v>
      </c>
      <c r="N196" s="130" t="s">
        <v>178</v>
      </c>
    </row>
    <row r="197" spans="1:14" ht="19.95" customHeight="1" x14ac:dyDescent="0.3">
      <c r="B197" s="129">
        <f t="shared" ref="B197:M197" si="26">B35+B56+B77+B98+B119+B140+B161+B182</f>
        <v>24192</v>
      </c>
      <c r="C197" s="128">
        <f t="shared" si="26"/>
        <v>102144</v>
      </c>
      <c r="D197" s="120">
        <f t="shared" si="26"/>
        <v>0</v>
      </c>
      <c r="E197" s="120">
        <f t="shared" si="26"/>
        <v>0</v>
      </c>
      <c r="F197" s="120">
        <f t="shared" si="26"/>
        <v>-24192</v>
      </c>
      <c r="G197" s="120">
        <f t="shared" si="26"/>
        <v>-18144</v>
      </c>
      <c r="H197" s="120">
        <f t="shared" si="26"/>
        <v>0</v>
      </c>
      <c r="I197" s="120">
        <f t="shared" si="26"/>
        <v>-84000</v>
      </c>
      <c r="J197" s="120">
        <f t="shared" si="26"/>
        <v>0</v>
      </c>
      <c r="K197" s="120">
        <f t="shared" si="26"/>
        <v>0</v>
      </c>
      <c r="L197" s="120">
        <f t="shared" si="26"/>
        <v>0</v>
      </c>
      <c r="M197" s="120">
        <f t="shared" si="26"/>
        <v>0</v>
      </c>
      <c r="N197" s="130" t="s">
        <v>179</v>
      </c>
    </row>
    <row r="198" spans="1:14" ht="19.95" customHeight="1" x14ac:dyDescent="0.3">
      <c r="B198" s="120">
        <f t="shared" ref="B198:M198" si="27">B36+B57+B78+B99+B120+B141+B162+B183</f>
        <v>-63000</v>
      </c>
      <c r="C198" s="120">
        <f t="shared" si="27"/>
        <v>0</v>
      </c>
      <c r="D198" s="128">
        <f t="shared" si="27"/>
        <v>95256</v>
      </c>
      <c r="E198" s="129">
        <f t="shared" si="27"/>
        <v>-24192</v>
      </c>
      <c r="F198" s="120">
        <f t="shared" si="27"/>
        <v>0</v>
      </c>
      <c r="G198" s="120">
        <f t="shared" si="27"/>
        <v>0</v>
      </c>
      <c r="H198" s="120">
        <f t="shared" si="27"/>
        <v>-32256</v>
      </c>
      <c r="I198" s="120">
        <f t="shared" si="27"/>
        <v>24192</v>
      </c>
      <c r="J198" s="120">
        <f t="shared" si="27"/>
        <v>0</v>
      </c>
      <c r="K198" s="120">
        <f t="shared" si="27"/>
        <v>0</v>
      </c>
      <c r="L198" s="120">
        <f t="shared" si="27"/>
        <v>0</v>
      </c>
      <c r="M198" s="120">
        <f t="shared" si="27"/>
        <v>0</v>
      </c>
      <c r="N198" s="130" t="s">
        <v>180</v>
      </c>
    </row>
    <row r="199" spans="1:14" ht="19.95" customHeight="1" x14ac:dyDescent="0.3">
      <c r="B199" s="120">
        <f t="shared" ref="B199:M199" si="28">B37+B58+B79+B100+B121+B142+B163+B184</f>
        <v>0</v>
      </c>
      <c r="C199" s="120">
        <f t="shared" si="28"/>
        <v>0</v>
      </c>
      <c r="D199" s="129">
        <f t="shared" si="28"/>
        <v>-24192</v>
      </c>
      <c r="E199" s="128">
        <f t="shared" si="28"/>
        <v>102144</v>
      </c>
      <c r="F199" s="120">
        <f t="shared" si="28"/>
        <v>0</v>
      </c>
      <c r="G199" s="120">
        <f t="shared" si="28"/>
        <v>-84000</v>
      </c>
      <c r="H199" s="120">
        <f t="shared" si="28"/>
        <v>24192</v>
      </c>
      <c r="I199" s="120">
        <f t="shared" si="28"/>
        <v>-18144</v>
      </c>
      <c r="J199" s="120">
        <f t="shared" si="28"/>
        <v>0</v>
      </c>
      <c r="K199" s="120">
        <f t="shared" si="28"/>
        <v>0</v>
      </c>
      <c r="L199" s="120">
        <f t="shared" si="28"/>
        <v>0</v>
      </c>
      <c r="M199" s="120">
        <f t="shared" si="28"/>
        <v>0</v>
      </c>
      <c r="N199" s="130" t="s">
        <v>181</v>
      </c>
    </row>
    <row r="200" spans="1:14" ht="19.95" customHeight="1" x14ac:dyDescent="0.3">
      <c r="B200" s="120">
        <f t="shared" ref="B200:M200" si="29">B38+B59+B80+B101+B122+B143+B164+B185</f>
        <v>-32256</v>
      </c>
      <c r="C200" s="120">
        <f t="shared" si="29"/>
        <v>-24192</v>
      </c>
      <c r="D200" s="120">
        <f t="shared" si="29"/>
        <v>0</v>
      </c>
      <c r="E200" s="120">
        <f t="shared" si="29"/>
        <v>0</v>
      </c>
      <c r="F200" s="128">
        <f t="shared" si="29"/>
        <v>95256</v>
      </c>
      <c r="G200" s="129">
        <f t="shared" si="29"/>
        <v>24192</v>
      </c>
      <c r="H200" s="120">
        <f t="shared" si="29"/>
        <v>-63000</v>
      </c>
      <c r="I200" s="120">
        <f t="shared" si="29"/>
        <v>0</v>
      </c>
      <c r="J200" s="120">
        <f t="shared" si="29"/>
        <v>0</v>
      </c>
      <c r="K200" s="120">
        <f t="shared" si="29"/>
        <v>0</v>
      </c>
      <c r="L200" s="120">
        <f t="shared" si="29"/>
        <v>0</v>
      </c>
      <c r="M200" s="120">
        <f t="shared" si="29"/>
        <v>0</v>
      </c>
      <c r="N200" s="130" t="s">
        <v>182</v>
      </c>
    </row>
    <row r="201" spans="1:14" ht="19.95" customHeight="1" x14ac:dyDescent="0.3">
      <c r="A201" s="118" t="s">
        <v>205</v>
      </c>
      <c r="B201" s="120">
        <f t="shared" ref="B201:M201" si="30">B39+B60+B81+B102+B123+B144+B165+B186</f>
        <v>-24192</v>
      </c>
      <c r="C201" s="120">
        <f t="shared" si="30"/>
        <v>-18144</v>
      </c>
      <c r="D201" s="120">
        <f t="shared" si="30"/>
        <v>0</v>
      </c>
      <c r="E201" s="120">
        <f t="shared" si="30"/>
        <v>-84000</v>
      </c>
      <c r="F201" s="129">
        <f t="shared" si="30"/>
        <v>24192</v>
      </c>
      <c r="G201" s="128">
        <f t="shared" si="30"/>
        <v>102144</v>
      </c>
      <c r="H201" s="120">
        <f t="shared" si="30"/>
        <v>0</v>
      </c>
      <c r="I201" s="120">
        <f t="shared" si="30"/>
        <v>0</v>
      </c>
      <c r="J201" s="120">
        <f t="shared" si="30"/>
        <v>0</v>
      </c>
      <c r="K201" s="120">
        <f t="shared" si="30"/>
        <v>0</v>
      </c>
      <c r="L201" s="120">
        <f t="shared" si="30"/>
        <v>0</v>
      </c>
      <c r="M201" s="120">
        <f t="shared" si="30"/>
        <v>0</v>
      </c>
      <c r="N201" s="130" t="s">
        <v>183</v>
      </c>
    </row>
    <row r="202" spans="1:14" ht="19.95" customHeight="1" x14ac:dyDescent="0.3">
      <c r="B202" s="120">
        <f t="shared" ref="B202:M202" si="31">B40+B61+B82+B103+B124+B145+B166+B187</f>
        <v>0</v>
      </c>
      <c r="C202" s="120">
        <f t="shared" si="31"/>
        <v>0</v>
      </c>
      <c r="D202" s="120">
        <f t="shared" si="31"/>
        <v>-32256</v>
      </c>
      <c r="E202" s="120">
        <f t="shared" si="31"/>
        <v>24192</v>
      </c>
      <c r="F202" s="120">
        <f t="shared" si="31"/>
        <v>-63000</v>
      </c>
      <c r="G202" s="120">
        <f t="shared" si="31"/>
        <v>0</v>
      </c>
      <c r="H202" s="128">
        <f t="shared" si="31"/>
        <v>95256</v>
      </c>
      <c r="I202" s="129">
        <f t="shared" si="31"/>
        <v>-24192</v>
      </c>
      <c r="J202" s="120">
        <f t="shared" si="31"/>
        <v>0</v>
      </c>
      <c r="K202" s="120">
        <f t="shared" si="31"/>
        <v>0</v>
      </c>
      <c r="L202" s="120">
        <f t="shared" si="31"/>
        <v>0</v>
      </c>
      <c r="M202" s="120">
        <f t="shared" si="31"/>
        <v>0</v>
      </c>
      <c r="N202" s="130" t="s">
        <v>184</v>
      </c>
    </row>
    <row r="203" spans="1:14" ht="19.95" customHeight="1" x14ac:dyDescent="0.3">
      <c r="B203" s="120">
        <f t="shared" ref="B203:M203" si="32">B41+B62+B83+B104+B125+B146+B167+B188</f>
        <v>0</v>
      </c>
      <c r="C203" s="120">
        <f t="shared" si="32"/>
        <v>-84000</v>
      </c>
      <c r="D203" s="120">
        <f t="shared" si="32"/>
        <v>24192</v>
      </c>
      <c r="E203" s="120">
        <f t="shared" si="32"/>
        <v>-18144</v>
      </c>
      <c r="F203" s="120">
        <f t="shared" si="32"/>
        <v>0</v>
      </c>
      <c r="G203" s="120">
        <f t="shared" si="32"/>
        <v>0</v>
      </c>
      <c r="H203" s="129">
        <f t="shared" si="32"/>
        <v>-24192</v>
      </c>
      <c r="I203" s="128">
        <f t="shared" si="32"/>
        <v>102144</v>
      </c>
      <c r="J203" s="120">
        <f t="shared" si="32"/>
        <v>0</v>
      </c>
      <c r="K203" s="120">
        <f t="shared" si="32"/>
        <v>0</v>
      </c>
      <c r="L203" s="120">
        <f t="shared" si="32"/>
        <v>0</v>
      </c>
      <c r="M203" s="120">
        <f t="shared" si="32"/>
        <v>0</v>
      </c>
      <c r="N203" s="130" t="s">
        <v>185</v>
      </c>
    </row>
    <row r="204" spans="1:14" ht="19.95" customHeight="1" x14ac:dyDescent="0.3">
      <c r="B204" s="120">
        <f t="shared" ref="B204:M204" si="33">B42+B63+B84+B105+B126+B147+B168+B189</f>
        <v>0</v>
      </c>
      <c r="C204" s="120">
        <f t="shared" si="33"/>
        <v>0</v>
      </c>
      <c r="D204" s="120">
        <f t="shared" si="33"/>
        <v>0</v>
      </c>
      <c r="E204" s="120">
        <f t="shared" si="33"/>
        <v>0</v>
      </c>
      <c r="F204" s="120">
        <f t="shared" si="33"/>
        <v>0</v>
      </c>
      <c r="G204" s="120">
        <f t="shared" si="33"/>
        <v>0</v>
      </c>
      <c r="H204" s="120">
        <f t="shared" si="33"/>
        <v>0</v>
      </c>
      <c r="I204" s="120">
        <f t="shared" si="33"/>
        <v>0</v>
      </c>
      <c r="J204" s="128">
        <f t="shared" si="33"/>
        <v>0</v>
      </c>
      <c r="K204" s="129">
        <f t="shared" si="33"/>
        <v>0</v>
      </c>
      <c r="L204" s="120">
        <f t="shared" si="33"/>
        <v>0</v>
      </c>
      <c r="M204" s="120">
        <f t="shared" si="33"/>
        <v>0</v>
      </c>
      <c r="N204" s="130" t="s">
        <v>186</v>
      </c>
    </row>
    <row r="205" spans="1:14" ht="19.95" customHeight="1" x14ac:dyDescent="0.3">
      <c r="B205" s="120">
        <f t="shared" ref="B205:M205" si="34">B43+B64+B85+B106+B127+B148+B169+B190</f>
        <v>0</v>
      </c>
      <c r="C205" s="120">
        <f t="shared" si="34"/>
        <v>0</v>
      </c>
      <c r="D205" s="120">
        <f t="shared" si="34"/>
        <v>0</v>
      </c>
      <c r="E205" s="120">
        <f t="shared" si="34"/>
        <v>0</v>
      </c>
      <c r="F205" s="120">
        <f t="shared" si="34"/>
        <v>0</v>
      </c>
      <c r="G205" s="120">
        <f t="shared" si="34"/>
        <v>0</v>
      </c>
      <c r="H205" s="120">
        <f t="shared" si="34"/>
        <v>0</v>
      </c>
      <c r="I205" s="120">
        <f t="shared" si="34"/>
        <v>0</v>
      </c>
      <c r="J205" s="129">
        <f t="shared" si="34"/>
        <v>0</v>
      </c>
      <c r="K205" s="128">
        <f t="shared" si="34"/>
        <v>0</v>
      </c>
      <c r="L205" s="120">
        <f t="shared" si="34"/>
        <v>0</v>
      </c>
      <c r="M205" s="120">
        <f t="shared" si="34"/>
        <v>0</v>
      </c>
      <c r="N205" s="130" t="s">
        <v>187</v>
      </c>
    </row>
    <row r="206" spans="1:14" ht="19.95" customHeight="1" x14ac:dyDescent="0.3">
      <c r="B206" s="120">
        <f t="shared" ref="B206:M206" si="35">B44+B65+B86+B107+B128+B149+B170+B191</f>
        <v>0</v>
      </c>
      <c r="C206" s="120">
        <f t="shared" si="35"/>
        <v>0</v>
      </c>
      <c r="D206" s="120">
        <f t="shared" si="35"/>
        <v>0</v>
      </c>
      <c r="E206" s="120">
        <f t="shared" si="35"/>
        <v>0</v>
      </c>
      <c r="F206" s="120">
        <f t="shared" si="35"/>
        <v>0</v>
      </c>
      <c r="G206" s="120">
        <f t="shared" si="35"/>
        <v>0</v>
      </c>
      <c r="H206" s="120">
        <f t="shared" si="35"/>
        <v>0</v>
      </c>
      <c r="I206" s="120">
        <f t="shared" si="35"/>
        <v>0</v>
      </c>
      <c r="J206" s="120">
        <f t="shared" si="35"/>
        <v>0</v>
      </c>
      <c r="K206" s="120">
        <f t="shared" si="35"/>
        <v>0</v>
      </c>
      <c r="L206" s="128">
        <f t="shared" si="35"/>
        <v>0</v>
      </c>
      <c r="M206" s="129">
        <f t="shared" si="35"/>
        <v>0</v>
      </c>
      <c r="N206" s="130" t="s">
        <v>188</v>
      </c>
    </row>
    <row r="207" spans="1:14" ht="19.95" customHeight="1" x14ac:dyDescent="0.3">
      <c r="B207" s="120">
        <f t="shared" ref="B207:M207" si="36">B45+B66+B87+B108+B129+B150+B171+B192</f>
        <v>0</v>
      </c>
      <c r="C207" s="120">
        <f t="shared" si="36"/>
        <v>0</v>
      </c>
      <c r="D207" s="120">
        <f t="shared" si="36"/>
        <v>0</v>
      </c>
      <c r="E207" s="120">
        <f t="shared" si="36"/>
        <v>0</v>
      </c>
      <c r="F207" s="120">
        <f t="shared" si="36"/>
        <v>0</v>
      </c>
      <c r="G207" s="120">
        <f t="shared" si="36"/>
        <v>0</v>
      </c>
      <c r="H207" s="120">
        <f t="shared" si="36"/>
        <v>0</v>
      </c>
      <c r="I207" s="120">
        <f t="shared" si="36"/>
        <v>0</v>
      </c>
      <c r="J207" s="120">
        <f t="shared" si="36"/>
        <v>0</v>
      </c>
      <c r="K207" s="120">
        <f t="shared" si="36"/>
        <v>0</v>
      </c>
      <c r="L207" s="129">
        <f t="shared" si="36"/>
        <v>0</v>
      </c>
      <c r="M207" s="128">
        <f t="shared" si="36"/>
        <v>0</v>
      </c>
      <c r="N207" s="130" t="s">
        <v>189</v>
      </c>
    </row>
    <row r="210" spans="1:31" ht="19.95" customHeight="1" x14ac:dyDescent="0.35">
      <c r="A210" s="131" t="s">
        <v>206</v>
      </c>
      <c r="Z210" s="189" t="s">
        <v>207</v>
      </c>
      <c r="AA210" s="189"/>
      <c r="AB210" s="189"/>
      <c r="AC210" s="189"/>
      <c r="AD210" s="189"/>
      <c r="AE210" s="189"/>
    </row>
    <row r="211" spans="1:31" ht="16.95" customHeight="1" x14ac:dyDescent="0.3">
      <c r="B211" s="132" t="s">
        <v>208</v>
      </c>
      <c r="C211" s="132" t="s">
        <v>178</v>
      </c>
      <c r="E211" s="133" t="str">
        <f>IF(IFERROR(VLOOKUP(1, $P$6:$W$11, 2, FALSE), "")="", 0, IF(VLOOKUP(1, $P$6:$W$11, 5, FALSE)=1, B211, VLOOKUP(1, $P$6:$W$11, 7, FALSE)))</f>
        <v>C1X</v>
      </c>
      <c r="Z211" s="188" t="s">
        <v>209</v>
      </c>
      <c r="AA211" s="188"/>
      <c r="AB211" s="188"/>
      <c r="AC211" s="188"/>
      <c r="AD211" s="188"/>
      <c r="AE211" s="188"/>
    </row>
    <row r="212" spans="1:31" ht="16.95" customHeight="1" x14ac:dyDescent="0.3">
      <c r="B212" s="132" t="s">
        <v>210</v>
      </c>
      <c r="C212" s="132" t="s">
        <v>179</v>
      </c>
      <c r="E212" s="133" t="str">
        <f>IF(IFERROR(VLOOKUP(1, $P$6:$W$11, 2, FALSE), "")="", 0, IF(VLOOKUP(1, $P$6:$W$11, 6, FALSE)=1, B212, VLOOKUP(1, $P$6:$W$11, 8, FALSE)))</f>
        <v>C1Y</v>
      </c>
      <c r="Z212" s="188" t="s">
        <v>211</v>
      </c>
      <c r="AA212" s="188"/>
      <c r="AB212" s="188"/>
      <c r="AC212" s="188"/>
      <c r="AD212" s="188"/>
      <c r="AE212" s="188"/>
    </row>
    <row r="213" spans="1:31" ht="16.95" customHeight="1" x14ac:dyDescent="0.3">
      <c r="B213" s="132" t="s">
        <v>212</v>
      </c>
      <c r="C213" s="132" t="s">
        <v>180</v>
      </c>
      <c r="E213" s="133" t="str">
        <f>IF(IFERROR(VLOOKUP(2, $P$6:$W$11, 2, FALSE), "")="", 0, IF(VLOOKUP(2, $P$6:$W$11, 5, FALSE)=1, B213, VLOOKUP(2, $P$6:$W$11, 7, FALSE)))</f>
        <v>C2X</v>
      </c>
      <c r="Z213" s="188" t="s">
        <v>213</v>
      </c>
      <c r="AA213" s="188"/>
      <c r="AB213" s="188"/>
      <c r="AC213" s="188"/>
      <c r="AD213" s="188"/>
      <c r="AE213" s="188"/>
    </row>
    <row r="214" spans="1:31" ht="16.95" customHeight="1" x14ac:dyDescent="0.3">
      <c r="B214" s="132" t="s">
        <v>214</v>
      </c>
      <c r="C214" s="132" t="s">
        <v>181</v>
      </c>
      <c r="E214" s="133" t="str">
        <f>IF(IFERROR(VLOOKUP(2, $P$6:$W$11, 2, FALSE), "")="", 0, IF(VLOOKUP(2, $P$6:$W$11, 6, FALSE)=1, B214, VLOOKUP(2, $P$6:$W$11, 8, FALSE)))</f>
        <v>C2Y</v>
      </c>
      <c r="Z214" s="188" t="s">
        <v>215</v>
      </c>
      <c r="AA214" s="188"/>
      <c r="AB214" s="188"/>
      <c r="AC214" s="188"/>
      <c r="AD214" s="188"/>
      <c r="AE214" s="188"/>
    </row>
    <row r="215" spans="1:31" ht="16.95" customHeight="1" x14ac:dyDescent="0.3">
      <c r="B215" s="132" t="s">
        <v>216</v>
      </c>
      <c r="C215" s="132" t="s">
        <v>182</v>
      </c>
      <c r="E215" s="133">
        <f>IF(IFERROR(VLOOKUP(3, $P$6:$W$11, 2, FALSE), "")="", 0, IF(VLOOKUP(3, $P$6:$W$11, 5, FALSE)=1, B215, VLOOKUP(3, $P$6:$W$11, 7, FALSE)))</f>
        <v>3500</v>
      </c>
      <c r="Z215" s="188" t="s">
        <v>217</v>
      </c>
      <c r="AA215" s="188"/>
      <c r="AB215" s="188"/>
      <c r="AC215" s="188"/>
      <c r="AD215" s="188"/>
      <c r="AE215" s="188"/>
    </row>
    <row r="216" spans="1:31" ht="16.95" customHeight="1" x14ac:dyDescent="0.3">
      <c r="A216" s="110" t="s">
        <v>218</v>
      </c>
      <c r="B216" s="132" t="s">
        <v>219</v>
      </c>
      <c r="C216" s="132" t="s">
        <v>183</v>
      </c>
      <c r="D216" s="13" t="s">
        <v>220</v>
      </c>
      <c r="E216" s="133">
        <f>IF(IFERROR(VLOOKUP(3, $P$6:$W$11, 2, FALSE), "")="", 0, IF(VLOOKUP(3, $P$6:$W$11, 6, FALSE)=1, B216, VLOOKUP(3, $P$6:$W$11, 8, FALSE)))</f>
        <v>-5000</v>
      </c>
      <c r="Z216" s="188"/>
      <c r="AA216" s="188"/>
      <c r="AB216" s="188"/>
      <c r="AC216" s="188"/>
      <c r="AD216" s="188"/>
      <c r="AE216" s="188"/>
    </row>
    <row r="217" spans="1:31" ht="16.95" customHeight="1" x14ac:dyDescent="0.3">
      <c r="B217" s="132" t="s">
        <v>221</v>
      </c>
      <c r="C217" s="132" t="s">
        <v>184</v>
      </c>
      <c r="E217" s="133">
        <f>IF(IFERROR(VLOOKUP(4, $P$6:$W$11, 2, FALSE), "")="", 0, IF(VLOOKUP(4, $P$6:$W$11, 5, FALSE)=1, B217, VLOOKUP(4, $P$6:$W$11, 7, FALSE)))</f>
        <v>3500</v>
      </c>
      <c r="Z217" s="188"/>
      <c r="AA217" s="188"/>
      <c r="AB217" s="188"/>
      <c r="AC217" s="188"/>
      <c r="AD217" s="188"/>
      <c r="AE217" s="188"/>
    </row>
    <row r="218" spans="1:31" ht="16.95" customHeight="1" x14ac:dyDescent="0.3">
      <c r="B218" s="132" t="s">
        <v>222</v>
      </c>
      <c r="C218" s="132" t="s">
        <v>185</v>
      </c>
      <c r="E218" s="133">
        <f>IF(IFERROR(VLOOKUP(4, $P$6:$W$11, 2, FALSE), "")="", 0, IF(VLOOKUP(4, $P$6:$W$11, 6, FALSE)=1, B218, VLOOKUP(4, $P$6:$W$11, 8, FALSE)))</f>
        <v>0</v>
      </c>
      <c r="Z218" s="188"/>
      <c r="AA218" s="188"/>
      <c r="AB218" s="188"/>
      <c r="AC218" s="188"/>
      <c r="AD218" s="188"/>
      <c r="AE218" s="188"/>
    </row>
    <row r="219" spans="1:31" ht="16.95" customHeight="1" x14ac:dyDescent="0.3">
      <c r="B219" s="132" t="s">
        <v>223</v>
      </c>
      <c r="C219" s="132" t="s">
        <v>186</v>
      </c>
      <c r="E219" s="133">
        <f>IF(IFERROR(VLOOKUP(5, $P$6:$W$11, 2, FALSE), "")="", 0, IF(VLOOKUP(5, $P$6:$W$11, 5, FALSE)=1, B219, VLOOKUP(5, $P$6:$W$11, 7, FALSE)))</f>
        <v>0</v>
      </c>
      <c r="Z219" s="188"/>
      <c r="AA219" s="188"/>
      <c r="AB219" s="188"/>
      <c r="AC219" s="188"/>
      <c r="AD219" s="188"/>
      <c r="AE219" s="188"/>
    </row>
    <row r="220" spans="1:31" ht="16.95" customHeight="1" x14ac:dyDescent="0.3">
      <c r="B220" s="132" t="s">
        <v>224</v>
      </c>
      <c r="C220" s="132" t="s">
        <v>187</v>
      </c>
      <c r="E220" s="133">
        <f>IF(IFERROR(VLOOKUP(5, $P$6:$W$11, 2, FALSE), "")="", 0, IF(VLOOKUP(5, $P$6:$W$11, 6, FALSE)=1, B220, VLOOKUP(5, $P$6:$W$11, 8, FALSE)))</f>
        <v>0</v>
      </c>
      <c r="Z220" s="188"/>
      <c r="AA220" s="188"/>
      <c r="AB220" s="188"/>
      <c r="AC220" s="188"/>
      <c r="AD220" s="188"/>
      <c r="AE220" s="188"/>
    </row>
    <row r="221" spans="1:31" ht="16.95" customHeight="1" x14ac:dyDescent="0.3">
      <c r="B221" s="132" t="s">
        <v>225</v>
      </c>
      <c r="C221" s="132" t="s">
        <v>188</v>
      </c>
      <c r="E221" s="133">
        <f>IF(IFERROR(VLOOKUP(6, $P$6:$W$11, 2, FALSE), "")="", 0, IF(VLOOKUP(6, $P$6:$W$11, 5, FALSE)=1, B221, VLOOKUP(6, $P$6:$W$11, 7, FALSE)))</f>
        <v>0</v>
      </c>
      <c r="Z221" s="188"/>
      <c r="AA221" s="188"/>
      <c r="AB221" s="188"/>
      <c r="AC221" s="188"/>
      <c r="AD221" s="188"/>
      <c r="AE221" s="188"/>
    </row>
    <row r="222" spans="1:31" ht="16.95" customHeight="1" x14ac:dyDescent="0.3">
      <c r="B222" s="132" t="s">
        <v>226</v>
      </c>
      <c r="C222" s="132" t="s">
        <v>189</v>
      </c>
      <c r="E222" s="133">
        <f>IF(IFERROR(VLOOKUP(6, $P$6:$W$11, 2, FALSE), "")="", 0, IF(VLOOKUP(6, $P$6:$W$11, 6, FALSE)=1, B222, VLOOKUP(6, $P$6:$W$11, 8, FALSE)))</f>
        <v>0</v>
      </c>
      <c r="Z222" s="188"/>
      <c r="AA222" s="188"/>
      <c r="AB222" s="188"/>
      <c r="AC222" s="188"/>
      <c r="AD222" s="188"/>
      <c r="AE222" s="188"/>
    </row>
    <row r="223" spans="1:31" ht="16.95" customHeight="1" x14ac:dyDescent="0.3">
      <c r="Z223" s="188"/>
      <c r="AA223" s="188"/>
      <c r="AB223" s="188"/>
      <c r="AC223" s="188"/>
      <c r="AD223" s="188"/>
      <c r="AE223" s="188"/>
    </row>
    <row r="224" spans="1:31" ht="16.95" customHeight="1" x14ac:dyDescent="0.35">
      <c r="A224" s="131" t="s">
        <v>227</v>
      </c>
      <c r="Z224" s="188"/>
      <c r="AA224" s="188"/>
      <c r="AB224" s="188"/>
      <c r="AC224" s="188"/>
      <c r="AD224" s="188"/>
      <c r="AE224" s="188"/>
    </row>
    <row r="225" spans="1:31" ht="16.95" customHeight="1" x14ac:dyDescent="0.3">
      <c r="B225" s="132" t="s">
        <v>228</v>
      </c>
      <c r="C225" s="132" t="s">
        <v>178</v>
      </c>
      <c r="E225" s="111">
        <f>IF(IFERROR(VLOOKUP(1, $P$6:$W$11, 2, FALSE), "")="", 0, IF(VLOOKUP(1, $P$6:$W$11, 5, FALSE)=1, 0, B225))</f>
        <v>0</v>
      </c>
      <c r="F225" s="134" t="str">
        <f>IF(ISTEXT(E225), 1, "")</f>
        <v/>
      </c>
      <c r="G225" s="134">
        <f>IF(ISTEXT(E211), 1, "")</f>
        <v>1</v>
      </c>
      <c r="Z225" s="188"/>
      <c r="AA225" s="188"/>
      <c r="AB225" s="188"/>
      <c r="AC225" s="188"/>
      <c r="AD225" s="188"/>
      <c r="AE225" s="188"/>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2</v>
      </c>
      <c r="Z226" s="188"/>
      <c r="AA226" s="188"/>
      <c r="AB226" s="188"/>
      <c r="AC226" s="188"/>
      <c r="AD226" s="188"/>
      <c r="AE226" s="188"/>
    </row>
    <row r="227" spans="1:31" ht="16.95" customHeight="1" x14ac:dyDescent="0.3">
      <c r="B227" s="132" t="s">
        <v>230</v>
      </c>
      <c r="C227" s="132" t="s">
        <v>180</v>
      </c>
      <c r="E227" s="111">
        <f>IF(IFERROR(VLOOKUP(2, $P$6:$W$11, 2, FALSE), "")="", 0, IF(VLOOKUP(2, $P$6:$W$11, 5, FALSE)=1, 0, B227))</f>
        <v>0</v>
      </c>
      <c r="F227" s="134" t="str">
        <f>IF(ISTEXT(E227), MAX(F$225:F226) + 1, "")</f>
        <v/>
      </c>
      <c r="G227" s="134">
        <f>IF(ISTEXT(E213), MAX(G$225:G226) + 1, "")</f>
        <v>3</v>
      </c>
      <c r="Z227" s="188"/>
      <c r="AA227" s="188"/>
      <c r="AB227" s="188"/>
      <c r="AC227" s="188"/>
      <c r="AD227" s="188"/>
      <c r="AE227" s="188"/>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4</v>
      </c>
      <c r="Z228" s="188"/>
      <c r="AA228" s="188"/>
      <c r="AB228" s="188"/>
      <c r="AC228" s="188"/>
      <c r="AD228" s="188"/>
      <c r="AE228" s="188"/>
    </row>
    <row r="229" spans="1:31" ht="16.95" customHeight="1" x14ac:dyDescent="0.3">
      <c r="B229" s="132" t="s">
        <v>232</v>
      </c>
      <c r="C229" s="132" t="s">
        <v>182</v>
      </c>
      <c r="E229" s="111" t="str">
        <f>IF(IFERROR(VLOOKUP(3, $P$6:$W$11, 2, FALSE), "")="", 0, IF(VLOOKUP(3, $P$6:$W$11, 5, FALSE)=1, 0, B229))</f>
        <v>D3X</v>
      </c>
      <c r="F229" s="134">
        <f>IF(ISTEXT(E229), MAX(F$225:F228) + 1, "")</f>
        <v>1</v>
      </c>
      <c r="G229" s="134" t="str">
        <f>IF(ISTEXT(E215), MAX(G$225:G228) + 1, "")</f>
        <v/>
      </c>
      <c r="Z229" s="188"/>
      <c r="AA229" s="188"/>
      <c r="AB229" s="188"/>
      <c r="AC229" s="188"/>
      <c r="AD229" s="188"/>
      <c r="AE229" s="188"/>
    </row>
    <row r="230" spans="1:31" ht="16.95" customHeight="1" x14ac:dyDescent="0.3">
      <c r="A230" s="110" t="s">
        <v>233</v>
      </c>
      <c r="B230" s="132" t="s">
        <v>234</v>
      </c>
      <c r="C230" s="132" t="s">
        <v>183</v>
      </c>
      <c r="D230" s="13" t="s">
        <v>220</v>
      </c>
      <c r="E230" s="111" t="str">
        <f>IF(IFERROR(VLOOKUP(3, $P$6:$W$11, 2, FALSE), "")="", 0, IF(VLOOKUP(3, $P$6:$W$11, 6, FALSE)=1, 0, B230))</f>
        <v>D3Y</v>
      </c>
      <c r="F230" s="134">
        <f>IF(ISTEXT(E230), MAX(F$225:F229) + 1, "")</f>
        <v>2</v>
      </c>
      <c r="G230" s="134" t="str">
        <f>IF(ISTEXT(E216), MAX(G$225:G229) + 1, "")</f>
        <v/>
      </c>
      <c r="Z230" s="188"/>
      <c r="AA230" s="188"/>
      <c r="AB230" s="188"/>
      <c r="AC230" s="188"/>
      <c r="AD230" s="188"/>
      <c r="AE230" s="188"/>
    </row>
    <row r="231" spans="1:31" ht="16.95" customHeight="1" x14ac:dyDescent="0.3">
      <c r="B231" s="132" t="s">
        <v>235</v>
      </c>
      <c r="C231" s="132" t="s">
        <v>184</v>
      </c>
      <c r="E231" s="111" t="str">
        <f>IF(IFERROR(VLOOKUP(4, $P$6:$W$11, 2, FALSE), "")="", 0, IF(VLOOKUP(4, $P$6:$W$11, 5, FALSE)=1, 0, B231))</f>
        <v>D4X</v>
      </c>
      <c r="F231" s="134">
        <f>IF(ISTEXT(E231), MAX(F$225:F230) + 1, "")</f>
        <v>3</v>
      </c>
      <c r="G231" s="134" t="str">
        <f>IF(ISTEXT(E217), MAX(G$225:G230) + 1, "")</f>
        <v/>
      </c>
      <c r="Z231" s="188"/>
      <c r="AA231" s="188"/>
      <c r="AB231" s="188"/>
      <c r="AC231" s="188"/>
      <c r="AD231" s="188"/>
      <c r="AE231" s="188"/>
    </row>
    <row r="232" spans="1:31" ht="16.95" customHeight="1" x14ac:dyDescent="0.3">
      <c r="B232" s="132" t="s">
        <v>236</v>
      </c>
      <c r="C232" s="132" t="s">
        <v>185</v>
      </c>
      <c r="E232" s="111" t="str">
        <f>IF(IFERROR(VLOOKUP(4, $P$6:$W$11, 2, FALSE), "")="", 0, IF(VLOOKUP(4, $P$6:$W$11, 6, FALSE)=1, 0, B232))</f>
        <v>D4Y</v>
      </c>
      <c r="F232" s="134">
        <f>IF(ISTEXT(E232), MAX(F$225:F231) + 1, "")</f>
        <v>4</v>
      </c>
      <c r="G232" s="134" t="str">
        <f>IF(ISTEXT(E218), MAX(G$225:G231) + 1, "")</f>
        <v/>
      </c>
      <c r="Z232" s="188"/>
      <c r="AA232" s="188"/>
      <c r="AB232" s="188"/>
      <c r="AC232" s="188"/>
      <c r="AD232" s="188"/>
      <c r="AE232" s="188"/>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88"/>
      <c r="AA233" s="188"/>
      <c r="AB233" s="188"/>
      <c r="AC233" s="188"/>
      <c r="AD233" s="188"/>
      <c r="AE233" s="188"/>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88"/>
      <c r="AA234" s="188"/>
      <c r="AB234" s="188"/>
      <c r="AC234" s="188"/>
      <c r="AD234" s="188"/>
      <c r="AE234" s="188"/>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88"/>
      <c r="AA235" s="188"/>
      <c r="AB235" s="188"/>
      <c r="AC235" s="188"/>
      <c r="AD235" s="188"/>
      <c r="AE235" s="188"/>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88"/>
      <c r="AA236" s="188"/>
      <c r="AB236" s="188"/>
      <c r="AC236" s="188"/>
      <c r="AD236" s="188"/>
      <c r="AE236" s="188"/>
    </row>
    <row r="238" spans="1:31" ht="19.95" customHeight="1" x14ac:dyDescent="0.35">
      <c r="A238" s="135" t="s">
        <v>241</v>
      </c>
      <c r="C238" s="190" t="s">
        <v>242</v>
      </c>
      <c r="D238" s="190"/>
      <c r="E238" s="136" t="s">
        <v>243</v>
      </c>
      <c r="Z238" s="189" t="s">
        <v>244</v>
      </c>
      <c r="AA238" s="189"/>
      <c r="AB238" s="189"/>
      <c r="AC238" s="189"/>
      <c r="AD238" s="189"/>
      <c r="AE238" s="189"/>
    </row>
    <row r="239" spans="1:31" ht="16.95" customHeight="1" x14ac:dyDescent="0.3">
      <c r="E239" s="136" t="s">
        <v>245</v>
      </c>
      <c r="Z239" s="188" t="s">
        <v>246</v>
      </c>
      <c r="AA239" s="188"/>
      <c r="AB239" s="188"/>
      <c r="AC239" s="188"/>
      <c r="AD239" s="188"/>
      <c r="AE239" s="188"/>
    </row>
    <row r="240" spans="1:31" ht="16.95" customHeight="1" x14ac:dyDescent="0.3">
      <c r="A240" s="99" t="s">
        <v>247</v>
      </c>
      <c r="C240" s="99" t="s">
        <v>248</v>
      </c>
      <c r="P240" s="99" t="s">
        <v>249</v>
      </c>
      <c r="Z240" s="188" t="s">
        <v>250</v>
      </c>
      <c r="AA240" s="188"/>
      <c r="AB240" s="188"/>
      <c r="AC240" s="188"/>
      <c r="AD240" s="188"/>
      <c r="AE240" s="188"/>
    </row>
    <row r="241" spans="1:31" ht="16.95" customHeight="1" x14ac:dyDescent="0.3">
      <c r="A241" s="137" t="str">
        <f t="shared" ref="A241:A252" si="37">E211</f>
        <v>C1X</v>
      </c>
      <c r="C241" s="120">
        <f t="shared" ref="C241:N241" si="38">B196</f>
        <v>95256</v>
      </c>
      <c r="D241" s="120">
        <f t="shared" si="38"/>
        <v>24192</v>
      </c>
      <c r="E241" s="120">
        <f t="shared" si="38"/>
        <v>-63000</v>
      </c>
      <c r="F241" s="120">
        <f t="shared" si="38"/>
        <v>0</v>
      </c>
      <c r="G241" s="120">
        <f t="shared" si="38"/>
        <v>-32256</v>
      </c>
      <c r="H241" s="120">
        <f t="shared" si="38"/>
        <v>-24192</v>
      </c>
      <c r="I241" s="120">
        <f t="shared" si="38"/>
        <v>0</v>
      </c>
      <c r="J241" s="120">
        <f t="shared" si="38"/>
        <v>0</v>
      </c>
      <c r="K241" s="120">
        <f t="shared" si="38"/>
        <v>0</v>
      </c>
      <c r="L241" s="120">
        <f t="shared" si="38"/>
        <v>0</v>
      </c>
      <c r="M241" s="120">
        <f t="shared" si="38"/>
        <v>0</v>
      </c>
      <c r="N241" s="120">
        <f t="shared" si="38"/>
        <v>0</v>
      </c>
      <c r="O241" s="13" t="s">
        <v>251</v>
      </c>
      <c r="P241" s="132">
        <f t="shared" ref="P241:P252" si="39">E225</f>
        <v>0</v>
      </c>
      <c r="Z241" s="188" t="s">
        <v>252</v>
      </c>
      <c r="AA241" s="188"/>
      <c r="AB241" s="188"/>
      <c r="AC241" s="188"/>
      <c r="AD241" s="188"/>
      <c r="AE241" s="188"/>
    </row>
    <row r="242" spans="1:31" ht="16.95" customHeight="1" x14ac:dyDescent="0.3">
      <c r="A242" s="137" t="str">
        <f t="shared" si="37"/>
        <v>C1Y</v>
      </c>
      <c r="C242" s="120">
        <f t="shared" ref="C242:N242" si="40">B197</f>
        <v>24192</v>
      </c>
      <c r="D242" s="120">
        <f t="shared" si="40"/>
        <v>102144</v>
      </c>
      <c r="E242" s="120">
        <f t="shared" si="40"/>
        <v>0</v>
      </c>
      <c r="F242" s="120">
        <f t="shared" si="40"/>
        <v>0</v>
      </c>
      <c r="G242" s="120">
        <f t="shared" si="40"/>
        <v>-24192</v>
      </c>
      <c r="H242" s="120">
        <f t="shared" si="40"/>
        <v>-18144</v>
      </c>
      <c r="I242" s="120">
        <f t="shared" si="40"/>
        <v>0</v>
      </c>
      <c r="J242" s="120">
        <f t="shared" si="40"/>
        <v>-84000</v>
      </c>
      <c r="K242" s="120">
        <f t="shared" si="40"/>
        <v>0</v>
      </c>
      <c r="L242" s="120">
        <f t="shared" si="40"/>
        <v>0</v>
      </c>
      <c r="M242" s="120">
        <f t="shared" si="40"/>
        <v>0</v>
      </c>
      <c r="N242" s="120">
        <f t="shared" si="40"/>
        <v>0</v>
      </c>
      <c r="O242" s="13" t="s">
        <v>251</v>
      </c>
      <c r="P242" s="132">
        <f t="shared" si="39"/>
        <v>0</v>
      </c>
      <c r="Z242" s="188" t="s">
        <v>253</v>
      </c>
      <c r="AA242" s="188"/>
      <c r="AB242" s="188"/>
      <c r="AC242" s="188"/>
      <c r="AD242" s="188"/>
      <c r="AE242" s="188"/>
    </row>
    <row r="243" spans="1:31" ht="16.95" customHeight="1" x14ac:dyDescent="0.3">
      <c r="A243" s="137" t="str">
        <f t="shared" si="37"/>
        <v>C2X</v>
      </c>
      <c r="C243" s="120">
        <f t="shared" ref="C243:N243" si="41">B198</f>
        <v>-63000</v>
      </c>
      <c r="D243" s="120">
        <f t="shared" si="41"/>
        <v>0</v>
      </c>
      <c r="E243" s="120">
        <f t="shared" si="41"/>
        <v>95256</v>
      </c>
      <c r="F243" s="120">
        <f t="shared" si="41"/>
        <v>-24192</v>
      </c>
      <c r="G243" s="120">
        <f t="shared" si="41"/>
        <v>0</v>
      </c>
      <c r="H243" s="120">
        <f t="shared" si="41"/>
        <v>0</v>
      </c>
      <c r="I243" s="120">
        <f t="shared" si="41"/>
        <v>-32256</v>
      </c>
      <c r="J243" s="120">
        <f t="shared" si="41"/>
        <v>24192</v>
      </c>
      <c r="K243" s="120">
        <f t="shared" si="41"/>
        <v>0</v>
      </c>
      <c r="L243" s="120">
        <f t="shared" si="41"/>
        <v>0</v>
      </c>
      <c r="M243" s="120">
        <f t="shared" si="41"/>
        <v>0</v>
      </c>
      <c r="N243" s="120">
        <f t="shared" si="41"/>
        <v>0</v>
      </c>
      <c r="O243" s="13" t="s">
        <v>251</v>
      </c>
      <c r="P243" s="132">
        <f t="shared" si="39"/>
        <v>0</v>
      </c>
      <c r="Z243" s="188" t="s">
        <v>254</v>
      </c>
      <c r="AA243" s="188"/>
      <c r="AB243" s="188"/>
      <c r="AC243" s="188"/>
      <c r="AD243" s="188"/>
      <c r="AE243" s="188"/>
    </row>
    <row r="244" spans="1:31" ht="16.95" customHeight="1" x14ac:dyDescent="0.3">
      <c r="A244" s="137" t="str">
        <f t="shared" si="37"/>
        <v>C2Y</v>
      </c>
      <c r="C244" s="120">
        <f t="shared" ref="C244:N244" si="42">B199</f>
        <v>0</v>
      </c>
      <c r="D244" s="120">
        <f t="shared" si="42"/>
        <v>0</v>
      </c>
      <c r="E244" s="120">
        <f t="shared" si="42"/>
        <v>-24192</v>
      </c>
      <c r="F244" s="120">
        <f t="shared" si="42"/>
        <v>102144</v>
      </c>
      <c r="G244" s="120">
        <f t="shared" si="42"/>
        <v>0</v>
      </c>
      <c r="H244" s="120">
        <f t="shared" si="42"/>
        <v>-84000</v>
      </c>
      <c r="I244" s="120">
        <f t="shared" si="42"/>
        <v>24192</v>
      </c>
      <c r="J244" s="120">
        <f t="shared" si="42"/>
        <v>-18144</v>
      </c>
      <c r="K244" s="120">
        <f t="shared" si="42"/>
        <v>0</v>
      </c>
      <c r="L244" s="120">
        <f t="shared" si="42"/>
        <v>0</v>
      </c>
      <c r="M244" s="120">
        <f t="shared" si="42"/>
        <v>0</v>
      </c>
      <c r="N244" s="120">
        <f t="shared" si="42"/>
        <v>0</v>
      </c>
      <c r="O244" s="13" t="s">
        <v>251</v>
      </c>
      <c r="P244" s="132">
        <f t="shared" si="39"/>
        <v>0</v>
      </c>
      <c r="Z244" s="188" t="s">
        <v>255</v>
      </c>
      <c r="AA244" s="188"/>
      <c r="AB244" s="188"/>
      <c r="AC244" s="188"/>
      <c r="AD244" s="188"/>
      <c r="AE244" s="188"/>
    </row>
    <row r="245" spans="1:31" ht="16.95" customHeight="1" x14ac:dyDescent="0.3">
      <c r="A245" s="137">
        <f t="shared" si="37"/>
        <v>3500</v>
      </c>
      <c r="C245" s="120">
        <f t="shared" ref="C245:N245" si="43">B200</f>
        <v>-32256</v>
      </c>
      <c r="D245" s="120">
        <f t="shared" si="43"/>
        <v>-24192</v>
      </c>
      <c r="E245" s="120">
        <f t="shared" si="43"/>
        <v>0</v>
      </c>
      <c r="F245" s="120">
        <f t="shared" si="43"/>
        <v>0</v>
      </c>
      <c r="G245" s="120">
        <f t="shared" si="43"/>
        <v>95256</v>
      </c>
      <c r="H245" s="120">
        <f t="shared" si="43"/>
        <v>24192</v>
      </c>
      <c r="I245" s="120">
        <f t="shared" si="43"/>
        <v>-63000</v>
      </c>
      <c r="J245" s="120">
        <f t="shared" si="43"/>
        <v>0</v>
      </c>
      <c r="K245" s="120">
        <f t="shared" si="43"/>
        <v>0</v>
      </c>
      <c r="L245" s="120">
        <f t="shared" si="43"/>
        <v>0</v>
      </c>
      <c r="M245" s="120">
        <f t="shared" si="43"/>
        <v>0</v>
      </c>
      <c r="N245" s="120">
        <f t="shared" si="43"/>
        <v>0</v>
      </c>
      <c r="O245" s="13" t="s">
        <v>251</v>
      </c>
      <c r="P245" s="132" t="str">
        <f t="shared" si="39"/>
        <v>D3X</v>
      </c>
      <c r="Z245" s="188" t="s">
        <v>256</v>
      </c>
      <c r="AA245" s="188"/>
      <c r="AB245" s="188"/>
      <c r="AC245" s="188"/>
      <c r="AD245" s="188"/>
      <c r="AE245" s="188"/>
    </row>
    <row r="246" spans="1:31" ht="16.95" customHeight="1" x14ac:dyDescent="0.3">
      <c r="A246" s="137">
        <f t="shared" si="37"/>
        <v>-5000</v>
      </c>
      <c r="C246" s="120">
        <f t="shared" ref="C246:N246" si="44">B201</f>
        <v>-24192</v>
      </c>
      <c r="D246" s="120">
        <f t="shared" si="44"/>
        <v>-18144</v>
      </c>
      <c r="E246" s="120">
        <f t="shared" si="44"/>
        <v>0</v>
      </c>
      <c r="F246" s="120">
        <f t="shared" si="44"/>
        <v>-84000</v>
      </c>
      <c r="G246" s="120">
        <f t="shared" si="44"/>
        <v>24192</v>
      </c>
      <c r="H246" s="120">
        <f t="shared" si="44"/>
        <v>102144</v>
      </c>
      <c r="I246" s="120">
        <f t="shared" si="44"/>
        <v>0</v>
      </c>
      <c r="J246" s="120">
        <f t="shared" si="44"/>
        <v>0</v>
      </c>
      <c r="K246" s="120">
        <f t="shared" si="44"/>
        <v>0</v>
      </c>
      <c r="L246" s="120">
        <f t="shared" si="44"/>
        <v>0</v>
      </c>
      <c r="M246" s="120">
        <f t="shared" si="44"/>
        <v>0</v>
      </c>
      <c r="N246" s="120">
        <f t="shared" si="44"/>
        <v>0</v>
      </c>
      <c r="O246" s="13" t="s">
        <v>251</v>
      </c>
      <c r="P246" s="132" t="str">
        <f t="shared" si="39"/>
        <v>D3Y</v>
      </c>
      <c r="Z246" s="188"/>
      <c r="AA246" s="188"/>
      <c r="AB246" s="188"/>
      <c r="AC246" s="188"/>
      <c r="AD246" s="188"/>
      <c r="AE246" s="188"/>
    </row>
    <row r="247" spans="1:31" ht="16.95" customHeight="1" x14ac:dyDescent="0.3">
      <c r="A247" s="137">
        <f t="shared" si="37"/>
        <v>3500</v>
      </c>
      <c r="B247" s="13" t="s">
        <v>220</v>
      </c>
      <c r="C247" s="120">
        <f t="shared" ref="C247:N247" si="45">B202</f>
        <v>0</v>
      </c>
      <c r="D247" s="120">
        <f t="shared" si="45"/>
        <v>0</v>
      </c>
      <c r="E247" s="120">
        <f t="shared" si="45"/>
        <v>-32256</v>
      </c>
      <c r="F247" s="120">
        <f t="shared" si="45"/>
        <v>24192</v>
      </c>
      <c r="G247" s="120">
        <f t="shared" si="45"/>
        <v>-63000</v>
      </c>
      <c r="H247" s="120">
        <f t="shared" si="45"/>
        <v>0</v>
      </c>
      <c r="I247" s="120">
        <f t="shared" si="45"/>
        <v>95256</v>
      </c>
      <c r="J247" s="120">
        <f t="shared" si="45"/>
        <v>-24192</v>
      </c>
      <c r="K247" s="120">
        <f t="shared" si="45"/>
        <v>0</v>
      </c>
      <c r="L247" s="120">
        <f t="shared" si="45"/>
        <v>0</v>
      </c>
      <c r="M247" s="120">
        <f t="shared" si="45"/>
        <v>0</v>
      </c>
      <c r="N247" s="120">
        <f t="shared" si="45"/>
        <v>0</v>
      </c>
      <c r="O247" s="13" t="s">
        <v>251</v>
      </c>
      <c r="P247" s="132" t="str">
        <f t="shared" si="39"/>
        <v>D4X</v>
      </c>
      <c r="Z247" s="188"/>
      <c r="AA247" s="188"/>
      <c r="AB247" s="188"/>
      <c r="AC247" s="188"/>
      <c r="AD247" s="188"/>
      <c r="AE247" s="188"/>
    </row>
    <row r="248" spans="1:31" ht="16.95" customHeight="1" x14ac:dyDescent="0.3">
      <c r="A248" s="137">
        <f t="shared" si="37"/>
        <v>0</v>
      </c>
      <c r="C248" s="120">
        <f t="shared" ref="C248:N248" si="46">B203</f>
        <v>0</v>
      </c>
      <c r="D248" s="120">
        <f t="shared" si="46"/>
        <v>-84000</v>
      </c>
      <c r="E248" s="120">
        <f t="shared" si="46"/>
        <v>24192</v>
      </c>
      <c r="F248" s="120">
        <f t="shared" si="46"/>
        <v>-18144</v>
      </c>
      <c r="G248" s="120">
        <f t="shared" si="46"/>
        <v>0</v>
      </c>
      <c r="H248" s="120">
        <f t="shared" si="46"/>
        <v>0</v>
      </c>
      <c r="I248" s="120">
        <f t="shared" si="46"/>
        <v>-24192</v>
      </c>
      <c r="J248" s="120">
        <f t="shared" si="46"/>
        <v>102144</v>
      </c>
      <c r="K248" s="120">
        <f t="shared" si="46"/>
        <v>0</v>
      </c>
      <c r="L248" s="120">
        <f t="shared" si="46"/>
        <v>0</v>
      </c>
      <c r="M248" s="120">
        <f t="shared" si="46"/>
        <v>0</v>
      </c>
      <c r="N248" s="120">
        <f t="shared" si="46"/>
        <v>0</v>
      </c>
      <c r="O248" s="13" t="s">
        <v>251</v>
      </c>
      <c r="P248" s="132" t="str">
        <f t="shared" si="39"/>
        <v>D4Y</v>
      </c>
      <c r="Z248" s="188"/>
      <c r="AA248" s="188"/>
      <c r="AB248" s="188"/>
      <c r="AC248" s="188"/>
      <c r="AD248" s="188"/>
      <c r="AE248" s="188"/>
    </row>
    <row r="249" spans="1:31" ht="16.95" customHeight="1" x14ac:dyDescent="0.3">
      <c r="A249" s="137">
        <f t="shared" si="37"/>
        <v>0</v>
      </c>
      <c r="C249" s="120">
        <f t="shared" ref="C249:N249" si="47">B204</f>
        <v>0</v>
      </c>
      <c r="D249" s="120">
        <f t="shared" si="47"/>
        <v>0</v>
      </c>
      <c r="E249" s="120">
        <f t="shared" si="47"/>
        <v>0</v>
      </c>
      <c r="F249" s="120">
        <f t="shared" si="47"/>
        <v>0</v>
      </c>
      <c r="G249" s="120">
        <f t="shared" si="47"/>
        <v>0</v>
      </c>
      <c r="H249" s="120">
        <f t="shared" si="47"/>
        <v>0</v>
      </c>
      <c r="I249" s="120">
        <f t="shared" si="47"/>
        <v>0</v>
      </c>
      <c r="J249" s="120">
        <f t="shared" si="47"/>
        <v>0</v>
      </c>
      <c r="K249" s="120">
        <f t="shared" si="47"/>
        <v>0</v>
      </c>
      <c r="L249" s="120">
        <f t="shared" si="47"/>
        <v>0</v>
      </c>
      <c r="M249" s="120">
        <f t="shared" si="47"/>
        <v>0</v>
      </c>
      <c r="N249" s="120">
        <f t="shared" si="47"/>
        <v>0</v>
      </c>
      <c r="O249" s="13" t="s">
        <v>251</v>
      </c>
      <c r="P249" s="132">
        <f t="shared" si="39"/>
        <v>0</v>
      </c>
      <c r="Z249" s="188"/>
      <c r="AA249" s="188"/>
      <c r="AB249" s="188"/>
      <c r="AC249" s="188"/>
      <c r="AD249" s="188"/>
      <c r="AE249" s="188"/>
    </row>
    <row r="250" spans="1:31" ht="16.95" customHeight="1" x14ac:dyDescent="0.3">
      <c r="A250" s="137">
        <f t="shared" si="37"/>
        <v>0</v>
      </c>
      <c r="C250" s="120">
        <f t="shared" ref="C250:N250" si="48">B205</f>
        <v>0</v>
      </c>
      <c r="D250" s="120">
        <f t="shared" si="48"/>
        <v>0</v>
      </c>
      <c r="E250" s="120">
        <f t="shared" si="48"/>
        <v>0</v>
      </c>
      <c r="F250" s="120">
        <f t="shared" si="48"/>
        <v>0</v>
      </c>
      <c r="G250" s="120">
        <f t="shared" si="48"/>
        <v>0</v>
      </c>
      <c r="H250" s="120">
        <f t="shared" si="48"/>
        <v>0</v>
      </c>
      <c r="I250" s="120">
        <f t="shared" si="48"/>
        <v>0</v>
      </c>
      <c r="J250" s="120">
        <f t="shared" si="48"/>
        <v>0</v>
      </c>
      <c r="K250" s="120">
        <f t="shared" si="48"/>
        <v>0</v>
      </c>
      <c r="L250" s="120">
        <f t="shared" si="48"/>
        <v>0</v>
      </c>
      <c r="M250" s="120">
        <f t="shared" si="48"/>
        <v>0</v>
      </c>
      <c r="N250" s="120">
        <f t="shared" si="48"/>
        <v>0</v>
      </c>
      <c r="O250" s="13" t="s">
        <v>251</v>
      </c>
      <c r="P250" s="132">
        <f t="shared" si="39"/>
        <v>0</v>
      </c>
      <c r="Z250" s="188"/>
      <c r="AA250" s="188"/>
      <c r="AB250" s="188"/>
      <c r="AC250" s="188"/>
      <c r="AD250" s="188"/>
      <c r="AE250" s="188"/>
    </row>
    <row r="251" spans="1:31" ht="16.95" customHeight="1" x14ac:dyDescent="0.3">
      <c r="A251" s="137">
        <f t="shared" si="37"/>
        <v>0</v>
      </c>
      <c r="C251" s="120">
        <f t="shared" ref="C251:N251" si="49">B206</f>
        <v>0</v>
      </c>
      <c r="D251" s="120">
        <f t="shared" si="49"/>
        <v>0</v>
      </c>
      <c r="E251" s="120">
        <f t="shared" si="49"/>
        <v>0</v>
      </c>
      <c r="F251" s="120">
        <f t="shared" si="49"/>
        <v>0</v>
      </c>
      <c r="G251" s="120">
        <f t="shared" si="49"/>
        <v>0</v>
      </c>
      <c r="H251" s="120">
        <f t="shared" si="49"/>
        <v>0</v>
      </c>
      <c r="I251" s="120">
        <f t="shared" si="49"/>
        <v>0</v>
      </c>
      <c r="J251" s="120">
        <f t="shared" si="49"/>
        <v>0</v>
      </c>
      <c r="K251" s="120">
        <f t="shared" si="49"/>
        <v>0</v>
      </c>
      <c r="L251" s="120">
        <f t="shared" si="49"/>
        <v>0</v>
      </c>
      <c r="M251" s="120">
        <f t="shared" si="49"/>
        <v>0</v>
      </c>
      <c r="N251" s="120">
        <f t="shared" si="49"/>
        <v>0</v>
      </c>
      <c r="O251" s="13" t="s">
        <v>251</v>
      </c>
      <c r="P251" s="132">
        <f t="shared" si="39"/>
        <v>0</v>
      </c>
      <c r="Z251" s="188"/>
      <c r="AA251" s="188"/>
      <c r="AB251" s="188"/>
      <c r="AC251" s="188"/>
      <c r="AD251" s="188"/>
      <c r="AE251" s="188"/>
    </row>
    <row r="252" spans="1:31" ht="16.95" customHeight="1" x14ac:dyDescent="0.3">
      <c r="A252" s="137">
        <f t="shared" si="37"/>
        <v>0</v>
      </c>
      <c r="C252" s="120">
        <f t="shared" ref="C252:N252" si="50">B207</f>
        <v>0</v>
      </c>
      <c r="D252" s="120">
        <f t="shared" si="50"/>
        <v>0</v>
      </c>
      <c r="E252" s="120">
        <f t="shared" si="50"/>
        <v>0</v>
      </c>
      <c r="F252" s="120">
        <f t="shared" si="50"/>
        <v>0</v>
      </c>
      <c r="G252" s="120">
        <f t="shared" si="50"/>
        <v>0</v>
      </c>
      <c r="H252" s="120">
        <f t="shared" si="50"/>
        <v>0</v>
      </c>
      <c r="I252" s="120">
        <f t="shared" si="50"/>
        <v>0</v>
      </c>
      <c r="J252" s="120">
        <f t="shared" si="50"/>
        <v>0</v>
      </c>
      <c r="K252" s="120">
        <f t="shared" si="50"/>
        <v>0</v>
      </c>
      <c r="L252" s="120">
        <f t="shared" si="50"/>
        <v>0</v>
      </c>
      <c r="M252" s="120">
        <f t="shared" si="50"/>
        <v>0</v>
      </c>
      <c r="N252" s="120">
        <f t="shared" si="50"/>
        <v>0</v>
      </c>
      <c r="O252" s="13" t="s">
        <v>251</v>
      </c>
      <c r="P252" s="132">
        <f t="shared" si="39"/>
        <v>0</v>
      </c>
      <c r="Z252" s="188"/>
      <c r="AA252" s="188"/>
      <c r="AB252" s="188"/>
      <c r="AC252" s="188"/>
      <c r="AD252" s="188"/>
      <c r="AE252" s="188"/>
    </row>
    <row r="255" spans="1:31" ht="19.95" customHeight="1" x14ac:dyDescent="0.35">
      <c r="A255" s="135" t="s">
        <v>257</v>
      </c>
      <c r="Z255" s="189" t="s">
        <v>258</v>
      </c>
      <c r="AA255" s="189"/>
      <c r="AB255" s="189"/>
      <c r="AC255" s="189"/>
      <c r="AD255" s="189"/>
      <c r="AE255" s="189"/>
    </row>
    <row r="256" spans="1:31" ht="16.95" customHeight="1" x14ac:dyDescent="0.3">
      <c r="C256" s="110" t="str">
        <f>IFERROR(INDEX(C$225:C$236, MATCH(1, F$225:F$236, 0)), "-")</f>
        <v>U3X</v>
      </c>
      <c r="D256" s="110" t="str">
        <f>IFERROR(INDEX(C$225:C$236, MATCH(2, F$225:F$236, 0)), "-")</f>
        <v>U3Y</v>
      </c>
      <c r="E256" s="110" t="str">
        <f>IFERROR(INDEX(C$225:C$236, MATCH(3, F$225:F$236, 0)), "-")</f>
        <v>U4X</v>
      </c>
      <c r="F256" s="110" t="str">
        <f>IFERROR(INDEX(C$225:C$236, MATCH(4, F$225:F$236, 0)), "-")</f>
        <v>U4Y</v>
      </c>
      <c r="G256" s="110" t="str">
        <f>IFERROR(INDEX(C$225:C$236, MATCH(5, F$225:F$236, 0)), "-")</f>
        <v>-</v>
      </c>
      <c r="H256" s="110" t="str">
        <f>IFERROR(INDEX(C$225:C$236, MATCH(6, F$225:F$236, 0)), "-")</f>
        <v>-</v>
      </c>
      <c r="I256" s="110" t="str">
        <f>IFERROR(INDEX(C$225:C$236, MATCH(7, F$225:F$236, 0)), "-")</f>
        <v>-</v>
      </c>
      <c r="J256" s="110" t="str">
        <f>IFERROR(INDEX(C$225:C$236, MATCH(8, F$225:F$236, 0)), "-")</f>
        <v>-</v>
      </c>
      <c r="Z256" s="188" t="s">
        <v>259</v>
      </c>
      <c r="AA256" s="188"/>
      <c r="AB256" s="188"/>
      <c r="AC256" s="188"/>
      <c r="AD256" s="188"/>
      <c r="AE256" s="188"/>
    </row>
    <row r="257" spans="1:31" ht="16.95" customHeight="1" x14ac:dyDescent="0.3">
      <c r="A257" s="138">
        <f t="shared" ref="A257:A264" si="51">IF($M257="-", 0, IFERROR(INDEX(E$211:E$222, MATCH($M257, C$211:C$222, 0)), 0))</f>
        <v>3500</v>
      </c>
      <c r="C257" s="138">
        <f>IF(OR($M257="-", C$256="-"), 1, IF(OR(IFERROR(INDEX($B$196:$M$207, MATCH($M257, $N$196:$N$207, 0), MATCH($M257, $B$195:$M$195, 0)), 0)=0, IFERROR(INDEX($B$196:$M$207, MATCH(C$256, $N$196:$N$207, 0), MATCH(C$256, $B$195:$M$195, 0)), 0)=0), 1, IFERROR(INDEX($B$196:$M$207, MATCH($M257, $N$196:$N$207, 0), MATCH(C$256, $B$195:$M$195, 0)), 0)))</f>
        <v>95256</v>
      </c>
      <c r="D257" s="138">
        <f t="shared" ref="D257:J257" si="52">IF(OR($M257="-", D$256="-"), 0, IF(OR(IFERROR(INDEX($B$196:$M$207, MATCH($M257, $N$196:$N$207, 0), MATCH($M257, $B$195:$M$195, 0)), 0)=0, IFERROR(INDEX($B$196:$M$207, MATCH(D$256, $N$196:$N$207, 0), MATCH(D$256, $B$195:$M$195, 0)), 0)=0), 0, IFERROR(INDEX($B$196:$M$207, MATCH($M257, $N$196:$N$207, 0), MATCH(D$256, $B$195:$M$195, 0)), 0)))</f>
        <v>24192</v>
      </c>
      <c r="E257" s="138">
        <f t="shared" si="52"/>
        <v>-63000</v>
      </c>
      <c r="F257" s="138">
        <f t="shared" si="52"/>
        <v>0</v>
      </c>
      <c r="G257" s="138">
        <f t="shared" si="52"/>
        <v>0</v>
      </c>
      <c r="H257" s="138">
        <f t="shared" si="52"/>
        <v>0</v>
      </c>
      <c r="I257" s="138">
        <f t="shared" si="52"/>
        <v>0</v>
      </c>
      <c r="J257" s="138">
        <f t="shared" si="52"/>
        <v>0</v>
      </c>
      <c r="K257" s="13" t="s">
        <v>251</v>
      </c>
      <c r="L257" s="110" t="str">
        <f>IFERROR(INDEX(B$225:B$236, MATCH(1, F$225:F$236, 0)), "-")</f>
        <v>D3X</v>
      </c>
      <c r="M257" s="134" t="str">
        <f>IFERROR(INDEX(C$225:C$236, MATCH(1, F$225:F$236, 0)), "-")</f>
        <v>U3X</v>
      </c>
      <c r="Z257" s="188" t="s">
        <v>260</v>
      </c>
      <c r="AA257" s="188"/>
      <c r="AB257" s="188"/>
      <c r="AC257" s="188"/>
      <c r="AD257" s="188"/>
      <c r="AE257" s="188"/>
    </row>
    <row r="258" spans="1:31" ht="16.95" customHeight="1" x14ac:dyDescent="0.3">
      <c r="A258" s="138">
        <f t="shared" si="51"/>
        <v>-5000</v>
      </c>
      <c r="C258" s="138">
        <f t="shared" ref="C258:C264" si="53">IF(OR($M258="-", C$256="-"), 0, IF(OR(IFERROR(INDEX($B$196:$M$207, MATCH($M258, $N$196:$N$207, 0), MATCH($M258, $B$195:$M$195, 0)), 0)=0, IFERROR(INDEX($B$196:$M$207, MATCH(C$256, $N$196:$N$207, 0), MATCH(C$256, $B$195:$M$195, 0)), 0)=0), 0, IFERROR(INDEX($B$196:$M$207, MATCH($M258, $N$196:$N$207, 0), MATCH(C$256, $B$195:$M$195, 0)), 0)))</f>
        <v>24192</v>
      </c>
      <c r="D258" s="138">
        <f>IF(OR($M258="-", D$256="-"), 1, IF(OR(IFERROR(INDEX($B$196:$M$207, MATCH($M258, $N$196:$N$207, 0), MATCH($M258, $B$195:$M$195, 0)), 0)=0, IFERROR(INDEX($B$196:$M$207, MATCH(D$256, $N$196:$N$207, 0), MATCH(D$256, $B$195:$M$195, 0)), 0)=0), 1, IFERROR(INDEX($B$196:$M$207, MATCH($M258, $N$196:$N$207, 0), MATCH(D$256, $B$195:$M$195, 0)), 0)))</f>
        <v>102144</v>
      </c>
      <c r="E258" s="138">
        <f t="shared" ref="E258:J258" si="54">IF(OR($M258="-", E$256="-"), 0, IF(OR(IFERROR(INDEX($B$196:$M$207, MATCH($M258, $N$196:$N$207, 0), MATCH($M258, $B$195:$M$195, 0)), 0)=0, IFERROR(INDEX($B$196:$M$207, MATCH(E$256, $N$196:$N$207, 0), MATCH(E$256, $B$195:$M$195, 0)), 0)=0), 0, IFERROR(INDEX($B$196:$M$207, MATCH($M258, $N$196:$N$207, 0), MATCH(E$256, $B$195:$M$195, 0)), 0)))</f>
        <v>0</v>
      </c>
      <c r="F258" s="138">
        <f t="shared" si="54"/>
        <v>0</v>
      </c>
      <c r="G258" s="138">
        <f t="shared" si="54"/>
        <v>0</v>
      </c>
      <c r="H258" s="138">
        <f t="shared" si="54"/>
        <v>0</v>
      </c>
      <c r="I258" s="138">
        <f t="shared" si="54"/>
        <v>0</v>
      </c>
      <c r="J258" s="138">
        <f t="shared" si="54"/>
        <v>0</v>
      </c>
      <c r="K258" s="13" t="s">
        <v>251</v>
      </c>
      <c r="L258" s="110" t="str">
        <f>IFERROR(INDEX(B$225:B$236, MATCH(2, F$225:F$236, 0)), "-")</f>
        <v>D3Y</v>
      </c>
      <c r="M258" s="134" t="str">
        <f>IFERROR(INDEX(C$225:C$236, MATCH(2, F$225:F$236, 0)), "-")</f>
        <v>U3Y</v>
      </c>
      <c r="Z258" s="188" t="s">
        <v>261</v>
      </c>
      <c r="AA258" s="188"/>
      <c r="AB258" s="188"/>
      <c r="AC258" s="188"/>
      <c r="AD258" s="188"/>
      <c r="AE258" s="188"/>
    </row>
    <row r="259" spans="1:31" ht="16.95" customHeight="1" x14ac:dyDescent="0.3">
      <c r="A259" s="138">
        <f t="shared" si="51"/>
        <v>3500</v>
      </c>
      <c r="C259" s="138">
        <f t="shared" si="53"/>
        <v>-63000</v>
      </c>
      <c r="D259" s="138">
        <f t="shared" ref="D259:D264" si="55">IF(OR($M259="-", D$256="-"), 0, IF(OR(IFERROR(INDEX($B$196:$M$207, MATCH($M259, $N$196:$N$207, 0), MATCH($M259, $B$195:$M$195, 0)), 0)=0, IFERROR(INDEX($B$196:$M$207, MATCH(D$256, $N$196:$N$207, 0), MATCH(D$256, $B$195:$M$195, 0)), 0)=0), 0, IFERROR(INDEX($B$196:$M$207, MATCH($M259, $N$196:$N$207, 0), MATCH(D$256, $B$195:$M$195, 0)), 0)))</f>
        <v>0</v>
      </c>
      <c r="E259" s="138">
        <f>IF(OR($M259="-", E$256="-"), 1, IF(OR(IFERROR(INDEX($B$196:$M$207, MATCH($M259, $N$196:$N$207, 0), MATCH($M259, $B$195:$M$195, 0)), 0)=0, IFERROR(INDEX($B$196:$M$207, MATCH(E$256, $N$196:$N$207, 0), MATCH(E$256, $B$195:$M$195, 0)), 0)=0), 1, IFERROR(INDEX($B$196:$M$207, MATCH($M259, $N$196:$N$207, 0), MATCH(E$256, $B$195:$M$195, 0)), 0)))</f>
        <v>95256</v>
      </c>
      <c r="F259" s="138">
        <f>IF(OR($M259="-", F$256="-"), 0, IF(OR(IFERROR(INDEX($B$196:$M$207, MATCH($M259, $N$196:$N$207, 0), MATCH($M259, $B$195:$M$195, 0)), 0)=0, IFERROR(INDEX($B$196:$M$207, MATCH(F$256, $N$196:$N$207, 0), MATCH(F$256, $B$195:$M$195, 0)), 0)=0), 0, IFERROR(INDEX($B$196:$M$207, MATCH($M259, $N$196:$N$207, 0), MATCH(F$256, $B$195:$M$195, 0)), 0)))</f>
        <v>-24192</v>
      </c>
      <c r="G259" s="138">
        <f>IF(OR($M259="-", G$256="-"), 0, IF(OR(IFERROR(INDEX($B$196:$M$207, MATCH($M259, $N$196:$N$207, 0), MATCH($M259, $B$195:$M$195, 0)), 0)=0, IFERROR(INDEX($B$196:$M$207, MATCH(G$256, $N$196:$N$207, 0), MATCH(G$256, $B$195:$M$195, 0)), 0)=0), 0, IFERROR(INDEX($B$196:$M$207, MATCH($M259, $N$196:$N$207, 0), MATCH(G$256, $B$195:$M$195, 0)), 0)))</f>
        <v>0</v>
      </c>
      <c r="H259" s="138">
        <f>IF(OR($M259="-", H$256="-"), 0, IF(OR(IFERROR(INDEX($B$196:$M$207, MATCH($M259, $N$196:$N$207, 0), MATCH($M259, $B$195:$M$195, 0)), 0)=0, IFERROR(INDEX($B$196:$M$207, MATCH(H$256, $N$196:$N$207, 0), MATCH(H$256, $B$195:$M$195, 0)), 0)=0), 0, IFERROR(INDEX($B$196:$M$207, MATCH($M259, $N$196:$N$207, 0), MATCH(H$256, $B$195:$M$195, 0)), 0)))</f>
        <v>0</v>
      </c>
      <c r="I259" s="138">
        <f>IF(OR($M259="-", I$256="-"), 0, IF(OR(IFERROR(INDEX($B$196:$M$207, MATCH($M259, $N$196:$N$207, 0), MATCH($M259, $B$195:$M$195, 0)), 0)=0, IFERROR(INDEX($B$196:$M$207, MATCH(I$256, $N$196:$N$207, 0), MATCH(I$256, $B$195:$M$195, 0)), 0)=0), 0, IFERROR(INDEX($B$196:$M$207, MATCH($M259, $N$196:$N$207, 0), MATCH(I$256, $B$195:$M$195, 0)), 0)))</f>
        <v>0</v>
      </c>
      <c r="J259" s="138">
        <f>IF(OR($M259="-", J$256="-"), 0, IF(OR(IFERROR(INDEX($B$196:$M$207, MATCH($M259, $N$196:$N$207, 0), MATCH($M259, $B$195:$M$195, 0)), 0)=0, IFERROR(INDEX($B$196:$M$207, MATCH(J$256, $N$196:$N$207, 0), MATCH(J$256, $B$195:$M$195, 0)), 0)=0), 0, IFERROR(INDEX($B$196:$M$207, MATCH($M259, $N$196:$N$207, 0), MATCH(J$256, $B$195:$M$195, 0)), 0)))</f>
        <v>0</v>
      </c>
      <c r="K259" s="13" t="s">
        <v>251</v>
      </c>
      <c r="L259" s="110" t="str">
        <f>IFERROR(INDEX(B$225:B$236, MATCH(3, F$225:F$236, 0)), "-")</f>
        <v>D4X</v>
      </c>
      <c r="M259" s="134" t="str">
        <f>IFERROR(INDEX(C$225:C$236, MATCH(3, F$225:F$236, 0)), "-")</f>
        <v>U4X</v>
      </c>
      <c r="Z259" s="188" t="s">
        <v>262</v>
      </c>
      <c r="AA259" s="188"/>
      <c r="AB259" s="188"/>
      <c r="AC259" s="188"/>
      <c r="AD259" s="188"/>
      <c r="AE259" s="188"/>
    </row>
    <row r="260" spans="1:31" ht="16.95" customHeight="1" x14ac:dyDescent="0.3">
      <c r="A260" s="138">
        <f t="shared" si="51"/>
        <v>0</v>
      </c>
      <c r="C260" s="138">
        <f t="shared" si="53"/>
        <v>0</v>
      </c>
      <c r="D260" s="138">
        <f t="shared" si="55"/>
        <v>0</v>
      </c>
      <c r="E260" s="138">
        <f>IF(OR($M260="-", E$256="-"), 0, IF(OR(IFERROR(INDEX($B$196:$M$207, MATCH($M260, $N$196:$N$207, 0), MATCH($M260, $B$195:$M$195, 0)), 0)=0, IFERROR(INDEX($B$196:$M$207, MATCH(E$256, $N$196:$N$207, 0), MATCH(E$256, $B$195:$M$195, 0)), 0)=0), 0, IFERROR(INDEX($B$196:$M$207, MATCH($M260, $N$196:$N$207, 0), MATCH(E$256, $B$195:$M$195, 0)), 0)))</f>
        <v>-24192</v>
      </c>
      <c r="F260" s="138">
        <f>IF(OR($M260="-", F$256="-"), 1, IF(OR(IFERROR(INDEX($B$196:$M$207, MATCH($M260, $N$196:$N$207, 0), MATCH($M260, $B$195:$M$195, 0)), 0)=0, IFERROR(INDEX($B$196:$M$207, MATCH(F$256, $N$196:$N$207, 0), MATCH(F$256, $B$195:$M$195, 0)), 0)=0), 1, IFERROR(INDEX($B$196:$M$207, MATCH($M260, $N$196:$N$207, 0), MATCH(F$256, $B$195:$M$195, 0)), 0)))</f>
        <v>102144</v>
      </c>
      <c r="G260" s="138">
        <f>IF(OR($M260="-", G$256="-"), 0, IF(OR(IFERROR(INDEX($B$196:$M$207, MATCH($M260, $N$196:$N$207, 0), MATCH($M260, $B$195:$M$195, 0)), 0)=0, IFERROR(INDEX($B$196:$M$207, MATCH(G$256, $N$196:$N$207, 0), MATCH(G$256, $B$195:$M$195, 0)), 0)=0), 0, IFERROR(INDEX($B$196:$M$207, MATCH($M260, $N$196:$N$207, 0), MATCH(G$256, $B$195:$M$195, 0)), 0)))</f>
        <v>0</v>
      </c>
      <c r="H260" s="138">
        <f>IF(OR($M260="-", H$256="-"), 0, IF(OR(IFERROR(INDEX($B$196:$M$207, MATCH($M260, $N$196:$N$207, 0), MATCH($M260, $B$195:$M$195, 0)), 0)=0, IFERROR(INDEX($B$196:$M$207, MATCH(H$256, $N$196:$N$207, 0), MATCH(H$256, $B$195:$M$195, 0)), 0)=0), 0, IFERROR(INDEX($B$196:$M$207, MATCH($M260, $N$196:$N$207, 0), MATCH(H$256, $B$195:$M$195, 0)), 0)))</f>
        <v>0</v>
      </c>
      <c r="I260" s="138">
        <f>IF(OR($M260="-", I$256="-"), 0, IF(OR(IFERROR(INDEX($B$196:$M$207, MATCH($M260, $N$196:$N$207, 0), MATCH($M260, $B$195:$M$195, 0)), 0)=0, IFERROR(INDEX($B$196:$M$207, MATCH(I$256, $N$196:$N$207, 0), MATCH(I$256, $B$195:$M$195, 0)), 0)=0), 0, IFERROR(INDEX($B$196:$M$207, MATCH($M260, $N$196:$N$207, 0), MATCH(I$256, $B$195:$M$195, 0)), 0)))</f>
        <v>0</v>
      </c>
      <c r="J260" s="138">
        <f>IF(OR($M260="-", J$256="-"), 0, IF(OR(IFERROR(INDEX($B$196:$M$207, MATCH($M260, $N$196:$N$207, 0), MATCH($M260, $B$195:$M$195, 0)), 0)=0, IFERROR(INDEX($B$196:$M$207, MATCH(J$256, $N$196:$N$207, 0), MATCH(J$256, $B$195:$M$195, 0)), 0)=0), 0, IFERROR(INDEX($B$196:$M$207, MATCH($M260, $N$196:$N$207, 0), MATCH(J$256, $B$195:$M$195, 0)), 0)))</f>
        <v>0</v>
      </c>
      <c r="K260" s="13" t="s">
        <v>251</v>
      </c>
      <c r="L260" s="110" t="str">
        <f>IFERROR(INDEX(B$225:B$236, MATCH(4, F$225:F$236, 0)), "-")</f>
        <v>D4Y</v>
      </c>
      <c r="M260" s="134" t="str">
        <f>IFERROR(INDEX(C$225:C$236, MATCH(4, F$225:F$236, 0)), "-")</f>
        <v>U4Y</v>
      </c>
      <c r="Z260" s="188"/>
      <c r="AA260" s="188"/>
      <c r="AB260" s="188"/>
      <c r="AC260" s="188"/>
      <c r="AD260" s="188"/>
      <c r="AE260" s="188"/>
    </row>
    <row r="261" spans="1:31" ht="16.95" customHeight="1" x14ac:dyDescent="0.3">
      <c r="A261" s="138">
        <f t="shared" si="51"/>
        <v>0</v>
      </c>
      <c r="B261" s="13" t="s">
        <v>220</v>
      </c>
      <c r="C261" s="138">
        <f t="shared" si="53"/>
        <v>0</v>
      </c>
      <c r="D261" s="138">
        <f t="shared" si="55"/>
        <v>0</v>
      </c>
      <c r="E261" s="138">
        <f>IF(OR($M261="-", E$256="-"), 0, IF(OR(IFERROR(INDEX($B$196:$M$207, MATCH($M261, $N$196:$N$207, 0), MATCH($M261, $B$195:$M$195, 0)), 0)=0, IFERROR(INDEX($B$196:$M$207, MATCH(E$256, $N$196:$N$207, 0), MATCH(E$256, $B$195:$M$195, 0)), 0)=0), 0, IFERROR(INDEX($B$196:$M$207, MATCH($M261, $N$196:$N$207, 0), MATCH(E$256, $B$195:$M$195, 0)), 0)))</f>
        <v>0</v>
      </c>
      <c r="F261" s="138">
        <f>IF(OR($M261="-", F$256="-"), 0, IF(OR(IFERROR(INDEX($B$196:$M$207, MATCH($M261, $N$196:$N$207, 0), MATCH($M261, $B$195:$M$195, 0)), 0)=0, IFERROR(INDEX($B$196:$M$207, MATCH(F$256, $N$196:$N$207, 0), MATCH(F$256, $B$195:$M$195, 0)), 0)=0), 0, IFERROR(INDEX($B$196:$M$207, MATCH($M261, $N$196:$N$207, 0), MATCH(F$256, $B$195:$M$195, 0)), 0)))</f>
        <v>0</v>
      </c>
      <c r="G261" s="138">
        <f>IF(OR($M261="-", G$256="-"), 1, IF(OR(IFERROR(INDEX($B$196:$M$207, MATCH($M261, $N$196:$N$207, 0), MATCH($M261, $B$195:$M$195, 0)), 0)=0, IFERROR(INDEX($B$196:$M$207, MATCH(G$256, $N$196:$N$207, 0), MATCH(G$256, $B$195:$M$195, 0)), 0)=0), 1, IFERROR(INDEX($B$196:$M$207, MATCH($M261, $N$196:$N$207, 0), MATCH(G$256, $B$195:$M$195, 0)), 0)))</f>
        <v>1</v>
      </c>
      <c r="H261" s="138">
        <f>IF(OR($M261="-", H$256="-"), 0, IF(OR(IFERROR(INDEX($B$196:$M$207, MATCH($M261, $N$196:$N$207, 0), MATCH($M261, $B$195:$M$195, 0)), 0)=0, IFERROR(INDEX($B$196:$M$207, MATCH(H$256, $N$196:$N$207, 0), MATCH(H$256, $B$195:$M$195, 0)), 0)=0), 0, IFERROR(INDEX($B$196:$M$207, MATCH($M261, $N$196:$N$207, 0), MATCH(H$256, $B$195:$M$195, 0)), 0)))</f>
        <v>0</v>
      </c>
      <c r="I261" s="138">
        <f>IF(OR($M261="-", I$256="-"), 0, IF(OR(IFERROR(INDEX($B$196:$M$207, MATCH($M261, $N$196:$N$207, 0), MATCH($M261, $B$195:$M$195, 0)), 0)=0, IFERROR(INDEX($B$196:$M$207, MATCH(I$256, $N$196:$N$207, 0), MATCH(I$256, $B$195:$M$195, 0)), 0)=0), 0, IFERROR(INDEX($B$196:$M$207, MATCH($M261, $N$196:$N$207, 0), MATCH(I$256, $B$195:$M$195, 0)), 0)))</f>
        <v>0</v>
      </c>
      <c r="J261" s="138">
        <f>IF(OR($M261="-", J$256="-"), 0, IF(OR(IFERROR(INDEX($B$196:$M$207, MATCH($M261, $N$196:$N$207, 0), MATCH($M261, $B$195:$M$195, 0)), 0)=0, IFERROR(INDEX($B$196:$M$207, MATCH(J$256, $N$196:$N$207, 0), MATCH(J$256, $B$195:$M$195, 0)), 0)=0), 0, IFERROR(INDEX($B$196:$M$207, MATCH($M261, $N$196:$N$207, 0), MATCH(J$256, $B$195:$M$195, 0)), 0)))</f>
        <v>0</v>
      </c>
      <c r="K261" s="13" t="s">
        <v>251</v>
      </c>
      <c r="L261" s="110" t="str">
        <f>IFERROR(INDEX(B$225:B$236, MATCH(5, F$225:F$236, 0)), "-")</f>
        <v>-</v>
      </c>
      <c r="M261" s="134" t="str">
        <f>IFERROR(INDEX(C$225:C$236, MATCH(5, F$225:F$236, 0)), "-")</f>
        <v>-</v>
      </c>
      <c r="Z261" s="188"/>
      <c r="AA261" s="188"/>
      <c r="AB261" s="188"/>
      <c r="AC261" s="188"/>
      <c r="AD261" s="188"/>
      <c r="AE261" s="188"/>
    </row>
    <row r="262" spans="1:31" ht="16.95" customHeight="1" x14ac:dyDescent="0.3">
      <c r="A262" s="138">
        <f t="shared" si="51"/>
        <v>0</v>
      </c>
      <c r="C262" s="138">
        <f t="shared" si="53"/>
        <v>0</v>
      </c>
      <c r="D262" s="138">
        <f t="shared" si="55"/>
        <v>0</v>
      </c>
      <c r="E262" s="138">
        <f>IF(OR($M262="-", E$256="-"), 0, IF(OR(IFERROR(INDEX($B$196:$M$207, MATCH($M262, $N$196:$N$207, 0), MATCH($M262, $B$195:$M$195, 0)), 0)=0, IFERROR(INDEX($B$196:$M$207, MATCH(E$256, $N$196:$N$207, 0), MATCH(E$256, $B$195:$M$195, 0)), 0)=0), 0, IFERROR(INDEX($B$196:$M$207, MATCH($M262, $N$196:$N$207, 0), MATCH(E$256, $B$195:$M$195, 0)), 0)))</f>
        <v>0</v>
      </c>
      <c r="F262" s="138">
        <f>IF(OR($M262="-", F$256="-"), 0, IF(OR(IFERROR(INDEX($B$196:$M$207, MATCH($M262, $N$196:$N$207, 0), MATCH($M262, $B$195:$M$195, 0)), 0)=0, IFERROR(INDEX($B$196:$M$207, MATCH(F$256, $N$196:$N$207, 0), MATCH(F$256, $B$195:$M$195, 0)), 0)=0), 0, IFERROR(INDEX($B$196:$M$207, MATCH($M262, $N$196:$N$207, 0), MATCH(F$256, $B$195:$M$195, 0)), 0)))</f>
        <v>0</v>
      </c>
      <c r="G262" s="138">
        <f>IF(OR($M262="-", G$256="-"), 0, IF(OR(IFERROR(INDEX($B$196:$M$207, MATCH($M262, $N$196:$N$207, 0), MATCH($M262, $B$195:$M$195, 0)), 0)=0, IFERROR(INDEX($B$196:$M$207, MATCH(G$256, $N$196:$N$207, 0), MATCH(G$256, $B$195:$M$195, 0)), 0)=0), 0, IFERROR(INDEX($B$196:$M$207, MATCH($M262, $N$196:$N$207, 0), MATCH(G$256, $B$195:$M$195, 0)), 0)))</f>
        <v>0</v>
      </c>
      <c r="H262" s="138">
        <f>IF(OR($M262="-", H$256="-"), 1, IF(OR(IFERROR(INDEX($B$196:$M$207, MATCH($M262, $N$196:$N$207, 0), MATCH($M262, $B$195:$M$195, 0)), 0)=0, IFERROR(INDEX($B$196:$M$207, MATCH(H$256, $N$196:$N$207, 0), MATCH(H$256, $B$195:$M$195, 0)), 0)=0), 1, IFERROR(INDEX($B$196:$M$207, MATCH($M262, $N$196:$N$207, 0), MATCH(H$256, $B$195:$M$195, 0)), 0)))</f>
        <v>1</v>
      </c>
      <c r="I262" s="138">
        <f>IF(OR($M262="-", I$256="-"), 0, IF(OR(IFERROR(INDEX($B$196:$M$207, MATCH($M262, $N$196:$N$207, 0), MATCH($M262, $B$195:$M$195, 0)), 0)=0, IFERROR(INDEX($B$196:$M$207, MATCH(I$256, $N$196:$N$207, 0), MATCH(I$256, $B$195:$M$195, 0)), 0)=0), 0, IFERROR(INDEX($B$196:$M$207, MATCH($M262, $N$196:$N$207, 0), MATCH(I$256, $B$195:$M$195, 0)), 0)))</f>
        <v>0</v>
      </c>
      <c r="J262" s="138">
        <f>IF(OR($M262="-", J$256="-"), 0, IF(OR(IFERROR(INDEX($B$196:$M$207, MATCH($M262, $N$196:$N$207, 0), MATCH($M262, $B$195:$M$195, 0)), 0)=0, IFERROR(INDEX($B$196:$M$207, MATCH(J$256, $N$196:$N$207, 0), MATCH(J$256, $B$195:$M$195, 0)), 0)=0), 0, IFERROR(INDEX($B$196:$M$207, MATCH($M262, $N$196:$N$207, 0), MATCH(J$256, $B$195:$M$195, 0)), 0)))</f>
        <v>0</v>
      </c>
      <c r="K262" s="13" t="s">
        <v>251</v>
      </c>
      <c r="L262" s="110" t="str">
        <f>IFERROR(INDEX(B$225:B$236, MATCH(6, F$225:F$236, 0)), "-")</f>
        <v>-</v>
      </c>
      <c r="M262" s="134" t="str">
        <f>IFERROR(INDEX(C$225:C$236, MATCH(6, F$225:F$236, 0)), "-")</f>
        <v>-</v>
      </c>
      <c r="Z262" s="188"/>
      <c r="AA262" s="188"/>
      <c r="AB262" s="188"/>
      <c r="AC262" s="188"/>
      <c r="AD262" s="188"/>
      <c r="AE262" s="188"/>
    </row>
    <row r="263" spans="1:31" ht="16.95" customHeight="1" x14ac:dyDescent="0.3">
      <c r="A263" s="138">
        <f t="shared" si="51"/>
        <v>0</v>
      </c>
      <c r="C263" s="138">
        <f t="shared" si="53"/>
        <v>0</v>
      </c>
      <c r="D263" s="138">
        <f t="shared" si="55"/>
        <v>0</v>
      </c>
      <c r="E263" s="138">
        <f>IF(OR($M263="-", E$256="-"), 0, IF(OR(IFERROR(INDEX($B$196:$M$207, MATCH($M263, $N$196:$N$207, 0), MATCH($M263, $B$195:$M$195, 0)), 0)=0, IFERROR(INDEX($B$196:$M$207, MATCH(E$256, $N$196:$N$207, 0), MATCH(E$256, $B$195:$M$195, 0)), 0)=0), 0, IFERROR(INDEX($B$196:$M$207, MATCH($M263, $N$196:$N$207, 0), MATCH(E$256, $B$195:$M$195, 0)), 0)))</f>
        <v>0</v>
      </c>
      <c r="F263" s="138">
        <f>IF(OR($M263="-", F$256="-"), 0, IF(OR(IFERROR(INDEX($B$196:$M$207, MATCH($M263, $N$196:$N$207, 0), MATCH($M263, $B$195:$M$195, 0)), 0)=0, IFERROR(INDEX($B$196:$M$207, MATCH(F$256, $N$196:$N$207, 0), MATCH(F$256, $B$195:$M$195, 0)), 0)=0), 0, IFERROR(INDEX($B$196:$M$207, MATCH($M263, $N$196:$N$207, 0), MATCH(F$256, $B$195:$M$195, 0)), 0)))</f>
        <v>0</v>
      </c>
      <c r="G263" s="138">
        <f>IF(OR($M263="-", G$256="-"), 0, IF(OR(IFERROR(INDEX($B$196:$M$207, MATCH($M263, $N$196:$N$207, 0), MATCH($M263, $B$195:$M$195, 0)), 0)=0, IFERROR(INDEX($B$196:$M$207, MATCH(G$256, $N$196:$N$207, 0), MATCH(G$256, $B$195:$M$195, 0)), 0)=0), 0, IFERROR(INDEX($B$196:$M$207, MATCH($M263, $N$196:$N$207, 0), MATCH(G$256, $B$195:$M$195, 0)), 0)))</f>
        <v>0</v>
      </c>
      <c r="H263" s="138">
        <f>IF(OR($M263="-", H$256="-"), 0, IF(OR(IFERROR(INDEX($B$196:$M$207, MATCH($M263, $N$196:$N$207, 0), MATCH($M263, $B$195:$M$195, 0)), 0)=0, IFERROR(INDEX($B$196:$M$207, MATCH(H$256, $N$196:$N$207, 0), MATCH(H$256, $B$195:$M$195, 0)), 0)=0), 0, IFERROR(INDEX($B$196:$M$207, MATCH($M263, $N$196:$N$207, 0), MATCH(H$256, $B$195:$M$195, 0)), 0)))</f>
        <v>0</v>
      </c>
      <c r="I263" s="138">
        <f>IF(OR($M263="-", I$256="-"), 1, IF(OR(IFERROR(INDEX($B$196:$M$207, MATCH($M263, $N$196:$N$207, 0), MATCH($M263, $B$195:$M$195, 0)), 0)=0, IFERROR(INDEX($B$196:$M$207, MATCH(I$256, $N$196:$N$207, 0), MATCH(I$256, $B$195:$M$195, 0)), 0)=0), 1, IFERROR(INDEX($B$196:$M$207, MATCH($M263, $N$196:$N$207, 0), MATCH(I$256, $B$195:$M$195, 0)), 0)))</f>
        <v>1</v>
      </c>
      <c r="J263" s="138">
        <f>IF(OR($M263="-", J$256="-"), 0, IF(OR(IFERROR(INDEX($B$196:$M$207, MATCH($M263, $N$196:$N$207, 0), MATCH($M263, $B$195:$M$195, 0)), 0)=0, IFERROR(INDEX($B$196:$M$207, MATCH(J$256, $N$196:$N$207, 0), MATCH(J$256, $B$195:$M$195, 0)), 0)=0), 0, IFERROR(INDEX($B$196:$M$207, MATCH($M263, $N$196:$N$207, 0), MATCH(J$256, $B$195:$M$195, 0)), 0)))</f>
        <v>0</v>
      </c>
      <c r="K263" s="13" t="s">
        <v>251</v>
      </c>
      <c r="L263" s="110" t="str">
        <f>IFERROR(INDEX(B$225:B$236, MATCH(7, F$225:F$236, 0)), "-")</f>
        <v>-</v>
      </c>
      <c r="M263" s="134" t="str">
        <f>IFERROR(INDEX(C$225:C$236, MATCH(7, F$225:F$236, 0)), "-")</f>
        <v>-</v>
      </c>
      <c r="Z263" s="188"/>
      <c r="AA263" s="188"/>
      <c r="AB263" s="188"/>
      <c r="AC263" s="188"/>
      <c r="AD263" s="188"/>
      <c r="AE263" s="188"/>
    </row>
    <row r="264" spans="1:31" ht="16.95" customHeight="1" x14ac:dyDescent="0.3">
      <c r="A264" s="138">
        <f t="shared" si="51"/>
        <v>0</v>
      </c>
      <c r="C264" s="138">
        <f t="shared" si="53"/>
        <v>0</v>
      </c>
      <c r="D264" s="138">
        <f t="shared" si="55"/>
        <v>0</v>
      </c>
      <c r="E264" s="138">
        <f>IF(OR($M264="-", E$256="-"), 0, IF(OR(IFERROR(INDEX($B$196:$M$207, MATCH($M264, $N$196:$N$207, 0), MATCH($M264, $B$195:$M$195, 0)), 0)=0, IFERROR(INDEX($B$196:$M$207, MATCH(E$256, $N$196:$N$207, 0), MATCH(E$256, $B$195:$M$195, 0)), 0)=0), 0, IFERROR(INDEX($B$196:$M$207, MATCH($M264, $N$196:$N$207, 0), MATCH(E$256, $B$195:$M$195, 0)), 0)))</f>
        <v>0</v>
      </c>
      <c r="F264" s="138">
        <f>IF(OR($M264="-", F$256="-"), 0, IF(OR(IFERROR(INDEX($B$196:$M$207, MATCH($M264, $N$196:$N$207, 0), MATCH($M264, $B$195:$M$195, 0)), 0)=0, IFERROR(INDEX($B$196:$M$207, MATCH(F$256, $N$196:$N$207, 0), MATCH(F$256, $B$195:$M$195, 0)), 0)=0), 0, IFERROR(INDEX($B$196:$M$207, MATCH($M264, $N$196:$N$207, 0), MATCH(F$256, $B$195:$M$195, 0)), 0)))</f>
        <v>0</v>
      </c>
      <c r="G264" s="138">
        <f>IF(OR($M264="-", G$256="-"), 0, IF(OR(IFERROR(INDEX($B$196:$M$207, MATCH($M264, $N$196:$N$207, 0), MATCH($M264, $B$195:$M$195, 0)), 0)=0, IFERROR(INDEX($B$196:$M$207, MATCH(G$256, $N$196:$N$207, 0), MATCH(G$256, $B$195:$M$195, 0)), 0)=0), 0, IFERROR(INDEX($B$196:$M$207, MATCH($M264, $N$196:$N$207, 0), MATCH(G$256, $B$195:$M$195, 0)), 0)))</f>
        <v>0</v>
      </c>
      <c r="H264" s="138">
        <f>IF(OR($M264="-", H$256="-"), 0, IF(OR(IFERROR(INDEX($B$196:$M$207, MATCH($M264, $N$196:$N$207, 0), MATCH($M264, $B$195:$M$195, 0)), 0)=0, IFERROR(INDEX($B$196:$M$207, MATCH(H$256, $N$196:$N$207, 0), MATCH(H$256, $B$195:$M$195, 0)), 0)=0), 0, IFERROR(INDEX($B$196:$M$207, MATCH($M264, $N$196:$N$207, 0), MATCH(H$256, $B$195:$M$195, 0)), 0)))</f>
        <v>0</v>
      </c>
      <c r="I264" s="138">
        <f>IF(OR($M264="-", I$256="-"), 0, IF(OR(IFERROR(INDEX($B$196:$M$207, MATCH($M264, $N$196:$N$207, 0), MATCH($M264, $B$195:$M$195, 0)), 0)=0, IFERROR(INDEX($B$196:$M$207, MATCH(I$256, $N$196:$N$207, 0), MATCH(I$256, $B$195:$M$195, 0)), 0)=0), 0, IFERROR(INDEX($B$196:$M$207, MATCH($M264, $N$196:$N$207, 0), MATCH(I$256, $B$195:$M$195, 0)), 0)))</f>
        <v>0</v>
      </c>
      <c r="J264" s="138">
        <f>IF(OR($M264="-", J$256="-"), 1, IF(OR(IFERROR(INDEX($B$196:$M$207, MATCH($M264, $N$196:$N$207, 0), MATCH($M264, $B$195:$M$195, 0)), 0)=0, IFERROR(INDEX($B$196:$M$207, MATCH(J$256, $N$196:$N$207, 0), MATCH(J$256, $B$195:$M$195, 0)), 0)=0), 1, IFERROR(INDEX($B$196:$M$207, MATCH($M264, $N$196:$N$207, 0), MATCH(J$256, $B$195:$M$195, 0)), 0)))</f>
        <v>1</v>
      </c>
      <c r="K264" s="13" t="s">
        <v>251</v>
      </c>
      <c r="L264" s="110" t="str">
        <f>IFERROR(INDEX(B$225:B$236, MATCH(8, F$225:F$236, 0)), "-")</f>
        <v>-</v>
      </c>
      <c r="M264" s="134" t="str">
        <f>IFERROR(INDEX(C$225:C$236, MATCH(8, F$225:F$236, 0)), "-")</f>
        <v>-</v>
      </c>
      <c r="Z264" s="188"/>
      <c r="AA264" s="188"/>
      <c r="AB264" s="188"/>
      <c r="AC264" s="188"/>
      <c r="AD264" s="188"/>
      <c r="AE264" s="188"/>
    </row>
    <row r="265" spans="1:31" ht="16.95" customHeight="1" x14ac:dyDescent="0.3">
      <c r="Z265" s="188"/>
      <c r="AA265" s="188"/>
      <c r="AB265" s="188"/>
      <c r="AC265" s="188"/>
      <c r="AD265" s="188"/>
      <c r="AE265" s="188"/>
    </row>
    <row r="266" spans="1:31" ht="16.95" customHeight="1" x14ac:dyDescent="0.3">
      <c r="C266" s="190" t="s">
        <v>263</v>
      </c>
      <c r="D266" s="190"/>
      <c r="E266" s="190"/>
      <c r="F266" s="190"/>
      <c r="G266" s="190"/>
      <c r="H266" s="190"/>
      <c r="I266" s="190"/>
      <c r="J266" s="190"/>
      <c r="Z266" s="188"/>
      <c r="AA266" s="188"/>
      <c r="AB266" s="188"/>
      <c r="AC266" s="188"/>
      <c r="AD266" s="188"/>
      <c r="AE266" s="188"/>
    </row>
    <row r="267" spans="1:31" ht="16.95" customHeight="1" x14ac:dyDescent="0.3">
      <c r="A267" s="99" t="s">
        <v>249</v>
      </c>
      <c r="C267" s="193" t="s">
        <v>264</v>
      </c>
      <c r="D267" s="175"/>
      <c r="E267" s="175"/>
      <c r="F267" s="175"/>
      <c r="G267" s="175"/>
      <c r="H267" s="175"/>
      <c r="I267" s="175"/>
      <c r="J267" s="175"/>
      <c r="L267" s="99" t="s">
        <v>247</v>
      </c>
      <c r="Z267" s="188"/>
      <c r="AA267" s="188"/>
      <c r="AB267" s="188"/>
      <c r="AC267" s="188"/>
      <c r="AD267" s="188"/>
      <c r="AE267" s="188"/>
    </row>
    <row r="268" spans="1:31" ht="16.95" customHeight="1" x14ac:dyDescent="0.3">
      <c r="A268" s="132" t="str">
        <f t="shared" ref="A268:A275" si="56">L257</f>
        <v>D3X</v>
      </c>
      <c r="C268" s="139">
        <f t="array" ref="C268:J275">MINVERSE(C257:J264)</f>
        <v>2.2127329192546581E-5</v>
      </c>
      <c r="D268" s="139">
        <v>-5.2406832298136638E-6</v>
      </c>
      <c r="E268" s="139">
        <v>1.5571083505866112E-5</v>
      </c>
      <c r="F268" s="139">
        <v>3.6878881987577629E-6</v>
      </c>
      <c r="G268" s="139">
        <v>0</v>
      </c>
      <c r="H268" s="139">
        <v>0</v>
      </c>
      <c r="I268" s="139">
        <v>0</v>
      </c>
      <c r="J268" s="139">
        <v>0</v>
      </c>
      <c r="L268" s="137">
        <f t="shared" ref="L268:L275" si="57">A257</f>
        <v>3500</v>
      </c>
      <c r="Z268" s="188"/>
      <c r="AA268" s="188"/>
      <c r="AB268" s="188"/>
      <c r="AC268" s="188"/>
      <c r="AD268" s="188"/>
      <c r="AE268" s="188"/>
    </row>
    <row r="269" spans="1:31" ht="16.95" customHeight="1" x14ac:dyDescent="0.3">
      <c r="A269" s="132" t="str">
        <f t="shared" si="56"/>
        <v>D3Y</v>
      </c>
      <c r="C269" s="139">
        <v>-5.2406832298136638E-6</v>
      </c>
      <c r="D269" s="139">
        <v>1.103131469979296E-5</v>
      </c>
      <c r="E269" s="139">
        <v>-3.6878881987577633E-6</v>
      </c>
      <c r="F269" s="139">
        <v>-8.7344720496894396E-7</v>
      </c>
      <c r="G269" s="139">
        <v>0</v>
      </c>
      <c r="H269" s="139">
        <v>0</v>
      </c>
      <c r="I269" s="139">
        <v>0</v>
      </c>
      <c r="J269" s="139">
        <v>0</v>
      </c>
      <c r="L269" s="137">
        <f t="shared" si="57"/>
        <v>-5000</v>
      </c>
      <c r="Z269" s="188"/>
      <c r="AA269" s="188"/>
      <c r="AB269" s="188"/>
      <c r="AC269" s="188"/>
      <c r="AD269" s="188"/>
      <c r="AE269" s="188"/>
    </row>
    <row r="270" spans="1:31" ht="16.95" customHeight="1" x14ac:dyDescent="0.3">
      <c r="A270" s="132" t="str">
        <f t="shared" si="56"/>
        <v>D4X</v>
      </c>
      <c r="C270" s="139">
        <v>1.5571083505866112E-5</v>
      </c>
      <c r="D270" s="139">
        <v>-3.6878881987577638E-6</v>
      </c>
      <c r="E270" s="139">
        <v>2.2127329192546581E-5</v>
      </c>
      <c r="F270" s="139">
        <v>5.2406832298136638E-6</v>
      </c>
      <c r="G270" s="139">
        <v>0</v>
      </c>
      <c r="H270" s="139">
        <v>0</v>
      </c>
      <c r="I270" s="139">
        <v>0</v>
      </c>
      <c r="J270" s="139">
        <v>0</v>
      </c>
      <c r="L270" s="137">
        <f t="shared" si="57"/>
        <v>3500</v>
      </c>
      <c r="Z270" s="188"/>
      <c r="AA270" s="188"/>
      <c r="AB270" s="188"/>
      <c r="AC270" s="188"/>
      <c r="AD270" s="188"/>
      <c r="AE270" s="188"/>
    </row>
    <row r="271" spans="1:31" ht="16.95" customHeight="1" x14ac:dyDescent="0.3">
      <c r="A271" s="132" t="str">
        <f t="shared" si="56"/>
        <v>D4Y</v>
      </c>
      <c r="C271" s="139">
        <v>3.6878881987577638E-6</v>
      </c>
      <c r="D271" s="139">
        <v>-8.7344720496894386E-7</v>
      </c>
      <c r="E271" s="139">
        <v>5.2406832298136638E-6</v>
      </c>
      <c r="F271" s="139">
        <v>1.103131469979296E-5</v>
      </c>
      <c r="G271" s="139">
        <v>0</v>
      </c>
      <c r="H271" s="139">
        <v>0</v>
      </c>
      <c r="I271" s="139">
        <v>0</v>
      </c>
      <c r="J271" s="139">
        <v>0</v>
      </c>
      <c r="L271" s="137">
        <f t="shared" si="57"/>
        <v>0</v>
      </c>
      <c r="Z271" s="188"/>
      <c r="AA271" s="188"/>
      <c r="AB271" s="188"/>
      <c r="AC271" s="188"/>
      <c r="AD271" s="188"/>
      <c r="AE271" s="188"/>
    </row>
    <row r="272" spans="1:31" ht="16.95" customHeight="1" x14ac:dyDescent="0.3">
      <c r="A272" s="132" t="str">
        <f t="shared" si="56"/>
        <v>-</v>
      </c>
      <c r="B272" s="13" t="s">
        <v>220</v>
      </c>
      <c r="C272" s="139">
        <v>0</v>
      </c>
      <c r="D272" s="139">
        <v>0</v>
      </c>
      <c r="E272" s="139">
        <v>0</v>
      </c>
      <c r="F272" s="139">
        <v>0</v>
      </c>
      <c r="G272" s="139">
        <v>1</v>
      </c>
      <c r="H272" s="139">
        <v>0</v>
      </c>
      <c r="I272" s="139">
        <v>0</v>
      </c>
      <c r="J272" s="139">
        <v>0</v>
      </c>
      <c r="L272" s="137">
        <f t="shared" si="57"/>
        <v>0</v>
      </c>
      <c r="Z272" s="188"/>
      <c r="AA272" s="188"/>
      <c r="AB272" s="188"/>
      <c r="AC272" s="188"/>
      <c r="AD272" s="188"/>
      <c r="AE272" s="188"/>
    </row>
    <row r="273" spans="1:31" ht="16.95" customHeight="1" x14ac:dyDescent="0.3">
      <c r="A273" s="132" t="str">
        <f t="shared" si="56"/>
        <v>-</v>
      </c>
      <c r="C273" s="139">
        <v>0</v>
      </c>
      <c r="D273" s="139">
        <v>0</v>
      </c>
      <c r="E273" s="139">
        <v>0</v>
      </c>
      <c r="F273" s="139">
        <v>0</v>
      </c>
      <c r="G273" s="139">
        <v>0</v>
      </c>
      <c r="H273" s="139">
        <v>1</v>
      </c>
      <c r="I273" s="139">
        <v>0</v>
      </c>
      <c r="J273" s="139">
        <v>0</v>
      </c>
      <c r="L273" s="137">
        <f t="shared" si="57"/>
        <v>0</v>
      </c>
      <c r="Z273" s="188"/>
      <c r="AA273" s="188"/>
      <c r="AB273" s="188"/>
      <c r="AC273" s="188"/>
      <c r="AD273" s="188"/>
      <c r="AE273" s="188"/>
    </row>
    <row r="274" spans="1:31" ht="16.95" customHeight="1" x14ac:dyDescent="0.3">
      <c r="A274" s="132" t="str">
        <f t="shared" si="56"/>
        <v>-</v>
      </c>
      <c r="C274" s="139">
        <v>0</v>
      </c>
      <c r="D274" s="139">
        <v>0</v>
      </c>
      <c r="E274" s="139">
        <v>0</v>
      </c>
      <c r="F274" s="139">
        <v>0</v>
      </c>
      <c r="G274" s="139">
        <v>0</v>
      </c>
      <c r="H274" s="139">
        <v>0</v>
      </c>
      <c r="I274" s="139">
        <v>1</v>
      </c>
      <c r="J274" s="139">
        <v>0</v>
      </c>
      <c r="L274" s="137">
        <f t="shared" si="57"/>
        <v>0</v>
      </c>
      <c r="Z274" s="188"/>
      <c r="AA274" s="188"/>
      <c r="AB274" s="188"/>
      <c r="AC274" s="188"/>
      <c r="AD274" s="188"/>
      <c r="AE274" s="188"/>
    </row>
    <row r="275" spans="1:31" ht="16.95" customHeight="1" x14ac:dyDescent="0.3">
      <c r="A275" s="132" t="str">
        <f t="shared" si="56"/>
        <v>-</v>
      </c>
      <c r="C275" s="139">
        <v>0</v>
      </c>
      <c r="D275" s="139">
        <v>0</v>
      </c>
      <c r="E275" s="139">
        <v>0</v>
      </c>
      <c r="F275" s="139">
        <v>0</v>
      </c>
      <c r="G275" s="139">
        <v>0</v>
      </c>
      <c r="H275" s="139">
        <v>0</v>
      </c>
      <c r="I275" s="139">
        <v>0</v>
      </c>
      <c r="J275" s="139">
        <v>1</v>
      </c>
      <c r="L275" s="137">
        <f t="shared" si="57"/>
        <v>0</v>
      </c>
      <c r="Z275" s="188"/>
      <c r="AA275" s="188"/>
      <c r="AB275" s="188"/>
      <c r="AC275" s="188"/>
      <c r="AD275" s="188"/>
      <c r="AE275" s="188"/>
    </row>
    <row r="276" spans="1:31" ht="16.95" customHeight="1" x14ac:dyDescent="0.3">
      <c r="Z276" s="188"/>
      <c r="AA276" s="188"/>
      <c r="AB276" s="188"/>
      <c r="AC276" s="188"/>
      <c r="AD276" s="188"/>
      <c r="AE276" s="188"/>
    </row>
    <row r="277" spans="1:31" ht="16.95" customHeight="1" x14ac:dyDescent="0.3">
      <c r="C277" s="190" t="s">
        <v>265</v>
      </c>
      <c r="D277" s="190"/>
      <c r="Z277" s="188"/>
      <c r="AA277" s="188"/>
      <c r="AB277" s="188"/>
      <c r="AC277" s="188"/>
      <c r="AD277" s="188"/>
      <c r="AE277" s="188"/>
    </row>
    <row r="278" spans="1:31" ht="16.95" customHeight="1" x14ac:dyDescent="0.3">
      <c r="A278" s="99" t="s">
        <v>249</v>
      </c>
      <c r="C278" s="99" t="s">
        <v>266</v>
      </c>
      <c r="Z278" s="188"/>
      <c r="AA278" s="188"/>
      <c r="AB278" s="188"/>
      <c r="AC278" s="188"/>
      <c r="AD278" s="188"/>
      <c r="AE278" s="188"/>
    </row>
    <row r="279" spans="1:31" ht="16.95" customHeight="1" x14ac:dyDescent="0.3">
      <c r="A279" s="132" t="str">
        <f t="shared" ref="A279:A286" si="58">A268</f>
        <v>D3X</v>
      </c>
      <c r="C279" s="140">
        <f t="array" ref="C279:C286">MMULT(C268:J275, L268:L275)</f>
        <v>0.15814786059351274</v>
      </c>
      <c r="D279" s="132" t="s">
        <v>267</v>
      </c>
      <c r="Z279" s="188"/>
      <c r="AA279" s="188"/>
      <c r="AB279" s="188"/>
      <c r="AC279" s="188"/>
      <c r="AD279" s="188"/>
      <c r="AE279" s="188"/>
    </row>
    <row r="280" spans="1:31" ht="16.95" customHeight="1" x14ac:dyDescent="0.3">
      <c r="A280" s="132" t="str">
        <f t="shared" si="58"/>
        <v>D3Y</v>
      </c>
      <c r="C280" s="140">
        <v>-8.64065734989648E-2</v>
      </c>
      <c r="D280" s="132" t="s">
        <v>267</v>
      </c>
      <c r="Z280" s="188"/>
      <c r="AA280" s="188"/>
      <c r="AB280" s="188"/>
      <c r="AC280" s="188"/>
      <c r="AD280" s="188"/>
      <c r="AE280" s="188"/>
    </row>
    <row r="281" spans="1:31" ht="16.95" customHeight="1" x14ac:dyDescent="0.3">
      <c r="A281" s="132" t="str">
        <f t="shared" si="58"/>
        <v>D4X</v>
      </c>
      <c r="C281" s="140">
        <v>0.15038388543823322</v>
      </c>
      <c r="D281" s="132" t="s">
        <v>267</v>
      </c>
      <c r="Z281" s="188"/>
      <c r="AA281" s="188"/>
      <c r="AB281" s="188"/>
      <c r="AC281" s="188"/>
      <c r="AD281" s="188"/>
      <c r="AE281" s="188"/>
    </row>
    <row r="282" spans="1:31" ht="16.95" customHeight="1" x14ac:dyDescent="0.3">
      <c r="A282" s="132" t="str">
        <f t="shared" si="58"/>
        <v>D4Y</v>
      </c>
      <c r="C282" s="140">
        <v>3.561723602484472E-2</v>
      </c>
      <c r="D282" s="132" t="s">
        <v>267</v>
      </c>
      <c r="Z282" s="188"/>
      <c r="AA282" s="188"/>
      <c r="AB282" s="188"/>
      <c r="AC282" s="188"/>
      <c r="AD282" s="188"/>
      <c r="AE282" s="188"/>
    </row>
    <row r="283" spans="1:31" ht="16.95" customHeight="1" x14ac:dyDescent="0.3">
      <c r="A283" s="132" t="str">
        <f t="shared" si="58"/>
        <v>-</v>
      </c>
      <c r="B283" s="13" t="s">
        <v>220</v>
      </c>
      <c r="C283" s="140">
        <v>0</v>
      </c>
      <c r="D283" s="132" t="s">
        <v>267</v>
      </c>
      <c r="Z283" s="188"/>
      <c r="AA283" s="188"/>
      <c r="AB283" s="188"/>
      <c r="AC283" s="188"/>
      <c r="AD283" s="188"/>
      <c r="AE283" s="188"/>
    </row>
    <row r="284" spans="1:31" ht="16.95" customHeight="1" x14ac:dyDescent="0.3">
      <c r="A284" s="132" t="str">
        <f t="shared" si="58"/>
        <v>-</v>
      </c>
      <c r="C284" s="140">
        <v>0</v>
      </c>
      <c r="D284" s="132" t="s">
        <v>267</v>
      </c>
      <c r="Z284" s="188"/>
      <c r="AA284" s="188"/>
      <c r="AB284" s="188"/>
      <c r="AC284" s="188"/>
      <c r="AD284" s="188"/>
      <c r="AE284" s="188"/>
    </row>
    <row r="285" spans="1:31" ht="16.95" customHeight="1" x14ac:dyDescent="0.3">
      <c r="A285" s="132" t="str">
        <f t="shared" si="58"/>
        <v>-</v>
      </c>
      <c r="C285" s="140">
        <v>0</v>
      </c>
      <c r="D285" s="132" t="s">
        <v>267</v>
      </c>
      <c r="Z285" s="188"/>
      <c r="AA285" s="188"/>
      <c r="AB285" s="188"/>
      <c r="AC285" s="188"/>
      <c r="AD285" s="188"/>
      <c r="AE285" s="188"/>
    </row>
    <row r="286" spans="1:31" ht="16.95" customHeight="1" x14ac:dyDescent="0.3">
      <c r="A286" s="132" t="str">
        <f t="shared" si="58"/>
        <v>-</v>
      </c>
      <c r="C286" s="140">
        <v>0</v>
      </c>
      <c r="D286" s="132" t="s">
        <v>267</v>
      </c>
      <c r="Z286" s="188"/>
      <c r="AA286" s="188"/>
      <c r="AB286" s="188"/>
      <c r="AC286" s="188"/>
      <c r="AD286" s="188"/>
      <c r="AE286" s="188"/>
    </row>
    <row r="289" spans="1:31" ht="19.95" customHeight="1" x14ac:dyDescent="0.35">
      <c r="A289" s="131" t="s">
        <v>268</v>
      </c>
      <c r="Z289" s="189" t="s">
        <v>269</v>
      </c>
      <c r="AA289" s="189"/>
      <c r="AB289" s="189"/>
      <c r="AC289" s="189"/>
      <c r="AD289" s="189"/>
      <c r="AE289" s="189"/>
    </row>
    <row r="290" spans="1:31" ht="16.95" customHeight="1" x14ac:dyDescent="0.3">
      <c r="A290" s="99" t="s">
        <v>247</v>
      </c>
      <c r="L290" s="99" t="s">
        <v>249</v>
      </c>
      <c r="Z290" s="188" t="s">
        <v>270</v>
      </c>
      <c r="AA290" s="188"/>
      <c r="AB290" s="188"/>
      <c r="AC290" s="188"/>
      <c r="AD290" s="188"/>
      <c r="AE290" s="188"/>
    </row>
    <row r="291" spans="1:31" ht="16.95" customHeight="1" x14ac:dyDescent="0.3">
      <c r="A291" s="141" t="str">
        <f>IF($M291="-", "-", IFERROR(INDEX(B$211:B$222, MATCH($M291, C$211:C$222, 0)), "-"))</f>
        <v>C1X</v>
      </c>
      <c r="C291" s="120">
        <f t="shared" ref="C291:J294" si="59">IF(OR($M291="-", C$256="-"), 0, IFERROR(INDEX($B$196:$M$207, MATCH($M291, $N$196:$N$207, 0), MATCH(C$256, $B$195:$M$195, 0)), 0))</f>
        <v>-32256</v>
      </c>
      <c r="D291" s="120">
        <f t="shared" si="59"/>
        <v>-24192</v>
      </c>
      <c r="E291" s="120">
        <f t="shared" si="59"/>
        <v>0</v>
      </c>
      <c r="F291" s="120">
        <f t="shared" si="59"/>
        <v>0</v>
      </c>
      <c r="G291" s="120">
        <f t="shared" si="59"/>
        <v>0</v>
      </c>
      <c r="H291" s="120">
        <f t="shared" si="59"/>
        <v>0</v>
      </c>
      <c r="I291" s="120">
        <f t="shared" si="59"/>
        <v>0</v>
      </c>
      <c r="J291" s="120">
        <f t="shared" si="59"/>
        <v>0</v>
      </c>
      <c r="L291" s="142">
        <f t="shared" ref="L291:L298" si="60">C279</f>
        <v>0.15814786059351274</v>
      </c>
      <c r="M291" s="134" t="str">
        <f>IFERROR(INDEX(C$225:C$236, MATCH(1, G$225:G$236, 0)), "-")</f>
        <v>U1X</v>
      </c>
      <c r="Z291" s="188" t="s">
        <v>271</v>
      </c>
      <c r="AA291" s="188"/>
      <c r="AB291" s="188"/>
      <c r="AC291" s="188"/>
      <c r="AD291" s="188"/>
      <c r="AE291" s="188"/>
    </row>
    <row r="292" spans="1:31" ht="16.95" customHeight="1" x14ac:dyDescent="0.3">
      <c r="A292" s="141" t="str">
        <f>IF($M292="-", "-", IFERROR(INDEX(B$211:B$222, MATCH($M292, C$211:C$222, 0)), "-"))</f>
        <v>C1Y</v>
      </c>
      <c r="C292" s="120">
        <f t="shared" si="59"/>
        <v>-24192</v>
      </c>
      <c r="D292" s="120">
        <f t="shared" si="59"/>
        <v>-18144</v>
      </c>
      <c r="E292" s="120">
        <f t="shared" si="59"/>
        <v>0</v>
      </c>
      <c r="F292" s="120">
        <f t="shared" si="59"/>
        <v>-84000</v>
      </c>
      <c r="G292" s="120">
        <f t="shared" si="59"/>
        <v>0</v>
      </c>
      <c r="H292" s="120">
        <f t="shared" si="59"/>
        <v>0</v>
      </c>
      <c r="I292" s="120">
        <f t="shared" si="59"/>
        <v>0</v>
      </c>
      <c r="J292" s="120">
        <f t="shared" si="59"/>
        <v>0</v>
      </c>
      <c r="L292" s="142">
        <f t="shared" si="60"/>
        <v>-8.64065734989648E-2</v>
      </c>
      <c r="M292" s="134" t="str">
        <f>IFERROR(INDEX(C$225:C$236, MATCH(2, G$225:G$236, 0)), "-")</f>
        <v>U1Y</v>
      </c>
      <c r="Z292" s="188" t="s">
        <v>272</v>
      </c>
      <c r="AA292" s="188"/>
      <c r="AB292" s="188"/>
      <c r="AC292" s="188"/>
      <c r="AD292" s="188"/>
      <c r="AE292" s="188"/>
    </row>
    <row r="293" spans="1:31" ht="16.95" customHeight="1" x14ac:dyDescent="0.3">
      <c r="A293" s="141" t="str">
        <f>IF($M293="-", "-", IFERROR(INDEX(B$211:B$222, MATCH($M293, C$211:C$222, 0)), "-"))</f>
        <v>C2X</v>
      </c>
      <c r="B293" s="13" t="s">
        <v>220</v>
      </c>
      <c r="C293" s="120">
        <f t="shared" si="59"/>
        <v>0</v>
      </c>
      <c r="D293" s="120">
        <f t="shared" si="59"/>
        <v>0</v>
      </c>
      <c r="E293" s="120">
        <f t="shared" si="59"/>
        <v>-32256</v>
      </c>
      <c r="F293" s="120">
        <f t="shared" si="59"/>
        <v>24192</v>
      </c>
      <c r="G293" s="120">
        <f t="shared" si="59"/>
        <v>0</v>
      </c>
      <c r="H293" s="120">
        <f t="shared" si="59"/>
        <v>0</v>
      </c>
      <c r="I293" s="120">
        <f t="shared" si="59"/>
        <v>0</v>
      </c>
      <c r="J293" s="120">
        <f t="shared" si="59"/>
        <v>0</v>
      </c>
      <c r="L293" s="142">
        <f t="shared" si="60"/>
        <v>0.15038388543823322</v>
      </c>
      <c r="M293" s="134" t="str">
        <f>IFERROR(INDEX(C$225:C$236, MATCH(3, G$225:G$236, 0)), "-")</f>
        <v>U2X</v>
      </c>
      <c r="Z293" s="188"/>
      <c r="AA293" s="188"/>
      <c r="AB293" s="188"/>
      <c r="AC293" s="188"/>
      <c r="AD293" s="188"/>
      <c r="AE293" s="188"/>
    </row>
    <row r="294" spans="1:31" ht="16.95" customHeight="1" x14ac:dyDescent="0.3">
      <c r="A294" s="141" t="str">
        <f>IF($M294="-", "-", IFERROR(INDEX(B$211:B$222, MATCH($M294, C$211:C$222, 0)), "-"))</f>
        <v>C2Y</v>
      </c>
      <c r="C294" s="120">
        <f t="shared" si="59"/>
        <v>0</v>
      </c>
      <c r="D294" s="120">
        <f t="shared" si="59"/>
        <v>-84000</v>
      </c>
      <c r="E294" s="120">
        <f t="shared" si="59"/>
        <v>24192</v>
      </c>
      <c r="F294" s="120">
        <f t="shared" si="59"/>
        <v>-18144</v>
      </c>
      <c r="G294" s="120">
        <f t="shared" si="59"/>
        <v>0</v>
      </c>
      <c r="H294" s="120">
        <f t="shared" si="59"/>
        <v>0</v>
      </c>
      <c r="I294" s="120">
        <f t="shared" si="59"/>
        <v>0</v>
      </c>
      <c r="J294" s="120">
        <f t="shared" si="59"/>
        <v>0</v>
      </c>
      <c r="L294" s="142">
        <f t="shared" si="60"/>
        <v>3.561723602484472E-2</v>
      </c>
      <c r="M294" s="134" t="str">
        <f>IFERROR(INDEX(C$225:C$236, MATCH(4, G$225:G$236, 0)), "-")</f>
        <v>U2Y</v>
      </c>
      <c r="Z294" s="188"/>
      <c r="AA294" s="188"/>
      <c r="AB294" s="188"/>
      <c r="AC294" s="188"/>
      <c r="AD294" s="188"/>
      <c r="AE294" s="188"/>
    </row>
    <row r="295" spans="1:31" ht="16.95" customHeight="1" x14ac:dyDescent="0.3">
      <c r="L295" s="142">
        <f t="shared" si="60"/>
        <v>0</v>
      </c>
      <c r="Z295" s="188"/>
      <c r="AA295" s="188"/>
      <c r="AB295" s="188"/>
      <c r="AC295" s="188"/>
      <c r="AD295" s="188"/>
      <c r="AE295" s="188"/>
    </row>
    <row r="296" spans="1:31" ht="16.95" customHeight="1" x14ac:dyDescent="0.3">
      <c r="L296" s="142">
        <f t="shared" si="60"/>
        <v>0</v>
      </c>
      <c r="Z296" s="188"/>
      <c r="AA296" s="188"/>
      <c r="AB296" s="188"/>
      <c r="AC296" s="188"/>
      <c r="AD296" s="188"/>
      <c r="AE296" s="188"/>
    </row>
    <row r="297" spans="1:31" ht="16.95" customHeight="1" x14ac:dyDescent="0.3">
      <c r="L297" s="142">
        <f t="shared" si="60"/>
        <v>0</v>
      </c>
      <c r="Z297" s="188"/>
      <c r="AA297" s="188"/>
      <c r="AB297" s="188"/>
      <c r="AC297" s="188"/>
      <c r="AD297" s="188"/>
      <c r="AE297" s="188"/>
    </row>
    <row r="298" spans="1:31" ht="16.95" customHeight="1" x14ac:dyDescent="0.3">
      <c r="L298" s="142">
        <f t="shared" si="60"/>
        <v>0</v>
      </c>
      <c r="Z298" s="188"/>
      <c r="AA298" s="188"/>
      <c r="AB298" s="188"/>
      <c r="AC298" s="188"/>
      <c r="AD298" s="188"/>
      <c r="AE298" s="188"/>
    </row>
    <row r="299" spans="1:31" ht="16.95" customHeight="1" x14ac:dyDescent="0.3">
      <c r="Z299" s="188"/>
      <c r="AA299" s="188"/>
      <c r="AB299" s="188"/>
      <c r="AC299" s="188"/>
      <c r="AD299" s="188"/>
      <c r="AE299" s="188"/>
    </row>
    <row r="300" spans="1:31" ht="16.95" customHeight="1" x14ac:dyDescent="0.3">
      <c r="A300" s="132" t="str">
        <f>A291</f>
        <v>C1X</v>
      </c>
      <c r="C300" s="137">
        <f t="array" ref="C300:C303">MMULT(C291:J294, L291:L298)</f>
        <v>-3010.8695652173906</v>
      </c>
      <c r="D300" s="132" t="s">
        <v>273</v>
      </c>
      <c r="Z300" s="188"/>
      <c r="AA300" s="188"/>
      <c r="AB300" s="188"/>
      <c r="AC300" s="188"/>
      <c r="AD300" s="188"/>
      <c r="AE300" s="188"/>
    </row>
    <row r="301" spans="1:31" ht="16.95" customHeight="1" x14ac:dyDescent="0.3">
      <c r="A301" s="132" t="str">
        <f>A292</f>
        <v>C1Y</v>
      </c>
      <c r="C301" s="137">
        <v>-5250</v>
      </c>
      <c r="D301" s="132" t="s">
        <v>273</v>
      </c>
      <c r="Z301" s="188"/>
      <c r="AA301" s="188"/>
      <c r="AB301" s="188"/>
      <c r="AC301" s="188"/>
      <c r="AD301" s="188"/>
      <c r="AE301" s="188"/>
    </row>
    <row r="302" spans="1:31" ht="16.95" customHeight="1" x14ac:dyDescent="0.3">
      <c r="A302" s="132" t="str">
        <f>A293</f>
        <v>C2X</v>
      </c>
      <c r="B302" s="13" t="s">
        <v>220</v>
      </c>
      <c r="C302" s="137">
        <v>-3989.1304347826076</v>
      </c>
      <c r="D302" s="132" t="s">
        <v>273</v>
      </c>
      <c r="Z302" s="188"/>
      <c r="AA302" s="188"/>
      <c r="AB302" s="188"/>
      <c r="AC302" s="188"/>
      <c r="AD302" s="188"/>
      <c r="AE302" s="188"/>
    </row>
    <row r="303" spans="1:31" ht="16.95" customHeight="1" x14ac:dyDescent="0.3">
      <c r="A303" s="132" t="str">
        <f>A294</f>
        <v>C2Y</v>
      </c>
      <c r="C303" s="137">
        <v>10249.999999999998</v>
      </c>
      <c r="D303" s="132" t="s">
        <v>273</v>
      </c>
      <c r="Z303" s="188"/>
      <c r="AA303" s="188"/>
      <c r="AB303" s="188"/>
      <c r="AC303" s="188"/>
      <c r="AD303" s="188"/>
      <c r="AE303" s="188"/>
    </row>
    <row r="306" spans="1:4" ht="19.95" customHeight="1" x14ac:dyDescent="0.35">
      <c r="A306" s="131" t="s">
        <v>274</v>
      </c>
    </row>
    <row r="308" spans="1:4" ht="19.05" customHeight="1" x14ac:dyDescent="0.3">
      <c r="A308" s="132" t="s">
        <v>228</v>
      </c>
      <c r="B308" s="132" t="s">
        <v>178</v>
      </c>
      <c r="D308" s="140">
        <f t="shared" ref="D308:D319" si="61">IFERROR(INDEX(C$279:C$286, MATCH(A308, A$279:A$286, 0)), 0)</f>
        <v>0</v>
      </c>
    </row>
    <row r="309" spans="1:4" ht="19.05" customHeight="1" x14ac:dyDescent="0.3">
      <c r="A309" s="132" t="s">
        <v>229</v>
      </c>
      <c r="B309" s="132" t="s">
        <v>179</v>
      </c>
      <c r="D309" s="140">
        <f t="shared" si="61"/>
        <v>0</v>
      </c>
    </row>
    <row r="310" spans="1:4" ht="19.05" customHeight="1" x14ac:dyDescent="0.3">
      <c r="A310" s="132" t="s">
        <v>230</v>
      </c>
      <c r="B310" s="132" t="s">
        <v>180</v>
      </c>
      <c r="D310" s="140">
        <f t="shared" si="61"/>
        <v>0</v>
      </c>
    </row>
    <row r="311" spans="1:4" ht="19.05" customHeight="1" x14ac:dyDescent="0.3">
      <c r="A311" s="132" t="s">
        <v>231</v>
      </c>
      <c r="B311" s="132" t="s">
        <v>181</v>
      </c>
      <c r="D311" s="140">
        <f t="shared" si="61"/>
        <v>0</v>
      </c>
    </row>
    <row r="312" spans="1:4" ht="19.05" customHeight="1" x14ac:dyDescent="0.3">
      <c r="A312" s="132" t="s">
        <v>232</v>
      </c>
      <c r="B312" s="132" t="s">
        <v>182</v>
      </c>
      <c r="D312" s="140">
        <f t="shared" si="61"/>
        <v>0.15814786059351274</v>
      </c>
    </row>
    <row r="313" spans="1:4" ht="19.05" customHeight="1" x14ac:dyDescent="0.3">
      <c r="A313" s="132" t="s">
        <v>234</v>
      </c>
      <c r="B313" s="132" t="s">
        <v>183</v>
      </c>
      <c r="D313" s="140">
        <f t="shared" si="61"/>
        <v>-8.64065734989648E-2</v>
      </c>
    </row>
    <row r="314" spans="1:4" ht="19.05" customHeight="1" x14ac:dyDescent="0.3">
      <c r="A314" s="132" t="s">
        <v>235</v>
      </c>
      <c r="B314" s="132" t="s">
        <v>184</v>
      </c>
      <c r="D314" s="140">
        <f t="shared" si="61"/>
        <v>0.15038388543823322</v>
      </c>
    </row>
    <row r="315" spans="1:4" ht="19.05" customHeight="1" x14ac:dyDescent="0.3">
      <c r="A315" s="132" t="s">
        <v>236</v>
      </c>
      <c r="B315" s="132" t="s">
        <v>185</v>
      </c>
      <c r="D315" s="140">
        <f t="shared" si="61"/>
        <v>3.561723602484472E-2</v>
      </c>
    </row>
    <row r="316" spans="1:4" ht="19.05" customHeight="1" x14ac:dyDescent="0.3">
      <c r="A316" s="132" t="s">
        <v>237</v>
      </c>
      <c r="B316" s="132" t="s">
        <v>186</v>
      </c>
      <c r="D316" s="140">
        <f t="shared" si="61"/>
        <v>0</v>
      </c>
    </row>
    <row r="317" spans="1:4" ht="19.05" customHeight="1" x14ac:dyDescent="0.3">
      <c r="A317" s="132" t="s">
        <v>238</v>
      </c>
      <c r="B317" s="132" t="s">
        <v>187</v>
      </c>
      <c r="D317" s="140">
        <f t="shared" si="61"/>
        <v>0</v>
      </c>
    </row>
    <row r="318" spans="1:4" ht="19.05" customHeight="1" x14ac:dyDescent="0.3">
      <c r="A318" s="132" t="s">
        <v>239</v>
      </c>
      <c r="B318" s="132" t="s">
        <v>188</v>
      </c>
      <c r="D318" s="140">
        <f t="shared" si="61"/>
        <v>0</v>
      </c>
    </row>
    <row r="319" spans="1:4" ht="19.05" customHeight="1" x14ac:dyDescent="0.3">
      <c r="A319" s="132" t="s">
        <v>240</v>
      </c>
      <c r="B319" s="132" t="s">
        <v>189</v>
      </c>
      <c r="D319" s="140">
        <f t="shared" si="61"/>
        <v>0</v>
      </c>
    </row>
    <row r="322" spans="1:31" ht="19.95" customHeight="1" x14ac:dyDescent="0.35">
      <c r="A322" s="131" t="s">
        <v>275</v>
      </c>
      <c r="Z322" s="189" t="s">
        <v>276</v>
      </c>
      <c r="AA322" s="189"/>
      <c r="AB322" s="189"/>
      <c r="AC322" s="189"/>
      <c r="AD322" s="189"/>
      <c r="AE322" s="189"/>
    </row>
    <row r="323" spans="1:31" ht="16.95" customHeight="1" x14ac:dyDescent="0.3">
      <c r="Z323" s="188" t="s">
        <v>277</v>
      </c>
      <c r="AA323" s="188"/>
      <c r="AB323" s="188"/>
      <c r="AC323" s="188"/>
      <c r="AD323" s="188"/>
      <c r="AE323" s="188"/>
    </row>
    <row r="324" spans="1:31" ht="16.95" customHeight="1" x14ac:dyDescent="0.3">
      <c r="A324" s="143" t="s">
        <v>278</v>
      </c>
      <c r="C324" s="143" t="s">
        <v>279</v>
      </c>
      <c r="D324" s="143" t="s">
        <v>280</v>
      </c>
      <c r="E324" s="143" t="s">
        <v>279</v>
      </c>
      <c r="F324" s="143" t="s">
        <v>280</v>
      </c>
      <c r="G324" s="143" t="s">
        <v>249</v>
      </c>
      <c r="Z324" s="188" t="s">
        <v>281</v>
      </c>
      <c r="AA324" s="188"/>
      <c r="AB324" s="188"/>
      <c r="AC324" s="188"/>
      <c r="AD324" s="188"/>
      <c r="AE324" s="188"/>
    </row>
    <row r="325" spans="1:31" ht="16.95" customHeight="1" x14ac:dyDescent="0.3">
      <c r="C325" s="143" t="s">
        <v>282</v>
      </c>
      <c r="D325" s="143" t="s">
        <v>282</v>
      </c>
      <c r="E325" s="143" t="s">
        <v>283</v>
      </c>
      <c r="F325" s="143" t="s">
        <v>283</v>
      </c>
      <c r="Z325" s="188" t="s">
        <v>284</v>
      </c>
      <c r="AA325" s="188"/>
      <c r="AB325" s="188"/>
      <c r="AC325" s="188"/>
      <c r="AD325" s="188"/>
      <c r="AE325" s="188"/>
    </row>
    <row r="326" spans="1:31" ht="16.95" customHeight="1" x14ac:dyDescent="0.3">
      <c r="A326" s="137">
        <f>N6</f>
        <v>63000</v>
      </c>
      <c r="C326" s="144">
        <f>IF(J6="","", -J6)</f>
        <v>-1</v>
      </c>
      <c r="D326" s="144">
        <f>IF(K6="","", -K6)</f>
        <v>0</v>
      </c>
      <c r="E326" s="144">
        <f>IF(J6="","", J6)</f>
        <v>1</v>
      </c>
      <c r="F326" s="144">
        <f>IF(K6="","", K6)</f>
        <v>0</v>
      </c>
      <c r="G326" s="145">
        <f>IF(H326="","", IFERROR(VLOOKUP(H326, A$308:D$319, 4, FALSE), 0))</f>
        <v>0</v>
      </c>
      <c r="H326" s="132" t="str">
        <f>IF(C17="","", "D" &amp; C17 &amp; "X")</f>
        <v>D1X</v>
      </c>
      <c r="Z326" s="188"/>
      <c r="AA326" s="188"/>
      <c r="AB326" s="188"/>
      <c r="AC326" s="188"/>
      <c r="AD326" s="188"/>
      <c r="AE326" s="188"/>
    </row>
    <row r="327" spans="1:31" ht="16.95" customHeight="1" x14ac:dyDescent="0.3">
      <c r="A327" s="99" t="s">
        <v>285</v>
      </c>
      <c r="B327" s="146">
        <f>IF(OR(A326=0, C17=""), 0, (MMULT(C326:F326, G326:G329)*A326))</f>
        <v>0</v>
      </c>
      <c r="G327" s="145">
        <f>IF(H327="","", IFERROR(VLOOKUP(H327, A$308:D$319, 4, FALSE), 0))</f>
        <v>0</v>
      </c>
      <c r="H327" s="132" t="str">
        <f>IF(C17="","", "D" &amp; C17 &amp; "Y")</f>
        <v>D1Y</v>
      </c>
      <c r="Z327" s="188"/>
      <c r="AA327" s="188"/>
      <c r="AB327" s="188"/>
      <c r="AC327" s="188"/>
      <c r="AD327" s="188"/>
      <c r="AE327" s="188"/>
    </row>
    <row r="328" spans="1:31" ht="16.95" customHeight="1" x14ac:dyDescent="0.3">
      <c r="G328" s="145">
        <f>IF(H328="","", IFERROR(VLOOKUP(H328, A$308:D$319, 4, FALSE), 0))</f>
        <v>0</v>
      </c>
      <c r="H328" s="132" t="str">
        <f>IF(F17="","", "D" &amp; F17 &amp; "X")</f>
        <v>D2X</v>
      </c>
      <c r="Z328" s="188"/>
      <c r="AA328" s="188"/>
      <c r="AB328" s="188"/>
      <c r="AC328" s="188"/>
      <c r="AD328" s="188"/>
      <c r="AE328" s="188"/>
    </row>
    <row r="329" spans="1:31" ht="16.95" customHeight="1" x14ac:dyDescent="0.3">
      <c r="G329" s="145">
        <f>IF(H329="","", IFERROR(VLOOKUP(H329, A$308:D$319, 4, FALSE), 0))</f>
        <v>0</v>
      </c>
      <c r="H329" s="132" t="str">
        <f>IF(F17="","", "D" &amp; F17 &amp; "Y")</f>
        <v>D2Y</v>
      </c>
      <c r="Z329" s="188"/>
      <c r="AA329" s="188"/>
      <c r="AB329" s="188"/>
      <c r="AC329" s="188"/>
      <c r="AD329" s="188"/>
      <c r="AE329" s="188"/>
    </row>
    <row r="330" spans="1:31" ht="16.95" customHeight="1" x14ac:dyDescent="0.3">
      <c r="B330" s="99" t="s">
        <v>273</v>
      </c>
      <c r="C330" s="185" t="str">
        <f>IF(C17="","", IF(B327&gt;0.001,"BARRA A TRACCIÓN (+)",IF(B327&lt;-0.001,"BARRA A COMPRESIÓN (-)","BARRA DE FUERZA NULA")))</f>
        <v>BARRA DE FUERZA NULA</v>
      </c>
      <c r="D330" s="185"/>
      <c r="E330" s="185"/>
      <c r="F330" s="185"/>
      <c r="Z330" s="188"/>
      <c r="AA330" s="188"/>
      <c r="AB330" s="188"/>
      <c r="AC330" s="188"/>
      <c r="AD330" s="188"/>
      <c r="AE330" s="188"/>
    </row>
    <row r="331" spans="1:31" ht="16.95" customHeight="1" x14ac:dyDescent="0.3">
      <c r="Z331" s="188"/>
      <c r="AA331" s="188"/>
      <c r="AB331" s="188"/>
      <c r="AC331" s="188"/>
      <c r="AD331" s="188"/>
      <c r="AE331" s="188"/>
    </row>
    <row r="332" spans="1:31" ht="16.95" customHeight="1" x14ac:dyDescent="0.3">
      <c r="A332" s="143" t="s">
        <v>278</v>
      </c>
      <c r="C332" s="143" t="s">
        <v>279</v>
      </c>
      <c r="D332" s="143" t="s">
        <v>280</v>
      </c>
      <c r="E332" s="143" t="s">
        <v>279</v>
      </c>
      <c r="F332" s="143" t="s">
        <v>280</v>
      </c>
      <c r="G332" s="143" t="s">
        <v>249</v>
      </c>
      <c r="Z332" s="188"/>
      <c r="AA332" s="188"/>
      <c r="AB332" s="188"/>
      <c r="AC332" s="188"/>
      <c r="AD332" s="188"/>
      <c r="AE332" s="188"/>
    </row>
    <row r="333" spans="1:31" ht="16.95" customHeight="1" x14ac:dyDescent="0.3">
      <c r="C333" s="143" t="s">
        <v>282</v>
      </c>
      <c r="D333" s="143" t="s">
        <v>282</v>
      </c>
      <c r="E333" s="143" t="s">
        <v>283</v>
      </c>
      <c r="F333" s="143" t="s">
        <v>283</v>
      </c>
      <c r="Z333" s="188"/>
      <c r="AA333" s="188"/>
      <c r="AB333" s="188"/>
      <c r="AC333" s="188"/>
      <c r="AD333" s="188"/>
      <c r="AE333" s="188"/>
    </row>
    <row r="334" spans="1:31" ht="16.95" customHeight="1" x14ac:dyDescent="0.3">
      <c r="A334" s="137">
        <f>N7</f>
        <v>84000</v>
      </c>
      <c r="C334" s="144">
        <f>IF(J7="","", -J7)</f>
        <v>0</v>
      </c>
      <c r="D334" s="144">
        <f>IF(K7="","", -K7)</f>
        <v>-1</v>
      </c>
      <c r="E334" s="144">
        <f>IF(J7="","", J7)</f>
        <v>0</v>
      </c>
      <c r="F334" s="144">
        <f>IF(K7="","", K7)</f>
        <v>1</v>
      </c>
      <c r="G334" s="145">
        <f>IF(H334="","", IFERROR(VLOOKUP(H334, A$308:D$319, 4, FALSE), 0))</f>
        <v>0</v>
      </c>
      <c r="H334" s="132" t="str">
        <f>IF(C18="","", "D" &amp; C18 &amp; "X")</f>
        <v>D2X</v>
      </c>
      <c r="Z334" s="188"/>
      <c r="AA334" s="188"/>
      <c r="AB334" s="188"/>
      <c r="AC334" s="188"/>
      <c r="AD334" s="188"/>
      <c r="AE334" s="188"/>
    </row>
    <row r="335" spans="1:31" ht="16.95" customHeight="1" x14ac:dyDescent="0.3">
      <c r="A335" s="99" t="s">
        <v>286</v>
      </c>
      <c r="B335" s="146">
        <f>IF(OR(A334=0, C18=""), 0, (MMULT(C334:F334, G334:G337)*A334))</f>
        <v>-7258.152173913043</v>
      </c>
      <c r="G335" s="145">
        <f>IF(H335="","", IFERROR(VLOOKUP(H335, A$308:D$319, 4, FALSE), 0))</f>
        <v>0</v>
      </c>
      <c r="H335" s="132" t="str">
        <f>IF(C18="","", "D" &amp; C18 &amp; "Y")</f>
        <v>D2Y</v>
      </c>
      <c r="Z335" s="188"/>
      <c r="AA335" s="188"/>
      <c r="AB335" s="188"/>
      <c r="AC335" s="188"/>
      <c r="AD335" s="188"/>
      <c r="AE335" s="188"/>
    </row>
    <row r="336" spans="1:31" ht="16.95" customHeight="1" x14ac:dyDescent="0.3">
      <c r="G336" s="145">
        <f>IF(H336="","", IFERROR(VLOOKUP(H336, A$308:D$319, 4, FALSE), 0))</f>
        <v>0.15814786059351274</v>
      </c>
      <c r="H336" s="132" t="str">
        <f>IF(F18="","", "D" &amp; F18 &amp; "X")</f>
        <v>D3X</v>
      </c>
      <c r="Z336" s="188"/>
      <c r="AA336" s="188"/>
      <c r="AB336" s="188"/>
      <c r="AC336" s="188"/>
      <c r="AD336" s="188"/>
      <c r="AE336" s="188"/>
    </row>
    <row r="337" spans="1:31" ht="16.95" customHeight="1" x14ac:dyDescent="0.3">
      <c r="G337" s="145">
        <f>IF(H337="","", IFERROR(VLOOKUP(H337, A$308:D$319, 4, FALSE), 0))</f>
        <v>-8.64065734989648E-2</v>
      </c>
      <c r="H337" s="132" t="str">
        <f>IF(F18="","", "D" &amp; F18 &amp; "Y")</f>
        <v>D3Y</v>
      </c>
      <c r="Z337" s="188"/>
      <c r="AA337" s="188"/>
      <c r="AB337" s="188"/>
      <c r="AC337" s="188"/>
      <c r="AD337" s="188"/>
      <c r="AE337" s="188"/>
    </row>
    <row r="338" spans="1:31" ht="16.95" customHeight="1" x14ac:dyDescent="0.3">
      <c r="B338" s="99" t="s">
        <v>273</v>
      </c>
      <c r="C338" s="185" t="str">
        <f>IF(C18="","", IF(B335&gt;0.001,"BARRA A TRACCIÓN (+)",IF(B335&lt;-0.001,"BARRA A COMPRESIÓN (-)","BARRA DE FUERZA NULA")))</f>
        <v>BARRA A COMPRESIÓN (-)</v>
      </c>
      <c r="D338" s="185"/>
      <c r="E338" s="185"/>
      <c r="F338" s="185"/>
      <c r="Z338" s="188"/>
      <c r="AA338" s="188"/>
      <c r="AB338" s="188"/>
      <c r="AC338" s="188"/>
      <c r="AD338" s="188"/>
      <c r="AE338" s="188"/>
    </row>
    <row r="339" spans="1:31" ht="16.95" customHeight="1" x14ac:dyDescent="0.3">
      <c r="Z339" s="188"/>
      <c r="AA339" s="188"/>
      <c r="AB339" s="188"/>
      <c r="AC339" s="188"/>
      <c r="AD339" s="188"/>
      <c r="AE339" s="188"/>
    </row>
    <row r="340" spans="1:31" ht="16.95" customHeight="1" x14ac:dyDescent="0.3">
      <c r="A340" s="143" t="s">
        <v>278</v>
      </c>
      <c r="C340" s="143" t="s">
        <v>279</v>
      </c>
      <c r="D340" s="143" t="s">
        <v>280</v>
      </c>
      <c r="E340" s="143" t="s">
        <v>279</v>
      </c>
      <c r="F340" s="143" t="s">
        <v>280</v>
      </c>
      <c r="G340" s="143" t="s">
        <v>249</v>
      </c>
      <c r="Z340" s="188"/>
      <c r="AA340" s="188"/>
      <c r="AB340" s="188"/>
      <c r="AC340" s="188"/>
      <c r="AD340" s="188"/>
      <c r="AE340" s="188"/>
    </row>
    <row r="341" spans="1:31" ht="16.95" customHeight="1" x14ac:dyDescent="0.3">
      <c r="C341" s="143" t="s">
        <v>282</v>
      </c>
      <c r="D341" s="143" t="s">
        <v>282</v>
      </c>
      <c r="E341" s="143" t="s">
        <v>283</v>
      </c>
      <c r="F341" s="143" t="s">
        <v>283</v>
      </c>
      <c r="Z341" s="188"/>
      <c r="AA341" s="188"/>
      <c r="AB341" s="188"/>
      <c r="AC341" s="188"/>
      <c r="AD341" s="188"/>
      <c r="AE341" s="188"/>
    </row>
    <row r="342" spans="1:31" ht="16.95" customHeight="1" x14ac:dyDescent="0.3">
      <c r="A342" s="137">
        <f>N8</f>
        <v>63000</v>
      </c>
      <c r="C342" s="144">
        <f>IF(J8="","", -J8)</f>
        <v>1</v>
      </c>
      <c r="D342" s="144">
        <f>IF(K8="","", -K8)</f>
        <v>0</v>
      </c>
      <c r="E342" s="144">
        <f>IF(J8="","", J8)</f>
        <v>-1</v>
      </c>
      <c r="F342" s="144">
        <f>IF(K8="","", K8)</f>
        <v>0</v>
      </c>
      <c r="G342" s="145">
        <f>IF(H342="","", IFERROR(VLOOKUP(H342, A$308:D$319, 4, FALSE), 0))</f>
        <v>0.15814786059351274</v>
      </c>
      <c r="H342" s="132" t="str">
        <f>IF(C19="","", "D" &amp; C19 &amp; "X")</f>
        <v>D3X</v>
      </c>
      <c r="Z342" s="188"/>
      <c r="AA342" s="188"/>
      <c r="AB342" s="188"/>
      <c r="AC342" s="188"/>
      <c r="AD342" s="188"/>
      <c r="AE342" s="188"/>
    </row>
    <row r="343" spans="1:31" ht="16.95" customHeight="1" x14ac:dyDescent="0.3">
      <c r="A343" s="99" t="s">
        <v>287</v>
      </c>
      <c r="B343" s="146">
        <f>IF(OR(A342=0, C19=""), 0, (MMULT(C342:F342, G342:G345)*A342))</f>
        <v>489.1304347826096</v>
      </c>
      <c r="G343" s="145">
        <f>IF(H343="","", IFERROR(VLOOKUP(H343, A$308:D$319, 4, FALSE), 0))</f>
        <v>-8.64065734989648E-2</v>
      </c>
      <c r="H343" s="132" t="str">
        <f>IF(C19="","", "D" &amp; C19 &amp; "Y")</f>
        <v>D3Y</v>
      </c>
      <c r="Z343" s="188"/>
      <c r="AA343" s="188"/>
      <c r="AB343" s="188"/>
      <c r="AC343" s="188"/>
      <c r="AD343" s="188"/>
      <c r="AE343" s="188"/>
    </row>
    <row r="344" spans="1:31" ht="16.95" customHeight="1" x14ac:dyDescent="0.3">
      <c r="G344" s="145">
        <f>IF(H344="","", IFERROR(VLOOKUP(H344, A$308:D$319, 4, FALSE), 0))</f>
        <v>0.15038388543823322</v>
      </c>
      <c r="H344" s="132" t="str">
        <f>IF(F19="","", "D" &amp; F19 &amp; "X")</f>
        <v>D4X</v>
      </c>
      <c r="Z344" s="188"/>
      <c r="AA344" s="188"/>
      <c r="AB344" s="188"/>
      <c r="AC344" s="188"/>
      <c r="AD344" s="188"/>
      <c r="AE344" s="188"/>
    </row>
    <row r="345" spans="1:31" ht="16.95" customHeight="1" x14ac:dyDescent="0.3">
      <c r="G345" s="145">
        <f>IF(H345="","", IFERROR(VLOOKUP(H345, A$308:D$319, 4, FALSE), 0))</f>
        <v>3.561723602484472E-2</v>
      </c>
      <c r="H345" s="132" t="str">
        <f>IF(F19="","", "D" &amp; F19 &amp; "Y")</f>
        <v>D4Y</v>
      </c>
      <c r="Z345" s="188"/>
      <c r="AA345" s="188"/>
      <c r="AB345" s="188"/>
      <c r="AC345" s="188"/>
      <c r="AD345" s="188"/>
      <c r="AE345" s="188"/>
    </row>
    <row r="346" spans="1:31" ht="16.95" customHeight="1" x14ac:dyDescent="0.3">
      <c r="B346" s="99" t="s">
        <v>273</v>
      </c>
      <c r="C346" s="185" t="str">
        <f>IF(C19="","", IF(B343&gt;0.001,"BARRA A TRACCIÓN (+)",IF(B343&lt;-0.001,"BARRA A COMPRESIÓN (-)","BARRA DE FUERZA NULA")))</f>
        <v>BARRA A TRACCIÓN (+)</v>
      </c>
      <c r="D346" s="185"/>
      <c r="E346" s="185"/>
      <c r="F346" s="185"/>
      <c r="Z346" s="188"/>
      <c r="AA346" s="188"/>
      <c r="AB346" s="188"/>
      <c r="AC346" s="188"/>
      <c r="AD346" s="188"/>
      <c r="AE346" s="188"/>
    </row>
    <row r="347" spans="1:31" ht="16.95" customHeight="1" x14ac:dyDescent="0.3">
      <c r="Z347" s="188"/>
      <c r="AA347" s="188"/>
      <c r="AB347" s="188"/>
      <c r="AC347" s="188"/>
      <c r="AD347" s="188"/>
      <c r="AE347" s="188"/>
    </row>
    <row r="348" spans="1:31" ht="18" customHeight="1" x14ac:dyDescent="0.3">
      <c r="A348" s="143" t="s">
        <v>278</v>
      </c>
      <c r="C348" s="143" t="s">
        <v>279</v>
      </c>
      <c r="D348" s="143" t="s">
        <v>280</v>
      </c>
      <c r="E348" s="143" t="s">
        <v>279</v>
      </c>
      <c r="F348" s="143" t="s">
        <v>280</v>
      </c>
      <c r="G348" s="143" t="s">
        <v>249</v>
      </c>
    </row>
    <row r="349" spans="1:31" ht="16.05" customHeight="1" x14ac:dyDescent="0.3">
      <c r="C349" s="143" t="s">
        <v>282</v>
      </c>
      <c r="D349" s="143" t="s">
        <v>282</v>
      </c>
      <c r="E349" s="143" t="s">
        <v>283</v>
      </c>
      <c r="F349" s="143" t="s">
        <v>283</v>
      </c>
    </row>
    <row r="350" spans="1:31" ht="19.95" customHeight="1" x14ac:dyDescent="0.3">
      <c r="A350" s="137">
        <f>N9</f>
        <v>84000</v>
      </c>
      <c r="C350" s="144">
        <f>IF(J9="","", -J9)</f>
        <v>0</v>
      </c>
      <c r="D350" s="144">
        <f>IF(K9="","", -K9)</f>
        <v>1</v>
      </c>
      <c r="E350" s="144">
        <f>IF(J9="","", J9)</f>
        <v>0</v>
      </c>
      <c r="F350" s="144">
        <f>IF(K9="","", K9)</f>
        <v>-1</v>
      </c>
      <c r="G350" s="145">
        <f>IF(H350="","", IFERROR(VLOOKUP(H350, A$308:D$319, 4, FALSE), 0))</f>
        <v>0.15038388543823322</v>
      </c>
      <c r="H350" s="132" t="str">
        <f>IF(C20="","", "D" &amp; C20 &amp; "X")</f>
        <v>D4X</v>
      </c>
    </row>
    <row r="351" spans="1:31" ht="19.95" customHeight="1" x14ac:dyDescent="0.3">
      <c r="A351" s="99" t="s">
        <v>288</v>
      </c>
      <c r="B351" s="146">
        <f>IF(OR(A350=0, C20=""), 0, (MMULT(C350:F350, G350:G353)*A350))</f>
        <v>2991.8478260869565</v>
      </c>
      <c r="G351" s="145">
        <f>IF(H351="","", IFERROR(VLOOKUP(H351, A$308:D$319, 4, FALSE), 0))</f>
        <v>3.561723602484472E-2</v>
      </c>
      <c r="H351" s="132" t="str">
        <f>IF(C20="","", "D" &amp; C20 &amp; "Y")</f>
        <v>D4Y</v>
      </c>
    </row>
    <row r="352" spans="1:31" ht="19.95" customHeight="1" x14ac:dyDescent="0.3">
      <c r="G352" s="145">
        <f>IF(H352="","", IFERROR(VLOOKUP(H352, A$308:D$319, 4, FALSE), 0))</f>
        <v>0</v>
      </c>
      <c r="H352" s="132" t="str">
        <f>IF(F20="","", "D" &amp; F20 &amp; "X")</f>
        <v>D1X</v>
      </c>
    </row>
    <row r="353" spans="1:8" ht="19.95" customHeight="1" x14ac:dyDescent="0.3">
      <c r="G353" s="145">
        <f>IF(H353="","", IFERROR(VLOOKUP(H353, A$308:D$319, 4, FALSE), 0))</f>
        <v>0</v>
      </c>
      <c r="H353" s="132" t="str">
        <f>IF(F20="","", "D" &amp; F20 &amp; "Y")</f>
        <v>D1Y</v>
      </c>
    </row>
    <row r="354" spans="1:8" ht="19.95" customHeight="1" x14ac:dyDescent="0.3">
      <c r="B354" s="99" t="s">
        <v>273</v>
      </c>
      <c r="C354" s="185" t="str">
        <f>IF(C20="","", IF(B351&gt;0.001,"BARRA A TRACCIÓN (+)",IF(B351&lt;-0.001,"BARRA A COMPRESIÓN (-)","BARRA DE FUERZA NULA")))</f>
        <v>BARRA A TRACCIÓN (+)</v>
      </c>
      <c r="D354" s="185"/>
      <c r="E354" s="185"/>
      <c r="F354" s="185"/>
    </row>
    <row r="356" spans="1:8" ht="18" customHeight="1" x14ac:dyDescent="0.3">
      <c r="A356" s="143" t="s">
        <v>278</v>
      </c>
      <c r="C356" s="143" t="s">
        <v>279</v>
      </c>
      <c r="D356" s="143" t="s">
        <v>280</v>
      </c>
      <c r="E356" s="143" t="s">
        <v>279</v>
      </c>
      <c r="F356" s="143" t="s">
        <v>280</v>
      </c>
      <c r="G356" s="143" t="s">
        <v>249</v>
      </c>
    </row>
    <row r="357" spans="1:8" ht="16.05" customHeight="1" x14ac:dyDescent="0.3">
      <c r="C357" s="143" t="s">
        <v>282</v>
      </c>
      <c r="D357" s="143" t="s">
        <v>282</v>
      </c>
      <c r="E357" s="143" t="s">
        <v>283</v>
      </c>
      <c r="F357" s="143" t="s">
        <v>283</v>
      </c>
    </row>
    <row r="358" spans="1:8" ht="19.95" customHeight="1" x14ac:dyDescent="0.3">
      <c r="A358" s="137">
        <f>N10</f>
        <v>50400</v>
      </c>
      <c r="C358" s="144">
        <f>IF(J10="","", -J10)</f>
        <v>-0.8</v>
      </c>
      <c r="D358" s="144">
        <f>IF(K10="","", -K10)</f>
        <v>-0.6</v>
      </c>
      <c r="E358" s="144">
        <f>IF(J10="","", J10)</f>
        <v>0.8</v>
      </c>
      <c r="F358" s="144">
        <f>IF(K10="","", K10)</f>
        <v>0.6</v>
      </c>
      <c r="G358" s="145">
        <f>IF(H358="","", IFERROR(VLOOKUP(H358, A$308:D$319, 4, FALSE), 0))</f>
        <v>0</v>
      </c>
      <c r="H358" s="132" t="str">
        <f>IF(C21="","", "D" &amp; C21 &amp; "X")</f>
        <v>D1X</v>
      </c>
    </row>
    <row r="359" spans="1:8" ht="19.95" customHeight="1" x14ac:dyDescent="0.3">
      <c r="A359" s="99" t="s">
        <v>289</v>
      </c>
      <c r="B359" s="146">
        <f>IF(OR(A358=0, C21=""), 0, (MMULT(C358:F358, G358:G361)*A358))</f>
        <v>3763.586956521739</v>
      </c>
      <c r="G359" s="145">
        <f>IF(H359="","", IFERROR(VLOOKUP(H359, A$308:D$319, 4, FALSE), 0))</f>
        <v>0</v>
      </c>
      <c r="H359" s="132" t="str">
        <f>IF(C21="","", "D" &amp; C21 &amp; "Y")</f>
        <v>D1Y</v>
      </c>
    </row>
    <row r="360" spans="1:8" ht="19.95" customHeight="1" x14ac:dyDescent="0.3">
      <c r="G360" s="145">
        <f>IF(H360="","", IFERROR(VLOOKUP(H360, A$308:D$319, 4, FALSE), 0))</f>
        <v>0.15814786059351274</v>
      </c>
      <c r="H360" s="132" t="str">
        <f>IF(F21="","", "D" &amp; F21 &amp; "X")</f>
        <v>D3X</v>
      </c>
    </row>
    <row r="361" spans="1:8" ht="19.95" customHeight="1" x14ac:dyDescent="0.3">
      <c r="G361" s="145">
        <f>IF(H361="","", IFERROR(VLOOKUP(H361, A$308:D$319, 4, FALSE), 0))</f>
        <v>-8.64065734989648E-2</v>
      </c>
      <c r="H361" s="132" t="str">
        <f>IF(F21="","", "D" &amp; F21 &amp; "Y")</f>
        <v>D3Y</v>
      </c>
    </row>
    <row r="362" spans="1:8" ht="19.95" customHeight="1" x14ac:dyDescent="0.3">
      <c r="B362" s="99" t="s">
        <v>273</v>
      </c>
      <c r="C362" s="185" t="str">
        <f>IF(C21="","", IF(B359&gt;0.001,"BARRA A TRACCIÓN (+)",IF(B359&lt;-0.001,"BARRA A COMPRESIÓN (-)","BARRA DE FUERZA NULA")))</f>
        <v>BARRA A TRACCIÓN (+)</v>
      </c>
      <c r="D362" s="185"/>
      <c r="E362" s="185"/>
      <c r="F362" s="185"/>
    </row>
    <row r="364" spans="1:8" ht="18" customHeight="1" x14ac:dyDescent="0.3">
      <c r="A364" s="143" t="s">
        <v>278</v>
      </c>
      <c r="C364" s="143" t="s">
        <v>279</v>
      </c>
      <c r="D364" s="143" t="s">
        <v>280</v>
      </c>
      <c r="E364" s="143" t="s">
        <v>279</v>
      </c>
      <c r="F364" s="143" t="s">
        <v>280</v>
      </c>
      <c r="G364" s="143" t="s">
        <v>249</v>
      </c>
    </row>
    <row r="365" spans="1:8" ht="16.05" customHeight="1" x14ac:dyDescent="0.3">
      <c r="C365" s="143" t="s">
        <v>282</v>
      </c>
      <c r="D365" s="143" t="s">
        <v>282</v>
      </c>
      <c r="E365" s="143" t="s">
        <v>283</v>
      </c>
      <c r="F365" s="143" t="s">
        <v>283</v>
      </c>
    </row>
    <row r="366" spans="1:8" ht="19.95" customHeight="1" x14ac:dyDescent="0.3">
      <c r="A366" s="137">
        <f>N11</f>
        <v>50400</v>
      </c>
      <c r="C366" s="144">
        <f>IF(J11="","", -J11)</f>
        <v>0.8</v>
      </c>
      <c r="D366" s="144">
        <f>IF(K11="","", -K11)</f>
        <v>-0.6</v>
      </c>
      <c r="E366" s="144">
        <f>IF(J11="","", J11)</f>
        <v>-0.8</v>
      </c>
      <c r="F366" s="144">
        <f>IF(K11="","", K11)</f>
        <v>0.6</v>
      </c>
      <c r="G366" s="145">
        <f>IF(H366="","", IFERROR(VLOOKUP(H366, A$308:D$319, 4, FALSE), 0))</f>
        <v>0</v>
      </c>
      <c r="H366" s="132" t="str">
        <f>IF(C22="","", "D" &amp; C22 &amp; "X")</f>
        <v>D2X</v>
      </c>
    </row>
    <row r="367" spans="1:8" ht="19.95" customHeight="1" x14ac:dyDescent="0.3">
      <c r="A367" s="99" t="s">
        <v>290</v>
      </c>
      <c r="B367" s="146">
        <f>IF(OR(A366=0, C22=""), 0, (MMULT(C366:F366, G366:G369)*A366))</f>
        <v>-4986.4130434782592</v>
      </c>
      <c r="G367" s="145">
        <f>IF(H367="","", IFERROR(VLOOKUP(H367, A$308:D$319, 4, FALSE), 0))</f>
        <v>0</v>
      </c>
      <c r="H367" s="132" t="str">
        <f>IF(C22="","", "D" &amp; C22 &amp; "Y")</f>
        <v>D2Y</v>
      </c>
    </row>
    <row r="368" spans="1:8" ht="19.95" customHeight="1" x14ac:dyDescent="0.3">
      <c r="G368" s="145">
        <f>IF(H368="","", IFERROR(VLOOKUP(H368, A$308:D$319, 4, FALSE), 0))</f>
        <v>0.15038388543823322</v>
      </c>
      <c r="H368" s="132" t="str">
        <f>IF(F22="","", "D" &amp; F22 &amp; "X")</f>
        <v>D4X</v>
      </c>
    </row>
    <row r="369" spans="1:8" ht="19.95" customHeight="1" x14ac:dyDescent="0.3">
      <c r="G369" s="145">
        <f>IF(H369="","", IFERROR(VLOOKUP(H369, A$308:D$319, 4, FALSE), 0))</f>
        <v>3.561723602484472E-2</v>
      </c>
      <c r="H369" s="132" t="str">
        <f>IF(F22="","", "D" &amp; F22 &amp; "Y")</f>
        <v>D4Y</v>
      </c>
    </row>
    <row r="370" spans="1:8" ht="19.95" customHeight="1" x14ac:dyDescent="0.3">
      <c r="B370" s="99" t="s">
        <v>273</v>
      </c>
      <c r="C370" s="185" t="str">
        <f>IF(C22="","", IF(B367&gt;0.001,"BARRA A TRACCIÓN (+)",IF(B367&lt;-0.001,"BARRA A COMPRESIÓN (-)","BARRA DE FUERZA NULA")))</f>
        <v>BARRA A COMPRESIÓN (-)</v>
      </c>
      <c r="D370" s="185"/>
      <c r="E370" s="185"/>
      <c r="F370" s="185"/>
    </row>
    <row r="372" spans="1:8" ht="18" customHeight="1" x14ac:dyDescent="0.3">
      <c r="A372" s="143" t="s">
        <v>278</v>
      </c>
      <c r="C372" s="143" t="s">
        <v>279</v>
      </c>
      <c r="D372" s="143" t="s">
        <v>280</v>
      </c>
      <c r="E372" s="143" t="s">
        <v>279</v>
      </c>
      <c r="F372" s="143" t="s">
        <v>280</v>
      </c>
      <c r="G372" s="143" t="s">
        <v>249</v>
      </c>
    </row>
    <row r="373" spans="1:8" ht="16.05" customHeight="1" x14ac:dyDescent="0.3">
      <c r="C373" s="143" t="s">
        <v>282</v>
      </c>
      <c r="D373" s="143" t="s">
        <v>282</v>
      </c>
      <c r="E373" s="143" t="s">
        <v>283</v>
      </c>
      <c r="F373" s="143" t="s">
        <v>283</v>
      </c>
    </row>
    <row r="374" spans="1:8" ht="19.95" customHeight="1" x14ac:dyDescent="0.3">
      <c r="A374" s="137">
        <f>N12</f>
        <v>0</v>
      </c>
      <c r="C374" s="144" t="str">
        <f>IF(J12="","", -J12)</f>
        <v/>
      </c>
      <c r="D374" s="144" t="str">
        <f>IF(K12="","", -K12)</f>
        <v/>
      </c>
      <c r="E374" s="144" t="str">
        <f>IF(J12="","", J12)</f>
        <v/>
      </c>
      <c r="F374" s="144" t="str">
        <f>IF(K12="","", K12)</f>
        <v/>
      </c>
      <c r="G374" s="145" t="str">
        <f>IF(H374="","", IFERROR(VLOOKUP(H374, A$308:D$319, 4, FALSE), 0))</f>
        <v/>
      </c>
      <c r="H374" s="132" t="str">
        <f>IF(C23="","", "D" &amp; C23 &amp; "X")</f>
        <v/>
      </c>
    </row>
    <row r="375" spans="1:8" ht="19.95" customHeight="1" x14ac:dyDescent="0.3">
      <c r="A375" s="99" t="s">
        <v>291</v>
      </c>
      <c r="B375" s="146">
        <f>IF(OR(A374=0, C23=""), 0, (MMULT(C374:F374, G374:G377)*A374))</f>
        <v>0</v>
      </c>
      <c r="G375" s="145" t="str">
        <f>IF(H375="","", IFERROR(VLOOKUP(H375, A$308:D$319, 4, FALSE), 0))</f>
        <v/>
      </c>
      <c r="H375" s="132" t="str">
        <f>IF(C23="","", "D" &amp; C23 &amp; "Y")</f>
        <v/>
      </c>
    </row>
    <row r="376" spans="1:8" ht="19.95" customHeight="1" x14ac:dyDescent="0.3">
      <c r="G376" s="145" t="str">
        <f>IF(H376="","", IFERROR(VLOOKUP(H376, A$308:D$319, 4, FALSE), 0))</f>
        <v/>
      </c>
      <c r="H376" s="132" t="str">
        <f>IF(F23="","", "D" &amp; F23 &amp; "X")</f>
        <v/>
      </c>
    </row>
    <row r="377" spans="1:8" ht="19.95" customHeight="1" x14ac:dyDescent="0.3">
      <c r="G377" s="145" t="str">
        <f>IF(H377="","", IFERROR(VLOOKUP(H377, A$308:D$319, 4, FALSE), 0))</f>
        <v/>
      </c>
      <c r="H377" s="132" t="str">
        <f>IF(F23="","", "D" &amp; F23 &amp; "Y")</f>
        <v/>
      </c>
    </row>
    <row r="378" spans="1:8" ht="19.95" customHeight="1" x14ac:dyDescent="0.3">
      <c r="B378" s="99" t="s">
        <v>273</v>
      </c>
      <c r="C378" s="185" t="str">
        <f>IF(C23="","", IF(B375&gt;0.001,"BARRA A TRACCIÓN (+)",IF(B375&lt;-0.001,"BARRA A COMPRESIÓN (-)","BARRA DE FUERZA NULA")))</f>
        <v/>
      </c>
      <c r="D378" s="185"/>
      <c r="E378" s="185"/>
      <c r="F378" s="185"/>
    </row>
    <row r="380" spans="1:8" ht="18" customHeight="1" x14ac:dyDescent="0.3">
      <c r="A380" s="143" t="s">
        <v>278</v>
      </c>
      <c r="C380" s="143" t="s">
        <v>279</v>
      </c>
      <c r="D380" s="143" t="s">
        <v>280</v>
      </c>
      <c r="E380" s="143" t="s">
        <v>279</v>
      </c>
      <c r="F380" s="143" t="s">
        <v>280</v>
      </c>
      <c r="G380" s="143" t="s">
        <v>249</v>
      </c>
    </row>
    <row r="381" spans="1:8" ht="16.05" customHeight="1" x14ac:dyDescent="0.3">
      <c r="C381" s="143" t="s">
        <v>282</v>
      </c>
      <c r="D381" s="143" t="s">
        <v>282</v>
      </c>
      <c r="E381" s="143" t="s">
        <v>283</v>
      </c>
      <c r="F381" s="143" t="s">
        <v>283</v>
      </c>
    </row>
    <row r="382" spans="1:8" ht="19.95" customHeight="1" x14ac:dyDescent="0.3">
      <c r="A382" s="137">
        <f>N13</f>
        <v>0</v>
      </c>
      <c r="C382" s="144" t="str">
        <f>IF(J13="","", -J13)</f>
        <v/>
      </c>
      <c r="D382" s="144" t="str">
        <f>IF(K13="","", -K13)</f>
        <v/>
      </c>
      <c r="E382" s="144" t="str">
        <f>IF(J13="","", J13)</f>
        <v/>
      </c>
      <c r="F382" s="144" t="str">
        <f>IF(K13="","", K13)</f>
        <v/>
      </c>
      <c r="G382" s="145" t="str">
        <f>IF(H382="","", IFERROR(VLOOKUP(H382, A$308:D$319, 4, FALSE), 0))</f>
        <v/>
      </c>
      <c r="H382" s="132" t="str">
        <f>IF(C24="","", "D" &amp; C24 &amp; "X")</f>
        <v/>
      </c>
    </row>
    <row r="383" spans="1:8" ht="19.95" customHeight="1" x14ac:dyDescent="0.3">
      <c r="A383" s="99" t="s">
        <v>292</v>
      </c>
      <c r="B383" s="146">
        <f>IF(OR(A382=0, C24=""), 0, (MMULT(C382:F382, G382:G385)*A382))</f>
        <v>0</v>
      </c>
      <c r="G383" s="145" t="str">
        <f>IF(H383="","", IFERROR(VLOOKUP(H383, A$308:D$319, 4, FALSE), 0))</f>
        <v/>
      </c>
      <c r="H383" s="132" t="str">
        <f>IF(C24="","", "D" &amp; C24 &amp; "Y")</f>
        <v/>
      </c>
    </row>
    <row r="384" spans="1:8" ht="19.95" customHeight="1" x14ac:dyDescent="0.3">
      <c r="G384" s="145" t="str">
        <f>IF(H384="","", IFERROR(VLOOKUP(H384, A$308:D$319, 4, FALSE), 0))</f>
        <v/>
      </c>
      <c r="H384" s="132" t="str">
        <f>IF(F24="","", "D" &amp; F24 &amp; "X")</f>
        <v/>
      </c>
    </row>
    <row r="385" spans="2:8" ht="19.95" customHeight="1" x14ac:dyDescent="0.3">
      <c r="G385" s="145" t="str">
        <f>IF(H385="","", IFERROR(VLOOKUP(H385, A$308:D$319, 4, FALSE), 0))</f>
        <v/>
      </c>
      <c r="H385" s="132" t="str">
        <f>IF(F24="","", "D" &amp; F24 &amp; "Y")</f>
        <v/>
      </c>
    </row>
    <row r="386" spans="2:8" ht="19.95" customHeight="1" x14ac:dyDescent="0.3">
      <c r="B386" s="99" t="s">
        <v>273</v>
      </c>
      <c r="C386" s="185" t="str">
        <f>IF(C24="","", IF(B383&gt;0.001,"BARRA A TRACCIÓN (+)",IF(B383&lt;-0.001,"BARRA A COMPRESIÓN (-)","BARRA DE FUERZA NULA")))</f>
        <v/>
      </c>
      <c r="D386" s="185"/>
      <c r="E386" s="185"/>
      <c r="F386" s="185"/>
    </row>
    <row r="389" spans="2:8" ht="22.05" customHeight="1" x14ac:dyDescent="0.3">
      <c r="B389" s="194" t="s">
        <v>293</v>
      </c>
      <c r="C389" s="175"/>
      <c r="D389" s="175"/>
      <c r="E389" s="175"/>
      <c r="F389" s="175"/>
      <c r="G389" s="175"/>
      <c r="H389" s="175"/>
    </row>
    <row r="390" spans="2:8" ht="24" customHeight="1" x14ac:dyDescent="0.3">
      <c r="B390" s="100" t="s">
        <v>294</v>
      </c>
      <c r="C390" s="100" t="s">
        <v>295</v>
      </c>
      <c r="D390" s="100" t="s">
        <v>296</v>
      </c>
      <c r="E390" s="100" t="s">
        <v>297</v>
      </c>
      <c r="F390" s="100" t="s">
        <v>298</v>
      </c>
      <c r="G390" s="100" t="s">
        <v>299</v>
      </c>
      <c r="H390" s="100" t="s">
        <v>300</v>
      </c>
    </row>
    <row r="391" spans="2:8" ht="19.95" customHeight="1" x14ac:dyDescent="0.3">
      <c r="B391" s="102">
        <f>IF(C17="","", 1)</f>
        <v>1</v>
      </c>
      <c r="C391" s="108">
        <f t="shared" ref="C391:C398" si="62">IF(C17="","", C17)</f>
        <v>1</v>
      </c>
      <c r="D391" s="108">
        <f t="shared" ref="D391:D398" si="63">IF(F17="","", F17)</f>
        <v>2</v>
      </c>
      <c r="E391" s="120">
        <f t="shared" ref="E391:E398" si="64">IF(I6="","", I6)</f>
        <v>400</v>
      </c>
      <c r="F391" s="120">
        <f t="shared" ref="F391:F398" si="65">IF(C17="","", L6)</f>
        <v>12</v>
      </c>
      <c r="G391" s="146">
        <f>IF(C17="","", B327)</f>
        <v>0</v>
      </c>
      <c r="H391" s="110" t="str">
        <f>IF(C17="","", C330)</f>
        <v>BARRA DE FUERZA NULA</v>
      </c>
    </row>
    <row r="392" spans="2:8" ht="19.95" customHeight="1" x14ac:dyDescent="0.3">
      <c r="B392" s="110">
        <f>IF(C18="","", 2)</f>
        <v>2</v>
      </c>
      <c r="C392" s="108">
        <f t="shared" si="62"/>
        <v>2</v>
      </c>
      <c r="D392" s="108">
        <f t="shared" si="63"/>
        <v>3</v>
      </c>
      <c r="E392" s="120">
        <f t="shared" si="64"/>
        <v>300</v>
      </c>
      <c r="F392" s="120">
        <f t="shared" si="65"/>
        <v>12</v>
      </c>
      <c r="G392" s="146">
        <f>IF(C18="","", B335)</f>
        <v>-7258.152173913043</v>
      </c>
      <c r="H392" s="110" t="str">
        <f>IF(C18="","", C338)</f>
        <v>BARRA A COMPRESIÓN (-)</v>
      </c>
    </row>
    <row r="393" spans="2:8" ht="19.95" customHeight="1" x14ac:dyDescent="0.3">
      <c r="B393" s="111">
        <f>IF(C19="","", 3)</f>
        <v>3</v>
      </c>
      <c r="C393" s="108">
        <f t="shared" si="62"/>
        <v>3</v>
      </c>
      <c r="D393" s="108">
        <f t="shared" si="63"/>
        <v>4</v>
      </c>
      <c r="E393" s="120">
        <f t="shared" si="64"/>
        <v>400</v>
      </c>
      <c r="F393" s="120">
        <f t="shared" si="65"/>
        <v>12</v>
      </c>
      <c r="G393" s="146">
        <f>IF(C19="","", B343)</f>
        <v>489.1304347826096</v>
      </c>
      <c r="H393" s="110" t="str">
        <f>IF(C19="","", C346)</f>
        <v>BARRA A TRACCIÓN (+)</v>
      </c>
    </row>
    <row r="394" spans="2:8" ht="19.95" customHeight="1" x14ac:dyDescent="0.3">
      <c r="B394" s="112">
        <f>IF(C20="","", 4)</f>
        <v>4</v>
      </c>
      <c r="C394" s="108">
        <f t="shared" si="62"/>
        <v>4</v>
      </c>
      <c r="D394" s="108">
        <f t="shared" si="63"/>
        <v>1</v>
      </c>
      <c r="E394" s="120">
        <f t="shared" si="64"/>
        <v>300</v>
      </c>
      <c r="F394" s="120">
        <f t="shared" si="65"/>
        <v>12</v>
      </c>
      <c r="G394" s="146">
        <f>IF(C20="","", B351)</f>
        <v>2991.8478260869565</v>
      </c>
      <c r="H394" s="110" t="str">
        <f>IF(C20="","", C354)</f>
        <v>BARRA A TRACCIÓN (+)</v>
      </c>
    </row>
    <row r="395" spans="2:8" ht="19.95" customHeight="1" x14ac:dyDescent="0.3">
      <c r="B395" s="113">
        <f>IF(C21="","", 5)</f>
        <v>5</v>
      </c>
      <c r="C395" s="108">
        <f t="shared" si="62"/>
        <v>1</v>
      </c>
      <c r="D395" s="108">
        <f t="shared" si="63"/>
        <v>3</v>
      </c>
      <c r="E395" s="120">
        <f t="shared" si="64"/>
        <v>500</v>
      </c>
      <c r="F395" s="120">
        <f t="shared" si="65"/>
        <v>12</v>
      </c>
      <c r="G395" s="146">
        <f>IF(C21="","", B359)</f>
        <v>3763.586956521739</v>
      </c>
      <c r="H395" s="110" t="str">
        <f>IF(C21="","", C362)</f>
        <v>BARRA A TRACCIÓN (+)</v>
      </c>
    </row>
    <row r="396" spans="2:8" ht="19.95" customHeight="1" x14ac:dyDescent="0.3">
      <c r="B396" s="114">
        <f>IF(C22="","", 6)</f>
        <v>6</v>
      </c>
      <c r="C396" s="108">
        <f t="shared" si="62"/>
        <v>2</v>
      </c>
      <c r="D396" s="108">
        <f t="shared" si="63"/>
        <v>4</v>
      </c>
      <c r="E396" s="120">
        <f t="shared" si="64"/>
        <v>500</v>
      </c>
      <c r="F396" s="120">
        <f t="shared" si="65"/>
        <v>12</v>
      </c>
      <c r="G396" s="146">
        <f>IF(C22="","", B367)</f>
        <v>-4986.4130434782592</v>
      </c>
      <c r="H396" s="110" t="str">
        <f>IF(C22="","", C370)</f>
        <v>BARRA A COMPRESIÓN (-)</v>
      </c>
    </row>
    <row r="397" spans="2:8" ht="19.95" customHeight="1" x14ac:dyDescent="0.3">
      <c r="B397" s="115" t="str">
        <f>IF(C23="","", 7)</f>
        <v/>
      </c>
      <c r="C397" s="108" t="str">
        <f t="shared" si="62"/>
        <v/>
      </c>
      <c r="D397" s="108" t="str">
        <f t="shared" si="63"/>
        <v/>
      </c>
      <c r="E397" s="120" t="str">
        <f t="shared" si="64"/>
        <v/>
      </c>
      <c r="F397" s="120" t="str">
        <f t="shared" si="65"/>
        <v/>
      </c>
      <c r="G397" s="146" t="str">
        <f>IF(C23="","", B375)</f>
        <v/>
      </c>
      <c r="H397" s="110" t="str">
        <f>IF(C23="","", C378)</f>
        <v/>
      </c>
    </row>
    <row r="398" spans="2:8" ht="19.95" customHeight="1" x14ac:dyDescent="0.3">
      <c r="B398" s="116" t="str">
        <f>IF(C24="","", 8)</f>
        <v/>
      </c>
      <c r="C398" s="108" t="str">
        <f t="shared" si="62"/>
        <v/>
      </c>
      <c r="D398" s="108" t="str">
        <f t="shared" si="63"/>
        <v/>
      </c>
      <c r="E398" s="120" t="str">
        <f t="shared" si="64"/>
        <v/>
      </c>
      <c r="F398" s="120" t="str">
        <f t="shared" si="65"/>
        <v/>
      </c>
      <c r="G398" s="146" t="str">
        <f>IF(C24="","", B383)</f>
        <v/>
      </c>
      <c r="H398" s="110" t="str">
        <f>IF(C24="","", C386)</f>
        <v/>
      </c>
    </row>
  </sheetData>
  <mergeCells count="143">
    <mergeCell ref="Z243:AE243"/>
    <mergeCell ref="Z283:AE283"/>
    <mergeCell ref="P4:W4"/>
    <mergeCell ref="Z292:AE292"/>
    <mergeCell ref="Z235:AE235"/>
    <mergeCell ref="Z298:AE298"/>
    <mergeCell ref="Z332:AE332"/>
    <mergeCell ref="Z347:AE347"/>
    <mergeCell ref="Z285:AE285"/>
    <mergeCell ref="Z341:AE341"/>
    <mergeCell ref="Z322:AE322"/>
    <mergeCell ref="Z269:AE269"/>
    <mergeCell ref="Z278:AE278"/>
    <mergeCell ref="Z227:AE227"/>
    <mergeCell ref="Z303:AE303"/>
    <mergeCell ref="Z290:AE290"/>
    <mergeCell ref="Z299:AE299"/>
    <mergeCell ref="Z249:AE249"/>
    <mergeCell ref="Z280:AE280"/>
    <mergeCell ref="Z244:AE244"/>
    <mergeCell ref="Z213:AE213"/>
    <mergeCell ref="Z231:AE231"/>
    <mergeCell ref="Z344:AE344"/>
    <mergeCell ref="J4:J5"/>
    <mergeCell ref="L4:L5"/>
    <mergeCell ref="C277:D277"/>
    <mergeCell ref="Z259:AE259"/>
    <mergeCell ref="Z293:AE293"/>
    <mergeCell ref="Z324:AE324"/>
    <mergeCell ref="C378:F378"/>
    <mergeCell ref="Z333:AE333"/>
    <mergeCell ref="Z229:AE229"/>
    <mergeCell ref="Z261:AE261"/>
    <mergeCell ref="Z270:AE270"/>
    <mergeCell ref="Z335:AE335"/>
    <mergeCell ref="Z245:AE245"/>
    <mergeCell ref="Z232:AE232"/>
    <mergeCell ref="Z334:AE334"/>
    <mergeCell ref="Z300:AE300"/>
    <mergeCell ref="Z256:AE256"/>
    <mergeCell ref="Z296:AE296"/>
    <mergeCell ref="Z271:AE271"/>
    <mergeCell ref="Z246:AE246"/>
    <mergeCell ref="Z218:AE218"/>
    <mergeCell ref="Z233:AE233"/>
    <mergeCell ref="Z289:AE289"/>
    <mergeCell ref="Z345:AE345"/>
    <mergeCell ref="A1:N1"/>
    <mergeCell ref="C4:D4"/>
    <mergeCell ref="Z219:AE219"/>
    <mergeCell ref="E4:F4"/>
    <mergeCell ref="Z265:AE265"/>
    <mergeCell ref="Z234:AE234"/>
    <mergeCell ref="Z274:AE274"/>
    <mergeCell ref="C354:F354"/>
    <mergeCell ref="Z236:AE236"/>
    <mergeCell ref="Z226:AE226"/>
    <mergeCell ref="Z220:AE220"/>
    <mergeCell ref="Z260:AE260"/>
    <mergeCell ref="Z217:AE217"/>
    <mergeCell ref="Z276:AE276"/>
    <mergeCell ref="Z250:AE250"/>
    <mergeCell ref="C330:F330"/>
    <mergeCell ref="Z228:AE228"/>
    <mergeCell ref="Z284:AE284"/>
    <mergeCell ref="Z222:AE222"/>
    <mergeCell ref="Z212:AE212"/>
    <mergeCell ref="Z325:AE325"/>
    <mergeCell ref="H4:H5"/>
    <mergeCell ref="Z221:AE221"/>
    <mergeCell ref="Z286:AE286"/>
    <mergeCell ref="A2:N2"/>
    <mergeCell ref="K4:K5"/>
    <mergeCell ref="Z211:AE211"/>
    <mergeCell ref="Z225:AE225"/>
    <mergeCell ref="Z338:AE338"/>
    <mergeCell ref="Z291:AE291"/>
    <mergeCell ref="Z266:AE266"/>
    <mergeCell ref="Z275:AE275"/>
    <mergeCell ref="B4:B5"/>
    <mergeCell ref="N4:N5"/>
    <mergeCell ref="Z330:AE330"/>
    <mergeCell ref="Z268:AE268"/>
    <mergeCell ref="Z277:AE277"/>
    <mergeCell ref="Z252:AE252"/>
    <mergeCell ref="Z258:AE258"/>
    <mergeCell ref="Z267:AE267"/>
    <mergeCell ref="Z302:AE302"/>
    <mergeCell ref="Z251:AE251"/>
    <mergeCell ref="Z238:AE238"/>
    <mergeCell ref="Z294:AE294"/>
    <mergeCell ref="Z273:AE273"/>
    <mergeCell ref="Z282:AE282"/>
    <mergeCell ref="C266:J266"/>
    <mergeCell ref="B15:H15"/>
    <mergeCell ref="B389:H389"/>
    <mergeCell ref="Z215:AE215"/>
    <mergeCell ref="Z230:AE230"/>
    <mergeCell ref="Z224:AE224"/>
    <mergeCell ref="Z295:AE295"/>
    <mergeCell ref="C238:D238"/>
    <mergeCell ref="Z279:AE279"/>
    <mergeCell ref="Z339:AE339"/>
    <mergeCell ref="Z346:AE346"/>
    <mergeCell ref="C386:F386"/>
    <mergeCell ref="Z340:AE340"/>
    <mergeCell ref="C346:F346"/>
    <mergeCell ref="C362:F362"/>
    <mergeCell ref="C370:F370"/>
    <mergeCell ref="Z263:AE263"/>
    <mergeCell ref="Z323:AE323"/>
    <mergeCell ref="Z272:AE272"/>
    <mergeCell ref="Z337:AE337"/>
    <mergeCell ref="Z327:AE327"/>
    <mergeCell ref="Z342:AE342"/>
    <mergeCell ref="Z223:AE223"/>
    <mergeCell ref="Z336:AE336"/>
    <mergeCell ref="Z264:AE264"/>
    <mergeCell ref="Z326:AE326"/>
    <mergeCell ref="G4:G5"/>
    <mergeCell ref="I4:I5"/>
    <mergeCell ref="Z216:AE216"/>
    <mergeCell ref="Z329:AE329"/>
    <mergeCell ref="Z343:AE343"/>
    <mergeCell ref="Z281:AE281"/>
    <mergeCell ref="Z257:AE257"/>
    <mergeCell ref="M4:M5"/>
    <mergeCell ref="Z331:AE331"/>
    <mergeCell ref="Z241:AE241"/>
    <mergeCell ref="Z255:AE255"/>
    <mergeCell ref="Z242:AE242"/>
    <mergeCell ref="C267:J267"/>
    <mergeCell ref="C338:F338"/>
    <mergeCell ref="Z240:AE240"/>
    <mergeCell ref="Z210:AE210"/>
    <mergeCell ref="Z214:AE214"/>
    <mergeCell ref="Z301:AE301"/>
    <mergeCell ref="Z239:AE239"/>
    <mergeCell ref="Z248:AE248"/>
    <mergeCell ref="Z328:AE328"/>
    <mergeCell ref="Z262:AE262"/>
    <mergeCell ref="Z297:AE297"/>
    <mergeCell ref="Z247:AE247"/>
  </mergeCells>
  <conditionalFormatting sqref="B34:M45">
    <cfRule type="cellIs" dxfId="15" priority="1" operator="notEqual">
      <formula>0</formula>
    </cfRule>
  </conditionalFormatting>
  <conditionalFormatting sqref="B55:M66">
    <cfRule type="cellIs" dxfId="14" priority="2" operator="notEqual">
      <formula>0</formula>
    </cfRule>
  </conditionalFormatting>
  <conditionalFormatting sqref="B76:M87">
    <cfRule type="cellIs" dxfId="13" priority="3" operator="notEqual">
      <formula>0</formula>
    </cfRule>
  </conditionalFormatting>
  <conditionalFormatting sqref="B97:M108">
    <cfRule type="cellIs" dxfId="12" priority="4" operator="notEqual">
      <formula>0</formula>
    </cfRule>
  </conditionalFormatting>
  <conditionalFormatting sqref="B118:M129">
    <cfRule type="cellIs" dxfId="11" priority="5" operator="notEqual">
      <formula>0</formula>
    </cfRule>
  </conditionalFormatting>
  <conditionalFormatting sqref="B139:M150">
    <cfRule type="cellIs" dxfId="10" priority="6" operator="notEqual">
      <formula>0</formula>
    </cfRule>
  </conditionalFormatting>
  <conditionalFormatting sqref="B160:M171">
    <cfRule type="cellIs" dxfId="9" priority="7" operator="notEqual">
      <formula>0</formula>
    </cfRule>
  </conditionalFormatting>
  <conditionalFormatting sqref="B181:M192">
    <cfRule type="cellIs" dxfId="8" priority="8" operator="notEqual">
      <formula>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302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300</v>
      </c>
      <c r="AB5" s="20">
        <f>IF(F28="","",F28)</f>
        <v>500</v>
      </c>
      <c r="AC5" t="s">
        <v>313</v>
      </c>
    </row>
    <row r="6" spans="2:29" ht="24" customHeight="1" x14ac:dyDescent="0.3">
      <c r="B6" s="206">
        <f>COUNT(C14:C23)</f>
        <v>3</v>
      </c>
      <c r="C6" s="173"/>
      <c r="D6" s="206">
        <f>COUNT(C28:C42)</f>
        <v>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700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700</v>
      </c>
      <c r="AB8" s="20">
        <f>IF(F29="","",F29)</f>
        <v>0</v>
      </c>
      <c r="AC8" t="s">
        <v>316</v>
      </c>
    </row>
    <row r="9" spans="2:29" x14ac:dyDescent="0.3">
      <c r="AA9" s="20">
        <f>IF(G29="","",G29)</f>
        <v>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300</v>
      </c>
      <c r="AB12" s="20">
        <f>IF(H30="","",H30)</f>
        <v>500</v>
      </c>
      <c r="AC12" t="s">
        <v>325</v>
      </c>
    </row>
    <row r="14" spans="2:29" ht="19.05" customHeight="1" x14ac:dyDescent="0.3">
      <c r="B14" s="89">
        <v>1</v>
      </c>
      <c r="C14" s="21">
        <v>300</v>
      </c>
      <c r="D14" s="21">
        <v>500</v>
      </c>
      <c r="E14" s="21" t="s">
        <v>326</v>
      </c>
      <c r="F14" s="88">
        <f t="shared" ref="F14:F23" si="0">IF(OR(ISBLANK(C14),C14=""),"",IF(E14="Fijo (articulado)",1,IF(E14="Rodillo X (despl. Y libre)",1,0)))</f>
        <v>0</v>
      </c>
      <c r="G14" s="88">
        <f t="shared" ref="G14:G23" si="1">IF(OR(ISBLANK(C14),C14=""),"",IF(E14="Fijo (articulado)",1,IF(E14="Rodillo Y (despl. X libre)",1,0)))</f>
        <v>0</v>
      </c>
      <c r="H14" s="22">
        <v>4000</v>
      </c>
      <c r="I14" s="22">
        <v>-5000</v>
      </c>
      <c r="J14" s="205" t="s">
        <v>327</v>
      </c>
      <c r="K14" s="172"/>
      <c r="L14" s="172"/>
      <c r="M14" s="172"/>
      <c r="N14" s="172"/>
      <c r="O14" s="173"/>
      <c r="AA14" s="20" t="str">
        <f>IF(E31="","",E31)</f>
        <v/>
      </c>
      <c r="AB14" s="20" t="str">
        <f>IF(F31="","",F31)</f>
        <v/>
      </c>
      <c r="AC14" t="s">
        <v>328</v>
      </c>
    </row>
    <row r="15" spans="2:29" ht="19.05" customHeight="1" x14ac:dyDescent="0.3">
      <c r="B15" s="89">
        <v>2</v>
      </c>
      <c r="C15" s="21">
        <v>700</v>
      </c>
      <c r="D15" s="21">
        <v>0</v>
      </c>
      <c r="E15" s="21" t="s">
        <v>329</v>
      </c>
      <c r="F15" s="88">
        <f t="shared" si="0"/>
        <v>0</v>
      </c>
      <c r="G15" s="88">
        <f t="shared" si="1"/>
        <v>1</v>
      </c>
      <c r="H15" s="22">
        <v>0</v>
      </c>
      <c r="I15" s="22">
        <v>0</v>
      </c>
      <c r="J15" s="205" t="s">
        <v>330</v>
      </c>
      <c r="K15" s="172"/>
      <c r="L15" s="172"/>
      <c r="M15" s="172"/>
      <c r="N15" s="172"/>
      <c r="O15" s="173"/>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205" t="s">
        <v>333</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500</v>
      </c>
      <c r="G28" s="5">
        <f t="shared" ref="G28:G42" si="4">IF(OR(ISBLANK(D28),D28=""),"",VLOOKUP(D28,$B$14:$D$23,2,FALSE))</f>
        <v>700</v>
      </c>
      <c r="H28" s="5">
        <f t="shared" ref="H28:H42" si="5">IF(OR(ISBLANK(D28),D28=""),"",VLOOKUP(D28,$B$14:$D$23,3,FALSE))</f>
        <v>0</v>
      </c>
      <c r="I28" s="9">
        <f t="shared" ref="I28:I42" si="6">IF(G28="","",G28-E28)</f>
        <v>400</v>
      </c>
      <c r="J28" s="9">
        <f t="shared" ref="J28:J42" si="7">IF(H28="","",H28-F28)</f>
        <v>-500</v>
      </c>
      <c r="K28" s="9">
        <f t="shared" ref="K28:K42" si="8">IF(I28="","",SQRT(I28^2+J28^2))</f>
        <v>640.31242374328485</v>
      </c>
      <c r="L28" s="92">
        <f t="shared" ref="L28:L42" si="9">IF(K28="","",I28/K28)</f>
        <v>0.62469504755442429</v>
      </c>
      <c r="M28" s="92">
        <f t="shared" ref="M28:M42" si="10">IF(K28="","",J28/K28)</f>
        <v>-0.78086880944303039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500</v>
      </c>
      <c r="I30" s="9">
        <f t="shared" si="6"/>
        <v>300</v>
      </c>
      <c r="J30" s="9">
        <f t="shared" si="7"/>
        <v>500</v>
      </c>
      <c r="K30" s="9">
        <f t="shared" si="8"/>
        <v>583.09518948453001</v>
      </c>
      <c r="L30" s="92">
        <f t="shared" si="9"/>
        <v>0.51449575542752657</v>
      </c>
      <c r="M30" s="92">
        <f t="shared" si="10"/>
        <v>0.85749292571254421</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300-000000000000}">
      <formula1>"Fijo (articulado),Rodillo Y (despl. X libre),Rodillo X (despl. Y libre),Libre (0 reac.)"</formula1>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367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GRAFICA_01!E28</f>
        <v>300</v>
      </c>
      <c r="D6" s="22">
        <f>GRAFICA_01!F28</f>
        <v>500</v>
      </c>
      <c r="E6" s="22">
        <f>GRAFICA_01!G28</f>
        <v>700</v>
      </c>
      <c r="F6" s="22">
        <f>GRAFICA_01!H28</f>
        <v>0</v>
      </c>
      <c r="G6" s="9">
        <f t="shared" ref="G6:H8" si="0">E6-C6</f>
        <v>400</v>
      </c>
      <c r="H6" s="9">
        <f t="shared" si="0"/>
        <v>-500</v>
      </c>
      <c r="I6" s="9">
        <f>SQRT(G6*G6+H6*H6)</f>
        <v>640.31242374328485</v>
      </c>
      <c r="J6" s="92">
        <f>G6/I6</f>
        <v>0.62469504755442429</v>
      </c>
      <c r="K6" s="92">
        <f>H6/I6</f>
        <v>-0.78086880944303039</v>
      </c>
      <c r="L6" s="22">
        <f>GRAFICA_01!N28</f>
        <v>12</v>
      </c>
      <c r="M6" s="22">
        <f>GRAFICA_01!O28</f>
        <v>2100000</v>
      </c>
      <c r="N6" s="6">
        <f>L6*M6/I6</f>
        <v>39355.787995928731</v>
      </c>
    </row>
    <row r="7" spans="2:14" ht="19.05" customHeight="1" x14ac:dyDescent="0.3">
      <c r="B7" s="25">
        <v>2</v>
      </c>
      <c r="C7" s="22">
        <f>GRAFICA_01!E29</f>
        <v>700</v>
      </c>
      <c r="D7" s="22">
        <f>GRAFICA_01!F29</f>
        <v>0</v>
      </c>
      <c r="E7" s="22">
        <f>GRAFICA_01!G29</f>
        <v>0</v>
      </c>
      <c r="F7" s="22">
        <f>GRAFICA_01!H29</f>
        <v>0</v>
      </c>
      <c r="G7" s="9">
        <f t="shared" si="0"/>
        <v>-700</v>
      </c>
      <c r="H7" s="9">
        <f t="shared" si="0"/>
        <v>0</v>
      </c>
      <c r="I7" s="9">
        <f>SQRT(G7*G7+H7*H7)</f>
        <v>700</v>
      </c>
      <c r="J7" s="92">
        <f>G7/I7</f>
        <v>-1</v>
      </c>
      <c r="K7" s="92">
        <f>H7/I7</f>
        <v>0</v>
      </c>
      <c r="L7" s="22">
        <f>GRAFICA_01!N29</f>
        <v>12</v>
      </c>
      <c r="M7" s="22">
        <f>GRAFICA_01!O29</f>
        <v>2100000</v>
      </c>
      <c r="N7" s="6">
        <f>L7*M7/I7</f>
        <v>36000</v>
      </c>
    </row>
    <row r="8" spans="2:14" ht="19.05" customHeight="1" x14ac:dyDescent="0.3">
      <c r="B8" s="26">
        <v>3</v>
      </c>
      <c r="C8" s="22">
        <f>GRAFICA_01!E30</f>
        <v>0</v>
      </c>
      <c r="D8" s="22">
        <f>GRAFICA_01!F30</f>
        <v>0</v>
      </c>
      <c r="E8" s="22">
        <f>GRAFICA_01!G30</f>
        <v>300</v>
      </c>
      <c r="F8" s="22">
        <f>GRAFICA_01!H30</f>
        <v>500</v>
      </c>
      <c r="G8" s="9">
        <f t="shared" si="0"/>
        <v>300</v>
      </c>
      <c r="H8" s="9">
        <f t="shared" si="0"/>
        <v>500</v>
      </c>
      <c r="I8" s="9">
        <f>SQRT(G8*G8+H8*H8)</f>
        <v>583.09518948453001</v>
      </c>
      <c r="J8" s="92">
        <f>G8/I8</f>
        <v>0.51449575542752657</v>
      </c>
      <c r="K8" s="92">
        <f>H8/I8</f>
        <v>0.85749292571254421</v>
      </c>
      <c r="L8" s="22">
        <f>GRAFICA_01!N30</f>
        <v>12</v>
      </c>
      <c r="M8" s="22">
        <f>GRAFICA_01!O30</f>
        <v>2100000</v>
      </c>
      <c r="N8" s="6">
        <f>L8*M8/I8</f>
        <v>43217.643455912228</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GRAFICA_01!C28</f>
        <v>1</v>
      </c>
      <c r="D12" s="23">
        <f>GRAFICA_01!C28</f>
        <v>1</v>
      </c>
      <c r="E12" s="23">
        <f>GRAFICA_01!D28</f>
        <v>2</v>
      </c>
      <c r="F12" s="23">
        <f>GRAFICA_01!D28</f>
        <v>2</v>
      </c>
    </row>
    <row r="13" spans="2:14" ht="19.05" customHeight="1" x14ac:dyDescent="0.3">
      <c r="B13" s="25">
        <v>2</v>
      </c>
      <c r="C13" s="23">
        <f>GRAFICA_01!C29</f>
        <v>2</v>
      </c>
      <c r="D13" s="23">
        <f>GRAFICA_01!C29</f>
        <v>2</v>
      </c>
      <c r="E13" s="23">
        <f>GRAFICA_01!D29</f>
        <v>3</v>
      </c>
      <c r="F13" s="23">
        <f>GRAFICA_01!D29</f>
        <v>3</v>
      </c>
    </row>
    <row r="14" spans="2:14" ht="19.05" customHeight="1" x14ac:dyDescent="0.3">
      <c r="B14" s="26">
        <v>3</v>
      </c>
      <c r="C14" s="23">
        <f>GRAFICA_01!C30</f>
        <v>3</v>
      </c>
      <c r="D14" s="23">
        <f>GRAFICA_01!C30</f>
        <v>3</v>
      </c>
      <c r="E14" s="23">
        <f>GRAFICA_01!D30</f>
        <v>1</v>
      </c>
      <c r="F14" s="23">
        <f>GRAFICA_01!D30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15358.35629109414</v>
      </c>
      <c r="C18" s="7">
        <f>J6*K6*N6</f>
        <v>-19197.945363867675</v>
      </c>
      <c r="D18" s="7">
        <f>-B18</f>
        <v>-15358.35629109414</v>
      </c>
      <c r="E18" s="7">
        <f>-C18</f>
        <v>19197.945363867675</v>
      </c>
      <c r="F18" s="27" t="str">
        <f>B17</f>
        <v>U1X</v>
      </c>
    </row>
    <row r="19" spans="1:8" ht="16.8" customHeight="1" x14ac:dyDescent="0.3">
      <c r="A19" s="28" t="s">
        <v>177</v>
      </c>
      <c r="B19" s="7">
        <f>C18</f>
        <v>-19197.945363867675</v>
      </c>
      <c r="C19" s="7">
        <f>K6*K6*N6</f>
        <v>23997.431704834595</v>
      </c>
      <c r="D19" s="7">
        <f>-B19</f>
        <v>19197.945363867675</v>
      </c>
      <c r="E19" s="7">
        <f>-C19</f>
        <v>-23997.431704834595</v>
      </c>
      <c r="F19" s="27" t="str">
        <f>C17</f>
        <v>U1Y</v>
      </c>
    </row>
    <row r="20" spans="1:8" x14ac:dyDescent="0.3">
      <c r="B20" s="7">
        <f>D18</f>
        <v>-15358.35629109414</v>
      </c>
      <c r="C20" s="7">
        <f>E18</f>
        <v>19197.945363867675</v>
      </c>
      <c r="D20" s="7">
        <f>B18</f>
        <v>15358.35629109414</v>
      </c>
      <c r="E20" s="7">
        <f>C18</f>
        <v>-19197.945363867675</v>
      </c>
      <c r="F20" s="27" t="str">
        <f>D17</f>
        <v>U2X</v>
      </c>
    </row>
    <row r="21" spans="1:8" x14ac:dyDescent="0.3">
      <c r="B21" s="7">
        <f>D19</f>
        <v>19197.945363867675</v>
      </c>
      <c r="C21" s="7">
        <f>E19</f>
        <v>-23997.431704834595</v>
      </c>
      <c r="D21" s="7">
        <f>B19</f>
        <v>-19197.945363867675</v>
      </c>
      <c r="E21" s="7">
        <f>C19</f>
        <v>23997.431704834595</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15358.35629109414</v>
      </c>
      <c r="C24" s="8">
        <f t="shared" si="1"/>
        <v>-19197.945363867675</v>
      </c>
      <c r="D24" s="8">
        <f t="shared" si="1"/>
        <v>-15358.35629109414</v>
      </c>
      <c r="E24" s="8">
        <f t="shared" si="1"/>
        <v>19197.945363867675</v>
      </c>
      <c r="F24" s="9">
        <f t="shared" si="1"/>
        <v>0</v>
      </c>
      <c r="G24" s="9">
        <f t="shared" si="1"/>
        <v>0</v>
      </c>
      <c r="H24" s="27" t="s">
        <v>178</v>
      </c>
    </row>
    <row r="25" spans="1:8" ht="19.05" customHeight="1" x14ac:dyDescent="0.3">
      <c r="B25" s="8">
        <f t="shared" si="1"/>
        <v>-19197.945363867675</v>
      </c>
      <c r="C25" s="8">
        <f t="shared" si="1"/>
        <v>23997.431704834595</v>
      </c>
      <c r="D25" s="8">
        <f t="shared" si="1"/>
        <v>19197.945363867675</v>
      </c>
      <c r="E25" s="8">
        <f t="shared" si="1"/>
        <v>-23997.431704834595</v>
      </c>
      <c r="F25" s="9">
        <f t="shared" si="1"/>
        <v>0</v>
      </c>
      <c r="G25" s="9">
        <f t="shared" si="1"/>
        <v>0</v>
      </c>
      <c r="H25" s="27" t="s">
        <v>179</v>
      </c>
    </row>
    <row r="26" spans="1:8" ht="19.05" customHeight="1" x14ac:dyDescent="0.3">
      <c r="A26" s="28" t="s">
        <v>190</v>
      </c>
      <c r="B26" s="8">
        <f t="shared" si="1"/>
        <v>-15358.35629109414</v>
      </c>
      <c r="C26" s="8">
        <f t="shared" si="1"/>
        <v>19197.945363867675</v>
      </c>
      <c r="D26" s="8">
        <f t="shared" si="1"/>
        <v>15358.35629109414</v>
      </c>
      <c r="E26" s="8">
        <f t="shared" si="1"/>
        <v>-19197.945363867675</v>
      </c>
      <c r="F26" s="9">
        <f t="shared" si="1"/>
        <v>0</v>
      </c>
      <c r="G26" s="9">
        <f t="shared" si="1"/>
        <v>0</v>
      </c>
      <c r="H26" s="27" t="s">
        <v>180</v>
      </c>
    </row>
    <row r="27" spans="1:8" ht="19.05" customHeight="1" x14ac:dyDescent="0.3">
      <c r="B27" s="8">
        <f t="shared" si="1"/>
        <v>19197.945363867675</v>
      </c>
      <c r="C27" s="8">
        <f t="shared" si="1"/>
        <v>-23997.431704834595</v>
      </c>
      <c r="D27" s="8">
        <f t="shared" si="1"/>
        <v>-19197.945363867675</v>
      </c>
      <c r="E27" s="8">
        <f t="shared" si="1"/>
        <v>23997.431704834595</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11439.964444212063</v>
      </c>
      <c r="C48" s="33">
        <f>J8*K8*N8</f>
        <v>19066.607407020103</v>
      </c>
      <c r="D48" s="33">
        <f>-B48</f>
        <v>-11439.964444212063</v>
      </c>
      <c r="E48" s="33">
        <f>-C48</f>
        <v>-19066.607407020103</v>
      </c>
      <c r="F48" s="32" t="str">
        <f>B47</f>
        <v>U3X</v>
      </c>
    </row>
    <row r="49" spans="1:8" ht="16.8" customHeight="1" x14ac:dyDescent="0.3">
      <c r="A49" s="28" t="s">
        <v>193</v>
      </c>
      <c r="B49" s="33">
        <f>C48</f>
        <v>19066.607407020103</v>
      </c>
      <c r="C49" s="33">
        <f>K8*K8*N8</f>
        <v>31777.679011700169</v>
      </c>
      <c r="D49" s="33">
        <f>-B49</f>
        <v>-19066.607407020103</v>
      </c>
      <c r="E49" s="33">
        <f>-C49</f>
        <v>-31777.679011700169</v>
      </c>
      <c r="F49" s="32" t="str">
        <f>C47</f>
        <v>U3Y</v>
      </c>
    </row>
    <row r="50" spans="1:8" x14ac:dyDescent="0.3">
      <c r="B50" s="33">
        <f>D48</f>
        <v>-11439.964444212063</v>
      </c>
      <c r="C50" s="33">
        <f>E48</f>
        <v>-19066.607407020103</v>
      </c>
      <c r="D50" s="33">
        <f>B48</f>
        <v>11439.964444212063</v>
      </c>
      <c r="E50" s="33">
        <f>C48</f>
        <v>19066.607407020103</v>
      </c>
      <c r="F50" s="32" t="str">
        <f>D47</f>
        <v>U1X</v>
      </c>
    </row>
    <row r="51" spans="1:8" x14ac:dyDescent="0.3">
      <c r="B51" s="33">
        <f>D49</f>
        <v>-19066.607407020103</v>
      </c>
      <c r="C51" s="33">
        <f>E49</f>
        <v>-31777.679011700169</v>
      </c>
      <c r="D51" s="33">
        <f>B49</f>
        <v>19066.607407020103</v>
      </c>
      <c r="E51" s="33">
        <f>C49</f>
        <v>31777.679011700169</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11439.964444212063</v>
      </c>
      <c r="C54" s="34">
        <f t="shared" si="3"/>
        <v>19066.607407020103</v>
      </c>
      <c r="D54" s="9">
        <f t="shared" si="3"/>
        <v>0</v>
      </c>
      <c r="E54" s="9">
        <f t="shared" si="3"/>
        <v>0</v>
      </c>
      <c r="F54" s="34">
        <f t="shared" si="3"/>
        <v>-11439.964444212063</v>
      </c>
      <c r="G54" s="34">
        <f t="shared" si="3"/>
        <v>-19066.607407020103</v>
      </c>
      <c r="H54" s="32" t="s">
        <v>178</v>
      </c>
    </row>
    <row r="55" spans="1:8" ht="19.05" customHeight="1" x14ac:dyDescent="0.3">
      <c r="B55" s="34">
        <f t="shared" si="3"/>
        <v>19066.607407020103</v>
      </c>
      <c r="C55" s="34">
        <f t="shared" si="3"/>
        <v>31777.679011700169</v>
      </c>
      <c r="D55" s="9">
        <f t="shared" si="3"/>
        <v>0</v>
      </c>
      <c r="E55" s="9">
        <f t="shared" si="3"/>
        <v>0</v>
      </c>
      <c r="F55" s="34">
        <f t="shared" si="3"/>
        <v>-19066.607407020103</v>
      </c>
      <c r="G55" s="34">
        <f t="shared" si="3"/>
        <v>-31777.679011700169</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-11439.964444212063</v>
      </c>
      <c r="C58" s="34">
        <f t="shared" si="3"/>
        <v>-19066.607407020103</v>
      </c>
      <c r="D58" s="9">
        <f t="shared" si="3"/>
        <v>0</v>
      </c>
      <c r="E58" s="9">
        <f t="shared" si="3"/>
        <v>0</v>
      </c>
      <c r="F58" s="34">
        <f t="shared" si="3"/>
        <v>11439.964444212063</v>
      </c>
      <c r="G58" s="34">
        <f t="shared" si="3"/>
        <v>19066.607407020103</v>
      </c>
      <c r="H58" s="32" t="s">
        <v>182</v>
      </c>
    </row>
    <row r="59" spans="1:8" ht="19.05" customHeight="1" x14ac:dyDescent="0.3">
      <c r="B59" s="34">
        <f t="shared" si="3"/>
        <v>-19066.607407020103</v>
      </c>
      <c r="C59" s="34">
        <f t="shared" si="3"/>
        <v>-31777.679011700169</v>
      </c>
      <c r="D59" s="9">
        <f t="shared" si="3"/>
        <v>0</v>
      </c>
      <c r="E59" s="9">
        <f t="shared" si="3"/>
        <v>0</v>
      </c>
      <c r="F59" s="34">
        <f t="shared" si="3"/>
        <v>19066.607407020103</v>
      </c>
      <c r="G59" s="34">
        <f t="shared" si="3"/>
        <v>31777.679011700169</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26798.320735306203</v>
      </c>
      <c r="C63" s="36">
        <f t="shared" si="4"/>
        <v>-131.33795684757206</v>
      </c>
      <c r="D63" s="9">
        <f t="shared" si="4"/>
        <v>-15358.35629109414</v>
      </c>
      <c r="E63" s="9">
        <f t="shared" si="4"/>
        <v>19197.945363867675</v>
      </c>
      <c r="F63" s="9">
        <f t="shared" si="4"/>
        <v>-11439.964444212063</v>
      </c>
      <c r="G63" s="9">
        <f t="shared" si="4"/>
        <v>-19066.607407020103</v>
      </c>
      <c r="H63" s="89" t="s">
        <v>178</v>
      </c>
    </row>
    <row r="64" spans="1:8" ht="19.95" customHeight="1" x14ac:dyDescent="0.3">
      <c r="B64" s="36">
        <f t="shared" si="4"/>
        <v>-131.33795684757206</v>
      </c>
      <c r="C64" s="35">
        <f t="shared" si="4"/>
        <v>55775.110716534764</v>
      </c>
      <c r="D64" s="9">
        <f t="shared" si="4"/>
        <v>19197.945363867675</v>
      </c>
      <c r="E64" s="9">
        <f t="shared" si="4"/>
        <v>-23997.431704834595</v>
      </c>
      <c r="F64" s="9">
        <f t="shared" si="4"/>
        <v>-19066.607407020103</v>
      </c>
      <c r="G64" s="9">
        <f t="shared" si="4"/>
        <v>-31777.679011700169</v>
      </c>
      <c r="H64" s="89" t="s">
        <v>179</v>
      </c>
    </row>
    <row r="65" spans="1:16" ht="19.95" customHeight="1" x14ac:dyDescent="0.3">
      <c r="A65" s="28" t="s">
        <v>205</v>
      </c>
      <c r="B65" s="9">
        <f t="shared" si="4"/>
        <v>-15358.35629109414</v>
      </c>
      <c r="C65" s="9">
        <f t="shared" si="4"/>
        <v>19197.945363867675</v>
      </c>
      <c r="D65" s="35">
        <f t="shared" si="4"/>
        <v>51358.35629109414</v>
      </c>
      <c r="E65" s="36">
        <f t="shared" si="4"/>
        <v>-19197.945363867675</v>
      </c>
      <c r="F65" s="9">
        <f t="shared" si="4"/>
        <v>-36000</v>
      </c>
      <c r="G65" s="9">
        <f t="shared" si="4"/>
        <v>0</v>
      </c>
      <c r="H65" s="89" t="s">
        <v>180</v>
      </c>
    </row>
    <row r="66" spans="1:16" ht="19.95" customHeight="1" x14ac:dyDescent="0.3">
      <c r="B66" s="9">
        <f t="shared" si="4"/>
        <v>19197.945363867675</v>
      </c>
      <c r="C66" s="9">
        <f t="shared" si="4"/>
        <v>-23997.431704834595</v>
      </c>
      <c r="D66" s="36">
        <f t="shared" si="4"/>
        <v>-19197.945363867675</v>
      </c>
      <c r="E66" s="35">
        <f t="shared" si="4"/>
        <v>23997.431704834595</v>
      </c>
      <c r="F66" s="9">
        <f t="shared" si="4"/>
        <v>0</v>
      </c>
      <c r="G66" s="9">
        <f t="shared" si="4"/>
        <v>0</v>
      </c>
      <c r="H66" s="89" t="s">
        <v>181</v>
      </c>
    </row>
    <row r="67" spans="1:16" ht="19.95" customHeight="1" x14ac:dyDescent="0.3">
      <c r="B67" s="9">
        <f t="shared" si="4"/>
        <v>-11439.964444212063</v>
      </c>
      <c r="C67" s="9">
        <f t="shared" si="4"/>
        <v>-19066.607407020103</v>
      </c>
      <c r="D67" s="9">
        <f t="shared" si="4"/>
        <v>-36000</v>
      </c>
      <c r="E67" s="9">
        <f t="shared" si="4"/>
        <v>0</v>
      </c>
      <c r="F67" s="35">
        <f t="shared" si="4"/>
        <v>47439.964444212063</v>
      </c>
      <c r="G67" s="36">
        <f t="shared" si="4"/>
        <v>19066.607407020103</v>
      </c>
      <c r="H67" s="89" t="s">
        <v>182</v>
      </c>
    </row>
    <row r="68" spans="1:16" ht="19.95" customHeight="1" x14ac:dyDescent="0.3">
      <c r="B68" s="9">
        <f t="shared" si="4"/>
        <v>-19066.607407020103</v>
      </c>
      <c r="C68" s="9">
        <f t="shared" si="4"/>
        <v>-31777.679011700169</v>
      </c>
      <c r="D68" s="9">
        <f t="shared" si="4"/>
        <v>0</v>
      </c>
      <c r="E68" s="9">
        <f t="shared" si="4"/>
        <v>0</v>
      </c>
      <c r="F68" s="36">
        <f t="shared" si="4"/>
        <v>19066.607407020103</v>
      </c>
      <c r="G68" s="35">
        <f t="shared" si="4"/>
        <v>31777.679011700169</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f>IF(GRAFICA_01!F14=1, B72, GRAFICA_01!H14)</f>
        <v>4000</v>
      </c>
      <c r="K72" s="215" t="s">
        <v>376</v>
      </c>
      <c r="L72" s="172"/>
      <c r="M72" s="172"/>
      <c r="N72" s="172"/>
      <c r="O72" s="172"/>
      <c r="P72" s="173"/>
    </row>
    <row r="73" spans="1:16" ht="16.95" customHeight="1" x14ac:dyDescent="0.3">
      <c r="B73" s="12" t="s">
        <v>210</v>
      </c>
      <c r="C73" s="12" t="s">
        <v>179</v>
      </c>
      <c r="E73" s="37">
        <f>IF(GRAFICA_01!G14=1, B73, GRAFICA_01!I14)</f>
        <v>-5000</v>
      </c>
      <c r="K73" s="215" t="s">
        <v>211</v>
      </c>
      <c r="L73" s="172"/>
      <c r="M73" s="172"/>
      <c r="N73" s="172"/>
      <c r="O73" s="172"/>
      <c r="P73" s="173"/>
    </row>
    <row r="74" spans="1:16" ht="16.95" customHeight="1" x14ac:dyDescent="0.3">
      <c r="A74" s="38" t="s">
        <v>218</v>
      </c>
      <c r="B74" s="12" t="s">
        <v>212</v>
      </c>
      <c r="C74" s="12" t="s">
        <v>180</v>
      </c>
      <c r="D74" s="13" t="s">
        <v>220</v>
      </c>
      <c r="E74" s="37">
        <f>IF(GRAFICA_01!F15=1, B74, GRAFICA_01!H15)</f>
        <v>0</v>
      </c>
      <c r="K74" s="215" t="s">
        <v>377</v>
      </c>
      <c r="L74" s="172"/>
      <c r="M74" s="172"/>
      <c r="N74" s="172"/>
      <c r="O74" s="172"/>
      <c r="P74" s="173"/>
    </row>
    <row r="75" spans="1:16" ht="16.95" customHeight="1" x14ac:dyDescent="0.3">
      <c r="B75" s="12" t="s">
        <v>214</v>
      </c>
      <c r="C75" s="12" t="s">
        <v>181</v>
      </c>
      <c r="E75" s="37" t="str">
        <f>IF(GRAFICA_01!G15=1, B75, GRAFICA_01!I15)</f>
        <v>C2Y</v>
      </c>
      <c r="K75" s="215" t="s">
        <v>215</v>
      </c>
      <c r="L75" s="172"/>
      <c r="M75" s="172"/>
      <c r="N75" s="172"/>
      <c r="O75" s="172"/>
      <c r="P75" s="173"/>
    </row>
    <row r="76" spans="1:16" ht="16.95" customHeight="1" x14ac:dyDescent="0.3">
      <c r="B76" s="12" t="s">
        <v>216</v>
      </c>
      <c r="C76" s="12" t="s">
        <v>182</v>
      </c>
      <c r="E76" s="37" t="str">
        <f>IF(GRAFICA_01!F16=1, B76, GRAFICA_01!H16)</f>
        <v>C3X</v>
      </c>
      <c r="K76" s="215" t="s">
        <v>378</v>
      </c>
      <c r="L76" s="172"/>
      <c r="M76" s="172"/>
      <c r="N76" s="172"/>
      <c r="O76" s="172"/>
      <c r="P76" s="173"/>
    </row>
    <row r="77" spans="1:16" ht="16.95" customHeight="1" x14ac:dyDescent="0.3">
      <c r="B77" s="12" t="s">
        <v>219</v>
      </c>
      <c r="C77" s="12" t="s">
        <v>183</v>
      </c>
      <c r="E77" s="37" t="str">
        <f>IF(GRAFICA_01!G16=1, B77, GRAFICA_01!I16)</f>
        <v>C3Y</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t="str">
        <f>IF(GRAFICA_01!F14=1, 0, B80)</f>
        <v>D1X</v>
      </c>
      <c r="F80" s="14">
        <f>IF(E80&lt;&gt;0, COUNTIF(E$80:E80, "&lt;&gt;0"), "")</f>
        <v>1</v>
      </c>
      <c r="G80" s="14" t="str">
        <f>IF(E80=0, COUNTIF(E$80:E80, 0), "")</f>
        <v/>
      </c>
      <c r="K80" s="215"/>
      <c r="L80" s="172"/>
      <c r="M80" s="172"/>
      <c r="N80" s="172"/>
      <c r="O80" s="172"/>
      <c r="P80" s="173"/>
    </row>
    <row r="81" spans="1:16" ht="16.95" customHeight="1" x14ac:dyDescent="0.3">
      <c r="B81" s="12" t="s">
        <v>229</v>
      </c>
      <c r="C81" s="12" t="s">
        <v>179</v>
      </c>
      <c r="E81" s="39" t="str">
        <f>IF(GRAFICA_01!G14=1, 0, B81)</f>
        <v>D1Y</v>
      </c>
      <c r="F81" s="14">
        <f>IF(E81&lt;&gt;0, COUNTIF(E$80:E81, "&lt;&gt;0"), "")</f>
        <v>2</v>
      </c>
      <c r="G81" s="14" t="str">
        <f>IF(E81=0, COUNTIF(E$80:E81, 0), "")</f>
        <v/>
      </c>
      <c r="K81" s="215"/>
      <c r="L81" s="172"/>
      <c r="M81" s="172"/>
      <c r="N81" s="172"/>
      <c r="O81" s="172"/>
      <c r="P81" s="173"/>
    </row>
    <row r="82" spans="1:16" ht="16.95" customHeight="1" x14ac:dyDescent="0.3">
      <c r="A82" s="38" t="s">
        <v>233</v>
      </c>
      <c r="B82" s="12" t="s">
        <v>230</v>
      </c>
      <c r="C82" s="12" t="s">
        <v>180</v>
      </c>
      <c r="D82" s="13" t="s">
        <v>220</v>
      </c>
      <c r="E82" s="39" t="str">
        <f>IF(GRAFICA_01!F15=1, 0, B82)</f>
        <v>D2X</v>
      </c>
      <c r="F82" s="14">
        <f>IF(E82&lt;&gt;0, COUNTIF(E$80:E82, "&lt;&gt;0"), "")</f>
        <v>3</v>
      </c>
      <c r="G82" s="14" t="str">
        <f>IF(E82=0, COUNTIF(E$80:E82, 0), "")</f>
        <v/>
      </c>
      <c r="K82" s="215"/>
      <c r="L82" s="172"/>
      <c r="M82" s="172"/>
      <c r="N82" s="172"/>
      <c r="O82" s="172"/>
      <c r="P82" s="173"/>
    </row>
    <row r="83" spans="1:16" ht="16.95" customHeight="1" x14ac:dyDescent="0.3">
      <c r="B83" s="12" t="s">
        <v>231</v>
      </c>
      <c r="C83" s="12" t="s">
        <v>181</v>
      </c>
      <c r="E83" s="39">
        <f>IF(GRAFICA_01!G15=1, 0, B83)</f>
        <v>0</v>
      </c>
      <c r="F83" s="14" t="str">
        <f>IF(E83&lt;&gt;0, COUNTIF(E$80:E83, "&lt;&gt;0"), "")</f>
        <v/>
      </c>
      <c r="G83" s="14">
        <f>IF(E83=0, COUNTIF(E$80:E83, 0), "")</f>
        <v>1</v>
      </c>
      <c r="K83" s="215"/>
      <c r="L83" s="172"/>
      <c r="M83" s="172"/>
      <c r="N83" s="172"/>
      <c r="O83" s="172"/>
      <c r="P83" s="173"/>
    </row>
    <row r="84" spans="1:16" ht="16.95" customHeight="1" x14ac:dyDescent="0.3">
      <c r="B84" s="12" t="s">
        <v>232</v>
      </c>
      <c r="C84" s="12" t="s">
        <v>182</v>
      </c>
      <c r="E84" s="39">
        <f>IF(GRAFICA_01!F16=1, 0, B84)</f>
        <v>0</v>
      </c>
      <c r="F84" s="14" t="str">
        <f>IF(E84&lt;&gt;0, COUNTIF(E$80:E84, "&lt;&gt;0"), "")</f>
        <v/>
      </c>
      <c r="G84" s="14">
        <f>IF(E84=0, COUNTIF(E$80:E84, 0), "")</f>
        <v>2</v>
      </c>
      <c r="K84" s="215"/>
      <c r="L84" s="172"/>
      <c r="M84" s="172"/>
      <c r="N84" s="172"/>
      <c r="O84" s="172"/>
      <c r="P84" s="173"/>
    </row>
    <row r="85" spans="1:16" ht="16.95" customHeight="1" x14ac:dyDescent="0.3">
      <c r="B85" s="12" t="s">
        <v>234</v>
      </c>
      <c r="C85" s="12" t="s">
        <v>183</v>
      </c>
      <c r="E85" s="39">
        <f>IF(GRAFICA_01!G16=1, 0, B85)</f>
        <v>0</v>
      </c>
      <c r="F85" s="14" t="str">
        <f>IF(E85&lt;&gt;0, COUNTIF(E$80:E85, "&lt;&gt;0"), "")</f>
        <v/>
      </c>
      <c r="G85" s="14">
        <f>IF(E85=0, COUNTIF(E$80:E85, 0), "")</f>
        <v>3</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41">
        <f t="shared" ref="A90:A95" si="5">E72</f>
        <v>4000</v>
      </c>
      <c r="C90" s="41">
        <f t="shared" ref="C90:H95" si="6">B63</f>
        <v>26798.320735306203</v>
      </c>
      <c r="D90" s="41">
        <f t="shared" si="6"/>
        <v>-131.33795684757206</v>
      </c>
      <c r="E90" s="41">
        <f t="shared" si="6"/>
        <v>-15358.35629109414</v>
      </c>
      <c r="F90" s="9">
        <f t="shared" si="6"/>
        <v>19197.945363867675</v>
      </c>
      <c r="G90" s="9">
        <f t="shared" si="6"/>
        <v>-11439.964444212063</v>
      </c>
      <c r="H90" s="9">
        <f t="shared" si="6"/>
        <v>-19066.607407020103</v>
      </c>
      <c r="I90" s="13" t="s">
        <v>251</v>
      </c>
      <c r="J90" s="38" t="str">
        <f t="shared" ref="J90:J95" si="7">E80</f>
        <v>D1X</v>
      </c>
      <c r="K90" s="215" t="s">
        <v>380</v>
      </c>
      <c r="L90" s="172"/>
      <c r="M90" s="172"/>
      <c r="N90" s="172"/>
      <c r="O90" s="172"/>
      <c r="P90" s="173"/>
    </row>
    <row r="91" spans="1:16" ht="16.95" customHeight="1" x14ac:dyDescent="0.3">
      <c r="A91" s="41">
        <f t="shared" si="5"/>
        <v>-5000</v>
      </c>
      <c r="C91" s="41">
        <f t="shared" si="6"/>
        <v>-131.33795684757206</v>
      </c>
      <c r="D91" s="41">
        <f t="shared" si="6"/>
        <v>55775.110716534764</v>
      </c>
      <c r="E91" s="41">
        <f t="shared" si="6"/>
        <v>19197.945363867675</v>
      </c>
      <c r="F91" s="9">
        <f t="shared" si="6"/>
        <v>-23997.431704834595</v>
      </c>
      <c r="G91" s="9">
        <f t="shared" si="6"/>
        <v>-19066.607407020103</v>
      </c>
      <c r="H91" s="9">
        <f t="shared" si="6"/>
        <v>-31777.679011700169</v>
      </c>
      <c r="I91" s="13" t="s">
        <v>251</v>
      </c>
      <c r="J91" s="38" t="str">
        <f t="shared" si="7"/>
        <v>D1Y</v>
      </c>
      <c r="K91" s="215" t="s">
        <v>253</v>
      </c>
      <c r="L91" s="172"/>
      <c r="M91" s="172"/>
      <c r="N91" s="172"/>
      <c r="O91" s="172"/>
      <c r="P91" s="173"/>
    </row>
    <row r="92" spans="1:16" ht="16.95" customHeight="1" x14ac:dyDescent="0.3">
      <c r="A92" s="41">
        <f t="shared" si="5"/>
        <v>0</v>
      </c>
      <c r="C92" s="41">
        <f t="shared" si="6"/>
        <v>-15358.35629109414</v>
      </c>
      <c r="D92" s="41">
        <f t="shared" si="6"/>
        <v>19197.945363867675</v>
      </c>
      <c r="E92" s="41">
        <f t="shared" si="6"/>
        <v>51358.35629109414</v>
      </c>
      <c r="F92" s="9">
        <f t="shared" si="6"/>
        <v>-19197.945363867675</v>
      </c>
      <c r="G92" s="9">
        <f t="shared" si="6"/>
        <v>-36000</v>
      </c>
      <c r="H92" s="9">
        <f t="shared" si="6"/>
        <v>0</v>
      </c>
      <c r="I92" s="13" t="s">
        <v>251</v>
      </c>
      <c r="J92" s="38" t="str">
        <f t="shared" si="7"/>
        <v>D2X</v>
      </c>
      <c r="K92" s="215" t="s">
        <v>254</v>
      </c>
      <c r="L92" s="172"/>
      <c r="M92" s="172"/>
      <c r="N92" s="172"/>
      <c r="O92" s="172"/>
      <c r="P92" s="173"/>
    </row>
    <row r="93" spans="1:16" ht="16.95" customHeight="1" x14ac:dyDescent="0.3">
      <c r="A93" s="12" t="str">
        <f t="shared" si="5"/>
        <v>C2Y</v>
      </c>
      <c r="B93" s="13" t="s">
        <v>220</v>
      </c>
      <c r="C93" s="9">
        <f t="shared" si="6"/>
        <v>19197.945363867675</v>
      </c>
      <c r="D93" s="9">
        <f t="shared" si="6"/>
        <v>-23997.431704834595</v>
      </c>
      <c r="E93" s="9">
        <f t="shared" si="6"/>
        <v>-19197.945363867675</v>
      </c>
      <c r="F93" s="9">
        <f t="shared" si="6"/>
        <v>23997.431704834595</v>
      </c>
      <c r="G93" s="9">
        <f t="shared" si="6"/>
        <v>0</v>
      </c>
      <c r="H93" s="9">
        <f t="shared" si="6"/>
        <v>0</v>
      </c>
      <c r="I93" s="13" t="s">
        <v>251</v>
      </c>
      <c r="J93" s="16">
        <f t="shared" si="7"/>
        <v>0</v>
      </c>
      <c r="K93" s="215" t="s">
        <v>381</v>
      </c>
      <c r="L93" s="172"/>
      <c r="M93" s="172"/>
      <c r="N93" s="172"/>
      <c r="O93" s="172"/>
      <c r="P93" s="173"/>
    </row>
    <row r="94" spans="1:16" ht="16.95" customHeight="1" x14ac:dyDescent="0.3">
      <c r="A94" s="12" t="str">
        <f t="shared" si="5"/>
        <v>C3X</v>
      </c>
      <c r="C94" s="9">
        <f t="shared" si="6"/>
        <v>-11439.964444212063</v>
      </c>
      <c r="D94" s="9">
        <f t="shared" si="6"/>
        <v>-19066.607407020103</v>
      </c>
      <c r="E94" s="9">
        <f t="shared" si="6"/>
        <v>-36000</v>
      </c>
      <c r="F94" s="9">
        <f t="shared" si="6"/>
        <v>0</v>
      </c>
      <c r="G94" s="9">
        <f t="shared" si="6"/>
        <v>47439.964444212063</v>
      </c>
      <c r="H94" s="9">
        <f t="shared" si="6"/>
        <v>19066.607407020103</v>
      </c>
      <c r="I94" s="13" t="s">
        <v>251</v>
      </c>
      <c r="J94" s="16">
        <f t="shared" si="7"/>
        <v>0</v>
      </c>
      <c r="K94" s="215" t="s">
        <v>382</v>
      </c>
      <c r="L94" s="172"/>
      <c r="M94" s="172"/>
      <c r="N94" s="172"/>
      <c r="O94" s="172"/>
      <c r="P94" s="173"/>
    </row>
    <row r="95" spans="1:16" ht="16.95" customHeight="1" x14ac:dyDescent="0.3">
      <c r="A95" s="12" t="str">
        <f t="shared" si="5"/>
        <v>C3Y</v>
      </c>
      <c r="C95" s="9">
        <f t="shared" si="6"/>
        <v>-19066.607407020103</v>
      </c>
      <c r="D95" s="9">
        <f t="shared" si="6"/>
        <v>-31777.679011700169</v>
      </c>
      <c r="E95" s="9">
        <f t="shared" si="6"/>
        <v>0</v>
      </c>
      <c r="F95" s="9">
        <f t="shared" si="6"/>
        <v>0</v>
      </c>
      <c r="G95" s="9">
        <f t="shared" si="6"/>
        <v>19066.607407020103</v>
      </c>
      <c r="H95" s="9">
        <f t="shared" si="6"/>
        <v>31777.679011700169</v>
      </c>
      <c r="I95" s="13" t="s">
        <v>251</v>
      </c>
      <c r="J95" s="16">
        <f t="shared" si="7"/>
        <v>0</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U1X</v>
      </c>
      <c r="D99" s="38" t="str">
        <f>INDEX(C$80:C$85, MATCH(2, F$80:F$85, 0))</f>
        <v>U1Y</v>
      </c>
      <c r="E99" s="38" t="str">
        <f>INDEX(C$80:C$85, MATCH(3, F$80:F$85, 0))</f>
        <v>U2X</v>
      </c>
      <c r="K99" s="215" t="s">
        <v>383</v>
      </c>
      <c r="L99" s="172"/>
      <c r="M99" s="172"/>
      <c r="N99" s="172"/>
      <c r="O99" s="172"/>
      <c r="P99" s="173"/>
    </row>
    <row r="100" spans="1:16" ht="16.95" customHeight="1" x14ac:dyDescent="0.3">
      <c r="A100" s="41">
        <f>INDEX(E$72:E$77, MATCH(H100, C$72:C$77, 0))</f>
        <v>4000</v>
      </c>
      <c r="C100" s="41">
        <f t="shared" ref="C100:E102" si="8">INDEX($B$63:$G$68, MATCH($H100, $H$63:$H$68, 0), MATCH(C$99, $B$62:$G$62, 0))</f>
        <v>26798.320735306203</v>
      </c>
      <c r="D100" s="41">
        <f t="shared" si="8"/>
        <v>-131.33795684757206</v>
      </c>
      <c r="E100" s="41">
        <f t="shared" si="8"/>
        <v>-15358.35629109414</v>
      </c>
      <c r="F100" s="13" t="s">
        <v>251</v>
      </c>
      <c r="G100" s="38" t="str">
        <f>INDEX(B$80:B$85, MATCH(1, F$80:F$85, 0))</f>
        <v>D1X</v>
      </c>
      <c r="H100" s="14" t="str">
        <f>INDEX(C$80:C$85, MATCH(1, F$80:F$85, 0))</f>
        <v>U1X</v>
      </c>
      <c r="K100" s="215" t="s">
        <v>384</v>
      </c>
      <c r="L100" s="172"/>
      <c r="M100" s="172"/>
      <c r="N100" s="172"/>
      <c r="O100" s="172"/>
      <c r="P100" s="173"/>
    </row>
    <row r="101" spans="1:16" ht="16.95" customHeight="1" x14ac:dyDescent="0.3">
      <c r="A101" s="41">
        <f>INDEX(E$72:E$77, MATCH(H101, C$72:C$77, 0))</f>
        <v>-5000</v>
      </c>
      <c r="B101" s="13" t="s">
        <v>220</v>
      </c>
      <c r="C101" s="41">
        <f t="shared" si="8"/>
        <v>-131.33795684757206</v>
      </c>
      <c r="D101" s="41">
        <f t="shared" si="8"/>
        <v>55775.110716534764</v>
      </c>
      <c r="E101" s="41">
        <f t="shared" si="8"/>
        <v>19197.945363867675</v>
      </c>
      <c r="F101" s="13" t="s">
        <v>251</v>
      </c>
      <c r="G101" s="38" t="str">
        <f>INDEX(B$80:B$85, MATCH(2, F$80:F$85, 0))</f>
        <v>D1Y</v>
      </c>
      <c r="H101" s="14" t="str">
        <f>INDEX(C$80:C$85, MATCH(2, F$80:F$85, 0))</f>
        <v>U1Y</v>
      </c>
      <c r="K101" s="215" t="s">
        <v>385</v>
      </c>
      <c r="L101" s="172"/>
      <c r="M101" s="172"/>
      <c r="N101" s="172"/>
      <c r="O101" s="172"/>
      <c r="P101" s="173"/>
    </row>
    <row r="102" spans="1:16" ht="16.95" customHeight="1" x14ac:dyDescent="0.3">
      <c r="A102" s="41">
        <f>INDEX(E$72:E$77, MATCH(H102, C$72:C$77, 0))</f>
        <v>0</v>
      </c>
      <c r="C102" s="41">
        <f t="shared" si="8"/>
        <v>-15358.35629109414</v>
      </c>
      <c r="D102" s="41">
        <f t="shared" si="8"/>
        <v>19197.945363867675</v>
      </c>
      <c r="E102" s="41">
        <f t="shared" si="8"/>
        <v>51358.35629109414</v>
      </c>
      <c r="F102" s="13" t="s">
        <v>251</v>
      </c>
      <c r="G102" s="38" t="str">
        <f>INDEX(B$80:B$85, MATCH(3, F$80:F$85, 0))</f>
        <v>D2X</v>
      </c>
      <c r="H102" s="14" t="str">
        <f>INDEX(C$80:C$85, MATCH(3, F$80:F$85, 0))</f>
        <v>U2X</v>
      </c>
      <c r="K102" s="215" t="s">
        <v>386</v>
      </c>
      <c r="L102" s="172"/>
      <c r="M102" s="172"/>
      <c r="N102" s="172"/>
      <c r="O102" s="172"/>
      <c r="P102" s="173"/>
    </row>
    <row r="103" spans="1:16" ht="16.95" customHeight="1" x14ac:dyDescent="0.3">
      <c r="K103" s="215" t="s">
        <v>387</v>
      </c>
      <c r="L103" s="172"/>
      <c r="M103" s="172"/>
      <c r="N103" s="172"/>
      <c r="O103" s="172"/>
      <c r="P103" s="173"/>
    </row>
    <row r="104" spans="1:16" ht="16.95" customHeight="1" x14ac:dyDescent="0.3">
      <c r="C104" s="218" t="s">
        <v>263</v>
      </c>
      <c r="D104" s="172"/>
      <c r="E104" s="173"/>
      <c r="K104" s="215" t="s">
        <v>388</v>
      </c>
      <c r="L104" s="172"/>
      <c r="M104" s="172"/>
      <c r="N104" s="172"/>
      <c r="O104" s="172"/>
      <c r="P104" s="173"/>
    </row>
    <row r="105" spans="1:16" ht="16.95" customHeight="1" x14ac:dyDescent="0.3">
      <c r="A105" s="99" t="s">
        <v>249</v>
      </c>
      <c r="C105" s="193" t="s">
        <v>264</v>
      </c>
      <c r="D105" s="175"/>
      <c r="E105" s="175"/>
      <c r="G105" s="99" t="s">
        <v>247</v>
      </c>
      <c r="K105" s="215"/>
      <c r="L105" s="172"/>
      <c r="M105" s="172"/>
      <c r="N105" s="172"/>
      <c r="O105" s="172"/>
      <c r="P105" s="173"/>
    </row>
    <row r="106" spans="1:16" ht="16.95" customHeight="1" x14ac:dyDescent="0.3">
      <c r="A106" s="12" t="str">
        <f>G100</f>
        <v>D1X</v>
      </c>
      <c r="C106" s="93">
        <f t="array" ref="C106:E108">MINVERSE(C100:E102)</f>
        <v>4.6386496449585921E-5</v>
      </c>
      <c r="D106" s="93">
        <v>-5.3543055313456347E-6</v>
      </c>
      <c r="E106" s="93">
        <v>1.5873015873015872E-5</v>
      </c>
      <c r="G106" s="17">
        <f>A100</f>
        <v>4000</v>
      </c>
      <c r="K106" s="215"/>
      <c r="L106" s="172"/>
      <c r="M106" s="172"/>
      <c r="N106" s="172"/>
      <c r="O106" s="172"/>
      <c r="P106" s="173"/>
    </row>
    <row r="107" spans="1:16" ht="16.95" customHeight="1" x14ac:dyDescent="0.3">
      <c r="A107" s="12" t="str">
        <f>G101</f>
        <v>D1Y</v>
      </c>
      <c r="B107" s="13" t="s">
        <v>220</v>
      </c>
      <c r="C107" s="93">
        <v>-5.3543055313456356E-6</v>
      </c>
      <c r="D107" s="93">
        <v>2.1194657189532117E-5</v>
      </c>
      <c r="E107" s="93">
        <v>-9.5238095238095231E-6</v>
      </c>
      <c r="G107" s="17">
        <f>A101</f>
        <v>-5000</v>
      </c>
      <c r="K107" s="215"/>
      <c r="L107" s="172"/>
      <c r="M107" s="172"/>
      <c r="N107" s="172"/>
      <c r="O107" s="172"/>
      <c r="P107" s="173"/>
    </row>
    <row r="108" spans="1:16" ht="16.95" customHeight="1" x14ac:dyDescent="0.3">
      <c r="A108" s="12" t="str">
        <f>G102</f>
        <v>D2X</v>
      </c>
      <c r="C108" s="93">
        <v>1.5873015873015872E-5</v>
      </c>
      <c r="D108" s="93">
        <v>-9.5238095238095231E-6</v>
      </c>
      <c r="E108" s="93">
        <v>2.7777777777777779E-5</v>
      </c>
      <c r="G108" s="17">
        <f>A102</f>
        <v>0</v>
      </c>
      <c r="K108" s="215"/>
      <c r="L108" s="172"/>
      <c r="M108" s="172"/>
      <c r="N108" s="172"/>
      <c r="O108" s="172"/>
      <c r="P108" s="173"/>
    </row>
    <row r="109" spans="1:16" ht="16.95" customHeight="1" x14ac:dyDescent="0.3">
      <c r="K109" s="215"/>
      <c r="L109" s="172"/>
      <c r="M109" s="172"/>
      <c r="N109" s="172"/>
      <c r="O109" s="172"/>
      <c r="P109" s="173"/>
    </row>
    <row r="110" spans="1:16" ht="16.95" customHeight="1" x14ac:dyDescent="0.3">
      <c r="C110" s="218" t="s">
        <v>265</v>
      </c>
      <c r="D110" s="173"/>
      <c r="K110" s="215"/>
      <c r="L110" s="172"/>
      <c r="M110" s="172"/>
      <c r="N110" s="172"/>
      <c r="O110" s="172"/>
      <c r="P110" s="173"/>
    </row>
    <row r="111" spans="1:16" ht="16.95" customHeight="1" x14ac:dyDescent="0.3">
      <c r="A111" s="99" t="s">
        <v>249</v>
      </c>
      <c r="C111" s="99" t="s">
        <v>266</v>
      </c>
      <c r="K111" s="215"/>
      <c r="L111" s="172"/>
      <c r="M111" s="172"/>
      <c r="N111" s="172"/>
      <c r="O111" s="172"/>
      <c r="P111" s="173"/>
    </row>
    <row r="112" spans="1:16" ht="16.95" customHeight="1" x14ac:dyDescent="0.3">
      <c r="A112" s="12" t="str">
        <f>A106</f>
        <v>D1X</v>
      </c>
      <c r="C112" s="94">
        <f t="array" ref="C112:C114">MMULT(C106:E108, G106:G108)</f>
        <v>0.21231751345507188</v>
      </c>
      <c r="D112" s="12" t="s">
        <v>267</v>
      </c>
      <c r="K112" s="215"/>
      <c r="L112" s="172"/>
      <c r="M112" s="172"/>
      <c r="N112" s="172"/>
      <c r="O112" s="172"/>
      <c r="P112" s="173"/>
    </row>
    <row r="113" spans="1:16" ht="16.95" customHeight="1" x14ac:dyDescent="0.3">
      <c r="A113" s="12" t="str">
        <f>A107</f>
        <v>D1Y</v>
      </c>
      <c r="B113" s="13" t="s">
        <v>220</v>
      </c>
      <c r="C113" s="94">
        <v>-0.12739050807304314</v>
      </c>
      <c r="D113" s="12" t="s">
        <v>267</v>
      </c>
      <c r="K113" s="215"/>
      <c r="L113" s="172"/>
      <c r="M113" s="172"/>
      <c r="N113" s="172"/>
      <c r="O113" s="172"/>
      <c r="P113" s="173"/>
    </row>
    <row r="114" spans="1:16" ht="16.95" customHeight="1" x14ac:dyDescent="0.3">
      <c r="A114" s="12" t="str">
        <f>A108</f>
        <v>D2X</v>
      </c>
      <c r="C114" s="94">
        <v>0.1111111111111111</v>
      </c>
      <c r="D114" s="12" t="s">
        <v>267</v>
      </c>
      <c r="K114" s="215"/>
      <c r="L114" s="172"/>
      <c r="M114" s="172"/>
      <c r="N114" s="172"/>
      <c r="O114" s="172"/>
      <c r="P114" s="173"/>
    </row>
    <row r="117" spans="1:16" ht="19.95" customHeight="1" x14ac:dyDescent="0.35">
      <c r="A117" s="11" t="s">
        <v>268</v>
      </c>
      <c r="K117" s="216" t="s">
        <v>269</v>
      </c>
      <c r="L117" s="172"/>
      <c r="M117" s="172"/>
      <c r="N117" s="172"/>
      <c r="O117" s="172"/>
      <c r="P117" s="173"/>
    </row>
    <row r="118" spans="1:16" ht="16.95" customHeight="1" x14ac:dyDescent="0.3">
      <c r="A118" s="99" t="s">
        <v>247</v>
      </c>
      <c r="G118" s="99" t="s">
        <v>249</v>
      </c>
      <c r="K118" s="215" t="s">
        <v>389</v>
      </c>
      <c r="L118" s="172"/>
      <c r="M118" s="172"/>
      <c r="N118" s="172"/>
      <c r="O118" s="172"/>
      <c r="P118" s="173"/>
    </row>
    <row r="119" spans="1:16" ht="16.95" customHeight="1" x14ac:dyDescent="0.3">
      <c r="A119" s="18" t="str">
        <f>INDEX(B$72:B$77, MATCH(H119, C$72:C$77, 0))</f>
        <v>C2Y</v>
      </c>
      <c r="C119" s="9">
        <f t="shared" ref="C119:E121" si="9">INDEX($B$63:$G$68, MATCH($H119, $H$63:$H$68, 0), MATCH(C$99, $B$62:$G$62, 0))</f>
        <v>19197.945363867675</v>
      </c>
      <c r="D119" s="9">
        <f t="shared" si="9"/>
        <v>-23997.431704834595</v>
      </c>
      <c r="E119" s="9">
        <f t="shared" si="9"/>
        <v>-19197.945363867675</v>
      </c>
      <c r="G119" s="95">
        <f>C112</f>
        <v>0.21231751345507188</v>
      </c>
      <c r="H119" s="14" t="str">
        <f>INDEX(C$80:C$85, MATCH(1, G$80:G$85, 0))</f>
        <v>U2Y</v>
      </c>
      <c r="K119" s="215" t="s">
        <v>390</v>
      </c>
      <c r="L119" s="172"/>
      <c r="M119" s="172"/>
      <c r="N119" s="172"/>
      <c r="O119" s="172"/>
      <c r="P119" s="173"/>
    </row>
    <row r="120" spans="1:16" ht="16.95" customHeight="1" x14ac:dyDescent="0.3">
      <c r="A120" s="18" t="str">
        <f>INDEX(B$72:B$77, MATCH(H120, C$72:C$77, 0))</f>
        <v>C3X</v>
      </c>
      <c r="B120" s="13" t="s">
        <v>220</v>
      </c>
      <c r="C120" s="9">
        <f t="shared" si="9"/>
        <v>-11439.964444212063</v>
      </c>
      <c r="D120" s="9">
        <f t="shared" si="9"/>
        <v>-19066.607407020103</v>
      </c>
      <c r="E120" s="9">
        <f t="shared" si="9"/>
        <v>-36000</v>
      </c>
      <c r="G120" s="95">
        <f>C113</f>
        <v>-0.12739050807304314</v>
      </c>
      <c r="H120" s="14" t="str">
        <f>INDEX(C$80:C$85, MATCH(2, G$80:G$85, 0))</f>
        <v>U3X</v>
      </c>
      <c r="K120" s="215" t="s">
        <v>391</v>
      </c>
      <c r="L120" s="172"/>
      <c r="M120" s="172"/>
      <c r="N120" s="172"/>
      <c r="O120" s="172"/>
      <c r="P120" s="173"/>
    </row>
    <row r="121" spans="1:16" ht="16.95" customHeight="1" x14ac:dyDescent="0.3">
      <c r="A121" s="18" t="str">
        <f>INDEX(B$72:B$77, MATCH(H121, C$72:C$77, 0))</f>
        <v>C3Y</v>
      </c>
      <c r="C121" s="9">
        <f t="shared" si="9"/>
        <v>-19066.607407020103</v>
      </c>
      <c r="D121" s="9">
        <f t="shared" si="9"/>
        <v>-31777.679011700169</v>
      </c>
      <c r="E121" s="9">
        <f t="shared" si="9"/>
        <v>0</v>
      </c>
      <c r="G121" s="95">
        <f>C114</f>
        <v>0.1111111111111111</v>
      </c>
      <c r="H121" s="14" t="str">
        <f>INDEX(C$80:C$85, MATCH(3, G$80:G$85, 0))</f>
        <v>U3Y</v>
      </c>
      <c r="K121" s="215" t="s">
        <v>392</v>
      </c>
      <c r="L121" s="172"/>
      <c r="M121" s="172"/>
      <c r="N121" s="172"/>
      <c r="O121" s="172"/>
      <c r="P121" s="173"/>
    </row>
    <row r="122" spans="1:16" ht="16.95" customHeight="1" x14ac:dyDescent="0.3">
      <c r="K122" s="215" t="s">
        <v>393</v>
      </c>
      <c r="L122" s="172"/>
      <c r="M122" s="172"/>
      <c r="N122" s="172"/>
      <c r="O122" s="172"/>
      <c r="P122" s="173"/>
    </row>
    <row r="123" spans="1:16" ht="16.95" customHeight="1" x14ac:dyDescent="0.3">
      <c r="A123" s="12" t="str">
        <f>A119</f>
        <v>C2Y</v>
      </c>
      <c r="C123" s="17">
        <f t="array" ref="C123:C125">MMULT(C119:E121, G119:G121)</f>
        <v>5000.0000000000018</v>
      </c>
      <c r="D123" s="12" t="s">
        <v>273</v>
      </c>
      <c r="K123" s="215" t="s">
        <v>394</v>
      </c>
      <c r="L123" s="172"/>
      <c r="M123" s="172"/>
      <c r="N123" s="172"/>
      <c r="O123" s="172"/>
      <c r="P123" s="173"/>
    </row>
    <row r="124" spans="1:16" ht="16.95" customHeight="1" x14ac:dyDescent="0.3">
      <c r="A124" s="12" t="str">
        <f>A120</f>
        <v>C3X</v>
      </c>
      <c r="B124" s="13" t="s">
        <v>220</v>
      </c>
      <c r="C124" s="17">
        <v>-3999.9999999999995</v>
      </c>
      <c r="D124" s="12" t="s">
        <v>273</v>
      </c>
      <c r="K124" s="215"/>
      <c r="L124" s="172"/>
      <c r="M124" s="172"/>
      <c r="N124" s="172"/>
      <c r="O124" s="172"/>
      <c r="P124" s="173"/>
    </row>
    <row r="125" spans="1:16" ht="16.95" customHeight="1" x14ac:dyDescent="0.3">
      <c r="A125" s="12" t="str">
        <f>A121</f>
        <v>C3Y</v>
      </c>
      <c r="C125" s="17">
        <v>0</v>
      </c>
      <c r="D125" s="12" t="s">
        <v>273</v>
      </c>
      <c r="K125" s="215"/>
      <c r="L125" s="172"/>
      <c r="M125" s="172"/>
      <c r="N125" s="172"/>
      <c r="O125" s="172"/>
      <c r="P125" s="173"/>
    </row>
    <row r="128" spans="1:16" ht="19.95" customHeight="1" x14ac:dyDescent="0.35">
      <c r="A128" s="11" t="s">
        <v>274</v>
      </c>
    </row>
    <row r="130" spans="1:16" ht="19.05" customHeight="1" x14ac:dyDescent="0.3">
      <c r="A130" s="12" t="s">
        <v>228</v>
      </c>
      <c r="B130" s="12" t="s">
        <v>178</v>
      </c>
      <c r="D130" s="94">
        <f t="shared" ref="D130:D135" si="10">IFERROR(INDEX(C$112:C$114, MATCH(A130, A$112:A$114, 0)), 0)</f>
        <v>0.21231751345507188</v>
      </c>
    </row>
    <row r="131" spans="1:16" ht="19.05" customHeight="1" x14ac:dyDescent="0.3">
      <c r="A131" s="12" t="s">
        <v>229</v>
      </c>
      <c r="B131" s="12" t="s">
        <v>179</v>
      </c>
      <c r="D131" s="94">
        <f t="shared" si="10"/>
        <v>-0.12739050807304314</v>
      </c>
    </row>
    <row r="132" spans="1:16" ht="19.05" customHeight="1" x14ac:dyDescent="0.3">
      <c r="A132" s="12" t="s">
        <v>230</v>
      </c>
      <c r="B132" s="12" t="s">
        <v>180</v>
      </c>
      <c r="D132" s="94">
        <f t="shared" si="10"/>
        <v>0.1111111111111111</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216" t="s">
        <v>276</v>
      </c>
      <c r="L138" s="172"/>
      <c r="M138" s="172"/>
      <c r="N138" s="172"/>
      <c r="O138" s="172"/>
      <c r="P138" s="173"/>
    </row>
    <row r="139" spans="1:16" ht="16.95" customHeight="1" x14ac:dyDescent="0.3">
      <c r="K139" s="215" t="s">
        <v>395</v>
      </c>
      <c r="L139" s="172"/>
      <c r="M139" s="172"/>
      <c r="N139" s="172"/>
      <c r="O139" s="172"/>
      <c r="P139" s="173"/>
    </row>
    <row r="140" spans="1:16" ht="16.95" customHeight="1" x14ac:dyDescent="0.3">
      <c r="A140" s="19" t="s">
        <v>278</v>
      </c>
      <c r="C140" s="19" t="s">
        <v>279</v>
      </c>
      <c r="D140" s="19" t="s">
        <v>280</v>
      </c>
      <c r="E140" s="19" t="s">
        <v>279</v>
      </c>
      <c r="F140" s="19" t="s">
        <v>280</v>
      </c>
      <c r="G140" s="19" t="s">
        <v>249</v>
      </c>
      <c r="K140" s="215" t="s">
        <v>396</v>
      </c>
      <c r="L140" s="172"/>
      <c r="M140" s="172"/>
      <c r="N140" s="172"/>
      <c r="O140" s="172"/>
      <c r="P140" s="173"/>
    </row>
    <row r="141" spans="1:16" ht="16.95" customHeight="1" x14ac:dyDescent="0.3">
      <c r="C141" s="19" t="s">
        <v>282</v>
      </c>
      <c r="D141" s="19" t="s">
        <v>282</v>
      </c>
      <c r="E141" s="19" t="s">
        <v>283</v>
      </c>
      <c r="F141" s="19" t="s">
        <v>283</v>
      </c>
      <c r="K141" s="215" t="s">
        <v>397</v>
      </c>
      <c r="L141" s="172"/>
      <c r="M141" s="172"/>
      <c r="N141" s="172"/>
      <c r="O141" s="172"/>
      <c r="P141" s="173"/>
    </row>
    <row r="142" spans="1:16" ht="16.95" customHeight="1" x14ac:dyDescent="0.3">
      <c r="A142" s="17">
        <f>N6</f>
        <v>39355.787995928731</v>
      </c>
      <c r="C142" s="92">
        <f>-J6</f>
        <v>-0.62469504755442429</v>
      </c>
      <c r="D142" s="92">
        <f>-K6</f>
        <v>0.78086880944303039</v>
      </c>
      <c r="E142" s="92">
        <f>J6</f>
        <v>0.62469504755442429</v>
      </c>
      <c r="F142" s="92">
        <f>K6</f>
        <v>-0.78086880944303039</v>
      </c>
      <c r="G142" s="96">
        <f>IFERROR(VLOOKUP(H142, A$130:D$135, 4, FALSE), 0)</f>
        <v>0.21231751345507188</v>
      </c>
      <c r="H142" s="12" t="str">
        <f>"D" &amp; C12 &amp; "X"</f>
        <v>D1X</v>
      </c>
      <c r="K142" s="215" t="s">
        <v>398</v>
      </c>
      <c r="L142" s="172"/>
      <c r="M142" s="172"/>
      <c r="N142" s="172"/>
      <c r="O142" s="172"/>
      <c r="P142" s="173"/>
    </row>
    <row r="143" spans="1:16" ht="16.95" customHeight="1" x14ac:dyDescent="0.3">
      <c r="A143" s="99" t="s">
        <v>285</v>
      </c>
      <c r="B143" s="97">
        <f>(MMULT(C142:F142, G142:G145)*A142)</f>
        <v>-6403.1242374328504</v>
      </c>
      <c r="G143" s="96">
        <f>IFERROR(VLOOKUP(H143, A$130:D$135, 4, FALSE), 0)</f>
        <v>-0.12739050807304314</v>
      </c>
      <c r="H143" s="12" t="str">
        <f>"D" &amp; D12 &amp; "Y"</f>
        <v>D1Y</v>
      </c>
      <c r="K143" s="215" t="s">
        <v>399</v>
      </c>
      <c r="L143" s="172"/>
      <c r="M143" s="172"/>
      <c r="N143" s="172"/>
      <c r="O143" s="172"/>
      <c r="P143" s="173"/>
    </row>
    <row r="144" spans="1:16" ht="16.95" customHeight="1" x14ac:dyDescent="0.3">
      <c r="G144" s="96">
        <f>IFERROR(VLOOKUP(H144, A$130:D$135, 4, FALSE), 0)</f>
        <v>0.1111111111111111</v>
      </c>
      <c r="H144" s="12" t="str">
        <f>"D" &amp; E12 &amp; "X"</f>
        <v>D2X</v>
      </c>
      <c r="K144" s="215" t="s">
        <v>400</v>
      </c>
      <c r="L144" s="172"/>
      <c r="M144" s="172"/>
      <c r="N144" s="172"/>
      <c r="O144" s="172"/>
      <c r="P144" s="173"/>
    </row>
    <row r="145" spans="1:16" ht="16.95" customHeight="1" x14ac:dyDescent="0.3">
      <c r="G145" s="96">
        <f>IFERROR(VLOOKUP(H145, A$130:D$135, 4, FALSE), 0)</f>
        <v>0</v>
      </c>
      <c r="H145" s="12" t="str">
        <f>"D" &amp; F12 &amp; "Y"</f>
        <v>D2Y</v>
      </c>
      <c r="K145" s="215" t="s">
        <v>401</v>
      </c>
      <c r="L145" s="172"/>
      <c r="M145" s="172"/>
      <c r="N145" s="172"/>
      <c r="O145" s="172"/>
      <c r="P145" s="173"/>
    </row>
    <row r="146" spans="1:16" ht="16.95" customHeight="1" x14ac:dyDescent="0.3">
      <c r="B146" s="99" t="s">
        <v>273</v>
      </c>
      <c r="C146" s="178" t="str">
        <f>IF(B143&gt;0.001,"BARRA A TRACCIÓN (+)",IF(B143&lt;-0.001,"BARRA A COMPRESIÓN (-)","BARRA DE FUERZA NULA"))</f>
        <v>BARRA A COMPRESIÓN (-)</v>
      </c>
      <c r="D146" s="172"/>
      <c r="E146" s="172"/>
      <c r="F146" s="173"/>
      <c r="K146" s="215" t="s">
        <v>402</v>
      </c>
      <c r="L146" s="172"/>
      <c r="M146" s="172"/>
      <c r="N146" s="172"/>
      <c r="O146" s="172"/>
      <c r="P146" s="173"/>
    </row>
    <row r="147" spans="1:16" ht="16.95" customHeight="1" x14ac:dyDescent="0.3">
      <c r="K147" s="215" t="s">
        <v>403</v>
      </c>
      <c r="L147" s="172"/>
      <c r="M147" s="172"/>
      <c r="N147" s="172"/>
      <c r="O147" s="172"/>
      <c r="P147" s="173"/>
    </row>
    <row r="148" spans="1:16" ht="16.95" customHeight="1" x14ac:dyDescent="0.3">
      <c r="A148" s="19" t="s">
        <v>278</v>
      </c>
      <c r="C148" s="19" t="s">
        <v>279</v>
      </c>
      <c r="D148" s="19" t="s">
        <v>280</v>
      </c>
      <c r="E148" s="19" t="s">
        <v>279</v>
      </c>
      <c r="F148" s="19" t="s">
        <v>280</v>
      </c>
      <c r="G148" s="19" t="s">
        <v>249</v>
      </c>
      <c r="K148" s="215"/>
      <c r="L148" s="172"/>
      <c r="M148" s="172"/>
      <c r="N148" s="172"/>
      <c r="O148" s="172"/>
      <c r="P148" s="173"/>
    </row>
    <row r="149" spans="1:16" ht="16.95" customHeight="1" x14ac:dyDescent="0.3">
      <c r="C149" s="19" t="s">
        <v>282</v>
      </c>
      <c r="D149" s="19" t="s">
        <v>282</v>
      </c>
      <c r="E149" s="19" t="s">
        <v>283</v>
      </c>
      <c r="F149" s="19" t="s">
        <v>283</v>
      </c>
      <c r="K149" s="215"/>
      <c r="L149" s="172"/>
      <c r="M149" s="172"/>
      <c r="N149" s="172"/>
      <c r="O149" s="172"/>
      <c r="P149" s="173"/>
    </row>
    <row r="150" spans="1:16" ht="16.95" customHeight="1" x14ac:dyDescent="0.3">
      <c r="A150" s="17">
        <f>N7</f>
        <v>36000</v>
      </c>
      <c r="C150" s="92">
        <f>-J7</f>
        <v>1</v>
      </c>
      <c r="D150" s="92">
        <f>-K7</f>
        <v>0</v>
      </c>
      <c r="E150" s="92">
        <f>J7</f>
        <v>-1</v>
      </c>
      <c r="F150" s="92">
        <f>K7</f>
        <v>0</v>
      </c>
      <c r="G150" s="96">
        <f>IFERROR(VLOOKUP(H150, A$130:D$135, 4, FALSE), 0)</f>
        <v>0.1111111111111111</v>
      </c>
      <c r="H150" s="12" t="str">
        <f>"D" &amp; C13 &amp; "X"</f>
        <v>D2X</v>
      </c>
      <c r="K150" s="215"/>
      <c r="L150" s="172"/>
      <c r="M150" s="172"/>
      <c r="N150" s="172"/>
      <c r="O150" s="172"/>
      <c r="P150" s="173"/>
    </row>
    <row r="151" spans="1:16" ht="16.95" customHeight="1" x14ac:dyDescent="0.3">
      <c r="A151" s="99" t="s">
        <v>286</v>
      </c>
      <c r="B151" s="97">
        <f>(MMULT(C150:F150, G150:G153)*A150)</f>
        <v>4000</v>
      </c>
      <c r="G151" s="96">
        <f>IFERROR(VLOOKUP(H151, A$130:D$135, 4, FALSE), 0)</f>
        <v>0</v>
      </c>
      <c r="H151" s="12" t="str">
        <f>"D" &amp; D13 &amp; "Y"</f>
        <v>D2Y</v>
      </c>
      <c r="K151" s="215"/>
      <c r="L151" s="172"/>
      <c r="M151" s="172"/>
      <c r="N151" s="172"/>
      <c r="O151" s="172"/>
      <c r="P151" s="173"/>
    </row>
    <row r="152" spans="1:16" ht="16.95" customHeight="1" x14ac:dyDescent="0.3">
      <c r="G152" s="96">
        <f>IFERROR(VLOOKUP(H152, A$130:D$135, 4, FALSE), 0)</f>
        <v>0</v>
      </c>
      <c r="H152" s="12" t="str">
        <f>"D" &amp; E13 &amp; "X"</f>
        <v>D3X</v>
      </c>
      <c r="K152" s="215"/>
      <c r="L152" s="172"/>
      <c r="M152" s="172"/>
      <c r="N152" s="172"/>
      <c r="O152" s="172"/>
      <c r="P152" s="173"/>
    </row>
    <row r="153" spans="1:16" ht="16.95" customHeight="1" x14ac:dyDescent="0.3">
      <c r="G153" s="96">
        <f>IFERROR(VLOOKUP(H153, A$130:D$135, 4, FALSE), 0)</f>
        <v>0</v>
      </c>
      <c r="H153" s="12" t="str">
        <f>"D" &amp; F13 &amp; "Y"</f>
        <v>D3Y</v>
      </c>
      <c r="K153" s="215"/>
      <c r="L153" s="172"/>
      <c r="M153" s="172"/>
      <c r="N153" s="172"/>
      <c r="O153" s="172"/>
      <c r="P153" s="173"/>
    </row>
    <row r="154" spans="1:16" ht="16.95" customHeight="1" x14ac:dyDescent="0.3">
      <c r="B154" s="99" t="s">
        <v>273</v>
      </c>
      <c r="C154" s="178" t="str">
        <f>IF(B151&gt;0.001,"BARRA A TRACCIÓN (+)",IF(B151&lt;-0.001,"BARRA A COMPRESIÓN (-)","BARRA DE FUERZA NULA"))</f>
        <v>BARRA A TRACCIÓN (+)</v>
      </c>
      <c r="D154" s="172"/>
      <c r="E154" s="172"/>
      <c r="F154" s="173"/>
      <c r="K154" s="215"/>
      <c r="L154" s="172"/>
      <c r="M154" s="172"/>
      <c r="N154" s="172"/>
      <c r="O154" s="172"/>
      <c r="P154" s="173"/>
    </row>
    <row r="155" spans="1:16" ht="16.95" customHeight="1" x14ac:dyDescent="0.3">
      <c r="K155" s="215"/>
      <c r="L155" s="172"/>
      <c r="M155" s="172"/>
      <c r="N155" s="172"/>
      <c r="O155" s="172"/>
      <c r="P155" s="173"/>
    </row>
    <row r="156" spans="1:16" ht="16.95" customHeight="1" x14ac:dyDescent="0.3">
      <c r="A156" s="19" t="s">
        <v>278</v>
      </c>
      <c r="C156" s="19" t="s">
        <v>279</v>
      </c>
      <c r="D156" s="19" t="s">
        <v>280</v>
      </c>
      <c r="E156" s="19" t="s">
        <v>279</v>
      </c>
      <c r="F156" s="19" t="s">
        <v>280</v>
      </c>
      <c r="G156" s="19" t="s">
        <v>249</v>
      </c>
      <c r="K156" s="215"/>
      <c r="L156" s="172"/>
      <c r="M156" s="172"/>
      <c r="N156" s="172"/>
      <c r="O156" s="172"/>
      <c r="P156" s="173"/>
    </row>
    <row r="157" spans="1:16" ht="16.95" customHeight="1" x14ac:dyDescent="0.3">
      <c r="C157" s="19" t="s">
        <v>282</v>
      </c>
      <c r="D157" s="19" t="s">
        <v>282</v>
      </c>
      <c r="E157" s="19" t="s">
        <v>283</v>
      </c>
      <c r="F157" s="19" t="s">
        <v>283</v>
      </c>
      <c r="K157" s="215"/>
      <c r="L157" s="172"/>
      <c r="M157" s="172"/>
      <c r="N157" s="172"/>
      <c r="O157" s="172"/>
      <c r="P157" s="173"/>
    </row>
    <row r="158" spans="1:16" ht="16.95" customHeight="1" x14ac:dyDescent="0.3">
      <c r="A158" s="17">
        <f>N8</f>
        <v>43217.643455912228</v>
      </c>
      <c r="C158" s="92">
        <f>-J8</f>
        <v>-0.51449575542752657</v>
      </c>
      <c r="D158" s="92">
        <f>-K8</f>
        <v>-0.85749292571254421</v>
      </c>
      <c r="E158" s="92">
        <f>J8</f>
        <v>0.51449575542752657</v>
      </c>
      <c r="F158" s="92">
        <f>K8</f>
        <v>0.85749292571254421</v>
      </c>
      <c r="G158" s="96">
        <f>IFERROR(VLOOKUP(H158, A$130:D$135, 4, FALSE), 0)</f>
        <v>0</v>
      </c>
      <c r="H158" s="12" t="str">
        <f>"D" &amp; C14 &amp; "X"</f>
        <v>D3X</v>
      </c>
      <c r="K158" s="215"/>
      <c r="L158" s="172"/>
      <c r="M158" s="172"/>
      <c r="N158" s="172"/>
      <c r="O158" s="172"/>
      <c r="P158" s="173"/>
    </row>
    <row r="159" spans="1:16" ht="16.95" customHeight="1" x14ac:dyDescent="0.3">
      <c r="A159" s="99" t="s">
        <v>287</v>
      </c>
      <c r="B159" s="97">
        <f>(MMULT(C158:F158, G158:G161)*A158)</f>
        <v>0</v>
      </c>
      <c r="G159" s="96">
        <f>IFERROR(VLOOKUP(H159, A$130:D$135, 4, FALSE), 0)</f>
        <v>0</v>
      </c>
      <c r="H159" s="12" t="str">
        <f>"D" &amp; D14 &amp; "Y"</f>
        <v>D3Y</v>
      </c>
      <c r="K159" s="215"/>
      <c r="L159" s="172"/>
      <c r="M159" s="172"/>
      <c r="N159" s="172"/>
      <c r="O159" s="172"/>
      <c r="P159" s="173"/>
    </row>
    <row r="160" spans="1:16" ht="16.95" customHeight="1" x14ac:dyDescent="0.3">
      <c r="G160" s="96">
        <f>IFERROR(VLOOKUP(H160, A$130:D$135, 4, FALSE), 0)</f>
        <v>0.21231751345507188</v>
      </c>
      <c r="H160" s="12" t="str">
        <f>"D" &amp; E14 &amp; "X"</f>
        <v>D1X</v>
      </c>
      <c r="K160" s="215"/>
      <c r="L160" s="172"/>
      <c r="M160" s="172"/>
      <c r="N160" s="172"/>
      <c r="O160" s="172"/>
      <c r="P160" s="173"/>
    </row>
    <row r="161" spans="2:16" ht="16.95" customHeight="1" x14ac:dyDescent="0.3">
      <c r="G161" s="96">
        <f>IFERROR(VLOOKUP(H161, A$130:D$135, 4, FALSE), 0)</f>
        <v>-0.12739050807304314</v>
      </c>
      <c r="H161" s="12" t="str">
        <f>"D" &amp; F14 &amp; "Y"</f>
        <v>D1Y</v>
      </c>
      <c r="K161" s="215"/>
      <c r="L161" s="172"/>
      <c r="M161" s="172"/>
      <c r="N161" s="172"/>
      <c r="O161" s="172"/>
      <c r="P161" s="173"/>
    </row>
    <row r="162" spans="2:16" ht="16.95" customHeight="1" x14ac:dyDescent="0.3">
      <c r="B162" s="99" t="s">
        <v>273</v>
      </c>
      <c r="C162" s="178" t="str">
        <f>IF(B159&gt;0.001,"BARRA A TRACCIÓN (+)",IF(B159&lt;-0.001,"BARRA A COMPRESIÓN (-)","BARRA DE FUERZA NULA"))</f>
        <v>BARRA DE FUERZA NULA</v>
      </c>
      <c r="D162" s="172"/>
      <c r="E162" s="172"/>
      <c r="F162" s="173"/>
      <c r="K162" s="215"/>
      <c r="L162" s="172"/>
      <c r="M162" s="172"/>
      <c r="N162" s="172"/>
      <c r="O162" s="172"/>
      <c r="P162" s="173"/>
    </row>
    <row r="163" spans="2:16" ht="16.95" customHeight="1" x14ac:dyDescent="0.3">
      <c r="K163" s="215"/>
      <c r="L163" s="172"/>
      <c r="M163" s="172"/>
      <c r="N163" s="172"/>
      <c r="O163" s="172"/>
      <c r="P163" s="173"/>
    </row>
    <row r="165" spans="2:16" ht="22.05" customHeight="1" x14ac:dyDescent="0.3">
      <c r="B165" s="217" t="s">
        <v>404</v>
      </c>
      <c r="C165" s="175"/>
      <c r="D165" s="175"/>
      <c r="E165" s="175"/>
      <c r="F165" s="175"/>
      <c r="G165" s="175"/>
      <c r="H165" s="17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640.31242374328485</v>
      </c>
      <c r="F167" s="9">
        <f>L6</f>
        <v>12</v>
      </c>
      <c r="G167" s="97">
        <f>B143</f>
        <v>-6403.1242374328504</v>
      </c>
      <c r="H167" s="84" t="str">
        <f>C146</f>
        <v>BARRA A COMPRESIÓN (-)</v>
      </c>
    </row>
    <row r="168" spans="2:16" ht="19.95" customHeight="1" x14ac:dyDescent="0.3">
      <c r="B168" s="25">
        <v>2</v>
      </c>
      <c r="C168" s="86">
        <f>C13</f>
        <v>2</v>
      </c>
      <c r="D168" s="86">
        <f>E13</f>
        <v>3</v>
      </c>
      <c r="E168" s="9">
        <f>I7</f>
        <v>700</v>
      </c>
      <c r="F168" s="9">
        <f>L7</f>
        <v>12</v>
      </c>
      <c r="G168" s="97">
        <f>B151</f>
        <v>4000</v>
      </c>
      <c r="H168" s="84" t="str">
        <f>C154</f>
        <v>BARRA A TRACCIÓN (+)</v>
      </c>
    </row>
    <row r="169" spans="2:16" ht="19.95" customHeight="1" x14ac:dyDescent="0.3">
      <c r="B169" s="26">
        <v>3</v>
      </c>
      <c r="C169" s="86">
        <f>C14</f>
        <v>3</v>
      </c>
      <c r="D169" s="86">
        <f>E14</f>
        <v>1</v>
      </c>
      <c r="E169" s="9">
        <f>I8</f>
        <v>583.09518948453001</v>
      </c>
      <c r="F169" s="9">
        <f>L8</f>
        <v>12</v>
      </c>
      <c r="G169" s="97">
        <f>B159</f>
        <v>0</v>
      </c>
      <c r="H169" s="84" t="str">
        <f>C162</f>
        <v>BARRA DE FUERZA NULA</v>
      </c>
    </row>
  </sheetData>
  <mergeCells count="102">
    <mergeCell ref="C162:F162"/>
    <mergeCell ref="K78:P78"/>
    <mergeCell ref="K85:P85"/>
    <mergeCell ref="K100:P100"/>
    <mergeCell ref="K94:P94"/>
    <mergeCell ref="K75:P7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K105:P105"/>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48"/>
  <sheetViews>
    <sheetView zoomScale="48"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405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300</v>
      </c>
      <c r="AB5" s="20">
        <f>IF(F28="","",F28)</f>
        <v>500</v>
      </c>
      <c r="AC5" t="s">
        <v>313</v>
      </c>
    </row>
    <row r="6" spans="2:29" ht="24" customHeight="1" x14ac:dyDescent="0.3">
      <c r="B6" s="206">
        <f>COUNT(C14:C23)</f>
        <v>3</v>
      </c>
      <c r="C6" s="173"/>
      <c r="D6" s="206">
        <f>COUNT(C28:C42)</f>
        <v>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700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700</v>
      </c>
      <c r="AB8" s="20">
        <f>IF(F29="","",F29)</f>
        <v>0</v>
      </c>
      <c r="AC8" t="s">
        <v>316</v>
      </c>
    </row>
    <row r="9" spans="2:29" x14ac:dyDescent="0.3">
      <c r="AA9" s="20">
        <f>IF(G29="","",G29)</f>
        <v>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300</v>
      </c>
      <c r="AB12" s="20">
        <f>IF(H30="","",H30)</f>
        <v>500</v>
      </c>
      <c r="AC12" t="s">
        <v>325</v>
      </c>
    </row>
    <row r="14" spans="2:29" ht="19.05" customHeight="1" x14ac:dyDescent="0.3">
      <c r="B14" s="89">
        <v>1</v>
      </c>
      <c r="C14" s="21">
        <v>300</v>
      </c>
      <c r="D14" s="21">
        <v>500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406</v>
      </c>
      <c r="K14" s="172"/>
      <c r="L14" s="172"/>
      <c r="M14" s="172"/>
      <c r="N14" s="172"/>
      <c r="O14" s="173"/>
      <c r="AA14" s="20" t="str">
        <f>IF(E31="","",E31)</f>
        <v/>
      </c>
      <c r="AB14" s="20" t="str">
        <f>IF(F31="","",F31)</f>
        <v/>
      </c>
      <c r="AC14" t="s">
        <v>328</v>
      </c>
    </row>
    <row r="15" spans="2:29" ht="19.05" customHeight="1" x14ac:dyDescent="0.3">
      <c r="B15" s="89">
        <v>2</v>
      </c>
      <c r="C15" s="21">
        <v>700</v>
      </c>
      <c r="D15" s="21">
        <v>0</v>
      </c>
      <c r="E15" s="21" t="s">
        <v>329</v>
      </c>
      <c r="F15" s="88">
        <f t="shared" si="0"/>
        <v>0</v>
      </c>
      <c r="G15" s="88">
        <f t="shared" si="1"/>
        <v>1</v>
      </c>
      <c r="H15" s="22">
        <v>0</v>
      </c>
      <c r="I15" s="22">
        <v>0</v>
      </c>
      <c r="J15" s="205" t="s">
        <v>407</v>
      </c>
      <c r="K15" s="172"/>
      <c r="L15" s="172"/>
      <c r="M15" s="172"/>
      <c r="N15" s="172"/>
      <c r="O15" s="173"/>
      <c r="AA15" s="20" t="str">
        <f>IF(G31="","",G31)</f>
        <v/>
      </c>
      <c r="AB15" s="20" t="str">
        <f>IF(H31="","",H31)</f>
        <v/>
      </c>
      <c r="AC15" t="s">
        <v>331</v>
      </c>
    </row>
    <row r="16" spans="2:29" ht="19.05" customHeight="1" x14ac:dyDescent="0.3">
      <c r="B16" s="89">
        <v>3</v>
      </c>
      <c r="C16" s="21">
        <v>0</v>
      </c>
      <c r="D16" s="21">
        <v>0</v>
      </c>
      <c r="E16" s="21" t="s">
        <v>326</v>
      </c>
      <c r="F16" s="88">
        <f t="shared" si="0"/>
        <v>0</v>
      </c>
      <c r="G16" s="88">
        <f t="shared" si="1"/>
        <v>0</v>
      </c>
      <c r="H16" s="22">
        <v>6000</v>
      </c>
      <c r="I16" s="22">
        <v>-4500</v>
      </c>
      <c r="J16" s="205" t="s">
        <v>408</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500</v>
      </c>
      <c r="G28" s="5">
        <f t="shared" ref="G28:G42" si="4">IF(OR(ISBLANK(D28),D28=""),"",VLOOKUP(D28,$B$14:$D$23,2,FALSE))</f>
        <v>700</v>
      </c>
      <c r="H28" s="5">
        <f t="shared" ref="H28:H42" si="5">IF(OR(ISBLANK(D28),D28=""),"",VLOOKUP(D28,$B$14:$D$23,3,FALSE))</f>
        <v>0</v>
      </c>
      <c r="I28" s="9">
        <f t="shared" ref="I28:I42" si="6">IF(G28="","",G28-E28)</f>
        <v>400</v>
      </c>
      <c r="J28" s="9">
        <f t="shared" ref="J28:J42" si="7">IF(H28="","",H28-F28)</f>
        <v>-500</v>
      </c>
      <c r="K28" s="9">
        <f t="shared" ref="K28:K42" si="8">IF(I28="","",SQRT(I28^2+J28^2))</f>
        <v>640.31242374328485</v>
      </c>
      <c r="L28" s="92">
        <f t="shared" ref="L28:L42" si="9">IF(K28="","",I28/K28)</f>
        <v>0.62469504755442429</v>
      </c>
      <c r="M28" s="92">
        <f t="shared" ref="M28:M42" si="10">IF(K28="","",J28/K28)</f>
        <v>-0.78086880944303039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500</v>
      </c>
      <c r="I30" s="9">
        <f t="shared" si="6"/>
        <v>300</v>
      </c>
      <c r="J30" s="9">
        <f t="shared" si="7"/>
        <v>500</v>
      </c>
      <c r="K30" s="9">
        <f t="shared" si="8"/>
        <v>583.09518948453001</v>
      </c>
      <c r="L30" s="92">
        <f t="shared" si="9"/>
        <v>0.51449575542752657</v>
      </c>
      <c r="M30" s="92">
        <f t="shared" si="10"/>
        <v>0.85749292571254421</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500-000000000000}">
      <formula1>"Fijo (articulado),Rodillo Y (despl. X libre),Rodillo X (despl. Y libre),Libre (0 reac.)"</formula1>
    </dataValidation>
  </dataValidation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409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GRAFICA_02!E28</f>
        <v>300</v>
      </c>
      <c r="D6" s="22">
        <f>GRAFICA_02!F28</f>
        <v>500</v>
      </c>
      <c r="E6" s="22">
        <f>GRAFICA_02!G28</f>
        <v>700</v>
      </c>
      <c r="F6" s="22">
        <f>GRAFICA_02!H28</f>
        <v>0</v>
      </c>
      <c r="G6" s="9">
        <f t="shared" ref="G6:H8" si="0">E6-C6</f>
        <v>400</v>
      </c>
      <c r="H6" s="9">
        <f t="shared" si="0"/>
        <v>-500</v>
      </c>
      <c r="I6" s="9">
        <f>SQRT(G6*G6+H6*H6)</f>
        <v>640.31242374328485</v>
      </c>
      <c r="J6" s="92">
        <f>G6/I6</f>
        <v>0.62469504755442429</v>
      </c>
      <c r="K6" s="92">
        <f>H6/I6</f>
        <v>-0.78086880944303039</v>
      </c>
      <c r="L6" s="22">
        <f>GRAFICA_02!N28</f>
        <v>12</v>
      </c>
      <c r="M6" s="22">
        <f>GRAFICA_02!O28</f>
        <v>2100000</v>
      </c>
      <c r="N6" s="6">
        <f>L6*M6/I6</f>
        <v>39355.787995928731</v>
      </c>
    </row>
    <row r="7" spans="2:14" ht="19.05" customHeight="1" x14ac:dyDescent="0.3">
      <c r="B7" s="25">
        <v>2</v>
      </c>
      <c r="C7" s="22">
        <f>GRAFICA_02!E29</f>
        <v>700</v>
      </c>
      <c r="D7" s="22">
        <f>GRAFICA_02!F29</f>
        <v>0</v>
      </c>
      <c r="E7" s="22">
        <f>GRAFICA_02!G29</f>
        <v>0</v>
      </c>
      <c r="F7" s="22">
        <f>GRAFICA_02!H29</f>
        <v>0</v>
      </c>
      <c r="G7" s="9">
        <f t="shared" si="0"/>
        <v>-700</v>
      </c>
      <c r="H7" s="9">
        <f t="shared" si="0"/>
        <v>0</v>
      </c>
      <c r="I7" s="9">
        <f>SQRT(G7*G7+H7*H7)</f>
        <v>700</v>
      </c>
      <c r="J7" s="92">
        <f>G7/I7</f>
        <v>-1</v>
      </c>
      <c r="K7" s="92">
        <f>H7/I7</f>
        <v>0</v>
      </c>
      <c r="L7" s="22">
        <f>GRAFICA_02!N29</f>
        <v>12</v>
      </c>
      <c r="M7" s="22">
        <f>GRAFICA_02!O29</f>
        <v>2100000</v>
      </c>
      <c r="N7" s="6">
        <f>L7*M7/I7</f>
        <v>36000</v>
      </c>
    </row>
    <row r="8" spans="2:14" ht="19.05" customHeight="1" x14ac:dyDescent="0.3">
      <c r="B8" s="26">
        <v>3</v>
      </c>
      <c r="C8" s="22">
        <f>GRAFICA_02!E30</f>
        <v>0</v>
      </c>
      <c r="D8" s="22">
        <f>GRAFICA_02!F30</f>
        <v>0</v>
      </c>
      <c r="E8" s="22">
        <f>GRAFICA_02!G30</f>
        <v>300</v>
      </c>
      <c r="F8" s="22">
        <f>GRAFICA_02!H30</f>
        <v>500</v>
      </c>
      <c r="G8" s="9">
        <f t="shared" si="0"/>
        <v>300</v>
      </c>
      <c r="H8" s="9">
        <f t="shared" si="0"/>
        <v>500</v>
      </c>
      <c r="I8" s="9">
        <f>SQRT(G8*G8+H8*H8)</f>
        <v>583.09518948453001</v>
      </c>
      <c r="J8" s="92">
        <f>G8/I8</f>
        <v>0.51449575542752657</v>
      </c>
      <c r="K8" s="92">
        <f>H8/I8</f>
        <v>0.85749292571254421</v>
      </c>
      <c r="L8" s="22">
        <f>GRAFICA_02!N30</f>
        <v>12</v>
      </c>
      <c r="M8" s="22">
        <f>GRAFICA_02!O30</f>
        <v>2100000</v>
      </c>
      <c r="N8" s="6">
        <f>L8*M8/I8</f>
        <v>43217.643455912228</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GRAFICA_02!C28</f>
        <v>1</v>
      </c>
      <c r="D12" s="23">
        <f>GRAFICA_02!C28</f>
        <v>1</v>
      </c>
      <c r="E12" s="23">
        <f>GRAFICA_02!D28</f>
        <v>2</v>
      </c>
      <c r="F12" s="23">
        <f>GRAFICA_02!D28</f>
        <v>2</v>
      </c>
    </row>
    <row r="13" spans="2:14" ht="19.05" customHeight="1" x14ac:dyDescent="0.3">
      <c r="B13" s="25">
        <v>2</v>
      </c>
      <c r="C13" s="23">
        <f>GRAFICA_02!C29</f>
        <v>2</v>
      </c>
      <c r="D13" s="23">
        <f>GRAFICA_02!C29</f>
        <v>2</v>
      </c>
      <c r="E13" s="23">
        <f>GRAFICA_02!D29</f>
        <v>3</v>
      </c>
      <c r="F13" s="23">
        <f>GRAFICA_02!D29</f>
        <v>3</v>
      </c>
    </row>
    <row r="14" spans="2:14" ht="19.05" customHeight="1" x14ac:dyDescent="0.3">
      <c r="B14" s="26">
        <v>3</v>
      </c>
      <c r="C14" s="23">
        <f>GRAFICA_02!C30</f>
        <v>3</v>
      </c>
      <c r="D14" s="23">
        <f>GRAFICA_02!C30</f>
        <v>3</v>
      </c>
      <c r="E14" s="23">
        <f>GRAFICA_02!D30</f>
        <v>1</v>
      </c>
      <c r="F14" s="23">
        <f>GRAFICA_02!D30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15358.35629109414</v>
      </c>
      <c r="C18" s="7">
        <f>J6*K6*N6</f>
        <v>-19197.945363867675</v>
      </c>
      <c r="D18" s="7">
        <f>-B18</f>
        <v>-15358.35629109414</v>
      </c>
      <c r="E18" s="7">
        <f>-C18</f>
        <v>19197.945363867675</v>
      </c>
      <c r="F18" s="27" t="str">
        <f>B17</f>
        <v>U1X</v>
      </c>
    </row>
    <row r="19" spans="1:8" ht="16.8" customHeight="1" x14ac:dyDescent="0.3">
      <c r="A19" s="28" t="s">
        <v>177</v>
      </c>
      <c r="B19" s="7">
        <f>C18</f>
        <v>-19197.945363867675</v>
      </c>
      <c r="C19" s="7">
        <f>K6*K6*N6</f>
        <v>23997.431704834595</v>
      </c>
      <c r="D19" s="7">
        <f>-B19</f>
        <v>19197.945363867675</v>
      </c>
      <c r="E19" s="7">
        <f>-C19</f>
        <v>-23997.431704834595</v>
      </c>
      <c r="F19" s="27" t="str">
        <f>C17</f>
        <v>U1Y</v>
      </c>
    </row>
    <row r="20" spans="1:8" x14ac:dyDescent="0.3">
      <c r="B20" s="7">
        <f>D18</f>
        <v>-15358.35629109414</v>
      </c>
      <c r="C20" s="7">
        <f>E18</f>
        <v>19197.945363867675</v>
      </c>
      <c r="D20" s="7">
        <f>B18</f>
        <v>15358.35629109414</v>
      </c>
      <c r="E20" s="7">
        <f>C18</f>
        <v>-19197.945363867675</v>
      </c>
      <c r="F20" s="27" t="str">
        <f>D17</f>
        <v>U2X</v>
      </c>
    </row>
    <row r="21" spans="1:8" x14ac:dyDescent="0.3">
      <c r="B21" s="7">
        <f>D19</f>
        <v>19197.945363867675</v>
      </c>
      <c r="C21" s="7">
        <f>E19</f>
        <v>-23997.431704834595</v>
      </c>
      <c r="D21" s="7">
        <f>B19</f>
        <v>-19197.945363867675</v>
      </c>
      <c r="E21" s="7">
        <f>C19</f>
        <v>23997.431704834595</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15358.35629109414</v>
      </c>
      <c r="C24" s="8">
        <f t="shared" si="1"/>
        <v>-19197.945363867675</v>
      </c>
      <c r="D24" s="8">
        <f t="shared" si="1"/>
        <v>-15358.35629109414</v>
      </c>
      <c r="E24" s="8">
        <f t="shared" si="1"/>
        <v>19197.945363867675</v>
      </c>
      <c r="F24" s="9">
        <f t="shared" si="1"/>
        <v>0</v>
      </c>
      <c r="G24" s="9">
        <f t="shared" si="1"/>
        <v>0</v>
      </c>
      <c r="H24" s="27" t="s">
        <v>178</v>
      </c>
    </row>
    <row r="25" spans="1:8" ht="19.05" customHeight="1" x14ac:dyDescent="0.3">
      <c r="B25" s="8">
        <f t="shared" si="1"/>
        <v>-19197.945363867675</v>
      </c>
      <c r="C25" s="8">
        <f t="shared" si="1"/>
        <v>23997.431704834595</v>
      </c>
      <c r="D25" s="8">
        <f t="shared" si="1"/>
        <v>19197.945363867675</v>
      </c>
      <c r="E25" s="8">
        <f t="shared" si="1"/>
        <v>-23997.431704834595</v>
      </c>
      <c r="F25" s="9">
        <f t="shared" si="1"/>
        <v>0</v>
      </c>
      <c r="G25" s="9">
        <f t="shared" si="1"/>
        <v>0</v>
      </c>
      <c r="H25" s="27" t="s">
        <v>179</v>
      </c>
    </row>
    <row r="26" spans="1:8" ht="19.05" customHeight="1" x14ac:dyDescent="0.3">
      <c r="A26" s="28" t="s">
        <v>190</v>
      </c>
      <c r="B26" s="8">
        <f t="shared" si="1"/>
        <v>-15358.35629109414</v>
      </c>
      <c r="C26" s="8">
        <f t="shared" si="1"/>
        <v>19197.945363867675</v>
      </c>
      <c r="D26" s="8">
        <f t="shared" si="1"/>
        <v>15358.35629109414</v>
      </c>
      <c r="E26" s="8">
        <f t="shared" si="1"/>
        <v>-19197.945363867675</v>
      </c>
      <c r="F26" s="9">
        <f t="shared" si="1"/>
        <v>0</v>
      </c>
      <c r="G26" s="9">
        <f t="shared" si="1"/>
        <v>0</v>
      </c>
      <c r="H26" s="27" t="s">
        <v>180</v>
      </c>
    </row>
    <row r="27" spans="1:8" ht="19.05" customHeight="1" x14ac:dyDescent="0.3">
      <c r="B27" s="8">
        <f t="shared" si="1"/>
        <v>19197.945363867675</v>
      </c>
      <c r="C27" s="8">
        <f t="shared" si="1"/>
        <v>-23997.431704834595</v>
      </c>
      <c r="D27" s="8">
        <f t="shared" si="1"/>
        <v>-19197.945363867675</v>
      </c>
      <c r="E27" s="8">
        <f t="shared" si="1"/>
        <v>23997.431704834595</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11439.964444212063</v>
      </c>
      <c r="C48" s="33">
        <f>J8*K8*N8</f>
        <v>19066.607407020103</v>
      </c>
      <c r="D48" s="33">
        <f>-B48</f>
        <v>-11439.964444212063</v>
      </c>
      <c r="E48" s="33">
        <f>-C48</f>
        <v>-19066.607407020103</v>
      </c>
      <c r="F48" s="32" t="str">
        <f>B47</f>
        <v>U3X</v>
      </c>
    </row>
    <row r="49" spans="1:8" ht="16.8" customHeight="1" x14ac:dyDescent="0.3">
      <c r="A49" s="28" t="s">
        <v>193</v>
      </c>
      <c r="B49" s="33">
        <f>C48</f>
        <v>19066.607407020103</v>
      </c>
      <c r="C49" s="33">
        <f>K8*K8*N8</f>
        <v>31777.679011700169</v>
      </c>
      <c r="D49" s="33">
        <f>-B49</f>
        <v>-19066.607407020103</v>
      </c>
      <c r="E49" s="33">
        <f>-C49</f>
        <v>-31777.679011700169</v>
      </c>
      <c r="F49" s="32" t="str">
        <f>C47</f>
        <v>U3Y</v>
      </c>
    </row>
    <row r="50" spans="1:8" x14ac:dyDescent="0.3">
      <c r="B50" s="33">
        <f>D48</f>
        <v>-11439.964444212063</v>
      </c>
      <c r="C50" s="33">
        <f>E48</f>
        <v>-19066.607407020103</v>
      </c>
      <c r="D50" s="33">
        <f>B48</f>
        <v>11439.964444212063</v>
      </c>
      <c r="E50" s="33">
        <f>C48</f>
        <v>19066.607407020103</v>
      </c>
      <c r="F50" s="32" t="str">
        <f>D47</f>
        <v>U1X</v>
      </c>
    </row>
    <row r="51" spans="1:8" x14ac:dyDescent="0.3">
      <c r="B51" s="33">
        <f>D49</f>
        <v>-19066.607407020103</v>
      </c>
      <c r="C51" s="33">
        <f>E49</f>
        <v>-31777.679011700169</v>
      </c>
      <c r="D51" s="33">
        <f>B49</f>
        <v>19066.607407020103</v>
      </c>
      <c r="E51" s="33">
        <f>C49</f>
        <v>31777.679011700169</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11439.964444212063</v>
      </c>
      <c r="C54" s="34">
        <f t="shared" si="3"/>
        <v>19066.607407020103</v>
      </c>
      <c r="D54" s="9">
        <f t="shared" si="3"/>
        <v>0</v>
      </c>
      <c r="E54" s="9">
        <f t="shared" si="3"/>
        <v>0</v>
      </c>
      <c r="F54" s="34">
        <f t="shared" si="3"/>
        <v>-11439.964444212063</v>
      </c>
      <c r="G54" s="34">
        <f t="shared" si="3"/>
        <v>-19066.607407020103</v>
      </c>
      <c r="H54" s="32" t="s">
        <v>178</v>
      </c>
    </row>
    <row r="55" spans="1:8" ht="19.05" customHeight="1" x14ac:dyDescent="0.3">
      <c r="B55" s="34">
        <f t="shared" si="3"/>
        <v>19066.607407020103</v>
      </c>
      <c r="C55" s="34">
        <f t="shared" si="3"/>
        <v>31777.679011700169</v>
      </c>
      <c r="D55" s="9">
        <f t="shared" si="3"/>
        <v>0</v>
      </c>
      <c r="E55" s="9">
        <f t="shared" si="3"/>
        <v>0</v>
      </c>
      <c r="F55" s="34">
        <f t="shared" si="3"/>
        <v>-19066.607407020103</v>
      </c>
      <c r="G55" s="34">
        <f t="shared" si="3"/>
        <v>-31777.679011700169</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-11439.964444212063</v>
      </c>
      <c r="C58" s="34">
        <f t="shared" si="3"/>
        <v>-19066.607407020103</v>
      </c>
      <c r="D58" s="9">
        <f t="shared" si="3"/>
        <v>0</v>
      </c>
      <c r="E58" s="9">
        <f t="shared" si="3"/>
        <v>0</v>
      </c>
      <c r="F58" s="34">
        <f t="shared" si="3"/>
        <v>11439.964444212063</v>
      </c>
      <c r="G58" s="34">
        <f t="shared" si="3"/>
        <v>19066.607407020103</v>
      </c>
      <c r="H58" s="32" t="s">
        <v>182</v>
      </c>
    </row>
    <row r="59" spans="1:8" ht="19.05" customHeight="1" x14ac:dyDescent="0.3">
      <c r="B59" s="34">
        <f t="shared" si="3"/>
        <v>-19066.607407020103</v>
      </c>
      <c r="C59" s="34">
        <f t="shared" si="3"/>
        <v>-31777.679011700169</v>
      </c>
      <c r="D59" s="9">
        <f t="shared" si="3"/>
        <v>0</v>
      </c>
      <c r="E59" s="9">
        <f t="shared" si="3"/>
        <v>0</v>
      </c>
      <c r="F59" s="34">
        <f t="shared" si="3"/>
        <v>19066.607407020103</v>
      </c>
      <c r="G59" s="34">
        <f t="shared" si="3"/>
        <v>31777.679011700169</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26798.320735306203</v>
      </c>
      <c r="C63" s="36">
        <f t="shared" si="4"/>
        <v>-131.33795684757206</v>
      </c>
      <c r="D63" s="9">
        <f t="shared" si="4"/>
        <v>-15358.35629109414</v>
      </c>
      <c r="E63" s="9">
        <f t="shared" si="4"/>
        <v>19197.945363867675</v>
      </c>
      <c r="F63" s="9">
        <f t="shared" si="4"/>
        <v>-11439.964444212063</v>
      </c>
      <c r="G63" s="9">
        <f t="shared" si="4"/>
        <v>-19066.607407020103</v>
      </c>
      <c r="H63" s="89" t="s">
        <v>178</v>
      </c>
    </row>
    <row r="64" spans="1:8" ht="19.95" customHeight="1" x14ac:dyDescent="0.3">
      <c r="B64" s="36">
        <f t="shared" si="4"/>
        <v>-131.33795684757206</v>
      </c>
      <c r="C64" s="35">
        <f t="shared" si="4"/>
        <v>55775.110716534764</v>
      </c>
      <c r="D64" s="9">
        <f t="shared" si="4"/>
        <v>19197.945363867675</v>
      </c>
      <c r="E64" s="9">
        <f t="shared" si="4"/>
        <v>-23997.431704834595</v>
      </c>
      <c r="F64" s="9">
        <f t="shared" si="4"/>
        <v>-19066.607407020103</v>
      </c>
      <c r="G64" s="9">
        <f t="shared" si="4"/>
        <v>-31777.679011700169</v>
      </c>
      <c r="H64" s="89" t="s">
        <v>179</v>
      </c>
    </row>
    <row r="65" spans="1:16" ht="19.95" customHeight="1" x14ac:dyDescent="0.3">
      <c r="A65" s="28" t="s">
        <v>205</v>
      </c>
      <c r="B65" s="9">
        <f t="shared" si="4"/>
        <v>-15358.35629109414</v>
      </c>
      <c r="C65" s="9">
        <f t="shared" si="4"/>
        <v>19197.945363867675</v>
      </c>
      <c r="D65" s="35">
        <f t="shared" si="4"/>
        <v>51358.35629109414</v>
      </c>
      <c r="E65" s="36">
        <f t="shared" si="4"/>
        <v>-19197.945363867675</v>
      </c>
      <c r="F65" s="9">
        <f t="shared" si="4"/>
        <v>-36000</v>
      </c>
      <c r="G65" s="9">
        <f t="shared" si="4"/>
        <v>0</v>
      </c>
      <c r="H65" s="89" t="s">
        <v>180</v>
      </c>
    </row>
    <row r="66" spans="1:16" ht="19.95" customHeight="1" x14ac:dyDescent="0.3">
      <c r="B66" s="9">
        <f t="shared" si="4"/>
        <v>19197.945363867675</v>
      </c>
      <c r="C66" s="9">
        <f t="shared" si="4"/>
        <v>-23997.431704834595</v>
      </c>
      <c r="D66" s="36">
        <f t="shared" si="4"/>
        <v>-19197.945363867675</v>
      </c>
      <c r="E66" s="35">
        <f t="shared" si="4"/>
        <v>23997.431704834595</v>
      </c>
      <c r="F66" s="9">
        <f t="shared" si="4"/>
        <v>0</v>
      </c>
      <c r="G66" s="9">
        <f t="shared" si="4"/>
        <v>0</v>
      </c>
      <c r="H66" s="89" t="s">
        <v>181</v>
      </c>
    </row>
    <row r="67" spans="1:16" ht="19.95" customHeight="1" x14ac:dyDescent="0.3">
      <c r="B67" s="9">
        <f t="shared" si="4"/>
        <v>-11439.964444212063</v>
      </c>
      <c r="C67" s="9">
        <f t="shared" si="4"/>
        <v>-19066.607407020103</v>
      </c>
      <c r="D67" s="9">
        <f t="shared" si="4"/>
        <v>-36000</v>
      </c>
      <c r="E67" s="9">
        <f t="shared" si="4"/>
        <v>0</v>
      </c>
      <c r="F67" s="35">
        <f t="shared" si="4"/>
        <v>47439.964444212063</v>
      </c>
      <c r="G67" s="36">
        <f t="shared" si="4"/>
        <v>19066.607407020103</v>
      </c>
      <c r="H67" s="89" t="s">
        <v>182</v>
      </c>
    </row>
    <row r="68" spans="1:16" ht="19.95" customHeight="1" x14ac:dyDescent="0.3">
      <c r="B68" s="9">
        <f t="shared" si="4"/>
        <v>-19066.607407020103</v>
      </c>
      <c r="C68" s="9">
        <f t="shared" si="4"/>
        <v>-31777.679011700169</v>
      </c>
      <c r="D68" s="9">
        <f t="shared" si="4"/>
        <v>0</v>
      </c>
      <c r="E68" s="9">
        <f t="shared" si="4"/>
        <v>0</v>
      </c>
      <c r="F68" s="36">
        <f t="shared" si="4"/>
        <v>19066.607407020103</v>
      </c>
      <c r="G68" s="35">
        <f t="shared" si="4"/>
        <v>31777.679011700169</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t="str">
        <f>IF(GRAFICA_02!F14=1, B72, GRAFICA_02!H14)</f>
        <v>C1X</v>
      </c>
      <c r="K72" s="215" t="s">
        <v>376</v>
      </c>
      <c r="L72" s="172"/>
      <c r="M72" s="172"/>
      <c r="N72" s="172"/>
      <c r="O72" s="172"/>
      <c r="P72" s="173"/>
    </row>
    <row r="73" spans="1:16" ht="16.95" customHeight="1" x14ac:dyDescent="0.3">
      <c r="B73" s="12" t="s">
        <v>210</v>
      </c>
      <c r="C73" s="12" t="s">
        <v>179</v>
      </c>
      <c r="E73" s="37" t="str">
        <f>IF(GRAFICA_02!G14=1, B73, GRAFICA_02!I14)</f>
        <v>C1Y</v>
      </c>
      <c r="K73" s="215" t="s">
        <v>211</v>
      </c>
      <c r="L73" s="172"/>
      <c r="M73" s="172"/>
      <c r="N73" s="172"/>
      <c r="O73" s="172"/>
      <c r="P73" s="173"/>
    </row>
    <row r="74" spans="1:16" ht="16.95" customHeight="1" x14ac:dyDescent="0.3">
      <c r="A74" s="38" t="s">
        <v>218</v>
      </c>
      <c r="B74" s="12" t="s">
        <v>212</v>
      </c>
      <c r="C74" s="12" t="s">
        <v>180</v>
      </c>
      <c r="D74" s="13" t="s">
        <v>220</v>
      </c>
      <c r="E74" s="37">
        <f>IF(GRAFICA_02!F15=1, B74, GRAFICA_02!H15)</f>
        <v>0</v>
      </c>
      <c r="K74" s="215" t="s">
        <v>377</v>
      </c>
      <c r="L74" s="172"/>
      <c r="M74" s="172"/>
      <c r="N74" s="172"/>
      <c r="O74" s="172"/>
      <c r="P74" s="173"/>
    </row>
    <row r="75" spans="1:16" ht="16.95" customHeight="1" x14ac:dyDescent="0.3">
      <c r="B75" s="12" t="s">
        <v>214</v>
      </c>
      <c r="C75" s="12" t="s">
        <v>181</v>
      </c>
      <c r="E75" s="37" t="str">
        <f>IF(GRAFICA_02!G15=1, B75, GRAFICA_02!I15)</f>
        <v>C2Y</v>
      </c>
      <c r="K75" s="215" t="s">
        <v>215</v>
      </c>
      <c r="L75" s="172"/>
      <c r="M75" s="172"/>
      <c r="N75" s="172"/>
      <c r="O75" s="172"/>
      <c r="P75" s="173"/>
    </row>
    <row r="76" spans="1:16" ht="16.95" customHeight="1" x14ac:dyDescent="0.3">
      <c r="B76" s="12" t="s">
        <v>216</v>
      </c>
      <c r="C76" s="12" t="s">
        <v>182</v>
      </c>
      <c r="E76" s="37">
        <f>IF(GRAFICA_02!F16=1, B76, GRAFICA_02!H16)</f>
        <v>6000</v>
      </c>
      <c r="K76" s="215" t="s">
        <v>378</v>
      </c>
      <c r="L76" s="172"/>
      <c r="M76" s="172"/>
      <c r="N76" s="172"/>
      <c r="O76" s="172"/>
      <c r="P76" s="173"/>
    </row>
    <row r="77" spans="1:16" ht="16.95" customHeight="1" x14ac:dyDescent="0.3">
      <c r="B77" s="12" t="s">
        <v>219</v>
      </c>
      <c r="C77" s="12" t="s">
        <v>183</v>
      </c>
      <c r="E77" s="37">
        <f>IF(GRAFICA_02!G16=1, B77, GRAFICA_02!I16)</f>
        <v>-4500</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f>IF(GRAFICA_02!F14=1, 0, B80)</f>
        <v>0</v>
      </c>
      <c r="F80" s="14" t="str">
        <f>IF(E80&lt;&gt;0, COUNTIF(E$80:E80, "&lt;&gt;0"), "")</f>
        <v/>
      </c>
      <c r="G80" s="14">
        <f>IF(E80=0, COUNTIF(E$80:E80, 0), "")</f>
        <v>1</v>
      </c>
      <c r="K80" s="215"/>
      <c r="L80" s="172"/>
      <c r="M80" s="172"/>
      <c r="N80" s="172"/>
      <c r="O80" s="172"/>
      <c r="P80" s="173"/>
    </row>
    <row r="81" spans="1:16" ht="16.95" customHeight="1" x14ac:dyDescent="0.3">
      <c r="B81" s="12" t="s">
        <v>229</v>
      </c>
      <c r="C81" s="12" t="s">
        <v>179</v>
      </c>
      <c r="E81" s="39">
        <f>IF(GRAFICA_02!G14=1, 0, B81)</f>
        <v>0</v>
      </c>
      <c r="F81" s="14" t="str">
        <f>IF(E81&lt;&gt;0, COUNTIF(E$80:E81, "&lt;&gt;0"), "")</f>
        <v/>
      </c>
      <c r="G81" s="14">
        <f>IF(E81=0, COUNTIF(E$80:E81, 0), "")</f>
        <v>2</v>
      </c>
      <c r="K81" s="215"/>
      <c r="L81" s="172"/>
      <c r="M81" s="172"/>
      <c r="N81" s="172"/>
      <c r="O81" s="172"/>
      <c r="P81" s="173"/>
    </row>
    <row r="82" spans="1:16" ht="16.95" customHeight="1" x14ac:dyDescent="0.3">
      <c r="A82" s="38" t="s">
        <v>233</v>
      </c>
      <c r="B82" s="12" t="s">
        <v>230</v>
      </c>
      <c r="C82" s="12" t="s">
        <v>180</v>
      </c>
      <c r="D82" s="13" t="s">
        <v>220</v>
      </c>
      <c r="E82" s="39" t="str">
        <f>IF(GRAFICA_02!F15=1, 0, B82)</f>
        <v>D2X</v>
      </c>
      <c r="F82" s="14">
        <f>IF(E82&lt;&gt;0, COUNTIF(E$80:E82, "&lt;&gt;0"), "")</f>
        <v>1</v>
      </c>
      <c r="G82" s="14" t="str">
        <f>IF(E82=0, COUNTIF(E$80:E82, 0), "")</f>
        <v/>
      </c>
      <c r="K82" s="215"/>
      <c r="L82" s="172"/>
      <c r="M82" s="172"/>
      <c r="N82" s="172"/>
      <c r="O82" s="172"/>
      <c r="P82" s="173"/>
    </row>
    <row r="83" spans="1:16" ht="16.95" customHeight="1" x14ac:dyDescent="0.3">
      <c r="B83" s="12" t="s">
        <v>231</v>
      </c>
      <c r="C83" s="12" t="s">
        <v>181</v>
      </c>
      <c r="E83" s="39">
        <f>IF(GRAFICA_02!G15=1, 0, B83)</f>
        <v>0</v>
      </c>
      <c r="F83" s="14" t="str">
        <f>IF(E83&lt;&gt;0, COUNTIF(E$80:E83, "&lt;&gt;0"), "")</f>
        <v/>
      </c>
      <c r="G83" s="14">
        <f>IF(E83=0, COUNTIF(E$80:E83, 0), "")</f>
        <v>3</v>
      </c>
      <c r="K83" s="215"/>
      <c r="L83" s="172"/>
      <c r="M83" s="172"/>
      <c r="N83" s="172"/>
      <c r="O83" s="172"/>
      <c r="P83" s="173"/>
    </row>
    <row r="84" spans="1:16" ht="16.95" customHeight="1" x14ac:dyDescent="0.3">
      <c r="B84" s="12" t="s">
        <v>232</v>
      </c>
      <c r="C84" s="12" t="s">
        <v>182</v>
      </c>
      <c r="E84" s="39" t="str">
        <f>IF(GRAFICA_02!F16=1, 0, B84)</f>
        <v>D3X</v>
      </c>
      <c r="F84" s="14">
        <f>IF(E84&lt;&gt;0, COUNTIF(E$80:E84, "&lt;&gt;0"), "")</f>
        <v>2</v>
      </c>
      <c r="G84" s="14" t="str">
        <f>IF(E84=0, COUNTIF(E$80:E84, 0), "")</f>
        <v/>
      </c>
      <c r="K84" s="215"/>
      <c r="L84" s="172"/>
      <c r="M84" s="172"/>
      <c r="N84" s="172"/>
      <c r="O84" s="172"/>
      <c r="P84" s="173"/>
    </row>
    <row r="85" spans="1:16" ht="16.95" customHeight="1" x14ac:dyDescent="0.3">
      <c r="B85" s="12" t="s">
        <v>234</v>
      </c>
      <c r="C85" s="12" t="s">
        <v>183</v>
      </c>
      <c r="E85" s="39" t="str">
        <f>IF(GRAFICA_02!G16=1, 0, B85)</f>
        <v>D3Y</v>
      </c>
      <c r="F85" s="14">
        <f>IF(E85&lt;&gt;0, COUNTIF(E$80:E85, "&lt;&gt;0"), "")</f>
        <v>3</v>
      </c>
      <c r="G85" s="14" t="str">
        <f>IF(E85=0, COUNTIF(E$80:E85, 0), "")</f>
        <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12" t="str">
        <f t="shared" ref="A90:A95" si="5">E72</f>
        <v>C1X</v>
      </c>
      <c r="C90" s="9">
        <f t="shared" ref="C90:H95" si="6">B63</f>
        <v>26798.320735306203</v>
      </c>
      <c r="D90" s="9">
        <f t="shared" si="6"/>
        <v>-131.33795684757206</v>
      </c>
      <c r="E90" s="9">
        <f t="shared" si="6"/>
        <v>-15358.35629109414</v>
      </c>
      <c r="F90" s="9">
        <f t="shared" si="6"/>
        <v>19197.945363867675</v>
      </c>
      <c r="G90" s="9">
        <f t="shared" si="6"/>
        <v>-11439.964444212063</v>
      </c>
      <c r="H90" s="9">
        <f t="shared" si="6"/>
        <v>-19066.607407020103</v>
      </c>
      <c r="I90" s="13" t="s">
        <v>251</v>
      </c>
      <c r="J90" s="16">
        <f t="shared" ref="J90:J95" si="7">E80</f>
        <v>0</v>
      </c>
      <c r="K90" s="215" t="s">
        <v>380</v>
      </c>
      <c r="L90" s="172"/>
      <c r="M90" s="172"/>
      <c r="N90" s="172"/>
      <c r="O90" s="172"/>
      <c r="P90" s="173"/>
    </row>
    <row r="91" spans="1:16" ht="16.95" customHeight="1" x14ac:dyDescent="0.3">
      <c r="A91" s="12" t="str">
        <f t="shared" si="5"/>
        <v>C1Y</v>
      </c>
      <c r="C91" s="9">
        <f t="shared" si="6"/>
        <v>-131.33795684757206</v>
      </c>
      <c r="D91" s="9">
        <f t="shared" si="6"/>
        <v>55775.110716534764</v>
      </c>
      <c r="E91" s="9">
        <f t="shared" si="6"/>
        <v>19197.945363867675</v>
      </c>
      <c r="F91" s="9">
        <f t="shared" si="6"/>
        <v>-23997.431704834595</v>
      </c>
      <c r="G91" s="9">
        <f t="shared" si="6"/>
        <v>-19066.607407020103</v>
      </c>
      <c r="H91" s="9">
        <f t="shared" si="6"/>
        <v>-31777.679011700169</v>
      </c>
      <c r="I91" s="13" t="s">
        <v>251</v>
      </c>
      <c r="J91" s="16">
        <f t="shared" si="7"/>
        <v>0</v>
      </c>
      <c r="K91" s="215" t="s">
        <v>253</v>
      </c>
      <c r="L91" s="172"/>
      <c r="M91" s="172"/>
      <c r="N91" s="172"/>
      <c r="O91" s="172"/>
      <c r="P91" s="173"/>
    </row>
    <row r="92" spans="1:16" ht="16.95" customHeight="1" x14ac:dyDescent="0.3">
      <c r="A92" s="41">
        <f t="shared" si="5"/>
        <v>0</v>
      </c>
      <c r="C92" s="9">
        <f t="shared" si="6"/>
        <v>-15358.35629109414</v>
      </c>
      <c r="D92" s="9">
        <f t="shared" si="6"/>
        <v>19197.945363867675</v>
      </c>
      <c r="E92" s="41">
        <f t="shared" si="6"/>
        <v>51358.35629109414</v>
      </c>
      <c r="F92" s="9">
        <f t="shared" si="6"/>
        <v>-19197.945363867675</v>
      </c>
      <c r="G92" s="41">
        <f t="shared" si="6"/>
        <v>-36000</v>
      </c>
      <c r="H92" s="41">
        <f t="shared" si="6"/>
        <v>0</v>
      </c>
      <c r="I92" s="13" t="s">
        <v>251</v>
      </c>
      <c r="J92" s="38" t="str">
        <f t="shared" si="7"/>
        <v>D2X</v>
      </c>
      <c r="K92" s="215" t="s">
        <v>254</v>
      </c>
      <c r="L92" s="172"/>
      <c r="M92" s="172"/>
      <c r="N92" s="172"/>
      <c r="O92" s="172"/>
      <c r="P92" s="173"/>
    </row>
    <row r="93" spans="1:16" ht="16.95" customHeight="1" x14ac:dyDescent="0.3">
      <c r="A93" s="12" t="str">
        <f t="shared" si="5"/>
        <v>C2Y</v>
      </c>
      <c r="B93" s="13" t="s">
        <v>220</v>
      </c>
      <c r="C93" s="9">
        <f t="shared" si="6"/>
        <v>19197.945363867675</v>
      </c>
      <c r="D93" s="9">
        <f t="shared" si="6"/>
        <v>-23997.431704834595</v>
      </c>
      <c r="E93" s="9">
        <f t="shared" si="6"/>
        <v>-19197.945363867675</v>
      </c>
      <c r="F93" s="9">
        <f t="shared" si="6"/>
        <v>23997.431704834595</v>
      </c>
      <c r="G93" s="9">
        <f t="shared" si="6"/>
        <v>0</v>
      </c>
      <c r="H93" s="9">
        <f t="shared" si="6"/>
        <v>0</v>
      </c>
      <c r="I93" s="13" t="s">
        <v>251</v>
      </c>
      <c r="J93" s="16">
        <f t="shared" si="7"/>
        <v>0</v>
      </c>
      <c r="K93" s="215" t="s">
        <v>381</v>
      </c>
      <c r="L93" s="172"/>
      <c r="M93" s="172"/>
      <c r="N93" s="172"/>
      <c r="O93" s="172"/>
      <c r="P93" s="173"/>
    </row>
    <row r="94" spans="1:16" ht="16.95" customHeight="1" x14ac:dyDescent="0.3">
      <c r="A94" s="41">
        <f t="shared" si="5"/>
        <v>6000</v>
      </c>
      <c r="C94" s="9">
        <f t="shared" si="6"/>
        <v>-11439.964444212063</v>
      </c>
      <c r="D94" s="9">
        <f t="shared" si="6"/>
        <v>-19066.607407020103</v>
      </c>
      <c r="E94" s="41">
        <f t="shared" si="6"/>
        <v>-36000</v>
      </c>
      <c r="F94" s="9">
        <f t="shared" si="6"/>
        <v>0</v>
      </c>
      <c r="G94" s="41">
        <f t="shared" si="6"/>
        <v>47439.964444212063</v>
      </c>
      <c r="H94" s="41">
        <f t="shared" si="6"/>
        <v>19066.607407020103</v>
      </c>
      <c r="I94" s="13" t="s">
        <v>251</v>
      </c>
      <c r="J94" s="38" t="str">
        <f t="shared" si="7"/>
        <v>D3X</v>
      </c>
      <c r="K94" s="215" t="s">
        <v>382</v>
      </c>
      <c r="L94" s="172"/>
      <c r="M94" s="172"/>
      <c r="N94" s="172"/>
      <c r="O94" s="172"/>
      <c r="P94" s="173"/>
    </row>
    <row r="95" spans="1:16" ht="16.95" customHeight="1" x14ac:dyDescent="0.3">
      <c r="A95" s="41">
        <f t="shared" si="5"/>
        <v>-4500</v>
      </c>
      <c r="C95" s="9">
        <f t="shared" si="6"/>
        <v>-19066.607407020103</v>
      </c>
      <c r="D95" s="9">
        <f t="shared" si="6"/>
        <v>-31777.679011700169</v>
      </c>
      <c r="E95" s="41">
        <f t="shared" si="6"/>
        <v>0</v>
      </c>
      <c r="F95" s="9">
        <f t="shared" si="6"/>
        <v>0</v>
      </c>
      <c r="G95" s="41">
        <f t="shared" si="6"/>
        <v>19066.607407020103</v>
      </c>
      <c r="H95" s="41">
        <f t="shared" si="6"/>
        <v>31777.679011700169</v>
      </c>
      <c r="I95" s="13" t="s">
        <v>251</v>
      </c>
      <c r="J95" s="38" t="str">
        <f t="shared" si="7"/>
        <v>D3Y</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U2X</v>
      </c>
      <c r="D99" s="38" t="str">
        <f>INDEX(C$80:C$85, MATCH(2, F$80:F$85, 0))</f>
        <v>U3X</v>
      </c>
      <c r="E99" s="38" t="str">
        <f>INDEX(C$80:C$85, MATCH(3, F$80:F$85, 0))</f>
        <v>U3Y</v>
      </c>
      <c r="K99" s="215" t="s">
        <v>383</v>
      </c>
      <c r="L99" s="172"/>
      <c r="M99" s="172"/>
      <c r="N99" s="172"/>
      <c r="O99" s="172"/>
      <c r="P99" s="173"/>
    </row>
    <row r="100" spans="1:16" ht="16.95" customHeight="1" x14ac:dyDescent="0.3">
      <c r="A100" s="41">
        <f>INDEX(E$72:E$77, MATCH(H100, C$72:C$77, 0))</f>
        <v>0</v>
      </c>
      <c r="C100" s="41">
        <f t="shared" ref="C100:E102" si="8">INDEX($B$63:$G$68, MATCH($H100, $H$63:$H$68, 0), MATCH(C$99, $B$62:$G$62, 0))</f>
        <v>51358.35629109414</v>
      </c>
      <c r="D100" s="41">
        <f t="shared" si="8"/>
        <v>-36000</v>
      </c>
      <c r="E100" s="41">
        <f t="shared" si="8"/>
        <v>0</v>
      </c>
      <c r="F100" s="13" t="s">
        <v>251</v>
      </c>
      <c r="G100" s="38" t="str">
        <f>INDEX(B$80:B$85, MATCH(1, F$80:F$85, 0))</f>
        <v>D2X</v>
      </c>
      <c r="H100" s="14" t="str">
        <f>INDEX(C$80:C$85, MATCH(1, F$80:F$85, 0))</f>
        <v>U2X</v>
      </c>
      <c r="K100" s="215" t="s">
        <v>384</v>
      </c>
      <c r="L100" s="172"/>
      <c r="M100" s="172"/>
      <c r="N100" s="172"/>
      <c r="O100" s="172"/>
      <c r="P100" s="173"/>
    </row>
    <row r="101" spans="1:16" ht="16.95" customHeight="1" x14ac:dyDescent="0.3">
      <c r="A101" s="41">
        <f>INDEX(E$72:E$77, MATCH(H101, C$72:C$77, 0))</f>
        <v>6000</v>
      </c>
      <c r="B101" s="13" t="s">
        <v>220</v>
      </c>
      <c r="C101" s="41">
        <f t="shared" si="8"/>
        <v>-36000</v>
      </c>
      <c r="D101" s="41">
        <f t="shared" si="8"/>
        <v>47439.964444212063</v>
      </c>
      <c r="E101" s="41">
        <f t="shared" si="8"/>
        <v>19066.607407020103</v>
      </c>
      <c r="F101" s="13" t="s">
        <v>251</v>
      </c>
      <c r="G101" s="38" t="str">
        <f>INDEX(B$80:B$85, MATCH(2, F$80:F$85, 0))</f>
        <v>D3X</v>
      </c>
      <c r="H101" s="14" t="str">
        <f>INDEX(C$80:C$85, MATCH(2, F$80:F$85, 0))</f>
        <v>U3X</v>
      </c>
      <c r="K101" s="215" t="s">
        <v>385</v>
      </c>
      <c r="L101" s="172"/>
      <c r="M101" s="172"/>
      <c r="N101" s="172"/>
      <c r="O101" s="172"/>
      <c r="P101" s="173"/>
    </row>
    <row r="102" spans="1:16" ht="16.95" customHeight="1" x14ac:dyDescent="0.3">
      <c r="A102" s="41">
        <f>INDEX(E$72:E$77, MATCH(H102, C$72:C$77, 0))</f>
        <v>-4500</v>
      </c>
      <c r="C102" s="41">
        <f t="shared" si="8"/>
        <v>0</v>
      </c>
      <c r="D102" s="41">
        <f t="shared" si="8"/>
        <v>19066.607407020103</v>
      </c>
      <c r="E102" s="41">
        <f t="shared" si="8"/>
        <v>31777.679011700169</v>
      </c>
      <c r="F102" s="13" t="s">
        <v>251</v>
      </c>
      <c r="G102" s="38" t="str">
        <f>INDEX(B$80:B$85, MATCH(3, F$80:F$85, 0))</f>
        <v>D3Y</v>
      </c>
      <c r="H102" s="14" t="str">
        <f>INDEX(C$80:C$85, MATCH(3, F$80:F$85, 0))</f>
        <v>U3Y</v>
      </c>
      <c r="K102" s="215" t="s">
        <v>386</v>
      </c>
      <c r="L102" s="172"/>
      <c r="M102" s="172"/>
      <c r="N102" s="172"/>
      <c r="O102" s="172"/>
      <c r="P102" s="173"/>
    </row>
    <row r="103" spans="1:16" ht="16.95" customHeight="1" x14ac:dyDescent="0.3">
      <c r="K103" s="215" t="s">
        <v>387</v>
      </c>
      <c r="L103" s="172"/>
      <c r="M103" s="172"/>
      <c r="N103" s="172"/>
      <c r="O103" s="172"/>
      <c r="P103" s="173"/>
    </row>
    <row r="104" spans="1:16" ht="16.95" customHeight="1" x14ac:dyDescent="0.3">
      <c r="C104" s="218" t="s">
        <v>263</v>
      </c>
      <c r="D104" s="172"/>
      <c r="E104" s="173"/>
      <c r="K104" s="215" t="s">
        <v>388</v>
      </c>
      <c r="L104" s="172"/>
      <c r="M104" s="172"/>
      <c r="N104" s="172"/>
      <c r="O104" s="172"/>
      <c r="P104" s="173"/>
    </row>
    <row r="105" spans="1:16" ht="16.95" customHeight="1" x14ac:dyDescent="0.3">
      <c r="A105" s="99" t="s">
        <v>249</v>
      </c>
      <c r="C105" s="193" t="s">
        <v>264</v>
      </c>
      <c r="D105" s="175"/>
      <c r="E105" s="175"/>
      <c r="G105" s="99" t="s">
        <v>247</v>
      </c>
      <c r="K105" s="215"/>
      <c r="L105" s="172"/>
      <c r="M105" s="172"/>
      <c r="N105" s="172"/>
      <c r="O105" s="172"/>
      <c r="P105" s="173"/>
    </row>
    <row r="106" spans="1:16" ht="16.95" customHeight="1" x14ac:dyDescent="0.3">
      <c r="A106" s="12" t="str">
        <f>G100</f>
        <v>D2X</v>
      </c>
      <c r="C106" s="93">
        <f t="array" ref="C106:E108">MINVERSE(C100:E102)</f>
        <v>6.5111134358816154E-5</v>
      </c>
      <c r="D106" s="93">
        <v>6.5111134358816154E-5</v>
      </c>
      <c r="E106" s="93">
        <v>-3.9066680615289702E-5</v>
      </c>
      <c r="G106" s="17">
        <f>A100</f>
        <v>0</v>
      </c>
      <c r="K106" s="215"/>
      <c r="L106" s="172"/>
      <c r="M106" s="172"/>
      <c r="N106" s="172"/>
      <c r="O106" s="172"/>
      <c r="P106" s="173"/>
    </row>
    <row r="107" spans="1:16" ht="16.95" customHeight="1" x14ac:dyDescent="0.3">
      <c r="A107" s="12" t="str">
        <f>G101</f>
        <v>D3X</v>
      </c>
      <c r="B107" s="13" t="s">
        <v>220</v>
      </c>
      <c r="C107" s="93">
        <v>6.5111134358816154E-5</v>
      </c>
      <c r="D107" s="93">
        <v>9.2888912136593926E-5</v>
      </c>
      <c r="E107" s="93">
        <v>-5.5733347281956376E-5</v>
      </c>
      <c r="G107" s="17">
        <f>A101</f>
        <v>6000</v>
      </c>
      <c r="K107" s="215"/>
      <c r="L107" s="172"/>
      <c r="M107" s="172"/>
      <c r="N107" s="172"/>
      <c r="O107" s="172"/>
      <c r="P107" s="173"/>
    </row>
    <row r="108" spans="1:16" ht="16.95" customHeight="1" x14ac:dyDescent="0.3">
      <c r="A108" s="12" t="str">
        <f>G102</f>
        <v>D3Y</v>
      </c>
      <c r="C108" s="93">
        <v>-3.9066680615289695E-5</v>
      </c>
      <c r="D108" s="93">
        <v>-5.5733347281956369E-5</v>
      </c>
      <c r="E108" s="93">
        <v>6.4908637642942119E-5</v>
      </c>
      <c r="G108" s="17">
        <f>A102</f>
        <v>-4500</v>
      </c>
      <c r="K108" s="215"/>
      <c r="L108" s="172"/>
      <c r="M108" s="172"/>
      <c r="N108" s="172"/>
      <c r="O108" s="172"/>
      <c r="P108" s="173"/>
    </row>
    <row r="109" spans="1:16" ht="16.95" customHeight="1" x14ac:dyDescent="0.3">
      <c r="K109" s="215"/>
      <c r="L109" s="172"/>
      <c r="M109" s="172"/>
      <c r="N109" s="172"/>
      <c r="O109" s="172"/>
      <c r="P109" s="173"/>
    </row>
    <row r="110" spans="1:16" ht="16.95" customHeight="1" x14ac:dyDescent="0.3">
      <c r="C110" s="218" t="s">
        <v>265</v>
      </c>
      <c r="D110" s="173"/>
      <c r="K110" s="215"/>
      <c r="L110" s="172"/>
      <c r="M110" s="172"/>
      <c r="N110" s="172"/>
      <c r="O110" s="172"/>
      <c r="P110" s="173"/>
    </row>
    <row r="111" spans="1:16" ht="16.95" customHeight="1" x14ac:dyDescent="0.3">
      <c r="A111" s="99" t="s">
        <v>249</v>
      </c>
      <c r="C111" s="99" t="s">
        <v>266</v>
      </c>
      <c r="K111" s="215"/>
      <c r="L111" s="172"/>
      <c r="M111" s="172"/>
      <c r="N111" s="172"/>
      <c r="O111" s="172"/>
      <c r="P111" s="173"/>
    </row>
    <row r="112" spans="1:16" ht="16.95" customHeight="1" x14ac:dyDescent="0.3">
      <c r="A112" s="12" t="str">
        <f>A106</f>
        <v>D2X</v>
      </c>
      <c r="C112" s="94">
        <f t="array" ref="C112:C114">MMULT(C106:E108, G106:G108)</f>
        <v>0.56646686892170051</v>
      </c>
      <c r="D112" s="12" t="s">
        <v>267</v>
      </c>
      <c r="K112" s="215"/>
      <c r="L112" s="172"/>
      <c r="M112" s="172"/>
      <c r="N112" s="172"/>
      <c r="O112" s="172"/>
      <c r="P112" s="173"/>
    </row>
    <row r="113" spans="1:16" ht="16.95" customHeight="1" x14ac:dyDescent="0.3">
      <c r="A113" s="12" t="str">
        <f>A107</f>
        <v>D3X</v>
      </c>
      <c r="B113" s="13" t="s">
        <v>220</v>
      </c>
      <c r="C113" s="94">
        <v>0.8081335355883672</v>
      </c>
      <c r="D113" s="12" t="s">
        <v>267</v>
      </c>
      <c r="K113" s="215"/>
      <c r="L113" s="172"/>
      <c r="M113" s="172"/>
      <c r="N113" s="172"/>
      <c r="O113" s="172"/>
      <c r="P113" s="173"/>
    </row>
    <row r="114" spans="1:16" ht="16.95" customHeight="1" x14ac:dyDescent="0.3">
      <c r="A114" s="12" t="str">
        <f>A108</f>
        <v>D3Y</v>
      </c>
      <c r="C114" s="94">
        <v>-0.62648895308497776</v>
      </c>
      <c r="D114" s="12" t="s">
        <v>267</v>
      </c>
      <c r="K114" s="215"/>
      <c r="L114" s="172"/>
      <c r="M114" s="172"/>
      <c r="N114" s="172"/>
      <c r="O114" s="172"/>
      <c r="P114" s="173"/>
    </row>
    <row r="117" spans="1:16" ht="19.95" customHeight="1" x14ac:dyDescent="0.35">
      <c r="A117" s="11" t="s">
        <v>268</v>
      </c>
      <c r="K117" s="216" t="s">
        <v>269</v>
      </c>
      <c r="L117" s="172"/>
      <c r="M117" s="172"/>
      <c r="N117" s="172"/>
      <c r="O117" s="172"/>
      <c r="P117" s="173"/>
    </row>
    <row r="118" spans="1:16" ht="16.95" customHeight="1" x14ac:dyDescent="0.3">
      <c r="A118" s="99" t="s">
        <v>247</v>
      </c>
      <c r="G118" s="99" t="s">
        <v>249</v>
      </c>
      <c r="K118" s="215" t="s">
        <v>389</v>
      </c>
      <c r="L118" s="172"/>
      <c r="M118" s="172"/>
      <c r="N118" s="172"/>
      <c r="O118" s="172"/>
      <c r="P118" s="173"/>
    </row>
    <row r="119" spans="1:16" ht="16.95" customHeight="1" x14ac:dyDescent="0.3">
      <c r="A119" s="18" t="str">
        <f>INDEX(B$72:B$77, MATCH(H119, C$72:C$77, 0))</f>
        <v>C1X</v>
      </c>
      <c r="C119" s="9">
        <f t="shared" ref="C119:E121" si="9">INDEX($B$63:$G$68, MATCH($H119, $H$63:$H$68, 0), MATCH(C$99, $B$62:$G$62, 0))</f>
        <v>-15358.35629109414</v>
      </c>
      <c r="D119" s="9">
        <f t="shared" si="9"/>
        <v>-11439.964444212063</v>
      </c>
      <c r="E119" s="9">
        <f t="shared" si="9"/>
        <v>-19066.607407020103</v>
      </c>
      <c r="G119" s="95">
        <f>C112</f>
        <v>0.56646686892170051</v>
      </c>
      <c r="H119" s="14" t="str">
        <f>INDEX(C$80:C$85, MATCH(1, G$80:G$85, 0))</f>
        <v>U1X</v>
      </c>
      <c r="K119" s="215" t="s">
        <v>390</v>
      </c>
      <c r="L119" s="172"/>
      <c r="M119" s="172"/>
      <c r="N119" s="172"/>
      <c r="O119" s="172"/>
      <c r="P119" s="173"/>
    </row>
    <row r="120" spans="1:16" ht="16.95" customHeight="1" x14ac:dyDescent="0.3">
      <c r="A120" s="18" t="str">
        <f>INDEX(B$72:B$77, MATCH(H120, C$72:C$77, 0))</f>
        <v>C1Y</v>
      </c>
      <c r="B120" s="13" t="s">
        <v>220</v>
      </c>
      <c r="C120" s="9">
        <f t="shared" si="9"/>
        <v>19197.945363867675</v>
      </c>
      <c r="D120" s="9">
        <f t="shared" si="9"/>
        <v>-19066.607407020103</v>
      </c>
      <c r="E120" s="9">
        <f t="shared" si="9"/>
        <v>-31777.679011700169</v>
      </c>
      <c r="G120" s="95">
        <f>C113</f>
        <v>0.8081335355883672</v>
      </c>
      <c r="H120" s="14" t="str">
        <f>INDEX(C$80:C$85, MATCH(2, G$80:G$85, 0))</f>
        <v>U1Y</v>
      </c>
      <c r="K120" s="215" t="s">
        <v>391</v>
      </c>
      <c r="L120" s="172"/>
      <c r="M120" s="172"/>
      <c r="N120" s="172"/>
      <c r="O120" s="172"/>
      <c r="P120" s="173"/>
    </row>
    <row r="121" spans="1:16" ht="16.95" customHeight="1" x14ac:dyDescent="0.3">
      <c r="A121" s="18" t="str">
        <f>INDEX(B$72:B$77, MATCH(H121, C$72:C$77, 0))</f>
        <v>C2Y</v>
      </c>
      <c r="C121" s="9">
        <f t="shared" si="9"/>
        <v>-19197.945363867675</v>
      </c>
      <c r="D121" s="9">
        <f t="shared" si="9"/>
        <v>0</v>
      </c>
      <c r="E121" s="9">
        <f t="shared" si="9"/>
        <v>0</v>
      </c>
      <c r="G121" s="95">
        <f>C114</f>
        <v>-0.62648895308497776</v>
      </c>
      <c r="H121" s="14" t="str">
        <f>INDEX(C$80:C$85, MATCH(3, G$80:G$85, 0))</f>
        <v>U2Y</v>
      </c>
      <c r="K121" s="215" t="s">
        <v>392</v>
      </c>
      <c r="L121" s="172"/>
      <c r="M121" s="172"/>
      <c r="N121" s="172"/>
      <c r="O121" s="172"/>
      <c r="P121" s="173"/>
    </row>
    <row r="122" spans="1:16" ht="16.95" customHeight="1" x14ac:dyDescent="0.3">
      <c r="K122" s="215" t="s">
        <v>393</v>
      </c>
      <c r="L122" s="172"/>
      <c r="M122" s="172"/>
      <c r="N122" s="172"/>
      <c r="O122" s="172"/>
      <c r="P122" s="173"/>
    </row>
    <row r="123" spans="1:16" ht="16.95" customHeight="1" x14ac:dyDescent="0.3">
      <c r="A123" s="12" t="str">
        <f>A119</f>
        <v>C1X</v>
      </c>
      <c r="C123" s="17">
        <f t="array" ref="C123:C125">MMULT(C119:E121, G119:G121)</f>
        <v>-5999.9999999999964</v>
      </c>
      <c r="D123" s="12" t="s">
        <v>273</v>
      </c>
      <c r="K123" s="215" t="s">
        <v>394</v>
      </c>
      <c r="L123" s="172"/>
      <c r="M123" s="172"/>
      <c r="N123" s="172"/>
      <c r="O123" s="172"/>
      <c r="P123" s="173"/>
    </row>
    <row r="124" spans="1:16" ht="16.95" customHeight="1" x14ac:dyDescent="0.3">
      <c r="A124" s="12" t="str">
        <f>A120</f>
        <v>C1Y</v>
      </c>
      <c r="B124" s="13" t="s">
        <v>220</v>
      </c>
      <c r="C124" s="17">
        <v>15375.000000000002</v>
      </c>
      <c r="D124" s="12" t="s">
        <v>273</v>
      </c>
      <c r="K124" s="215"/>
      <c r="L124" s="172"/>
      <c r="M124" s="172"/>
      <c r="N124" s="172"/>
      <c r="O124" s="172"/>
      <c r="P124" s="173"/>
    </row>
    <row r="125" spans="1:16" ht="16.95" customHeight="1" x14ac:dyDescent="0.3">
      <c r="A125" s="12" t="str">
        <f>A121</f>
        <v>C2Y</v>
      </c>
      <c r="C125" s="17">
        <v>-10874.999999999998</v>
      </c>
      <c r="D125" s="12" t="s">
        <v>273</v>
      </c>
      <c r="K125" s="215"/>
      <c r="L125" s="172"/>
      <c r="M125" s="172"/>
      <c r="N125" s="172"/>
      <c r="O125" s="172"/>
      <c r="P125" s="173"/>
    </row>
    <row r="128" spans="1:16" ht="19.95" customHeight="1" x14ac:dyDescent="0.35">
      <c r="A128" s="11" t="s">
        <v>274</v>
      </c>
    </row>
    <row r="130" spans="1:16" ht="19.05" customHeight="1" x14ac:dyDescent="0.3">
      <c r="A130" s="12" t="s">
        <v>228</v>
      </c>
      <c r="B130" s="12" t="s">
        <v>178</v>
      </c>
      <c r="D130" s="94">
        <f t="shared" ref="D130:D135" si="10">IFERROR(INDEX(C$112:C$114, MATCH(A130, A$112:A$114, 0)), 0)</f>
        <v>0</v>
      </c>
    </row>
    <row r="131" spans="1:16" ht="19.05" customHeight="1" x14ac:dyDescent="0.3">
      <c r="A131" s="12" t="s">
        <v>229</v>
      </c>
      <c r="B131" s="12" t="s">
        <v>179</v>
      </c>
      <c r="D131" s="94">
        <f t="shared" si="10"/>
        <v>0</v>
      </c>
    </row>
    <row r="132" spans="1:16" ht="19.05" customHeight="1" x14ac:dyDescent="0.3">
      <c r="A132" s="12" t="s">
        <v>230</v>
      </c>
      <c r="B132" s="12" t="s">
        <v>180</v>
      </c>
      <c r="D132" s="94">
        <f t="shared" si="10"/>
        <v>0.56646686892170051</v>
      </c>
    </row>
    <row r="133" spans="1:16" ht="19.05" customHeight="1" x14ac:dyDescent="0.3">
      <c r="A133" s="12" t="s">
        <v>231</v>
      </c>
      <c r="B133" s="12" t="s">
        <v>181</v>
      </c>
      <c r="D133" s="94">
        <f t="shared" si="10"/>
        <v>0</v>
      </c>
    </row>
    <row r="134" spans="1:16" ht="19.05" customHeight="1" x14ac:dyDescent="0.3">
      <c r="A134" s="12" t="s">
        <v>232</v>
      </c>
      <c r="B134" s="12" t="s">
        <v>182</v>
      </c>
      <c r="D134" s="94">
        <f t="shared" si="10"/>
        <v>0.8081335355883672</v>
      </c>
    </row>
    <row r="135" spans="1:16" ht="19.05" customHeight="1" x14ac:dyDescent="0.3">
      <c r="A135" s="12" t="s">
        <v>234</v>
      </c>
      <c r="B135" s="12" t="s">
        <v>183</v>
      </c>
      <c r="D135" s="94">
        <f t="shared" si="10"/>
        <v>-0.62648895308497776</v>
      </c>
    </row>
    <row r="138" spans="1:16" ht="19.95" customHeight="1" x14ac:dyDescent="0.35">
      <c r="A138" s="11" t="s">
        <v>275</v>
      </c>
      <c r="K138" s="216" t="s">
        <v>276</v>
      </c>
      <c r="L138" s="172"/>
      <c r="M138" s="172"/>
      <c r="N138" s="172"/>
      <c r="O138" s="172"/>
      <c r="P138" s="173"/>
    </row>
    <row r="139" spans="1:16" ht="16.95" customHeight="1" x14ac:dyDescent="0.3">
      <c r="K139" s="215" t="s">
        <v>395</v>
      </c>
      <c r="L139" s="172"/>
      <c r="M139" s="172"/>
      <c r="N139" s="172"/>
      <c r="O139" s="172"/>
      <c r="P139" s="173"/>
    </row>
    <row r="140" spans="1:16" ht="16.95" customHeight="1" x14ac:dyDescent="0.3">
      <c r="A140" s="19" t="s">
        <v>278</v>
      </c>
      <c r="C140" s="19" t="s">
        <v>279</v>
      </c>
      <c r="D140" s="19" t="s">
        <v>280</v>
      </c>
      <c r="E140" s="19" t="s">
        <v>279</v>
      </c>
      <c r="F140" s="19" t="s">
        <v>280</v>
      </c>
      <c r="G140" s="19" t="s">
        <v>249</v>
      </c>
      <c r="K140" s="215" t="s">
        <v>396</v>
      </c>
      <c r="L140" s="172"/>
      <c r="M140" s="172"/>
      <c r="N140" s="172"/>
      <c r="O140" s="172"/>
      <c r="P140" s="173"/>
    </row>
    <row r="141" spans="1:16" ht="16.95" customHeight="1" x14ac:dyDescent="0.3">
      <c r="C141" s="19" t="s">
        <v>282</v>
      </c>
      <c r="D141" s="19" t="s">
        <v>282</v>
      </c>
      <c r="E141" s="19" t="s">
        <v>283</v>
      </c>
      <c r="F141" s="19" t="s">
        <v>283</v>
      </c>
      <c r="K141" s="215" t="s">
        <v>397</v>
      </c>
      <c r="L141" s="172"/>
      <c r="M141" s="172"/>
      <c r="N141" s="172"/>
      <c r="O141" s="172"/>
      <c r="P141" s="173"/>
    </row>
    <row r="142" spans="1:16" ht="16.95" customHeight="1" x14ac:dyDescent="0.3">
      <c r="A142" s="17">
        <f>N6</f>
        <v>39355.787995928731</v>
      </c>
      <c r="C142" s="92">
        <f>-J6</f>
        <v>-0.62469504755442429</v>
      </c>
      <c r="D142" s="92">
        <f>-K6</f>
        <v>0.78086880944303039</v>
      </c>
      <c r="E142" s="92">
        <f>J6</f>
        <v>0.62469504755442429</v>
      </c>
      <c r="F142" s="92">
        <f>K6</f>
        <v>-0.78086880944303039</v>
      </c>
      <c r="G142" s="96">
        <f>IFERROR(VLOOKUP(H142, A$130:D$135, 4, FALSE), 0)</f>
        <v>0</v>
      </c>
      <c r="H142" s="12" t="str">
        <f>"D" &amp; C12 &amp; "X"</f>
        <v>D1X</v>
      </c>
      <c r="K142" s="215" t="s">
        <v>398</v>
      </c>
      <c r="L142" s="172"/>
      <c r="M142" s="172"/>
      <c r="N142" s="172"/>
      <c r="O142" s="172"/>
      <c r="P142" s="173"/>
    </row>
    <row r="143" spans="1:16" ht="16.95" customHeight="1" x14ac:dyDescent="0.3">
      <c r="A143" s="99" t="s">
        <v>285</v>
      </c>
      <c r="B143" s="97">
        <f>(MMULT(C142:F142, G142:G145)*A142)</f>
        <v>13926.795216416444</v>
      </c>
      <c r="G143" s="96">
        <f>IFERROR(VLOOKUP(H143, A$130:D$135, 4, FALSE), 0)</f>
        <v>0</v>
      </c>
      <c r="H143" s="12" t="str">
        <f>"D" &amp; D12 &amp; "Y"</f>
        <v>D1Y</v>
      </c>
      <c r="K143" s="215" t="s">
        <v>399</v>
      </c>
      <c r="L143" s="172"/>
      <c r="M143" s="172"/>
      <c r="N143" s="172"/>
      <c r="O143" s="172"/>
      <c r="P143" s="173"/>
    </row>
    <row r="144" spans="1:16" ht="16.95" customHeight="1" x14ac:dyDescent="0.3">
      <c r="G144" s="96">
        <f>IFERROR(VLOOKUP(H144, A$130:D$135, 4, FALSE), 0)</f>
        <v>0.56646686892170051</v>
      </c>
      <c r="H144" s="12" t="str">
        <f>"D" &amp; E12 &amp; "X"</f>
        <v>D2X</v>
      </c>
      <c r="K144" s="215" t="s">
        <v>400</v>
      </c>
      <c r="L144" s="172"/>
      <c r="M144" s="172"/>
      <c r="N144" s="172"/>
      <c r="O144" s="172"/>
      <c r="P144" s="173"/>
    </row>
    <row r="145" spans="1:16" ht="16.95" customHeight="1" x14ac:dyDescent="0.3">
      <c r="G145" s="96">
        <f>IFERROR(VLOOKUP(H145, A$130:D$135, 4, FALSE), 0)</f>
        <v>0</v>
      </c>
      <c r="H145" s="12" t="str">
        <f>"D" &amp; F12 &amp; "Y"</f>
        <v>D2Y</v>
      </c>
      <c r="K145" s="215" t="s">
        <v>401</v>
      </c>
      <c r="L145" s="172"/>
      <c r="M145" s="172"/>
      <c r="N145" s="172"/>
      <c r="O145" s="172"/>
      <c r="P145" s="173"/>
    </row>
    <row r="146" spans="1:16" ht="16.95" customHeight="1" x14ac:dyDescent="0.3">
      <c r="B146" s="99" t="s">
        <v>273</v>
      </c>
      <c r="C146" s="178" t="str">
        <f>IF(B143&gt;0.001,"BARRA A TRACCIÓN (+)",IF(B143&lt;-0.001,"BARRA A COMPRESIÓN (-)","BARRA DE FUERZA NULA"))</f>
        <v>BARRA A TRACCIÓN (+)</v>
      </c>
      <c r="D146" s="172"/>
      <c r="E146" s="172"/>
      <c r="F146" s="173"/>
      <c r="K146" s="215" t="s">
        <v>402</v>
      </c>
      <c r="L146" s="172"/>
      <c r="M146" s="172"/>
      <c r="N146" s="172"/>
      <c r="O146" s="172"/>
      <c r="P146" s="173"/>
    </row>
    <row r="147" spans="1:16" ht="16.95" customHeight="1" x14ac:dyDescent="0.3">
      <c r="K147" s="215" t="s">
        <v>403</v>
      </c>
      <c r="L147" s="172"/>
      <c r="M147" s="172"/>
      <c r="N147" s="172"/>
      <c r="O147" s="172"/>
      <c r="P147" s="173"/>
    </row>
    <row r="148" spans="1:16" ht="16.95" customHeight="1" x14ac:dyDescent="0.3">
      <c r="A148" s="19" t="s">
        <v>278</v>
      </c>
      <c r="C148" s="19" t="s">
        <v>279</v>
      </c>
      <c r="D148" s="19" t="s">
        <v>280</v>
      </c>
      <c r="E148" s="19" t="s">
        <v>279</v>
      </c>
      <c r="F148" s="19" t="s">
        <v>280</v>
      </c>
      <c r="G148" s="19" t="s">
        <v>249</v>
      </c>
      <c r="K148" s="215"/>
      <c r="L148" s="172"/>
      <c r="M148" s="172"/>
      <c r="N148" s="172"/>
      <c r="O148" s="172"/>
      <c r="P148" s="173"/>
    </row>
    <row r="149" spans="1:16" ht="16.95" customHeight="1" x14ac:dyDescent="0.3">
      <c r="C149" s="19" t="s">
        <v>282</v>
      </c>
      <c r="D149" s="19" t="s">
        <v>282</v>
      </c>
      <c r="E149" s="19" t="s">
        <v>283</v>
      </c>
      <c r="F149" s="19" t="s">
        <v>283</v>
      </c>
      <c r="K149" s="215"/>
      <c r="L149" s="172"/>
      <c r="M149" s="172"/>
      <c r="N149" s="172"/>
      <c r="O149" s="172"/>
      <c r="P149" s="173"/>
    </row>
    <row r="150" spans="1:16" ht="16.95" customHeight="1" x14ac:dyDescent="0.3">
      <c r="A150" s="17">
        <f>N7</f>
        <v>36000</v>
      </c>
      <c r="C150" s="92">
        <f>-J7</f>
        <v>1</v>
      </c>
      <c r="D150" s="92">
        <f>-K7</f>
        <v>0</v>
      </c>
      <c r="E150" s="92">
        <f>J7</f>
        <v>-1</v>
      </c>
      <c r="F150" s="92">
        <f>K7</f>
        <v>0</v>
      </c>
      <c r="G150" s="96">
        <f>IFERROR(VLOOKUP(H150, A$130:D$135, 4, FALSE), 0)</f>
        <v>0.56646686892170051</v>
      </c>
      <c r="H150" s="12" t="str">
        <f>"D" &amp; C13 &amp; "X"</f>
        <v>D2X</v>
      </c>
      <c r="K150" s="215"/>
      <c r="L150" s="172"/>
      <c r="M150" s="172"/>
      <c r="N150" s="172"/>
      <c r="O150" s="172"/>
      <c r="P150" s="173"/>
    </row>
    <row r="151" spans="1:16" ht="16.95" customHeight="1" x14ac:dyDescent="0.3">
      <c r="A151" s="99" t="s">
        <v>286</v>
      </c>
      <c r="B151" s="97">
        <f>(MMULT(C150:F150, G150:G153)*A150)</f>
        <v>-8700.0000000000018</v>
      </c>
      <c r="G151" s="96">
        <f>IFERROR(VLOOKUP(H151, A$130:D$135, 4, FALSE), 0)</f>
        <v>0</v>
      </c>
      <c r="H151" s="12" t="str">
        <f>"D" &amp; D13 &amp; "Y"</f>
        <v>D2Y</v>
      </c>
      <c r="K151" s="215"/>
      <c r="L151" s="172"/>
      <c r="M151" s="172"/>
      <c r="N151" s="172"/>
      <c r="O151" s="172"/>
      <c r="P151" s="173"/>
    </row>
    <row r="152" spans="1:16" ht="16.95" customHeight="1" x14ac:dyDescent="0.3">
      <c r="G152" s="96">
        <f>IFERROR(VLOOKUP(H152, A$130:D$135, 4, FALSE), 0)</f>
        <v>0.8081335355883672</v>
      </c>
      <c r="H152" s="12" t="str">
        <f>"D" &amp; E13 &amp; "X"</f>
        <v>D3X</v>
      </c>
      <c r="K152" s="215"/>
      <c r="L152" s="172"/>
      <c r="M152" s="172"/>
      <c r="N152" s="172"/>
      <c r="O152" s="172"/>
      <c r="P152" s="173"/>
    </row>
    <row r="153" spans="1:16" ht="16.95" customHeight="1" x14ac:dyDescent="0.3">
      <c r="G153" s="96">
        <f>IFERROR(VLOOKUP(H153, A$130:D$135, 4, FALSE), 0)</f>
        <v>-0.62648895308497776</v>
      </c>
      <c r="H153" s="12" t="str">
        <f>"D" &amp; F13 &amp; "Y"</f>
        <v>D3Y</v>
      </c>
      <c r="K153" s="215"/>
      <c r="L153" s="172"/>
      <c r="M153" s="172"/>
      <c r="N153" s="172"/>
      <c r="O153" s="172"/>
      <c r="P153" s="173"/>
    </row>
    <row r="154" spans="1:16" ht="16.95" customHeight="1" x14ac:dyDescent="0.3">
      <c r="B154" s="99" t="s">
        <v>273</v>
      </c>
      <c r="C154" s="178" t="str">
        <f>IF(B151&gt;0.001,"BARRA A TRACCIÓN (+)",IF(B151&lt;-0.001,"BARRA A COMPRESIÓN (-)","BARRA DE FUERZA NULA"))</f>
        <v>BARRA A COMPRESIÓN (-)</v>
      </c>
      <c r="D154" s="172"/>
      <c r="E154" s="172"/>
      <c r="F154" s="173"/>
      <c r="K154" s="215"/>
      <c r="L154" s="172"/>
      <c r="M154" s="172"/>
      <c r="N154" s="172"/>
      <c r="O154" s="172"/>
      <c r="P154" s="173"/>
    </row>
    <row r="155" spans="1:16" ht="16.95" customHeight="1" x14ac:dyDescent="0.3">
      <c r="K155" s="215"/>
      <c r="L155" s="172"/>
      <c r="M155" s="172"/>
      <c r="N155" s="172"/>
      <c r="O155" s="172"/>
      <c r="P155" s="173"/>
    </row>
    <row r="156" spans="1:16" ht="16.95" customHeight="1" x14ac:dyDescent="0.3">
      <c r="A156" s="19" t="s">
        <v>278</v>
      </c>
      <c r="C156" s="19" t="s">
        <v>279</v>
      </c>
      <c r="D156" s="19" t="s">
        <v>280</v>
      </c>
      <c r="E156" s="19" t="s">
        <v>279</v>
      </c>
      <c r="F156" s="19" t="s">
        <v>280</v>
      </c>
      <c r="G156" s="19" t="s">
        <v>249</v>
      </c>
      <c r="K156" s="215"/>
      <c r="L156" s="172"/>
      <c r="M156" s="172"/>
      <c r="N156" s="172"/>
      <c r="O156" s="172"/>
      <c r="P156" s="173"/>
    </row>
    <row r="157" spans="1:16" ht="16.95" customHeight="1" x14ac:dyDescent="0.3">
      <c r="C157" s="19" t="s">
        <v>282</v>
      </c>
      <c r="D157" s="19" t="s">
        <v>282</v>
      </c>
      <c r="E157" s="19" t="s">
        <v>283</v>
      </c>
      <c r="F157" s="19" t="s">
        <v>283</v>
      </c>
      <c r="K157" s="215"/>
      <c r="L157" s="172"/>
      <c r="M157" s="172"/>
      <c r="N157" s="172"/>
      <c r="O157" s="172"/>
      <c r="P157" s="173"/>
    </row>
    <row r="158" spans="1:16" ht="16.95" customHeight="1" x14ac:dyDescent="0.3">
      <c r="A158" s="17">
        <f>N8</f>
        <v>43217.643455912228</v>
      </c>
      <c r="C158" s="92">
        <f>-J8</f>
        <v>-0.51449575542752657</v>
      </c>
      <c r="D158" s="92">
        <f>-K8</f>
        <v>-0.85749292571254421</v>
      </c>
      <c r="E158" s="92">
        <f>J8</f>
        <v>0.51449575542752657</v>
      </c>
      <c r="F158" s="92">
        <f>K8</f>
        <v>0.85749292571254421</v>
      </c>
      <c r="G158" s="96">
        <f>IFERROR(VLOOKUP(H158, A$130:D$135, 4, FALSE), 0)</f>
        <v>0.8081335355883672</v>
      </c>
      <c r="H158" s="12" t="str">
        <f>"D" &amp; C14 &amp; "X"</f>
        <v>D3X</v>
      </c>
      <c r="K158" s="215"/>
      <c r="L158" s="172"/>
      <c r="M158" s="172"/>
      <c r="N158" s="172"/>
      <c r="O158" s="172"/>
      <c r="P158" s="173"/>
    </row>
    <row r="159" spans="1:16" ht="16.95" customHeight="1" x14ac:dyDescent="0.3">
      <c r="A159" s="99" t="s">
        <v>287</v>
      </c>
      <c r="B159" s="97">
        <f>(MMULT(C158:F158, G158:G161)*A158)</f>
        <v>5247.8567053607758</v>
      </c>
      <c r="G159" s="96">
        <f>IFERROR(VLOOKUP(H159, A$130:D$135, 4, FALSE), 0)</f>
        <v>-0.62648895308497776</v>
      </c>
      <c r="H159" s="12" t="str">
        <f>"D" &amp; D14 &amp; "Y"</f>
        <v>D3Y</v>
      </c>
      <c r="K159" s="215"/>
      <c r="L159" s="172"/>
      <c r="M159" s="172"/>
      <c r="N159" s="172"/>
      <c r="O159" s="172"/>
      <c r="P159" s="173"/>
    </row>
    <row r="160" spans="1:16" ht="16.95" customHeight="1" x14ac:dyDescent="0.3">
      <c r="G160" s="96">
        <f>IFERROR(VLOOKUP(H160, A$130:D$135, 4, FALSE), 0)</f>
        <v>0</v>
      </c>
      <c r="H160" s="12" t="str">
        <f>"D" &amp; E14 &amp; "X"</f>
        <v>D1X</v>
      </c>
      <c r="K160" s="215"/>
      <c r="L160" s="172"/>
      <c r="M160" s="172"/>
      <c r="N160" s="172"/>
      <c r="O160" s="172"/>
      <c r="P160" s="173"/>
    </row>
    <row r="161" spans="2:16" ht="16.95" customHeight="1" x14ac:dyDescent="0.3">
      <c r="G161" s="96">
        <f>IFERROR(VLOOKUP(H161, A$130:D$135, 4, FALSE), 0)</f>
        <v>0</v>
      </c>
      <c r="H161" s="12" t="str">
        <f>"D" &amp; F14 &amp; "Y"</f>
        <v>D1Y</v>
      </c>
      <c r="K161" s="215"/>
      <c r="L161" s="172"/>
      <c r="M161" s="172"/>
      <c r="N161" s="172"/>
      <c r="O161" s="172"/>
      <c r="P161" s="173"/>
    </row>
    <row r="162" spans="2:16" ht="16.95" customHeight="1" x14ac:dyDescent="0.3">
      <c r="B162" s="99" t="s">
        <v>273</v>
      </c>
      <c r="C162" s="178" t="str">
        <f>IF(B159&gt;0.001,"BARRA A TRACCIÓN (+)",IF(B159&lt;-0.001,"BARRA A COMPRESIÓN (-)","BARRA DE FUERZA NULA"))</f>
        <v>BARRA A TRACCIÓN (+)</v>
      </c>
      <c r="D162" s="172"/>
      <c r="E162" s="172"/>
      <c r="F162" s="173"/>
      <c r="K162" s="215"/>
      <c r="L162" s="172"/>
      <c r="M162" s="172"/>
      <c r="N162" s="172"/>
      <c r="O162" s="172"/>
      <c r="P162" s="173"/>
    </row>
    <row r="163" spans="2:16" ht="16.95" customHeight="1" x14ac:dyDescent="0.3">
      <c r="K163" s="215"/>
      <c r="L163" s="172"/>
      <c r="M163" s="172"/>
      <c r="N163" s="172"/>
      <c r="O163" s="172"/>
      <c r="P163" s="173"/>
    </row>
    <row r="165" spans="2:16" ht="22.05" customHeight="1" x14ac:dyDescent="0.3">
      <c r="B165" s="217" t="s">
        <v>404</v>
      </c>
      <c r="C165" s="175"/>
      <c r="D165" s="175"/>
      <c r="E165" s="175"/>
      <c r="F165" s="175"/>
      <c r="G165" s="175"/>
      <c r="H165" s="17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640.31242374328485</v>
      </c>
      <c r="F167" s="9">
        <f>L6</f>
        <v>12</v>
      </c>
      <c r="G167" s="97">
        <f>B143</f>
        <v>13926.795216416444</v>
      </c>
      <c r="H167" s="84" t="str">
        <f>C146</f>
        <v>BARRA A TRACCIÓN (+)</v>
      </c>
    </row>
    <row r="168" spans="2:16" ht="19.95" customHeight="1" x14ac:dyDescent="0.3">
      <c r="B168" s="25">
        <v>2</v>
      </c>
      <c r="C168" s="86">
        <f>C13</f>
        <v>2</v>
      </c>
      <c r="D168" s="86">
        <f>E13</f>
        <v>3</v>
      </c>
      <c r="E168" s="9">
        <f>I7</f>
        <v>700</v>
      </c>
      <c r="F168" s="9">
        <f>L7</f>
        <v>12</v>
      </c>
      <c r="G168" s="97">
        <f>B151</f>
        <v>-8700.0000000000018</v>
      </c>
      <c r="H168" s="84" t="str">
        <f>C154</f>
        <v>BARRA A COMPRESIÓN (-)</v>
      </c>
    </row>
    <row r="169" spans="2:16" ht="19.95" customHeight="1" x14ac:dyDescent="0.3">
      <c r="B169" s="26">
        <v>3</v>
      </c>
      <c r="C169" s="86">
        <f>C14</f>
        <v>3</v>
      </c>
      <c r="D169" s="86">
        <f>E14</f>
        <v>1</v>
      </c>
      <c r="E169" s="9">
        <f>I8</f>
        <v>583.09518948453001</v>
      </c>
      <c r="F169" s="9">
        <f>L8</f>
        <v>12</v>
      </c>
      <c r="G169" s="97">
        <f>B159</f>
        <v>5247.8567053607758</v>
      </c>
      <c r="H169" s="84" t="str">
        <f>C162</f>
        <v>BARRA A TRACCIÓN (+)</v>
      </c>
    </row>
  </sheetData>
  <mergeCells count="102">
    <mergeCell ref="C162:F162"/>
    <mergeCell ref="K78:P78"/>
    <mergeCell ref="K85:P85"/>
    <mergeCell ref="K100:P100"/>
    <mergeCell ref="K94:P94"/>
    <mergeCell ref="K75:P7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K105:P105"/>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410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300</v>
      </c>
      <c r="AB5" s="20">
        <f>IF(F28="","",F28)</f>
        <v>519.6</v>
      </c>
      <c r="AC5" t="s">
        <v>313</v>
      </c>
    </row>
    <row r="6" spans="2:29" ht="24" customHeight="1" x14ac:dyDescent="0.3">
      <c r="B6" s="206">
        <f>COUNT(C14:C23)</f>
        <v>3</v>
      </c>
      <c r="C6" s="173"/>
      <c r="D6" s="206">
        <f>COUNT(C28:C42)</f>
        <v>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600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600</v>
      </c>
      <c r="AB8" s="20">
        <f>IF(F29="","",F29)</f>
        <v>0</v>
      </c>
      <c r="AC8" t="s">
        <v>316</v>
      </c>
    </row>
    <row r="9" spans="2:29" x14ac:dyDescent="0.3">
      <c r="AA9" s="20">
        <f>IF(G29="","",G29)</f>
        <v>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300</v>
      </c>
      <c r="AB12" s="20">
        <f>IF(H30="","",H30)</f>
        <v>519.6</v>
      </c>
      <c r="AC12" t="s">
        <v>325</v>
      </c>
    </row>
    <row r="14" spans="2:29" ht="19.05" customHeight="1" x14ac:dyDescent="0.3">
      <c r="B14" s="89">
        <v>1</v>
      </c>
      <c r="C14" s="21">
        <v>300</v>
      </c>
      <c r="D14" s="21">
        <v>519.6</v>
      </c>
      <c r="E14" s="21" t="s">
        <v>326</v>
      </c>
      <c r="F14" s="88">
        <f t="shared" ref="F14:F23" si="0">IF(OR(ISBLANK(C14),C14=""),"",IF(E14="Fijo (articulado)",1,IF(E14="Rodillo X (despl. Y libre)",1,0)))</f>
        <v>0</v>
      </c>
      <c r="G14" s="88">
        <f t="shared" ref="G14:G23" si="1">IF(OR(ISBLANK(C14),C14=""),"",IF(E14="Fijo (articulado)",1,IF(E14="Rodillo Y (despl. X libre)",1,0)))</f>
        <v>0</v>
      </c>
      <c r="H14" s="22">
        <v>0</v>
      </c>
      <c r="I14" s="22">
        <v>-8000</v>
      </c>
      <c r="J14" s="205" t="s">
        <v>411</v>
      </c>
      <c r="K14" s="172"/>
      <c r="L14" s="172"/>
      <c r="M14" s="172"/>
      <c r="N14" s="172"/>
      <c r="O14" s="173"/>
      <c r="AA14" s="20" t="str">
        <f>IF(E31="","",E31)</f>
        <v/>
      </c>
      <c r="AB14" s="20" t="str">
        <f>IF(F31="","",F31)</f>
        <v/>
      </c>
      <c r="AC14" t="s">
        <v>328</v>
      </c>
    </row>
    <row r="15" spans="2:29" ht="19.05" customHeight="1" x14ac:dyDescent="0.3">
      <c r="B15" s="89">
        <v>2</v>
      </c>
      <c r="C15" s="21">
        <v>600</v>
      </c>
      <c r="D15" s="21">
        <v>0</v>
      </c>
      <c r="E15" s="21" t="s">
        <v>329</v>
      </c>
      <c r="F15" s="88">
        <f t="shared" si="0"/>
        <v>0</v>
      </c>
      <c r="G15" s="88">
        <f t="shared" si="1"/>
        <v>1</v>
      </c>
      <c r="H15" s="22">
        <v>0</v>
      </c>
      <c r="I15" s="22">
        <v>0</v>
      </c>
      <c r="J15" s="205" t="s">
        <v>407</v>
      </c>
      <c r="K15" s="172"/>
      <c r="L15" s="172"/>
      <c r="M15" s="172"/>
      <c r="N15" s="172"/>
      <c r="O15" s="173"/>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205" t="s">
        <v>412</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519.6</v>
      </c>
      <c r="G28" s="5">
        <f t="shared" ref="G28:G42" si="4">IF(OR(ISBLANK(D28),D28=""),"",VLOOKUP(D28,$B$14:$D$23,2,FALSE))</f>
        <v>600</v>
      </c>
      <c r="H28" s="5">
        <f t="shared" ref="H28:H42" si="5">IF(OR(ISBLANK(D28),D28=""),"",VLOOKUP(D28,$B$14:$D$23,3,FALSE))</f>
        <v>0</v>
      </c>
      <c r="I28" s="9">
        <f t="shared" ref="I28:I42" si="6">IF(G28="","",G28-E28)</f>
        <v>300</v>
      </c>
      <c r="J28" s="9">
        <f t="shared" ref="J28:J42" si="7">IF(H28="","",H28-F28)</f>
        <v>-519.6</v>
      </c>
      <c r="K28" s="9">
        <f t="shared" ref="K28:K42" si="8">IF(I28="","",SQRT(I28^2+J28^2))</f>
        <v>599.9867998547968</v>
      </c>
      <c r="L28" s="92">
        <f t="shared" ref="L28:L42" si="9">IF(K28="","",I28/K28)</f>
        <v>0.50001100036301327</v>
      </c>
      <c r="M28" s="92">
        <f t="shared" ref="M28:M42" si="10">IF(K28="","",J28/K28)</f>
        <v>-0.86601905262873913</v>
      </c>
      <c r="N28" s="22">
        <v>12</v>
      </c>
      <c r="O28" s="24">
        <v>2100000</v>
      </c>
    </row>
    <row r="29" spans="2:29" ht="19.05" customHeight="1" x14ac:dyDescent="0.3">
      <c r="B29" s="89">
        <v>2</v>
      </c>
      <c r="C29" s="23">
        <v>2</v>
      </c>
      <c r="D29" s="23">
        <v>3</v>
      </c>
      <c r="E29" s="5">
        <f t="shared" si="2"/>
        <v>600</v>
      </c>
      <c r="F29" s="5">
        <f t="shared" si="3"/>
        <v>0</v>
      </c>
      <c r="G29" s="5">
        <f t="shared" si="4"/>
        <v>0</v>
      </c>
      <c r="H29" s="5">
        <f t="shared" si="5"/>
        <v>0</v>
      </c>
      <c r="I29" s="9">
        <f t="shared" si="6"/>
        <v>-600</v>
      </c>
      <c r="J29" s="9">
        <f t="shared" si="7"/>
        <v>0</v>
      </c>
      <c r="K29" s="9">
        <f t="shared" si="8"/>
        <v>600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519.6</v>
      </c>
      <c r="I30" s="9">
        <f t="shared" si="6"/>
        <v>300</v>
      </c>
      <c r="J30" s="9">
        <f t="shared" si="7"/>
        <v>519.6</v>
      </c>
      <c r="K30" s="9">
        <f t="shared" si="8"/>
        <v>599.9867998547968</v>
      </c>
      <c r="L30" s="92">
        <f t="shared" si="9"/>
        <v>0.50001100036301327</v>
      </c>
      <c r="M30" s="92">
        <f t="shared" si="10"/>
        <v>0.86601905262873913</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700-000000000000}">
      <formula1>"Fijo (articulado),Rodillo Y (despl. X libre),Rodillo X (despl. Y libre),Libre (0 reac.)"</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413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GRAFICA_03!E28</f>
        <v>300</v>
      </c>
      <c r="D6" s="22">
        <f>GRAFICA_03!F28</f>
        <v>519.6</v>
      </c>
      <c r="E6" s="22">
        <f>GRAFICA_03!G28</f>
        <v>600</v>
      </c>
      <c r="F6" s="22">
        <f>GRAFICA_03!H28</f>
        <v>0</v>
      </c>
      <c r="G6" s="9">
        <f t="shared" ref="G6:H8" si="0">E6-C6</f>
        <v>300</v>
      </c>
      <c r="H6" s="9">
        <f t="shared" si="0"/>
        <v>-519.6</v>
      </c>
      <c r="I6" s="9">
        <f>SQRT(G6*G6+H6*H6)</f>
        <v>599.9867998547968</v>
      </c>
      <c r="J6" s="92">
        <f>G6/I6</f>
        <v>0.50001100036301327</v>
      </c>
      <c r="K6" s="92">
        <f>H6/I6</f>
        <v>-0.86601905262873913</v>
      </c>
      <c r="L6" s="22">
        <f>GRAFICA_03!N28</f>
        <v>12</v>
      </c>
      <c r="M6" s="22">
        <f>GRAFICA_03!O28</f>
        <v>2100000</v>
      </c>
      <c r="N6" s="6">
        <f>L6*M6/I6</f>
        <v>42000.924030493115</v>
      </c>
    </row>
    <row r="7" spans="2:14" ht="19.05" customHeight="1" x14ac:dyDescent="0.3">
      <c r="B7" s="25">
        <v>2</v>
      </c>
      <c r="C7" s="22">
        <f>GRAFICA_03!E29</f>
        <v>600</v>
      </c>
      <c r="D7" s="22">
        <f>GRAFICA_03!F29</f>
        <v>0</v>
      </c>
      <c r="E7" s="22">
        <f>GRAFICA_03!G29</f>
        <v>0</v>
      </c>
      <c r="F7" s="22">
        <f>GRAFICA_03!H29</f>
        <v>0</v>
      </c>
      <c r="G7" s="9">
        <f t="shared" si="0"/>
        <v>-600</v>
      </c>
      <c r="H7" s="9">
        <f t="shared" si="0"/>
        <v>0</v>
      </c>
      <c r="I7" s="9">
        <f>SQRT(G7*G7+H7*H7)</f>
        <v>600</v>
      </c>
      <c r="J7" s="92">
        <f>G7/I7</f>
        <v>-1</v>
      </c>
      <c r="K7" s="92">
        <f>H7/I7</f>
        <v>0</v>
      </c>
      <c r="L7" s="22">
        <f>GRAFICA_03!N29</f>
        <v>12</v>
      </c>
      <c r="M7" s="22">
        <f>GRAFICA_03!O29</f>
        <v>2100000</v>
      </c>
      <c r="N7" s="6">
        <f>L7*M7/I7</f>
        <v>42000</v>
      </c>
    </row>
    <row r="8" spans="2:14" ht="19.05" customHeight="1" x14ac:dyDescent="0.3">
      <c r="B8" s="26">
        <v>3</v>
      </c>
      <c r="C8" s="22">
        <f>GRAFICA_03!E30</f>
        <v>0</v>
      </c>
      <c r="D8" s="22">
        <f>GRAFICA_03!F30</f>
        <v>0</v>
      </c>
      <c r="E8" s="22">
        <f>GRAFICA_03!G30</f>
        <v>300</v>
      </c>
      <c r="F8" s="22">
        <f>GRAFICA_03!H30</f>
        <v>519.6</v>
      </c>
      <c r="G8" s="9">
        <f t="shared" si="0"/>
        <v>300</v>
      </c>
      <c r="H8" s="9">
        <f t="shared" si="0"/>
        <v>519.6</v>
      </c>
      <c r="I8" s="9">
        <f>SQRT(G8*G8+H8*H8)</f>
        <v>599.9867998547968</v>
      </c>
      <c r="J8" s="92">
        <f>G8/I8</f>
        <v>0.50001100036301327</v>
      </c>
      <c r="K8" s="92">
        <f>H8/I8</f>
        <v>0.86601905262873913</v>
      </c>
      <c r="L8" s="22">
        <f>GRAFICA_03!N30</f>
        <v>12</v>
      </c>
      <c r="M8" s="22">
        <f>GRAFICA_03!O30</f>
        <v>2100000</v>
      </c>
      <c r="N8" s="6">
        <f>L8*M8/I8</f>
        <v>42000.924030493115</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GRAFICA_03!C28</f>
        <v>1</v>
      </c>
      <c r="D12" s="23">
        <f>GRAFICA_03!C28</f>
        <v>1</v>
      </c>
      <c r="E12" s="23">
        <f>GRAFICA_03!D28</f>
        <v>2</v>
      </c>
      <c r="F12" s="23">
        <f>GRAFICA_03!D28</f>
        <v>2</v>
      </c>
    </row>
    <row r="13" spans="2:14" ht="19.05" customHeight="1" x14ac:dyDescent="0.3">
      <c r="B13" s="25">
        <v>2</v>
      </c>
      <c r="C13" s="23">
        <f>GRAFICA_03!C29</f>
        <v>2</v>
      </c>
      <c r="D13" s="23">
        <f>GRAFICA_03!C29</f>
        <v>2</v>
      </c>
      <c r="E13" s="23">
        <f>GRAFICA_03!D29</f>
        <v>3</v>
      </c>
      <c r="F13" s="23">
        <f>GRAFICA_03!D29</f>
        <v>3</v>
      </c>
    </row>
    <row r="14" spans="2:14" ht="19.05" customHeight="1" x14ac:dyDescent="0.3">
      <c r="B14" s="26">
        <v>3</v>
      </c>
      <c r="C14" s="23">
        <f>GRAFICA_03!C30</f>
        <v>3</v>
      </c>
      <c r="D14" s="23">
        <f>GRAFICA_03!C30</f>
        <v>3</v>
      </c>
      <c r="E14" s="23">
        <f>GRAFICA_03!D30</f>
        <v>1</v>
      </c>
      <c r="F14" s="23">
        <f>GRAFICA_03!D30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10500.693038116953</v>
      </c>
      <c r="C18" s="7">
        <f>J6*K6*N6</f>
        <v>-18187.200342018568</v>
      </c>
      <c r="D18" s="7">
        <f>-B18</f>
        <v>-10500.693038116953</v>
      </c>
      <c r="E18" s="7">
        <f>-C18</f>
        <v>18187.200342018568</v>
      </c>
      <c r="F18" s="27" t="str">
        <f>B17</f>
        <v>U1X</v>
      </c>
    </row>
    <row r="19" spans="1:8" ht="16.8" customHeight="1" x14ac:dyDescent="0.3">
      <c r="A19" s="28" t="s">
        <v>177</v>
      </c>
      <c r="B19" s="7">
        <f>C18</f>
        <v>-18187.200342018568</v>
      </c>
      <c r="C19" s="7">
        <f>K6*K6*N6</f>
        <v>31500.230992376168</v>
      </c>
      <c r="D19" s="7">
        <f>-B19</f>
        <v>18187.200342018568</v>
      </c>
      <c r="E19" s="7">
        <f>-C19</f>
        <v>-31500.230992376168</v>
      </c>
      <c r="F19" s="27" t="str">
        <f>C17</f>
        <v>U1Y</v>
      </c>
    </row>
    <row r="20" spans="1:8" x14ac:dyDescent="0.3">
      <c r="B20" s="7">
        <f>D18</f>
        <v>-10500.693038116953</v>
      </c>
      <c r="C20" s="7">
        <f>E18</f>
        <v>18187.200342018568</v>
      </c>
      <c r="D20" s="7">
        <f>B18</f>
        <v>10500.693038116953</v>
      </c>
      <c r="E20" s="7">
        <f>C18</f>
        <v>-18187.200342018568</v>
      </c>
      <c r="F20" s="27" t="str">
        <f>D17</f>
        <v>U2X</v>
      </c>
    </row>
    <row r="21" spans="1:8" x14ac:dyDescent="0.3">
      <c r="B21" s="7">
        <f>D19</f>
        <v>18187.200342018568</v>
      </c>
      <c r="C21" s="7">
        <f>E19</f>
        <v>-31500.230992376168</v>
      </c>
      <c r="D21" s="7">
        <f>B19</f>
        <v>-18187.200342018568</v>
      </c>
      <c r="E21" s="7">
        <f>C19</f>
        <v>31500.230992376168</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10500.693038116953</v>
      </c>
      <c r="C24" s="8">
        <f t="shared" si="1"/>
        <v>-18187.200342018568</v>
      </c>
      <c r="D24" s="8">
        <f t="shared" si="1"/>
        <v>-10500.693038116953</v>
      </c>
      <c r="E24" s="8">
        <f t="shared" si="1"/>
        <v>18187.200342018568</v>
      </c>
      <c r="F24" s="9">
        <f t="shared" si="1"/>
        <v>0</v>
      </c>
      <c r="G24" s="9">
        <f t="shared" si="1"/>
        <v>0</v>
      </c>
      <c r="H24" s="27" t="s">
        <v>178</v>
      </c>
    </row>
    <row r="25" spans="1:8" ht="19.05" customHeight="1" x14ac:dyDescent="0.3">
      <c r="B25" s="8">
        <f t="shared" si="1"/>
        <v>-18187.200342018568</v>
      </c>
      <c r="C25" s="8">
        <f t="shared" si="1"/>
        <v>31500.230992376168</v>
      </c>
      <c r="D25" s="8">
        <f t="shared" si="1"/>
        <v>18187.200342018568</v>
      </c>
      <c r="E25" s="8">
        <f t="shared" si="1"/>
        <v>-31500.230992376168</v>
      </c>
      <c r="F25" s="9">
        <f t="shared" si="1"/>
        <v>0</v>
      </c>
      <c r="G25" s="9">
        <f t="shared" si="1"/>
        <v>0</v>
      </c>
      <c r="H25" s="27" t="s">
        <v>179</v>
      </c>
    </row>
    <row r="26" spans="1:8" ht="19.05" customHeight="1" x14ac:dyDescent="0.3">
      <c r="A26" s="28" t="s">
        <v>190</v>
      </c>
      <c r="B26" s="8">
        <f t="shared" si="1"/>
        <v>-10500.693038116953</v>
      </c>
      <c r="C26" s="8">
        <f t="shared" si="1"/>
        <v>18187.200342018568</v>
      </c>
      <c r="D26" s="8">
        <f t="shared" si="1"/>
        <v>10500.693038116953</v>
      </c>
      <c r="E26" s="8">
        <f t="shared" si="1"/>
        <v>-18187.200342018568</v>
      </c>
      <c r="F26" s="9">
        <f t="shared" si="1"/>
        <v>0</v>
      </c>
      <c r="G26" s="9">
        <f t="shared" si="1"/>
        <v>0</v>
      </c>
      <c r="H26" s="27" t="s">
        <v>180</v>
      </c>
    </row>
    <row r="27" spans="1:8" ht="19.05" customHeight="1" x14ac:dyDescent="0.3">
      <c r="B27" s="8">
        <f t="shared" si="1"/>
        <v>18187.200342018568</v>
      </c>
      <c r="C27" s="8">
        <f t="shared" si="1"/>
        <v>-31500.230992376168</v>
      </c>
      <c r="D27" s="8">
        <f t="shared" si="1"/>
        <v>-18187.200342018568</v>
      </c>
      <c r="E27" s="8">
        <f t="shared" si="1"/>
        <v>31500.230992376168</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42000</v>
      </c>
      <c r="C33" s="30">
        <f>J7*K7*N7</f>
        <v>0</v>
      </c>
      <c r="D33" s="30">
        <f>-B33</f>
        <v>-42000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-42000</v>
      </c>
      <c r="C35" s="30">
        <f>E33</f>
        <v>0</v>
      </c>
      <c r="D35" s="30">
        <f>B33</f>
        <v>42000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42000</v>
      </c>
      <c r="E41" s="31">
        <f t="shared" si="2"/>
        <v>0</v>
      </c>
      <c r="F41" s="31">
        <f t="shared" si="2"/>
        <v>-42000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-42000</v>
      </c>
      <c r="E43" s="31">
        <f t="shared" si="2"/>
        <v>0</v>
      </c>
      <c r="F43" s="31">
        <f t="shared" si="2"/>
        <v>42000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10500.693038116953</v>
      </c>
      <c r="C48" s="33">
        <f>J8*K8*N8</f>
        <v>18187.200342018568</v>
      </c>
      <c r="D48" s="33">
        <f>-B48</f>
        <v>-10500.693038116953</v>
      </c>
      <c r="E48" s="33">
        <f>-C48</f>
        <v>-18187.200342018568</v>
      </c>
      <c r="F48" s="32" t="str">
        <f>B47</f>
        <v>U3X</v>
      </c>
    </row>
    <row r="49" spans="1:8" ht="16.8" customHeight="1" x14ac:dyDescent="0.3">
      <c r="A49" s="28" t="s">
        <v>193</v>
      </c>
      <c r="B49" s="33">
        <f>C48</f>
        <v>18187.200342018568</v>
      </c>
      <c r="C49" s="33">
        <f>K8*K8*N8</f>
        <v>31500.230992376168</v>
      </c>
      <c r="D49" s="33">
        <f>-B49</f>
        <v>-18187.200342018568</v>
      </c>
      <c r="E49" s="33">
        <f>-C49</f>
        <v>-31500.230992376168</v>
      </c>
      <c r="F49" s="32" t="str">
        <f>C47</f>
        <v>U3Y</v>
      </c>
    </row>
    <row r="50" spans="1:8" x14ac:dyDescent="0.3">
      <c r="B50" s="33">
        <f>D48</f>
        <v>-10500.693038116953</v>
      </c>
      <c r="C50" s="33">
        <f>E48</f>
        <v>-18187.200342018568</v>
      </c>
      <c r="D50" s="33">
        <f>B48</f>
        <v>10500.693038116953</v>
      </c>
      <c r="E50" s="33">
        <f>C48</f>
        <v>18187.200342018568</v>
      </c>
      <c r="F50" s="32" t="str">
        <f>D47</f>
        <v>U1X</v>
      </c>
    </row>
    <row r="51" spans="1:8" x14ac:dyDescent="0.3">
      <c r="B51" s="33">
        <f>D49</f>
        <v>-18187.200342018568</v>
      </c>
      <c r="C51" s="33">
        <f>E49</f>
        <v>-31500.230992376168</v>
      </c>
      <c r="D51" s="33">
        <f>B49</f>
        <v>18187.200342018568</v>
      </c>
      <c r="E51" s="33">
        <f>C49</f>
        <v>31500.230992376168</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10500.693038116953</v>
      </c>
      <c r="C54" s="34">
        <f t="shared" si="3"/>
        <v>18187.200342018568</v>
      </c>
      <c r="D54" s="9">
        <f t="shared" si="3"/>
        <v>0</v>
      </c>
      <c r="E54" s="9">
        <f t="shared" si="3"/>
        <v>0</v>
      </c>
      <c r="F54" s="34">
        <f t="shared" si="3"/>
        <v>-10500.693038116953</v>
      </c>
      <c r="G54" s="34">
        <f t="shared" si="3"/>
        <v>-18187.200342018568</v>
      </c>
      <c r="H54" s="32" t="s">
        <v>178</v>
      </c>
    </row>
    <row r="55" spans="1:8" ht="19.05" customHeight="1" x14ac:dyDescent="0.3">
      <c r="B55" s="34">
        <f t="shared" si="3"/>
        <v>18187.200342018568</v>
      </c>
      <c r="C55" s="34">
        <f t="shared" si="3"/>
        <v>31500.230992376168</v>
      </c>
      <c r="D55" s="9">
        <f t="shared" si="3"/>
        <v>0</v>
      </c>
      <c r="E55" s="9">
        <f t="shared" si="3"/>
        <v>0</v>
      </c>
      <c r="F55" s="34">
        <f t="shared" si="3"/>
        <v>-18187.200342018568</v>
      </c>
      <c r="G55" s="34">
        <f t="shared" si="3"/>
        <v>-31500.230992376168</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-10500.693038116953</v>
      </c>
      <c r="C58" s="34">
        <f t="shared" si="3"/>
        <v>-18187.200342018568</v>
      </c>
      <c r="D58" s="9">
        <f t="shared" si="3"/>
        <v>0</v>
      </c>
      <c r="E58" s="9">
        <f t="shared" si="3"/>
        <v>0</v>
      </c>
      <c r="F58" s="34">
        <f t="shared" si="3"/>
        <v>10500.693038116953</v>
      </c>
      <c r="G58" s="34">
        <f t="shared" si="3"/>
        <v>18187.200342018568</v>
      </c>
      <c r="H58" s="32" t="s">
        <v>182</v>
      </c>
    </row>
    <row r="59" spans="1:8" ht="19.05" customHeight="1" x14ac:dyDescent="0.3">
      <c r="B59" s="34">
        <f t="shared" si="3"/>
        <v>-18187.200342018568</v>
      </c>
      <c r="C59" s="34">
        <f t="shared" si="3"/>
        <v>-31500.230992376168</v>
      </c>
      <c r="D59" s="9">
        <f t="shared" si="3"/>
        <v>0</v>
      </c>
      <c r="E59" s="9">
        <f t="shared" si="3"/>
        <v>0</v>
      </c>
      <c r="F59" s="34">
        <f t="shared" si="3"/>
        <v>18187.200342018568</v>
      </c>
      <c r="G59" s="34">
        <f t="shared" si="3"/>
        <v>31500.230992376168</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21001.386076233906</v>
      </c>
      <c r="C63" s="36">
        <f t="shared" si="4"/>
        <v>0</v>
      </c>
      <c r="D63" s="9">
        <f t="shared" si="4"/>
        <v>-10500.693038116953</v>
      </c>
      <c r="E63" s="9">
        <f t="shared" si="4"/>
        <v>18187.200342018568</v>
      </c>
      <c r="F63" s="9">
        <f t="shared" si="4"/>
        <v>-10500.693038116953</v>
      </c>
      <c r="G63" s="9">
        <f t="shared" si="4"/>
        <v>-18187.200342018568</v>
      </c>
      <c r="H63" s="89" t="s">
        <v>178</v>
      </c>
    </row>
    <row r="64" spans="1:8" ht="19.95" customHeight="1" x14ac:dyDescent="0.3">
      <c r="B64" s="36">
        <f t="shared" si="4"/>
        <v>0</v>
      </c>
      <c r="C64" s="35">
        <f t="shared" si="4"/>
        <v>63000.461984752335</v>
      </c>
      <c r="D64" s="9">
        <f t="shared" si="4"/>
        <v>18187.200342018568</v>
      </c>
      <c r="E64" s="9">
        <f t="shared" si="4"/>
        <v>-31500.230992376168</v>
      </c>
      <c r="F64" s="9">
        <f t="shared" si="4"/>
        <v>-18187.200342018568</v>
      </c>
      <c r="G64" s="9">
        <f t="shared" si="4"/>
        <v>-31500.230992376168</v>
      </c>
      <c r="H64" s="89" t="s">
        <v>179</v>
      </c>
    </row>
    <row r="65" spans="1:16" ht="19.95" customHeight="1" x14ac:dyDescent="0.3">
      <c r="A65" s="28" t="s">
        <v>205</v>
      </c>
      <c r="B65" s="9">
        <f t="shared" si="4"/>
        <v>-10500.693038116953</v>
      </c>
      <c r="C65" s="9">
        <f t="shared" si="4"/>
        <v>18187.200342018568</v>
      </c>
      <c r="D65" s="35">
        <f t="shared" si="4"/>
        <v>52500.693038116951</v>
      </c>
      <c r="E65" s="36">
        <f t="shared" si="4"/>
        <v>-18187.200342018568</v>
      </c>
      <c r="F65" s="9">
        <f t="shared" si="4"/>
        <v>-42000</v>
      </c>
      <c r="G65" s="9">
        <f t="shared" si="4"/>
        <v>0</v>
      </c>
      <c r="H65" s="89" t="s">
        <v>180</v>
      </c>
    </row>
    <row r="66" spans="1:16" ht="19.95" customHeight="1" x14ac:dyDescent="0.3">
      <c r="B66" s="9">
        <f t="shared" si="4"/>
        <v>18187.200342018568</v>
      </c>
      <c r="C66" s="9">
        <f t="shared" si="4"/>
        <v>-31500.230992376168</v>
      </c>
      <c r="D66" s="36">
        <f t="shared" si="4"/>
        <v>-18187.200342018568</v>
      </c>
      <c r="E66" s="35">
        <f t="shared" si="4"/>
        <v>31500.230992376168</v>
      </c>
      <c r="F66" s="9">
        <f t="shared" si="4"/>
        <v>0</v>
      </c>
      <c r="G66" s="9">
        <f t="shared" si="4"/>
        <v>0</v>
      </c>
      <c r="H66" s="89" t="s">
        <v>181</v>
      </c>
    </row>
    <row r="67" spans="1:16" ht="19.95" customHeight="1" x14ac:dyDescent="0.3">
      <c r="B67" s="9">
        <f t="shared" si="4"/>
        <v>-10500.693038116953</v>
      </c>
      <c r="C67" s="9">
        <f t="shared" si="4"/>
        <v>-18187.200342018568</v>
      </c>
      <c r="D67" s="9">
        <f t="shared" si="4"/>
        <v>-42000</v>
      </c>
      <c r="E67" s="9">
        <f t="shared" si="4"/>
        <v>0</v>
      </c>
      <c r="F67" s="35">
        <f t="shared" si="4"/>
        <v>52500.693038116951</v>
      </c>
      <c r="G67" s="36">
        <f t="shared" si="4"/>
        <v>18187.200342018568</v>
      </c>
      <c r="H67" s="89" t="s">
        <v>182</v>
      </c>
    </row>
    <row r="68" spans="1:16" ht="19.95" customHeight="1" x14ac:dyDescent="0.3">
      <c r="B68" s="9">
        <f t="shared" si="4"/>
        <v>-18187.200342018568</v>
      </c>
      <c r="C68" s="9">
        <f t="shared" si="4"/>
        <v>-31500.230992376168</v>
      </c>
      <c r="D68" s="9">
        <f t="shared" si="4"/>
        <v>0</v>
      </c>
      <c r="E68" s="9">
        <f t="shared" si="4"/>
        <v>0</v>
      </c>
      <c r="F68" s="36">
        <f t="shared" si="4"/>
        <v>18187.200342018568</v>
      </c>
      <c r="G68" s="35">
        <f t="shared" si="4"/>
        <v>31500.230992376168</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f>IF(GRAFICA_03!F14=1, B72, GRAFICA_03!H14)</f>
        <v>0</v>
      </c>
      <c r="K72" s="215" t="s">
        <v>376</v>
      </c>
      <c r="L72" s="172"/>
      <c r="M72" s="172"/>
      <c r="N72" s="172"/>
      <c r="O72" s="172"/>
      <c r="P72" s="173"/>
    </row>
    <row r="73" spans="1:16" ht="16.95" customHeight="1" x14ac:dyDescent="0.3">
      <c r="B73" s="12" t="s">
        <v>210</v>
      </c>
      <c r="C73" s="12" t="s">
        <v>179</v>
      </c>
      <c r="E73" s="37">
        <f>IF(GRAFICA_03!G14=1, B73, GRAFICA_03!I14)</f>
        <v>-8000</v>
      </c>
      <c r="K73" s="215" t="s">
        <v>211</v>
      </c>
      <c r="L73" s="172"/>
      <c r="M73" s="172"/>
      <c r="N73" s="172"/>
      <c r="O73" s="172"/>
      <c r="P73" s="173"/>
    </row>
    <row r="74" spans="1:16" ht="16.95" customHeight="1" x14ac:dyDescent="0.3">
      <c r="A74" s="38" t="s">
        <v>218</v>
      </c>
      <c r="B74" s="12" t="s">
        <v>212</v>
      </c>
      <c r="C74" s="12" t="s">
        <v>180</v>
      </c>
      <c r="D74" s="13" t="s">
        <v>220</v>
      </c>
      <c r="E74" s="37">
        <f>IF(GRAFICA_03!F15=1, B74, GRAFICA_03!H15)</f>
        <v>0</v>
      </c>
      <c r="K74" s="215" t="s">
        <v>377</v>
      </c>
      <c r="L74" s="172"/>
      <c r="M74" s="172"/>
      <c r="N74" s="172"/>
      <c r="O74" s="172"/>
      <c r="P74" s="173"/>
    </row>
    <row r="75" spans="1:16" ht="16.95" customHeight="1" x14ac:dyDescent="0.3">
      <c r="B75" s="12" t="s">
        <v>214</v>
      </c>
      <c r="C75" s="12" t="s">
        <v>181</v>
      </c>
      <c r="E75" s="37" t="str">
        <f>IF(GRAFICA_03!G15=1, B75, GRAFICA_03!I15)</f>
        <v>C2Y</v>
      </c>
      <c r="K75" s="215" t="s">
        <v>215</v>
      </c>
      <c r="L75" s="172"/>
      <c r="M75" s="172"/>
      <c r="N75" s="172"/>
      <c r="O75" s="172"/>
      <c r="P75" s="173"/>
    </row>
    <row r="76" spans="1:16" ht="16.95" customHeight="1" x14ac:dyDescent="0.3">
      <c r="B76" s="12" t="s">
        <v>216</v>
      </c>
      <c r="C76" s="12" t="s">
        <v>182</v>
      </c>
      <c r="E76" s="37" t="str">
        <f>IF(GRAFICA_03!F16=1, B76, GRAFICA_03!H16)</f>
        <v>C3X</v>
      </c>
      <c r="K76" s="215" t="s">
        <v>378</v>
      </c>
      <c r="L76" s="172"/>
      <c r="M76" s="172"/>
      <c r="N76" s="172"/>
      <c r="O76" s="172"/>
      <c r="P76" s="173"/>
    </row>
    <row r="77" spans="1:16" ht="16.95" customHeight="1" x14ac:dyDescent="0.3">
      <c r="B77" s="12" t="s">
        <v>219</v>
      </c>
      <c r="C77" s="12" t="s">
        <v>183</v>
      </c>
      <c r="E77" s="37" t="str">
        <f>IF(GRAFICA_03!G16=1, B77, GRAFICA_03!I16)</f>
        <v>C3Y</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t="str">
        <f>IF(GRAFICA_03!F14=1, 0, B80)</f>
        <v>D1X</v>
      </c>
      <c r="F80" s="14">
        <f>IF(E80&lt;&gt;0, COUNTIF(E$80:E80, "&lt;&gt;0"), "")</f>
        <v>1</v>
      </c>
      <c r="G80" s="14" t="str">
        <f>IF(E80=0, COUNTIF(E$80:E80, 0), "")</f>
        <v/>
      </c>
      <c r="K80" s="215"/>
      <c r="L80" s="172"/>
      <c r="M80" s="172"/>
      <c r="N80" s="172"/>
      <c r="O80" s="172"/>
      <c r="P80" s="173"/>
    </row>
    <row r="81" spans="1:16" ht="16.95" customHeight="1" x14ac:dyDescent="0.3">
      <c r="B81" s="12" t="s">
        <v>229</v>
      </c>
      <c r="C81" s="12" t="s">
        <v>179</v>
      </c>
      <c r="E81" s="39" t="str">
        <f>IF(GRAFICA_03!G14=1, 0, B81)</f>
        <v>D1Y</v>
      </c>
      <c r="F81" s="14">
        <f>IF(E81&lt;&gt;0, COUNTIF(E$80:E81, "&lt;&gt;0"), "")</f>
        <v>2</v>
      </c>
      <c r="G81" s="14" t="str">
        <f>IF(E81=0, COUNTIF(E$80:E81, 0), "")</f>
        <v/>
      </c>
      <c r="K81" s="215"/>
      <c r="L81" s="172"/>
      <c r="M81" s="172"/>
      <c r="N81" s="172"/>
      <c r="O81" s="172"/>
      <c r="P81" s="173"/>
    </row>
    <row r="82" spans="1:16" ht="16.95" customHeight="1" x14ac:dyDescent="0.3">
      <c r="A82" s="38" t="s">
        <v>233</v>
      </c>
      <c r="B82" s="12" t="s">
        <v>230</v>
      </c>
      <c r="C82" s="12" t="s">
        <v>180</v>
      </c>
      <c r="D82" s="13" t="s">
        <v>220</v>
      </c>
      <c r="E82" s="39" t="str">
        <f>IF(GRAFICA_03!F15=1, 0, B82)</f>
        <v>D2X</v>
      </c>
      <c r="F82" s="14">
        <f>IF(E82&lt;&gt;0, COUNTIF(E$80:E82, "&lt;&gt;0"), "")</f>
        <v>3</v>
      </c>
      <c r="G82" s="14" t="str">
        <f>IF(E82=0, COUNTIF(E$80:E82, 0), "")</f>
        <v/>
      </c>
      <c r="K82" s="215"/>
      <c r="L82" s="172"/>
      <c r="M82" s="172"/>
      <c r="N82" s="172"/>
      <c r="O82" s="172"/>
      <c r="P82" s="173"/>
    </row>
    <row r="83" spans="1:16" ht="16.95" customHeight="1" x14ac:dyDescent="0.3">
      <c r="B83" s="12" t="s">
        <v>231</v>
      </c>
      <c r="C83" s="12" t="s">
        <v>181</v>
      </c>
      <c r="E83" s="39">
        <f>IF(GRAFICA_03!G15=1, 0, B83)</f>
        <v>0</v>
      </c>
      <c r="F83" s="14" t="str">
        <f>IF(E83&lt;&gt;0, COUNTIF(E$80:E83, "&lt;&gt;0"), "")</f>
        <v/>
      </c>
      <c r="G83" s="14">
        <f>IF(E83=0, COUNTIF(E$80:E83, 0), "")</f>
        <v>1</v>
      </c>
      <c r="K83" s="215"/>
      <c r="L83" s="172"/>
      <c r="M83" s="172"/>
      <c r="N83" s="172"/>
      <c r="O83" s="172"/>
      <c r="P83" s="173"/>
    </row>
    <row r="84" spans="1:16" ht="16.95" customHeight="1" x14ac:dyDescent="0.3">
      <c r="B84" s="12" t="s">
        <v>232</v>
      </c>
      <c r="C84" s="12" t="s">
        <v>182</v>
      </c>
      <c r="E84" s="39">
        <f>IF(GRAFICA_03!F16=1, 0, B84)</f>
        <v>0</v>
      </c>
      <c r="F84" s="14" t="str">
        <f>IF(E84&lt;&gt;0, COUNTIF(E$80:E84, "&lt;&gt;0"), "")</f>
        <v/>
      </c>
      <c r="G84" s="14">
        <f>IF(E84=0, COUNTIF(E$80:E84, 0), "")</f>
        <v>2</v>
      </c>
      <c r="K84" s="215"/>
      <c r="L84" s="172"/>
      <c r="M84" s="172"/>
      <c r="N84" s="172"/>
      <c r="O84" s="172"/>
      <c r="P84" s="173"/>
    </row>
    <row r="85" spans="1:16" ht="16.95" customHeight="1" x14ac:dyDescent="0.3">
      <c r="B85" s="12" t="s">
        <v>234</v>
      </c>
      <c r="C85" s="12" t="s">
        <v>183</v>
      </c>
      <c r="E85" s="39">
        <f>IF(GRAFICA_03!G16=1, 0, B85)</f>
        <v>0</v>
      </c>
      <c r="F85" s="14" t="str">
        <f>IF(E85&lt;&gt;0, COUNTIF(E$80:E85, "&lt;&gt;0"), "")</f>
        <v/>
      </c>
      <c r="G85" s="14">
        <f>IF(E85=0, COUNTIF(E$80:E85, 0), "")</f>
        <v>3</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41">
        <f t="shared" ref="A90:A95" si="5">E72</f>
        <v>0</v>
      </c>
      <c r="C90" s="41">
        <f t="shared" ref="C90:H95" si="6">B63</f>
        <v>21001.386076233906</v>
      </c>
      <c r="D90" s="41">
        <f t="shared" si="6"/>
        <v>0</v>
      </c>
      <c r="E90" s="41">
        <f t="shared" si="6"/>
        <v>-10500.693038116953</v>
      </c>
      <c r="F90" s="9">
        <f t="shared" si="6"/>
        <v>18187.200342018568</v>
      </c>
      <c r="G90" s="9">
        <f t="shared" si="6"/>
        <v>-10500.693038116953</v>
      </c>
      <c r="H90" s="9">
        <f t="shared" si="6"/>
        <v>-18187.200342018568</v>
      </c>
      <c r="I90" s="13" t="s">
        <v>251</v>
      </c>
      <c r="J90" s="38" t="str">
        <f t="shared" ref="J90:J95" si="7">E80</f>
        <v>D1X</v>
      </c>
      <c r="K90" s="215" t="s">
        <v>380</v>
      </c>
      <c r="L90" s="172"/>
      <c r="M90" s="172"/>
      <c r="N90" s="172"/>
      <c r="O90" s="172"/>
      <c r="P90" s="173"/>
    </row>
    <row r="91" spans="1:16" ht="16.95" customHeight="1" x14ac:dyDescent="0.3">
      <c r="A91" s="41">
        <f t="shared" si="5"/>
        <v>-8000</v>
      </c>
      <c r="C91" s="41">
        <f t="shared" si="6"/>
        <v>0</v>
      </c>
      <c r="D91" s="41">
        <f t="shared" si="6"/>
        <v>63000.461984752335</v>
      </c>
      <c r="E91" s="41">
        <f t="shared" si="6"/>
        <v>18187.200342018568</v>
      </c>
      <c r="F91" s="9">
        <f t="shared" si="6"/>
        <v>-31500.230992376168</v>
      </c>
      <c r="G91" s="9">
        <f t="shared" si="6"/>
        <v>-18187.200342018568</v>
      </c>
      <c r="H91" s="9">
        <f t="shared" si="6"/>
        <v>-31500.230992376168</v>
      </c>
      <c r="I91" s="13" t="s">
        <v>251</v>
      </c>
      <c r="J91" s="38" t="str">
        <f t="shared" si="7"/>
        <v>D1Y</v>
      </c>
      <c r="K91" s="215" t="s">
        <v>253</v>
      </c>
      <c r="L91" s="172"/>
      <c r="M91" s="172"/>
      <c r="N91" s="172"/>
      <c r="O91" s="172"/>
      <c r="P91" s="173"/>
    </row>
    <row r="92" spans="1:16" ht="16.95" customHeight="1" x14ac:dyDescent="0.3">
      <c r="A92" s="41">
        <f t="shared" si="5"/>
        <v>0</v>
      </c>
      <c r="C92" s="41">
        <f t="shared" si="6"/>
        <v>-10500.693038116953</v>
      </c>
      <c r="D92" s="41">
        <f t="shared" si="6"/>
        <v>18187.200342018568</v>
      </c>
      <c r="E92" s="41">
        <f t="shared" si="6"/>
        <v>52500.693038116951</v>
      </c>
      <c r="F92" s="9">
        <f t="shared" si="6"/>
        <v>-18187.200342018568</v>
      </c>
      <c r="G92" s="9">
        <f t="shared" si="6"/>
        <v>-42000</v>
      </c>
      <c r="H92" s="9">
        <f t="shared" si="6"/>
        <v>0</v>
      </c>
      <c r="I92" s="13" t="s">
        <v>251</v>
      </c>
      <c r="J92" s="38" t="str">
        <f t="shared" si="7"/>
        <v>D2X</v>
      </c>
      <c r="K92" s="215" t="s">
        <v>254</v>
      </c>
      <c r="L92" s="172"/>
      <c r="M92" s="172"/>
      <c r="N92" s="172"/>
      <c r="O92" s="172"/>
      <c r="P92" s="173"/>
    </row>
    <row r="93" spans="1:16" ht="16.95" customHeight="1" x14ac:dyDescent="0.3">
      <c r="A93" s="12" t="str">
        <f t="shared" si="5"/>
        <v>C2Y</v>
      </c>
      <c r="B93" s="13" t="s">
        <v>220</v>
      </c>
      <c r="C93" s="9">
        <f t="shared" si="6"/>
        <v>18187.200342018568</v>
      </c>
      <c r="D93" s="9">
        <f t="shared" si="6"/>
        <v>-31500.230992376168</v>
      </c>
      <c r="E93" s="9">
        <f t="shared" si="6"/>
        <v>-18187.200342018568</v>
      </c>
      <c r="F93" s="9">
        <f t="shared" si="6"/>
        <v>31500.230992376168</v>
      </c>
      <c r="G93" s="9">
        <f t="shared" si="6"/>
        <v>0</v>
      </c>
      <c r="H93" s="9">
        <f t="shared" si="6"/>
        <v>0</v>
      </c>
      <c r="I93" s="13" t="s">
        <v>251</v>
      </c>
      <c r="J93" s="16">
        <f t="shared" si="7"/>
        <v>0</v>
      </c>
      <c r="K93" s="215" t="s">
        <v>381</v>
      </c>
      <c r="L93" s="172"/>
      <c r="M93" s="172"/>
      <c r="N93" s="172"/>
      <c r="O93" s="172"/>
      <c r="P93" s="173"/>
    </row>
    <row r="94" spans="1:16" ht="16.95" customHeight="1" x14ac:dyDescent="0.3">
      <c r="A94" s="12" t="str">
        <f t="shared" si="5"/>
        <v>C3X</v>
      </c>
      <c r="C94" s="9">
        <f t="shared" si="6"/>
        <v>-10500.693038116953</v>
      </c>
      <c r="D94" s="9">
        <f t="shared" si="6"/>
        <v>-18187.200342018568</v>
      </c>
      <c r="E94" s="9">
        <f t="shared" si="6"/>
        <v>-42000</v>
      </c>
      <c r="F94" s="9">
        <f t="shared" si="6"/>
        <v>0</v>
      </c>
      <c r="G94" s="9">
        <f t="shared" si="6"/>
        <v>52500.693038116951</v>
      </c>
      <c r="H94" s="9">
        <f t="shared" si="6"/>
        <v>18187.200342018568</v>
      </c>
      <c r="I94" s="13" t="s">
        <v>251</v>
      </c>
      <c r="J94" s="16">
        <f t="shared" si="7"/>
        <v>0</v>
      </c>
      <c r="K94" s="215" t="s">
        <v>382</v>
      </c>
      <c r="L94" s="172"/>
      <c r="M94" s="172"/>
      <c r="N94" s="172"/>
      <c r="O94" s="172"/>
      <c r="P94" s="173"/>
    </row>
    <row r="95" spans="1:16" ht="16.95" customHeight="1" x14ac:dyDescent="0.3">
      <c r="A95" s="12" t="str">
        <f t="shared" si="5"/>
        <v>C3Y</v>
      </c>
      <c r="C95" s="9">
        <f t="shared" si="6"/>
        <v>-18187.200342018568</v>
      </c>
      <c r="D95" s="9">
        <f t="shared" si="6"/>
        <v>-31500.230992376168</v>
      </c>
      <c r="E95" s="9">
        <f t="shared" si="6"/>
        <v>0</v>
      </c>
      <c r="F95" s="9">
        <f t="shared" si="6"/>
        <v>0</v>
      </c>
      <c r="G95" s="9">
        <f t="shared" si="6"/>
        <v>18187.200342018568</v>
      </c>
      <c r="H95" s="9">
        <f t="shared" si="6"/>
        <v>31500.230992376168</v>
      </c>
      <c r="I95" s="13" t="s">
        <v>251</v>
      </c>
      <c r="J95" s="16">
        <f t="shared" si="7"/>
        <v>0</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U1X</v>
      </c>
      <c r="D99" s="38" t="str">
        <f>INDEX(C$80:C$85, MATCH(2, F$80:F$85, 0))</f>
        <v>U1Y</v>
      </c>
      <c r="E99" s="38" t="str">
        <f>INDEX(C$80:C$85, MATCH(3, F$80:F$85, 0))</f>
        <v>U2X</v>
      </c>
      <c r="K99" s="215" t="s">
        <v>383</v>
      </c>
      <c r="L99" s="172"/>
      <c r="M99" s="172"/>
      <c r="N99" s="172"/>
      <c r="O99" s="172"/>
      <c r="P99" s="173"/>
    </row>
    <row r="100" spans="1:16" ht="16.95" customHeight="1" x14ac:dyDescent="0.3">
      <c r="A100" s="41">
        <f>INDEX(E$72:E$77, MATCH(H100, C$72:C$77, 0))</f>
        <v>0</v>
      </c>
      <c r="C100" s="41">
        <f t="shared" ref="C100:E102" si="8">INDEX($B$63:$G$68, MATCH($H100, $H$63:$H$68, 0), MATCH(C$99, $B$62:$G$62, 0))</f>
        <v>21001.386076233906</v>
      </c>
      <c r="D100" s="41">
        <f t="shared" si="8"/>
        <v>0</v>
      </c>
      <c r="E100" s="41">
        <f t="shared" si="8"/>
        <v>-10500.693038116953</v>
      </c>
      <c r="F100" s="13" t="s">
        <v>251</v>
      </c>
      <c r="G100" s="38" t="str">
        <f>INDEX(B$80:B$85, MATCH(1, F$80:F$85, 0))</f>
        <v>D1X</v>
      </c>
      <c r="H100" s="14" t="str">
        <f>INDEX(C$80:C$85, MATCH(1, F$80:F$85, 0))</f>
        <v>U1X</v>
      </c>
      <c r="K100" s="215" t="s">
        <v>384</v>
      </c>
      <c r="L100" s="172"/>
      <c r="M100" s="172"/>
      <c r="N100" s="172"/>
      <c r="O100" s="172"/>
      <c r="P100" s="173"/>
    </row>
    <row r="101" spans="1:16" ht="16.95" customHeight="1" x14ac:dyDescent="0.3">
      <c r="A101" s="41">
        <f>INDEX(E$72:E$77, MATCH(H101, C$72:C$77, 0))</f>
        <v>-8000</v>
      </c>
      <c r="B101" s="13" t="s">
        <v>220</v>
      </c>
      <c r="C101" s="41">
        <f t="shared" si="8"/>
        <v>0</v>
      </c>
      <c r="D101" s="41">
        <f t="shared" si="8"/>
        <v>63000.461984752335</v>
      </c>
      <c r="E101" s="41">
        <f t="shared" si="8"/>
        <v>18187.200342018568</v>
      </c>
      <c r="F101" s="13" t="s">
        <v>251</v>
      </c>
      <c r="G101" s="38" t="str">
        <f>INDEX(B$80:B$85, MATCH(2, F$80:F$85, 0))</f>
        <v>D1Y</v>
      </c>
      <c r="H101" s="14" t="str">
        <f>INDEX(C$80:C$85, MATCH(2, F$80:F$85, 0))</f>
        <v>U1Y</v>
      </c>
      <c r="K101" s="215" t="s">
        <v>385</v>
      </c>
      <c r="L101" s="172"/>
      <c r="M101" s="172"/>
      <c r="N101" s="172"/>
      <c r="O101" s="172"/>
      <c r="P101" s="173"/>
    </row>
    <row r="102" spans="1:16" ht="16.95" customHeight="1" x14ac:dyDescent="0.3">
      <c r="A102" s="41">
        <f>INDEX(E$72:E$77, MATCH(H102, C$72:C$77, 0))</f>
        <v>0</v>
      </c>
      <c r="C102" s="41">
        <f t="shared" si="8"/>
        <v>-10500.693038116953</v>
      </c>
      <c r="D102" s="41">
        <f t="shared" si="8"/>
        <v>18187.200342018568</v>
      </c>
      <c r="E102" s="41">
        <f t="shared" si="8"/>
        <v>52500.693038116951</v>
      </c>
      <c r="F102" s="13" t="s">
        <v>251</v>
      </c>
      <c r="G102" s="38" t="str">
        <f>INDEX(B$80:B$85, MATCH(3, F$80:F$85, 0))</f>
        <v>D2X</v>
      </c>
      <c r="H102" s="14" t="str">
        <f>INDEX(C$80:C$85, MATCH(3, F$80:F$85, 0))</f>
        <v>U2X</v>
      </c>
      <c r="K102" s="215" t="s">
        <v>386</v>
      </c>
      <c r="L102" s="172"/>
      <c r="M102" s="172"/>
      <c r="N102" s="172"/>
      <c r="O102" s="172"/>
      <c r="P102" s="173"/>
    </row>
    <row r="103" spans="1:16" ht="16.95" customHeight="1" x14ac:dyDescent="0.3">
      <c r="K103" s="215" t="s">
        <v>387</v>
      </c>
      <c r="L103" s="172"/>
      <c r="M103" s="172"/>
      <c r="N103" s="172"/>
      <c r="O103" s="172"/>
      <c r="P103" s="173"/>
    </row>
    <row r="104" spans="1:16" ht="16.95" customHeight="1" x14ac:dyDescent="0.3">
      <c r="C104" s="218" t="s">
        <v>263</v>
      </c>
      <c r="D104" s="172"/>
      <c r="E104" s="173"/>
      <c r="K104" s="215" t="s">
        <v>388</v>
      </c>
      <c r="L104" s="172"/>
      <c r="M104" s="172"/>
      <c r="N104" s="172"/>
      <c r="O104" s="172"/>
      <c r="P104" s="173"/>
    </row>
    <row r="105" spans="1:16" ht="16.95" customHeight="1" x14ac:dyDescent="0.3">
      <c r="A105" s="99" t="s">
        <v>249</v>
      </c>
      <c r="C105" s="193" t="s">
        <v>264</v>
      </c>
      <c r="D105" s="175"/>
      <c r="E105" s="175"/>
      <c r="G105" s="99" t="s">
        <v>247</v>
      </c>
      <c r="K105" s="215"/>
      <c r="L105" s="172"/>
      <c r="M105" s="172"/>
      <c r="N105" s="172"/>
      <c r="O105" s="172"/>
      <c r="P105" s="173"/>
    </row>
    <row r="106" spans="1:16" ht="16.95" customHeight="1" x14ac:dyDescent="0.3">
      <c r="A106" s="12" t="str">
        <f>G100</f>
        <v>D1X</v>
      </c>
      <c r="C106" s="93">
        <f t="array" ref="C106:E108">MINVERSE(C100:E102)</f>
        <v>5.3568285748857416E-5</v>
      </c>
      <c r="D106" s="93">
        <v>-3.4367095568019348E-6</v>
      </c>
      <c r="E106" s="93">
        <v>1.1904761904761905E-5</v>
      </c>
      <c r="G106" s="17">
        <f>A100</f>
        <v>0</v>
      </c>
      <c r="K106" s="215"/>
      <c r="L106" s="172"/>
      <c r="M106" s="172"/>
      <c r="N106" s="172"/>
      <c r="O106" s="172"/>
      <c r="P106" s="173"/>
    </row>
    <row r="107" spans="1:16" ht="16.95" customHeight="1" x14ac:dyDescent="0.3">
      <c r="A107" s="12" t="str">
        <f>G101</f>
        <v>D1Y</v>
      </c>
      <c r="B107" s="13" t="s">
        <v>220</v>
      </c>
      <c r="C107" s="93">
        <v>-3.4367095568019348E-6</v>
      </c>
      <c r="D107" s="93">
        <v>1.7857142868667423E-5</v>
      </c>
      <c r="E107" s="93">
        <v>-6.8734191136038696E-6</v>
      </c>
      <c r="G107" s="17">
        <f>A101</f>
        <v>-8000</v>
      </c>
      <c r="K107" s="215"/>
      <c r="L107" s="172"/>
      <c r="M107" s="172"/>
      <c r="N107" s="172"/>
      <c r="O107" s="172"/>
      <c r="P107" s="173"/>
    </row>
    <row r="108" spans="1:16" ht="16.95" customHeight="1" x14ac:dyDescent="0.3">
      <c r="A108" s="12" t="str">
        <f>G102</f>
        <v>D2X</v>
      </c>
      <c r="C108" s="93">
        <v>1.1904761904761905E-5</v>
      </c>
      <c r="D108" s="93">
        <v>-6.8734191136038696E-6</v>
      </c>
      <c r="E108" s="93">
        <v>2.380952380952381E-5</v>
      </c>
      <c r="G108" s="17">
        <f>A102</f>
        <v>0</v>
      </c>
      <c r="K108" s="215"/>
      <c r="L108" s="172"/>
      <c r="M108" s="172"/>
      <c r="N108" s="172"/>
      <c r="O108" s="172"/>
      <c r="P108" s="173"/>
    </row>
    <row r="109" spans="1:16" ht="16.95" customHeight="1" x14ac:dyDescent="0.3">
      <c r="K109" s="215"/>
      <c r="L109" s="172"/>
      <c r="M109" s="172"/>
      <c r="N109" s="172"/>
      <c r="O109" s="172"/>
      <c r="P109" s="173"/>
    </row>
    <row r="110" spans="1:16" ht="16.95" customHeight="1" x14ac:dyDescent="0.3">
      <c r="C110" s="218" t="s">
        <v>265</v>
      </c>
      <c r="D110" s="173"/>
      <c r="K110" s="215"/>
      <c r="L110" s="172"/>
      <c r="M110" s="172"/>
      <c r="N110" s="172"/>
      <c r="O110" s="172"/>
      <c r="P110" s="173"/>
    </row>
    <row r="111" spans="1:16" ht="16.95" customHeight="1" x14ac:dyDescent="0.3">
      <c r="A111" s="99" t="s">
        <v>249</v>
      </c>
      <c r="C111" s="99" t="s">
        <v>266</v>
      </c>
      <c r="K111" s="215"/>
      <c r="L111" s="172"/>
      <c r="M111" s="172"/>
      <c r="N111" s="172"/>
      <c r="O111" s="172"/>
      <c r="P111" s="173"/>
    </row>
    <row r="112" spans="1:16" ht="16.95" customHeight="1" x14ac:dyDescent="0.3">
      <c r="A112" s="12" t="str">
        <f>A106</f>
        <v>D1X</v>
      </c>
      <c r="C112" s="94">
        <f t="array" ref="C112:C114">MMULT(C106:E108, G106:G108)</f>
        <v>2.7493676454415479E-2</v>
      </c>
      <c r="D112" s="12" t="s">
        <v>267</v>
      </c>
      <c r="K112" s="215"/>
      <c r="L112" s="172"/>
      <c r="M112" s="172"/>
      <c r="N112" s="172"/>
      <c r="O112" s="172"/>
      <c r="P112" s="173"/>
    </row>
    <row r="113" spans="1:16" ht="16.95" customHeight="1" x14ac:dyDescent="0.3">
      <c r="A113" s="12" t="str">
        <f>A107</f>
        <v>D1Y</v>
      </c>
      <c r="B113" s="13" t="s">
        <v>220</v>
      </c>
      <c r="C113" s="94">
        <v>-0.14285714294933938</v>
      </c>
      <c r="D113" s="12" t="s">
        <v>267</v>
      </c>
      <c r="K113" s="215"/>
      <c r="L113" s="172"/>
      <c r="M113" s="172"/>
      <c r="N113" s="172"/>
      <c r="O113" s="172"/>
      <c r="P113" s="173"/>
    </row>
    <row r="114" spans="1:16" ht="16.95" customHeight="1" x14ac:dyDescent="0.3">
      <c r="A114" s="12" t="str">
        <f>A108</f>
        <v>D2X</v>
      </c>
      <c r="C114" s="94">
        <v>5.4987352908830958E-2</v>
      </c>
      <c r="D114" s="12" t="s">
        <v>267</v>
      </c>
      <c r="K114" s="215"/>
      <c r="L114" s="172"/>
      <c r="M114" s="172"/>
      <c r="N114" s="172"/>
      <c r="O114" s="172"/>
      <c r="P114" s="173"/>
    </row>
    <row r="117" spans="1:16" ht="19.95" customHeight="1" x14ac:dyDescent="0.35">
      <c r="A117" s="11" t="s">
        <v>268</v>
      </c>
      <c r="K117" s="216" t="s">
        <v>269</v>
      </c>
      <c r="L117" s="172"/>
      <c r="M117" s="172"/>
      <c r="N117" s="172"/>
      <c r="O117" s="172"/>
      <c r="P117" s="173"/>
    </row>
    <row r="118" spans="1:16" ht="16.95" customHeight="1" x14ac:dyDescent="0.3">
      <c r="A118" s="99" t="s">
        <v>247</v>
      </c>
      <c r="G118" s="99" t="s">
        <v>249</v>
      </c>
      <c r="K118" s="215" t="s">
        <v>389</v>
      </c>
      <c r="L118" s="172"/>
      <c r="M118" s="172"/>
      <c r="N118" s="172"/>
      <c r="O118" s="172"/>
      <c r="P118" s="173"/>
    </row>
    <row r="119" spans="1:16" ht="16.95" customHeight="1" x14ac:dyDescent="0.3">
      <c r="A119" s="18" t="str">
        <f>INDEX(B$72:B$77, MATCH(H119, C$72:C$77, 0))</f>
        <v>C2Y</v>
      </c>
      <c r="C119" s="9">
        <f t="shared" ref="C119:E121" si="9">INDEX($B$63:$G$68, MATCH($H119, $H$63:$H$68, 0), MATCH(C$99, $B$62:$G$62, 0))</f>
        <v>18187.200342018568</v>
      </c>
      <c r="D119" s="9">
        <f t="shared" si="9"/>
        <v>-31500.230992376168</v>
      </c>
      <c r="E119" s="9">
        <f t="shared" si="9"/>
        <v>-18187.200342018568</v>
      </c>
      <c r="G119" s="95">
        <f>C112</f>
        <v>2.7493676454415479E-2</v>
      </c>
      <c r="H119" s="14" t="str">
        <f>INDEX(C$80:C$85, MATCH(1, G$80:G$85, 0))</f>
        <v>U2Y</v>
      </c>
      <c r="K119" s="215" t="s">
        <v>390</v>
      </c>
      <c r="L119" s="172"/>
      <c r="M119" s="172"/>
      <c r="N119" s="172"/>
      <c r="O119" s="172"/>
      <c r="P119" s="173"/>
    </row>
    <row r="120" spans="1:16" ht="16.95" customHeight="1" x14ac:dyDescent="0.3">
      <c r="A120" s="18" t="str">
        <f>INDEX(B$72:B$77, MATCH(H120, C$72:C$77, 0))</f>
        <v>C3X</v>
      </c>
      <c r="B120" s="13" t="s">
        <v>220</v>
      </c>
      <c r="C120" s="9">
        <f t="shared" si="9"/>
        <v>-10500.693038116953</v>
      </c>
      <c r="D120" s="9">
        <f t="shared" si="9"/>
        <v>-18187.200342018568</v>
      </c>
      <c r="E120" s="9">
        <f t="shared" si="9"/>
        <v>-42000</v>
      </c>
      <c r="G120" s="95">
        <f>C113</f>
        <v>-0.14285714294933938</v>
      </c>
      <c r="H120" s="14" t="str">
        <f>INDEX(C$80:C$85, MATCH(2, G$80:G$85, 0))</f>
        <v>U3X</v>
      </c>
      <c r="K120" s="215" t="s">
        <v>391</v>
      </c>
      <c r="L120" s="172"/>
      <c r="M120" s="172"/>
      <c r="N120" s="172"/>
      <c r="O120" s="172"/>
      <c r="P120" s="173"/>
    </row>
    <row r="121" spans="1:16" ht="16.95" customHeight="1" x14ac:dyDescent="0.3">
      <c r="A121" s="18" t="str">
        <f>INDEX(B$72:B$77, MATCH(H121, C$72:C$77, 0))</f>
        <v>C3Y</v>
      </c>
      <c r="C121" s="9">
        <f t="shared" si="9"/>
        <v>-18187.200342018568</v>
      </c>
      <c r="D121" s="9">
        <f t="shared" si="9"/>
        <v>-31500.230992376168</v>
      </c>
      <c r="E121" s="9">
        <f t="shared" si="9"/>
        <v>0</v>
      </c>
      <c r="G121" s="95">
        <f>C114</f>
        <v>5.4987352908830958E-2</v>
      </c>
      <c r="H121" s="14" t="str">
        <f>INDEX(C$80:C$85, MATCH(3, G$80:G$85, 0))</f>
        <v>U3Y</v>
      </c>
      <c r="K121" s="215" t="s">
        <v>392</v>
      </c>
      <c r="L121" s="172"/>
      <c r="M121" s="172"/>
      <c r="N121" s="172"/>
      <c r="O121" s="172"/>
      <c r="P121" s="173"/>
    </row>
    <row r="122" spans="1:16" ht="16.95" customHeight="1" x14ac:dyDescent="0.3">
      <c r="K122" s="215" t="s">
        <v>393</v>
      </c>
      <c r="L122" s="172"/>
      <c r="M122" s="172"/>
      <c r="N122" s="172"/>
      <c r="O122" s="172"/>
      <c r="P122" s="173"/>
    </row>
    <row r="123" spans="1:16" ht="16.95" customHeight="1" x14ac:dyDescent="0.3">
      <c r="A123" s="12" t="str">
        <f>A119</f>
        <v>C2Y</v>
      </c>
      <c r="C123" s="17">
        <f t="array" ref="C123:C125">MMULT(C119:E121, G119:G121)</f>
        <v>4000</v>
      </c>
      <c r="D123" s="12" t="s">
        <v>273</v>
      </c>
      <c r="K123" s="215" t="s">
        <v>394</v>
      </c>
      <c r="L123" s="172"/>
      <c r="M123" s="172"/>
      <c r="N123" s="172"/>
      <c r="O123" s="172"/>
      <c r="P123" s="173"/>
    </row>
    <row r="124" spans="1:16" ht="16.95" customHeight="1" x14ac:dyDescent="0.3">
      <c r="A124" s="12" t="str">
        <f>A120</f>
        <v>C3X</v>
      </c>
      <c r="B124" s="13" t="s">
        <v>220</v>
      </c>
      <c r="C124" s="17">
        <v>0</v>
      </c>
      <c r="D124" s="12" t="s">
        <v>273</v>
      </c>
      <c r="K124" s="215"/>
      <c r="L124" s="172"/>
      <c r="M124" s="172"/>
      <c r="N124" s="172"/>
      <c r="O124" s="172"/>
      <c r="P124" s="173"/>
    </row>
    <row r="125" spans="1:16" ht="16.95" customHeight="1" x14ac:dyDescent="0.3">
      <c r="A125" s="12" t="str">
        <f>A121</f>
        <v>C3Y</v>
      </c>
      <c r="C125" s="17">
        <v>3999.9999999999995</v>
      </c>
      <c r="D125" s="12" t="s">
        <v>273</v>
      </c>
      <c r="K125" s="215"/>
      <c r="L125" s="172"/>
      <c r="M125" s="172"/>
      <c r="N125" s="172"/>
      <c r="O125" s="172"/>
      <c r="P125" s="173"/>
    </row>
    <row r="128" spans="1:16" ht="19.95" customHeight="1" x14ac:dyDescent="0.35">
      <c r="A128" s="11" t="s">
        <v>274</v>
      </c>
    </row>
    <row r="130" spans="1:16" ht="19.05" customHeight="1" x14ac:dyDescent="0.3">
      <c r="A130" s="12" t="s">
        <v>228</v>
      </c>
      <c r="B130" s="12" t="s">
        <v>178</v>
      </c>
      <c r="D130" s="94">
        <f t="shared" ref="D130:D135" si="10">IFERROR(INDEX(C$112:C$114, MATCH(A130, A$112:A$114, 0)), 0)</f>
        <v>2.7493676454415479E-2</v>
      </c>
    </row>
    <row r="131" spans="1:16" ht="19.05" customHeight="1" x14ac:dyDescent="0.3">
      <c r="A131" s="12" t="s">
        <v>229</v>
      </c>
      <c r="B131" s="12" t="s">
        <v>179</v>
      </c>
      <c r="D131" s="94">
        <f t="shared" si="10"/>
        <v>-0.14285714294933938</v>
      </c>
    </row>
    <row r="132" spans="1:16" ht="19.05" customHeight="1" x14ac:dyDescent="0.3">
      <c r="A132" s="12" t="s">
        <v>230</v>
      </c>
      <c r="B132" s="12" t="s">
        <v>180</v>
      </c>
      <c r="D132" s="94">
        <f t="shared" si="10"/>
        <v>5.4987352908830958E-2</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216" t="s">
        <v>276</v>
      </c>
      <c r="L138" s="172"/>
      <c r="M138" s="172"/>
      <c r="N138" s="172"/>
      <c r="O138" s="172"/>
      <c r="P138" s="173"/>
    </row>
    <row r="139" spans="1:16" ht="16.95" customHeight="1" x14ac:dyDescent="0.3">
      <c r="K139" s="215" t="s">
        <v>395</v>
      </c>
      <c r="L139" s="172"/>
      <c r="M139" s="172"/>
      <c r="N139" s="172"/>
      <c r="O139" s="172"/>
      <c r="P139" s="173"/>
    </row>
    <row r="140" spans="1:16" ht="16.95" customHeight="1" x14ac:dyDescent="0.3">
      <c r="A140" s="19" t="s">
        <v>278</v>
      </c>
      <c r="C140" s="19" t="s">
        <v>279</v>
      </c>
      <c r="D140" s="19" t="s">
        <v>280</v>
      </c>
      <c r="E140" s="19" t="s">
        <v>279</v>
      </c>
      <c r="F140" s="19" t="s">
        <v>280</v>
      </c>
      <c r="G140" s="19" t="s">
        <v>249</v>
      </c>
      <c r="K140" s="215" t="s">
        <v>396</v>
      </c>
      <c r="L140" s="172"/>
      <c r="M140" s="172"/>
      <c r="N140" s="172"/>
      <c r="O140" s="172"/>
      <c r="P140" s="173"/>
    </row>
    <row r="141" spans="1:16" ht="16.95" customHeight="1" x14ac:dyDescent="0.3">
      <c r="C141" s="19" t="s">
        <v>282</v>
      </c>
      <c r="D141" s="19" t="s">
        <v>282</v>
      </c>
      <c r="E141" s="19" t="s">
        <v>283</v>
      </c>
      <c r="F141" s="19" t="s">
        <v>283</v>
      </c>
      <c r="K141" s="215" t="s">
        <v>397</v>
      </c>
      <c r="L141" s="172"/>
      <c r="M141" s="172"/>
      <c r="N141" s="172"/>
      <c r="O141" s="172"/>
      <c r="P141" s="173"/>
    </row>
    <row r="142" spans="1:16" ht="16.95" customHeight="1" x14ac:dyDescent="0.3">
      <c r="A142" s="17">
        <f>N6</f>
        <v>42000.924030493115</v>
      </c>
      <c r="C142" s="92">
        <f>-J6</f>
        <v>-0.50001100036301327</v>
      </c>
      <c r="D142" s="92">
        <f>-K6</f>
        <v>0.86601905262873913</v>
      </c>
      <c r="E142" s="92">
        <f>J6</f>
        <v>0.50001100036301327</v>
      </c>
      <c r="F142" s="92">
        <f>K6</f>
        <v>-0.86601905262873913</v>
      </c>
      <c r="G142" s="96">
        <f>IFERROR(VLOOKUP(H142, A$130:D$135, 4, FALSE), 0)</f>
        <v>2.7493676454415479E-2</v>
      </c>
      <c r="H142" s="12" t="str">
        <f>"D" &amp; C12 &amp; "X"</f>
        <v>D1X</v>
      </c>
      <c r="K142" s="215" t="s">
        <v>398</v>
      </c>
      <c r="L142" s="172"/>
      <c r="M142" s="172"/>
      <c r="N142" s="172"/>
      <c r="O142" s="172"/>
      <c r="P142" s="173"/>
    </row>
    <row r="143" spans="1:16" ht="16.95" customHeight="1" x14ac:dyDescent="0.3">
      <c r="A143" s="99" t="s">
        <v>285</v>
      </c>
      <c r="B143" s="97">
        <f>(MMULT(C142:F142, G142:G145)*A142)</f>
        <v>-4618.8360265958181</v>
      </c>
      <c r="G143" s="96">
        <f>IFERROR(VLOOKUP(H143, A$130:D$135, 4, FALSE), 0)</f>
        <v>-0.14285714294933938</v>
      </c>
      <c r="H143" s="12" t="str">
        <f>"D" &amp; D12 &amp; "Y"</f>
        <v>D1Y</v>
      </c>
      <c r="K143" s="215" t="s">
        <v>399</v>
      </c>
      <c r="L143" s="172"/>
      <c r="M143" s="172"/>
      <c r="N143" s="172"/>
      <c r="O143" s="172"/>
      <c r="P143" s="173"/>
    </row>
    <row r="144" spans="1:16" ht="16.95" customHeight="1" x14ac:dyDescent="0.3">
      <c r="G144" s="96">
        <f>IFERROR(VLOOKUP(H144, A$130:D$135, 4, FALSE), 0)</f>
        <v>5.4987352908830958E-2</v>
      </c>
      <c r="H144" s="12" t="str">
        <f>"D" &amp; E12 &amp; "X"</f>
        <v>D2X</v>
      </c>
      <c r="K144" s="215" t="s">
        <v>400</v>
      </c>
      <c r="L144" s="172"/>
      <c r="M144" s="172"/>
      <c r="N144" s="172"/>
      <c r="O144" s="172"/>
      <c r="P144" s="173"/>
    </row>
    <row r="145" spans="1:16" ht="16.95" customHeight="1" x14ac:dyDescent="0.3">
      <c r="G145" s="96">
        <f>IFERROR(VLOOKUP(H145, A$130:D$135, 4, FALSE), 0)</f>
        <v>0</v>
      </c>
      <c r="H145" s="12" t="str">
        <f>"D" &amp; F12 &amp; "Y"</f>
        <v>D2Y</v>
      </c>
      <c r="K145" s="215" t="s">
        <v>401</v>
      </c>
      <c r="L145" s="172"/>
      <c r="M145" s="172"/>
      <c r="N145" s="172"/>
      <c r="O145" s="172"/>
      <c r="P145" s="173"/>
    </row>
    <row r="146" spans="1:16" ht="16.95" customHeight="1" x14ac:dyDescent="0.3">
      <c r="B146" s="99" t="s">
        <v>273</v>
      </c>
      <c r="C146" s="178" t="str">
        <f>IF(B143&gt;0.001,"BARRA A TRACCIÓN (+)",IF(B143&lt;-0.001,"BARRA A COMPRESIÓN (-)","BARRA DE FUERZA NULA"))</f>
        <v>BARRA A COMPRESIÓN (-)</v>
      </c>
      <c r="D146" s="172"/>
      <c r="E146" s="172"/>
      <c r="F146" s="173"/>
      <c r="K146" s="215" t="s">
        <v>402</v>
      </c>
      <c r="L146" s="172"/>
      <c r="M146" s="172"/>
      <c r="N146" s="172"/>
      <c r="O146" s="172"/>
      <c r="P146" s="173"/>
    </row>
    <row r="147" spans="1:16" ht="16.95" customHeight="1" x14ac:dyDescent="0.3">
      <c r="K147" s="215" t="s">
        <v>403</v>
      </c>
      <c r="L147" s="172"/>
      <c r="M147" s="172"/>
      <c r="N147" s="172"/>
      <c r="O147" s="172"/>
      <c r="P147" s="173"/>
    </row>
    <row r="148" spans="1:16" ht="16.95" customHeight="1" x14ac:dyDescent="0.3">
      <c r="A148" s="19" t="s">
        <v>278</v>
      </c>
      <c r="C148" s="19" t="s">
        <v>279</v>
      </c>
      <c r="D148" s="19" t="s">
        <v>280</v>
      </c>
      <c r="E148" s="19" t="s">
        <v>279</v>
      </c>
      <c r="F148" s="19" t="s">
        <v>280</v>
      </c>
      <c r="G148" s="19" t="s">
        <v>249</v>
      </c>
      <c r="K148" s="215"/>
      <c r="L148" s="172"/>
      <c r="M148" s="172"/>
      <c r="N148" s="172"/>
      <c r="O148" s="172"/>
      <c r="P148" s="173"/>
    </row>
    <row r="149" spans="1:16" ht="16.95" customHeight="1" x14ac:dyDescent="0.3">
      <c r="C149" s="19" t="s">
        <v>282</v>
      </c>
      <c r="D149" s="19" t="s">
        <v>282</v>
      </c>
      <c r="E149" s="19" t="s">
        <v>283</v>
      </c>
      <c r="F149" s="19" t="s">
        <v>283</v>
      </c>
      <c r="K149" s="215"/>
      <c r="L149" s="172"/>
      <c r="M149" s="172"/>
      <c r="N149" s="172"/>
      <c r="O149" s="172"/>
      <c r="P149" s="173"/>
    </row>
    <row r="150" spans="1:16" ht="16.95" customHeight="1" x14ac:dyDescent="0.3">
      <c r="A150" s="17">
        <f>N7</f>
        <v>42000</v>
      </c>
      <c r="C150" s="92">
        <f>-J7</f>
        <v>1</v>
      </c>
      <c r="D150" s="92">
        <f>-K7</f>
        <v>0</v>
      </c>
      <c r="E150" s="92">
        <f>J7</f>
        <v>-1</v>
      </c>
      <c r="F150" s="92">
        <f>K7</f>
        <v>0</v>
      </c>
      <c r="G150" s="96">
        <f>IFERROR(VLOOKUP(H150, A$130:D$135, 4, FALSE), 0)</f>
        <v>5.4987352908830958E-2</v>
      </c>
      <c r="H150" s="12" t="str">
        <f>"D" &amp; C13 &amp; "X"</f>
        <v>D2X</v>
      </c>
      <c r="K150" s="215"/>
      <c r="L150" s="172"/>
      <c r="M150" s="172"/>
      <c r="N150" s="172"/>
      <c r="O150" s="172"/>
      <c r="P150" s="173"/>
    </row>
    <row r="151" spans="1:16" ht="16.95" customHeight="1" x14ac:dyDescent="0.3">
      <c r="A151" s="99" t="s">
        <v>286</v>
      </c>
      <c r="B151" s="97">
        <f>(MMULT(C150:F150, G150:G153)*A150)</f>
        <v>2309.4688221709002</v>
      </c>
      <c r="G151" s="96">
        <f>IFERROR(VLOOKUP(H151, A$130:D$135, 4, FALSE), 0)</f>
        <v>0</v>
      </c>
      <c r="H151" s="12" t="str">
        <f>"D" &amp; D13 &amp; "Y"</f>
        <v>D2Y</v>
      </c>
      <c r="K151" s="215"/>
      <c r="L151" s="172"/>
      <c r="M151" s="172"/>
      <c r="N151" s="172"/>
      <c r="O151" s="172"/>
      <c r="P151" s="173"/>
    </row>
    <row r="152" spans="1:16" ht="16.95" customHeight="1" x14ac:dyDescent="0.3">
      <c r="G152" s="96">
        <f>IFERROR(VLOOKUP(H152, A$130:D$135, 4, FALSE), 0)</f>
        <v>0</v>
      </c>
      <c r="H152" s="12" t="str">
        <f>"D" &amp; E13 &amp; "X"</f>
        <v>D3X</v>
      </c>
      <c r="K152" s="215"/>
      <c r="L152" s="172"/>
      <c r="M152" s="172"/>
      <c r="N152" s="172"/>
      <c r="O152" s="172"/>
      <c r="P152" s="173"/>
    </row>
    <row r="153" spans="1:16" ht="16.95" customHeight="1" x14ac:dyDescent="0.3">
      <c r="G153" s="96">
        <f>IFERROR(VLOOKUP(H153, A$130:D$135, 4, FALSE), 0)</f>
        <v>0</v>
      </c>
      <c r="H153" s="12" t="str">
        <f>"D" &amp; F13 &amp; "Y"</f>
        <v>D3Y</v>
      </c>
      <c r="K153" s="215"/>
      <c r="L153" s="172"/>
      <c r="M153" s="172"/>
      <c r="N153" s="172"/>
      <c r="O153" s="172"/>
      <c r="P153" s="173"/>
    </row>
    <row r="154" spans="1:16" ht="16.95" customHeight="1" x14ac:dyDescent="0.3">
      <c r="B154" s="99" t="s">
        <v>273</v>
      </c>
      <c r="C154" s="178" t="str">
        <f>IF(B151&gt;0.001,"BARRA A TRACCIÓN (+)",IF(B151&lt;-0.001,"BARRA A COMPRESIÓN (-)","BARRA DE FUERZA NULA"))</f>
        <v>BARRA A TRACCIÓN (+)</v>
      </c>
      <c r="D154" s="172"/>
      <c r="E154" s="172"/>
      <c r="F154" s="173"/>
      <c r="K154" s="215"/>
      <c r="L154" s="172"/>
      <c r="M154" s="172"/>
      <c r="N154" s="172"/>
      <c r="O154" s="172"/>
      <c r="P154" s="173"/>
    </row>
    <row r="155" spans="1:16" ht="16.95" customHeight="1" x14ac:dyDescent="0.3">
      <c r="K155" s="215"/>
      <c r="L155" s="172"/>
      <c r="M155" s="172"/>
      <c r="N155" s="172"/>
      <c r="O155" s="172"/>
      <c r="P155" s="173"/>
    </row>
    <row r="156" spans="1:16" ht="16.95" customHeight="1" x14ac:dyDescent="0.3">
      <c r="A156" s="19" t="s">
        <v>278</v>
      </c>
      <c r="C156" s="19" t="s">
        <v>279</v>
      </c>
      <c r="D156" s="19" t="s">
        <v>280</v>
      </c>
      <c r="E156" s="19" t="s">
        <v>279</v>
      </c>
      <c r="F156" s="19" t="s">
        <v>280</v>
      </c>
      <c r="G156" s="19" t="s">
        <v>249</v>
      </c>
      <c r="K156" s="215"/>
      <c r="L156" s="172"/>
      <c r="M156" s="172"/>
      <c r="N156" s="172"/>
      <c r="O156" s="172"/>
      <c r="P156" s="173"/>
    </row>
    <row r="157" spans="1:16" ht="16.95" customHeight="1" x14ac:dyDescent="0.3">
      <c r="C157" s="19" t="s">
        <v>282</v>
      </c>
      <c r="D157" s="19" t="s">
        <v>282</v>
      </c>
      <c r="E157" s="19" t="s">
        <v>283</v>
      </c>
      <c r="F157" s="19" t="s">
        <v>283</v>
      </c>
      <c r="K157" s="215"/>
      <c r="L157" s="172"/>
      <c r="M157" s="172"/>
      <c r="N157" s="172"/>
      <c r="O157" s="172"/>
      <c r="P157" s="173"/>
    </row>
    <row r="158" spans="1:16" ht="16.95" customHeight="1" x14ac:dyDescent="0.3">
      <c r="A158" s="17">
        <f>N8</f>
        <v>42000.924030493115</v>
      </c>
      <c r="C158" s="92">
        <f>-J8</f>
        <v>-0.50001100036301327</v>
      </c>
      <c r="D158" s="92">
        <f>-K8</f>
        <v>-0.86601905262873913</v>
      </c>
      <c r="E158" s="92">
        <f>J8</f>
        <v>0.50001100036301327</v>
      </c>
      <c r="F158" s="92">
        <f>K8</f>
        <v>0.86601905262873913</v>
      </c>
      <c r="G158" s="96">
        <f>IFERROR(VLOOKUP(H158, A$130:D$135, 4, FALSE), 0)</f>
        <v>0</v>
      </c>
      <c r="H158" s="12" t="str">
        <f>"D" &amp; C14 &amp; "X"</f>
        <v>D3X</v>
      </c>
      <c r="K158" s="215"/>
      <c r="L158" s="172"/>
      <c r="M158" s="172"/>
      <c r="N158" s="172"/>
      <c r="O158" s="172"/>
      <c r="P158" s="173"/>
    </row>
    <row r="159" spans="1:16" ht="16.95" customHeight="1" x14ac:dyDescent="0.3">
      <c r="A159" s="99" t="s">
        <v>287</v>
      </c>
      <c r="B159" s="97">
        <f>(MMULT(C158:F158, G158:G161)*A158)</f>
        <v>-4618.8360265958172</v>
      </c>
      <c r="G159" s="96">
        <f>IFERROR(VLOOKUP(H159, A$130:D$135, 4, FALSE), 0)</f>
        <v>0</v>
      </c>
      <c r="H159" s="12" t="str">
        <f>"D" &amp; D14 &amp; "Y"</f>
        <v>D3Y</v>
      </c>
      <c r="K159" s="215"/>
      <c r="L159" s="172"/>
      <c r="M159" s="172"/>
      <c r="N159" s="172"/>
      <c r="O159" s="172"/>
      <c r="P159" s="173"/>
    </row>
    <row r="160" spans="1:16" ht="16.95" customHeight="1" x14ac:dyDescent="0.3">
      <c r="G160" s="96">
        <f>IFERROR(VLOOKUP(H160, A$130:D$135, 4, FALSE), 0)</f>
        <v>2.7493676454415479E-2</v>
      </c>
      <c r="H160" s="12" t="str">
        <f>"D" &amp; E14 &amp; "X"</f>
        <v>D1X</v>
      </c>
      <c r="K160" s="215"/>
      <c r="L160" s="172"/>
      <c r="M160" s="172"/>
      <c r="N160" s="172"/>
      <c r="O160" s="172"/>
      <c r="P160" s="173"/>
    </row>
    <row r="161" spans="2:16" ht="16.95" customHeight="1" x14ac:dyDescent="0.3">
      <c r="G161" s="96">
        <f>IFERROR(VLOOKUP(H161, A$130:D$135, 4, FALSE), 0)</f>
        <v>-0.14285714294933938</v>
      </c>
      <c r="H161" s="12" t="str">
        <f>"D" &amp; F14 &amp; "Y"</f>
        <v>D1Y</v>
      </c>
      <c r="K161" s="215"/>
      <c r="L161" s="172"/>
      <c r="M161" s="172"/>
      <c r="N161" s="172"/>
      <c r="O161" s="172"/>
      <c r="P161" s="173"/>
    </row>
    <row r="162" spans="2:16" ht="16.95" customHeight="1" x14ac:dyDescent="0.3">
      <c r="B162" s="99" t="s">
        <v>273</v>
      </c>
      <c r="C162" s="178" t="str">
        <f>IF(B159&gt;0.001,"BARRA A TRACCIÓN (+)",IF(B159&lt;-0.001,"BARRA A COMPRESIÓN (-)","BARRA DE FUERZA NULA"))</f>
        <v>BARRA A COMPRESIÓN (-)</v>
      </c>
      <c r="D162" s="172"/>
      <c r="E162" s="172"/>
      <c r="F162" s="173"/>
      <c r="K162" s="215"/>
      <c r="L162" s="172"/>
      <c r="M162" s="172"/>
      <c r="N162" s="172"/>
      <c r="O162" s="172"/>
      <c r="P162" s="173"/>
    </row>
    <row r="163" spans="2:16" ht="16.95" customHeight="1" x14ac:dyDescent="0.3">
      <c r="K163" s="215"/>
      <c r="L163" s="172"/>
      <c r="M163" s="172"/>
      <c r="N163" s="172"/>
      <c r="O163" s="172"/>
      <c r="P163" s="173"/>
    </row>
    <row r="165" spans="2:16" ht="22.05" customHeight="1" x14ac:dyDescent="0.3">
      <c r="B165" s="217" t="s">
        <v>404</v>
      </c>
      <c r="C165" s="175"/>
      <c r="D165" s="175"/>
      <c r="E165" s="175"/>
      <c r="F165" s="175"/>
      <c r="G165" s="175"/>
      <c r="H165" s="17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599.9867998547968</v>
      </c>
      <c r="F167" s="9">
        <f>L6</f>
        <v>12</v>
      </c>
      <c r="G167" s="97">
        <f>B143</f>
        <v>-4618.8360265958181</v>
      </c>
      <c r="H167" s="84" t="str">
        <f>C146</f>
        <v>BARRA A COMPRESIÓN (-)</v>
      </c>
    </row>
    <row r="168" spans="2:16" ht="19.95" customHeight="1" x14ac:dyDescent="0.3">
      <c r="B168" s="25">
        <v>2</v>
      </c>
      <c r="C168" s="86">
        <f>C13</f>
        <v>2</v>
      </c>
      <c r="D168" s="86">
        <f>E13</f>
        <v>3</v>
      </c>
      <c r="E168" s="9">
        <f>I7</f>
        <v>600</v>
      </c>
      <c r="F168" s="9">
        <f>L7</f>
        <v>12</v>
      </c>
      <c r="G168" s="97">
        <f>B151</f>
        <v>2309.4688221709002</v>
      </c>
      <c r="H168" s="84" t="str">
        <f>C154</f>
        <v>BARRA A TRACCIÓN (+)</v>
      </c>
    </row>
    <row r="169" spans="2:16" ht="19.95" customHeight="1" x14ac:dyDescent="0.3">
      <c r="B169" s="26">
        <v>3</v>
      </c>
      <c r="C169" s="86">
        <f>C14</f>
        <v>3</v>
      </c>
      <c r="D169" s="86">
        <f>E14</f>
        <v>1</v>
      </c>
      <c r="E169" s="9">
        <f>I8</f>
        <v>599.9867998547968</v>
      </c>
      <c r="F169" s="9">
        <f>L8</f>
        <v>12</v>
      </c>
      <c r="G169" s="97">
        <f>B159</f>
        <v>-4618.8360265958172</v>
      </c>
      <c r="H169" s="84" t="str">
        <f>C162</f>
        <v>BARRA A COMPRESIÓN (-)</v>
      </c>
    </row>
  </sheetData>
  <mergeCells count="102">
    <mergeCell ref="C162:F162"/>
    <mergeCell ref="K78:P78"/>
    <mergeCell ref="K85:P85"/>
    <mergeCell ref="K100:P100"/>
    <mergeCell ref="K94:P94"/>
    <mergeCell ref="K75:P7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K105:P105"/>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48"/>
  <sheetViews>
    <sheetView topLeftCell="A17"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414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400</v>
      </c>
      <c r="AB5" s="20">
        <f>IF(F28="","",F28)</f>
        <v>0</v>
      </c>
      <c r="AC5" t="s">
        <v>313</v>
      </c>
    </row>
    <row r="6" spans="2:29" ht="24" customHeight="1" x14ac:dyDescent="0.3">
      <c r="B6" s="206">
        <f>COUNT(C14:C23)</f>
        <v>3</v>
      </c>
      <c r="C6" s="173"/>
      <c r="D6" s="206">
        <f>COUNT(C28:C42)</f>
        <v>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300</v>
      </c>
      <c r="AC11" t="s">
        <v>324</v>
      </c>
    </row>
    <row r="12" spans="2:29" x14ac:dyDescent="0.3">
      <c r="AA12" s="20">
        <f>IF(G30="","",G30)</f>
        <v>400</v>
      </c>
      <c r="AB12" s="20">
        <f>IF(H30="","",H30)</f>
        <v>0</v>
      </c>
      <c r="AC12" t="s">
        <v>325</v>
      </c>
    </row>
    <row r="14" spans="2:29" ht="19.05" customHeight="1" x14ac:dyDescent="0.3">
      <c r="B14" s="89">
        <v>1</v>
      </c>
      <c r="C14" s="21">
        <v>400</v>
      </c>
      <c r="D14" s="21">
        <v>0</v>
      </c>
      <c r="E14" s="21" t="s">
        <v>326</v>
      </c>
      <c r="F14" s="88">
        <f t="shared" ref="F14:F23" si="0">IF(OR(ISBLANK(C14),C14=""),"",IF(E14="Fijo (articulado)",1,IF(E14="Rodillo X (despl. Y libre)",1,0)))</f>
        <v>0</v>
      </c>
      <c r="G14" s="88">
        <f t="shared" ref="G14:G23" si="1">IF(OR(ISBLANK(C14),C14=""),"",IF(E14="Fijo (articulado)",1,IF(E14="Rodillo Y (despl. X libre)",1,0)))</f>
        <v>0</v>
      </c>
      <c r="H14" s="22">
        <v>0</v>
      </c>
      <c r="I14" s="22">
        <v>-6500</v>
      </c>
      <c r="J14" s="205" t="s">
        <v>415</v>
      </c>
      <c r="K14" s="172"/>
      <c r="L14" s="172"/>
      <c r="M14" s="172"/>
      <c r="N14" s="172"/>
      <c r="O14" s="173"/>
      <c r="AA14" s="20" t="str">
        <f>IF(E31="","",E31)</f>
        <v/>
      </c>
      <c r="AB14" s="20" t="str">
        <f>IF(F31="","",F31)</f>
        <v/>
      </c>
      <c r="AC14" t="s">
        <v>328</v>
      </c>
    </row>
    <row r="15" spans="2:29" ht="19.05" customHeight="1" x14ac:dyDescent="0.3">
      <c r="B15" s="89">
        <v>2</v>
      </c>
      <c r="C15" s="21">
        <v>0</v>
      </c>
      <c r="D15" s="21">
        <v>0</v>
      </c>
      <c r="E15" s="21" t="s">
        <v>332</v>
      </c>
      <c r="F15" s="88">
        <f t="shared" si="0"/>
        <v>1</v>
      </c>
      <c r="G15" s="88">
        <f t="shared" si="1"/>
        <v>1</v>
      </c>
      <c r="H15" s="22">
        <v>0</v>
      </c>
      <c r="I15" s="22">
        <v>0</v>
      </c>
      <c r="J15" s="205" t="s">
        <v>416</v>
      </c>
      <c r="K15" s="172"/>
      <c r="L15" s="172"/>
      <c r="M15" s="172"/>
      <c r="N15" s="172"/>
      <c r="O15" s="173"/>
      <c r="AA15" s="20" t="str">
        <f>IF(G31="","",G31)</f>
        <v/>
      </c>
      <c r="AB15" s="20" t="str">
        <f>IF(H31="","",H31)</f>
        <v/>
      </c>
      <c r="AC15" t="s">
        <v>331</v>
      </c>
    </row>
    <row r="16" spans="2:29" ht="19.05" customHeight="1" x14ac:dyDescent="0.3">
      <c r="B16" s="89">
        <v>3</v>
      </c>
      <c r="C16" s="21">
        <v>0</v>
      </c>
      <c r="D16" s="21">
        <v>300</v>
      </c>
      <c r="E16" s="21" t="s">
        <v>417</v>
      </c>
      <c r="F16" s="88">
        <f t="shared" si="0"/>
        <v>1</v>
      </c>
      <c r="G16" s="88">
        <f t="shared" si="1"/>
        <v>0</v>
      </c>
      <c r="H16" s="22">
        <v>0</v>
      </c>
      <c r="I16" s="22">
        <v>0</v>
      </c>
      <c r="J16" s="205" t="s">
        <v>418</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400</v>
      </c>
      <c r="F28" s="5">
        <f t="shared" ref="F28:F42" si="3">IF(OR(ISBLANK(C28),C28=""),"",VLOOKUP(C28,$B$14:$D$23,3,FALSE))</f>
        <v>0</v>
      </c>
      <c r="G28" s="5">
        <f t="shared" ref="G28:G42" si="4">IF(OR(ISBLANK(D28),D28=""),"",VLOOKUP(D28,$B$14:$D$23,2,FALSE))</f>
        <v>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0</v>
      </c>
      <c r="F29" s="5">
        <f t="shared" si="3"/>
        <v>0</v>
      </c>
      <c r="G29" s="5">
        <f t="shared" si="4"/>
        <v>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300</v>
      </c>
      <c r="G30" s="5">
        <f t="shared" si="4"/>
        <v>400</v>
      </c>
      <c r="H30" s="5">
        <f t="shared" si="5"/>
        <v>0</v>
      </c>
      <c r="I30" s="9">
        <f t="shared" si="6"/>
        <v>400</v>
      </c>
      <c r="J30" s="9">
        <f t="shared" si="7"/>
        <v>-300</v>
      </c>
      <c r="K30" s="9">
        <f t="shared" si="8"/>
        <v>500</v>
      </c>
      <c r="L30" s="92">
        <f t="shared" si="9"/>
        <v>0.8</v>
      </c>
      <c r="M30" s="92">
        <f t="shared" si="10"/>
        <v>-0.6</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900-000000000000}">
      <formula1>"Fijo (articulado),Rodillo Y (despl. X libre),Rodillo X (despl. Y libre),Libre (0 reac.)"</formula1>
    </dataValidation>
  </dataValidation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419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GRAFICA_04!E28</f>
        <v>400</v>
      </c>
      <c r="D6" s="22">
        <f>GRAFICA_04!F28</f>
        <v>0</v>
      </c>
      <c r="E6" s="22">
        <f>GRAFICA_04!G28</f>
        <v>0</v>
      </c>
      <c r="F6" s="22">
        <f>GRAFICA_04!H28</f>
        <v>0</v>
      </c>
      <c r="G6" s="9">
        <f t="shared" ref="G6:H8" si="0">E6-C6</f>
        <v>-400</v>
      </c>
      <c r="H6" s="9">
        <f t="shared" si="0"/>
        <v>0</v>
      </c>
      <c r="I6" s="9">
        <f>SQRT(G6*G6+H6*H6)</f>
        <v>400</v>
      </c>
      <c r="J6" s="92">
        <f>G6/I6</f>
        <v>-1</v>
      </c>
      <c r="K6" s="92">
        <f>H6/I6</f>
        <v>0</v>
      </c>
      <c r="L6" s="22">
        <f>GRAFICA_04!N28</f>
        <v>12</v>
      </c>
      <c r="M6" s="22">
        <f>GRAFICA_04!O28</f>
        <v>2100000</v>
      </c>
      <c r="N6" s="6">
        <f>L6*M6/I6</f>
        <v>63000</v>
      </c>
    </row>
    <row r="7" spans="2:14" ht="19.05" customHeight="1" x14ac:dyDescent="0.3">
      <c r="B7" s="25">
        <v>2</v>
      </c>
      <c r="C7" s="22">
        <f>GRAFICA_04!E29</f>
        <v>0</v>
      </c>
      <c r="D7" s="22">
        <f>GRAFICA_04!F29</f>
        <v>0</v>
      </c>
      <c r="E7" s="22">
        <f>GRAFICA_04!G29</f>
        <v>0</v>
      </c>
      <c r="F7" s="22">
        <f>GRAFICA_04!H29</f>
        <v>300</v>
      </c>
      <c r="G7" s="9">
        <f t="shared" si="0"/>
        <v>0</v>
      </c>
      <c r="H7" s="9">
        <f t="shared" si="0"/>
        <v>300</v>
      </c>
      <c r="I7" s="9">
        <f>SQRT(G7*G7+H7*H7)</f>
        <v>300</v>
      </c>
      <c r="J7" s="92">
        <f>G7/I7</f>
        <v>0</v>
      </c>
      <c r="K7" s="92">
        <f>H7/I7</f>
        <v>1</v>
      </c>
      <c r="L7" s="22">
        <f>GRAFICA_04!N29</f>
        <v>12</v>
      </c>
      <c r="M7" s="22">
        <f>GRAFICA_04!O29</f>
        <v>2100000</v>
      </c>
      <c r="N7" s="6">
        <f>L7*M7/I7</f>
        <v>84000</v>
      </c>
    </row>
    <row r="8" spans="2:14" ht="19.05" customHeight="1" x14ac:dyDescent="0.3">
      <c r="B8" s="26">
        <v>3</v>
      </c>
      <c r="C8" s="22">
        <f>GRAFICA_04!E30</f>
        <v>0</v>
      </c>
      <c r="D8" s="22">
        <f>GRAFICA_04!F30</f>
        <v>300</v>
      </c>
      <c r="E8" s="22">
        <f>GRAFICA_04!G30</f>
        <v>400</v>
      </c>
      <c r="F8" s="22">
        <f>GRAFICA_04!H30</f>
        <v>0</v>
      </c>
      <c r="G8" s="9">
        <f t="shared" si="0"/>
        <v>400</v>
      </c>
      <c r="H8" s="9">
        <f t="shared" si="0"/>
        <v>-300</v>
      </c>
      <c r="I8" s="9">
        <f>SQRT(G8*G8+H8*H8)</f>
        <v>500</v>
      </c>
      <c r="J8" s="92">
        <f>G8/I8</f>
        <v>0.8</v>
      </c>
      <c r="K8" s="92">
        <f>H8/I8</f>
        <v>-0.6</v>
      </c>
      <c r="L8" s="22">
        <f>GRAFICA_04!N30</f>
        <v>12</v>
      </c>
      <c r="M8" s="22">
        <f>GRAFICA_04!O30</f>
        <v>2100000</v>
      </c>
      <c r="N8" s="6">
        <f>L8*M8/I8</f>
        <v>50400</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GRAFICA_04!C28</f>
        <v>1</v>
      </c>
      <c r="D12" s="23">
        <f>GRAFICA_04!C28</f>
        <v>1</v>
      </c>
      <c r="E12" s="23">
        <f>GRAFICA_04!D28</f>
        <v>2</v>
      </c>
      <c r="F12" s="23">
        <f>GRAFICA_04!D28</f>
        <v>2</v>
      </c>
    </row>
    <row r="13" spans="2:14" ht="19.05" customHeight="1" x14ac:dyDescent="0.3">
      <c r="B13" s="25">
        <v>2</v>
      </c>
      <c r="C13" s="23">
        <f>GRAFICA_04!C29</f>
        <v>2</v>
      </c>
      <c r="D13" s="23">
        <f>GRAFICA_04!C29</f>
        <v>2</v>
      </c>
      <c r="E13" s="23">
        <f>GRAFICA_04!D29</f>
        <v>3</v>
      </c>
      <c r="F13" s="23">
        <f>GRAFICA_04!D29</f>
        <v>3</v>
      </c>
    </row>
    <row r="14" spans="2:14" ht="19.05" customHeight="1" x14ac:dyDescent="0.3">
      <c r="B14" s="26">
        <v>3</v>
      </c>
      <c r="C14" s="23">
        <f>GRAFICA_04!C30</f>
        <v>3</v>
      </c>
      <c r="D14" s="23">
        <f>GRAFICA_04!C30</f>
        <v>3</v>
      </c>
      <c r="E14" s="23">
        <f>GRAFICA_04!D30</f>
        <v>1</v>
      </c>
      <c r="F14" s="23">
        <f>GRAFICA_04!D30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63000</v>
      </c>
      <c r="C18" s="7">
        <f>J6*K6*N6</f>
        <v>0</v>
      </c>
      <c r="D18" s="7">
        <f>-B18</f>
        <v>-63000</v>
      </c>
      <c r="E18" s="7">
        <f>-C18</f>
        <v>0</v>
      </c>
      <c r="F18" s="27" t="str">
        <f>B17</f>
        <v>U1X</v>
      </c>
    </row>
    <row r="19" spans="1:8" ht="16.8" customHeight="1" x14ac:dyDescent="0.3">
      <c r="A19" s="28" t="s">
        <v>177</v>
      </c>
      <c r="B19" s="7">
        <f>C18</f>
        <v>0</v>
      </c>
      <c r="C19" s="7">
        <f>K6*K6*N6</f>
        <v>0</v>
      </c>
      <c r="D19" s="7">
        <f>-B19</f>
        <v>0</v>
      </c>
      <c r="E19" s="7">
        <f>-C19</f>
        <v>0</v>
      </c>
      <c r="F19" s="27" t="str">
        <f>C17</f>
        <v>U1Y</v>
      </c>
    </row>
    <row r="20" spans="1:8" x14ac:dyDescent="0.3">
      <c r="B20" s="7">
        <f>D18</f>
        <v>-63000</v>
      </c>
      <c r="C20" s="7">
        <f>E18</f>
        <v>0</v>
      </c>
      <c r="D20" s="7">
        <f>B18</f>
        <v>63000</v>
      </c>
      <c r="E20" s="7">
        <f>C18</f>
        <v>0</v>
      </c>
      <c r="F20" s="27" t="str">
        <f>D17</f>
        <v>U2X</v>
      </c>
    </row>
    <row r="21" spans="1:8" x14ac:dyDescent="0.3">
      <c r="B21" s="7">
        <f>D19</f>
        <v>0</v>
      </c>
      <c r="C21" s="7">
        <f>E19</f>
        <v>0</v>
      </c>
      <c r="D21" s="7">
        <f>B19</f>
        <v>0</v>
      </c>
      <c r="E21" s="7">
        <f>C19</f>
        <v>0</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63000</v>
      </c>
      <c r="C24" s="8">
        <f t="shared" si="1"/>
        <v>0</v>
      </c>
      <c r="D24" s="8">
        <f t="shared" si="1"/>
        <v>-63000</v>
      </c>
      <c r="E24" s="8">
        <f t="shared" si="1"/>
        <v>0</v>
      </c>
      <c r="F24" s="9">
        <f t="shared" si="1"/>
        <v>0</v>
      </c>
      <c r="G24" s="9">
        <f t="shared" si="1"/>
        <v>0</v>
      </c>
      <c r="H24" s="27" t="s">
        <v>178</v>
      </c>
    </row>
    <row r="25" spans="1:8" ht="19.05" customHeight="1" x14ac:dyDescent="0.3">
      <c r="B25" s="8">
        <f t="shared" si="1"/>
        <v>0</v>
      </c>
      <c r="C25" s="8">
        <f t="shared" si="1"/>
        <v>0</v>
      </c>
      <c r="D25" s="8">
        <f t="shared" si="1"/>
        <v>0</v>
      </c>
      <c r="E25" s="8">
        <f t="shared" si="1"/>
        <v>0</v>
      </c>
      <c r="F25" s="9">
        <f t="shared" si="1"/>
        <v>0</v>
      </c>
      <c r="G25" s="9">
        <f t="shared" si="1"/>
        <v>0</v>
      </c>
      <c r="H25" s="27" t="s">
        <v>179</v>
      </c>
    </row>
    <row r="26" spans="1:8" ht="19.05" customHeight="1" x14ac:dyDescent="0.3">
      <c r="A26" s="28" t="s">
        <v>190</v>
      </c>
      <c r="B26" s="8">
        <f t="shared" si="1"/>
        <v>-63000</v>
      </c>
      <c r="C26" s="8">
        <f t="shared" si="1"/>
        <v>0</v>
      </c>
      <c r="D26" s="8">
        <f t="shared" si="1"/>
        <v>63000</v>
      </c>
      <c r="E26" s="8">
        <f t="shared" si="1"/>
        <v>0</v>
      </c>
      <c r="F26" s="9">
        <f t="shared" si="1"/>
        <v>0</v>
      </c>
      <c r="G26" s="9">
        <f t="shared" si="1"/>
        <v>0</v>
      </c>
      <c r="H26" s="27" t="s">
        <v>180</v>
      </c>
    </row>
    <row r="27" spans="1:8" ht="19.05" customHeight="1" x14ac:dyDescent="0.3">
      <c r="B27" s="8">
        <f t="shared" si="1"/>
        <v>0</v>
      </c>
      <c r="C27" s="8">
        <f t="shared" si="1"/>
        <v>0</v>
      </c>
      <c r="D27" s="8">
        <f t="shared" si="1"/>
        <v>0</v>
      </c>
      <c r="E27" s="8">
        <f t="shared" si="1"/>
        <v>0</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0</v>
      </c>
      <c r="C33" s="30">
        <f>J7*K7*N7</f>
        <v>0</v>
      </c>
      <c r="D33" s="30">
        <f>-B33</f>
        <v>0</v>
      </c>
      <c r="E33" s="30">
        <f>-C33</f>
        <v>0</v>
      </c>
      <c r="F33" s="29" t="str">
        <f>B32</f>
        <v>U2X</v>
      </c>
    </row>
    <row r="34" spans="1:8" ht="16.8" customHeight="1" x14ac:dyDescent="0.3">
      <c r="A34" s="28" t="s">
        <v>191</v>
      </c>
      <c r="B34" s="30">
        <f>C33</f>
        <v>0</v>
      </c>
      <c r="C34" s="30">
        <f>K7*K7*N7</f>
        <v>84000</v>
      </c>
      <c r="D34" s="30">
        <f>-B34</f>
        <v>0</v>
      </c>
      <c r="E34" s="30">
        <f>-C34</f>
        <v>-84000</v>
      </c>
      <c r="F34" s="29" t="str">
        <f>C32</f>
        <v>U2Y</v>
      </c>
    </row>
    <row r="35" spans="1:8" x14ac:dyDescent="0.3">
      <c r="B35" s="30">
        <f>D33</f>
        <v>0</v>
      </c>
      <c r="C35" s="30">
        <f>E33</f>
        <v>0</v>
      </c>
      <c r="D35" s="30">
        <f>B33</f>
        <v>0</v>
      </c>
      <c r="E35" s="30">
        <f>C33</f>
        <v>0</v>
      </c>
      <c r="F35" s="29" t="str">
        <f>D32</f>
        <v>U3X</v>
      </c>
    </row>
    <row r="36" spans="1:8" x14ac:dyDescent="0.3">
      <c r="B36" s="30">
        <f>D34</f>
        <v>0</v>
      </c>
      <c r="C36" s="30">
        <f>E34</f>
        <v>-84000</v>
      </c>
      <c r="D36" s="30">
        <f>B34</f>
        <v>0</v>
      </c>
      <c r="E36" s="30">
        <f>C34</f>
        <v>84000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0</v>
      </c>
      <c r="E41" s="31">
        <f t="shared" si="2"/>
        <v>0</v>
      </c>
      <c r="F41" s="31">
        <f t="shared" si="2"/>
        <v>0</v>
      </c>
      <c r="G41" s="31">
        <f t="shared" si="2"/>
        <v>0</v>
      </c>
      <c r="H41" s="29" t="s">
        <v>180</v>
      </c>
    </row>
    <row r="42" spans="1:8" ht="19.05" customHeight="1" x14ac:dyDescent="0.3">
      <c r="B42" s="9">
        <f t="shared" si="2"/>
        <v>0</v>
      </c>
      <c r="C42" s="9">
        <f t="shared" si="2"/>
        <v>0</v>
      </c>
      <c r="D42" s="31">
        <f t="shared" si="2"/>
        <v>0</v>
      </c>
      <c r="E42" s="31">
        <f t="shared" si="2"/>
        <v>84000</v>
      </c>
      <c r="F42" s="31">
        <f t="shared" si="2"/>
        <v>0</v>
      </c>
      <c r="G42" s="31">
        <f t="shared" si="2"/>
        <v>-84000</v>
      </c>
      <c r="H42" s="29" t="s">
        <v>181</v>
      </c>
    </row>
    <row r="43" spans="1:8" ht="19.05" customHeight="1" x14ac:dyDescent="0.3">
      <c r="B43" s="9">
        <f t="shared" si="2"/>
        <v>0</v>
      </c>
      <c r="C43" s="9">
        <f t="shared" si="2"/>
        <v>0</v>
      </c>
      <c r="D43" s="31">
        <f t="shared" si="2"/>
        <v>0</v>
      </c>
      <c r="E43" s="31">
        <f t="shared" si="2"/>
        <v>0</v>
      </c>
      <c r="F43" s="31">
        <f t="shared" si="2"/>
        <v>0</v>
      </c>
      <c r="G43" s="31">
        <f t="shared" si="2"/>
        <v>0</v>
      </c>
      <c r="H43" s="29" t="s">
        <v>182</v>
      </c>
    </row>
    <row r="44" spans="1:8" ht="19.05" customHeight="1" x14ac:dyDescent="0.3">
      <c r="B44" s="9">
        <f t="shared" si="2"/>
        <v>0</v>
      </c>
      <c r="C44" s="9">
        <f t="shared" si="2"/>
        <v>0</v>
      </c>
      <c r="D44" s="31">
        <f t="shared" si="2"/>
        <v>0</v>
      </c>
      <c r="E44" s="31">
        <f t="shared" si="2"/>
        <v>-84000</v>
      </c>
      <c r="F44" s="31">
        <f t="shared" si="2"/>
        <v>0</v>
      </c>
      <c r="G44" s="31">
        <f t="shared" si="2"/>
        <v>84000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32256.000000000007</v>
      </c>
      <c r="C48" s="33">
        <f>J8*K8*N8</f>
        <v>-24192</v>
      </c>
      <c r="D48" s="33">
        <f>-B48</f>
        <v>-32256.000000000007</v>
      </c>
      <c r="E48" s="33">
        <f>-C48</f>
        <v>24192</v>
      </c>
      <c r="F48" s="32" t="str">
        <f>B47</f>
        <v>U3X</v>
      </c>
    </row>
    <row r="49" spans="1:8" ht="16.8" customHeight="1" x14ac:dyDescent="0.3">
      <c r="A49" s="28" t="s">
        <v>193</v>
      </c>
      <c r="B49" s="33">
        <f>C48</f>
        <v>-24192</v>
      </c>
      <c r="C49" s="33">
        <f>K8*K8*N8</f>
        <v>18144</v>
      </c>
      <c r="D49" s="33">
        <f>-B49</f>
        <v>24192</v>
      </c>
      <c r="E49" s="33">
        <f>-C49</f>
        <v>-18144</v>
      </c>
      <c r="F49" s="32" t="str">
        <f>C47</f>
        <v>U3Y</v>
      </c>
    </row>
    <row r="50" spans="1:8" x14ac:dyDescent="0.3">
      <c r="B50" s="33">
        <f>D48</f>
        <v>-32256.000000000007</v>
      </c>
      <c r="C50" s="33">
        <f>E48</f>
        <v>24192</v>
      </c>
      <c r="D50" s="33">
        <f>B48</f>
        <v>32256.000000000007</v>
      </c>
      <c r="E50" s="33">
        <f>C48</f>
        <v>-24192</v>
      </c>
      <c r="F50" s="32" t="str">
        <f>D47</f>
        <v>U1X</v>
      </c>
    </row>
    <row r="51" spans="1:8" x14ac:dyDescent="0.3">
      <c r="B51" s="33">
        <f>D49</f>
        <v>24192</v>
      </c>
      <c r="C51" s="33">
        <f>E49</f>
        <v>-18144</v>
      </c>
      <c r="D51" s="33">
        <f>B49</f>
        <v>-24192</v>
      </c>
      <c r="E51" s="33">
        <f>C49</f>
        <v>18144</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32256.000000000007</v>
      </c>
      <c r="C54" s="34">
        <f t="shared" si="3"/>
        <v>-24192</v>
      </c>
      <c r="D54" s="9">
        <f t="shared" si="3"/>
        <v>0</v>
      </c>
      <c r="E54" s="9">
        <f t="shared" si="3"/>
        <v>0</v>
      </c>
      <c r="F54" s="34">
        <f t="shared" si="3"/>
        <v>-32256.000000000007</v>
      </c>
      <c r="G54" s="34">
        <f t="shared" si="3"/>
        <v>24192</v>
      </c>
      <c r="H54" s="32" t="s">
        <v>178</v>
      </c>
    </row>
    <row r="55" spans="1:8" ht="19.05" customHeight="1" x14ac:dyDescent="0.3">
      <c r="B55" s="34">
        <f t="shared" si="3"/>
        <v>-24192</v>
      </c>
      <c r="C55" s="34">
        <f t="shared" si="3"/>
        <v>18144</v>
      </c>
      <c r="D55" s="9">
        <f t="shared" si="3"/>
        <v>0</v>
      </c>
      <c r="E55" s="9">
        <f t="shared" si="3"/>
        <v>0</v>
      </c>
      <c r="F55" s="34">
        <f t="shared" si="3"/>
        <v>24192</v>
      </c>
      <c r="G55" s="34">
        <f t="shared" si="3"/>
        <v>-18144</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-32256.000000000007</v>
      </c>
      <c r="C58" s="34">
        <f t="shared" si="3"/>
        <v>24192</v>
      </c>
      <c r="D58" s="9">
        <f t="shared" si="3"/>
        <v>0</v>
      </c>
      <c r="E58" s="9">
        <f t="shared" si="3"/>
        <v>0</v>
      </c>
      <c r="F58" s="34">
        <f t="shared" si="3"/>
        <v>32256.000000000007</v>
      </c>
      <c r="G58" s="34">
        <f t="shared" si="3"/>
        <v>-24192</v>
      </c>
      <c r="H58" s="32" t="s">
        <v>182</v>
      </c>
    </row>
    <row r="59" spans="1:8" ht="19.05" customHeight="1" x14ac:dyDescent="0.3">
      <c r="B59" s="34">
        <f t="shared" si="3"/>
        <v>24192</v>
      </c>
      <c r="C59" s="34">
        <f t="shared" si="3"/>
        <v>-18144</v>
      </c>
      <c r="D59" s="9">
        <f t="shared" si="3"/>
        <v>0</v>
      </c>
      <c r="E59" s="9">
        <f t="shared" si="3"/>
        <v>0</v>
      </c>
      <c r="F59" s="34">
        <f t="shared" si="3"/>
        <v>-24192</v>
      </c>
      <c r="G59" s="34">
        <f t="shared" si="3"/>
        <v>18144</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95256</v>
      </c>
      <c r="C63" s="36">
        <f t="shared" si="4"/>
        <v>-24192</v>
      </c>
      <c r="D63" s="9">
        <f t="shared" si="4"/>
        <v>-63000</v>
      </c>
      <c r="E63" s="9">
        <f t="shared" si="4"/>
        <v>0</v>
      </c>
      <c r="F63" s="9">
        <f t="shared" si="4"/>
        <v>-32256.000000000007</v>
      </c>
      <c r="G63" s="9">
        <f t="shared" si="4"/>
        <v>24192</v>
      </c>
      <c r="H63" s="89" t="s">
        <v>178</v>
      </c>
    </row>
    <row r="64" spans="1:8" ht="19.95" customHeight="1" x14ac:dyDescent="0.3">
      <c r="B64" s="36">
        <f t="shared" si="4"/>
        <v>-24192</v>
      </c>
      <c r="C64" s="35">
        <f t="shared" si="4"/>
        <v>18144</v>
      </c>
      <c r="D64" s="9">
        <f t="shared" si="4"/>
        <v>0</v>
      </c>
      <c r="E64" s="9">
        <f t="shared" si="4"/>
        <v>0</v>
      </c>
      <c r="F64" s="9">
        <f t="shared" si="4"/>
        <v>24192</v>
      </c>
      <c r="G64" s="9">
        <f t="shared" si="4"/>
        <v>-18144</v>
      </c>
      <c r="H64" s="89" t="s">
        <v>179</v>
      </c>
    </row>
    <row r="65" spans="1:16" ht="19.95" customHeight="1" x14ac:dyDescent="0.3">
      <c r="A65" s="28" t="s">
        <v>205</v>
      </c>
      <c r="B65" s="9">
        <f t="shared" si="4"/>
        <v>-63000</v>
      </c>
      <c r="C65" s="9">
        <f t="shared" si="4"/>
        <v>0</v>
      </c>
      <c r="D65" s="35">
        <f t="shared" si="4"/>
        <v>63000</v>
      </c>
      <c r="E65" s="36">
        <f t="shared" si="4"/>
        <v>0</v>
      </c>
      <c r="F65" s="9">
        <f t="shared" si="4"/>
        <v>0</v>
      </c>
      <c r="G65" s="9">
        <f t="shared" si="4"/>
        <v>0</v>
      </c>
      <c r="H65" s="89" t="s">
        <v>180</v>
      </c>
    </row>
    <row r="66" spans="1:16" ht="19.95" customHeight="1" x14ac:dyDescent="0.3">
      <c r="B66" s="9">
        <f t="shared" si="4"/>
        <v>0</v>
      </c>
      <c r="C66" s="9">
        <f t="shared" si="4"/>
        <v>0</v>
      </c>
      <c r="D66" s="36">
        <f t="shared" si="4"/>
        <v>0</v>
      </c>
      <c r="E66" s="35">
        <f t="shared" si="4"/>
        <v>84000</v>
      </c>
      <c r="F66" s="9">
        <f t="shared" si="4"/>
        <v>0</v>
      </c>
      <c r="G66" s="9">
        <f t="shared" si="4"/>
        <v>-84000</v>
      </c>
      <c r="H66" s="89" t="s">
        <v>181</v>
      </c>
    </row>
    <row r="67" spans="1:16" ht="19.95" customHeight="1" x14ac:dyDescent="0.3">
      <c r="B67" s="9">
        <f t="shared" si="4"/>
        <v>-32256.000000000007</v>
      </c>
      <c r="C67" s="9">
        <f t="shared" si="4"/>
        <v>24192</v>
      </c>
      <c r="D67" s="9">
        <f t="shared" si="4"/>
        <v>0</v>
      </c>
      <c r="E67" s="9">
        <f t="shared" si="4"/>
        <v>0</v>
      </c>
      <c r="F67" s="35">
        <f t="shared" si="4"/>
        <v>32256.000000000007</v>
      </c>
      <c r="G67" s="36">
        <f t="shared" si="4"/>
        <v>-24192</v>
      </c>
      <c r="H67" s="89" t="s">
        <v>182</v>
      </c>
    </row>
    <row r="68" spans="1:16" ht="19.95" customHeight="1" x14ac:dyDescent="0.3">
      <c r="B68" s="9">
        <f t="shared" si="4"/>
        <v>24192</v>
      </c>
      <c r="C68" s="9">
        <f t="shared" si="4"/>
        <v>-18144</v>
      </c>
      <c r="D68" s="9">
        <f t="shared" si="4"/>
        <v>0</v>
      </c>
      <c r="E68" s="9">
        <f t="shared" si="4"/>
        <v>-84000</v>
      </c>
      <c r="F68" s="36">
        <f t="shared" si="4"/>
        <v>-24192</v>
      </c>
      <c r="G68" s="35">
        <f t="shared" si="4"/>
        <v>102144</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f>IF(GRAFICA_04!F14=1, B72, GRAFICA_04!H14)</f>
        <v>0</v>
      </c>
      <c r="K72" s="215" t="s">
        <v>376</v>
      </c>
      <c r="L72" s="172"/>
      <c r="M72" s="172"/>
      <c r="N72" s="172"/>
      <c r="O72" s="172"/>
      <c r="P72" s="173"/>
    </row>
    <row r="73" spans="1:16" ht="16.95" customHeight="1" x14ac:dyDescent="0.3">
      <c r="B73" s="12" t="s">
        <v>210</v>
      </c>
      <c r="C73" s="12" t="s">
        <v>179</v>
      </c>
      <c r="E73" s="37">
        <f>IF(GRAFICA_04!G14=1, B73, GRAFICA_04!I14)</f>
        <v>-6500</v>
      </c>
      <c r="K73" s="215" t="s">
        <v>211</v>
      </c>
      <c r="L73" s="172"/>
      <c r="M73" s="172"/>
      <c r="N73" s="172"/>
      <c r="O73" s="172"/>
      <c r="P73" s="173"/>
    </row>
    <row r="74" spans="1:16" ht="16.95" customHeight="1" x14ac:dyDescent="0.3">
      <c r="A74" s="38" t="s">
        <v>218</v>
      </c>
      <c r="B74" s="12" t="s">
        <v>212</v>
      </c>
      <c r="C74" s="12" t="s">
        <v>180</v>
      </c>
      <c r="D74" s="13" t="s">
        <v>220</v>
      </c>
      <c r="E74" s="37" t="str">
        <f>IF(GRAFICA_04!F15=1, B74, GRAFICA_04!H15)</f>
        <v>C2X</v>
      </c>
      <c r="K74" s="215" t="s">
        <v>377</v>
      </c>
      <c r="L74" s="172"/>
      <c r="M74" s="172"/>
      <c r="N74" s="172"/>
      <c r="O74" s="172"/>
      <c r="P74" s="173"/>
    </row>
    <row r="75" spans="1:16" ht="16.95" customHeight="1" x14ac:dyDescent="0.3">
      <c r="B75" s="12" t="s">
        <v>214</v>
      </c>
      <c r="C75" s="12" t="s">
        <v>181</v>
      </c>
      <c r="E75" s="37" t="str">
        <f>IF(GRAFICA_04!G15=1, B75, GRAFICA_04!I15)</f>
        <v>C2Y</v>
      </c>
      <c r="K75" s="215" t="s">
        <v>215</v>
      </c>
      <c r="L75" s="172"/>
      <c r="M75" s="172"/>
      <c r="N75" s="172"/>
      <c r="O75" s="172"/>
      <c r="P75" s="173"/>
    </row>
    <row r="76" spans="1:16" ht="16.95" customHeight="1" x14ac:dyDescent="0.3">
      <c r="B76" s="12" t="s">
        <v>216</v>
      </c>
      <c r="C76" s="12" t="s">
        <v>182</v>
      </c>
      <c r="E76" s="37" t="str">
        <f>IF(GRAFICA_04!F16=1, B76, GRAFICA_04!H16)</f>
        <v>C3X</v>
      </c>
      <c r="K76" s="215" t="s">
        <v>378</v>
      </c>
      <c r="L76" s="172"/>
      <c r="M76" s="172"/>
      <c r="N76" s="172"/>
      <c r="O76" s="172"/>
      <c r="P76" s="173"/>
    </row>
    <row r="77" spans="1:16" ht="16.95" customHeight="1" x14ac:dyDescent="0.3">
      <c r="B77" s="12" t="s">
        <v>219</v>
      </c>
      <c r="C77" s="12" t="s">
        <v>183</v>
      </c>
      <c r="E77" s="37">
        <f>IF(GRAFICA_04!G16=1, B77, GRAFICA_04!I16)</f>
        <v>0</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t="str">
        <f>IF(GRAFICA_04!F14=1, 0, B80)</f>
        <v>D1X</v>
      </c>
      <c r="F80" s="14">
        <f>IF(E80&lt;&gt;0, COUNTIF(E$80:E80, "&lt;&gt;0"), "")</f>
        <v>1</v>
      </c>
      <c r="G80" s="14" t="str">
        <f>IF(E80=0, COUNTIF(E$80:E80, 0), "")</f>
        <v/>
      </c>
      <c r="K80" s="215"/>
      <c r="L80" s="172"/>
      <c r="M80" s="172"/>
      <c r="N80" s="172"/>
      <c r="O80" s="172"/>
      <c r="P80" s="173"/>
    </row>
    <row r="81" spans="1:16" ht="16.95" customHeight="1" x14ac:dyDescent="0.3">
      <c r="B81" s="12" t="s">
        <v>229</v>
      </c>
      <c r="C81" s="12" t="s">
        <v>179</v>
      </c>
      <c r="E81" s="39" t="str">
        <f>IF(GRAFICA_04!G14=1, 0, B81)</f>
        <v>D1Y</v>
      </c>
      <c r="F81" s="14">
        <f>IF(E81&lt;&gt;0, COUNTIF(E$80:E81, "&lt;&gt;0"), "")</f>
        <v>2</v>
      </c>
      <c r="G81" s="14" t="str">
        <f>IF(E81=0, COUNTIF(E$80:E81, 0), "")</f>
        <v/>
      </c>
      <c r="K81" s="215"/>
      <c r="L81" s="172"/>
      <c r="M81" s="172"/>
      <c r="N81" s="172"/>
      <c r="O81" s="172"/>
      <c r="P81" s="173"/>
    </row>
    <row r="82" spans="1:16" ht="16.95" customHeight="1" x14ac:dyDescent="0.3">
      <c r="A82" s="38" t="s">
        <v>233</v>
      </c>
      <c r="B82" s="12" t="s">
        <v>230</v>
      </c>
      <c r="C82" s="12" t="s">
        <v>180</v>
      </c>
      <c r="D82" s="13" t="s">
        <v>220</v>
      </c>
      <c r="E82" s="39">
        <f>IF(GRAFICA_04!F15=1, 0, B82)</f>
        <v>0</v>
      </c>
      <c r="F82" s="14" t="str">
        <f>IF(E82&lt;&gt;0, COUNTIF(E$80:E82, "&lt;&gt;0"), "")</f>
        <v/>
      </c>
      <c r="G82" s="14">
        <f>IF(E82=0, COUNTIF(E$80:E82, 0), "")</f>
        <v>1</v>
      </c>
      <c r="K82" s="215"/>
      <c r="L82" s="172"/>
      <c r="M82" s="172"/>
      <c r="N82" s="172"/>
      <c r="O82" s="172"/>
      <c r="P82" s="173"/>
    </row>
    <row r="83" spans="1:16" ht="16.95" customHeight="1" x14ac:dyDescent="0.3">
      <c r="B83" s="12" t="s">
        <v>231</v>
      </c>
      <c r="C83" s="12" t="s">
        <v>181</v>
      </c>
      <c r="E83" s="39">
        <f>IF(GRAFICA_04!G15=1, 0, B83)</f>
        <v>0</v>
      </c>
      <c r="F83" s="14" t="str">
        <f>IF(E83&lt;&gt;0, COUNTIF(E$80:E83, "&lt;&gt;0"), "")</f>
        <v/>
      </c>
      <c r="G83" s="14">
        <f>IF(E83=0, COUNTIF(E$80:E83, 0), "")</f>
        <v>2</v>
      </c>
      <c r="K83" s="215"/>
      <c r="L83" s="172"/>
      <c r="M83" s="172"/>
      <c r="N83" s="172"/>
      <c r="O83" s="172"/>
      <c r="P83" s="173"/>
    </row>
    <row r="84" spans="1:16" ht="16.95" customHeight="1" x14ac:dyDescent="0.3">
      <c r="B84" s="12" t="s">
        <v>232</v>
      </c>
      <c r="C84" s="12" t="s">
        <v>182</v>
      </c>
      <c r="E84" s="39">
        <f>IF(GRAFICA_04!F16=1, 0, B84)</f>
        <v>0</v>
      </c>
      <c r="F84" s="14" t="str">
        <f>IF(E84&lt;&gt;0, COUNTIF(E$80:E84, "&lt;&gt;0"), "")</f>
        <v/>
      </c>
      <c r="G84" s="14">
        <f>IF(E84=0, COUNTIF(E$80:E84, 0), "")</f>
        <v>3</v>
      </c>
      <c r="K84" s="215"/>
      <c r="L84" s="172"/>
      <c r="M84" s="172"/>
      <c r="N84" s="172"/>
      <c r="O84" s="172"/>
      <c r="P84" s="173"/>
    </row>
    <row r="85" spans="1:16" ht="16.95" customHeight="1" x14ac:dyDescent="0.3">
      <c r="B85" s="12" t="s">
        <v>234</v>
      </c>
      <c r="C85" s="12" t="s">
        <v>183</v>
      </c>
      <c r="E85" s="39" t="str">
        <f>IF(GRAFICA_04!G16=1, 0, B85)</f>
        <v>D3Y</v>
      </c>
      <c r="F85" s="14">
        <f>IF(E85&lt;&gt;0, COUNTIF(E$80:E85, "&lt;&gt;0"), "")</f>
        <v>3</v>
      </c>
      <c r="G85" s="14" t="str">
        <f>IF(E85=0, COUNTIF(E$80:E85, 0), "")</f>
        <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41">
        <f t="shared" ref="A90:A95" si="5">E72</f>
        <v>0</v>
      </c>
      <c r="C90" s="41">
        <f t="shared" ref="C90:H95" si="6">B63</f>
        <v>95256</v>
      </c>
      <c r="D90" s="41">
        <f t="shared" si="6"/>
        <v>-24192</v>
      </c>
      <c r="E90" s="9">
        <f t="shared" si="6"/>
        <v>-63000</v>
      </c>
      <c r="F90" s="9">
        <f t="shared" si="6"/>
        <v>0</v>
      </c>
      <c r="G90" s="9">
        <f t="shared" si="6"/>
        <v>-32256.000000000007</v>
      </c>
      <c r="H90" s="41">
        <f t="shared" si="6"/>
        <v>24192</v>
      </c>
      <c r="I90" s="13" t="s">
        <v>251</v>
      </c>
      <c r="J90" s="38" t="str">
        <f t="shared" ref="J90:J95" si="7">E80</f>
        <v>D1X</v>
      </c>
      <c r="K90" s="215" t="s">
        <v>380</v>
      </c>
      <c r="L90" s="172"/>
      <c r="M90" s="172"/>
      <c r="N90" s="172"/>
      <c r="O90" s="172"/>
      <c r="P90" s="173"/>
    </row>
    <row r="91" spans="1:16" ht="16.95" customHeight="1" x14ac:dyDescent="0.3">
      <c r="A91" s="41">
        <f t="shared" si="5"/>
        <v>-6500</v>
      </c>
      <c r="C91" s="41">
        <f t="shared" si="6"/>
        <v>-24192</v>
      </c>
      <c r="D91" s="41">
        <f t="shared" si="6"/>
        <v>18144</v>
      </c>
      <c r="E91" s="9">
        <f t="shared" si="6"/>
        <v>0</v>
      </c>
      <c r="F91" s="9">
        <f t="shared" si="6"/>
        <v>0</v>
      </c>
      <c r="G91" s="9">
        <f t="shared" si="6"/>
        <v>24192</v>
      </c>
      <c r="H91" s="41">
        <f t="shared" si="6"/>
        <v>-18144</v>
      </c>
      <c r="I91" s="13" t="s">
        <v>251</v>
      </c>
      <c r="J91" s="38" t="str">
        <f t="shared" si="7"/>
        <v>D1Y</v>
      </c>
      <c r="K91" s="215" t="s">
        <v>253</v>
      </c>
      <c r="L91" s="172"/>
      <c r="M91" s="172"/>
      <c r="N91" s="172"/>
      <c r="O91" s="172"/>
      <c r="P91" s="173"/>
    </row>
    <row r="92" spans="1:16" ht="16.95" customHeight="1" x14ac:dyDescent="0.3">
      <c r="A92" s="12" t="str">
        <f t="shared" si="5"/>
        <v>C2X</v>
      </c>
      <c r="C92" s="9">
        <f t="shared" si="6"/>
        <v>-63000</v>
      </c>
      <c r="D92" s="9">
        <f t="shared" si="6"/>
        <v>0</v>
      </c>
      <c r="E92" s="9">
        <f t="shared" si="6"/>
        <v>63000</v>
      </c>
      <c r="F92" s="9">
        <f t="shared" si="6"/>
        <v>0</v>
      </c>
      <c r="G92" s="9">
        <f t="shared" si="6"/>
        <v>0</v>
      </c>
      <c r="H92" s="9">
        <f t="shared" si="6"/>
        <v>0</v>
      </c>
      <c r="I92" s="13" t="s">
        <v>251</v>
      </c>
      <c r="J92" s="16">
        <f t="shared" si="7"/>
        <v>0</v>
      </c>
      <c r="K92" s="215" t="s">
        <v>254</v>
      </c>
      <c r="L92" s="172"/>
      <c r="M92" s="172"/>
      <c r="N92" s="172"/>
      <c r="O92" s="172"/>
      <c r="P92" s="173"/>
    </row>
    <row r="93" spans="1:16" ht="16.95" customHeight="1" x14ac:dyDescent="0.3">
      <c r="A93" s="12" t="str">
        <f t="shared" si="5"/>
        <v>C2Y</v>
      </c>
      <c r="B93" s="13" t="s">
        <v>220</v>
      </c>
      <c r="C93" s="9">
        <f t="shared" si="6"/>
        <v>0</v>
      </c>
      <c r="D93" s="9">
        <f t="shared" si="6"/>
        <v>0</v>
      </c>
      <c r="E93" s="9">
        <f t="shared" si="6"/>
        <v>0</v>
      </c>
      <c r="F93" s="9">
        <f t="shared" si="6"/>
        <v>84000</v>
      </c>
      <c r="G93" s="9">
        <f t="shared" si="6"/>
        <v>0</v>
      </c>
      <c r="H93" s="9">
        <f t="shared" si="6"/>
        <v>-84000</v>
      </c>
      <c r="I93" s="13" t="s">
        <v>251</v>
      </c>
      <c r="J93" s="16">
        <f t="shared" si="7"/>
        <v>0</v>
      </c>
      <c r="K93" s="215" t="s">
        <v>381</v>
      </c>
      <c r="L93" s="172"/>
      <c r="M93" s="172"/>
      <c r="N93" s="172"/>
      <c r="O93" s="172"/>
      <c r="P93" s="173"/>
    </row>
    <row r="94" spans="1:16" ht="16.95" customHeight="1" x14ac:dyDescent="0.3">
      <c r="A94" s="12" t="str">
        <f t="shared" si="5"/>
        <v>C3X</v>
      </c>
      <c r="C94" s="9">
        <f t="shared" si="6"/>
        <v>-32256.000000000007</v>
      </c>
      <c r="D94" s="9">
        <f t="shared" si="6"/>
        <v>24192</v>
      </c>
      <c r="E94" s="9">
        <f t="shared" si="6"/>
        <v>0</v>
      </c>
      <c r="F94" s="9">
        <f t="shared" si="6"/>
        <v>0</v>
      </c>
      <c r="G94" s="9">
        <f t="shared" si="6"/>
        <v>32256.000000000007</v>
      </c>
      <c r="H94" s="9">
        <f t="shared" si="6"/>
        <v>-24192</v>
      </c>
      <c r="I94" s="13" t="s">
        <v>251</v>
      </c>
      <c r="J94" s="16">
        <f t="shared" si="7"/>
        <v>0</v>
      </c>
      <c r="K94" s="215" t="s">
        <v>382</v>
      </c>
      <c r="L94" s="172"/>
      <c r="M94" s="172"/>
      <c r="N94" s="172"/>
      <c r="O94" s="172"/>
      <c r="P94" s="173"/>
    </row>
    <row r="95" spans="1:16" ht="16.95" customHeight="1" x14ac:dyDescent="0.3">
      <c r="A95" s="41">
        <f t="shared" si="5"/>
        <v>0</v>
      </c>
      <c r="C95" s="41">
        <f t="shared" si="6"/>
        <v>24192</v>
      </c>
      <c r="D95" s="41">
        <f t="shared" si="6"/>
        <v>-18144</v>
      </c>
      <c r="E95" s="9">
        <f t="shared" si="6"/>
        <v>0</v>
      </c>
      <c r="F95" s="9">
        <f t="shared" si="6"/>
        <v>-84000</v>
      </c>
      <c r="G95" s="9">
        <f t="shared" si="6"/>
        <v>-24192</v>
      </c>
      <c r="H95" s="41">
        <f t="shared" si="6"/>
        <v>102144</v>
      </c>
      <c r="I95" s="13" t="s">
        <v>251</v>
      </c>
      <c r="J95" s="38" t="str">
        <f t="shared" si="7"/>
        <v>D3Y</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U1X</v>
      </c>
      <c r="D99" s="38" t="str">
        <f>INDEX(C$80:C$85, MATCH(2, F$80:F$85, 0))</f>
        <v>U1Y</v>
      </c>
      <c r="E99" s="38" t="str">
        <f>INDEX(C$80:C$85, MATCH(3, F$80:F$85, 0))</f>
        <v>U3Y</v>
      </c>
      <c r="K99" s="215" t="s">
        <v>383</v>
      </c>
      <c r="L99" s="172"/>
      <c r="M99" s="172"/>
      <c r="N99" s="172"/>
      <c r="O99" s="172"/>
      <c r="P99" s="173"/>
    </row>
    <row r="100" spans="1:16" ht="16.95" customHeight="1" x14ac:dyDescent="0.3">
      <c r="A100" s="41">
        <f>INDEX(E$72:E$77, MATCH(H100, C$72:C$77, 0))</f>
        <v>0</v>
      </c>
      <c r="C100" s="41">
        <f t="shared" ref="C100:E102" si="8">INDEX($B$63:$G$68, MATCH($H100, $H$63:$H$68, 0), MATCH(C$99, $B$62:$G$62, 0))</f>
        <v>95256</v>
      </c>
      <c r="D100" s="41">
        <f t="shared" si="8"/>
        <v>-24192</v>
      </c>
      <c r="E100" s="41">
        <f t="shared" si="8"/>
        <v>24192</v>
      </c>
      <c r="F100" s="13" t="s">
        <v>251</v>
      </c>
      <c r="G100" s="38" t="str">
        <f>INDEX(B$80:B$85, MATCH(1, F$80:F$85, 0))</f>
        <v>D1X</v>
      </c>
      <c r="H100" s="14" t="str">
        <f>INDEX(C$80:C$85, MATCH(1, F$80:F$85, 0))</f>
        <v>U1X</v>
      </c>
      <c r="K100" s="215" t="s">
        <v>384</v>
      </c>
      <c r="L100" s="172"/>
      <c r="M100" s="172"/>
      <c r="N100" s="172"/>
      <c r="O100" s="172"/>
      <c r="P100" s="173"/>
    </row>
    <row r="101" spans="1:16" ht="16.95" customHeight="1" x14ac:dyDescent="0.3">
      <c r="A101" s="41">
        <f>INDEX(E$72:E$77, MATCH(H101, C$72:C$77, 0))</f>
        <v>-6500</v>
      </c>
      <c r="B101" s="13" t="s">
        <v>220</v>
      </c>
      <c r="C101" s="41">
        <f t="shared" si="8"/>
        <v>-24192</v>
      </c>
      <c r="D101" s="41">
        <f t="shared" si="8"/>
        <v>18144</v>
      </c>
      <c r="E101" s="41">
        <f t="shared" si="8"/>
        <v>-18144</v>
      </c>
      <c r="F101" s="13" t="s">
        <v>251</v>
      </c>
      <c r="G101" s="38" t="str">
        <f>INDEX(B$80:B$85, MATCH(2, F$80:F$85, 0))</f>
        <v>D1Y</v>
      </c>
      <c r="H101" s="14" t="str">
        <f>INDEX(C$80:C$85, MATCH(2, F$80:F$85, 0))</f>
        <v>U1Y</v>
      </c>
      <c r="K101" s="215" t="s">
        <v>385</v>
      </c>
      <c r="L101" s="172"/>
      <c r="M101" s="172"/>
      <c r="N101" s="172"/>
      <c r="O101" s="172"/>
      <c r="P101" s="173"/>
    </row>
    <row r="102" spans="1:16" ht="16.95" customHeight="1" x14ac:dyDescent="0.3">
      <c r="A102" s="41">
        <f>INDEX(E$72:E$77, MATCH(H102, C$72:C$77, 0))</f>
        <v>0</v>
      </c>
      <c r="C102" s="41">
        <f t="shared" si="8"/>
        <v>24192</v>
      </c>
      <c r="D102" s="41">
        <f t="shared" si="8"/>
        <v>-18144</v>
      </c>
      <c r="E102" s="41">
        <f t="shared" si="8"/>
        <v>102144</v>
      </c>
      <c r="F102" s="13" t="s">
        <v>251</v>
      </c>
      <c r="G102" s="38" t="str">
        <f>INDEX(B$80:B$85, MATCH(3, F$80:F$85, 0))</f>
        <v>D3Y</v>
      </c>
      <c r="H102" s="14" t="str">
        <f>INDEX(C$80:C$85, MATCH(3, F$80:F$85, 0))</f>
        <v>U3Y</v>
      </c>
      <c r="K102" s="215" t="s">
        <v>386</v>
      </c>
      <c r="L102" s="172"/>
      <c r="M102" s="172"/>
      <c r="N102" s="172"/>
      <c r="O102" s="172"/>
      <c r="P102" s="173"/>
    </row>
    <row r="103" spans="1:16" ht="16.95" customHeight="1" x14ac:dyDescent="0.3">
      <c r="K103" s="215" t="s">
        <v>387</v>
      </c>
      <c r="L103" s="172"/>
      <c r="M103" s="172"/>
      <c r="N103" s="172"/>
      <c r="O103" s="172"/>
      <c r="P103" s="173"/>
    </row>
    <row r="104" spans="1:16" ht="16.95" customHeight="1" x14ac:dyDescent="0.3">
      <c r="C104" s="218" t="s">
        <v>263</v>
      </c>
      <c r="D104" s="172"/>
      <c r="E104" s="173"/>
      <c r="K104" s="215" t="s">
        <v>388</v>
      </c>
      <c r="L104" s="172"/>
      <c r="M104" s="172"/>
      <c r="N104" s="172"/>
      <c r="O104" s="172"/>
      <c r="P104" s="173"/>
    </row>
    <row r="105" spans="1:16" ht="16.95" customHeight="1" x14ac:dyDescent="0.3">
      <c r="A105" s="99" t="s">
        <v>249</v>
      </c>
      <c r="C105" s="193" t="s">
        <v>264</v>
      </c>
      <c r="D105" s="175"/>
      <c r="E105" s="175"/>
      <c r="G105" s="99" t="s">
        <v>247</v>
      </c>
      <c r="K105" s="215"/>
      <c r="L105" s="172"/>
      <c r="M105" s="172"/>
      <c r="N105" s="172"/>
      <c r="O105" s="172"/>
      <c r="P105" s="173"/>
    </row>
    <row r="106" spans="1:16" ht="16.95" customHeight="1" x14ac:dyDescent="0.3">
      <c r="A106" s="12" t="str">
        <f>G100</f>
        <v>D1X</v>
      </c>
      <c r="C106" s="93">
        <f t="array" ref="C106:E108">MINVERSE(C100:E102)</f>
        <v>1.5873015873015872E-5</v>
      </c>
      <c r="D106" s="93">
        <v>2.1164021164021164E-5</v>
      </c>
      <c r="E106" s="93">
        <v>-5.8275752951265877E-22</v>
      </c>
      <c r="G106" s="17">
        <f>A100</f>
        <v>0</v>
      </c>
      <c r="K106" s="215"/>
      <c r="L106" s="172"/>
      <c r="M106" s="172"/>
      <c r="N106" s="172"/>
      <c r="O106" s="172"/>
      <c r="P106" s="173"/>
    </row>
    <row r="107" spans="1:16" ht="16.95" customHeight="1" x14ac:dyDescent="0.3">
      <c r="A107" s="12" t="str">
        <f>G101</f>
        <v>D1Y</v>
      </c>
      <c r="B107" s="13" t="s">
        <v>220</v>
      </c>
      <c r="C107" s="93">
        <v>2.1164021164021164E-5</v>
      </c>
      <c r="D107" s="93">
        <v>9.5238095238095227E-5</v>
      </c>
      <c r="E107" s="93">
        <v>1.1904761904761903E-5</v>
      </c>
      <c r="G107" s="17">
        <f>A101</f>
        <v>-6500</v>
      </c>
      <c r="K107" s="215"/>
      <c r="L107" s="172"/>
      <c r="M107" s="172"/>
      <c r="N107" s="172"/>
      <c r="O107" s="172"/>
      <c r="P107" s="173"/>
    </row>
    <row r="108" spans="1:16" ht="16.95" customHeight="1" x14ac:dyDescent="0.3">
      <c r="A108" s="12" t="str">
        <f>G102</f>
        <v>D3Y</v>
      </c>
      <c r="C108" s="93">
        <v>0</v>
      </c>
      <c r="D108" s="93">
        <v>1.1904761904761905E-5</v>
      </c>
      <c r="E108" s="93">
        <v>1.1904761904761905E-5</v>
      </c>
      <c r="G108" s="17">
        <f>A102</f>
        <v>0</v>
      </c>
      <c r="K108" s="215"/>
      <c r="L108" s="172"/>
      <c r="M108" s="172"/>
      <c r="N108" s="172"/>
      <c r="O108" s="172"/>
      <c r="P108" s="173"/>
    </row>
    <row r="109" spans="1:16" ht="16.95" customHeight="1" x14ac:dyDescent="0.3">
      <c r="K109" s="215"/>
      <c r="L109" s="172"/>
      <c r="M109" s="172"/>
      <c r="N109" s="172"/>
      <c r="O109" s="172"/>
      <c r="P109" s="173"/>
    </row>
    <row r="110" spans="1:16" ht="16.95" customHeight="1" x14ac:dyDescent="0.3">
      <c r="C110" s="218" t="s">
        <v>265</v>
      </c>
      <c r="D110" s="173"/>
      <c r="K110" s="215"/>
      <c r="L110" s="172"/>
      <c r="M110" s="172"/>
      <c r="N110" s="172"/>
      <c r="O110" s="172"/>
      <c r="P110" s="173"/>
    </row>
    <row r="111" spans="1:16" ht="16.95" customHeight="1" x14ac:dyDescent="0.3">
      <c r="A111" s="99" t="s">
        <v>249</v>
      </c>
      <c r="C111" s="99" t="s">
        <v>266</v>
      </c>
      <c r="K111" s="215"/>
      <c r="L111" s="172"/>
      <c r="M111" s="172"/>
      <c r="N111" s="172"/>
      <c r="O111" s="172"/>
      <c r="P111" s="173"/>
    </row>
    <row r="112" spans="1:16" ht="16.95" customHeight="1" x14ac:dyDescent="0.3">
      <c r="A112" s="12" t="str">
        <f>A106</f>
        <v>D1X</v>
      </c>
      <c r="C112" s="94">
        <f t="array" ref="C112:C114">MMULT(C106:E108, G106:G108)</f>
        <v>-0.13756613756613756</v>
      </c>
      <c r="D112" s="12" t="s">
        <v>267</v>
      </c>
      <c r="K112" s="215"/>
      <c r="L112" s="172"/>
      <c r="M112" s="172"/>
      <c r="N112" s="172"/>
      <c r="O112" s="172"/>
      <c r="P112" s="173"/>
    </row>
    <row r="113" spans="1:16" ht="16.95" customHeight="1" x14ac:dyDescent="0.3">
      <c r="A113" s="12" t="str">
        <f>A107</f>
        <v>D1Y</v>
      </c>
      <c r="B113" s="13" t="s">
        <v>220</v>
      </c>
      <c r="C113" s="94">
        <v>-0.61904761904761896</v>
      </c>
      <c r="D113" s="12" t="s">
        <v>267</v>
      </c>
      <c r="K113" s="215"/>
      <c r="L113" s="172"/>
      <c r="M113" s="172"/>
      <c r="N113" s="172"/>
      <c r="O113" s="172"/>
      <c r="P113" s="173"/>
    </row>
    <row r="114" spans="1:16" ht="16.95" customHeight="1" x14ac:dyDescent="0.3">
      <c r="A114" s="12" t="str">
        <f>A108</f>
        <v>D3Y</v>
      </c>
      <c r="C114" s="94">
        <v>-7.7380952380952384E-2</v>
      </c>
      <c r="D114" s="12" t="s">
        <v>267</v>
      </c>
      <c r="K114" s="215"/>
      <c r="L114" s="172"/>
      <c r="M114" s="172"/>
      <c r="N114" s="172"/>
      <c r="O114" s="172"/>
      <c r="P114" s="173"/>
    </row>
    <row r="117" spans="1:16" ht="19.95" customHeight="1" x14ac:dyDescent="0.35">
      <c r="A117" s="11" t="s">
        <v>268</v>
      </c>
      <c r="K117" s="216" t="s">
        <v>269</v>
      </c>
      <c r="L117" s="172"/>
      <c r="M117" s="172"/>
      <c r="N117" s="172"/>
      <c r="O117" s="172"/>
      <c r="P117" s="173"/>
    </row>
    <row r="118" spans="1:16" ht="16.95" customHeight="1" x14ac:dyDescent="0.3">
      <c r="A118" s="99" t="s">
        <v>247</v>
      </c>
      <c r="G118" s="99" t="s">
        <v>249</v>
      </c>
      <c r="K118" s="215" t="s">
        <v>389</v>
      </c>
      <c r="L118" s="172"/>
      <c r="M118" s="172"/>
      <c r="N118" s="172"/>
      <c r="O118" s="172"/>
      <c r="P118" s="173"/>
    </row>
    <row r="119" spans="1:16" ht="16.95" customHeight="1" x14ac:dyDescent="0.3">
      <c r="A119" s="18" t="str">
        <f>INDEX(B$72:B$77, MATCH(H119, C$72:C$77, 0))</f>
        <v>C2X</v>
      </c>
      <c r="C119" s="9">
        <f t="shared" ref="C119:E121" si="9">INDEX($B$63:$G$68, MATCH($H119, $H$63:$H$68, 0), MATCH(C$99, $B$62:$G$62, 0))</f>
        <v>-63000</v>
      </c>
      <c r="D119" s="9">
        <f t="shared" si="9"/>
        <v>0</v>
      </c>
      <c r="E119" s="9">
        <f t="shared" si="9"/>
        <v>0</v>
      </c>
      <c r="G119" s="95">
        <f>C112</f>
        <v>-0.13756613756613756</v>
      </c>
      <c r="H119" s="14" t="str">
        <f>INDEX(C$80:C$85, MATCH(1, G$80:G$85, 0))</f>
        <v>U2X</v>
      </c>
      <c r="K119" s="215" t="s">
        <v>390</v>
      </c>
      <c r="L119" s="172"/>
      <c r="M119" s="172"/>
      <c r="N119" s="172"/>
      <c r="O119" s="172"/>
      <c r="P119" s="173"/>
    </row>
    <row r="120" spans="1:16" ht="16.95" customHeight="1" x14ac:dyDescent="0.3">
      <c r="A120" s="18" t="str">
        <f>INDEX(B$72:B$77, MATCH(H120, C$72:C$77, 0))</f>
        <v>C2Y</v>
      </c>
      <c r="B120" s="13" t="s">
        <v>220</v>
      </c>
      <c r="C120" s="9">
        <f t="shared" si="9"/>
        <v>0</v>
      </c>
      <c r="D120" s="9">
        <f t="shared" si="9"/>
        <v>0</v>
      </c>
      <c r="E120" s="9">
        <f t="shared" si="9"/>
        <v>-84000</v>
      </c>
      <c r="G120" s="95">
        <f>C113</f>
        <v>-0.61904761904761896</v>
      </c>
      <c r="H120" s="14" t="str">
        <f>INDEX(C$80:C$85, MATCH(2, G$80:G$85, 0))</f>
        <v>U2Y</v>
      </c>
      <c r="K120" s="215" t="s">
        <v>391</v>
      </c>
      <c r="L120" s="172"/>
      <c r="M120" s="172"/>
      <c r="N120" s="172"/>
      <c r="O120" s="172"/>
      <c r="P120" s="173"/>
    </row>
    <row r="121" spans="1:16" ht="16.95" customHeight="1" x14ac:dyDescent="0.3">
      <c r="A121" s="18" t="str">
        <f>INDEX(B$72:B$77, MATCH(H121, C$72:C$77, 0))</f>
        <v>C3X</v>
      </c>
      <c r="C121" s="9">
        <f t="shared" si="9"/>
        <v>-32256.000000000007</v>
      </c>
      <c r="D121" s="9">
        <f t="shared" si="9"/>
        <v>24192</v>
      </c>
      <c r="E121" s="9">
        <f t="shared" si="9"/>
        <v>-24192</v>
      </c>
      <c r="G121" s="95">
        <f>C114</f>
        <v>-7.7380952380952384E-2</v>
      </c>
      <c r="H121" s="14" t="str">
        <f>INDEX(C$80:C$85, MATCH(3, G$80:G$85, 0))</f>
        <v>U3X</v>
      </c>
      <c r="K121" s="215" t="s">
        <v>392</v>
      </c>
      <c r="L121" s="172"/>
      <c r="M121" s="172"/>
      <c r="N121" s="172"/>
      <c r="O121" s="172"/>
      <c r="P121" s="173"/>
    </row>
    <row r="122" spans="1:16" ht="16.95" customHeight="1" x14ac:dyDescent="0.3">
      <c r="K122" s="215" t="s">
        <v>393</v>
      </c>
      <c r="L122" s="172"/>
      <c r="M122" s="172"/>
      <c r="N122" s="172"/>
      <c r="O122" s="172"/>
      <c r="P122" s="173"/>
    </row>
    <row r="123" spans="1:16" ht="16.95" customHeight="1" x14ac:dyDescent="0.3">
      <c r="A123" s="12" t="str">
        <f>A119</f>
        <v>C2X</v>
      </c>
      <c r="C123" s="17">
        <f t="array" ref="C123:C125">MMULT(C119:E121, G119:G121)</f>
        <v>8666.6666666666661</v>
      </c>
      <c r="D123" s="12" t="s">
        <v>273</v>
      </c>
      <c r="K123" s="215" t="s">
        <v>394</v>
      </c>
      <c r="L123" s="172"/>
      <c r="M123" s="172"/>
      <c r="N123" s="172"/>
      <c r="O123" s="172"/>
      <c r="P123" s="173"/>
    </row>
    <row r="124" spans="1:16" ht="16.95" customHeight="1" x14ac:dyDescent="0.3">
      <c r="A124" s="12" t="str">
        <f>A120</f>
        <v>C2Y</v>
      </c>
      <c r="B124" s="13" t="s">
        <v>220</v>
      </c>
      <c r="C124" s="17">
        <v>6500</v>
      </c>
      <c r="D124" s="12" t="s">
        <v>273</v>
      </c>
      <c r="K124" s="215"/>
      <c r="L124" s="172"/>
      <c r="M124" s="172"/>
      <c r="N124" s="172"/>
      <c r="O124" s="172"/>
      <c r="P124" s="173"/>
    </row>
    <row r="125" spans="1:16" ht="16.95" customHeight="1" x14ac:dyDescent="0.3">
      <c r="A125" s="12" t="str">
        <f>A121</f>
        <v>C3X</v>
      </c>
      <c r="C125" s="17">
        <v>-8666.6666666666642</v>
      </c>
      <c r="D125" s="12" t="s">
        <v>273</v>
      </c>
      <c r="K125" s="215"/>
      <c r="L125" s="172"/>
      <c r="M125" s="172"/>
      <c r="N125" s="172"/>
      <c r="O125" s="172"/>
      <c r="P125" s="173"/>
    </row>
    <row r="128" spans="1:16" ht="19.95" customHeight="1" x14ac:dyDescent="0.35">
      <c r="A128" s="11" t="s">
        <v>274</v>
      </c>
    </row>
    <row r="130" spans="1:16" ht="19.05" customHeight="1" x14ac:dyDescent="0.3">
      <c r="A130" s="12" t="s">
        <v>228</v>
      </c>
      <c r="B130" s="12" t="s">
        <v>178</v>
      </c>
      <c r="D130" s="94">
        <f t="shared" ref="D130:D135" si="10">IFERROR(INDEX(C$112:C$114, MATCH(A130, A$112:A$114, 0)), 0)</f>
        <v>-0.13756613756613756</v>
      </c>
    </row>
    <row r="131" spans="1:16" ht="19.05" customHeight="1" x14ac:dyDescent="0.3">
      <c r="A131" s="12" t="s">
        <v>229</v>
      </c>
      <c r="B131" s="12" t="s">
        <v>179</v>
      </c>
      <c r="D131" s="94">
        <f t="shared" si="10"/>
        <v>-0.61904761904761896</v>
      </c>
    </row>
    <row r="132" spans="1:16" ht="19.05" customHeight="1" x14ac:dyDescent="0.3">
      <c r="A132" s="12" t="s">
        <v>230</v>
      </c>
      <c r="B132" s="12" t="s">
        <v>180</v>
      </c>
      <c r="D132" s="94">
        <f t="shared" si="10"/>
        <v>0</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-7.7380952380952384E-2</v>
      </c>
    </row>
    <row r="138" spans="1:16" ht="19.95" customHeight="1" x14ac:dyDescent="0.35">
      <c r="A138" s="11" t="s">
        <v>275</v>
      </c>
      <c r="K138" s="216" t="s">
        <v>276</v>
      </c>
      <c r="L138" s="172"/>
      <c r="M138" s="172"/>
      <c r="N138" s="172"/>
      <c r="O138" s="172"/>
      <c r="P138" s="173"/>
    </row>
    <row r="139" spans="1:16" ht="16.95" customHeight="1" x14ac:dyDescent="0.3">
      <c r="K139" s="215" t="s">
        <v>395</v>
      </c>
      <c r="L139" s="172"/>
      <c r="M139" s="172"/>
      <c r="N139" s="172"/>
      <c r="O139" s="172"/>
      <c r="P139" s="173"/>
    </row>
    <row r="140" spans="1:16" ht="16.95" customHeight="1" x14ac:dyDescent="0.3">
      <c r="A140" s="19" t="s">
        <v>278</v>
      </c>
      <c r="C140" s="19" t="s">
        <v>279</v>
      </c>
      <c r="D140" s="19" t="s">
        <v>280</v>
      </c>
      <c r="E140" s="19" t="s">
        <v>279</v>
      </c>
      <c r="F140" s="19" t="s">
        <v>280</v>
      </c>
      <c r="G140" s="19" t="s">
        <v>249</v>
      </c>
      <c r="K140" s="215" t="s">
        <v>396</v>
      </c>
      <c r="L140" s="172"/>
      <c r="M140" s="172"/>
      <c r="N140" s="172"/>
      <c r="O140" s="172"/>
      <c r="P140" s="173"/>
    </row>
    <row r="141" spans="1:16" ht="16.95" customHeight="1" x14ac:dyDescent="0.3">
      <c r="C141" s="19" t="s">
        <v>282</v>
      </c>
      <c r="D141" s="19" t="s">
        <v>282</v>
      </c>
      <c r="E141" s="19" t="s">
        <v>283</v>
      </c>
      <c r="F141" s="19" t="s">
        <v>283</v>
      </c>
      <c r="K141" s="215" t="s">
        <v>397</v>
      </c>
      <c r="L141" s="172"/>
      <c r="M141" s="172"/>
      <c r="N141" s="172"/>
      <c r="O141" s="172"/>
      <c r="P141" s="173"/>
    </row>
    <row r="142" spans="1:16" ht="16.95" customHeight="1" x14ac:dyDescent="0.3">
      <c r="A142" s="17">
        <f>N6</f>
        <v>63000</v>
      </c>
      <c r="C142" s="92">
        <f>-J6</f>
        <v>1</v>
      </c>
      <c r="D142" s="92">
        <f>-K6</f>
        <v>0</v>
      </c>
      <c r="E142" s="92">
        <f>J6</f>
        <v>-1</v>
      </c>
      <c r="F142" s="92">
        <f>K6</f>
        <v>0</v>
      </c>
      <c r="G142" s="96">
        <f>IFERROR(VLOOKUP(H142, A$130:D$135, 4, FALSE), 0)</f>
        <v>-0.13756613756613756</v>
      </c>
      <c r="H142" s="12" t="str">
        <f>"D" &amp; C12 &amp; "X"</f>
        <v>D1X</v>
      </c>
      <c r="K142" s="215" t="s">
        <v>398</v>
      </c>
      <c r="L142" s="172"/>
      <c r="M142" s="172"/>
      <c r="N142" s="172"/>
      <c r="O142" s="172"/>
      <c r="P142" s="173"/>
    </row>
    <row r="143" spans="1:16" ht="16.95" customHeight="1" x14ac:dyDescent="0.3">
      <c r="A143" s="99" t="s">
        <v>285</v>
      </c>
      <c r="B143" s="97">
        <f>(MMULT(C142:F142, G142:G145)*A142)</f>
        <v>-8666.6666666666661</v>
      </c>
      <c r="G143" s="96">
        <f>IFERROR(VLOOKUP(H143, A$130:D$135, 4, FALSE), 0)</f>
        <v>-0.61904761904761896</v>
      </c>
      <c r="H143" s="12" t="str">
        <f>"D" &amp; D12 &amp; "Y"</f>
        <v>D1Y</v>
      </c>
      <c r="K143" s="215" t="s">
        <v>399</v>
      </c>
      <c r="L143" s="172"/>
      <c r="M143" s="172"/>
      <c r="N143" s="172"/>
      <c r="O143" s="172"/>
      <c r="P143" s="173"/>
    </row>
    <row r="144" spans="1:16" ht="16.95" customHeight="1" x14ac:dyDescent="0.3">
      <c r="G144" s="96">
        <f>IFERROR(VLOOKUP(H144, A$130:D$135, 4, FALSE), 0)</f>
        <v>0</v>
      </c>
      <c r="H144" s="12" t="str">
        <f>"D" &amp; E12 &amp; "X"</f>
        <v>D2X</v>
      </c>
      <c r="K144" s="215" t="s">
        <v>400</v>
      </c>
      <c r="L144" s="172"/>
      <c r="M144" s="172"/>
      <c r="N144" s="172"/>
      <c r="O144" s="172"/>
      <c r="P144" s="173"/>
    </row>
    <row r="145" spans="1:16" ht="16.95" customHeight="1" x14ac:dyDescent="0.3">
      <c r="G145" s="96">
        <f>IFERROR(VLOOKUP(H145, A$130:D$135, 4, FALSE), 0)</f>
        <v>0</v>
      </c>
      <c r="H145" s="12" t="str">
        <f>"D" &amp; F12 &amp; "Y"</f>
        <v>D2Y</v>
      </c>
      <c r="K145" s="215" t="s">
        <v>401</v>
      </c>
      <c r="L145" s="172"/>
      <c r="M145" s="172"/>
      <c r="N145" s="172"/>
      <c r="O145" s="172"/>
      <c r="P145" s="173"/>
    </row>
    <row r="146" spans="1:16" ht="16.95" customHeight="1" x14ac:dyDescent="0.3">
      <c r="B146" s="99" t="s">
        <v>273</v>
      </c>
      <c r="C146" s="178" t="str">
        <f>IF(B143&gt;0.001,"BARRA A TRACCIÓN (+)",IF(B143&lt;-0.001,"BARRA A COMPRESIÓN (-)","BARRA DE FUERZA NULA"))</f>
        <v>BARRA A COMPRESIÓN (-)</v>
      </c>
      <c r="D146" s="172"/>
      <c r="E146" s="172"/>
      <c r="F146" s="173"/>
      <c r="K146" s="215" t="s">
        <v>402</v>
      </c>
      <c r="L146" s="172"/>
      <c r="M146" s="172"/>
      <c r="N146" s="172"/>
      <c r="O146" s="172"/>
      <c r="P146" s="173"/>
    </row>
    <row r="147" spans="1:16" ht="16.95" customHeight="1" x14ac:dyDescent="0.3">
      <c r="K147" s="215" t="s">
        <v>403</v>
      </c>
      <c r="L147" s="172"/>
      <c r="M147" s="172"/>
      <c r="N147" s="172"/>
      <c r="O147" s="172"/>
      <c r="P147" s="173"/>
    </row>
    <row r="148" spans="1:16" ht="16.95" customHeight="1" x14ac:dyDescent="0.3">
      <c r="A148" s="19" t="s">
        <v>278</v>
      </c>
      <c r="C148" s="19" t="s">
        <v>279</v>
      </c>
      <c r="D148" s="19" t="s">
        <v>280</v>
      </c>
      <c r="E148" s="19" t="s">
        <v>279</v>
      </c>
      <c r="F148" s="19" t="s">
        <v>280</v>
      </c>
      <c r="G148" s="19" t="s">
        <v>249</v>
      </c>
      <c r="K148" s="215"/>
      <c r="L148" s="172"/>
      <c r="M148" s="172"/>
      <c r="N148" s="172"/>
      <c r="O148" s="172"/>
      <c r="P148" s="173"/>
    </row>
    <row r="149" spans="1:16" ht="16.95" customHeight="1" x14ac:dyDescent="0.3">
      <c r="C149" s="19" t="s">
        <v>282</v>
      </c>
      <c r="D149" s="19" t="s">
        <v>282</v>
      </c>
      <c r="E149" s="19" t="s">
        <v>283</v>
      </c>
      <c r="F149" s="19" t="s">
        <v>283</v>
      </c>
      <c r="K149" s="215"/>
      <c r="L149" s="172"/>
      <c r="M149" s="172"/>
      <c r="N149" s="172"/>
      <c r="O149" s="172"/>
      <c r="P149" s="173"/>
    </row>
    <row r="150" spans="1:16" ht="16.95" customHeight="1" x14ac:dyDescent="0.3">
      <c r="A150" s="17">
        <f>N7</f>
        <v>84000</v>
      </c>
      <c r="C150" s="92">
        <f>-J7</f>
        <v>0</v>
      </c>
      <c r="D150" s="92">
        <f>-K7</f>
        <v>-1</v>
      </c>
      <c r="E150" s="92">
        <f>J7</f>
        <v>0</v>
      </c>
      <c r="F150" s="92">
        <f>K7</f>
        <v>1</v>
      </c>
      <c r="G150" s="96">
        <f>IFERROR(VLOOKUP(H150, A$130:D$135, 4, FALSE), 0)</f>
        <v>0</v>
      </c>
      <c r="H150" s="12" t="str">
        <f>"D" &amp; C13 &amp; "X"</f>
        <v>D2X</v>
      </c>
      <c r="K150" s="215"/>
      <c r="L150" s="172"/>
      <c r="M150" s="172"/>
      <c r="N150" s="172"/>
      <c r="O150" s="172"/>
      <c r="P150" s="173"/>
    </row>
    <row r="151" spans="1:16" ht="16.95" customHeight="1" x14ac:dyDescent="0.3">
      <c r="A151" s="99" t="s">
        <v>286</v>
      </c>
      <c r="B151" s="97">
        <f>(MMULT(C150:F150, G150:G153)*A150)</f>
        <v>-6500</v>
      </c>
      <c r="G151" s="96">
        <f>IFERROR(VLOOKUP(H151, A$130:D$135, 4, FALSE), 0)</f>
        <v>0</v>
      </c>
      <c r="H151" s="12" t="str">
        <f>"D" &amp; D13 &amp; "Y"</f>
        <v>D2Y</v>
      </c>
      <c r="K151" s="215"/>
      <c r="L151" s="172"/>
      <c r="M151" s="172"/>
      <c r="N151" s="172"/>
      <c r="O151" s="172"/>
      <c r="P151" s="173"/>
    </row>
    <row r="152" spans="1:16" ht="16.95" customHeight="1" x14ac:dyDescent="0.3">
      <c r="G152" s="96">
        <f>IFERROR(VLOOKUP(H152, A$130:D$135, 4, FALSE), 0)</f>
        <v>0</v>
      </c>
      <c r="H152" s="12" t="str">
        <f>"D" &amp; E13 &amp; "X"</f>
        <v>D3X</v>
      </c>
      <c r="K152" s="215"/>
      <c r="L152" s="172"/>
      <c r="M152" s="172"/>
      <c r="N152" s="172"/>
      <c r="O152" s="172"/>
      <c r="P152" s="173"/>
    </row>
    <row r="153" spans="1:16" ht="16.95" customHeight="1" x14ac:dyDescent="0.3">
      <c r="G153" s="96">
        <f>IFERROR(VLOOKUP(H153, A$130:D$135, 4, FALSE), 0)</f>
        <v>-7.7380952380952384E-2</v>
      </c>
      <c r="H153" s="12" t="str">
        <f>"D" &amp; F13 &amp; "Y"</f>
        <v>D3Y</v>
      </c>
      <c r="K153" s="215"/>
      <c r="L153" s="172"/>
      <c r="M153" s="172"/>
      <c r="N153" s="172"/>
      <c r="O153" s="172"/>
      <c r="P153" s="173"/>
    </row>
    <row r="154" spans="1:16" ht="16.95" customHeight="1" x14ac:dyDescent="0.3">
      <c r="B154" s="99" t="s">
        <v>273</v>
      </c>
      <c r="C154" s="178" t="str">
        <f>IF(B151&gt;0.001,"BARRA A TRACCIÓN (+)",IF(B151&lt;-0.001,"BARRA A COMPRESIÓN (-)","BARRA DE FUERZA NULA"))</f>
        <v>BARRA A COMPRESIÓN (-)</v>
      </c>
      <c r="D154" s="172"/>
      <c r="E154" s="172"/>
      <c r="F154" s="173"/>
      <c r="K154" s="215"/>
      <c r="L154" s="172"/>
      <c r="M154" s="172"/>
      <c r="N154" s="172"/>
      <c r="O154" s="172"/>
      <c r="P154" s="173"/>
    </row>
    <row r="155" spans="1:16" ht="16.95" customHeight="1" x14ac:dyDescent="0.3">
      <c r="K155" s="215"/>
      <c r="L155" s="172"/>
      <c r="M155" s="172"/>
      <c r="N155" s="172"/>
      <c r="O155" s="172"/>
      <c r="P155" s="173"/>
    </row>
    <row r="156" spans="1:16" ht="16.95" customHeight="1" x14ac:dyDescent="0.3">
      <c r="A156" s="19" t="s">
        <v>278</v>
      </c>
      <c r="C156" s="19" t="s">
        <v>279</v>
      </c>
      <c r="D156" s="19" t="s">
        <v>280</v>
      </c>
      <c r="E156" s="19" t="s">
        <v>279</v>
      </c>
      <c r="F156" s="19" t="s">
        <v>280</v>
      </c>
      <c r="G156" s="19" t="s">
        <v>249</v>
      </c>
      <c r="K156" s="215"/>
      <c r="L156" s="172"/>
      <c r="M156" s="172"/>
      <c r="N156" s="172"/>
      <c r="O156" s="172"/>
      <c r="P156" s="173"/>
    </row>
    <row r="157" spans="1:16" ht="16.95" customHeight="1" x14ac:dyDescent="0.3">
      <c r="C157" s="19" t="s">
        <v>282</v>
      </c>
      <c r="D157" s="19" t="s">
        <v>282</v>
      </c>
      <c r="E157" s="19" t="s">
        <v>283</v>
      </c>
      <c r="F157" s="19" t="s">
        <v>283</v>
      </c>
      <c r="K157" s="215"/>
      <c r="L157" s="172"/>
      <c r="M157" s="172"/>
      <c r="N157" s="172"/>
      <c r="O157" s="172"/>
      <c r="P157" s="173"/>
    </row>
    <row r="158" spans="1:16" ht="16.95" customHeight="1" x14ac:dyDescent="0.3">
      <c r="A158" s="17">
        <f>N8</f>
        <v>50400</v>
      </c>
      <c r="C158" s="92">
        <f>-J8</f>
        <v>-0.8</v>
      </c>
      <c r="D158" s="92">
        <f>-K8</f>
        <v>0.6</v>
      </c>
      <c r="E158" s="92">
        <f>J8</f>
        <v>0.8</v>
      </c>
      <c r="F158" s="92">
        <f>K8</f>
        <v>-0.6</v>
      </c>
      <c r="G158" s="96">
        <f>IFERROR(VLOOKUP(H158, A$130:D$135, 4, FALSE), 0)</f>
        <v>0</v>
      </c>
      <c r="H158" s="12" t="str">
        <f>"D" &amp; C14 &amp; "X"</f>
        <v>D3X</v>
      </c>
      <c r="K158" s="215"/>
      <c r="L158" s="172"/>
      <c r="M158" s="172"/>
      <c r="N158" s="172"/>
      <c r="O158" s="172"/>
      <c r="P158" s="173"/>
    </row>
    <row r="159" spans="1:16" ht="16.95" customHeight="1" x14ac:dyDescent="0.3">
      <c r="A159" s="99" t="s">
        <v>287</v>
      </c>
      <c r="B159" s="97">
        <f>(MMULT(C158:F158, G158:G161)*A158)</f>
        <v>10833.33333333333</v>
      </c>
      <c r="G159" s="96">
        <f>IFERROR(VLOOKUP(H159, A$130:D$135, 4, FALSE), 0)</f>
        <v>-7.7380952380952384E-2</v>
      </c>
      <c r="H159" s="12" t="str">
        <f>"D" &amp; D14 &amp; "Y"</f>
        <v>D3Y</v>
      </c>
      <c r="K159" s="215"/>
      <c r="L159" s="172"/>
      <c r="M159" s="172"/>
      <c r="N159" s="172"/>
      <c r="O159" s="172"/>
      <c r="P159" s="173"/>
    </row>
    <row r="160" spans="1:16" ht="16.95" customHeight="1" x14ac:dyDescent="0.3">
      <c r="G160" s="96">
        <f>IFERROR(VLOOKUP(H160, A$130:D$135, 4, FALSE), 0)</f>
        <v>-0.13756613756613756</v>
      </c>
      <c r="H160" s="12" t="str">
        <f>"D" &amp; E14 &amp; "X"</f>
        <v>D1X</v>
      </c>
      <c r="K160" s="215"/>
      <c r="L160" s="172"/>
      <c r="M160" s="172"/>
      <c r="N160" s="172"/>
      <c r="O160" s="172"/>
      <c r="P160" s="173"/>
    </row>
    <row r="161" spans="2:16" ht="16.95" customHeight="1" x14ac:dyDescent="0.3">
      <c r="G161" s="96">
        <f>IFERROR(VLOOKUP(H161, A$130:D$135, 4, FALSE), 0)</f>
        <v>-0.61904761904761896</v>
      </c>
      <c r="H161" s="12" t="str">
        <f>"D" &amp; F14 &amp; "Y"</f>
        <v>D1Y</v>
      </c>
      <c r="K161" s="215"/>
      <c r="L161" s="172"/>
      <c r="M161" s="172"/>
      <c r="N161" s="172"/>
      <c r="O161" s="172"/>
      <c r="P161" s="173"/>
    </row>
    <row r="162" spans="2:16" ht="16.95" customHeight="1" x14ac:dyDescent="0.3">
      <c r="B162" s="99" t="s">
        <v>273</v>
      </c>
      <c r="C162" s="178" t="str">
        <f>IF(B159&gt;0.001,"BARRA A TRACCIÓN (+)",IF(B159&lt;-0.001,"BARRA A COMPRESIÓN (-)","BARRA DE FUERZA NULA"))</f>
        <v>BARRA A TRACCIÓN (+)</v>
      </c>
      <c r="D162" s="172"/>
      <c r="E162" s="172"/>
      <c r="F162" s="173"/>
      <c r="K162" s="215"/>
      <c r="L162" s="172"/>
      <c r="M162" s="172"/>
      <c r="N162" s="172"/>
      <c r="O162" s="172"/>
      <c r="P162" s="173"/>
    </row>
    <row r="163" spans="2:16" ht="16.95" customHeight="1" x14ac:dyDescent="0.3">
      <c r="K163" s="215"/>
      <c r="L163" s="172"/>
      <c r="M163" s="172"/>
      <c r="N163" s="172"/>
      <c r="O163" s="172"/>
      <c r="P163" s="173"/>
    </row>
    <row r="165" spans="2:16" ht="22.05" customHeight="1" x14ac:dyDescent="0.3">
      <c r="B165" s="217" t="s">
        <v>404</v>
      </c>
      <c r="C165" s="175"/>
      <c r="D165" s="175"/>
      <c r="E165" s="175"/>
      <c r="F165" s="175"/>
      <c r="G165" s="175"/>
      <c r="H165" s="17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400</v>
      </c>
      <c r="F167" s="9">
        <f>L6</f>
        <v>12</v>
      </c>
      <c r="G167" s="97">
        <f>B143</f>
        <v>-8666.6666666666661</v>
      </c>
      <c r="H167" s="84" t="str">
        <f>C146</f>
        <v>BARRA A COMPRESIÓN (-)</v>
      </c>
    </row>
    <row r="168" spans="2:16" ht="19.95" customHeight="1" x14ac:dyDescent="0.3">
      <c r="B168" s="25">
        <v>2</v>
      </c>
      <c r="C168" s="86">
        <f>C13</f>
        <v>2</v>
      </c>
      <c r="D168" s="86">
        <f>E13</f>
        <v>3</v>
      </c>
      <c r="E168" s="9">
        <f>I7</f>
        <v>300</v>
      </c>
      <c r="F168" s="9">
        <f>L7</f>
        <v>12</v>
      </c>
      <c r="G168" s="97">
        <f>B151</f>
        <v>-6500</v>
      </c>
      <c r="H168" s="84" t="str">
        <f>C154</f>
        <v>BARRA A COMPRESIÓN (-)</v>
      </c>
    </row>
    <row r="169" spans="2:16" ht="19.95" customHeight="1" x14ac:dyDescent="0.3">
      <c r="B169" s="26">
        <v>3</v>
      </c>
      <c r="C169" s="86">
        <f>C14</f>
        <v>3</v>
      </c>
      <c r="D169" s="86">
        <f>E14</f>
        <v>1</v>
      </c>
      <c r="E169" s="9">
        <f>I8</f>
        <v>500</v>
      </c>
      <c r="F169" s="9">
        <f>L8</f>
        <v>12</v>
      </c>
      <c r="G169" s="97">
        <f>B159</f>
        <v>10833.33333333333</v>
      </c>
      <c r="H169" s="84" t="str">
        <f>C162</f>
        <v>BARRA A TRACCIÓN (+)</v>
      </c>
    </row>
  </sheetData>
  <mergeCells count="102">
    <mergeCell ref="C162:F162"/>
    <mergeCell ref="K78:P78"/>
    <mergeCell ref="K85:P85"/>
    <mergeCell ref="K100:P100"/>
    <mergeCell ref="K94:P94"/>
    <mergeCell ref="K75:P7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K105:P105"/>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420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400</v>
      </c>
      <c r="AB5" s="20">
        <f>IF(F28="","",F28)</f>
        <v>250</v>
      </c>
      <c r="AC5" t="s">
        <v>313</v>
      </c>
    </row>
    <row r="6" spans="2:29" ht="24" customHeight="1" x14ac:dyDescent="0.3">
      <c r="B6" s="206">
        <f>COUNT(C14:C23)</f>
        <v>3</v>
      </c>
      <c r="C6" s="173"/>
      <c r="D6" s="206">
        <f>COUNT(C28:C42)</f>
        <v>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800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800</v>
      </c>
      <c r="AB8" s="20">
        <f>IF(F29="","",F29)</f>
        <v>0</v>
      </c>
      <c r="AC8" t="s">
        <v>316</v>
      </c>
    </row>
    <row r="9" spans="2:29" x14ac:dyDescent="0.3">
      <c r="AA9" s="20">
        <f>IF(G29="","",G29)</f>
        <v>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400</v>
      </c>
      <c r="AB12" s="20">
        <f>IF(H30="","",H30)</f>
        <v>250</v>
      </c>
      <c r="AC12" t="s">
        <v>325</v>
      </c>
    </row>
    <row r="14" spans="2:29" ht="19.05" customHeight="1" x14ac:dyDescent="0.3">
      <c r="B14" s="89">
        <v>1</v>
      </c>
      <c r="C14" s="21">
        <v>400</v>
      </c>
      <c r="D14" s="21">
        <v>250</v>
      </c>
      <c r="E14" s="21" t="s">
        <v>326</v>
      </c>
      <c r="F14" s="88">
        <f t="shared" ref="F14:F23" si="0">IF(OR(ISBLANK(C14),C14=""),"",IF(E14="Fijo (articulado)",1,IF(E14="Rodillo X (despl. Y libre)",1,0)))</f>
        <v>0</v>
      </c>
      <c r="G14" s="88">
        <f t="shared" ref="G14:G23" si="1">IF(OR(ISBLANK(C14),C14=""),"",IF(E14="Fijo (articulado)",1,IF(E14="Rodillo Y (despl. X libre)",1,0)))</f>
        <v>0</v>
      </c>
      <c r="H14" s="22">
        <v>2500</v>
      </c>
      <c r="I14" s="22">
        <v>-6000</v>
      </c>
      <c r="J14" s="205" t="s">
        <v>421</v>
      </c>
      <c r="K14" s="172"/>
      <c r="L14" s="172"/>
      <c r="M14" s="172"/>
      <c r="N14" s="172"/>
      <c r="O14" s="173"/>
      <c r="AA14" s="20" t="str">
        <f>IF(E31="","",E31)</f>
        <v/>
      </c>
      <c r="AB14" s="20" t="str">
        <f>IF(F31="","",F31)</f>
        <v/>
      </c>
      <c r="AC14" t="s">
        <v>328</v>
      </c>
    </row>
    <row r="15" spans="2:29" ht="19.05" customHeight="1" x14ac:dyDescent="0.3">
      <c r="B15" s="89">
        <v>2</v>
      </c>
      <c r="C15" s="21">
        <v>800</v>
      </c>
      <c r="D15" s="21">
        <v>0</v>
      </c>
      <c r="E15" s="21" t="s">
        <v>329</v>
      </c>
      <c r="F15" s="88">
        <f t="shared" si="0"/>
        <v>0</v>
      </c>
      <c r="G15" s="88">
        <f t="shared" si="1"/>
        <v>1</v>
      </c>
      <c r="H15" s="22">
        <v>0</v>
      </c>
      <c r="I15" s="22">
        <v>0</v>
      </c>
      <c r="J15" s="205" t="s">
        <v>422</v>
      </c>
      <c r="K15" s="172"/>
      <c r="L15" s="172"/>
      <c r="M15" s="172"/>
      <c r="N15" s="172"/>
      <c r="O15" s="173"/>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205" t="s">
        <v>423</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400</v>
      </c>
      <c r="F28" s="5">
        <f t="shared" ref="F28:F42" si="3">IF(OR(ISBLANK(C28),C28=""),"",VLOOKUP(C28,$B$14:$D$23,3,FALSE))</f>
        <v>250</v>
      </c>
      <c r="G28" s="5">
        <f t="shared" ref="G28:G42" si="4">IF(OR(ISBLANK(D28),D28=""),"",VLOOKUP(D28,$B$14:$D$23,2,FALSE))</f>
        <v>800</v>
      </c>
      <c r="H28" s="5">
        <f t="shared" ref="H28:H42" si="5">IF(OR(ISBLANK(D28),D28=""),"",VLOOKUP(D28,$B$14:$D$23,3,FALSE))</f>
        <v>0</v>
      </c>
      <c r="I28" s="9">
        <f t="shared" ref="I28:I42" si="6">IF(G28="","",G28-E28)</f>
        <v>400</v>
      </c>
      <c r="J28" s="9">
        <f t="shared" ref="J28:J42" si="7">IF(H28="","",H28-F28)</f>
        <v>-250</v>
      </c>
      <c r="K28" s="9">
        <f t="shared" ref="K28:K42" si="8">IF(I28="","",SQRT(I28^2+J28^2))</f>
        <v>471.69905660283018</v>
      </c>
      <c r="L28" s="92">
        <f t="shared" ref="L28:L42" si="9">IF(K28="","",I28/K28)</f>
        <v>0.84799830400508802</v>
      </c>
      <c r="M28" s="92">
        <f t="shared" ref="M28:M42" si="10">IF(K28="","",J28/K28)</f>
        <v>-0.52999894000318004</v>
      </c>
      <c r="N28" s="22">
        <v>12</v>
      </c>
      <c r="O28" s="24">
        <v>2100000</v>
      </c>
    </row>
    <row r="29" spans="2:29" ht="19.05" customHeight="1" x14ac:dyDescent="0.3">
      <c r="B29" s="89">
        <v>2</v>
      </c>
      <c r="C29" s="23">
        <v>2</v>
      </c>
      <c r="D29" s="23">
        <v>3</v>
      </c>
      <c r="E29" s="5">
        <f t="shared" si="2"/>
        <v>800</v>
      </c>
      <c r="F29" s="5">
        <f t="shared" si="3"/>
        <v>0</v>
      </c>
      <c r="G29" s="5">
        <f t="shared" si="4"/>
        <v>0</v>
      </c>
      <c r="H29" s="5">
        <f t="shared" si="5"/>
        <v>0</v>
      </c>
      <c r="I29" s="9">
        <f t="shared" si="6"/>
        <v>-800</v>
      </c>
      <c r="J29" s="9">
        <f t="shared" si="7"/>
        <v>0</v>
      </c>
      <c r="K29" s="9">
        <f t="shared" si="8"/>
        <v>800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400</v>
      </c>
      <c r="H30" s="5">
        <f t="shared" si="5"/>
        <v>250</v>
      </c>
      <c r="I30" s="9">
        <f t="shared" si="6"/>
        <v>400</v>
      </c>
      <c r="J30" s="9">
        <f t="shared" si="7"/>
        <v>250</v>
      </c>
      <c r="K30" s="9">
        <f t="shared" si="8"/>
        <v>471.69905660283018</v>
      </c>
      <c r="L30" s="92">
        <f t="shared" si="9"/>
        <v>0.84799830400508802</v>
      </c>
      <c r="M30" s="92">
        <f t="shared" si="10"/>
        <v>0.52999894000318004</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B00-000000000000}">
      <formula1>"Fijo (articulado),Rodillo Y (despl. X libre),Rodillo X (despl. Y libre),Libre (0 reac.)"</formula1>
    </dataValidation>
  </dataValidation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424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GRAFICA_05!E28</f>
        <v>400</v>
      </c>
      <c r="D6" s="22">
        <f>GRAFICA_05!F28</f>
        <v>250</v>
      </c>
      <c r="E6" s="22">
        <f>GRAFICA_05!G28</f>
        <v>800</v>
      </c>
      <c r="F6" s="22">
        <f>GRAFICA_05!H28</f>
        <v>0</v>
      </c>
      <c r="G6" s="9">
        <f t="shared" ref="G6:H8" si="0">E6-C6</f>
        <v>400</v>
      </c>
      <c r="H6" s="9">
        <f t="shared" si="0"/>
        <v>-250</v>
      </c>
      <c r="I6" s="9">
        <f>SQRT(G6*G6+H6*H6)</f>
        <v>471.69905660283018</v>
      </c>
      <c r="J6" s="92">
        <f>G6/I6</f>
        <v>0.84799830400508802</v>
      </c>
      <c r="K6" s="92">
        <f>H6/I6</f>
        <v>-0.52999894000318004</v>
      </c>
      <c r="L6" s="22">
        <f>GRAFICA_05!N28</f>
        <v>12</v>
      </c>
      <c r="M6" s="22">
        <f>GRAFICA_05!O28</f>
        <v>2100000</v>
      </c>
      <c r="N6" s="6">
        <f>L6*M6/I6</f>
        <v>53423.893152320547</v>
      </c>
    </row>
    <row r="7" spans="2:14" ht="19.05" customHeight="1" x14ac:dyDescent="0.3">
      <c r="B7" s="25">
        <v>2</v>
      </c>
      <c r="C7" s="22">
        <f>GRAFICA_05!E29</f>
        <v>800</v>
      </c>
      <c r="D7" s="22">
        <f>GRAFICA_05!F29</f>
        <v>0</v>
      </c>
      <c r="E7" s="22">
        <f>GRAFICA_05!G29</f>
        <v>0</v>
      </c>
      <c r="F7" s="22">
        <f>GRAFICA_05!H29</f>
        <v>0</v>
      </c>
      <c r="G7" s="9">
        <f t="shared" si="0"/>
        <v>-800</v>
      </c>
      <c r="H7" s="9">
        <f t="shared" si="0"/>
        <v>0</v>
      </c>
      <c r="I7" s="9">
        <f>SQRT(G7*G7+H7*H7)</f>
        <v>800</v>
      </c>
      <c r="J7" s="92">
        <f>G7/I7</f>
        <v>-1</v>
      </c>
      <c r="K7" s="92">
        <f>H7/I7</f>
        <v>0</v>
      </c>
      <c r="L7" s="22">
        <f>GRAFICA_05!N29</f>
        <v>12</v>
      </c>
      <c r="M7" s="22">
        <f>GRAFICA_05!O29</f>
        <v>2100000</v>
      </c>
      <c r="N7" s="6">
        <f>L7*M7/I7</f>
        <v>31500</v>
      </c>
    </row>
    <row r="8" spans="2:14" ht="19.05" customHeight="1" x14ac:dyDescent="0.3">
      <c r="B8" s="26">
        <v>3</v>
      </c>
      <c r="C8" s="22">
        <f>GRAFICA_05!E30</f>
        <v>0</v>
      </c>
      <c r="D8" s="22">
        <f>GRAFICA_05!F30</f>
        <v>0</v>
      </c>
      <c r="E8" s="22">
        <f>GRAFICA_05!G30</f>
        <v>400</v>
      </c>
      <c r="F8" s="22">
        <f>GRAFICA_05!H30</f>
        <v>250</v>
      </c>
      <c r="G8" s="9">
        <f t="shared" si="0"/>
        <v>400</v>
      </c>
      <c r="H8" s="9">
        <f t="shared" si="0"/>
        <v>250</v>
      </c>
      <c r="I8" s="9">
        <f>SQRT(G8*G8+H8*H8)</f>
        <v>471.69905660283018</v>
      </c>
      <c r="J8" s="92">
        <f>G8/I8</f>
        <v>0.84799830400508802</v>
      </c>
      <c r="K8" s="92">
        <f>H8/I8</f>
        <v>0.52999894000318004</v>
      </c>
      <c r="L8" s="22">
        <f>GRAFICA_05!N30</f>
        <v>12</v>
      </c>
      <c r="M8" s="22">
        <f>GRAFICA_05!O30</f>
        <v>2100000</v>
      </c>
      <c r="N8" s="6">
        <f>L8*M8/I8</f>
        <v>53423.893152320547</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GRAFICA_05!C28</f>
        <v>1</v>
      </c>
      <c r="D12" s="23">
        <f>GRAFICA_05!C28</f>
        <v>1</v>
      </c>
      <c r="E12" s="23">
        <f>GRAFICA_05!D28</f>
        <v>2</v>
      </c>
      <c r="F12" s="23">
        <f>GRAFICA_05!D28</f>
        <v>2</v>
      </c>
    </row>
    <row r="13" spans="2:14" ht="19.05" customHeight="1" x14ac:dyDescent="0.3">
      <c r="B13" s="25">
        <v>2</v>
      </c>
      <c r="C13" s="23">
        <f>GRAFICA_05!C29</f>
        <v>2</v>
      </c>
      <c r="D13" s="23">
        <f>GRAFICA_05!C29</f>
        <v>2</v>
      </c>
      <c r="E13" s="23">
        <f>GRAFICA_05!D29</f>
        <v>3</v>
      </c>
      <c r="F13" s="23">
        <f>GRAFICA_05!D29</f>
        <v>3</v>
      </c>
    </row>
    <row r="14" spans="2:14" ht="19.05" customHeight="1" x14ac:dyDescent="0.3">
      <c r="B14" s="26">
        <v>3</v>
      </c>
      <c r="C14" s="23">
        <f>GRAFICA_05!C30</f>
        <v>3</v>
      </c>
      <c r="D14" s="23">
        <f>GRAFICA_05!C30</f>
        <v>3</v>
      </c>
      <c r="E14" s="23">
        <f>GRAFICA_05!D30</f>
        <v>1</v>
      </c>
      <c r="F14" s="23">
        <f>GRAFICA_05!D30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38417.181592679946</v>
      </c>
      <c r="C18" s="7">
        <f>J6*K6*N6</f>
        <v>-24010.738495424968</v>
      </c>
      <c r="D18" s="7">
        <f>-B18</f>
        <v>-38417.181592679946</v>
      </c>
      <c r="E18" s="7">
        <f>-C18</f>
        <v>24010.738495424968</v>
      </c>
      <c r="F18" s="27" t="str">
        <f>B17</f>
        <v>U1X</v>
      </c>
    </row>
    <row r="19" spans="1:8" ht="16.8" customHeight="1" x14ac:dyDescent="0.3">
      <c r="A19" s="28" t="s">
        <v>177</v>
      </c>
      <c r="B19" s="7">
        <f>C18</f>
        <v>-24010.738495424968</v>
      </c>
      <c r="C19" s="7">
        <f>K6*K6*N6</f>
        <v>15006.711559640607</v>
      </c>
      <c r="D19" s="7">
        <f>-B19</f>
        <v>24010.738495424968</v>
      </c>
      <c r="E19" s="7">
        <f>-C19</f>
        <v>-15006.711559640607</v>
      </c>
      <c r="F19" s="27" t="str">
        <f>C17</f>
        <v>U1Y</v>
      </c>
    </row>
    <row r="20" spans="1:8" x14ac:dyDescent="0.3">
      <c r="B20" s="7">
        <f>D18</f>
        <v>-38417.181592679946</v>
      </c>
      <c r="C20" s="7">
        <f>E18</f>
        <v>24010.738495424968</v>
      </c>
      <c r="D20" s="7">
        <f>B18</f>
        <v>38417.181592679946</v>
      </c>
      <c r="E20" s="7">
        <f>C18</f>
        <v>-24010.738495424968</v>
      </c>
      <c r="F20" s="27" t="str">
        <f>D17</f>
        <v>U2X</v>
      </c>
    </row>
    <row r="21" spans="1:8" x14ac:dyDescent="0.3">
      <c r="B21" s="7">
        <f>D19</f>
        <v>24010.738495424968</v>
      </c>
      <c r="C21" s="7">
        <f>E19</f>
        <v>-15006.711559640607</v>
      </c>
      <c r="D21" s="7">
        <f>B19</f>
        <v>-24010.738495424968</v>
      </c>
      <c r="E21" s="7">
        <f>C19</f>
        <v>15006.711559640607</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38417.181592679946</v>
      </c>
      <c r="C24" s="8">
        <f t="shared" si="1"/>
        <v>-24010.738495424968</v>
      </c>
      <c r="D24" s="8">
        <f t="shared" si="1"/>
        <v>-38417.181592679946</v>
      </c>
      <c r="E24" s="8">
        <f t="shared" si="1"/>
        <v>24010.738495424968</v>
      </c>
      <c r="F24" s="9">
        <f t="shared" si="1"/>
        <v>0</v>
      </c>
      <c r="G24" s="9">
        <f t="shared" si="1"/>
        <v>0</v>
      </c>
      <c r="H24" s="27" t="s">
        <v>178</v>
      </c>
    </row>
    <row r="25" spans="1:8" ht="19.05" customHeight="1" x14ac:dyDescent="0.3">
      <c r="B25" s="8">
        <f t="shared" si="1"/>
        <v>-24010.738495424968</v>
      </c>
      <c r="C25" s="8">
        <f t="shared" si="1"/>
        <v>15006.711559640607</v>
      </c>
      <c r="D25" s="8">
        <f t="shared" si="1"/>
        <v>24010.738495424968</v>
      </c>
      <c r="E25" s="8">
        <f t="shared" si="1"/>
        <v>-15006.711559640607</v>
      </c>
      <c r="F25" s="9">
        <f t="shared" si="1"/>
        <v>0</v>
      </c>
      <c r="G25" s="9">
        <f t="shared" si="1"/>
        <v>0</v>
      </c>
      <c r="H25" s="27" t="s">
        <v>179</v>
      </c>
    </row>
    <row r="26" spans="1:8" ht="19.05" customHeight="1" x14ac:dyDescent="0.3">
      <c r="A26" s="28" t="s">
        <v>190</v>
      </c>
      <c r="B26" s="8">
        <f t="shared" si="1"/>
        <v>-38417.181592679946</v>
      </c>
      <c r="C26" s="8">
        <f t="shared" si="1"/>
        <v>24010.738495424968</v>
      </c>
      <c r="D26" s="8">
        <f t="shared" si="1"/>
        <v>38417.181592679946</v>
      </c>
      <c r="E26" s="8">
        <f t="shared" si="1"/>
        <v>-24010.738495424968</v>
      </c>
      <c r="F26" s="9">
        <f t="shared" si="1"/>
        <v>0</v>
      </c>
      <c r="G26" s="9">
        <f t="shared" si="1"/>
        <v>0</v>
      </c>
      <c r="H26" s="27" t="s">
        <v>180</v>
      </c>
    </row>
    <row r="27" spans="1:8" ht="19.05" customHeight="1" x14ac:dyDescent="0.3">
      <c r="B27" s="8">
        <f t="shared" si="1"/>
        <v>24010.738495424968</v>
      </c>
      <c r="C27" s="8">
        <f t="shared" si="1"/>
        <v>-15006.711559640607</v>
      </c>
      <c r="D27" s="8">
        <f t="shared" si="1"/>
        <v>-24010.738495424968</v>
      </c>
      <c r="E27" s="8">
        <f t="shared" si="1"/>
        <v>15006.711559640607</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31500</v>
      </c>
      <c r="C33" s="30">
        <f>J7*K7*N7</f>
        <v>0</v>
      </c>
      <c r="D33" s="30">
        <f>-B33</f>
        <v>-31500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-31500</v>
      </c>
      <c r="C35" s="30">
        <f>E33</f>
        <v>0</v>
      </c>
      <c r="D35" s="30">
        <f>B33</f>
        <v>31500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31500</v>
      </c>
      <c r="E41" s="31">
        <f t="shared" si="2"/>
        <v>0</v>
      </c>
      <c r="F41" s="31">
        <f t="shared" si="2"/>
        <v>-31500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-31500</v>
      </c>
      <c r="E43" s="31">
        <f t="shared" si="2"/>
        <v>0</v>
      </c>
      <c r="F43" s="31">
        <f t="shared" si="2"/>
        <v>31500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38417.181592679946</v>
      </c>
      <c r="C48" s="33">
        <f>J8*K8*N8</f>
        <v>24010.738495424968</v>
      </c>
      <c r="D48" s="33">
        <f>-B48</f>
        <v>-38417.181592679946</v>
      </c>
      <c r="E48" s="33">
        <f>-C48</f>
        <v>-24010.738495424968</v>
      </c>
      <c r="F48" s="32" t="str">
        <f>B47</f>
        <v>U3X</v>
      </c>
    </row>
    <row r="49" spans="1:8" ht="16.8" customHeight="1" x14ac:dyDescent="0.3">
      <c r="A49" s="28" t="s">
        <v>193</v>
      </c>
      <c r="B49" s="33">
        <f>C48</f>
        <v>24010.738495424968</v>
      </c>
      <c r="C49" s="33">
        <f>K8*K8*N8</f>
        <v>15006.711559640607</v>
      </c>
      <c r="D49" s="33">
        <f>-B49</f>
        <v>-24010.738495424968</v>
      </c>
      <c r="E49" s="33">
        <f>-C49</f>
        <v>-15006.711559640607</v>
      </c>
      <c r="F49" s="32" t="str">
        <f>C47</f>
        <v>U3Y</v>
      </c>
    </row>
    <row r="50" spans="1:8" x14ac:dyDescent="0.3">
      <c r="B50" s="33">
        <f>D48</f>
        <v>-38417.181592679946</v>
      </c>
      <c r="C50" s="33">
        <f>E48</f>
        <v>-24010.738495424968</v>
      </c>
      <c r="D50" s="33">
        <f>B48</f>
        <v>38417.181592679946</v>
      </c>
      <c r="E50" s="33">
        <f>C48</f>
        <v>24010.738495424968</v>
      </c>
      <c r="F50" s="32" t="str">
        <f>D47</f>
        <v>U1X</v>
      </c>
    </row>
    <row r="51" spans="1:8" x14ac:dyDescent="0.3">
      <c r="B51" s="33">
        <f>D49</f>
        <v>-24010.738495424968</v>
      </c>
      <c r="C51" s="33">
        <f>E49</f>
        <v>-15006.711559640607</v>
      </c>
      <c r="D51" s="33">
        <f>B49</f>
        <v>24010.738495424968</v>
      </c>
      <c r="E51" s="33">
        <f>C49</f>
        <v>15006.711559640607</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38417.181592679946</v>
      </c>
      <c r="C54" s="34">
        <f t="shared" si="3"/>
        <v>24010.738495424968</v>
      </c>
      <c r="D54" s="9">
        <f t="shared" si="3"/>
        <v>0</v>
      </c>
      <c r="E54" s="9">
        <f t="shared" si="3"/>
        <v>0</v>
      </c>
      <c r="F54" s="34">
        <f t="shared" si="3"/>
        <v>-38417.181592679946</v>
      </c>
      <c r="G54" s="34">
        <f t="shared" si="3"/>
        <v>-24010.738495424968</v>
      </c>
      <c r="H54" s="32" t="s">
        <v>178</v>
      </c>
    </row>
    <row r="55" spans="1:8" ht="19.05" customHeight="1" x14ac:dyDescent="0.3">
      <c r="B55" s="34">
        <f t="shared" si="3"/>
        <v>24010.738495424968</v>
      </c>
      <c r="C55" s="34">
        <f t="shared" si="3"/>
        <v>15006.711559640607</v>
      </c>
      <c r="D55" s="9">
        <f t="shared" si="3"/>
        <v>0</v>
      </c>
      <c r="E55" s="9">
        <f t="shared" si="3"/>
        <v>0</v>
      </c>
      <c r="F55" s="34">
        <f t="shared" si="3"/>
        <v>-24010.738495424968</v>
      </c>
      <c r="G55" s="34">
        <f t="shared" si="3"/>
        <v>-15006.711559640607</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-38417.181592679946</v>
      </c>
      <c r="C58" s="34">
        <f t="shared" si="3"/>
        <v>-24010.738495424968</v>
      </c>
      <c r="D58" s="9">
        <f t="shared" si="3"/>
        <v>0</v>
      </c>
      <c r="E58" s="9">
        <f t="shared" si="3"/>
        <v>0</v>
      </c>
      <c r="F58" s="34">
        <f t="shared" si="3"/>
        <v>38417.181592679946</v>
      </c>
      <c r="G58" s="34">
        <f t="shared" si="3"/>
        <v>24010.738495424968</v>
      </c>
      <c r="H58" s="32" t="s">
        <v>182</v>
      </c>
    </row>
    <row r="59" spans="1:8" ht="19.05" customHeight="1" x14ac:dyDescent="0.3">
      <c r="B59" s="34">
        <f t="shared" si="3"/>
        <v>-24010.738495424968</v>
      </c>
      <c r="C59" s="34">
        <f t="shared" si="3"/>
        <v>-15006.711559640607</v>
      </c>
      <c r="D59" s="9">
        <f t="shared" si="3"/>
        <v>0</v>
      </c>
      <c r="E59" s="9">
        <f t="shared" si="3"/>
        <v>0</v>
      </c>
      <c r="F59" s="34">
        <f t="shared" si="3"/>
        <v>24010.738495424968</v>
      </c>
      <c r="G59" s="34">
        <f t="shared" si="3"/>
        <v>15006.711559640607</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76834.363185359893</v>
      </c>
      <c r="C63" s="36">
        <f t="shared" si="4"/>
        <v>0</v>
      </c>
      <c r="D63" s="9">
        <f t="shared" si="4"/>
        <v>-38417.181592679946</v>
      </c>
      <c r="E63" s="9">
        <f t="shared" si="4"/>
        <v>24010.738495424968</v>
      </c>
      <c r="F63" s="9">
        <f t="shared" si="4"/>
        <v>-38417.181592679946</v>
      </c>
      <c r="G63" s="9">
        <f t="shared" si="4"/>
        <v>-24010.738495424968</v>
      </c>
      <c r="H63" s="89" t="s">
        <v>178</v>
      </c>
    </row>
    <row r="64" spans="1:8" ht="19.95" customHeight="1" x14ac:dyDescent="0.3">
      <c r="B64" s="36">
        <f t="shared" si="4"/>
        <v>0</v>
      </c>
      <c r="C64" s="35">
        <f t="shared" si="4"/>
        <v>30013.423119281215</v>
      </c>
      <c r="D64" s="9">
        <f t="shared" si="4"/>
        <v>24010.738495424968</v>
      </c>
      <c r="E64" s="9">
        <f t="shared" si="4"/>
        <v>-15006.711559640607</v>
      </c>
      <c r="F64" s="9">
        <f t="shared" si="4"/>
        <v>-24010.738495424968</v>
      </c>
      <c r="G64" s="9">
        <f t="shared" si="4"/>
        <v>-15006.711559640607</v>
      </c>
      <c r="H64" s="89" t="s">
        <v>179</v>
      </c>
    </row>
    <row r="65" spans="1:16" ht="19.95" customHeight="1" x14ac:dyDescent="0.3">
      <c r="A65" s="28" t="s">
        <v>205</v>
      </c>
      <c r="B65" s="9">
        <f t="shared" si="4"/>
        <v>-38417.181592679946</v>
      </c>
      <c r="C65" s="9">
        <f t="shared" si="4"/>
        <v>24010.738495424968</v>
      </c>
      <c r="D65" s="35">
        <f t="shared" si="4"/>
        <v>69917.181592679946</v>
      </c>
      <c r="E65" s="36">
        <f t="shared" si="4"/>
        <v>-24010.738495424968</v>
      </c>
      <c r="F65" s="9">
        <f t="shared" si="4"/>
        <v>-31500</v>
      </c>
      <c r="G65" s="9">
        <f t="shared" si="4"/>
        <v>0</v>
      </c>
      <c r="H65" s="89" t="s">
        <v>180</v>
      </c>
    </row>
    <row r="66" spans="1:16" ht="19.95" customHeight="1" x14ac:dyDescent="0.3">
      <c r="B66" s="9">
        <f t="shared" si="4"/>
        <v>24010.738495424968</v>
      </c>
      <c r="C66" s="9">
        <f t="shared" si="4"/>
        <v>-15006.711559640607</v>
      </c>
      <c r="D66" s="36">
        <f t="shared" si="4"/>
        <v>-24010.738495424968</v>
      </c>
      <c r="E66" s="35">
        <f t="shared" si="4"/>
        <v>15006.711559640607</v>
      </c>
      <c r="F66" s="9">
        <f t="shared" si="4"/>
        <v>0</v>
      </c>
      <c r="G66" s="9">
        <f t="shared" si="4"/>
        <v>0</v>
      </c>
      <c r="H66" s="89" t="s">
        <v>181</v>
      </c>
    </row>
    <row r="67" spans="1:16" ht="19.95" customHeight="1" x14ac:dyDescent="0.3">
      <c r="B67" s="9">
        <f t="shared" si="4"/>
        <v>-38417.181592679946</v>
      </c>
      <c r="C67" s="9">
        <f t="shared" si="4"/>
        <v>-24010.738495424968</v>
      </c>
      <c r="D67" s="9">
        <f t="shared" si="4"/>
        <v>-31500</v>
      </c>
      <c r="E67" s="9">
        <f t="shared" si="4"/>
        <v>0</v>
      </c>
      <c r="F67" s="35">
        <f t="shared" si="4"/>
        <v>69917.181592679946</v>
      </c>
      <c r="G67" s="36">
        <f t="shared" si="4"/>
        <v>24010.738495424968</v>
      </c>
      <c r="H67" s="89" t="s">
        <v>182</v>
      </c>
    </row>
    <row r="68" spans="1:16" ht="19.95" customHeight="1" x14ac:dyDescent="0.3">
      <c r="B68" s="9">
        <f t="shared" si="4"/>
        <v>-24010.738495424968</v>
      </c>
      <c r="C68" s="9">
        <f t="shared" si="4"/>
        <v>-15006.711559640607</v>
      </c>
      <c r="D68" s="9">
        <f t="shared" si="4"/>
        <v>0</v>
      </c>
      <c r="E68" s="9">
        <f t="shared" si="4"/>
        <v>0</v>
      </c>
      <c r="F68" s="36">
        <f t="shared" si="4"/>
        <v>24010.738495424968</v>
      </c>
      <c r="G68" s="35">
        <f t="shared" si="4"/>
        <v>15006.711559640607</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f>IF(GRAFICA_05!F14=1, B72, GRAFICA_05!H14)</f>
        <v>2500</v>
      </c>
      <c r="K72" s="215" t="s">
        <v>376</v>
      </c>
      <c r="L72" s="172"/>
      <c r="M72" s="172"/>
      <c r="N72" s="172"/>
      <c r="O72" s="172"/>
      <c r="P72" s="173"/>
    </row>
    <row r="73" spans="1:16" ht="16.95" customHeight="1" x14ac:dyDescent="0.3">
      <c r="B73" s="12" t="s">
        <v>210</v>
      </c>
      <c r="C73" s="12" t="s">
        <v>179</v>
      </c>
      <c r="E73" s="37">
        <f>IF(GRAFICA_05!G14=1, B73, GRAFICA_05!I14)</f>
        <v>-6000</v>
      </c>
      <c r="K73" s="215" t="s">
        <v>211</v>
      </c>
      <c r="L73" s="172"/>
      <c r="M73" s="172"/>
      <c r="N73" s="172"/>
      <c r="O73" s="172"/>
      <c r="P73" s="173"/>
    </row>
    <row r="74" spans="1:16" ht="16.95" customHeight="1" x14ac:dyDescent="0.3">
      <c r="A74" s="38" t="s">
        <v>218</v>
      </c>
      <c r="B74" s="12" t="s">
        <v>212</v>
      </c>
      <c r="C74" s="12" t="s">
        <v>180</v>
      </c>
      <c r="D74" s="13" t="s">
        <v>220</v>
      </c>
      <c r="E74" s="37">
        <f>IF(GRAFICA_05!F15=1, B74, GRAFICA_05!H15)</f>
        <v>0</v>
      </c>
      <c r="K74" s="215" t="s">
        <v>377</v>
      </c>
      <c r="L74" s="172"/>
      <c r="M74" s="172"/>
      <c r="N74" s="172"/>
      <c r="O74" s="172"/>
      <c r="P74" s="173"/>
    </row>
    <row r="75" spans="1:16" ht="16.95" customHeight="1" x14ac:dyDescent="0.3">
      <c r="B75" s="12" t="s">
        <v>214</v>
      </c>
      <c r="C75" s="12" t="s">
        <v>181</v>
      </c>
      <c r="E75" s="37" t="str">
        <f>IF(GRAFICA_05!G15=1, B75, GRAFICA_05!I15)</f>
        <v>C2Y</v>
      </c>
      <c r="K75" s="215" t="s">
        <v>215</v>
      </c>
      <c r="L75" s="172"/>
      <c r="M75" s="172"/>
      <c r="N75" s="172"/>
      <c r="O75" s="172"/>
      <c r="P75" s="173"/>
    </row>
    <row r="76" spans="1:16" ht="16.95" customHeight="1" x14ac:dyDescent="0.3">
      <c r="B76" s="12" t="s">
        <v>216</v>
      </c>
      <c r="C76" s="12" t="s">
        <v>182</v>
      </c>
      <c r="E76" s="37" t="str">
        <f>IF(GRAFICA_05!F16=1, B76, GRAFICA_05!H16)</f>
        <v>C3X</v>
      </c>
      <c r="K76" s="215" t="s">
        <v>378</v>
      </c>
      <c r="L76" s="172"/>
      <c r="M76" s="172"/>
      <c r="N76" s="172"/>
      <c r="O76" s="172"/>
      <c r="P76" s="173"/>
    </row>
    <row r="77" spans="1:16" ht="16.95" customHeight="1" x14ac:dyDescent="0.3">
      <c r="B77" s="12" t="s">
        <v>219</v>
      </c>
      <c r="C77" s="12" t="s">
        <v>183</v>
      </c>
      <c r="E77" s="37" t="str">
        <f>IF(GRAFICA_05!G16=1, B77, GRAFICA_05!I16)</f>
        <v>C3Y</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t="str">
        <f>IF(GRAFICA_05!F14=1, 0, B80)</f>
        <v>D1X</v>
      </c>
      <c r="F80" s="14">
        <f>IF(E80&lt;&gt;0, COUNTIF(E$80:E80, "&lt;&gt;0"), "")</f>
        <v>1</v>
      </c>
      <c r="G80" s="14" t="str">
        <f>IF(E80=0, COUNTIF(E$80:E80, 0), "")</f>
        <v/>
      </c>
      <c r="K80" s="215"/>
      <c r="L80" s="172"/>
      <c r="M80" s="172"/>
      <c r="N80" s="172"/>
      <c r="O80" s="172"/>
      <c r="P80" s="173"/>
    </row>
    <row r="81" spans="1:16" ht="16.95" customHeight="1" x14ac:dyDescent="0.3">
      <c r="B81" s="12" t="s">
        <v>229</v>
      </c>
      <c r="C81" s="12" t="s">
        <v>179</v>
      </c>
      <c r="E81" s="39" t="str">
        <f>IF(GRAFICA_05!G14=1, 0, B81)</f>
        <v>D1Y</v>
      </c>
      <c r="F81" s="14">
        <f>IF(E81&lt;&gt;0, COUNTIF(E$80:E81, "&lt;&gt;0"), "")</f>
        <v>2</v>
      </c>
      <c r="G81" s="14" t="str">
        <f>IF(E81=0, COUNTIF(E$80:E81, 0), "")</f>
        <v/>
      </c>
      <c r="K81" s="215"/>
      <c r="L81" s="172"/>
      <c r="M81" s="172"/>
      <c r="N81" s="172"/>
      <c r="O81" s="172"/>
      <c r="P81" s="173"/>
    </row>
    <row r="82" spans="1:16" ht="16.95" customHeight="1" x14ac:dyDescent="0.3">
      <c r="A82" s="38" t="s">
        <v>233</v>
      </c>
      <c r="B82" s="12" t="s">
        <v>230</v>
      </c>
      <c r="C82" s="12" t="s">
        <v>180</v>
      </c>
      <c r="D82" s="13" t="s">
        <v>220</v>
      </c>
      <c r="E82" s="39" t="str">
        <f>IF(GRAFICA_05!F15=1, 0, B82)</f>
        <v>D2X</v>
      </c>
      <c r="F82" s="14">
        <f>IF(E82&lt;&gt;0, COUNTIF(E$80:E82, "&lt;&gt;0"), "")</f>
        <v>3</v>
      </c>
      <c r="G82" s="14" t="str">
        <f>IF(E82=0, COUNTIF(E$80:E82, 0), "")</f>
        <v/>
      </c>
      <c r="K82" s="215"/>
      <c r="L82" s="172"/>
      <c r="M82" s="172"/>
      <c r="N82" s="172"/>
      <c r="O82" s="172"/>
      <c r="P82" s="173"/>
    </row>
    <row r="83" spans="1:16" ht="16.95" customHeight="1" x14ac:dyDescent="0.3">
      <c r="B83" s="12" t="s">
        <v>231</v>
      </c>
      <c r="C83" s="12" t="s">
        <v>181</v>
      </c>
      <c r="E83" s="39">
        <f>IF(GRAFICA_05!G15=1, 0, B83)</f>
        <v>0</v>
      </c>
      <c r="F83" s="14" t="str">
        <f>IF(E83&lt;&gt;0, COUNTIF(E$80:E83, "&lt;&gt;0"), "")</f>
        <v/>
      </c>
      <c r="G83" s="14">
        <f>IF(E83=0, COUNTIF(E$80:E83, 0), "")</f>
        <v>1</v>
      </c>
      <c r="K83" s="215"/>
      <c r="L83" s="172"/>
      <c r="M83" s="172"/>
      <c r="N83" s="172"/>
      <c r="O83" s="172"/>
      <c r="P83" s="173"/>
    </row>
    <row r="84" spans="1:16" ht="16.95" customHeight="1" x14ac:dyDescent="0.3">
      <c r="B84" s="12" t="s">
        <v>232</v>
      </c>
      <c r="C84" s="12" t="s">
        <v>182</v>
      </c>
      <c r="E84" s="39">
        <f>IF(GRAFICA_05!F16=1, 0, B84)</f>
        <v>0</v>
      </c>
      <c r="F84" s="14" t="str">
        <f>IF(E84&lt;&gt;0, COUNTIF(E$80:E84, "&lt;&gt;0"), "")</f>
        <v/>
      </c>
      <c r="G84" s="14">
        <f>IF(E84=0, COUNTIF(E$80:E84, 0), "")</f>
        <v>2</v>
      </c>
      <c r="K84" s="215"/>
      <c r="L84" s="172"/>
      <c r="M84" s="172"/>
      <c r="N84" s="172"/>
      <c r="O84" s="172"/>
      <c r="P84" s="173"/>
    </row>
    <row r="85" spans="1:16" ht="16.95" customHeight="1" x14ac:dyDescent="0.3">
      <c r="B85" s="12" t="s">
        <v>234</v>
      </c>
      <c r="C85" s="12" t="s">
        <v>183</v>
      </c>
      <c r="E85" s="39">
        <f>IF(GRAFICA_05!G16=1, 0, B85)</f>
        <v>0</v>
      </c>
      <c r="F85" s="14" t="str">
        <f>IF(E85&lt;&gt;0, COUNTIF(E$80:E85, "&lt;&gt;0"), "")</f>
        <v/>
      </c>
      <c r="G85" s="14">
        <f>IF(E85=0, COUNTIF(E$80:E85, 0), "")</f>
        <v>3</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41">
        <f t="shared" ref="A90:A95" si="5">E72</f>
        <v>2500</v>
      </c>
      <c r="C90" s="41">
        <f t="shared" ref="C90:H95" si="6">B63</f>
        <v>76834.363185359893</v>
      </c>
      <c r="D90" s="41">
        <f t="shared" si="6"/>
        <v>0</v>
      </c>
      <c r="E90" s="41">
        <f t="shared" si="6"/>
        <v>-38417.181592679946</v>
      </c>
      <c r="F90" s="9">
        <f t="shared" si="6"/>
        <v>24010.738495424968</v>
      </c>
      <c r="G90" s="9">
        <f t="shared" si="6"/>
        <v>-38417.181592679946</v>
      </c>
      <c r="H90" s="9">
        <f t="shared" si="6"/>
        <v>-24010.738495424968</v>
      </c>
      <c r="I90" s="13" t="s">
        <v>251</v>
      </c>
      <c r="J90" s="38" t="str">
        <f t="shared" ref="J90:J95" si="7">E80</f>
        <v>D1X</v>
      </c>
      <c r="K90" s="215" t="s">
        <v>380</v>
      </c>
      <c r="L90" s="172"/>
      <c r="M90" s="172"/>
      <c r="N90" s="172"/>
      <c r="O90" s="172"/>
      <c r="P90" s="173"/>
    </row>
    <row r="91" spans="1:16" ht="16.95" customHeight="1" x14ac:dyDescent="0.3">
      <c r="A91" s="41">
        <f t="shared" si="5"/>
        <v>-6000</v>
      </c>
      <c r="C91" s="41">
        <f t="shared" si="6"/>
        <v>0</v>
      </c>
      <c r="D91" s="41">
        <f t="shared" si="6"/>
        <v>30013.423119281215</v>
      </c>
      <c r="E91" s="41">
        <f t="shared" si="6"/>
        <v>24010.738495424968</v>
      </c>
      <c r="F91" s="9">
        <f t="shared" si="6"/>
        <v>-15006.711559640607</v>
      </c>
      <c r="G91" s="9">
        <f t="shared" si="6"/>
        <v>-24010.738495424968</v>
      </c>
      <c r="H91" s="9">
        <f t="shared" si="6"/>
        <v>-15006.711559640607</v>
      </c>
      <c r="I91" s="13" t="s">
        <v>251</v>
      </c>
      <c r="J91" s="38" t="str">
        <f t="shared" si="7"/>
        <v>D1Y</v>
      </c>
      <c r="K91" s="215" t="s">
        <v>253</v>
      </c>
      <c r="L91" s="172"/>
      <c r="M91" s="172"/>
      <c r="N91" s="172"/>
      <c r="O91" s="172"/>
      <c r="P91" s="173"/>
    </row>
    <row r="92" spans="1:16" ht="16.95" customHeight="1" x14ac:dyDescent="0.3">
      <c r="A92" s="41">
        <f t="shared" si="5"/>
        <v>0</v>
      </c>
      <c r="C92" s="41">
        <f t="shared" si="6"/>
        <v>-38417.181592679946</v>
      </c>
      <c r="D92" s="41">
        <f t="shared" si="6"/>
        <v>24010.738495424968</v>
      </c>
      <c r="E92" s="41">
        <f t="shared" si="6"/>
        <v>69917.181592679946</v>
      </c>
      <c r="F92" s="9">
        <f t="shared" si="6"/>
        <v>-24010.738495424968</v>
      </c>
      <c r="G92" s="9">
        <f t="shared" si="6"/>
        <v>-31500</v>
      </c>
      <c r="H92" s="9">
        <f t="shared" si="6"/>
        <v>0</v>
      </c>
      <c r="I92" s="13" t="s">
        <v>251</v>
      </c>
      <c r="J92" s="38" t="str">
        <f t="shared" si="7"/>
        <v>D2X</v>
      </c>
      <c r="K92" s="215" t="s">
        <v>254</v>
      </c>
      <c r="L92" s="172"/>
      <c r="M92" s="172"/>
      <c r="N92" s="172"/>
      <c r="O92" s="172"/>
      <c r="P92" s="173"/>
    </row>
    <row r="93" spans="1:16" ht="16.95" customHeight="1" x14ac:dyDescent="0.3">
      <c r="A93" s="12" t="str">
        <f t="shared" si="5"/>
        <v>C2Y</v>
      </c>
      <c r="B93" s="13" t="s">
        <v>220</v>
      </c>
      <c r="C93" s="9">
        <f t="shared" si="6"/>
        <v>24010.738495424968</v>
      </c>
      <c r="D93" s="9">
        <f t="shared" si="6"/>
        <v>-15006.711559640607</v>
      </c>
      <c r="E93" s="9">
        <f t="shared" si="6"/>
        <v>-24010.738495424968</v>
      </c>
      <c r="F93" s="9">
        <f t="shared" si="6"/>
        <v>15006.711559640607</v>
      </c>
      <c r="G93" s="9">
        <f t="shared" si="6"/>
        <v>0</v>
      </c>
      <c r="H93" s="9">
        <f t="shared" si="6"/>
        <v>0</v>
      </c>
      <c r="I93" s="13" t="s">
        <v>251</v>
      </c>
      <c r="J93" s="16">
        <f t="shared" si="7"/>
        <v>0</v>
      </c>
      <c r="K93" s="215" t="s">
        <v>381</v>
      </c>
      <c r="L93" s="172"/>
      <c r="M93" s="172"/>
      <c r="N93" s="172"/>
      <c r="O93" s="172"/>
      <c r="P93" s="173"/>
    </row>
    <row r="94" spans="1:16" ht="16.95" customHeight="1" x14ac:dyDescent="0.3">
      <c r="A94" s="12" t="str">
        <f t="shared" si="5"/>
        <v>C3X</v>
      </c>
      <c r="C94" s="9">
        <f t="shared" si="6"/>
        <v>-38417.181592679946</v>
      </c>
      <c r="D94" s="9">
        <f t="shared" si="6"/>
        <v>-24010.738495424968</v>
      </c>
      <c r="E94" s="9">
        <f t="shared" si="6"/>
        <v>-31500</v>
      </c>
      <c r="F94" s="9">
        <f t="shared" si="6"/>
        <v>0</v>
      </c>
      <c r="G94" s="9">
        <f t="shared" si="6"/>
        <v>69917.181592679946</v>
      </c>
      <c r="H94" s="9">
        <f t="shared" si="6"/>
        <v>24010.738495424968</v>
      </c>
      <c r="I94" s="13" t="s">
        <v>251</v>
      </c>
      <c r="J94" s="16">
        <f t="shared" si="7"/>
        <v>0</v>
      </c>
      <c r="K94" s="215" t="s">
        <v>382</v>
      </c>
      <c r="L94" s="172"/>
      <c r="M94" s="172"/>
      <c r="N94" s="172"/>
      <c r="O94" s="172"/>
      <c r="P94" s="173"/>
    </row>
    <row r="95" spans="1:16" ht="16.95" customHeight="1" x14ac:dyDescent="0.3">
      <c r="A95" s="12" t="str">
        <f t="shared" si="5"/>
        <v>C3Y</v>
      </c>
      <c r="C95" s="9">
        <f t="shared" si="6"/>
        <v>-24010.738495424968</v>
      </c>
      <c r="D95" s="9">
        <f t="shared" si="6"/>
        <v>-15006.711559640607</v>
      </c>
      <c r="E95" s="9">
        <f t="shared" si="6"/>
        <v>0</v>
      </c>
      <c r="F95" s="9">
        <f t="shared" si="6"/>
        <v>0</v>
      </c>
      <c r="G95" s="9">
        <f t="shared" si="6"/>
        <v>24010.738495424968</v>
      </c>
      <c r="H95" s="9">
        <f t="shared" si="6"/>
        <v>15006.711559640607</v>
      </c>
      <c r="I95" s="13" t="s">
        <v>251</v>
      </c>
      <c r="J95" s="16">
        <f t="shared" si="7"/>
        <v>0</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U1X</v>
      </c>
      <c r="D99" s="38" t="str">
        <f>INDEX(C$80:C$85, MATCH(2, F$80:F$85, 0))</f>
        <v>U1Y</v>
      </c>
      <c r="E99" s="38" t="str">
        <f>INDEX(C$80:C$85, MATCH(3, F$80:F$85, 0))</f>
        <v>U2X</v>
      </c>
      <c r="K99" s="215" t="s">
        <v>383</v>
      </c>
      <c r="L99" s="172"/>
      <c r="M99" s="172"/>
      <c r="N99" s="172"/>
      <c r="O99" s="172"/>
      <c r="P99" s="173"/>
    </row>
    <row r="100" spans="1:16" ht="16.95" customHeight="1" x14ac:dyDescent="0.3">
      <c r="A100" s="41">
        <f>INDEX(E$72:E$77, MATCH(H100, C$72:C$77, 0))</f>
        <v>2500</v>
      </c>
      <c r="C100" s="41">
        <f t="shared" ref="C100:E102" si="8">INDEX($B$63:$G$68, MATCH($H100, $H$63:$H$68, 0), MATCH(C$99, $B$62:$G$62, 0))</f>
        <v>76834.363185359893</v>
      </c>
      <c r="D100" s="41">
        <f t="shared" si="8"/>
        <v>0</v>
      </c>
      <c r="E100" s="41">
        <f t="shared" si="8"/>
        <v>-38417.181592679946</v>
      </c>
      <c r="F100" s="13" t="s">
        <v>251</v>
      </c>
      <c r="G100" s="38" t="str">
        <f>INDEX(B$80:B$85, MATCH(1, F$80:F$85, 0))</f>
        <v>D1X</v>
      </c>
      <c r="H100" s="14" t="str">
        <f>INDEX(C$80:C$85, MATCH(1, F$80:F$85, 0))</f>
        <v>U1X</v>
      </c>
      <c r="K100" s="215" t="s">
        <v>384</v>
      </c>
      <c r="L100" s="172"/>
      <c r="M100" s="172"/>
      <c r="N100" s="172"/>
      <c r="O100" s="172"/>
      <c r="P100" s="173"/>
    </row>
    <row r="101" spans="1:16" ht="16.95" customHeight="1" x14ac:dyDescent="0.3">
      <c r="A101" s="41">
        <f>INDEX(E$72:E$77, MATCH(H101, C$72:C$77, 0))</f>
        <v>-6000</v>
      </c>
      <c r="B101" s="13" t="s">
        <v>220</v>
      </c>
      <c r="C101" s="41">
        <f t="shared" si="8"/>
        <v>0</v>
      </c>
      <c r="D101" s="41">
        <f t="shared" si="8"/>
        <v>30013.423119281215</v>
      </c>
      <c r="E101" s="41">
        <f t="shared" si="8"/>
        <v>24010.738495424968</v>
      </c>
      <c r="F101" s="13" t="s">
        <v>251</v>
      </c>
      <c r="G101" s="38" t="str">
        <f>INDEX(B$80:B$85, MATCH(2, F$80:F$85, 0))</f>
        <v>D1Y</v>
      </c>
      <c r="H101" s="14" t="str">
        <f>INDEX(C$80:C$85, MATCH(2, F$80:F$85, 0))</f>
        <v>U1Y</v>
      </c>
      <c r="K101" s="215" t="s">
        <v>385</v>
      </c>
      <c r="L101" s="172"/>
      <c r="M101" s="172"/>
      <c r="N101" s="172"/>
      <c r="O101" s="172"/>
      <c r="P101" s="173"/>
    </row>
    <row r="102" spans="1:16" ht="16.95" customHeight="1" x14ac:dyDescent="0.3">
      <c r="A102" s="41">
        <f>INDEX(E$72:E$77, MATCH(H102, C$72:C$77, 0))</f>
        <v>0</v>
      </c>
      <c r="C102" s="41">
        <f t="shared" si="8"/>
        <v>-38417.181592679946</v>
      </c>
      <c r="D102" s="41">
        <f t="shared" si="8"/>
        <v>24010.738495424968</v>
      </c>
      <c r="E102" s="41">
        <f t="shared" si="8"/>
        <v>69917.181592679946</v>
      </c>
      <c r="F102" s="13" t="s">
        <v>251</v>
      </c>
      <c r="G102" s="38" t="str">
        <f>INDEX(B$80:B$85, MATCH(3, F$80:F$85, 0))</f>
        <v>D2X</v>
      </c>
      <c r="H102" s="14" t="str">
        <f>INDEX(C$80:C$85, MATCH(3, F$80:F$85, 0))</f>
        <v>U2X</v>
      </c>
      <c r="K102" s="215" t="s">
        <v>386</v>
      </c>
      <c r="L102" s="172"/>
      <c r="M102" s="172"/>
      <c r="N102" s="172"/>
      <c r="O102" s="172"/>
      <c r="P102" s="173"/>
    </row>
    <row r="103" spans="1:16" ht="16.95" customHeight="1" x14ac:dyDescent="0.3">
      <c r="K103" s="215" t="s">
        <v>387</v>
      </c>
      <c r="L103" s="172"/>
      <c r="M103" s="172"/>
      <c r="N103" s="172"/>
      <c r="O103" s="172"/>
      <c r="P103" s="173"/>
    </row>
    <row r="104" spans="1:16" ht="16.95" customHeight="1" x14ac:dyDescent="0.3">
      <c r="C104" s="218" t="s">
        <v>263</v>
      </c>
      <c r="D104" s="172"/>
      <c r="E104" s="173"/>
      <c r="K104" s="215" t="s">
        <v>388</v>
      </c>
      <c r="L104" s="172"/>
      <c r="M104" s="172"/>
      <c r="N104" s="172"/>
      <c r="O104" s="172"/>
      <c r="P104" s="173"/>
    </row>
    <row r="105" spans="1:16" ht="16.95" customHeight="1" x14ac:dyDescent="0.3">
      <c r="A105" s="99" t="s">
        <v>249</v>
      </c>
      <c r="C105" s="193" t="s">
        <v>264</v>
      </c>
      <c r="D105" s="175"/>
      <c r="E105" s="175"/>
      <c r="G105" s="99" t="s">
        <v>247</v>
      </c>
      <c r="K105" s="215"/>
      <c r="L105" s="172"/>
      <c r="M105" s="172"/>
      <c r="N105" s="172"/>
      <c r="O105" s="172"/>
      <c r="P105" s="173"/>
    </row>
    <row r="106" spans="1:16" ht="16.95" customHeight="1" x14ac:dyDescent="0.3">
      <c r="A106" s="12" t="str">
        <f>G100</f>
        <v>D1X</v>
      </c>
      <c r="C106" s="93">
        <f t="array" ref="C106:E108">MINVERSE(C100:E102)</f>
        <v>2.0951517868815688E-5</v>
      </c>
      <c r="D106" s="93">
        <v>-1.2698412698412697E-5</v>
      </c>
      <c r="E106" s="93">
        <v>1.5873015873015872E-5</v>
      </c>
      <c r="G106" s="17">
        <f>A100</f>
        <v>2500</v>
      </c>
      <c r="K106" s="215"/>
      <c r="L106" s="172"/>
      <c r="M106" s="172"/>
      <c r="N106" s="172"/>
      <c r="O106" s="172"/>
      <c r="P106" s="173"/>
    </row>
    <row r="107" spans="1:16" ht="16.95" customHeight="1" x14ac:dyDescent="0.3">
      <c r="A107" s="12" t="str">
        <f>G101</f>
        <v>D1Y</v>
      </c>
      <c r="B107" s="13" t="s">
        <v>220</v>
      </c>
      <c r="C107" s="93">
        <v>-1.2698412698412697E-5</v>
      </c>
      <c r="D107" s="93">
        <v>5.3635885744168146E-5</v>
      </c>
      <c r="E107" s="93">
        <v>-2.5396825396825394E-5</v>
      </c>
      <c r="G107" s="17">
        <f>A101</f>
        <v>-6000</v>
      </c>
      <c r="K107" s="215"/>
      <c r="L107" s="172"/>
      <c r="M107" s="172"/>
      <c r="N107" s="172"/>
      <c r="O107" s="172"/>
      <c r="P107" s="173"/>
    </row>
    <row r="108" spans="1:16" ht="16.95" customHeight="1" x14ac:dyDescent="0.3">
      <c r="A108" s="12" t="str">
        <f>G102</f>
        <v>D2X</v>
      </c>
      <c r="C108" s="93">
        <v>1.5873015873015872E-5</v>
      </c>
      <c r="D108" s="93">
        <v>-2.5396825396825394E-5</v>
      </c>
      <c r="E108" s="93">
        <v>3.1746031746031745E-5</v>
      </c>
      <c r="G108" s="17">
        <f>A102</f>
        <v>0</v>
      </c>
      <c r="K108" s="215"/>
      <c r="L108" s="172"/>
      <c r="M108" s="172"/>
      <c r="N108" s="172"/>
      <c r="O108" s="172"/>
      <c r="P108" s="173"/>
    </row>
    <row r="109" spans="1:16" ht="16.95" customHeight="1" x14ac:dyDescent="0.3">
      <c r="K109" s="215"/>
      <c r="L109" s="172"/>
      <c r="M109" s="172"/>
      <c r="N109" s="172"/>
      <c r="O109" s="172"/>
      <c r="P109" s="173"/>
    </row>
    <row r="110" spans="1:16" ht="16.95" customHeight="1" x14ac:dyDescent="0.3">
      <c r="C110" s="218" t="s">
        <v>265</v>
      </c>
      <c r="D110" s="173"/>
      <c r="K110" s="215"/>
      <c r="L110" s="172"/>
      <c r="M110" s="172"/>
      <c r="N110" s="172"/>
      <c r="O110" s="172"/>
      <c r="P110" s="173"/>
    </row>
    <row r="111" spans="1:16" ht="16.95" customHeight="1" x14ac:dyDescent="0.3">
      <c r="A111" s="99" t="s">
        <v>249</v>
      </c>
      <c r="C111" s="99" t="s">
        <v>266</v>
      </c>
      <c r="K111" s="215"/>
      <c r="L111" s="172"/>
      <c r="M111" s="172"/>
      <c r="N111" s="172"/>
      <c r="O111" s="172"/>
      <c r="P111" s="173"/>
    </row>
    <row r="112" spans="1:16" ht="16.95" customHeight="1" x14ac:dyDescent="0.3">
      <c r="A112" s="12" t="str">
        <f>A106</f>
        <v>D1X</v>
      </c>
      <c r="C112" s="94">
        <f t="array" ref="C112:C114">MMULT(C106:E108, G106:G108)</f>
        <v>0.12856927086251541</v>
      </c>
      <c r="D112" s="12" t="s">
        <v>267</v>
      </c>
      <c r="K112" s="215"/>
      <c r="L112" s="172"/>
      <c r="M112" s="172"/>
      <c r="N112" s="172"/>
      <c r="O112" s="172"/>
      <c r="P112" s="173"/>
    </row>
    <row r="113" spans="1:16" ht="16.95" customHeight="1" x14ac:dyDescent="0.3">
      <c r="A113" s="12" t="str">
        <f>A107</f>
        <v>D1Y</v>
      </c>
      <c r="B113" s="13" t="s">
        <v>220</v>
      </c>
      <c r="C113" s="94">
        <v>-0.35356134621104063</v>
      </c>
      <c r="D113" s="12" t="s">
        <v>267</v>
      </c>
      <c r="K113" s="215"/>
      <c r="L113" s="172"/>
      <c r="M113" s="172"/>
      <c r="N113" s="172"/>
      <c r="O113" s="172"/>
      <c r="P113" s="173"/>
    </row>
    <row r="114" spans="1:16" ht="16.95" customHeight="1" x14ac:dyDescent="0.3">
      <c r="A114" s="12" t="str">
        <f>A108</f>
        <v>D2X</v>
      </c>
      <c r="C114" s="94">
        <v>0.19206349206349205</v>
      </c>
      <c r="D114" s="12" t="s">
        <v>267</v>
      </c>
      <c r="K114" s="215"/>
      <c r="L114" s="172"/>
      <c r="M114" s="172"/>
      <c r="N114" s="172"/>
      <c r="O114" s="172"/>
      <c r="P114" s="173"/>
    </row>
    <row r="117" spans="1:16" ht="19.95" customHeight="1" x14ac:dyDescent="0.35">
      <c r="A117" s="11" t="s">
        <v>268</v>
      </c>
      <c r="K117" s="216" t="s">
        <v>269</v>
      </c>
      <c r="L117" s="172"/>
      <c r="M117" s="172"/>
      <c r="N117" s="172"/>
      <c r="O117" s="172"/>
      <c r="P117" s="173"/>
    </row>
    <row r="118" spans="1:16" ht="16.95" customHeight="1" x14ac:dyDescent="0.3">
      <c r="A118" s="99" t="s">
        <v>247</v>
      </c>
      <c r="G118" s="99" t="s">
        <v>249</v>
      </c>
      <c r="K118" s="215" t="s">
        <v>389</v>
      </c>
      <c r="L118" s="172"/>
      <c r="M118" s="172"/>
      <c r="N118" s="172"/>
      <c r="O118" s="172"/>
      <c r="P118" s="173"/>
    </row>
    <row r="119" spans="1:16" ht="16.95" customHeight="1" x14ac:dyDescent="0.3">
      <c r="A119" s="18" t="str">
        <f>INDEX(B$72:B$77, MATCH(H119, C$72:C$77, 0))</f>
        <v>C2Y</v>
      </c>
      <c r="C119" s="9">
        <f t="shared" ref="C119:E121" si="9">INDEX($B$63:$G$68, MATCH($H119, $H$63:$H$68, 0), MATCH(C$99, $B$62:$G$62, 0))</f>
        <v>24010.738495424968</v>
      </c>
      <c r="D119" s="9">
        <f t="shared" si="9"/>
        <v>-15006.711559640607</v>
      </c>
      <c r="E119" s="9">
        <f t="shared" si="9"/>
        <v>-24010.738495424968</v>
      </c>
      <c r="G119" s="95">
        <f>C112</f>
        <v>0.12856927086251541</v>
      </c>
      <c r="H119" s="14" t="str">
        <f>INDEX(C$80:C$85, MATCH(1, G$80:G$85, 0))</f>
        <v>U2Y</v>
      </c>
      <c r="K119" s="215" t="s">
        <v>390</v>
      </c>
      <c r="L119" s="172"/>
      <c r="M119" s="172"/>
      <c r="N119" s="172"/>
      <c r="O119" s="172"/>
      <c r="P119" s="173"/>
    </row>
    <row r="120" spans="1:16" ht="16.95" customHeight="1" x14ac:dyDescent="0.3">
      <c r="A120" s="18" t="str">
        <f>INDEX(B$72:B$77, MATCH(H120, C$72:C$77, 0))</f>
        <v>C3X</v>
      </c>
      <c r="B120" s="13" t="s">
        <v>220</v>
      </c>
      <c r="C120" s="9">
        <f t="shared" si="9"/>
        <v>-38417.181592679946</v>
      </c>
      <c r="D120" s="9">
        <f t="shared" si="9"/>
        <v>-24010.738495424968</v>
      </c>
      <c r="E120" s="9">
        <f t="shared" si="9"/>
        <v>-31500</v>
      </c>
      <c r="G120" s="95">
        <f>C113</f>
        <v>-0.35356134621104063</v>
      </c>
      <c r="H120" s="14" t="str">
        <f>INDEX(C$80:C$85, MATCH(2, G$80:G$85, 0))</f>
        <v>U3X</v>
      </c>
      <c r="K120" s="215" t="s">
        <v>391</v>
      </c>
      <c r="L120" s="172"/>
      <c r="M120" s="172"/>
      <c r="N120" s="172"/>
      <c r="O120" s="172"/>
      <c r="P120" s="173"/>
    </row>
    <row r="121" spans="1:16" ht="16.95" customHeight="1" x14ac:dyDescent="0.3">
      <c r="A121" s="18" t="str">
        <f>INDEX(B$72:B$77, MATCH(H121, C$72:C$77, 0))</f>
        <v>C3Y</v>
      </c>
      <c r="C121" s="9">
        <f t="shared" si="9"/>
        <v>-24010.738495424968</v>
      </c>
      <c r="D121" s="9">
        <f t="shared" si="9"/>
        <v>-15006.711559640607</v>
      </c>
      <c r="E121" s="9">
        <f t="shared" si="9"/>
        <v>0</v>
      </c>
      <c r="G121" s="95">
        <f>C114</f>
        <v>0.19206349206349205</v>
      </c>
      <c r="H121" s="14" t="str">
        <f>INDEX(C$80:C$85, MATCH(3, G$80:G$85, 0))</f>
        <v>U3Y</v>
      </c>
      <c r="K121" s="215" t="s">
        <v>392</v>
      </c>
      <c r="L121" s="172"/>
      <c r="M121" s="172"/>
      <c r="N121" s="172"/>
      <c r="O121" s="172"/>
      <c r="P121" s="173"/>
    </row>
    <row r="122" spans="1:16" ht="16.95" customHeight="1" x14ac:dyDescent="0.3">
      <c r="K122" s="215" t="s">
        <v>393</v>
      </c>
      <c r="L122" s="172"/>
      <c r="M122" s="172"/>
      <c r="N122" s="172"/>
      <c r="O122" s="172"/>
      <c r="P122" s="173"/>
    </row>
    <row r="123" spans="1:16" ht="16.95" customHeight="1" x14ac:dyDescent="0.3">
      <c r="A123" s="12" t="str">
        <f>A119</f>
        <v>C2Y</v>
      </c>
      <c r="C123" s="17">
        <f t="array" ref="C123:C125">MMULT(C119:E121, G119:G121)</f>
        <v>3781.25</v>
      </c>
      <c r="D123" s="12" t="s">
        <v>273</v>
      </c>
      <c r="K123" s="215" t="s">
        <v>394</v>
      </c>
      <c r="L123" s="172"/>
      <c r="M123" s="172"/>
      <c r="N123" s="172"/>
      <c r="O123" s="172"/>
      <c r="P123" s="173"/>
    </row>
    <row r="124" spans="1:16" ht="16.95" customHeight="1" x14ac:dyDescent="0.3">
      <c r="A124" s="12" t="str">
        <f>A120</f>
        <v>C3X</v>
      </c>
      <c r="B124" s="13" t="s">
        <v>220</v>
      </c>
      <c r="C124" s="17">
        <v>-2500.0000000000009</v>
      </c>
      <c r="D124" s="12" t="s">
        <v>273</v>
      </c>
      <c r="K124" s="215"/>
      <c r="L124" s="172"/>
      <c r="M124" s="172"/>
      <c r="N124" s="172"/>
      <c r="O124" s="172"/>
      <c r="P124" s="173"/>
    </row>
    <row r="125" spans="1:16" ht="16.95" customHeight="1" x14ac:dyDescent="0.3">
      <c r="A125" s="12" t="str">
        <f>A121</f>
        <v>C3Y</v>
      </c>
      <c r="C125" s="17">
        <v>2218.75</v>
      </c>
      <c r="D125" s="12" t="s">
        <v>273</v>
      </c>
      <c r="K125" s="215"/>
      <c r="L125" s="172"/>
      <c r="M125" s="172"/>
      <c r="N125" s="172"/>
      <c r="O125" s="172"/>
      <c r="P125" s="173"/>
    </row>
    <row r="128" spans="1:16" ht="19.95" customHeight="1" x14ac:dyDescent="0.35">
      <c r="A128" s="11" t="s">
        <v>274</v>
      </c>
    </row>
    <row r="130" spans="1:16" ht="19.05" customHeight="1" x14ac:dyDescent="0.3">
      <c r="A130" s="12" t="s">
        <v>228</v>
      </c>
      <c r="B130" s="12" t="s">
        <v>178</v>
      </c>
      <c r="D130" s="94">
        <f t="shared" ref="D130:D135" si="10">IFERROR(INDEX(C$112:C$114, MATCH(A130, A$112:A$114, 0)), 0)</f>
        <v>0.12856927086251541</v>
      </c>
    </row>
    <row r="131" spans="1:16" ht="19.05" customHeight="1" x14ac:dyDescent="0.3">
      <c r="A131" s="12" t="s">
        <v>229</v>
      </c>
      <c r="B131" s="12" t="s">
        <v>179</v>
      </c>
      <c r="D131" s="94">
        <f t="shared" si="10"/>
        <v>-0.35356134621104063</v>
      </c>
    </row>
    <row r="132" spans="1:16" ht="19.05" customHeight="1" x14ac:dyDescent="0.3">
      <c r="A132" s="12" t="s">
        <v>230</v>
      </c>
      <c r="B132" s="12" t="s">
        <v>180</v>
      </c>
      <c r="D132" s="94">
        <f t="shared" si="10"/>
        <v>0.19206349206349205</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216" t="s">
        <v>276</v>
      </c>
      <c r="L138" s="172"/>
      <c r="M138" s="172"/>
      <c r="N138" s="172"/>
      <c r="O138" s="172"/>
      <c r="P138" s="173"/>
    </row>
    <row r="139" spans="1:16" ht="16.95" customHeight="1" x14ac:dyDescent="0.3">
      <c r="K139" s="215" t="s">
        <v>395</v>
      </c>
      <c r="L139" s="172"/>
      <c r="M139" s="172"/>
      <c r="N139" s="172"/>
      <c r="O139" s="172"/>
      <c r="P139" s="173"/>
    </row>
    <row r="140" spans="1:16" ht="16.95" customHeight="1" x14ac:dyDescent="0.3">
      <c r="A140" s="19" t="s">
        <v>278</v>
      </c>
      <c r="C140" s="19" t="s">
        <v>279</v>
      </c>
      <c r="D140" s="19" t="s">
        <v>280</v>
      </c>
      <c r="E140" s="19" t="s">
        <v>279</v>
      </c>
      <c r="F140" s="19" t="s">
        <v>280</v>
      </c>
      <c r="G140" s="19" t="s">
        <v>249</v>
      </c>
      <c r="K140" s="215" t="s">
        <v>396</v>
      </c>
      <c r="L140" s="172"/>
      <c r="M140" s="172"/>
      <c r="N140" s="172"/>
      <c r="O140" s="172"/>
      <c r="P140" s="173"/>
    </row>
    <row r="141" spans="1:16" ht="16.95" customHeight="1" x14ac:dyDescent="0.3">
      <c r="C141" s="19" t="s">
        <v>282</v>
      </c>
      <c r="D141" s="19" t="s">
        <v>282</v>
      </c>
      <c r="E141" s="19" t="s">
        <v>283</v>
      </c>
      <c r="F141" s="19" t="s">
        <v>283</v>
      </c>
      <c r="K141" s="215" t="s">
        <v>397</v>
      </c>
      <c r="L141" s="172"/>
      <c r="M141" s="172"/>
      <c r="N141" s="172"/>
      <c r="O141" s="172"/>
      <c r="P141" s="173"/>
    </row>
    <row r="142" spans="1:16" ht="16.95" customHeight="1" x14ac:dyDescent="0.3">
      <c r="A142" s="17">
        <f>N6</f>
        <v>53423.893152320547</v>
      </c>
      <c r="C142" s="92">
        <f>-J6</f>
        <v>-0.84799830400508802</v>
      </c>
      <c r="D142" s="92">
        <f>-K6</f>
        <v>0.52999894000318004</v>
      </c>
      <c r="E142" s="92">
        <f>J6</f>
        <v>0.84799830400508802</v>
      </c>
      <c r="F142" s="92">
        <f>K6</f>
        <v>-0.52999894000318004</v>
      </c>
      <c r="G142" s="96">
        <f>IFERROR(VLOOKUP(H142, A$130:D$135, 4, FALSE), 0)</f>
        <v>0.12856927086251541</v>
      </c>
      <c r="H142" s="12" t="str">
        <f>"D" &amp; C12 &amp; "X"</f>
        <v>D1X</v>
      </c>
      <c r="K142" s="215" t="s">
        <v>398</v>
      </c>
      <c r="L142" s="172"/>
      <c r="M142" s="172"/>
      <c r="N142" s="172"/>
      <c r="O142" s="172"/>
      <c r="P142" s="173"/>
    </row>
    <row r="143" spans="1:16" ht="16.95" customHeight="1" x14ac:dyDescent="0.3">
      <c r="A143" s="99" t="s">
        <v>285</v>
      </c>
      <c r="B143" s="97">
        <f>(MMULT(C142:F142, G142:G145)*A142)</f>
        <v>-7134.4482311178044</v>
      </c>
      <c r="G143" s="96">
        <f>IFERROR(VLOOKUP(H143, A$130:D$135, 4, FALSE), 0)</f>
        <v>-0.35356134621104063</v>
      </c>
      <c r="H143" s="12" t="str">
        <f>"D" &amp; D12 &amp; "Y"</f>
        <v>D1Y</v>
      </c>
      <c r="K143" s="215" t="s">
        <v>399</v>
      </c>
      <c r="L143" s="172"/>
      <c r="M143" s="172"/>
      <c r="N143" s="172"/>
      <c r="O143" s="172"/>
      <c r="P143" s="173"/>
    </row>
    <row r="144" spans="1:16" ht="16.95" customHeight="1" x14ac:dyDescent="0.3">
      <c r="G144" s="96">
        <f>IFERROR(VLOOKUP(H144, A$130:D$135, 4, FALSE), 0)</f>
        <v>0.19206349206349205</v>
      </c>
      <c r="H144" s="12" t="str">
        <f>"D" &amp; E12 &amp; "X"</f>
        <v>D2X</v>
      </c>
      <c r="K144" s="215" t="s">
        <v>400</v>
      </c>
      <c r="L144" s="172"/>
      <c r="M144" s="172"/>
      <c r="N144" s="172"/>
      <c r="O144" s="172"/>
      <c r="P144" s="173"/>
    </row>
    <row r="145" spans="1:16" ht="16.95" customHeight="1" x14ac:dyDescent="0.3">
      <c r="G145" s="96">
        <f>IFERROR(VLOOKUP(H145, A$130:D$135, 4, FALSE), 0)</f>
        <v>0</v>
      </c>
      <c r="H145" s="12" t="str">
        <f>"D" &amp; F12 &amp; "Y"</f>
        <v>D2Y</v>
      </c>
      <c r="K145" s="215" t="s">
        <v>401</v>
      </c>
      <c r="L145" s="172"/>
      <c r="M145" s="172"/>
      <c r="N145" s="172"/>
      <c r="O145" s="172"/>
      <c r="P145" s="173"/>
    </row>
    <row r="146" spans="1:16" ht="16.95" customHeight="1" x14ac:dyDescent="0.3">
      <c r="B146" s="99" t="s">
        <v>273</v>
      </c>
      <c r="C146" s="178" t="str">
        <f>IF(B143&gt;0.001,"BARRA A TRACCIÓN (+)",IF(B143&lt;-0.001,"BARRA A COMPRESIÓN (-)","BARRA DE FUERZA NULA"))</f>
        <v>BARRA A COMPRESIÓN (-)</v>
      </c>
      <c r="D146" s="172"/>
      <c r="E146" s="172"/>
      <c r="F146" s="173"/>
      <c r="K146" s="215" t="s">
        <v>402</v>
      </c>
      <c r="L146" s="172"/>
      <c r="M146" s="172"/>
      <c r="N146" s="172"/>
      <c r="O146" s="172"/>
      <c r="P146" s="173"/>
    </row>
    <row r="147" spans="1:16" ht="16.95" customHeight="1" x14ac:dyDescent="0.3">
      <c r="K147" s="215" t="s">
        <v>403</v>
      </c>
      <c r="L147" s="172"/>
      <c r="M147" s="172"/>
      <c r="N147" s="172"/>
      <c r="O147" s="172"/>
      <c r="P147" s="173"/>
    </row>
    <row r="148" spans="1:16" ht="16.95" customHeight="1" x14ac:dyDescent="0.3">
      <c r="A148" s="19" t="s">
        <v>278</v>
      </c>
      <c r="C148" s="19" t="s">
        <v>279</v>
      </c>
      <c r="D148" s="19" t="s">
        <v>280</v>
      </c>
      <c r="E148" s="19" t="s">
        <v>279</v>
      </c>
      <c r="F148" s="19" t="s">
        <v>280</v>
      </c>
      <c r="G148" s="19" t="s">
        <v>249</v>
      </c>
      <c r="K148" s="215"/>
      <c r="L148" s="172"/>
      <c r="M148" s="172"/>
      <c r="N148" s="172"/>
      <c r="O148" s="172"/>
      <c r="P148" s="173"/>
    </row>
    <row r="149" spans="1:16" ht="16.95" customHeight="1" x14ac:dyDescent="0.3">
      <c r="C149" s="19" t="s">
        <v>282</v>
      </c>
      <c r="D149" s="19" t="s">
        <v>282</v>
      </c>
      <c r="E149" s="19" t="s">
        <v>283</v>
      </c>
      <c r="F149" s="19" t="s">
        <v>283</v>
      </c>
      <c r="K149" s="215"/>
      <c r="L149" s="172"/>
      <c r="M149" s="172"/>
      <c r="N149" s="172"/>
      <c r="O149" s="172"/>
      <c r="P149" s="173"/>
    </row>
    <row r="150" spans="1:16" ht="16.95" customHeight="1" x14ac:dyDescent="0.3">
      <c r="A150" s="17">
        <f>N7</f>
        <v>31500</v>
      </c>
      <c r="C150" s="92">
        <f>-J7</f>
        <v>1</v>
      </c>
      <c r="D150" s="92">
        <f>-K7</f>
        <v>0</v>
      </c>
      <c r="E150" s="92">
        <f>J7</f>
        <v>-1</v>
      </c>
      <c r="F150" s="92">
        <f>K7</f>
        <v>0</v>
      </c>
      <c r="G150" s="96">
        <f>IFERROR(VLOOKUP(H150, A$130:D$135, 4, FALSE), 0)</f>
        <v>0.19206349206349205</v>
      </c>
      <c r="H150" s="12" t="str">
        <f>"D" &amp; C13 &amp; "X"</f>
        <v>D2X</v>
      </c>
      <c r="K150" s="215"/>
      <c r="L150" s="172"/>
      <c r="M150" s="172"/>
      <c r="N150" s="172"/>
      <c r="O150" s="172"/>
      <c r="P150" s="173"/>
    </row>
    <row r="151" spans="1:16" ht="16.95" customHeight="1" x14ac:dyDescent="0.3">
      <c r="A151" s="99" t="s">
        <v>286</v>
      </c>
      <c r="B151" s="97">
        <f>(MMULT(C150:F150, G150:G153)*A150)</f>
        <v>6049.9999999999991</v>
      </c>
      <c r="G151" s="96">
        <f>IFERROR(VLOOKUP(H151, A$130:D$135, 4, FALSE), 0)</f>
        <v>0</v>
      </c>
      <c r="H151" s="12" t="str">
        <f>"D" &amp; D13 &amp; "Y"</f>
        <v>D2Y</v>
      </c>
      <c r="K151" s="215"/>
      <c r="L151" s="172"/>
      <c r="M151" s="172"/>
      <c r="N151" s="172"/>
      <c r="O151" s="172"/>
      <c r="P151" s="173"/>
    </row>
    <row r="152" spans="1:16" ht="16.95" customHeight="1" x14ac:dyDescent="0.3">
      <c r="G152" s="96">
        <f>IFERROR(VLOOKUP(H152, A$130:D$135, 4, FALSE), 0)</f>
        <v>0</v>
      </c>
      <c r="H152" s="12" t="str">
        <f>"D" &amp; E13 &amp; "X"</f>
        <v>D3X</v>
      </c>
      <c r="K152" s="215"/>
      <c r="L152" s="172"/>
      <c r="M152" s="172"/>
      <c r="N152" s="172"/>
      <c r="O152" s="172"/>
      <c r="P152" s="173"/>
    </row>
    <row r="153" spans="1:16" ht="16.95" customHeight="1" x14ac:dyDescent="0.3">
      <c r="G153" s="96">
        <f>IFERROR(VLOOKUP(H153, A$130:D$135, 4, FALSE), 0)</f>
        <v>0</v>
      </c>
      <c r="H153" s="12" t="str">
        <f>"D" &amp; F13 &amp; "Y"</f>
        <v>D3Y</v>
      </c>
      <c r="K153" s="215"/>
      <c r="L153" s="172"/>
      <c r="M153" s="172"/>
      <c r="N153" s="172"/>
      <c r="O153" s="172"/>
      <c r="P153" s="173"/>
    </row>
    <row r="154" spans="1:16" ht="16.95" customHeight="1" x14ac:dyDescent="0.3">
      <c r="B154" s="99" t="s">
        <v>273</v>
      </c>
      <c r="C154" s="178" t="str">
        <f>IF(B151&gt;0.001,"BARRA A TRACCIÓN (+)",IF(B151&lt;-0.001,"BARRA A COMPRESIÓN (-)","BARRA DE FUERZA NULA"))</f>
        <v>BARRA A TRACCIÓN (+)</v>
      </c>
      <c r="D154" s="172"/>
      <c r="E154" s="172"/>
      <c r="F154" s="173"/>
      <c r="K154" s="215"/>
      <c r="L154" s="172"/>
      <c r="M154" s="172"/>
      <c r="N154" s="172"/>
      <c r="O154" s="172"/>
      <c r="P154" s="173"/>
    </row>
    <row r="155" spans="1:16" ht="16.95" customHeight="1" x14ac:dyDescent="0.3">
      <c r="K155" s="215"/>
      <c r="L155" s="172"/>
      <c r="M155" s="172"/>
      <c r="N155" s="172"/>
      <c r="O155" s="172"/>
      <c r="P155" s="173"/>
    </row>
    <row r="156" spans="1:16" ht="16.95" customHeight="1" x14ac:dyDescent="0.3">
      <c r="A156" s="19" t="s">
        <v>278</v>
      </c>
      <c r="C156" s="19" t="s">
        <v>279</v>
      </c>
      <c r="D156" s="19" t="s">
        <v>280</v>
      </c>
      <c r="E156" s="19" t="s">
        <v>279</v>
      </c>
      <c r="F156" s="19" t="s">
        <v>280</v>
      </c>
      <c r="G156" s="19" t="s">
        <v>249</v>
      </c>
      <c r="K156" s="215"/>
      <c r="L156" s="172"/>
      <c r="M156" s="172"/>
      <c r="N156" s="172"/>
      <c r="O156" s="172"/>
      <c r="P156" s="173"/>
    </row>
    <row r="157" spans="1:16" ht="16.95" customHeight="1" x14ac:dyDescent="0.3">
      <c r="C157" s="19" t="s">
        <v>282</v>
      </c>
      <c r="D157" s="19" t="s">
        <v>282</v>
      </c>
      <c r="E157" s="19" t="s">
        <v>283</v>
      </c>
      <c r="F157" s="19" t="s">
        <v>283</v>
      </c>
      <c r="K157" s="215"/>
      <c r="L157" s="172"/>
      <c r="M157" s="172"/>
      <c r="N157" s="172"/>
      <c r="O157" s="172"/>
      <c r="P157" s="173"/>
    </row>
    <row r="158" spans="1:16" ht="16.95" customHeight="1" x14ac:dyDescent="0.3">
      <c r="A158" s="17">
        <f>N8</f>
        <v>53423.893152320547</v>
      </c>
      <c r="C158" s="92">
        <f>-J8</f>
        <v>-0.84799830400508802</v>
      </c>
      <c r="D158" s="92">
        <f>-K8</f>
        <v>-0.52999894000318004</v>
      </c>
      <c r="E158" s="92">
        <f>J8</f>
        <v>0.84799830400508802</v>
      </c>
      <c r="F158" s="92">
        <f>K8</f>
        <v>0.52999894000318004</v>
      </c>
      <c r="G158" s="96">
        <f>IFERROR(VLOOKUP(H158, A$130:D$135, 4, FALSE), 0)</f>
        <v>0</v>
      </c>
      <c r="H158" s="12" t="str">
        <f>"D" &amp; C14 &amp; "X"</f>
        <v>D3X</v>
      </c>
      <c r="K158" s="215"/>
      <c r="L158" s="172"/>
      <c r="M158" s="172"/>
      <c r="N158" s="172"/>
      <c r="O158" s="172"/>
      <c r="P158" s="173"/>
    </row>
    <row r="159" spans="1:16" ht="16.95" customHeight="1" x14ac:dyDescent="0.3">
      <c r="A159" s="99" t="s">
        <v>287</v>
      </c>
      <c r="B159" s="97">
        <f>(MMULT(C158:F158, G158:G161)*A158)</f>
        <v>-4186.3291273501163</v>
      </c>
      <c r="G159" s="96">
        <f>IFERROR(VLOOKUP(H159, A$130:D$135, 4, FALSE), 0)</f>
        <v>0</v>
      </c>
      <c r="H159" s="12" t="str">
        <f>"D" &amp; D14 &amp; "Y"</f>
        <v>D3Y</v>
      </c>
      <c r="K159" s="215"/>
      <c r="L159" s="172"/>
      <c r="M159" s="172"/>
      <c r="N159" s="172"/>
      <c r="O159" s="172"/>
      <c r="P159" s="173"/>
    </row>
    <row r="160" spans="1:16" ht="16.95" customHeight="1" x14ac:dyDescent="0.3">
      <c r="G160" s="96">
        <f>IFERROR(VLOOKUP(H160, A$130:D$135, 4, FALSE), 0)</f>
        <v>0.12856927086251541</v>
      </c>
      <c r="H160" s="12" t="str">
        <f>"D" &amp; E14 &amp; "X"</f>
        <v>D1X</v>
      </c>
      <c r="K160" s="215"/>
      <c r="L160" s="172"/>
      <c r="M160" s="172"/>
      <c r="N160" s="172"/>
      <c r="O160" s="172"/>
      <c r="P160" s="173"/>
    </row>
    <row r="161" spans="2:16" ht="16.95" customHeight="1" x14ac:dyDescent="0.3">
      <c r="G161" s="96">
        <f>IFERROR(VLOOKUP(H161, A$130:D$135, 4, FALSE), 0)</f>
        <v>-0.35356134621104063</v>
      </c>
      <c r="H161" s="12" t="str">
        <f>"D" &amp; F14 &amp; "Y"</f>
        <v>D1Y</v>
      </c>
      <c r="K161" s="215"/>
      <c r="L161" s="172"/>
      <c r="M161" s="172"/>
      <c r="N161" s="172"/>
      <c r="O161" s="172"/>
      <c r="P161" s="173"/>
    </row>
    <row r="162" spans="2:16" ht="16.95" customHeight="1" x14ac:dyDescent="0.3">
      <c r="B162" s="99" t="s">
        <v>273</v>
      </c>
      <c r="C162" s="178" t="str">
        <f>IF(B159&gt;0.001,"BARRA A TRACCIÓN (+)",IF(B159&lt;-0.001,"BARRA A COMPRESIÓN (-)","BARRA DE FUERZA NULA"))</f>
        <v>BARRA A COMPRESIÓN (-)</v>
      </c>
      <c r="D162" s="172"/>
      <c r="E162" s="172"/>
      <c r="F162" s="173"/>
      <c r="K162" s="215"/>
      <c r="L162" s="172"/>
      <c r="M162" s="172"/>
      <c r="N162" s="172"/>
      <c r="O162" s="172"/>
      <c r="P162" s="173"/>
    </row>
    <row r="163" spans="2:16" ht="16.95" customHeight="1" x14ac:dyDescent="0.3">
      <c r="K163" s="215"/>
      <c r="L163" s="172"/>
      <c r="M163" s="172"/>
      <c r="N163" s="172"/>
      <c r="O163" s="172"/>
      <c r="P163" s="173"/>
    </row>
    <row r="165" spans="2:16" ht="22.05" customHeight="1" x14ac:dyDescent="0.3">
      <c r="B165" s="217" t="s">
        <v>404</v>
      </c>
      <c r="C165" s="175"/>
      <c r="D165" s="175"/>
      <c r="E165" s="175"/>
      <c r="F165" s="175"/>
      <c r="G165" s="175"/>
      <c r="H165" s="17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471.69905660283018</v>
      </c>
      <c r="F167" s="9">
        <f>L6</f>
        <v>12</v>
      </c>
      <c r="G167" s="97">
        <f>B143</f>
        <v>-7134.4482311178044</v>
      </c>
      <c r="H167" s="84" t="str">
        <f>C146</f>
        <v>BARRA A COMPRESIÓN (-)</v>
      </c>
    </row>
    <row r="168" spans="2:16" ht="19.95" customHeight="1" x14ac:dyDescent="0.3">
      <c r="B168" s="25">
        <v>2</v>
      </c>
      <c r="C168" s="86">
        <f>C13</f>
        <v>2</v>
      </c>
      <c r="D168" s="86">
        <f>E13</f>
        <v>3</v>
      </c>
      <c r="E168" s="9">
        <f>I7</f>
        <v>800</v>
      </c>
      <c r="F168" s="9">
        <f>L7</f>
        <v>12</v>
      </c>
      <c r="G168" s="97">
        <f>B151</f>
        <v>6049.9999999999991</v>
      </c>
      <c r="H168" s="84" t="str">
        <f>C154</f>
        <v>BARRA A TRACCIÓN (+)</v>
      </c>
    </row>
    <row r="169" spans="2:16" ht="19.95" customHeight="1" x14ac:dyDescent="0.3">
      <c r="B169" s="26">
        <v>3</v>
      </c>
      <c r="C169" s="86">
        <f>C14</f>
        <v>3</v>
      </c>
      <c r="D169" s="86">
        <f>E14</f>
        <v>1</v>
      </c>
      <c r="E169" s="9">
        <f>I8</f>
        <v>471.69905660283018</v>
      </c>
      <c r="F169" s="9">
        <f>L8</f>
        <v>12</v>
      </c>
      <c r="G169" s="97">
        <f>B159</f>
        <v>-4186.3291273501163</v>
      </c>
      <c r="H169" s="84" t="str">
        <f>C162</f>
        <v>BARRA A COMPRESIÓN (-)</v>
      </c>
    </row>
  </sheetData>
  <mergeCells count="102">
    <mergeCell ref="C162:F162"/>
    <mergeCell ref="K78:P78"/>
    <mergeCell ref="K85:P85"/>
    <mergeCell ref="K100:P100"/>
    <mergeCell ref="K94:P94"/>
    <mergeCell ref="K75:P7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K105:P105"/>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48"/>
  <sheetViews>
    <sheetView topLeftCell="A6" zoomScale="69"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425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1000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200</v>
      </c>
      <c r="AB9" s="20">
        <f>IF(H29="","",H29)</f>
        <v>400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200</v>
      </c>
      <c r="AB11" s="20">
        <f>IF(F30="","",F30)</f>
        <v>400</v>
      </c>
      <c r="AC11" t="s">
        <v>324</v>
      </c>
    </row>
    <row r="12" spans="2:29" x14ac:dyDescent="0.3">
      <c r="AA12" s="20">
        <f>IF(G30="","",G30)</f>
        <v>1000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426</v>
      </c>
      <c r="K14" s="172"/>
      <c r="L14" s="172"/>
      <c r="M14" s="172"/>
      <c r="N14" s="172"/>
      <c r="O14" s="173"/>
      <c r="AA14" s="20">
        <f>IF(E31="","",E31)</f>
        <v>200</v>
      </c>
      <c r="AB14" s="20">
        <f>IF(F31="","",F31)</f>
        <v>400</v>
      </c>
      <c r="AC14" t="s">
        <v>328</v>
      </c>
    </row>
    <row r="15" spans="2:29" ht="19.05" customHeight="1" x14ac:dyDescent="0.3">
      <c r="B15" s="89">
        <v>2</v>
      </c>
      <c r="C15" s="21">
        <v>1000</v>
      </c>
      <c r="D15" s="21">
        <v>0</v>
      </c>
      <c r="E15" s="21" t="s">
        <v>329</v>
      </c>
      <c r="F15" s="88">
        <f t="shared" si="0"/>
        <v>0</v>
      </c>
      <c r="G15" s="88">
        <f t="shared" si="1"/>
        <v>1</v>
      </c>
      <c r="H15" s="22">
        <v>0</v>
      </c>
      <c r="I15" s="22">
        <v>0</v>
      </c>
      <c r="J15" s="205" t="s">
        <v>427</v>
      </c>
      <c r="K15" s="172"/>
      <c r="L15" s="172"/>
      <c r="M15" s="172"/>
      <c r="N15" s="172"/>
      <c r="O15" s="173"/>
      <c r="AA15" s="20">
        <f>IF(G31="","",G31)</f>
        <v>800</v>
      </c>
      <c r="AB15" s="20">
        <f>IF(H31="","",H31)</f>
        <v>800</v>
      </c>
      <c r="AC15" t="s">
        <v>331</v>
      </c>
    </row>
    <row r="16" spans="2:29" ht="19.05" customHeight="1" x14ac:dyDescent="0.3">
      <c r="B16" s="89">
        <v>3</v>
      </c>
      <c r="C16" s="21">
        <v>200</v>
      </c>
      <c r="D16" s="21">
        <v>400</v>
      </c>
      <c r="E16" s="21" t="s">
        <v>326</v>
      </c>
      <c r="F16" s="88">
        <f t="shared" si="0"/>
        <v>0</v>
      </c>
      <c r="G16" s="88">
        <f t="shared" si="1"/>
        <v>0</v>
      </c>
      <c r="H16" s="22">
        <v>7800</v>
      </c>
      <c r="I16" s="22">
        <v>-7800</v>
      </c>
      <c r="J16" s="205" t="s">
        <v>428</v>
      </c>
      <c r="K16" s="172"/>
      <c r="L16" s="172"/>
      <c r="M16" s="172"/>
      <c r="N16" s="172"/>
      <c r="O16" s="173"/>
    </row>
    <row r="17" spans="2:29" ht="19.05" customHeight="1" x14ac:dyDescent="0.3">
      <c r="B17" s="89">
        <v>4</v>
      </c>
      <c r="C17" s="21">
        <v>800</v>
      </c>
      <c r="D17" s="21">
        <v>800</v>
      </c>
      <c r="E17" s="21" t="s">
        <v>326</v>
      </c>
      <c r="F17" s="88">
        <f t="shared" si="0"/>
        <v>0</v>
      </c>
      <c r="G17" s="88">
        <f t="shared" si="1"/>
        <v>0</v>
      </c>
      <c r="H17" s="22">
        <v>6000</v>
      </c>
      <c r="I17" s="22">
        <v>-6000</v>
      </c>
      <c r="J17" s="205" t="s">
        <v>429</v>
      </c>
      <c r="K17" s="172"/>
      <c r="L17" s="172"/>
      <c r="M17" s="172"/>
      <c r="N17" s="172"/>
      <c r="O17" s="173"/>
      <c r="AA17" s="20">
        <f>IF(E32="","",E32)</f>
        <v>800</v>
      </c>
      <c r="AB17" s="20">
        <f>IF(F32="","",F32)</f>
        <v>800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c r="Q25" s="42" t="s">
        <v>430</v>
      </c>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1000</v>
      </c>
      <c r="H28" s="5">
        <f t="shared" ref="H28:H42" si="5">IF(OR(ISBLANK(D28),D28=""),"",VLOOKUP(D28,$B$14:$D$23,3,FALSE))</f>
        <v>0</v>
      </c>
      <c r="I28" s="9">
        <f t="shared" ref="I28:I42" si="6">IF(G28="","",G28-E28)</f>
        <v>1000</v>
      </c>
      <c r="J28" s="9">
        <f t="shared" ref="J28:J42" si="7">IF(H28="","",H28-F28)</f>
        <v>0</v>
      </c>
      <c r="K28" s="9">
        <f t="shared" ref="K28:K42" si="8">IF(I28="","",SQRT(I28^2+J28^2))</f>
        <v>1000</v>
      </c>
      <c r="L28" s="92">
        <f t="shared" ref="L28:L42" si="9">IF(K28="","",I28/K28)</f>
        <v>1</v>
      </c>
      <c r="M28" s="92">
        <f t="shared" ref="M28:M42" si="10">IF(K28="","",J28/K28)</f>
        <v>0</v>
      </c>
      <c r="N28" s="22">
        <v>16</v>
      </c>
      <c r="O28" s="24">
        <v>120000</v>
      </c>
    </row>
    <row r="29" spans="2:29" ht="19.05" customHeight="1" x14ac:dyDescent="0.3">
      <c r="B29" s="89">
        <v>2</v>
      </c>
      <c r="C29" s="23">
        <v>1</v>
      </c>
      <c r="D29" s="23">
        <v>3</v>
      </c>
      <c r="E29" s="5">
        <f t="shared" si="2"/>
        <v>0</v>
      </c>
      <c r="F29" s="5">
        <f t="shared" si="3"/>
        <v>0</v>
      </c>
      <c r="G29" s="5">
        <f t="shared" si="4"/>
        <v>200</v>
      </c>
      <c r="H29" s="5">
        <f t="shared" si="5"/>
        <v>400</v>
      </c>
      <c r="I29" s="9">
        <f t="shared" si="6"/>
        <v>200</v>
      </c>
      <c r="J29" s="9">
        <f t="shared" si="7"/>
        <v>400</v>
      </c>
      <c r="K29" s="9">
        <f t="shared" si="8"/>
        <v>447.21359549995793</v>
      </c>
      <c r="L29" s="92">
        <f t="shared" si="9"/>
        <v>0.44721359549995793</v>
      </c>
      <c r="M29" s="92">
        <f t="shared" si="10"/>
        <v>0.89442719099991586</v>
      </c>
      <c r="N29" s="22">
        <v>16</v>
      </c>
      <c r="O29" s="24">
        <v>120000</v>
      </c>
      <c r="AA29" s="20" t="str">
        <f>IF(E36="","",E36)</f>
        <v/>
      </c>
      <c r="AB29" s="20" t="str">
        <f>IF(F36="","",F36)</f>
        <v/>
      </c>
      <c r="AC29" t="s">
        <v>353</v>
      </c>
    </row>
    <row r="30" spans="2:29" ht="19.05" customHeight="1" x14ac:dyDescent="0.3">
      <c r="B30" s="89">
        <v>3</v>
      </c>
      <c r="C30" s="23">
        <v>3</v>
      </c>
      <c r="D30" s="23">
        <v>2</v>
      </c>
      <c r="E30" s="5">
        <f t="shared" si="2"/>
        <v>200</v>
      </c>
      <c r="F30" s="5">
        <f t="shared" si="3"/>
        <v>400</v>
      </c>
      <c r="G30" s="5">
        <f t="shared" si="4"/>
        <v>1000</v>
      </c>
      <c r="H30" s="5">
        <f t="shared" si="5"/>
        <v>0</v>
      </c>
      <c r="I30" s="9">
        <f t="shared" si="6"/>
        <v>800</v>
      </c>
      <c r="J30" s="9">
        <f t="shared" si="7"/>
        <v>-400</v>
      </c>
      <c r="K30" s="9">
        <f t="shared" si="8"/>
        <v>894.42719099991587</v>
      </c>
      <c r="L30" s="92">
        <f t="shared" si="9"/>
        <v>0.89442719099991586</v>
      </c>
      <c r="M30" s="92">
        <f t="shared" si="10"/>
        <v>-0.44721359549995793</v>
      </c>
      <c r="N30" s="22">
        <v>16</v>
      </c>
      <c r="O30" s="24">
        <v>120000</v>
      </c>
      <c r="AA30" s="20" t="str">
        <f>IF(G36="","",G36)</f>
        <v/>
      </c>
      <c r="AB30" s="20" t="str">
        <f>IF(H36="","",H36)</f>
        <v/>
      </c>
      <c r="AC30" t="s">
        <v>354</v>
      </c>
    </row>
    <row r="31" spans="2:29" ht="19.05" customHeight="1" x14ac:dyDescent="0.3">
      <c r="B31" s="89">
        <v>4</v>
      </c>
      <c r="C31" s="23">
        <v>3</v>
      </c>
      <c r="D31" s="23">
        <v>4</v>
      </c>
      <c r="E31" s="5">
        <f t="shared" si="2"/>
        <v>200</v>
      </c>
      <c r="F31" s="5">
        <f t="shared" si="3"/>
        <v>400</v>
      </c>
      <c r="G31" s="5">
        <f t="shared" si="4"/>
        <v>800</v>
      </c>
      <c r="H31" s="5">
        <f t="shared" si="5"/>
        <v>800</v>
      </c>
      <c r="I31" s="9">
        <f t="shared" si="6"/>
        <v>600</v>
      </c>
      <c r="J31" s="9">
        <f t="shared" si="7"/>
        <v>400</v>
      </c>
      <c r="K31" s="9">
        <f t="shared" si="8"/>
        <v>721.11025509279784</v>
      </c>
      <c r="L31" s="92">
        <f t="shared" si="9"/>
        <v>0.83205029433784372</v>
      </c>
      <c r="M31" s="92">
        <f t="shared" si="10"/>
        <v>0.55470019622522915</v>
      </c>
      <c r="N31" s="22">
        <v>16</v>
      </c>
      <c r="O31" s="24">
        <v>120000</v>
      </c>
    </row>
    <row r="32" spans="2:29" ht="19.05" customHeight="1" x14ac:dyDescent="0.3">
      <c r="B32" s="89">
        <v>5</v>
      </c>
      <c r="C32" s="23">
        <v>4</v>
      </c>
      <c r="D32" s="23">
        <v>2</v>
      </c>
      <c r="E32" s="5">
        <f t="shared" si="2"/>
        <v>800</v>
      </c>
      <c r="F32" s="5">
        <f t="shared" si="3"/>
        <v>800</v>
      </c>
      <c r="G32" s="5">
        <f t="shared" si="4"/>
        <v>1000</v>
      </c>
      <c r="H32" s="5">
        <f t="shared" si="5"/>
        <v>0</v>
      </c>
      <c r="I32" s="9">
        <f t="shared" si="6"/>
        <v>200</v>
      </c>
      <c r="J32" s="9">
        <f t="shared" si="7"/>
        <v>-800</v>
      </c>
      <c r="K32" s="9">
        <f t="shared" si="8"/>
        <v>824.62112512353212</v>
      </c>
      <c r="L32" s="92">
        <f t="shared" si="9"/>
        <v>0.24253562503633297</v>
      </c>
      <c r="M32" s="92">
        <f t="shared" si="10"/>
        <v>-0.97014250014533188</v>
      </c>
      <c r="N32" s="22">
        <v>16</v>
      </c>
      <c r="O32" s="24">
        <v>120000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D00-000000000000}">
      <formula1>"Fijo (articulado),Rodillo Y (despl. X libre),Rodillo X (despl. Y libre),Libre (0 reac.)"</formula1>
    </dataValidation>
  </dataValidation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49"/>
  <sheetViews>
    <sheetView topLeftCell="A165"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431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GRAFICA_06!E28</f>
        <v>0</v>
      </c>
      <c r="D6" s="22">
        <f>GRAFICA_06!F28</f>
        <v>0</v>
      </c>
      <c r="E6" s="22">
        <f>GRAFICA_06!G28</f>
        <v>1000</v>
      </c>
      <c r="F6" s="22">
        <f>GRAFICA_06!H28</f>
        <v>0</v>
      </c>
      <c r="G6" s="9">
        <f t="shared" ref="G6:H10" si="0">E6-C6</f>
        <v>1000</v>
      </c>
      <c r="H6" s="9">
        <f t="shared" si="0"/>
        <v>0</v>
      </c>
      <c r="I6" s="9">
        <f>SQRT(G6*G6+H6*H6)</f>
        <v>1000</v>
      </c>
      <c r="J6" s="92">
        <f>G6/I6</f>
        <v>1</v>
      </c>
      <c r="K6" s="92">
        <f>H6/I6</f>
        <v>0</v>
      </c>
      <c r="L6" s="22">
        <f>GRAFICA_06!N28</f>
        <v>16</v>
      </c>
      <c r="M6" s="22">
        <f>GRAFICA_06!O28</f>
        <v>120000</v>
      </c>
      <c r="N6" s="6">
        <f>L6*M6/I6</f>
        <v>1920</v>
      </c>
    </row>
    <row r="7" spans="2:14" ht="19.05" customHeight="1" x14ac:dyDescent="0.3">
      <c r="B7" s="25">
        <v>2</v>
      </c>
      <c r="C7" s="22">
        <f>GRAFICA_06!E29</f>
        <v>0</v>
      </c>
      <c r="D7" s="22">
        <f>GRAFICA_06!F29</f>
        <v>0</v>
      </c>
      <c r="E7" s="22">
        <f>GRAFICA_06!G29</f>
        <v>200</v>
      </c>
      <c r="F7" s="22">
        <f>GRAFICA_06!H29</f>
        <v>400</v>
      </c>
      <c r="G7" s="9">
        <f t="shared" si="0"/>
        <v>200</v>
      </c>
      <c r="H7" s="9">
        <f t="shared" si="0"/>
        <v>400</v>
      </c>
      <c r="I7" s="9">
        <f>SQRT(G7*G7+H7*H7)</f>
        <v>447.21359549995793</v>
      </c>
      <c r="J7" s="92">
        <f>G7/I7</f>
        <v>0.44721359549995793</v>
      </c>
      <c r="K7" s="92">
        <f>H7/I7</f>
        <v>0.89442719099991586</v>
      </c>
      <c r="L7" s="22">
        <f>GRAFICA_06!N29</f>
        <v>16</v>
      </c>
      <c r="M7" s="22">
        <f>GRAFICA_06!O29</f>
        <v>120000</v>
      </c>
      <c r="N7" s="6">
        <f>L7*M7/I7</f>
        <v>4293.250516799596</v>
      </c>
    </row>
    <row r="8" spans="2:14" ht="19.05" customHeight="1" x14ac:dyDescent="0.3">
      <c r="B8" s="26">
        <v>3</v>
      </c>
      <c r="C8" s="22">
        <f>GRAFICA_06!E30</f>
        <v>200</v>
      </c>
      <c r="D8" s="22">
        <f>GRAFICA_06!F30</f>
        <v>400</v>
      </c>
      <c r="E8" s="22">
        <f>GRAFICA_06!G30</f>
        <v>1000</v>
      </c>
      <c r="F8" s="22">
        <f>GRAFICA_06!H30</f>
        <v>0</v>
      </c>
      <c r="G8" s="9">
        <f t="shared" si="0"/>
        <v>800</v>
      </c>
      <c r="H8" s="9">
        <f t="shared" si="0"/>
        <v>-400</v>
      </c>
      <c r="I8" s="9">
        <f>SQRT(G8*G8+H8*H8)</f>
        <v>894.42719099991587</v>
      </c>
      <c r="J8" s="92">
        <f>G8/I8</f>
        <v>0.89442719099991586</v>
      </c>
      <c r="K8" s="92">
        <f>H8/I8</f>
        <v>-0.44721359549995793</v>
      </c>
      <c r="L8" s="22">
        <f>GRAFICA_06!N30</f>
        <v>16</v>
      </c>
      <c r="M8" s="22">
        <f>GRAFICA_06!O30</f>
        <v>120000</v>
      </c>
      <c r="N8" s="6">
        <f>L8*M8/I8</f>
        <v>2146.625258399798</v>
      </c>
    </row>
    <row r="9" spans="2:14" ht="19.05" customHeight="1" x14ac:dyDescent="0.3">
      <c r="B9" s="43">
        <v>4</v>
      </c>
      <c r="C9" s="22">
        <f>GRAFICA_06!E31</f>
        <v>200</v>
      </c>
      <c r="D9" s="22">
        <f>GRAFICA_06!F31</f>
        <v>400</v>
      </c>
      <c r="E9" s="22">
        <f>GRAFICA_06!G31</f>
        <v>800</v>
      </c>
      <c r="F9" s="22">
        <f>GRAFICA_06!H31</f>
        <v>800</v>
      </c>
      <c r="G9" s="9">
        <f t="shared" si="0"/>
        <v>600</v>
      </c>
      <c r="H9" s="9">
        <f t="shared" si="0"/>
        <v>400</v>
      </c>
      <c r="I9" s="9">
        <f>SQRT(G9*G9+H9*H9)</f>
        <v>721.11025509279784</v>
      </c>
      <c r="J9" s="92">
        <f>G9/I9</f>
        <v>0.83205029433784372</v>
      </c>
      <c r="K9" s="92">
        <f>H9/I9</f>
        <v>0.55470019622522915</v>
      </c>
      <c r="L9" s="22">
        <f>GRAFICA_06!N31</f>
        <v>16</v>
      </c>
      <c r="M9" s="22">
        <f>GRAFICA_06!O31</f>
        <v>120000</v>
      </c>
      <c r="N9" s="6">
        <f>L9*M9/I9</f>
        <v>2662.5609418811</v>
      </c>
    </row>
    <row r="10" spans="2:14" ht="19.05" customHeight="1" x14ac:dyDescent="0.3">
      <c r="B10" s="44">
        <v>5</v>
      </c>
      <c r="C10" s="22">
        <f>GRAFICA_06!E32</f>
        <v>800</v>
      </c>
      <c r="D10" s="22">
        <f>GRAFICA_06!F32</f>
        <v>800</v>
      </c>
      <c r="E10" s="22">
        <f>GRAFICA_06!G32</f>
        <v>1000</v>
      </c>
      <c r="F10" s="22">
        <f>GRAFICA_06!H32</f>
        <v>0</v>
      </c>
      <c r="G10" s="9">
        <f t="shared" si="0"/>
        <v>200</v>
      </c>
      <c r="H10" s="9">
        <f t="shared" si="0"/>
        <v>-800</v>
      </c>
      <c r="I10" s="9">
        <f>SQRT(G10*G10+H10*H10)</f>
        <v>824.62112512353212</v>
      </c>
      <c r="J10" s="92">
        <f>G10/I10</f>
        <v>0.24253562503633297</v>
      </c>
      <c r="K10" s="92">
        <f>H10/I10</f>
        <v>-0.97014250014533188</v>
      </c>
      <c r="L10" s="22">
        <f>GRAFICA_06!N32</f>
        <v>16</v>
      </c>
      <c r="M10" s="22">
        <f>GRAFICA_06!O32</f>
        <v>120000</v>
      </c>
      <c r="N10" s="6">
        <f>L10*M10/I10</f>
        <v>2328.3420003487963</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GRAFICA_06!C28</f>
        <v>1</v>
      </c>
      <c r="D14" s="23">
        <f>GRAFICA_06!C28</f>
        <v>1</v>
      </c>
      <c r="E14" s="23">
        <f>GRAFICA_06!D28</f>
        <v>2</v>
      </c>
      <c r="F14" s="23">
        <f>GRAFICA_06!D28</f>
        <v>2</v>
      </c>
    </row>
    <row r="15" spans="2:14" ht="19.05" customHeight="1" x14ac:dyDescent="0.3">
      <c r="B15" s="25">
        <v>2</v>
      </c>
      <c r="C15" s="23">
        <f>GRAFICA_06!C29</f>
        <v>1</v>
      </c>
      <c r="D15" s="23">
        <f>GRAFICA_06!C29</f>
        <v>1</v>
      </c>
      <c r="E15" s="23">
        <f>GRAFICA_06!D29</f>
        <v>3</v>
      </c>
      <c r="F15" s="23">
        <f>GRAFICA_06!D29</f>
        <v>3</v>
      </c>
    </row>
    <row r="16" spans="2:14" ht="19.05" customHeight="1" x14ac:dyDescent="0.3">
      <c r="B16" s="26">
        <v>3</v>
      </c>
      <c r="C16" s="23">
        <f>GRAFICA_06!C30</f>
        <v>3</v>
      </c>
      <c r="D16" s="23">
        <f>GRAFICA_06!C30</f>
        <v>3</v>
      </c>
      <c r="E16" s="23">
        <f>GRAFICA_06!D30</f>
        <v>2</v>
      </c>
      <c r="F16" s="23">
        <f>GRAFICA_06!D30</f>
        <v>2</v>
      </c>
    </row>
    <row r="17" spans="1:10" ht="19.05" customHeight="1" x14ac:dyDescent="0.3">
      <c r="B17" s="43">
        <v>4</v>
      </c>
      <c r="C17" s="23">
        <f>GRAFICA_06!C31</f>
        <v>3</v>
      </c>
      <c r="D17" s="23">
        <f>GRAFICA_06!C31</f>
        <v>3</v>
      </c>
      <c r="E17" s="23">
        <f>GRAFICA_06!D31</f>
        <v>4</v>
      </c>
      <c r="F17" s="23">
        <f>GRAFICA_06!D31</f>
        <v>4</v>
      </c>
    </row>
    <row r="18" spans="1:10" ht="19.05" customHeight="1" x14ac:dyDescent="0.3">
      <c r="B18" s="44">
        <v>5</v>
      </c>
      <c r="C18" s="23">
        <f>GRAFICA_06!C32</f>
        <v>4</v>
      </c>
      <c r="D18" s="23">
        <f>GRAFICA_06!C32</f>
        <v>4</v>
      </c>
      <c r="E18" s="23">
        <f>GRAFICA_06!D32</f>
        <v>2</v>
      </c>
      <c r="F18" s="23">
        <f>GRAFICA_06!D32</f>
        <v>2</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1920</v>
      </c>
      <c r="C22" s="7">
        <f>J6*K6*N6</f>
        <v>0</v>
      </c>
      <c r="D22" s="7">
        <f>-B22</f>
        <v>-1920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-1920</v>
      </c>
      <c r="C24" s="7">
        <f>E22</f>
        <v>0</v>
      </c>
      <c r="D24" s="7">
        <f>B22</f>
        <v>1920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1920</v>
      </c>
      <c r="C28" s="8">
        <f t="shared" si="1"/>
        <v>0</v>
      </c>
      <c r="D28" s="8">
        <f t="shared" si="1"/>
        <v>-1920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-1920</v>
      </c>
      <c r="C30" s="8">
        <f t="shared" si="1"/>
        <v>0</v>
      </c>
      <c r="D30" s="8">
        <f t="shared" si="1"/>
        <v>1920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U3X</v>
      </c>
      <c r="E38" s="29" t="str">
        <f>CONCATENATE("U",F15,F$13)</f>
        <v>U3Y</v>
      </c>
    </row>
    <row r="39" spans="1:10" x14ac:dyDescent="0.3">
      <c r="B39" s="30">
        <f>J7*J7*N7</f>
        <v>858.65010335991917</v>
      </c>
      <c r="C39" s="30">
        <f>J7*K7*N7</f>
        <v>1717.3002067198383</v>
      </c>
      <c r="D39" s="30">
        <f>-B39</f>
        <v>-858.65010335991917</v>
      </c>
      <c r="E39" s="30">
        <f>-C39</f>
        <v>-1717.3002067198383</v>
      </c>
      <c r="F39" s="29" t="str">
        <f>B38</f>
        <v>U1X</v>
      </c>
    </row>
    <row r="40" spans="1:10" ht="16.8" customHeight="1" x14ac:dyDescent="0.3">
      <c r="A40" s="28" t="s">
        <v>191</v>
      </c>
      <c r="B40" s="30">
        <f>C39</f>
        <v>1717.3002067198383</v>
      </c>
      <c r="C40" s="30">
        <f>K7*K7*N7</f>
        <v>3434.6004134396767</v>
      </c>
      <c r="D40" s="30">
        <f>-B40</f>
        <v>-1717.3002067198383</v>
      </c>
      <c r="E40" s="30">
        <f>-C40</f>
        <v>-3434.6004134396767</v>
      </c>
      <c r="F40" s="29" t="str">
        <f>C38</f>
        <v>U1Y</v>
      </c>
    </row>
    <row r="41" spans="1:10" x14ac:dyDescent="0.3">
      <c r="B41" s="30">
        <f>D39</f>
        <v>-858.65010335991917</v>
      </c>
      <c r="C41" s="30">
        <f>E39</f>
        <v>-1717.3002067198383</v>
      </c>
      <c r="D41" s="30">
        <f>B39</f>
        <v>858.65010335991917</v>
      </c>
      <c r="E41" s="30">
        <f>C39</f>
        <v>1717.3002067198383</v>
      </c>
      <c r="F41" s="29" t="str">
        <f>D38</f>
        <v>U3X</v>
      </c>
    </row>
    <row r="42" spans="1:10" x14ac:dyDescent="0.3">
      <c r="B42" s="30">
        <f>D40</f>
        <v>-1717.3002067198383</v>
      </c>
      <c r="C42" s="30">
        <f>E40</f>
        <v>-3434.6004134396767</v>
      </c>
      <c r="D42" s="30">
        <f>B40</f>
        <v>1717.3002067198383</v>
      </c>
      <c r="E42" s="30">
        <f>C40</f>
        <v>3434.6004134396767</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858.65010335991917</v>
      </c>
      <c r="C45" s="31">
        <f t="shared" si="2"/>
        <v>1717.3002067198383</v>
      </c>
      <c r="D45" s="9">
        <f t="shared" si="2"/>
        <v>0</v>
      </c>
      <c r="E45" s="9">
        <f t="shared" si="2"/>
        <v>0</v>
      </c>
      <c r="F45" s="31">
        <f t="shared" si="2"/>
        <v>-858.65010335991917</v>
      </c>
      <c r="G45" s="31">
        <f t="shared" si="2"/>
        <v>-1717.3002067198383</v>
      </c>
      <c r="H45" s="9">
        <f t="shared" si="2"/>
        <v>0</v>
      </c>
      <c r="I45" s="9">
        <f t="shared" si="2"/>
        <v>0</v>
      </c>
      <c r="J45" s="29" t="s">
        <v>178</v>
      </c>
    </row>
    <row r="46" spans="1:10" ht="19.05" customHeight="1" x14ac:dyDescent="0.3">
      <c r="B46" s="31">
        <f t="shared" si="2"/>
        <v>1717.3002067198383</v>
      </c>
      <c r="C46" s="31">
        <f t="shared" si="2"/>
        <v>3434.6004134396767</v>
      </c>
      <c r="D46" s="9">
        <f t="shared" si="2"/>
        <v>0</v>
      </c>
      <c r="E46" s="9">
        <f t="shared" si="2"/>
        <v>0</v>
      </c>
      <c r="F46" s="31">
        <f t="shared" si="2"/>
        <v>-1717.3002067198383</v>
      </c>
      <c r="G46" s="31">
        <f t="shared" si="2"/>
        <v>-3434.6004134396767</v>
      </c>
      <c r="H46" s="9">
        <f t="shared" si="2"/>
        <v>0</v>
      </c>
      <c r="I46" s="9">
        <f t="shared" si="2"/>
        <v>0</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31">
        <f t="shared" si="2"/>
        <v>-858.65010335991917</v>
      </c>
      <c r="C49" s="31">
        <f t="shared" si="2"/>
        <v>-1717.3002067198383</v>
      </c>
      <c r="D49" s="9">
        <f t="shared" si="2"/>
        <v>0</v>
      </c>
      <c r="E49" s="9">
        <f t="shared" si="2"/>
        <v>0</v>
      </c>
      <c r="F49" s="31">
        <f t="shared" si="2"/>
        <v>858.65010335991917</v>
      </c>
      <c r="G49" s="31">
        <f t="shared" si="2"/>
        <v>1717.3002067198383</v>
      </c>
      <c r="H49" s="9">
        <f t="shared" si="2"/>
        <v>0</v>
      </c>
      <c r="I49" s="9">
        <f t="shared" si="2"/>
        <v>0</v>
      </c>
      <c r="J49" s="29" t="s">
        <v>182</v>
      </c>
    </row>
    <row r="50" spans="1:10" ht="19.05" customHeight="1" x14ac:dyDescent="0.3">
      <c r="B50" s="31">
        <f t="shared" si="2"/>
        <v>-1717.3002067198383</v>
      </c>
      <c r="C50" s="31">
        <f t="shared" si="2"/>
        <v>-3434.6004134396767</v>
      </c>
      <c r="D50" s="9">
        <f t="shared" si="2"/>
        <v>0</v>
      </c>
      <c r="E50" s="9">
        <f t="shared" si="2"/>
        <v>0</v>
      </c>
      <c r="F50" s="31">
        <f t="shared" si="2"/>
        <v>1717.3002067198383</v>
      </c>
      <c r="G50" s="31">
        <f t="shared" si="2"/>
        <v>3434.6004134396767</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U2X</v>
      </c>
      <c r="E55" s="32" t="str">
        <f>CONCATENATE("U",F16,F$13)</f>
        <v>U2Y</v>
      </c>
    </row>
    <row r="56" spans="1:10" x14ac:dyDescent="0.3">
      <c r="B56" s="33">
        <f>J8*J8*N8</f>
        <v>1717.3002067198383</v>
      </c>
      <c r="C56" s="33">
        <f>J8*K8*N8</f>
        <v>-858.65010335991917</v>
      </c>
      <c r="D56" s="33">
        <f>-B56</f>
        <v>-1717.3002067198383</v>
      </c>
      <c r="E56" s="33">
        <f>-C56</f>
        <v>858.65010335991917</v>
      </c>
      <c r="F56" s="32" t="str">
        <f>B55</f>
        <v>U3X</v>
      </c>
    </row>
    <row r="57" spans="1:10" ht="16.8" customHeight="1" x14ac:dyDescent="0.3">
      <c r="A57" s="28" t="s">
        <v>193</v>
      </c>
      <c r="B57" s="33">
        <f>C56</f>
        <v>-858.65010335991917</v>
      </c>
      <c r="C57" s="33">
        <f>K8*K8*N8</f>
        <v>429.32505167995959</v>
      </c>
      <c r="D57" s="33">
        <f>-B57</f>
        <v>858.65010335991917</v>
      </c>
      <c r="E57" s="33">
        <f>-C57</f>
        <v>-429.32505167995959</v>
      </c>
      <c r="F57" s="32" t="str">
        <f>C55</f>
        <v>U3Y</v>
      </c>
    </row>
    <row r="58" spans="1:10" x14ac:dyDescent="0.3">
      <c r="B58" s="33">
        <f>D56</f>
        <v>-1717.3002067198383</v>
      </c>
      <c r="C58" s="33">
        <f>E56</f>
        <v>858.65010335991917</v>
      </c>
      <c r="D58" s="33">
        <f>B56</f>
        <v>1717.3002067198383</v>
      </c>
      <c r="E58" s="33">
        <f>C56</f>
        <v>-858.65010335991917</v>
      </c>
      <c r="F58" s="32" t="str">
        <f>D55</f>
        <v>U2X</v>
      </c>
    </row>
    <row r="59" spans="1:10" x14ac:dyDescent="0.3">
      <c r="B59" s="33">
        <f>D57</f>
        <v>858.65010335991917</v>
      </c>
      <c r="C59" s="33">
        <f>E57</f>
        <v>-429.32505167995959</v>
      </c>
      <c r="D59" s="33">
        <f>B57</f>
        <v>-858.65010335991917</v>
      </c>
      <c r="E59" s="33">
        <f>C57</f>
        <v>429.32505167995959</v>
      </c>
      <c r="F59" s="32" t="str">
        <f>E55</f>
        <v>U2Y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34">
        <f t="shared" si="3"/>
        <v>1717.3002067198383</v>
      </c>
      <c r="E64" s="34">
        <f t="shared" si="3"/>
        <v>-858.65010335991917</v>
      </c>
      <c r="F64" s="34">
        <f t="shared" si="3"/>
        <v>-1717.3002067198383</v>
      </c>
      <c r="G64" s="34">
        <f t="shared" si="3"/>
        <v>858.65010335991917</v>
      </c>
      <c r="H64" s="9">
        <f t="shared" si="3"/>
        <v>0</v>
      </c>
      <c r="I64" s="9">
        <f t="shared" si="3"/>
        <v>0</v>
      </c>
      <c r="J64" s="32" t="s">
        <v>180</v>
      </c>
    </row>
    <row r="65" spans="1:10" ht="19.05" customHeight="1" x14ac:dyDescent="0.3">
      <c r="A65" s="28" t="s">
        <v>194</v>
      </c>
      <c r="B65" s="9">
        <f t="shared" si="3"/>
        <v>0</v>
      </c>
      <c r="C65" s="9">
        <f t="shared" si="3"/>
        <v>0</v>
      </c>
      <c r="D65" s="34">
        <f t="shared" si="3"/>
        <v>-858.65010335991917</v>
      </c>
      <c r="E65" s="34">
        <f t="shared" si="3"/>
        <v>429.32505167995959</v>
      </c>
      <c r="F65" s="34">
        <f t="shared" si="3"/>
        <v>858.65010335991917</v>
      </c>
      <c r="G65" s="34">
        <f t="shared" si="3"/>
        <v>-429.32505167995959</v>
      </c>
      <c r="H65" s="9">
        <f t="shared" si="3"/>
        <v>0</v>
      </c>
      <c r="I65" s="9">
        <f t="shared" si="3"/>
        <v>0</v>
      </c>
      <c r="J65" s="32" t="s">
        <v>181</v>
      </c>
    </row>
    <row r="66" spans="1:10" ht="19.05" customHeight="1" x14ac:dyDescent="0.3">
      <c r="B66" s="9">
        <f t="shared" si="3"/>
        <v>0</v>
      </c>
      <c r="C66" s="9">
        <f t="shared" si="3"/>
        <v>0</v>
      </c>
      <c r="D66" s="34">
        <f t="shared" si="3"/>
        <v>-1717.3002067198383</v>
      </c>
      <c r="E66" s="34">
        <f t="shared" si="3"/>
        <v>858.65010335991917</v>
      </c>
      <c r="F66" s="34">
        <f t="shared" si="3"/>
        <v>1717.3002067198383</v>
      </c>
      <c r="G66" s="34">
        <f t="shared" si="3"/>
        <v>-858.65010335991917</v>
      </c>
      <c r="H66" s="9">
        <f t="shared" si="3"/>
        <v>0</v>
      </c>
      <c r="I66" s="9">
        <f t="shared" si="3"/>
        <v>0</v>
      </c>
      <c r="J66" s="32" t="s">
        <v>182</v>
      </c>
    </row>
    <row r="67" spans="1:10" ht="19.05" customHeight="1" x14ac:dyDescent="0.3">
      <c r="B67" s="9">
        <f t="shared" si="3"/>
        <v>0</v>
      </c>
      <c r="C67" s="9">
        <f t="shared" si="3"/>
        <v>0</v>
      </c>
      <c r="D67" s="34">
        <f t="shared" si="3"/>
        <v>858.65010335991917</v>
      </c>
      <c r="E67" s="34">
        <f t="shared" si="3"/>
        <v>-429.32505167995959</v>
      </c>
      <c r="F67" s="34">
        <f t="shared" si="3"/>
        <v>-858.65010335991917</v>
      </c>
      <c r="G67" s="34">
        <f t="shared" si="3"/>
        <v>429.32505167995959</v>
      </c>
      <c r="H67" s="9">
        <f t="shared" si="3"/>
        <v>0</v>
      </c>
      <c r="I67" s="9">
        <f t="shared" si="3"/>
        <v>0</v>
      </c>
      <c r="J67" s="32" t="s">
        <v>183</v>
      </c>
    </row>
    <row r="68" spans="1:10" ht="19.05" customHeight="1" x14ac:dyDescent="0.3">
      <c r="B68" s="9">
        <f t="shared" si="3"/>
        <v>0</v>
      </c>
      <c r="C68" s="9">
        <f t="shared" si="3"/>
        <v>0</v>
      </c>
      <c r="D68" s="9">
        <f t="shared" si="3"/>
        <v>0</v>
      </c>
      <c r="E68" s="9">
        <f t="shared" si="3"/>
        <v>0</v>
      </c>
      <c r="F68" s="9">
        <f t="shared" si="3"/>
        <v>0</v>
      </c>
      <c r="G68" s="9">
        <f t="shared" si="3"/>
        <v>0</v>
      </c>
      <c r="H68" s="9">
        <f t="shared" si="3"/>
        <v>0</v>
      </c>
      <c r="I68" s="9">
        <f t="shared" si="3"/>
        <v>0</v>
      </c>
      <c r="J68" s="32" t="s">
        <v>184</v>
      </c>
    </row>
    <row r="69" spans="1:10" ht="19.05" customHeight="1" x14ac:dyDescent="0.3">
      <c r="B69" s="9">
        <f t="shared" si="3"/>
        <v>0</v>
      </c>
      <c r="C69" s="9">
        <f t="shared" si="3"/>
        <v>0</v>
      </c>
      <c r="D69" s="9">
        <f t="shared" si="3"/>
        <v>0</v>
      </c>
      <c r="E69" s="9">
        <f t="shared" si="3"/>
        <v>0</v>
      </c>
      <c r="F69" s="9">
        <f t="shared" si="3"/>
        <v>0</v>
      </c>
      <c r="G69" s="9">
        <f t="shared" si="3"/>
        <v>0</v>
      </c>
      <c r="H69" s="9">
        <f t="shared" si="3"/>
        <v>0</v>
      </c>
      <c r="I69" s="9">
        <f t="shared" si="3"/>
        <v>0</v>
      </c>
      <c r="J69" s="32" t="s">
        <v>185</v>
      </c>
    </row>
    <row r="72" spans="1:10" ht="18" customHeight="1" x14ac:dyDescent="0.3">
      <c r="B72" s="45" t="str">
        <f>CONCATENATE("U",C17,C$13)</f>
        <v>U3X</v>
      </c>
      <c r="C72" s="45" t="str">
        <f>CONCATENATE("U",D17,D$13)</f>
        <v>U3Y</v>
      </c>
      <c r="D72" s="45" t="str">
        <f>CONCATENATE("U",E17,E$13)</f>
        <v>U4X</v>
      </c>
      <c r="E72" s="45" t="str">
        <f>CONCATENATE("U",F17,F$13)</f>
        <v>U4Y</v>
      </c>
    </row>
    <row r="73" spans="1:10" x14ac:dyDescent="0.3">
      <c r="B73" s="46">
        <f>J9*J9*N9</f>
        <v>1843.3114213023002</v>
      </c>
      <c r="C73" s="46">
        <f>J9*K9*N9</f>
        <v>1228.8742808682</v>
      </c>
      <c r="D73" s="46">
        <f>-B73</f>
        <v>-1843.3114213023002</v>
      </c>
      <c r="E73" s="46">
        <f>-C73</f>
        <v>-1228.8742808682</v>
      </c>
      <c r="F73" s="45" t="str">
        <f>B72</f>
        <v>U3X</v>
      </c>
    </row>
    <row r="74" spans="1:10" ht="16.8" customHeight="1" x14ac:dyDescent="0.3">
      <c r="A74" s="28" t="s">
        <v>195</v>
      </c>
      <c r="B74" s="46">
        <f>C73</f>
        <v>1228.8742808682</v>
      </c>
      <c r="C74" s="46">
        <f>K9*K9*N9</f>
        <v>819.2495205788</v>
      </c>
      <c r="D74" s="46">
        <f>-B74</f>
        <v>-1228.8742808682</v>
      </c>
      <c r="E74" s="46">
        <f>-C74</f>
        <v>-819.2495205788</v>
      </c>
      <c r="F74" s="45" t="str">
        <f>C72</f>
        <v>U3Y</v>
      </c>
    </row>
    <row r="75" spans="1:10" x14ac:dyDescent="0.3">
      <c r="B75" s="46">
        <f>D73</f>
        <v>-1843.3114213023002</v>
      </c>
      <c r="C75" s="46">
        <f>E73</f>
        <v>-1228.8742808682</v>
      </c>
      <c r="D75" s="46">
        <f>B73</f>
        <v>1843.3114213023002</v>
      </c>
      <c r="E75" s="46">
        <f>C73</f>
        <v>1228.8742808682</v>
      </c>
      <c r="F75" s="45" t="str">
        <f>D72</f>
        <v>U4X</v>
      </c>
    </row>
    <row r="76" spans="1:10" x14ac:dyDescent="0.3">
      <c r="B76" s="46">
        <f>D74</f>
        <v>-1228.8742808682</v>
      </c>
      <c r="C76" s="46">
        <f>E74</f>
        <v>-819.2495205788</v>
      </c>
      <c r="D76" s="46">
        <f>B74</f>
        <v>1228.8742808682</v>
      </c>
      <c r="E76" s="46">
        <f>C74</f>
        <v>819.2495205788</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1843.3114213023002</v>
      </c>
      <c r="G83" s="47">
        <f t="shared" si="4"/>
        <v>1228.8742808682</v>
      </c>
      <c r="H83" s="47">
        <f t="shared" si="4"/>
        <v>-1843.3114213023002</v>
      </c>
      <c r="I83" s="47">
        <f t="shared" si="4"/>
        <v>-1228.8742808682</v>
      </c>
      <c r="J83" s="45" t="s">
        <v>182</v>
      </c>
    </row>
    <row r="84" spans="1:10" ht="19.05" customHeight="1" x14ac:dyDescent="0.3">
      <c r="B84" s="9">
        <f t="shared" si="4"/>
        <v>0</v>
      </c>
      <c r="C84" s="9">
        <f t="shared" si="4"/>
        <v>0</v>
      </c>
      <c r="D84" s="9">
        <f t="shared" si="4"/>
        <v>0</v>
      </c>
      <c r="E84" s="9">
        <f t="shared" si="4"/>
        <v>0</v>
      </c>
      <c r="F84" s="47">
        <f t="shared" si="4"/>
        <v>1228.8742808682</v>
      </c>
      <c r="G84" s="47">
        <f t="shared" si="4"/>
        <v>819.2495205788</v>
      </c>
      <c r="H84" s="47">
        <f t="shared" si="4"/>
        <v>-1228.8742808682</v>
      </c>
      <c r="I84" s="47">
        <f t="shared" si="4"/>
        <v>-819.2495205788</v>
      </c>
      <c r="J84" s="45" t="s">
        <v>183</v>
      </c>
    </row>
    <row r="85" spans="1:10" ht="19.05" customHeight="1" x14ac:dyDescent="0.3">
      <c r="B85" s="9">
        <f t="shared" si="4"/>
        <v>0</v>
      </c>
      <c r="C85" s="9">
        <f t="shared" si="4"/>
        <v>0</v>
      </c>
      <c r="D85" s="9">
        <f t="shared" si="4"/>
        <v>0</v>
      </c>
      <c r="E85" s="9">
        <f t="shared" si="4"/>
        <v>0</v>
      </c>
      <c r="F85" s="47">
        <f t="shared" si="4"/>
        <v>-1843.3114213023002</v>
      </c>
      <c r="G85" s="47">
        <f t="shared" si="4"/>
        <v>-1228.8742808682</v>
      </c>
      <c r="H85" s="47">
        <f t="shared" si="4"/>
        <v>1843.3114213023002</v>
      </c>
      <c r="I85" s="47">
        <f t="shared" si="4"/>
        <v>1228.8742808682</v>
      </c>
      <c r="J85" s="45" t="s">
        <v>184</v>
      </c>
    </row>
    <row r="86" spans="1:10" ht="19.05" customHeight="1" x14ac:dyDescent="0.3">
      <c r="B86" s="9">
        <f t="shared" si="4"/>
        <v>0</v>
      </c>
      <c r="C86" s="9">
        <f t="shared" si="4"/>
        <v>0</v>
      </c>
      <c r="D86" s="9">
        <f t="shared" si="4"/>
        <v>0</v>
      </c>
      <c r="E86" s="9">
        <f t="shared" si="4"/>
        <v>0</v>
      </c>
      <c r="F86" s="47">
        <f t="shared" si="4"/>
        <v>-1228.8742808682</v>
      </c>
      <c r="G86" s="47">
        <f t="shared" si="4"/>
        <v>-819.2495205788</v>
      </c>
      <c r="H86" s="47">
        <f t="shared" si="4"/>
        <v>1228.8742808682</v>
      </c>
      <c r="I86" s="47">
        <f t="shared" si="4"/>
        <v>819.2495205788</v>
      </c>
      <c r="J86" s="45" t="s">
        <v>185</v>
      </c>
    </row>
    <row r="89" spans="1:10" ht="18" customHeight="1" x14ac:dyDescent="0.3">
      <c r="B89" s="48" t="str">
        <f>CONCATENATE("U",C18,C$13)</f>
        <v>U4X</v>
      </c>
      <c r="C89" s="48" t="str">
        <f>CONCATENATE("U",D18,D$13)</f>
        <v>U4Y</v>
      </c>
      <c r="D89" s="48" t="str">
        <f>CONCATENATE("U",E18,E$13)</f>
        <v>U2X</v>
      </c>
      <c r="E89" s="48" t="str">
        <f>CONCATENATE("U",F18,F$13)</f>
        <v>U2Y</v>
      </c>
    </row>
    <row r="90" spans="1:10" x14ac:dyDescent="0.3">
      <c r="B90" s="49">
        <f>J10*J10*N10</f>
        <v>136.96129413816448</v>
      </c>
      <c r="C90" s="49">
        <f>J10*K10*N10</f>
        <v>-547.8451765526579</v>
      </c>
      <c r="D90" s="49">
        <f>-B90</f>
        <v>-136.96129413816448</v>
      </c>
      <c r="E90" s="49">
        <f>-C90</f>
        <v>547.8451765526579</v>
      </c>
      <c r="F90" s="48" t="str">
        <f>B89</f>
        <v>U4X</v>
      </c>
    </row>
    <row r="91" spans="1:10" ht="16.8" customHeight="1" x14ac:dyDescent="0.3">
      <c r="A91" s="28" t="s">
        <v>197</v>
      </c>
      <c r="B91" s="49">
        <f>C90</f>
        <v>-547.8451765526579</v>
      </c>
      <c r="C91" s="49">
        <f>K10*K10*N10</f>
        <v>2191.3807062106316</v>
      </c>
      <c r="D91" s="49">
        <f>-B91</f>
        <v>547.8451765526579</v>
      </c>
      <c r="E91" s="49">
        <f>-C91</f>
        <v>-2191.3807062106316</v>
      </c>
      <c r="F91" s="48" t="str">
        <f>C89</f>
        <v>U4Y</v>
      </c>
    </row>
    <row r="92" spans="1:10" x14ac:dyDescent="0.3">
      <c r="B92" s="49">
        <f>D90</f>
        <v>-136.96129413816448</v>
      </c>
      <c r="C92" s="49">
        <f>E90</f>
        <v>547.8451765526579</v>
      </c>
      <c r="D92" s="49">
        <f>B90</f>
        <v>136.96129413816448</v>
      </c>
      <c r="E92" s="49">
        <f>C90</f>
        <v>-547.8451765526579</v>
      </c>
      <c r="F92" s="48" t="str">
        <f>D89</f>
        <v>U2X</v>
      </c>
    </row>
    <row r="93" spans="1:10" x14ac:dyDescent="0.3">
      <c r="B93" s="49">
        <f>D91</f>
        <v>547.8451765526579</v>
      </c>
      <c r="C93" s="49">
        <f>E91</f>
        <v>-2191.3807062106316</v>
      </c>
      <c r="D93" s="49">
        <f>B91</f>
        <v>-547.8451765526579</v>
      </c>
      <c r="E93" s="49">
        <f>C91</f>
        <v>2191.3807062106316</v>
      </c>
      <c r="F93" s="48" t="str">
        <f>E89</f>
        <v>U2Y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136.96129413816448</v>
      </c>
      <c r="E98" s="50">
        <f t="shared" si="5"/>
        <v>-547.8451765526579</v>
      </c>
      <c r="F98" s="9">
        <f t="shared" si="5"/>
        <v>0</v>
      </c>
      <c r="G98" s="9">
        <f t="shared" si="5"/>
        <v>0</v>
      </c>
      <c r="H98" s="50">
        <f t="shared" si="5"/>
        <v>-136.96129413816448</v>
      </c>
      <c r="I98" s="50">
        <f t="shared" si="5"/>
        <v>547.8451765526579</v>
      </c>
      <c r="J98" s="48" t="s">
        <v>180</v>
      </c>
    </row>
    <row r="99" spans="1:10" ht="19.05" customHeight="1" x14ac:dyDescent="0.3">
      <c r="A99" s="28" t="s">
        <v>198</v>
      </c>
      <c r="B99" s="9">
        <f t="shared" si="5"/>
        <v>0</v>
      </c>
      <c r="C99" s="9">
        <f t="shared" si="5"/>
        <v>0</v>
      </c>
      <c r="D99" s="50">
        <f t="shared" si="5"/>
        <v>-547.8451765526579</v>
      </c>
      <c r="E99" s="50">
        <f t="shared" si="5"/>
        <v>2191.3807062106316</v>
      </c>
      <c r="F99" s="9">
        <f t="shared" si="5"/>
        <v>0</v>
      </c>
      <c r="G99" s="9">
        <f t="shared" si="5"/>
        <v>0</v>
      </c>
      <c r="H99" s="50">
        <f t="shared" si="5"/>
        <v>547.8451765526579</v>
      </c>
      <c r="I99" s="50">
        <f t="shared" si="5"/>
        <v>-2191.3807062106316</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-136.96129413816448</v>
      </c>
      <c r="E102" s="50">
        <f t="shared" si="5"/>
        <v>547.8451765526579</v>
      </c>
      <c r="F102" s="9">
        <f t="shared" si="5"/>
        <v>0</v>
      </c>
      <c r="G102" s="9">
        <f t="shared" si="5"/>
        <v>0</v>
      </c>
      <c r="H102" s="50">
        <f t="shared" si="5"/>
        <v>136.96129413816448</v>
      </c>
      <c r="I102" s="50">
        <f t="shared" si="5"/>
        <v>-547.8451765526579</v>
      </c>
      <c r="J102" s="48" t="s">
        <v>184</v>
      </c>
    </row>
    <row r="103" spans="1:10" ht="19.05" customHeight="1" x14ac:dyDescent="0.3">
      <c r="B103" s="9">
        <f t="shared" si="5"/>
        <v>0</v>
      </c>
      <c r="C103" s="9">
        <f t="shared" si="5"/>
        <v>0</v>
      </c>
      <c r="D103" s="50">
        <f t="shared" si="5"/>
        <v>547.8451765526579</v>
      </c>
      <c r="E103" s="50">
        <f t="shared" si="5"/>
        <v>-2191.3807062106316</v>
      </c>
      <c r="F103" s="9">
        <f t="shared" si="5"/>
        <v>0</v>
      </c>
      <c r="G103" s="9">
        <f t="shared" si="5"/>
        <v>0</v>
      </c>
      <c r="H103" s="50">
        <f t="shared" si="5"/>
        <v>-547.8451765526579</v>
      </c>
      <c r="I103" s="50">
        <f t="shared" si="5"/>
        <v>2191.3807062106316</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2778.6501033599193</v>
      </c>
      <c r="C107" s="36">
        <f t="shared" si="6"/>
        <v>1717.3002067198383</v>
      </c>
      <c r="D107" s="9">
        <f t="shared" si="6"/>
        <v>-1920</v>
      </c>
      <c r="E107" s="9">
        <f t="shared" si="6"/>
        <v>0</v>
      </c>
      <c r="F107" s="9">
        <f t="shared" si="6"/>
        <v>-858.65010335991917</v>
      </c>
      <c r="G107" s="9">
        <f t="shared" si="6"/>
        <v>-1717.3002067198383</v>
      </c>
      <c r="H107" s="9">
        <f t="shared" si="6"/>
        <v>0</v>
      </c>
      <c r="I107" s="9">
        <f t="shared" si="6"/>
        <v>0</v>
      </c>
      <c r="J107" s="89" t="s">
        <v>178</v>
      </c>
    </row>
    <row r="108" spans="1:10" ht="19.95" customHeight="1" x14ac:dyDescent="0.3">
      <c r="B108" s="36">
        <f t="shared" si="6"/>
        <v>1717.3002067198383</v>
      </c>
      <c r="C108" s="35">
        <f t="shared" si="6"/>
        <v>3434.6004134396767</v>
      </c>
      <c r="D108" s="9">
        <f t="shared" si="6"/>
        <v>0</v>
      </c>
      <c r="E108" s="9">
        <f t="shared" si="6"/>
        <v>0</v>
      </c>
      <c r="F108" s="9">
        <f t="shared" si="6"/>
        <v>-1717.3002067198383</v>
      </c>
      <c r="G108" s="9">
        <f t="shared" si="6"/>
        <v>-3434.6004134396767</v>
      </c>
      <c r="H108" s="9">
        <f t="shared" si="6"/>
        <v>0</v>
      </c>
      <c r="I108" s="9">
        <f t="shared" si="6"/>
        <v>0</v>
      </c>
      <c r="J108" s="89" t="s">
        <v>179</v>
      </c>
    </row>
    <row r="109" spans="1:10" ht="19.95" customHeight="1" x14ac:dyDescent="0.3">
      <c r="B109" s="9">
        <f t="shared" si="6"/>
        <v>-1920</v>
      </c>
      <c r="C109" s="9">
        <f t="shared" si="6"/>
        <v>0</v>
      </c>
      <c r="D109" s="35">
        <f t="shared" si="6"/>
        <v>3774.2615008580033</v>
      </c>
      <c r="E109" s="36">
        <f t="shared" si="6"/>
        <v>-1406.4952799125772</v>
      </c>
      <c r="F109" s="9">
        <f t="shared" si="6"/>
        <v>-1717.3002067198383</v>
      </c>
      <c r="G109" s="9">
        <f t="shared" si="6"/>
        <v>858.65010335991917</v>
      </c>
      <c r="H109" s="9">
        <f t="shared" si="6"/>
        <v>-136.96129413816448</v>
      </c>
      <c r="I109" s="9">
        <f t="shared" si="6"/>
        <v>547.8451765526579</v>
      </c>
      <c r="J109" s="89" t="s">
        <v>180</v>
      </c>
    </row>
    <row r="110" spans="1:10" ht="19.95" customHeight="1" x14ac:dyDescent="0.3">
      <c r="A110" s="28" t="s">
        <v>205</v>
      </c>
      <c r="B110" s="9">
        <f t="shared" si="6"/>
        <v>0</v>
      </c>
      <c r="C110" s="9">
        <f t="shared" si="6"/>
        <v>0</v>
      </c>
      <c r="D110" s="36">
        <f t="shared" si="6"/>
        <v>-1406.4952799125772</v>
      </c>
      <c r="E110" s="35">
        <f t="shared" si="6"/>
        <v>2620.705757890591</v>
      </c>
      <c r="F110" s="9">
        <f t="shared" si="6"/>
        <v>858.65010335991917</v>
      </c>
      <c r="G110" s="9">
        <f t="shared" si="6"/>
        <v>-429.32505167995959</v>
      </c>
      <c r="H110" s="9">
        <f t="shared" si="6"/>
        <v>547.8451765526579</v>
      </c>
      <c r="I110" s="9">
        <f t="shared" si="6"/>
        <v>-2191.3807062106316</v>
      </c>
      <c r="J110" s="89" t="s">
        <v>181</v>
      </c>
    </row>
    <row r="111" spans="1:10" ht="19.95" customHeight="1" x14ac:dyDescent="0.3">
      <c r="B111" s="9">
        <f t="shared" si="6"/>
        <v>-858.65010335991917</v>
      </c>
      <c r="C111" s="9">
        <f t="shared" si="6"/>
        <v>-1717.3002067198383</v>
      </c>
      <c r="D111" s="9">
        <f t="shared" si="6"/>
        <v>-1717.3002067198383</v>
      </c>
      <c r="E111" s="9">
        <f t="shared" si="6"/>
        <v>858.65010335991917</v>
      </c>
      <c r="F111" s="35">
        <f t="shared" si="6"/>
        <v>4419.2617313820574</v>
      </c>
      <c r="G111" s="36">
        <f t="shared" si="6"/>
        <v>2087.5243842281193</v>
      </c>
      <c r="H111" s="9">
        <f t="shared" si="6"/>
        <v>-1843.3114213023002</v>
      </c>
      <c r="I111" s="9">
        <f t="shared" si="6"/>
        <v>-1228.8742808682</v>
      </c>
      <c r="J111" s="89" t="s">
        <v>182</v>
      </c>
    </row>
    <row r="112" spans="1:10" ht="19.95" customHeight="1" x14ac:dyDescent="0.3">
      <c r="B112" s="9">
        <f t="shared" si="6"/>
        <v>-1717.3002067198383</v>
      </c>
      <c r="C112" s="9">
        <f t="shared" si="6"/>
        <v>-3434.6004134396767</v>
      </c>
      <c r="D112" s="9">
        <f t="shared" si="6"/>
        <v>858.65010335991917</v>
      </c>
      <c r="E112" s="9">
        <f t="shared" si="6"/>
        <v>-429.32505167995959</v>
      </c>
      <c r="F112" s="36">
        <f t="shared" si="6"/>
        <v>2087.5243842281193</v>
      </c>
      <c r="G112" s="35">
        <f t="shared" si="6"/>
        <v>4683.1749856984361</v>
      </c>
      <c r="H112" s="9">
        <f t="shared" si="6"/>
        <v>-1228.8742808682</v>
      </c>
      <c r="I112" s="9">
        <f t="shared" si="6"/>
        <v>-819.2495205788</v>
      </c>
      <c r="J112" s="89" t="s">
        <v>183</v>
      </c>
    </row>
    <row r="113" spans="1:17" ht="19.95" customHeight="1" x14ac:dyDescent="0.3">
      <c r="B113" s="9">
        <f t="shared" si="6"/>
        <v>0</v>
      </c>
      <c r="C113" s="9">
        <f t="shared" si="6"/>
        <v>0</v>
      </c>
      <c r="D113" s="9">
        <f t="shared" si="6"/>
        <v>-136.96129413816448</v>
      </c>
      <c r="E113" s="9">
        <f t="shared" si="6"/>
        <v>547.8451765526579</v>
      </c>
      <c r="F113" s="9">
        <f t="shared" si="6"/>
        <v>-1843.3114213023002</v>
      </c>
      <c r="G113" s="9">
        <f t="shared" si="6"/>
        <v>-1228.8742808682</v>
      </c>
      <c r="H113" s="35">
        <f t="shared" si="6"/>
        <v>1980.2727154404647</v>
      </c>
      <c r="I113" s="36">
        <f t="shared" si="6"/>
        <v>681.0291043155421</v>
      </c>
      <c r="J113" s="89" t="s">
        <v>184</v>
      </c>
    </row>
    <row r="114" spans="1:17" ht="19.95" customHeight="1" x14ac:dyDescent="0.3">
      <c r="B114" s="9">
        <f t="shared" si="6"/>
        <v>0</v>
      </c>
      <c r="C114" s="9">
        <f t="shared" si="6"/>
        <v>0</v>
      </c>
      <c r="D114" s="9">
        <f t="shared" si="6"/>
        <v>547.8451765526579</v>
      </c>
      <c r="E114" s="9">
        <f t="shared" si="6"/>
        <v>-2191.3807062106316</v>
      </c>
      <c r="F114" s="9">
        <f t="shared" si="6"/>
        <v>-1228.8742808682</v>
      </c>
      <c r="G114" s="9">
        <f t="shared" si="6"/>
        <v>-819.2495205788</v>
      </c>
      <c r="H114" s="36">
        <f t="shared" si="6"/>
        <v>681.0291043155421</v>
      </c>
      <c r="I114" s="35">
        <f t="shared" si="6"/>
        <v>3010.6302267894316</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IF(GRAFICA_06!F14=1, B118, GRAFICA_06!H14)</f>
        <v>C1X</v>
      </c>
      <c r="L118" s="215" t="s">
        <v>376</v>
      </c>
      <c r="M118" s="172"/>
      <c r="N118" s="172"/>
      <c r="O118" s="172"/>
      <c r="P118" s="172"/>
      <c r="Q118" s="173"/>
    </row>
    <row r="119" spans="1:17" ht="16.95" customHeight="1" x14ac:dyDescent="0.3">
      <c r="B119" s="12" t="s">
        <v>210</v>
      </c>
      <c r="C119" s="12" t="s">
        <v>179</v>
      </c>
      <c r="E119" s="37" t="str">
        <f>IF(GRAFICA_06!G14=1, B119, GRAFICA_06!I14)</f>
        <v>C1Y</v>
      </c>
      <c r="L119" s="215" t="s">
        <v>211</v>
      </c>
      <c r="M119" s="172"/>
      <c r="N119" s="172"/>
      <c r="O119" s="172"/>
      <c r="P119" s="172"/>
      <c r="Q119" s="173"/>
    </row>
    <row r="120" spans="1:17" ht="16.95" customHeight="1" x14ac:dyDescent="0.3">
      <c r="B120" s="12" t="s">
        <v>212</v>
      </c>
      <c r="C120" s="12" t="s">
        <v>180</v>
      </c>
      <c r="E120" s="37">
        <f>IF(GRAFICA_06!F15=1, B120, GRAFICA_06!H15)</f>
        <v>0</v>
      </c>
      <c r="L120" s="215" t="s">
        <v>377</v>
      </c>
      <c r="M120" s="172"/>
      <c r="N120" s="172"/>
      <c r="O120" s="172"/>
      <c r="P120" s="172"/>
      <c r="Q120" s="173"/>
    </row>
    <row r="121" spans="1:17" ht="16.95" customHeight="1" x14ac:dyDescent="0.3">
      <c r="A121" s="38" t="s">
        <v>218</v>
      </c>
      <c r="B121" s="12" t="s">
        <v>214</v>
      </c>
      <c r="C121" s="12" t="s">
        <v>181</v>
      </c>
      <c r="D121" s="13" t="s">
        <v>220</v>
      </c>
      <c r="E121" s="37" t="str">
        <f>IF(GRAFICA_06!G15=1, B121, GRAFICA_06!I15)</f>
        <v>C2Y</v>
      </c>
      <c r="L121" s="215" t="s">
        <v>215</v>
      </c>
      <c r="M121" s="172"/>
      <c r="N121" s="172"/>
      <c r="O121" s="172"/>
      <c r="P121" s="172"/>
      <c r="Q121" s="173"/>
    </row>
    <row r="122" spans="1:17" ht="16.95" customHeight="1" x14ac:dyDescent="0.3">
      <c r="B122" s="12" t="s">
        <v>216</v>
      </c>
      <c r="C122" s="12" t="s">
        <v>182</v>
      </c>
      <c r="E122" s="37">
        <f>IF(GRAFICA_06!F16=1, B122, GRAFICA_06!H16)</f>
        <v>7800</v>
      </c>
      <c r="L122" s="215" t="s">
        <v>378</v>
      </c>
      <c r="M122" s="172"/>
      <c r="N122" s="172"/>
      <c r="O122" s="172"/>
      <c r="P122" s="172"/>
      <c r="Q122" s="173"/>
    </row>
    <row r="123" spans="1:17" ht="16.95" customHeight="1" x14ac:dyDescent="0.3">
      <c r="B123" s="12" t="s">
        <v>219</v>
      </c>
      <c r="C123" s="12" t="s">
        <v>183</v>
      </c>
      <c r="E123" s="37">
        <f>IF(GRAFICA_06!G16=1, B123, GRAFICA_06!I16)</f>
        <v>-7800</v>
      </c>
      <c r="L123" s="215" t="s">
        <v>379</v>
      </c>
      <c r="M123" s="172"/>
      <c r="N123" s="172"/>
      <c r="O123" s="172"/>
      <c r="P123" s="172"/>
      <c r="Q123" s="173"/>
    </row>
    <row r="124" spans="1:17" ht="16.95" customHeight="1" x14ac:dyDescent="0.3">
      <c r="B124" s="12" t="s">
        <v>221</v>
      </c>
      <c r="C124" s="12" t="s">
        <v>184</v>
      </c>
      <c r="E124" s="37">
        <f>IF(GRAFICA_06!F17=1, B124, GRAFICA_06!H17)</f>
        <v>6000</v>
      </c>
      <c r="L124" s="215"/>
      <c r="M124" s="172"/>
      <c r="N124" s="172"/>
      <c r="O124" s="172"/>
      <c r="P124" s="172"/>
      <c r="Q124" s="173"/>
    </row>
    <row r="125" spans="1:17" ht="16.95" customHeight="1" x14ac:dyDescent="0.3">
      <c r="B125" s="12" t="s">
        <v>222</v>
      </c>
      <c r="C125" s="12" t="s">
        <v>185</v>
      </c>
      <c r="E125" s="37">
        <f>IF(GRAFICA_06!G17=1, B125, GRAFICA_06!I17)</f>
        <v>-6000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IF(GRAFICA_06!F14=1,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IF(GRAFICA_06!G14=1,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IF(GRAFICA_06!F15=1,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f>IF(GRAFICA_06!G15=1, 0, B131)</f>
        <v>0</v>
      </c>
      <c r="F131" s="14" t="str">
        <f>IF(E131&lt;&gt;0, COUNTIF(E$128:E131, "&lt;&gt;0"), "")</f>
        <v/>
      </c>
      <c r="G131" s="14">
        <f>IF(E131=0, COUNTIF(E$128:E131, 0), "")</f>
        <v>3</v>
      </c>
      <c r="L131" s="215"/>
      <c r="M131" s="172"/>
      <c r="N131" s="172"/>
      <c r="O131" s="172"/>
      <c r="P131" s="172"/>
      <c r="Q131" s="173"/>
    </row>
    <row r="132" spans="1:17" ht="16.95" customHeight="1" x14ac:dyDescent="0.3">
      <c r="B132" s="12" t="s">
        <v>232</v>
      </c>
      <c r="C132" s="12" t="s">
        <v>182</v>
      </c>
      <c r="E132" s="39" t="str">
        <f>IF(GRAFICA_06!F16=1,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IF(GRAFICA_06!G16=1,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IF(GRAFICA_06!F17=1,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IF(GRAFICA_06!G17=1,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2778.6501033599193</v>
      </c>
      <c r="D140" s="9">
        <f t="shared" si="8"/>
        <v>1717.3002067198383</v>
      </c>
      <c r="E140" s="9">
        <f t="shared" si="8"/>
        <v>-1920</v>
      </c>
      <c r="F140" s="9">
        <f t="shared" si="8"/>
        <v>0</v>
      </c>
      <c r="G140" s="9">
        <f t="shared" si="8"/>
        <v>-858.65010335991917</v>
      </c>
      <c r="H140" s="9">
        <f t="shared" si="8"/>
        <v>-1717.3002067198383</v>
      </c>
      <c r="I140" s="9">
        <f t="shared" si="8"/>
        <v>0</v>
      </c>
      <c r="J140" s="9">
        <f t="shared" si="8"/>
        <v>0</v>
      </c>
      <c r="K140" s="13" t="s">
        <v>251</v>
      </c>
      <c r="L140" s="219" t="s">
        <v>380</v>
      </c>
      <c r="M140" s="172"/>
      <c r="N140" s="172"/>
      <c r="O140" s="172"/>
      <c r="P140" s="172"/>
      <c r="Q140" s="173"/>
    </row>
    <row r="141" spans="1:17" ht="16.95" customHeight="1" x14ac:dyDescent="0.3">
      <c r="A141" s="12" t="str">
        <f t="shared" si="7"/>
        <v>C1Y</v>
      </c>
      <c r="C141" s="9">
        <f t="shared" si="8"/>
        <v>1717.3002067198383</v>
      </c>
      <c r="D141" s="9">
        <f t="shared" si="8"/>
        <v>3434.6004134396767</v>
      </c>
      <c r="E141" s="9">
        <f t="shared" si="8"/>
        <v>0</v>
      </c>
      <c r="F141" s="9">
        <f t="shared" si="8"/>
        <v>0</v>
      </c>
      <c r="G141" s="9">
        <f t="shared" si="8"/>
        <v>-1717.3002067198383</v>
      </c>
      <c r="H141" s="9">
        <f t="shared" si="8"/>
        <v>-3434.6004134396767</v>
      </c>
      <c r="I141" s="9">
        <f t="shared" si="8"/>
        <v>0</v>
      </c>
      <c r="J141" s="9">
        <f t="shared" si="8"/>
        <v>0</v>
      </c>
      <c r="K141" s="13" t="s">
        <v>251</v>
      </c>
      <c r="L141" s="219" t="s">
        <v>253</v>
      </c>
      <c r="M141" s="172"/>
      <c r="N141" s="172"/>
      <c r="O141" s="172"/>
      <c r="P141" s="172"/>
      <c r="Q141" s="173"/>
    </row>
    <row r="142" spans="1:17" ht="16.95" customHeight="1" x14ac:dyDescent="0.3">
      <c r="A142" s="41">
        <f t="shared" si="7"/>
        <v>0</v>
      </c>
      <c r="C142" s="9">
        <f t="shared" si="8"/>
        <v>-1920</v>
      </c>
      <c r="D142" s="9">
        <f t="shared" si="8"/>
        <v>0</v>
      </c>
      <c r="E142" s="41">
        <f t="shared" si="8"/>
        <v>3774.2615008580033</v>
      </c>
      <c r="F142" s="9">
        <f t="shared" si="8"/>
        <v>-1406.4952799125772</v>
      </c>
      <c r="G142" s="41">
        <f t="shared" si="8"/>
        <v>-1717.3002067198383</v>
      </c>
      <c r="H142" s="41">
        <f t="shared" si="8"/>
        <v>858.65010335991917</v>
      </c>
      <c r="I142" s="41">
        <f t="shared" si="8"/>
        <v>-136.96129413816448</v>
      </c>
      <c r="J142" s="41">
        <f t="shared" si="8"/>
        <v>547.8451765526579</v>
      </c>
      <c r="K142" s="13" t="s">
        <v>251</v>
      </c>
      <c r="L142" s="215" t="s">
        <v>254</v>
      </c>
      <c r="M142" s="172"/>
      <c r="N142" s="172"/>
      <c r="O142" s="172"/>
      <c r="P142" s="172"/>
      <c r="Q142" s="173"/>
    </row>
    <row r="143" spans="1:17" ht="16.95" customHeight="1" x14ac:dyDescent="0.3">
      <c r="A143" s="12" t="str">
        <f t="shared" si="7"/>
        <v>C2Y</v>
      </c>
      <c r="C143" s="9">
        <f t="shared" si="8"/>
        <v>0</v>
      </c>
      <c r="D143" s="9">
        <f t="shared" si="8"/>
        <v>0</v>
      </c>
      <c r="E143" s="9">
        <f t="shared" si="8"/>
        <v>-1406.4952799125772</v>
      </c>
      <c r="F143" s="9">
        <f t="shared" si="8"/>
        <v>2620.705757890591</v>
      </c>
      <c r="G143" s="9">
        <f t="shared" si="8"/>
        <v>858.65010335991917</v>
      </c>
      <c r="H143" s="9">
        <f t="shared" si="8"/>
        <v>-429.32505167995959</v>
      </c>
      <c r="I143" s="9">
        <f t="shared" si="8"/>
        <v>547.8451765526579</v>
      </c>
      <c r="J143" s="9">
        <f t="shared" si="8"/>
        <v>-2191.3807062106316</v>
      </c>
      <c r="K143" s="13" t="s">
        <v>251</v>
      </c>
      <c r="L143" s="219" t="s">
        <v>381</v>
      </c>
      <c r="M143" s="172"/>
      <c r="N143" s="172"/>
      <c r="O143" s="172"/>
      <c r="P143" s="172"/>
      <c r="Q143" s="173"/>
    </row>
    <row r="144" spans="1:17" ht="16.95" customHeight="1" x14ac:dyDescent="0.3">
      <c r="A144" s="41">
        <f t="shared" si="7"/>
        <v>7800</v>
      </c>
      <c r="B144" s="13" t="s">
        <v>220</v>
      </c>
      <c r="C144" s="9">
        <f t="shared" si="8"/>
        <v>-858.65010335991917</v>
      </c>
      <c r="D144" s="9">
        <f t="shared" si="8"/>
        <v>-1717.3002067198383</v>
      </c>
      <c r="E144" s="41">
        <f t="shared" si="8"/>
        <v>-1717.3002067198383</v>
      </c>
      <c r="F144" s="9">
        <f t="shared" si="8"/>
        <v>858.65010335991917</v>
      </c>
      <c r="G144" s="41">
        <f t="shared" si="8"/>
        <v>4419.2617313820574</v>
      </c>
      <c r="H144" s="41">
        <f t="shared" si="8"/>
        <v>2087.5243842281193</v>
      </c>
      <c r="I144" s="41">
        <f t="shared" si="8"/>
        <v>-1843.3114213023002</v>
      </c>
      <c r="J144" s="41">
        <f t="shared" si="8"/>
        <v>-1228.8742808682</v>
      </c>
      <c r="K144" s="13" t="s">
        <v>251</v>
      </c>
      <c r="L144" s="215" t="s">
        <v>382</v>
      </c>
      <c r="M144" s="172"/>
      <c r="N144" s="172"/>
      <c r="O144" s="172"/>
      <c r="P144" s="172"/>
      <c r="Q144" s="173"/>
    </row>
    <row r="145" spans="1:17" ht="16.95" customHeight="1" x14ac:dyDescent="0.3">
      <c r="A145" s="41">
        <f t="shared" si="7"/>
        <v>-7800</v>
      </c>
      <c r="C145" s="9">
        <f t="shared" si="8"/>
        <v>-1717.3002067198383</v>
      </c>
      <c r="D145" s="9">
        <f t="shared" si="8"/>
        <v>-3434.6004134396767</v>
      </c>
      <c r="E145" s="41">
        <f t="shared" si="8"/>
        <v>858.65010335991917</v>
      </c>
      <c r="F145" s="9">
        <f t="shared" si="8"/>
        <v>-429.32505167995959</v>
      </c>
      <c r="G145" s="41">
        <f t="shared" si="8"/>
        <v>2087.5243842281193</v>
      </c>
      <c r="H145" s="41">
        <f t="shared" si="8"/>
        <v>4683.1749856984361</v>
      </c>
      <c r="I145" s="41">
        <f t="shared" si="8"/>
        <v>-1228.8742808682</v>
      </c>
      <c r="J145" s="41">
        <f t="shared" si="8"/>
        <v>-819.2495205788</v>
      </c>
      <c r="K145" s="13" t="s">
        <v>251</v>
      </c>
      <c r="L145" s="215" t="str">
        <f>E133</f>
        <v>D3Y</v>
      </c>
      <c r="M145" s="172"/>
      <c r="N145" s="172"/>
      <c r="O145" s="172"/>
      <c r="P145" s="172"/>
      <c r="Q145" s="173"/>
    </row>
    <row r="146" spans="1:17" ht="16.95" customHeight="1" x14ac:dyDescent="0.3">
      <c r="A146" s="41">
        <f t="shared" si="7"/>
        <v>6000</v>
      </c>
      <c r="C146" s="9">
        <f t="shared" si="8"/>
        <v>0</v>
      </c>
      <c r="D146" s="9">
        <f t="shared" si="8"/>
        <v>0</v>
      </c>
      <c r="E146" s="41">
        <f t="shared" si="8"/>
        <v>-136.96129413816448</v>
      </c>
      <c r="F146" s="9">
        <f t="shared" si="8"/>
        <v>547.8451765526579</v>
      </c>
      <c r="G146" s="41">
        <f t="shared" si="8"/>
        <v>-1843.3114213023002</v>
      </c>
      <c r="H146" s="41">
        <f t="shared" si="8"/>
        <v>-1228.8742808682</v>
      </c>
      <c r="I146" s="41">
        <f t="shared" si="8"/>
        <v>1980.2727154404647</v>
      </c>
      <c r="J146" s="41">
        <f t="shared" si="8"/>
        <v>681.0291043155421</v>
      </c>
      <c r="K146" s="13" t="s">
        <v>251</v>
      </c>
      <c r="L146" s="215" t="str">
        <f>E134</f>
        <v>D4X</v>
      </c>
      <c r="M146" s="172"/>
      <c r="N146" s="172"/>
      <c r="O146" s="172"/>
      <c r="P146" s="172"/>
      <c r="Q146" s="173"/>
    </row>
    <row r="147" spans="1:17" ht="16.95" customHeight="1" x14ac:dyDescent="0.3">
      <c r="A147" s="41">
        <f t="shared" si="7"/>
        <v>-6000</v>
      </c>
      <c r="C147" s="9">
        <f t="shared" si="8"/>
        <v>0</v>
      </c>
      <c r="D147" s="9">
        <f t="shared" si="8"/>
        <v>0</v>
      </c>
      <c r="E147" s="41">
        <f t="shared" si="8"/>
        <v>547.8451765526579</v>
      </c>
      <c r="F147" s="9">
        <f t="shared" si="8"/>
        <v>-2191.3807062106316</v>
      </c>
      <c r="G147" s="41">
        <f t="shared" si="8"/>
        <v>-1228.8742808682</v>
      </c>
      <c r="H147" s="41">
        <f t="shared" si="8"/>
        <v>-819.2495205788</v>
      </c>
      <c r="I147" s="41">
        <f t="shared" si="8"/>
        <v>681.0291043155421</v>
      </c>
      <c r="J147" s="41">
        <f t="shared" si="8"/>
        <v>3010.6302267894316</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3774.2615008580033</v>
      </c>
      <c r="D152" s="41">
        <f t="shared" si="9"/>
        <v>-1717.3002067198383</v>
      </c>
      <c r="E152" s="41">
        <f t="shared" si="9"/>
        <v>858.65010335991917</v>
      </c>
      <c r="F152" s="41">
        <f t="shared" si="9"/>
        <v>-136.96129413816448</v>
      </c>
      <c r="G152" s="41">
        <f t="shared" si="9"/>
        <v>547.8451765526579</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7800</v>
      </c>
      <c r="C153" s="41">
        <f t="shared" si="9"/>
        <v>-1717.3002067198383</v>
      </c>
      <c r="D153" s="41">
        <f t="shared" si="9"/>
        <v>4419.2617313820574</v>
      </c>
      <c r="E153" s="41">
        <f t="shared" si="9"/>
        <v>2087.5243842281193</v>
      </c>
      <c r="F153" s="41">
        <f t="shared" si="9"/>
        <v>-1843.3114213023002</v>
      </c>
      <c r="G153" s="41">
        <f t="shared" si="9"/>
        <v>-1228.8742808682</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-7800</v>
      </c>
      <c r="B154" s="13" t="s">
        <v>220</v>
      </c>
      <c r="C154" s="41">
        <f t="shared" si="9"/>
        <v>858.65010335991917</v>
      </c>
      <c r="D154" s="41">
        <f t="shared" si="9"/>
        <v>2087.5243842281193</v>
      </c>
      <c r="E154" s="41">
        <f t="shared" si="9"/>
        <v>4683.1749856984361</v>
      </c>
      <c r="F154" s="41">
        <f t="shared" si="9"/>
        <v>-1228.8742808682</v>
      </c>
      <c r="G154" s="41">
        <f t="shared" si="9"/>
        <v>-819.2495205788</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6000</v>
      </c>
      <c r="C155" s="41">
        <f t="shared" si="9"/>
        <v>-136.96129413816448</v>
      </c>
      <c r="D155" s="41">
        <f t="shared" si="9"/>
        <v>-1843.3114213023002</v>
      </c>
      <c r="E155" s="41">
        <f t="shared" si="9"/>
        <v>-1228.8742808682</v>
      </c>
      <c r="F155" s="41">
        <f t="shared" si="9"/>
        <v>1980.2727154404647</v>
      </c>
      <c r="G155" s="41">
        <f t="shared" si="9"/>
        <v>681.0291043155421</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-6000</v>
      </c>
      <c r="C156" s="41">
        <f t="shared" si="9"/>
        <v>547.8451765526579</v>
      </c>
      <c r="D156" s="41">
        <f t="shared" si="9"/>
        <v>-1228.8742808682</v>
      </c>
      <c r="E156" s="41">
        <f t="shared" si="9"/>
        <v>-819.2495205788</v>
      </c>
      <c r="F156" s="41">
        <f t="shared" si="9"/>
        <v>681.0291043155421</v>
      </c>
      <c r="G156" s="41">
        <f t="shared" si="9"/>
        <v>3010.6302267894316</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5.2083333333333343E-4</v>
      </c>
      <c r="D160" s="93">
        <v>4.1666666666666675E-4</v>
      </c>
      <c r="E160" s="93">
        <v>-2.0833333333333343E-4</v>
      </c>
      <c r="F160" s="93">
        <v>3.1250000000000006E-4</v>
      </c>
      <c r="G160" s="93">
        <v>-5.208333333333333E-5</v>
      </c>
      <c r="I160" s="17">
        <f>A152</f>
        <v>0</v>
      </c>
      <c r="L160" s="215"/>
      <c r="M160" s="172"/>
      <c r="N160" s="172"/>
      <c r="O160" s="172"/>
      <c r="P160" s="172"/>
      <c r="Q160" s="173"/>
    </row>
    <row r="161" spans="1:17" ht="16.95" customHeight="1" x14ac:dyDescent="0.3">
      <c r="A161" s="12" t="str">
        <f>I153</f>
        <v>D3X</v>
      </c>
      <c r="C161" s="93">
        <v>4.166666666666668E-4</v>
      </c>
      <c r="D161" s="93">
        <v>7.5259607911454414E-4</v>
      </c>
      <c r="E161" s="93">
        <v>-2.5983616572915804E-4</v>
      </c>
      <c r="F161" s="93">
        <v>5.5612835406247142E-4</v>
      </c>
      <c r="G161" s="93">
        <v>3.4865421848951156E-5</v>
      </c>
      <c r="I161" s="17">
        <f>A153</f>
        <v>7800</v>
      </c>
      <c r="L161" s="215"/>
      <c r="M161" s="172"/>
      <c r="N161" s="172"/>
      <c r="O161" s="172"/>
      <c r="P161" s="172"/>
      <c r="Q161" s="173"/>
    </row>
    <row r="162" spans="1:17" ht="16.95" customHeight="1" x14ac:dyDescent="0.3">
      <c r="A162" s="12" t="str">
        <f>I154</f>
        <v>D3Y</v>
      </c>
      <c r="B162" s="13" t="s">
        <v>220</v>
      </c>
      <c r="C162" s="93">
        <v>-2.083333333333334E-4</v>
      </c>
      <c r="D162" s="93">
        <v>-2.5983616572915804E-4</v>
      </c>
      <c r="E162" s="93">
        <v>3.6284183052080711E-4</v>
      </c>
      <c r="F162" s="93">
        <v>-4.514042937500764E-5</v>
      </c>
      <c r="G162" s="93">
        <v>4.0798225989581471E-5</v>
      </c>
      <c r="I162" s="17">
        <f>A154</f>
        <v>-7800</v>
      </c>
      <c r="L162" s="215"/>
      <c r="M162" s="172"/>
      <c r="N162" s="172"/>
      <c r="O162" s="172"/>
      <c r="P162" s="172"/>
      <c r="Q162" s="173"/>
    </row>
    <row r="163" spans="1:17" ht="16.95" customHeight="1" x14ac:dyDescent="0.3">
      <c r="A163" s="12" t="str">
        <f>I155</f>
        <v>D4X</v>
      </c>
      <c r="C163" s="93">
        <v>3.1250000000000011E-4</v>
      </c>
      <c r="D163" s="93">
        <v>5.5612835406247153E-4</v>
      </c>
      <c r="E163" s="93">
        <v>-4.514042937500764E-5</v>
      </c>
      <c r="F163" s="93">
        <v>1.0431094109303019E-3</v>
      </c>
      <c r="G163" s="93">
        <v>-7.8109535792350964E-5</v>
      </c>
      <c r="I163" s="17">
        <f>A155</f>
        <v>6000</v>
      </c>
      <c r="L163" s="215"/>
      <c r="M163" s="172"/>
      <c r="N163" s="172"/>
      <c r="O163" s="172"/>
      <c r="P163" s="172"/>
      <c r="Q163" s="173"/>
    </row>
    <row r="164" spans="1:17" ht="16.95" customHeight="1" x14ac:dyDescent="0.3">
      <c r="A164" s="12" t="str">
        <f>I156</f>
        <v>D4Y</v>
      </c>
      <c r="C164" s="93">
        <v>-5.2083333333333357E-5</v>
      </c>
      <c r="D164" s="93">
        <v>3.4865421848951115E-5</v>
      </c>
      <c r="E164" s="93">
        <v>4.0798225989581471E-5</v>
      </c>
      <c r="F164" s="93">
        <v>-7.8109535792351018E-5</v>
      </c>
      <c r="G164" s="93">
        <v>3.8463628217263535E-4</v>
      </c>
      <c r="I164" s="17">
        <f>A156</f>
        <v>-6000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7.0625000000000018</v>
      </c>
      <c r="D168" s="12" t="s">
        <v>267</v>
      </c>
      <c r="L168" s="215"/>
      <c r="M168" s="172"/>
      <c r="N168" s="172"/>
      <c r="O168" s="172"/>
      <c r="P168" s="172"/>
      <c r="Q168" s="173"/>
    </row>
    <row r="169" spans="1:17" ht="16.95" customHeight="1" x14ac:dyDescent="0.3">
      <c r="A169" s="12" t="str">
        <f>A161</f>
        <v>D3X</v>
      </c>
      <c r="C169" s="94">
        <v>11.024549103061998</v>
      </c>
      <c r="D169" s="12" t="s">
        <v>267</v>
      </c>
      <c r="L169" s="215"/>
      <c r="M169" s="172"/>
      <c r="N169" s="172"/>
      <c r="O169" s="172"/>
      <c r="P169" s="172"/>
      <c r="Q169" s="173"/>
    </row>
    <row r="170" spans="1:17" ht="16.95" customHeight="1" x14ac:dyDescent="0.3">
      <c r="A170" s="12" t="str">
        <f>A162</f>
        <v>D3Y</v>
      </c>
      <c r="B170" s="13" t="s">
        <v>220</v>
      </c>
      <c r="C170" s="94">
        <v>-5.3725203029372635</v>
      </c>
      <c r="D170" s="12" t="s">
        <v>267</v>
      </c>
      <c r="L170" s="215"/>
      <c r="M170" s="172"/>
      <c r="N170" s="172"/>
      <c r="O170" s="172"/>
      <c r="P170" s="172"/>
      <c r="Q170" s="173"/>
    </row>
    <row r="171" spans="1:17" ht="16.95" customHeight="1" x14ac:dyDescent="0.3">
      <c r="A171" s="12" t="str">
        <f>A163</f>
        <v>D4X</v>
      </c>
      <c r="C171" s="94">
        <v>11.417210191148255</v>
      </c>
      <c r="D171" s="12" t="s">
        <v>267</v>
      </c>
      <c r="L171" s="215"/>
      <c r="M171" s="172"/>
      <c r="N171" s="172"/>
      <c r="O171" s="172"/>
      <c r="P171" s="172"/>
      <c r="Q171" s="173"/>
    </row>
    <row r="172" spans="1:17" ht="16.95" customHeight="1" x14ac:dyDescent="0.3">
      <c r="A172" s="12" t="str">
        <f>A164</f>
        <v>D4Y</v>
      </c>
      <c r="C172" s="94">
        <v>-2.8227507800868352</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-1920</v>
      </c>
      <c r="D177" s="9">
        <f t="shared" si="10"/>
        <v>-858.65010335991917</v>
      </c>
      <c r="E177" s="9">
        <f t="shared" si="10"/>
        <v>-1717.3002067198383</v>
      </c>
      <c r="F177" s="9">
        <f t="shared" si="10"/>
        <v>0</v>
      </c>
      <c r="G177" s="9">
        <f t="shared" si="10"/>
        <v>0</v>
      </c>
      <c r="I177" s="95">
        <f>C168</f>
        <v>7.0625000000000018</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-1717.3002067198383</v>
      </c>
      <c r="E178" s="9">
        <f t="shared" si="10"/>
        <v>-3434.6004134396767</v>
      </c>
      <c r="F178" s="9">
        <f t="shared" si="10"/>
        <v>0</v>
      </c>
      <c r="G178" s="9">
        <f t="shared" si="10"/>
        <v>0</v>
      </c>
      <c r="I178" s="95">
        <f>C169</f>
        <v>11.024549103061998</v>
      </c>
      <c r="J178" s="14" t="str">
        <f>INDEX(C$128:C$135, MATCH(2, G$128:G$135, 0))</f>
        <v>U1Y</v>
      </c>
      <c r="L178" s="215" t="s">
        <v>391</v>
      </c>
      <c r="M178" s="172"/>
      <c r="N178" s="172"/>
      <c r="O178" s="172"/>
      <c r="P178" s="172"/>
      <c r="Q178" s="173"/>
    </row>
    <row r="179" spans="1:17" ht="16.95" customHeight="1" x14ac:dyDescent="0.3">
      <c r="A179" s="18" t="str">
        <f>INDEX(B$118:B$125, MATCH(J179, C$118:C$125, 0))</f>
        <v>C2Y</v>
      </c>
      <c r="C179" s="9">
        <f t="shared" si="10"/>
        <v>-1406.4952799125772</v>
      </c>
      <c r="D179" s="9">
        <f t="shared" si="10"/>
        <v>858.65010335991917</v>
      </c>
      <c r="E179" s="9">
        <f t="shared" si="10"/>
        <v>-429.32505167995959</v>
      </c>
      <c r="F179" s="9">
        <f t="shared" si="10"/>
        <v>547.8451765526579</v>
      </c>
      <c r="G179" s="9">
        <f t="shared" si="10"/>
        <v>-2191.3807062106316</v>
      </c>
      <c r="I179" s="95">
        <f>C170</f>
        <v>-5.3725203029372635</v>
      </c>
      <c r="J179" s="14" t="str">
        <f>INDEX(C$128:C$135, MATCH(3, G$128:G$135, 0))</f>
        <v>U2Y</v>
      </c>
      <c r="L179" s="215" t="s">
        <v>392</v>
      </c>
      <c r="M179" s="172"/>
      <c r="N179" s="172"/>
      <c r="O179" s="172"/>
      <c r="P179" s="172"/>
      <c r="Q179" s="173"/>
    </row>
    <row r="180" spans="1:17" ht="16.95" customHeight="1" x14ac:dyDescent="0.3">
      <c r="I180" s="95">
        <f>C171</f>
        <v>11.417210191148255</v>
      </c>
      <c r="L180" s="215" t="s">
        <v>393</v>
      </c>
      <c r="M180" s="172"/>
      <c r="N180" s="172"/>
      <c r="O180" s="172"/>
      <c r="P180" s="172"/>
      <c r="Q180" s="173"/>
    </row>
    <row r="181" spans="1:17" ht="16.95" customHeight="1" x14ac:dyDescent="0.3">
      <c r="I181" s="95">
        <f>C172</f>
        <v>-2.8227507800868352</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-13800.000000000002</v>
      </c>
      <c r="D183" s="12" t="s">
        <v>273</v>
      </c>
      <c r="L183" s="215"/>
      <c r="M183" s="172"/>
      <c r="N183" s="172"/>
      <c r="O183" s="172"/>
      <c r="P183" s="172"/>
      <c r="Q183" s="173"/>
    </row>
    <row r="184" spans="1:17" ht="16.95" customHeight="1" x14ac:dyDescent="0.3">
      <c r="A184" s="12" t="str">
        <f>A178</f>
        <v>C1Y</v>
      </c>
      <c r="B184" s="13" t="s">
        <v>220</v>
      </c>
      <c r="C184" s="17">
        <v>-479.99999999999636</v>
      </c>
      <c r="D184" s="12" t="s">
        <v>273</v>
      </c>
      <c r="L184" s="215"/>
      <c r="M184" s="172"/>
      <c r="N184" s="172"/>
      <c r="O184" s="172"/>
      <c r="P184" s="172"/>
      <c r="Q184" s="173"/>
    </row>
    <row r="185" spans="1:17" ht="16.95" customHeight="1" x14ac:dyDescent="0.3">
      <c r="A185" s="12" t="str">
        <f>A179</f>
        <v>C2Y</v>
      </c>
      <c r="C185" s="17">
        <v>14280.000000000005</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7.0625000000000018</v>
      </c>
    </row>
    <row r="193" spans="1:17" ht="19.05" customHeight="1" x14ac:dyDescent="0.3">
      <c r="A193" s="12" t="s">
        <v>231</v>
      </c>
      <c r="B193" s="12" t="s">
        <v>181</v>
      </c>
      <c r="D193" s="94">
        <f t="shared" si="11"/>
        <v>0</v>
      </c>
    </row>
    <row r="194" spans="1:17" ht="19.05" customHeight="1" x14ac:dyDescent="0.3">
      <c r="A194" s="12" t="s">
        <v>232</v>
      </c>
      <c r="B194" s="12" t="s">
        <v>182</v>
      </c>
      <c r="D194" s="94">
        <f t="shared" si="11"/>
        <v>11.024549103061998</v>
      </c>
    </row>
    <row r="195" spans="1:17" ht="19.05" customHeight="1" x14ac:dyDescent="0.3">
      <c r="A195" s="12" t="s">
        <v>234</v>
      </c>
      <c r="B195" s="12" t="s">
        <v>183</v>
      </c>
      <c r="D195" s="94">
        <f t="shared" si="11"/>
        <v>-5.3725203029372635</v>
      </c>
    </row>
    <row r="196" spans="1:17" ht="19.05" customHeight="1" x14ac:dyDescent="0.3">
      <c r="A196" s="12" t="s">
        <v>235</v>
      </c>
      <c r="B196" s="12" t="s">
        <v>184</v>
      </c>
      <c r="D196" s="94">
        <f t="shared" si="11"/>
        <v>11.417210191148255</v>
      </c>
    </row>
    <row r="197" spans="1:17" ht="19.05" customHeight="1" x14ac:dyDescent="0.3">
      <c r="A197" s="12" t="s">
        <v>236</v>
      </c>
      <c r="B197" s="12" t="s">
        <v>185</v>
      </c>
      <c r="D197" s="94">
        <f t="shared" si="11"/>
        <v>-2.8227507800868352</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1920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13560.000000000004</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7.0625000000000018</v>
      </c>
      <c r="H206" s="12" t="str">
        <f>"D" &amp; E14 &amp; "X"</f>
        <v>D2X</v>
      </c>
      <c r="L206" s="215" t="s">
        <v>400</v>
      </c>
      <c r="M206" s="172"/>
      <c r="N206" s="172"/>
      <c r="O206" s="172"/>
      <c r="P206" s="172"/>
      <c r="Q206" s="173"/>
    </row>
    <row r="207" spans="1:17" ht="16.95" customHeight="1" x14ac:dyDescent="0.3">
      <c r="G207" s="96">
        <f>IFERROR(VLOOKUP(H207, A$190:D$197, 4, FALSE), 0)</f>
        <v>0</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4293.250516799596</v>
      </c>
      <c r="C212" s="92">
        <f>-J7</f>
        <v>-0.44721359549995793</v>
      </c>
      <c r="D212" s="92">
        <f>-K7</f>
        <v>-0.89442719099991586</v>
      </c>
      <c r="E212" s="92">
        <f>J7</f>
        <v>0.44721359549995793</v>
      </c>
      <c r="F212" s="92">
        <f>K7</f>
        <v>0.89442719099991586</v>
      </c>
      <c r="G212" s="96">
        <f>IFERROR(VLOOKUP(H212, A$190:D$197, 4, FALSE), 0)</f>
        <v>0</v>
      </c>
      <c r="H212" s="12" t="str">
        <f>"D" &amp; C15 &amp; "X"</f>
        <v>D1X</v>
      </c>
      <c r="L212" s="215"/>
      <c r="M212" s="172"/>
      <c r="N212" s="172"/>
      <c r="O212" s="172"/>
      <c r="P212" s="172"/>
      <c r="Q212" s="173"/>
    </row>
    <row r="213" spans="1:17" ht="16.95" customHeight="1" x14ac:dyDescent="0.3">
      <c r="A213" s="99" t="s">
        <v>286</v>
      </c>
      <c r="B213" s="97">
        <f>(MMULT(C212:F212, G212:G215)*A212)</f>
        <v>536.65631459994563</v>
      </c>
      <c r="G213" s="96">
        <f>IFERROR(VLOOKUP(H213, A$190:D$197, 4, FALSE), 0)</f>
        <v>0</v>
      </c>
      <c r="H213" s="12" t="str">
        <f>"D" &amp; D15 &amp; "Y"</f>
        <v>D1Y</v>
      </c>
      <c r="L213" s="215"/>
      <c r="M213" s="172"/>
      <c r="N213" s="172"/>
      <c r="O213" s="172"/>
      <c r="P213" s="172"/>
      <c r="Q213" s="173"/>
    </row>
    <row r="214" spans="1:17" ht="16.95" customHeight="1" x14ac:dyDescent="0.3">
      <c r="G214" s="96">
        <f>IFERROR(VLOOKUP(H214, A$190:D$197, 4, FALSE), 0)</f>
        <v>11.024549103061998</v>
      </c>
      <c r="H214" s="12" t="str">
        <f>"D" &amp; E15 &amp; "X"</f>
        <v>D3X</v>
      </c>
      <c r="L214" s="215"/>
      <c r="M214" s="172"/>
      <c r="N214" s="172"/>
      <c r="O214" s="172"/>
      <c r="P214" s="172"/>
      <c r="Q214" s="173"/>
    </row>
    <row r="215" spans="1:17" ht="16.95" customHeight="1" x14ac:dyDescent="0.3">
      <c r="G215" s="96">
        <f>IFERROR(VLOOKUP(H215, A$190:D$197, 4, FALSE), 0)</f>
        <v>-5.3725203029372635</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TRACCIÓN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2146.625258399798</v>
      </c>
      <c r="C220" s="92">
        <f>-J8</f>
        <v>-0.89442719099991586</v>
      </c>
      <c r="D220" s="92">
        <f>-K8</f>
        <v>0.44721359549995793</v>
      </c>
      <c r="E220" s="92">
        <f>J8</f>
        <v>0.89442719099991586</v>
      </c>
      <c r="F220" s="92">
        <f>K8</f>
        <v>-0.44721359549995793</v>
      </c>
      <c r="G220" s="96">
        <f>IFERROR(VLOOKUP(H220, A$190:D$197, 4, FALSE), 0)</f>
        <v>11.024549103061998</v>
      </c>
      <c r="H220" s="12" t="str">
        <f>"D" &amp; C16 &amp; "X"</f>
        <v>D3X</v>
      </c>
      <c r="L220" s="215"/>
      <c r="M220" s="172"/>
      <c r="N220" s="172"/>
      <c r="O220" s="172"/>
      <c r="P220" s="172"/>
      <c r="Q220" s="173"/>
    </row>
    <row r="221" spans="1:17" ht="16.95" customHeight="1" x14ac:dyDescent="0.3">
      <c r="A221" s="99" t="s">
        <v>287</v>
      </c>
      <c r="B221" s="97">
        <f>(MMULT(C220:F220, G220:G223)*A220)</f>
        <v>-12764.753768698803</v>
      </c>
      <c r="G221" s="96">
        <f>IFERROR(VLOOKUP(H221, A$190:D$197, 4, FALSE), 0)</f>
        <v>-5.3725203029372635</v>
      </c>
      <c r="H221" s="12" t="str">
        <f>"D" &amp; D16 &amp; "Y"</f>
        <v>D3Y</v>
      </c>
      <c r="L221" s="215"/>
      <c r="M221" s="172"/>
      <c r="N221" s="172"/>
      <c r="O221" s="172"/>
      <c r="P221" s="172"/>
      <c r="Q221" s="173"/>
    </row>
    <row r="222" spans="1:17" ht="16.95" customHeight="1" x14ac:dyDescent="0.3">
      <c r="G222" s="96">
        <f>IFERROR(VLOOKUP(H222, A$190:D$197, 4, FALSE), 0)</f>
        <v>7.0625000000000018</v>
      </c>
      <c r="H222" s="12" t="str">
        <f>"D" &amp; E16 &amp; "X"</f>
        <v>D2X</v>
      </c>
      <c r="L222" s="215"/>
      <c r="M222" s="172"/>
      <c r="N222" s="172"/>
      <c r="O222" s="172"/>
      <c r="P222" s="172"/>
      <c r="Q222" s="173"/>
    </row>
    <row r="223" spans="1:17" ht="16.95" customHeight="1" x14ac:dyDescent="0.3">
      <c r="G223" s="96">
        <f>IFERROR(VLOOKUP(H223, A$190:D$197, 4, FALSE), 0)</f>
        <v>0</v>
      </c>
      <c r="H223" s="12" t="str">
        <f>"D" &amp; F16 &amp; "Y"</f>
        <v>D2Y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2662.5609418811</v>
      </c>
      <c r="C228" s="92">
        <f>-J9</f>
        <v>-0.83205029433784372</v>
      </c>
      <c r="D228" s="92">
        <f>-K9</f>
        <v>-0.55470019622522915</v>
      </c>
      <c r="E228" s="92">
        <f>J9</f>
        <v>0.83205029433784372</v>
      </c>
      <c r="F228" s="92">
        <f>K9</f>
        <v>0.55470019622522915</v>
      </c>
      <c r="G228" s="96">
        <f>IFERROR(VLOOKUP(H228, A$190:D$197, 4, FALSE), 0)</f>
        <v>11.024549103061998</v>
      </c>
      <c r="H228" s="12" t="str">
        <f>"D" &amp; C17 &amp; "X"</f>
        <v>D3X</v>
      </c>
    </row>
    <row r="229" spans="1:17" ht="19.95" customHeight="1" x14ac:dyDescent="0.3">
      <c r="A229" s="99" t="s">
        <v>288</v>
      </c>
      <c r="B229" s="97">
        <f>(MMULT(C228:F228, G228:G231)*A228)</f>
        <v>4635.7087827394171</v>
      </c>
      <c r="G229" s="96">
        <f>IFERROR(VLOOKUP(H229, A$190:D$197, 4, FALSE), 0)</f>
        <v>-5.3725203029372635</v>
      </c>
      <c r="H229" s="12" t="str">
        <f>"D" &amp; D17 &amp; "Y"</f>
        <v>D3Y</v>
      </c>
    </row>
    <row r="230" spans="1:17" ht="19.95" customHeight="1" x14ac:dyDescent="0.3">
      <c r="G230" s="96">
        <f>IFERROR(VLOOKUP(H230, A$190:D$197, 4, FALSE), 0)</f>
        <v>11.417210191148255</v>
      </c>
      <c r="H230" s="12" t="str">
        <f>"D" &amp; E17 &amp; "X"</f>
        <v>D4X</v>
      </c>
    </row>
    <row r="231" spans="1:17" ht="19.95" customHeight="1" x14ac:dyDescent="0.3">
      <c r="G231" s="96">
        <f>IFERROR(VLOOKUP(H231, A$190:D$197, 4, FALSE), 0)</f>
        <v>-2.8227507800868352</v>
      </c>
      <c r="H231" s="12" t="str">
        <f>"D" &amp; F17 &amp; "Y"</f>
        <v>D4Y</v>
      </c>
    </row>
    <row r="232" spans="1:17" ht="19.95" customHeight="1" x14ac:dyDescent="0.3">
      <c r="B232" s="99" t="s">
        <v>273</v>
      </c>
      <c r="C232" s="178" t="str">
        <f>IF(B229&gt;0.001,"BARRA A TRACCIÓN (+)",IF(B229&lt;-0.001,"BARRA A COMPRESIÓN (-)","BARRA DE FUERZA NULA"))</f>
        <v>BARRA A TRACCIÓN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2328.3420003487963</v>
      </c>
      <c r="C236" s="92">
        <f>-J10</f>
        <v>-0.24253562503633297</v>
      </c>
      <c r="D236" s="92">
        <f>-K10</f>
        <v>0.97014250014533188</v>
      </c>
      <c r="E236" s="92">
        <f>J10</f>
        <v>0.24253562503633297</v>
      </c>
      <c r="F236" s="92">
        <f>K10</f>
        <v>-0.97014250014533188</v>
      </c>
      <c r="G236" s="96">
        <f>IFERROR(VLOOKUP(H236, A$190:D$197, 4, FALSE), 0)</f>
        <v>11.417210191148255</v>
      </c>
      <c r="H236" s="12" t="str">
        <f>"D" &amp; C18 &amp; "X"</f>
        <v>D4X</v>
      </c>
    </row>
    <row r="237" spans="1:17" ht="19.95" customHeight="1" x14ac:dyDescent="0.3">
      <c r="A237" s="99" t="s">
        <v>289</v>
      </c>
      <c r="B237" s="97">
        <f>(MMULT(C236:F236, G236:G239)*A236)</f>
        <v>-8835.226340609277</v>
      </c>
      <c r="G237" s="96">
        <f>IFERROR(VLOOKUP(H237, A$190:D$197, 4, FALSE), 0)</f>
        <v>-2.8227507800868352</v>
      </c>
      <c r="H237" s="12" t="str">
        <f>"D" &amp; D18 &amp; "Y"</f>
        <v>D4Y</v>
      </c>
    </row>
    <row r="238" spans="1:17" ht="19.95" customHeight="1" x14ac:dyDescent="0.3">
      <c r="G238" s="96">
        <f>IFERROR(VLOOKUP(H238, A$190:D$197, 4, FALSE), 0)</f>
        <v>7.0625000000000018</v>
      </c>
      <c r="H238" s="12" t="str">
        <f>"D" &amp; E18 &amp; "X"</f>
        <v>D2X</v>
      </c>
    </row>
    <row r="239" spans="1:17" ht="19.95" customHeight="1" x14ac:dyDescent="0.3">
      <c r="G239" s="96">
        <f>IFERROR(VLOOKUP(H239, A$190:D$197, 4, FALSE), 0)</f>
        <v>0</v>
      </c>
      <c r="H239" s="12" t="str">
        <f>"D" &amp; F18 &amp; "Y"</f>
        <v>D2Y</v>
      </c>
    </row>
    <row r="240" spans="1:17" ht="19.95" customHeight="1" x14ac:dyDescent="0.3">
      <c r="B240" s="99" t="s">
        <v>273</v>
      </c>
      <c r="C240" s="178" t="str">
        <f>IF(B237&gt;0.001,"BARRA A TRACCIÓN (+)",IF(B237&lt;-0.001,"BARRA A COMPRESIÓN (-)","BARRA DE FUERZA NULA"))</f>
        <v>BARRA A COMPRESIÓN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1000</v>
      </c>
      <c r="F245" s="9">
        <f>L6</f>
        <v>16</v>
      </c>
      <c r="G245" s="97">
        <f>B205</f>
        <v>13560.000000000004</v>
      </c>
      <c r="H245" s="84" t="str">
        <f>C208</f>
        <v>BARRA A TRACCIÓN (+)</v>
      </c>
    </row>
    <row r="246" spans="2:8" ht="19.95" customHeight="1" x14ac:dyDescent="0.3">
      <c r="B246" s="25">
        <v>2</v>
      </c>
      <c r="C246" s="86">
        <f>C15</f>
        <v>1</v>
      </c>
      <c r="D246" s="86">
        <f>E15</f>
        <v>3</v>
      </c>
      <c r="E246" s="9">
        <f>I7</f>
        <v>447.21359549995793</v>
      </c>
      <c r="F246" s="9">
        <f>L7</f>
        <v>16</v>
      </c>
      <c r="G246" s="97">
        <f>B213</f>
        <v>536.65631459994563</v>
      </c>
      <c r="H246" s="84" t="str">
        <f>C216</f>
        <v>BARRA A TRACCIÓN (+)</v>
      </c>
    </row>
    <row r="247" spans="2:8" ht="19.95" customHeight="1" x14ac:dyDescent="0.3">
      <c r="B247" s="26">
        <v>3</v>
      </c>
      <c r="C247" s="86">
        <f>C16</f>
        <v>3</v>
      </c>
      <c r="D247" s="86">
        <f>E16</f>
        <v>2</v>
      </c>
      <c r="E247" s="9">
        <f>I8</f>
        <v>894.42719099991587</v>
      </c>
      <c r="F247" s="9">
        <f>L8</f>
        <v>16</v>
      </c>
      <c r="G247" s="97">
        <f>B221</f>
        <v>-12764.753768698803</v>
      </c>
      <c r="H247" s="84" t="str">
        <f>C224</f>
        <v>BARRA A COMPRESIÓN (-)</v>
      </c>
    </row>
    <row r="248" spans="2:8" ht="19.95" customHeight="1" x14ac:dyDescent="0.3">
      <c r="B248" s="43">
        <v>4</v>
      </c>
      <c r="C248" s="86">
        <f>C17</f>
        <v>3</v>
      </c>
      <c r="D248" s="86">
        <f>E17</f>
        <v>4</v>
      </c>
      <c r="E248" s="9">
        <f>I9</f>
        <v>721.11025509279784</v>
      </c>
      <c r="F248" s="9">
        <f>L9</f>
        <v>16</v>
      </c>
      <c r="G248" s="97">
        <f>B229</f>
        <v>4635.7087827394171</v>
      </c>
      <c r="H248" s="84" t="str">
        <f>C232</f>
        <v>BARRA A TRACCIÓN (+)</v>
      </c>
    </row>
    <row r="249" spans="2:8" ht="19.95" customHeight="1" x14ac:dyDescent="0.3">
      <c r="B249" s="44">
        <v>5</v>
      </c>
      <c r="C249" s="86">
        <f>C18</f>
        <v>4</v>
      </c>
      <c r="D249" s="86">
        <f>E18</f>
        <v>2</v>
      </c>
      <c r="E249" s="9">
        <f>I10</f>
        <v>824.62112512353212</v>
      </c>
      <c r="F249" s="9">
        <f>L10</f>
        <v>16</v>
      </c>
      <c r="G249" s="97">
        <f>B237</f>
        <v>-8835.226340609277</v>
      </c>
      <c r="H249" s="84" t="str">
        <f>C240</f>
        <v>BARRA A COMPRESIÓN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48"/>
  <sheetViews>
    <sheetView topLeftCell="G8"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432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433</v>
      </c>
      <c r="K14" s="172"/>
      <c r="L14" s="172"/>
      <c r="M14" s="172"/>
      <c r="N14" s="172"/>
      <c r="O14" s="173"/>
      <c r="AA14" s="20">
        <f>IF(E31="","",E31)</f>
        <v>1000</v>
      </c>
      <c r="AB14" s="20">
        <f>IF(F31="","",F31)</f>
        <v>0</v>
      </c>
      <c r="AC14" t="s">
        <v>328</v>
      </c>
    </row>
    <row r="15" spans="2:29" ht="19.05" customHeight="1" x14ac:dyDescent="0.3">
      <c r="B15" s="89">
        <v>2</v>
      </c>
      <c r="C15" s="21">
        <v>500</v>
      </c>
      <c r="D15" s="21">
        <v>0</v>
      </c>
      <c r="E15" s="21" t="s">
        <v>326</v>
      </c>
      <c r="F15" s="88">
        <f t="shared" si="0"/>
        <v>0</v>
      </c>
      <c r="G15" s="88">
        <f t="shared" si="1"/>
        <v>0</v>
      </c>
      <c r="H15" s="22">
        <v>0</v>
      </c>
      <c r="I15" s="22">
        <v>-3500</v>
      </c>
      <c r="J15" s="205" t="s">
        <v>434</v>
      </c>
      <c r="K15" s="172"/>
      <c r="L15" s="172"/>
      <c r="M15" s="172"/>
      <c r="N15" s="172"/>
      <c r="O15" s="173"/>
      <c r="AA15" s="20">
        <f>IF(G31="","",G31)</f>
        <v>500</v>
      </c>
      <c r="AB15" s="20">
        <f>IF(H31="","",H31)</f>
        <v>400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500</v>
      </c>
      <c r="D17" s="21">
        <v>400</v>
      </c>
      <c r="E17" s="21" t="s">
        <v>326</v>
      </c>
      <c r="F17" s="88">
        <f t="shared" si="0"/>
        <v>0</v>
      </c>
      <c r="G17" s="88">
        <f t="shared" si="1"/>
        <v>0</v>
      </c>
      <c r="H17" s="22">
        <v>0</v>
      </c>
      <c r="I17" s="22">
        <v>-7500</v>
      </c>
      <c r="J17" s="205" t="s">
        <v>436</v>
      </c>
      <c r="K17" s="172"/>
      <c r="L17" s="172"/>
      <c r="M17" s="172"/>
      <c r="N17" s="172"/>
      <c r="O17" s="173"/>
      <c r="AA17" s="20">
        <f>IF(E32="","",E32)</f>
        <v>500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3</v>
      </c>
      <c r="D31" s="23">
        <v>4</v>
      </c>
      <c r="E31" s="5">
        <f t="shared" si="2"/>
        <v>1000</v>
      </c>
      <c r="F31" s="5">
        <f t="shared" si="3"/>
        <v>0</v>
      </c>
      <c r="G31" s="5">
        <f t="shared" si="4"/>
        <v>500</v>
      </c>
      <c r="H31" s="5">
        <f t="shared" si="5"/>
        <v>400</v>
      </c>
      <c r="I31" s="9">
        <f t="shared" si="6"/>
        <v>-500</v>
      </c>
      <c r="J31" s="9">
        <f t="shared" si="7"/>
        <v>400</v>
      </c>
      <c r="K31" s="9">
        <f t="shared" si="8"/>
        <v>640.31242374328485</v>
      </c>
      <c r="L31" s="92">
        <f t="shared" si="9"/>
        <v>-0.78086880944303039</v>
      </c>
      <c r="M31" s="92">
        <f t="shared" si="10"/>
        <v>0.62469504755442429</v>
      </c>
      <c r="N31" s="22">
        <v>12</v>
      </c>
      <c r="O31" s="24">
        <v>2100000</v>
      </c>
    </row>
    <row r="32" spans="2:29" ht="19.05" customHeight="1" x14ac:dyDescent="0.3">
      <c r="B32" s="89">
        <v>5</v>
      </c>
      <c r="C32" s="23">
        <v>2</v>
      </c>
      <c r="D32" s="23">
        <v>4</v>
      </c>
      <c r="E32" s="5">
        <f t="shared" si="2"/>
        <v>500</v>
      </c>
      <c r="F32" s="5">
        <f t="shared" si="3"/>
        <v>0</v>
      </c>
      <c r="G32" s="5">
        <f t="shared" si="4"/>
        <v>500</v>
      </c>
      <c r="H32" s="5">
        <f t="shared" si="5"/>
        <v>400</v>
      </c>
      <c r="I32" s="9">
        <f t="shared" si="6"/>
        <v>0</v>
      </c>
      <c r="J32" s="9">
        <f t="shared" si="7"/>
        <v>400</v>
      </c>
      <c r="K32" s="9">
        <f t="shared" si="8"/>
        <v>400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0F00-000000000000}">
      <formula1>"Fijo (articulado),Rodillo Y (despl. X libre),Rodillo X (despl. Y libre),Libre (0 reac.)"</formula1>
    </dataValidation>
  </dataValidation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437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GRAFICA_07!E28</f>
        <v>0</v>
      </c>
      <c r="D6" s="22">
        <f>GRAFICA_07!F28</f>
        <v>0</v>
      </c>
      <c r="E6" s="22">
        <f>GRAFICA_07!G28</f>
        <v>500</v>
      </c>
      <c r="F6" s="22">
        <f>GRAFICA_07!H28</f>
        <v>0</v>
      </c>
      <c r="G6" s="9">
        <f t="shared" ref="G6:H10" si="0">E6-C6</f>
        <v>500</v>
      </c>
      <c r="H6" s="9">
        <f t="shared" si="0"/>
        <v>0</v>
      </c>
      <c r="I6" s="9">
        <f>SQRT(G6*G6+H6*H6)</f>
        <v>500</v>
      </c>
      <c r="J6" s="92">
        <f>G6/I6</f>
        <v>1</v>
      </c>
      <c r="K6" s="92">
        <f>H6/I6</f>
        <v>0</v>
      </c>
      <c r="L6" s="22">
        <f>GRAFICA_07!N28</f>
        <v>12</v>
      </c>
      <c r="M6" s="22">
        <f>GRAFICA_07!O28</f>
        <v>2100000</v>
      </c>
      <c r="N6" s="6">
        <f>L6*M6/I6</f>
        <v>50400</v>
      </c>
    </row>
    <row r="7" spans="2:14" ht="19.05" customHeight="1" x14ac:dyDescent="0.3">
      <c r="B7" s="25">
        <v>2</v>
      </c>
      <c r="C7" s="22">
        <f>GRAFICA_07!E29</f>
        <v>500</v>
      </c>
      <c r="D7" s="22">
        <f>GRAFICA_07!F29</f>
        <v>0</v>
      </c>
      <c r="E7" s="22">
        <f>GRAFICA_07!G29</f>
        <v>1000</v>
      </c>
      <c r="F7" s="22">
        <f>GRAFICA_07!H29</f>
        <v>0</v>
      </c>
      <c r="G7" s="9">
        <f t="shared" si="0"/>
        <v>500</v>
      </c>
      <c r="H7" s="9">
        <f t="shared" si="0"/>
        <v>0</v>
      </c>
      <c r="I7" s="9">
        <f>SQRT(G7*G7+H7*H7)</f>
        <v>500</v>
      </c>
      <c r="J7" s="92">
        <f>G7/I7</f>
        <v>1</v>
      </c>
      <c r="K7" s="92">
        <f>H7/I7</f>
        <v>0</v>
      </c>
      <c r="L7" s="22">
        <f>GRAFICA_07!N29</f>
        <v>12</v>
      </c>
      <c r="M7" s="22">
        <f>GRAFICA_07!O29</f>
        <v>2100000</v>
      </c>
      <c r="N7" s="6">
        <f>L7*M7/I7</f>
        <v>50400</v>
      </c>
    </row>
    <row r="8" spans="2:14" ht="19.05" customHeight="1" x14ac:dyDescent="0.3">
      <c r="B8" s="26">
        <v>3</v>
      </c>
      <c r="C8" s="22">
        <f>GRAFICA_07!E30</f>
        <v>0</v>
      </c>
      <c r="D8" s="22">
        <f>GRAFICA_07!F30</f>
        <v>0</v>
      </c>
      <c r="E8" s="22">
        <f>GRAFICA_07!G30</f>
        <v>500</v>
      </c>
      <c r="F8" s="22">
        <f>GRAFICA_07!H30</f>
        <v>400</v>
      </c>
      <c r="G8" s="9">
        <f t="shared" si="0"/>
        <v>500</v>
      </c>
      <c r="H8" s="9">
        <f t="shared" si="0"/>
        <v>400</v>
      </c>
      <c r="I8" s="9">
        <f>SQRT(G8*G8+H8*H8)</f>
        <v>640.31242374328485</v>
      </c>
      <c r="J8" s="92">
        <f>G8/I8</f>
        <v>0.78086880944303039</v>
      </c>
      <c r="K8" s="92">
        <f>H8/I8</f>
        <v>0.62469504755442429</v>
      </c>
      <c r="L8" s="22">
        <f>GRAFICA_07!N30</f>
        <v>12</v>
      </c>
      <c r="M8" s="22">
        <f>GRAFICA_07!O30</f>
        <v>2100000</v>
      </c>
      <c r="N8" s="6">
        <f>L8*M8/I8</f>
        <v>39355.787995928731</v>
      </c>
    </row>
    <row r="9" spans="2:14" ht="19.05" customHeight="1" x14ac:dyDescent="0.3">
      <c r="B9" s="43">
        <v>4</v>
      </c>
      <c r="C9" s="22">
        <f>GRAFICA_07!E31</f>
        <v>1000</v>
      </c>
      <c r="D9" s="22">
        <f>GRAFICA_07!F31</f>
        <v>0</v>
      </c>
      <c r="E9" s="22">
        <f>GRAFICA_07!G31</f>
        <v>500</v>
      </c>
      <c r="F9" s="22">
        <f>GRAFICA_07!H31</f>
        <v>400</v>
      </c>
      <c r="G9" s="9">
        <f t="shared" si="0"/>
        <v>-500</v>
      </c>
      <c r="H9" s="9">
        <f t="shared" si="0"/>
        <v>400</v>
      </c>
      <c r="I9" s="9">
        <f>SQRT(G9*G9+H9*H9)</f>
        <v>640.31242374328485</v>
      </c>
      <c r="J9" s="92">
        <f>G9/I9</f>
        <v>-0.78086880944303039</v>
      </c>
      <c r="K9" s="92">
        <f>H9/I9</f>
        <v>0.62469504755442429</v>
      </c>
      <c r="L9" s="22">
        <f>GRAFICA_07!N31</f>
        <v>12</v>
      </c>
      <c r="M9" s="22">
        <f>GRAFICA_07!O31</f>
        <v>2100000</v>
      </c>
      <c r="N9" s="6">
        <f>L9*M9/I9</f>
        <v>39355.787995928731</v>
      </c>
    </row>
    <row r="10" spans="2:14" ht="19.05" customHeight="1" x14ac:dyDescent="0.3">
      <c r="B10" s="44">
        <v>5</v>
      </c>
      <c r="C10" s="22">
        <f>GRAFICA_07!E32</f>
        <v>500</v>
      </c>
      <c r="D10" s="22">
        <f>GRAFICA_07!F32</f>
        <v>0</v>
      </c>
      <c r="E10" s="22">
        <f>GRAFICA_07!G32</f>
        <v>500</v>
      </c>
      <c r="F10" s="22">
        <f>GRAFICA_07!H32</f>
        <v>400</v>
      </c>
      <c r="G10" s="9">
        <f t="shared" si="0"/>
        <v>0</v>
      </c>
      <c r="H10" s="9">
        <f t="shared" si="0"/>
        <v>400</v>
      </c>
      <c r="I10" s="9">
        <f>SQRT(G10*G10+H10*H10)</f>
        <v>400</v>
      </c>
      <c r="J10" s="92">
        <f>G10/I10</f>
        <v>0</v>
      </c>
      <c r="K10" s="92">
        <f>H10/I10</f>
        <v>1</v>
      </c>
      <c r="L10" s="22">
        <f>GRAFICA_07!N32</f>
        <v>12</v>
      </c>
      <c r="M10" s="22">
        <f>GRAFICA_07!O32</f>
        <v>2100000</v>
      </c>
      <c r="N10" s="6">
        <f>L10*M10/I10</f>
        <v>63000</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GRAFICA_07!C28</f>
        <v>1</v>
      </c>
      <c r="D14" s="23">
        <f>GRAFICA_07!C28</f>
        <v>1</v>
      </c>
      <c r="E14" s="23">
        <f>GRAFICA_07!D28</f>
        <v>2</v>
      </c>
      <c r="F14" s="23">
        <f>GRAFICA_07!D28</f>
        <v>2</v>
      </c>
    </row>
    <row r="15" spans="2:14" ht="19.05" customHeight="1" x14ac:dyDescent="0.3">
      <c r="B15" s="25">
        <v>2</v>
      </c>
      <c r="C15" s="23">
        <f>GRAFICA_07!C29</f>
        <v>2</v>
      </c>
      <c r="D15" s="23">
        <f>GRAFICA_07!C29</f>
        <v>2</v>
      </c>
      <c r="E15" s="23">
        <f>GRAFICA_07!D29</f>
        <v>3</v>
      </c>
      <c r="F15" s="23">
        <f>GRAFICA_07!D29</f>
        <v>3</v>
      </c>
    </row>
    <row r="16" spans="2:14" ht="19.05" customHeight="1" x14ac:dyDescent="0.3">
      <c r="B16" s="26">
        <v>3</v>
      </c>
      <c r="C16" s="23">
        <f>GRAFICA_07!C30</f>
        <v>1</v>
      </c>
      <c r="D16" s="23">
        <f>GRAFICA_07!C30</f>
        <v>1</v>
      </c>
      <c r="E16" s="23">
        <f>GRAFICA_07!D30</f>
        <v>4</v>
      </c>
      <c r="F16" s="23">
        <f>GRAFICA_07!D30</f>
        <v>4</v>
      </c>
    </row>
    <row r="17" spans="1:10" ht="19.05" customHeight="1" x14ac:dyDescent="0.3">
      <c r="B17" s="43">
        <v>4</v>
      </c>
      <c r="C17" s="23">
        <f>GRAFICA_07!C31</f>
        <v>3</v>
      </c>
      <c r="D17" s="23">
        <f>GRAFICA_07!C31</f>
        <v>3</v>
      </c>
      <c r="E17" s="23">
        <f>GRAFICA_07!D31</f>
        <v>4</v>
      </c>
      <c r="F17" s="23">
        <f>GRAFICA_07!D31</f>
        <v>4</v>
      </c>
    </row>
    <row r="18" spans="1:10" ht="19.05" customHeight="1" x14ac:dyDescent="0.3">
      <c r="B18" s="44">
        <v>5</v>
      </c>
      <c r="C18" s="23">
        <f>GRAFICA_07!C32</f>
        <v>2</v>
      </c>
      <c r="D18" s="23">
        <f>GRAFICA_07!C32</f>
        <v>2</v>
      </c>
      <c r="E18" s="23">
        <f>GRAFICA_07!D32</f>
        <v>4</v>
      </c>
      <c r="F18" s="23">
        <f>GRAFICA_07!D32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50400</v>
      </c>
      <c r="C39" s="30">
        <f>J7*K7*N7</f>
        <v>0</v>
      </c>
      <c r="D39" s="30">
        <f>-B39</f>
        <v>-50400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-50400</v>
      </c>
      <c r="C41" s="30">
        <f>E39</f>
        <v>0</v>
      </c>
      <c r="D41" s="30">
        <f>B39</f>
        <v>50400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50400</v>
      </c>
      <c r="E47" s="31">
        <f t="shared" si="2"/>
        <v>0</v>
      </c>
      <c r="F47" s="31">
        <f t="shared" si="2"/>
        <v>-50400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-50400</v>
      </c>
      <c r="E49" s="31">
        <f t="shared" si="2"/>
        <v>0</v>
      </c>
      <c r="F49" s="31">
        <f t="shared" si="2"/>
        <v>50400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23997.431704834595</v>
      </c>
      <c r="C56" s="33">
        <f>J8*K8*N8</f>
        <v>19197.945363867675</v>
      </c>
      <c r="D56" s="33">
        <f>-B56</f>
        <v>-23997.431704834595</v>
      </c>
      <c r="E56" s="33">
        <f>-C56</f>
        <v>-19197.945363867675</v>
      </c>
      <c r="F56" s="32" t="str">
        <f>B55</f>
        <v>U1X</v>
      </c>
    </row>
    <row r="57" spans="1:10" ht="16.8" customHeight="1" x14ac:dyDescent="0.3">
      <c r="A57" s="28" t="s">
        <v>193</v>
      </c>
      <c r="B57" s="33">
        <f>C56</f>
        <v>19197.945363867675</v>
      </c>
      <c r="C57" s="33">
        <f>K8*K8*N8</f>
        <v>15358.35629109414</v>
      </c>
      <c r="D57" s="33">
        <f>-B57</f>
        <v>-19197.945363867675</v>
      </c>
      <c r="E57" s="33">
        <f>-C57</f>
        <v>-15358.35629109414</v>
      </c>
      <c r="F57" s="32" t="str">
        <f>C55</f>
        <v>U1Y</v>
      </c>
    </row>
    <row r="58" spans="1:10" x14ac:dyDescent="0.3">
      <c r="B58" s="33">
        <f>D56</f>
        <v>-23997.431704834595</v>
      </c>
      <c r="C58" s="33">
        <f>E56</f>
        <v>-19197.945363867675</v>
      </c>
      <c r="D58" s="33">
        <f>B56</f>
        <v>23997.431704834595</v>
      </c>
      <c r="E58" s="33">
        <f>C56</f>
        <v>19197.945363867675</v>
      </c>
      <c r="F58" s="32" t="str">
        <f>D55</f>
        <v>U4X</v>
      </c>
    </row>
    <row r="59" spans="1:10" x14ac:dyDescent="0.3">
      <c r="B59" s="33">
        <f>D57</f>
        <v>-19197.945363867675</v>
      </c>
      <c r="C59" s="33">
        <f>E57</f>
        <v>-15358.35629109414</v>
      </c>
      <c r="D59" s="33">
        <f>B57</f>
        <v>19197.945363867675</v>
      </c>
      <c r="E59" s="33">
        <f>C57</f>
        <v>15358.35629109414</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23997.431704834595</v>
      </c>
      <c r="C62" s="34">
        <f t="shared" si="3"/>
        <v>19197.945363867675</v>
      </c>
      <c r="D62" s="9">
        <f t="shared" si="3"/>
        <v>0</v>
      </c>
      <c r="E62" s="9">
        <f t="shared" si="3"/>
        <v>0</v>
      </c>
      <c r="F62" s="9">
        <f t="shared" si="3"/>
        <v>0</v>
      </c>
      <c r="G62" s="9">
        <f t="shared" si="3"/>
        <v>0</v>
      </c>
      <c r="H62" s="34">
        <f t="shared" si="3"/>
        <v>-23997.431704834595</v>
      </c>
      <c r="I62" s="34">
        <f t="shared" si="3"/>
        <v>-19197.945363867675</v>
      </c>
      <c r="J62" s="32" t="s">
        <v>178</v>
      </c>
    </row>
    <row r="63" spans="1:10" ht="19.05" customHeight="1" x14ac:dyDescent="0.3">
      <c r="B63" s="34">
        <f t="shared" si="3"/>
        <v>19197.945363867675</v>
      </c>
      <c r="C63" s="34">
        <f t="shared" si="3"/>
        <v>15358.35629109414</v>
      </c>
      <c r="D63" s="9">
        <f t="shared" si="3"/>
        <v>0</v>
      </c>
      <c r="E63" s="9">
        <f t="shared" si="3"/>
        <v>0</v>
      </c>
      <c r="F63" s="9">
        <f t="shared" si="3"/>
        <v>0</v>
      </c>
      <c r="G63" s="9">
        <f t="shared" si="3"/>
        <v>0</v>
      </c>
      <c r="H63" s="34">
        <f t="shared" si="3"/>
        <v>-19197.945363867675</v>
      </c>
      <c r="I63" s="34">
        <f t="shared" si="3"/>
        <v>-15358.35629109414</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-23997.431704834595</v>
      </c>
      <c r="C68" s="34">
        <f t="shared" si="3"/>
        <v>-19197.945363867675</v>
      </c>
      <c r="D68" s="9">
        <f t="shared" si="3"/>
        <v>0</v>
      </c>
      <c r="E68" s="9">
        <f t="shared" si="3"/>
        <v>0</v>
      </c>
      <c r="F68" s="9">
        <f t="shared" si="3"/>
        <v>0</v>
      </c>
      <c r="G68" s="9">
        <f t="shared" si="3"/>
        <v>0</v>
      </c>
      <c r="H68" s="34">
        <f t="shared" si="3"/>
        <v>23997.431704834595</v>
      </c>
      <c r="I68" s="34">
        <f t="shared" si="3"/>
        <v>19197.945363867675</v>
      </c>
      <c r="J68" s="32" t="s">
        <v>184</v>
      </c>
    </row>
    <row r="69" spans="1:10" ht="19.05" customHeight="1" x14ac:dyDescent="0.3">
      <c r="B69" s="34">
        <f t="shared" si="3"/>
        <v>-19197.945363867675</v>
      </c>
      <c r="C69" s="34">
        <f t="shared" si="3"/>
        <v>-15358.35629109414</v>
      </c>
      <c r="D69" s="9">
        <f t="shared" si="3"/>
        <v>0</v>
      </c>
      <c r="E69" s="9">
        <f t="shared" si="3"/>
        <v>0</v>
      </c>
      <c r="F69" s="9">
        <f t="shared" si="3"/>
        <v>0</v>
      </c>
      <c r="G69" s="9">
        <f t="shared" si="3"/>
        <v>0</v>
      </c>
      <c r="H69" s="34">
        <f t="shared" si="3"/>
        <v>19197.945363867675</v>
      </c>
      <c r="I69" s="34">
        <f t="shared" si="3"/>
        <v>15358.35629109414</v>
      </c>
      <c r="J69" s="32" t="s">
        <v>185</v>
      </c>
    </row>
    <row r="72" spans="1:10" ht="18" customHeight="1" x14ac:dyDescent="0.3">
      <c r="B72" s="45" t="str">
        <f>CONCATENATE("U",C17,C$13)</f>
        <v>U3X</v>
      </c>
      <c r="C72" s="45" t="str">
        <f>CONCATENATE("U",D17,D$13)</f>
        <v>U3Y</v>
      </c>
      <c r="D72" s="45" t="str">
        <f>CONCATENATE("U",E17,E$13)</f>
        <v>U4X</v>
      </c>
      <c r="E72" s="45" t="str">
        <f>CONCATENATE("U",F17,F$13)</f>
        <v>U4Y</v>
      </c>
    </row>
    <row r="73" spans="1:10" x14ac:dyDescent="0.3">
      <c r="B73" s="46">
        <f>J9*J9*N9</f>
        <v>23997.431704834595</v>
      </c>
      <c r="C73" s="46">
        <f>J9*K9*N9</f>
        <v>-19197.945363867675</v>
      </c>
      <c r="D73" s="46">
        <f>-B73</f>
        <v>-23997.431704834595</v>
      </c>
      <c r="E73" s="46">
        <f>-C73</f>
        <v>19197.945363867675</v>
      </c>
      <c r="F73" s="45" t="str">
        <f>B72</f>
        <v>U3X</v>
      </c>
    </row>
    <row r="74" spans="1:10" ht="16.8" customHeight="1" x14ac:dyDescent="0.3">
      <c r="A74" s="28" t="s">
        <v>195</v>
      </c>
      <c r="B74" s="46">
        <f>C73</f>
        <v>-19197.945363867675</v>
      </c>
      <c r="C74" s="46">
        <f>K9*K9*N9</f>
        <v>15358.35629109414</v>
      </c>
      <c r="D74" s="46">
        <f>-B74</f>
        <v>19197.945363867675</v>
      </c>
      <c r="E74" s="46">
        <f>-C74</f>
        <v>-15358.35629109414</v>
      </c>
      <c r="F74" s="45" t="str">
        <f>C72</f>
        <v>U3Y</v>
      </c>
    </row>
    <row r="75" spans="1:10" x14ac:dyDescent="0.3">
      <c r="B75" s="46">
        <f>D73</f>
        <v>-23997.431704834595</v>
      </c>
      <c r="C75" s="46">
        <f>E73</f>
        <v>19197.945363867675</v>
      </c>
      <c r="D75" s="46">
        <f>B73</f>
        <v>23997.431704834595</v>
      </c>
      <c r="E75" s="46">
        <f>C73</f>
        <v>-19197.945363867675</v>
      </c>
      <c r="F75" s="45" t="str">
        <f>D72</f>
        <v>U4X</v>
      </c>
    </row>
    <row r="76" spans="1:10" x14ac:dyDescent="0.3">
      <c r="B76" s="46">
        <f>D74</f>
        <v>19197.945363867675</v>
      </c>
      <c r="C76" s="46">
        <f>E74</f>
        <v>-15358.35629109414</v>
      </c>
      <c r="D76" s="46">
        <f>B74</f>
        <v>-19197.945363867675</v>
      </c>
      <c r="E76" s="46">
        <f>C74</f>
        <v>15358.35629109414</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23997.431704834595</v>
      </c>
      <c r="G83" s="47">
        <f t="shared" si="4"/>
        <v>-19197.945363867675</v>
      </c>
      <c r="H83" s="47">
        <f t="shared" si="4"/>
        <v>-23997.431704834595</v>
      </c>
      <c r="I83" s="47">
        <f t="shared" si="4"/>
        <v>19197.945363867675</v>
      </c>
      <c r="J83" s="45" t="s">
        <v>182</v>
      </c>
    </row>
    <row r="84" spans="1:10" ht="19.05" customHeight="1" x14ac:dyDescent="0.3">
      <c r="B84" s="9">
        <f t="shared" si="4"/>
        <v>0</v>
      </c>
      <c r="C84" s="9">
        <f t="shared" si="4"/>
        <v>0</v>
      </c>
      <c r="D84" s="9">
        <f t="shared" si="4"/>
        <v>0</v>
      </c>
      <c r="E84" s="9">
        <f t="shared" si="4"/>
        <v>0</v>
      </c>
      <c r="F84" s="47">
        <f t="shared" si="4"/>
        <v>-19197.945363867675</v>
      </c>
      <c r="G84" s="47">
        <f t="shared" si="4"/>
        <v>15358.35629109414</v>
      </c>
      <c r="H84" s="47">
        <f t="shared" si="4"/>
        <v>19197.945363867675</v>
      </c>
      <c r="I84" s="47">
        <f t="shared" si="4"/>
        <v>-15358.35629109414</v>
      </c>
      <c r="J84" s="45" t="s">
        <v>183</v>
      </c>
    </row>
    <row r="85" spans="1:10" ht="19.05" customHeight="1" x14ac:dyDescent="0.3">
      <c r="B85" s="9">
        <f t="shared" si="4"/>
        <v>0</v>
      </c>
      <c r="C85" s="9">
        <f t="shared" si="4"/>
        <v>0</v>
      </c>
      <c r="D85" s="9">
        <f t="shared" si="4"/>
        <v>0</v>
      </c>
      <c r="E85" s="9">
        <f t="shared" si="4"/>
        <v>0</v>
      </c>
      <c r="F85" s="47">
        <f t="shared" si="4"/>
        <v>-23997.431704834595</v>
      </c>
      <c r="G85" s="47">
        <f t="shared" si="4"/>
        <v>19197.945363867675</v>
      </c>
      <c r="H85" s="47">
        <f t="shared" si="4"/>
        <v>23997.431704834595</v>
      </c>
      <c r="I85" s="47">
        <f t="shared" si="4"/>
        <v>-19197.945363867675</v>
      </c>
      <c r="J85" s="45" t="s">
        <v>184</v>
      </c>
    </row>
    <row r="86" spans="1:10" ht="19.05" customHeight="1" x14ac:dyDescent="0.3">
      <c r="B86" s="9">
        <f t="shared" si="4"/>
        <v>0</v>
      </c>
      <c r="C86" s="9">
        <f t="shared" si="4"/>
        <v>0</v>
      </c>
      <c r="D86" s="9">
        <f t="shared" si="4"/>
        <v>0</v>
      </c>
      <c r="E86" s="9">
        <f t="shared" si="4"/>
        <v>0</v>
      </c>
      <c r="F86" s="47">
        <f t="shared" si="4"/>
        <v>19197.945363867675</v>
      </c>
      <c r="G86" s="47">
        <f t="shared" si="4"/>
        <v>-15358.35629109414</v>
      </c>
      <c r="H86" s="47">
        <f t="shared" si="4"/>
        <v>-19197.945363867675</v>
      </c>
      <c r="I86" s="47">
        <f t="shared" si="4"/>
        <v>15358.35629109414</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63000</v>
      </c>
      <c r="D91" s="49">
        <f>-B91</f>
        <v>0</v>
      </c>
      <c r="E91" s="49">
        <f>-C91</f>
        <v>-63000</v>
      </c>
      <c r="F91" s="48" t="str">
        <f>C89</f>
        <v>U2Y</v>
      </c>
    </row>
    <row r="92" spans="1:10" x14ac:dyDescent="0.3">
      <c r="B92" s="49">
        <f>D90</f>
        <v>0</v>
      </c>
      <c r="C92" s="49">
        <f>E90</f>
        <v>0</v>
      </c>
      <c r="D92" s="49">
        <f>B90</f>
        <v>0</v>
      </c>
      <c r="E92" s="49">
        <f>C90</f>
        <v>0</v>
      </c>
      <c r="F92" s="48" t="str">
        <f>D89</f>
        <v>U4X</v>
      </c>
    </row>
    <row r="93" spans="1:10" x14ac:dyDescent="0.3">
      <c r="B93" s="49">
        <f>D91</f>
        <v>0</v>
      </c>
      <c r="C93" s="49">
        <f>E91</f>
        <v>-63000</v>
      </c>
      <c r="D93" s="49">
        <f>B91</f>
        <v>0</v>
      </c>
      <c r="E93" s="49">
        <f>C91</f>
        <v>63000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63000</v>
      </c>
      <c r="F99" s="9">
        <f t="shared" si="5"/>
        <v>0</v>
      </c>
      <c r="G99" s="9">
        <f t="shared" si="5"/>
        <v>0</v>
      </c>
      <c r="H99" s="50">
        <f t="shared" si="5"/>
        <v>0</v>
      </c>
      <c r="I99" s="50">
        <f t="shared" si="5"/>
        <v>-63000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-63000</v>
      </c>
      <c r="F103" s="9">
        <f t="shared" si="5"/>
        <v>0</v>
      </c>
      <c r="G103" s="9">
        <f t="shared" si="5"/>
        <v>0</v>
      </c>
      <c r="H103" s="50">
        <f t="shared" si="5"/>
        <v>0</v>
      </c>
      <c r="I103" s="50">
        <f t="shared" si="5"/>
        <v>63000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74397.431704834598</v>
      </c>
      <c r="C107" s="36">
        <f t="shared" si="6"/>
        <v>19197.945363867675</v>
      </c>
      <c r="D107" s="9">
        <f t="shared" si="6"/>
        <v>-50400</v>
      </c>
      <c r="E107" s="9">
        <f t="shared" si="6"/>
        <v>0</v>
      </c>
      <c r="F107" s="9">
        <f t="shared" si="6"/>
        <v>0</v>
      </c>
      <c r="G107" s="9">
        <f t="shared" si="6"/>
        <v>0</v>
      </c>
      <c r="H107" s="9">
        <f t="shared" si="6"/>
        <v>-23997.431704834595</v>
      </c>
      <c r="I107" s="9">
        <f t="shared" si="6"/>
        <v>-19197.945363867675</v>
      </c>
      <c r="J107" s="89" t="s">
        <v>178</v>
      </c>
    </row>
    <row r="108" spans="1:10" ht="19.95" customHeight="1" x14ac:dyDescent="0.3">
      <c r="B108" s="36">
        <f t="shared" si="6"/>
        <v>19197.945363867675</v>
      </c>
      <c r="C108" s="35">
        <f t="shared" si="6"/>
        <v>15358.35629109414</v>
      </c>
      <c r="D108" s="9">
        <f t="shared" si="6"/>
        <v>0</v>
      </c>
      <c r="E108" s="9">
        <f t="shared" si="6"/>
        <v>0</v>
      </c>
      <c r="F108" s="9">
        <f t="shared" si="6"/>
        <v>0</v>
      </c>
      <c r="G108" s="9">
        <f t="shared" si="6"/>
        <v>0</v>
      </c>
      <c r="H108" s="9">
        <f t="shared" si="6"/>
        <v>-19197.945363867675</v>
      </c>
      <c r="I108" s="9">
        <f t="shared" si="6"/>
        <v>-15358.35629109414</v>
      </c>
      <c r="J108" s="89" t="s">
        <v>179</v>
      </c>
    </row>
    <row r="109" spans="1:10" ht="19.95" customHeight="1" x14ac:dyDescent="0.3">
      <c r="B109" s="9">
        <f t="shared" si="6"/>
        <v>-50400</v>
      </c>
      <c r="C109" s="9">
        <f t="shared" si="6"/>
        <v>0</v>
      </c>
      <c r="D109" s="35">
        <f t="shared" si="6"/>
        <v>100800</v>
      </c>
      <c r="E109" s="36">
        <f t="shared" si="6"/>
        <v>0</v>
      </c>
      <c r="F109" s="9">
        <f t="shared" si="6"/>
        <v>-50400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63000</v>
      </c>
      <c r="F110" s="9">
        <f t="shared" si="6"/>
        <v>0</v>
      </c>
      <c r="G110" s="9">
        <f t="shared" si="6"/>
        <v>0</v>
      </c>
      <c r="H110" s="9">
        <f t="shared" si="6"/>
        <v>0</v>
      </c>
      <c r="I110" s="9">
        <f t="shared" si="6"/>
        <v>-63000</v>
      </c>
      <c r="J110" s="89" t="s">
        <v>181</v>
      </c>
    </row>
    <row r="111" spans="1:10" ht="19.95" customHeight="1" x14ac:dyDescent="0.3">
      <c r="B111" s="9">
        <f t="shared" si="6"/>
        <v>0</v>
      </c>
      <c r="C111" s="9">
        <f t="shared" si="6"/>
        <v>0</v>
      </c>
      <c r="D111" s="9">
        <f t="shared" si="6"/>
        <v>-50400</v>
      </c>
      <c r="E111" s="9">
        <f t="shared" si="6"/>
        <v>0</v>
      </c>
      <c r="F111" s="35">
        <f t="shared" si="6"/>
        <v>74397.431704834598</v>
      </c>
      <c r="G111" s="36">
        <f t="shared" si="6"/>
        <v>-19197.945363867675</v>
      </c>
      <c r="H111" s="9">
        <f t="shared" si="6"/>
        <v>-23997.431704834595</v>
      </c>
      <c r="I111" s="9">
        <f t="shared" si="6"/>
        <v>19197.945363867675</v>
      </c>
      <c r="J111" s="89" t="s">
        <v>182</v>
      </c>
    </row>
    <row r="112" spans="1:10" ht="19.95" customHeight="1" x14ac:dyDescent="0.3">
      <c r="B112" s="9">
        <f t="shared" si="6"/>
        <v>0</v>
      </c>
      <c r="C112" s="9">
        <f t="shared" si="6"/>
        <v>0</v>
      </c>
      <c r="D112" s="9">
        <f t="shared" si="6"/>
        <v>0</v>
      </c>
      <c r="E112" s="9">
        <f t="shared" si="6"/>
        <v>0</v>
      </c>
      <c r="F112" s="36">
        <f t="shared" si="6"/>
        <v>-19197.945363867675</v>
      </c>
      <c r="G112" s="35">
        <f t="shared" si="6"/>
        <v>15358.35629109414</v>
      </c>
      <c r="H112" s="9">
        <f t="shared" si="6"/>
        <v>19197.945363867675</v>
      </c>
      <c r="I112" s="9">
        <f t="shared" si="6"/>
        <v>-15358.35629109414</v>
      </c>
      <c r="J112" s="89" t="s">
        <v>183</v>
      </c>
    </row>
    <row r="113" spans="1:17" ht="19.95" customHeight="1" x14ac:dyDescent="0.3">
      <c r="B113" s="9">
        <f t="shared" si="6"/>
        <v>-23997.431704834595</v>
      </c>
      <c r="C113" s="9">
        <f t="shared" si="6"/>
        <v>-19197.945363867675</v>
      </c>
      <c r="D113" s="9">
        <f t="shared" si="6"/>
        <v>0</v>
      </c>
      <c r="E113" s="9">
        <f t="shared" si="6"/>
        <v>0</v>
      </c>
      <c r="F113" s="9">
        <f t="shared" si="6"/>
        <v>-23997.431704834595</v>
      </c>
      <c r="G113" s="9">
        <f t="shared" si="6"/>
        <v>19197.945363867675</v>
      </c>
      <c r="H113" s="35">
        <f t="shared" si="6"/>
        <v>47994.863409669189</v>
      </c>
      <c r="I113" s="36">
        <f t="shared" si="6"/>
        <v>0</v>
      </c>
      <c r="J113" s="89" t="s">
        <v>184</v>
      </c>
    </row>
    <row r="114" spans="1:17" ht="19.95" customHeight="1" x14ac:dyDescent="0.3">
      <c r="B114" s="9">
        <f t="shared" si="6"/>
        <v>-19197.945363867675</v>
      </c>
      <c r="C114" s="9">
        <f t="shared" si="6"/>
        <v>-15358.35629109414</v>
      </c>
      <c r="D114" s="9">
        <f t="shared" si="6"/>
        <v>0</v>
      </c>
      <c r="E114" s="9">
        <f t="shared" si="6"/>
        <v>-63000</v>
      </c>
      <c r="F114" s="9">
        <f t="shared" si="6"/>
        <v>19197.945363867675</v>
      </c>
      <c r="G114" s="9">
        <f t="shared" si="6"/>
        <v>-15358.35629109414</v>
      </c>
      <c r="H114" s="36">
        <f t="shared" si="6"/>
        <v>0</v>
      </c>
      <c r="I114" s="35">
        <f t="shared" si="6"/>
        <v>93716.71258218828</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IF(GRAFICA_07!F14=1, B118, GRAFICA_07!H14)</f>
        <v>C1X</v>
      </c>
      <c r="L118" s="215" t="s">
        <v>376</v>
      </c>
      <c r="M118" s="172"/>
      <c r="N118" s="172"/>
      <c r="O118" s="172"/>
      <c r="P118" s="172"/>
      <c r="Q118" s="173"/>
    </row>
    <row r="119" spans="1:17" ht="16.95" customHeight="1" x14ac:dyDescent="0.3">
      <c r="B119" s="12" t="s">
        <v>210</v>
      </c>
      <c r="C119" s="12" t="s">
        <v>179</v>
      </c>
      <c r="E119" s="37" t="str">
        <f>IF(GRAFICA_07!G14=1, B119, GRAFICA_07!I14)</f>
        <v>C1Y</v>
      </c>
      <c r="L119" s="215" t="s">
        <v>211</v>
      </c>
      <c r="M119" s="172"/>
      <c r="N119" s="172"/>
      <c r="O119" s="172"/>
      <c r="P119" s="172"/>
      <c r="Q119" s="173"/>
    </row>
    <row r="120" spans="1:17" ht="16.95" customHeight="1" x14ac:dyDescent="0.3">
      <c r="B120" s="12" t="s">
        <v>212</v>
      </c>
      <c r="C120" s="12" t="s">
        <v>180</v>
      </c>
      <c r="E120" s="37">
        <f>IF(GRAFICA_07!F15=1, B120, GRAFICA_07!H15)</f>
        <v>0</v>
      </c>
      <c r="L120" s="215" t="s">
        <v>377</v>
      </c>
      <c r="M120" s="172"/>
      <c r="N120" s="172"/>
      <c r="O120" s="172"/>
      <c r="P120" s="172"/>
      <c r="Q120" s="173"/>
    </row>
    <row r="121" spans="1:17" ht="16.95" customHeight="1" x14ac:dyDescent="0.3">
      <c r="A121" s="38" t="s">
        <v>218</v>
      </c>
      <c r="B121" s="12" t="s">
        <v>214</v>
      </c>
      <c r="C121" s="12" t="s">
        <v>181</v>
      </c>
      <c r="D121" s="13" t="s">
        <v>220</v>
      </c>
      <c r="E121" s="37">
        <f>IF(GRAFICA_07!G15=1, B121, GRAFICA_07!I15)</f>
        <v>-3500</v>
      </c>
      <c r="L121" s="215" t="s">
        <v>215</v>
      </c>
      <c r="M121" s="172"/>
      <c r="N121" s="172"/>
      <c r="O121" s="172"/>
      <c r="P121" s="172"/>
      <c r="Q121" s="173"/>
    </row>
    <row r="122" spans="1:17" ht="16.95" customHeight="1" x14ac:dyDescent="0.3">
      <c r="B122" s="12" t="s">
        <v>216</v>
      </c>
      <c r="C122" s="12" t="s">
        <v>182</v>
      </c>
      <c r="E122" s="37">
        <f>IF(GRAFICA_07!F16=1, B122, GRAFICA_07!H16)</f>
        <v>0</v>
      </c>
      <c r="L122" s="215" t="s">
        <v>378</v>
      </c>
      <c r="M122" s="172"/>
      <c r="N122" s="172"/>
      <c r="O122" s="172"/>
      <c r="P122" s="172"/>
      <c r="Q122" s="173"/>
    </row>
    <row r="123" spans="1:17" ht="16.95" customHeight="1" x14ac:dyDescent="0.3">
      <c r="B123" s="12" t="s">
        <v>219</v>
      </c>
      <c r="C123" s="12" t="s">
        <v>183</v>
      </c>
      <c r="E123" s="37" t="str">
        <f>IF(GRAFICA_07!G16=1, B123, GRAFICA_07!I16)</f>
        <v>C3Y</v>
      </c>
      <c r="L123" s="215" t="s">
        <v>379</v>
      </c>
      <c r="M123" s="172"/>
      <c r="N123" s="172"/>
      <c r="O123" s="172"/>
      <c r="P123" s="172"/>
      <c r="Q123" s="173"/>
    </row>
    <row r="124" spans="1:17" ht="16.95" customHeight="1" x14ac:dyDescent="0.3">
      <c r="B124" s="12" t="s">
        <v>221</v>
      </c>
      <c r="C124" s="12" t="s">
        <v>184</v>
      </c>
      <c r="E124" s="37">
        <f>IF(GRAFICA_07!F17=1, B124, GRAFICA_07!H17)</f>
        <v>0</v>
      </c>
      <c r="L124" s="215"/>
      <c r="M124" s="172"/>
      <c r="N124" s="172"/>
      <c r="O124" s="172"/>
      <c r="P124" s="172"/>
      <c r="Q124" s="173"/>
    </row>
    <row r="125" spans="1:17" ht="16.95" customHeight="1" x14ac:dyDescent="0.3">
      <c r="B125" s="12" t="s">
        <v>222</v>
      </c>
      <c r="C125" s="12" t="s">
        <v>185</v>
      </c>
      <c r="E125" s="37">
        <f>IF(GRAFICA_07!G17=1, B125, GRAFICA_07!I17)</f>
        <v>-7500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IF(GRAFICA_07!F14=1,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IF(GRAFICA_07!G14=1,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IF(GRAFICA_07!F15=1,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t="str">
        <f>IF(GRAFICA_07!G15=1, 0, B131)</f>
        <v>D2Y</v>
      </c>
      <c r="F131" s="14">
        <f>IF(E131&lt;&gt;0, COUNTIF(E$128:E131, "&lt;&gt;0"), "")</f>
        <v>2</v>
      </c>
      <c r="G131" s="14" t="str">
        <f>IF(E131=0, COUNTIF(E$128:E131, 0), "")</f>
        <v/>
      </c>
      <c r="L131" s="215"/>
      <c r="M131" s="172"/>
      <c r="N131" s="172"/>
      <c r="O131" s="172"/>
      <c r="P131" s="172"/>
      <c r="Q131" s="173"/>
    </row>
    <row r="132" spans="1:17" ht="16.95" customHeight="1" x14ac:dyDescent="0.3">
      <c r="B132" s="12" t="s">
        <v>232</v>
      </c>
      <c r="C132" s="12" t="s">
        <v>182</v>
      </c>
      <c r="E132" s="39" t="str">
        <f>IF(GRAFICA_07!F16=1, 0, B132)</f>
        <v>D3X</v>
      </c>
      <c r="F132" s="14">
        <f>IF(E132&lt;&gt;0, COUNTIF(E$128:E132, "&lt;&gt;0"), "")</f>
        <v>3</v>
      </c>
      <c r="G132" s="14" t="str">
        <f>IF(E132=0, COUNTIF(E$128:E132, 0), "")</f>
        <v/>
      </c>
      <c r="L132" s="215"/>
      <c r="M132" s="172"/>
      <c r="N132" s="172"/>
      <c r="O132" s="172"/>
      <c r="P132" s="172"/>
      <c r="Q132" s="173"/>
    </row>
    <row r="133" spans="1:17" ht="16.95" customHeight="1" x14ac:dyDescent="0.3">
      <c r="B133" s="12" t="s">
        <v>234</v>
      </c>
      <c r="C133" s="12" t="s">
        <v>183</v>
      </c>
      <c r="E133" s="39">
        <f>IF(GRAFICA_07!G16=1, 0, B133)</f>
        <v>0</v>
      </c>
      <c r="F133" s="14" t="str">
        <f>IF(E133&lt;&gt;0, COUNTIF(E$128:E133, "&lt;&gt;0"), "")</f>
        <v/>
      </c>
      <c r="G133" s="14">
        <f>IF(E133=0, COUNTIF(E$128:E133, 0), "")</f>
        <v>3</v>
      </c>
      <c r="L133" s="215"/>
      <c r="M133" s="172"/>
      <c r="N133" s="172"/>
      <c r="O133" s="172"/>
      <c r="P133" s="172"/>
      <c r="Q133" s="173"/>
    </row>
    <row r="134" spans="1:17" ht="16.95" customHeight="1" x14ac:dyDescent="0.3">
      <c r="B134" s="12" t="s">
        <v>235</v>
      </c>
      <c r="C134" s="12" t="s">
        <v>184</v>
      </c>
      <c r="E134" s="39" t="str">
        <f>IF(GRAFICA_07!F17=1,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IF(GRAFICA_07!G17=1,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74397.431704834598</v>
      </c>
      <c r="D140" s="9">
        <f t="shared" si="8"/>
        <v>19197.945363867675</v>
      </c>
      <c r="E140" s="9">
        <f t="shared" si="8"/>
        <v>-50400</v>
      </c>
      <c r="F140" s="9">
        <f t="shared" si="8"/>
        <v>0</v>
      </c>
      <c r="G140" s="9">
        <f t="shared" si="8"/>
        <v>0</v>
      </c>
      <c r="H140" s="9">
        <f t="shared" si="8"/>
        <v>0</v>
      </c>
      <c r="I140" s="9">
        <f t="shared" si="8"/>
        <v>-23997.431704834595</v>
      </c>
      <c r="J140" s="9">
        <f t="shared" si="8"/>
        <v>-19197.945363867675</v>
      </c>
      <c r="K140" s="13" t="s">
        <v>251</v>
      </c>
      <c r="L140" s="219" t="s">
        <v>380</v>
      </c>
      <c r="M140" s="172"/>
      <c r="N140" s="172"/>
      <c r="O140" s="172"/>
      <c r="P140" s="172"/>
      <c r="Q140" s="173"/>
    </row>
    <row r="141" spans="1:17" ht="16.95" customHeight="1" x14ac:dyDescent="0.3">
      <c r="A141" s="12" t="str">
        <f t="shared" si="7"/>
        <v>C1Y</v>
      </c>
      <c r="C141" s="9">
        <f t="shared" si="8"/>
        <v>19197.945363867675</v>
      </c>
      <c r="D141" s="9">
        <f t="shared" si="8"/>
        <v>15358.35629109414</v>
      </c>
      <c r="E141" s="9">
        <f t="shared" si="8"/>
        <v>0</v>
      </c>
      <c r="F141" s="9">
        <f t="shared" si="8"/>
        <v>0</v>
      </c>
      <c r="G141" s="9">
        <f t="shared" si="8"/>
        <v>0</v>
      </c>
      <c r="H141" s="9">
        <f t="shared" si="8"/>
        <v>0</v>
      </c>
      <c r="I141" s="9">
        <f t="shared" si="8"/>
        <v>-19197.945363867675</v>
      </c>
      <c r="J141" s="9">
        <f t="shared" si="8"/>
        <v>-15358.35629109414</v>
      </c>
      <c r="K141" s="13" t="s">
        <v>251</v>
      </c>
      <c r="L141" s="219" t="s">
        <v>253</v>
      </c>
      <c r="M141" s="172"/>
      <c r="N141" s="172"/>
      <c r="O141" s="172"/>
      <c r="P141" s="172"/>
      <c r="Q141" s="173"/>
    </row>
    <row r="142" spans="1:17" ht="16.95" customHeight="1" x14ac:dyDescent="0.3">
      <c r="A142" s="41">
        <f t="shared" si="7"/>
        <v>0</v>
      </c>
      <c r="C142" s="9">
        <f t="shared" si="8"/>
        <v>-50400</v>
      </c>
      <c r="D142" s="9">
        <f t="shared" si="8"/>
        <v>0</v>
      </c>
      <c r="E142" s="41">
        <f t="shared" si="8"/>
        <v>100800</v>
      </c>
      <c r="F142" s="41">
        <f t="shared" si="8"/>
        <v>0</v>
      </c>
      <c r="G142" s="41">
        <f t="shared" si="8"/>
        <v>-50400</v>
      </c>
      <c r="H142" s="9">
        <f t="shared" si="8"/>
        <v>0</v>
      </c>
      <c r="I142" s="41">
        <f t="shared" si="8"/>
        <v>0</v>
      </c>
      <c r="J142" s="41">
        <f t="shared" si="8"/>
        <v>0</v>
      </c>
      <c r="K142" s="13" t="s">
        <v>251</v>
      </c>
      <c r="L142" s="215" t="s">
        <v>254</v>
      </c>
      <c r="M142" s="172"/>
      <c r="N142" s="172"/>
      <c r="O142" s="172"/>
      <c r="P142" s="172"/>
      <c r="Q142" s="173"/>
    </row>
    <row r="143" spans="1:17" ht="16.95" customHeight="1" x14ac:dyDescent="0.3">
      <c r="A143" s="41">
        <f t="shared" si="7"/>
        <v>-3500</v>
      </c>
      <c r="C143" s="9">
        <f t="shared" si="8"/>
        <v>0</v>
      </c>
      <c r="D143" s="9">
        <f t="shared" si="8"/>
        <v>0</v>
      </c>
      <c r="E143" s="41">
        <f t="shared" si="8"/>
        <v>0</v>
      </c>
      <c r="F143" s="41">
        <f t="shared" si="8"/>
        <v>63000</v>
      </c>
      <c r="G143" s="41">
        <f t="shared" si="8"/>
        <v>0</v>
      </c>
      <c r="H143" s="9">
        <f t="shared" si="8"/>
        <v>0</v>
      </c>
      <c r="I143" s="41">
        <f t="shared" si="8"/>
        <v>0</v>
      </c>
      <c r="J143" s="41">
        <f t="shared" si="8"/>
        <v>-63000</v>
      </c>
      <c r="K143" s="13" t="s">
        <v>251</v>
      </c>
      <c r="L143" s="215" t="s">
        <v>381</v>
      </c>
      <c r="M143" s="172"/>
      <c r="N143" s="172"/>
      <c r="O143" s="172"/>
      <c r="P143" s="172"/>
      <c r="Q143" s="173"/>
    </row>
    <row r="144" spans="1:17" ht="16.95" customHeight="1" x14ac:dyDescent="0.3">
      <c r="A144" s="41">
        <f t="shared" si="7"/>
        <v>0</v>
      </c>
      <c r="B144" s="13" t="s">
        <v>220</v>
      </c>
      <c r="C144" s="9">
        <f t="shared" si="8"/>
        <v>0</v>
      </c>
      <c r="D144" s="9">
        <f t="shared" si="8"/>
        <v>0</v>
      </c>
      <c r="E144" s="41">
        <f t="shared" si="8"/>
        <v>-50400</v>
      </c>
      <c r="F144" s="41">
        <f t="shared" si="8"/>
        <v>0</v>
      </c>
      <c r="G144" s="41">
        <f t="shared" si="8"/>
        <v>74397.431704834598</v>
      </c>
      <c r="H144" s="9">
        <f t="shared" si="8"/>
        <v>-19197.945363867675</v>
      </c>
      <c r="I144" s="41">
        <f t="shared" si="8"/>
        <v>-23997.431704834595</v>
      </c>
      <c r="J144" s="41">
        <f t="shared" si="8"/>
        <v>19197.945363867675</v>
      </c>
      <c r="K144" s="13" t="s">
        <v>251</v>
      </c>
      <c r="L144" s="215" t="s">
        <v>382</v>
      </c>
      <c r="M144" s="172"/>
      <c r="N144" s="172"/>
      <c r="O144" s="172"/>
      <c r="P144" s="172"/>
      <c r="Q144" s="173"/>
    </row>
    <row r="145" spans="1:17" ht="16.95" customHeight="1" x14ac:dyDescent="0.3">
      <c r="A145" s="12" t="str">
        <f t="shared" si="7"/>
        <v>C3Y</v>
      </c>
      <c r="C145" s="9">
        <f t="shared" si="8"/>
        <v>0</v>
      </c>
      <c r="D145" s="9">
        <f t="shared" si="8"/>
        <v>0</v>
      </c>
      <c r="E145" s="9">
        <f t="shared" si="8"/>
        <v>0</v>
      </c>
      <c r="F145" s="9">
        <f t="shared" si="8"/>
        <v>0</v>
      </c>
      <c r="G145" s="9">
        <f t="shared" si="8"/>
        <v>-19197.945363867675</v>
      </c>
      <c r="H145" s="9">
        <f t="shared" si="8"/>
        <v>15358.35629109414</v>
      </c>
      <c r="I145" s="9">
        <f t="shared" si="8"/>
        <v>19197.945363867675</v>
      </c>
      <c r="J145" s="9">
        <f t="shared" si="8"/>
        <v>-15358.35629109414</v>
      </c>
      <c r="K145" s="13" t="s">
        <v>251</v>
      </c>
      <c r="L145" s="219">
        <f>E133</f>
        <v>0</v>
      </c>
      <c r="M145" s="172"/>
      <c r="N145" s="172"/>
      <c r="O145" s="172"/>
      <c r="P145" s="172"/>
      <c r="Q145" s="173"/>
    </row>
    <row r="146" spans="1:17" ht="16.95" customHeight="1" x14ac:dyDescent="0.3">
      <c r="A146" s="41">
        <f t="shared" si="7"/>
        <v>0</v>
      </c>
      <c r="C146" s="9">
        <f t="shared" si="8"/>
        <v>-23997.431704834595</v>
      </c>
      <c r="D146" s="9">
        <f t="shared" si="8"/>
        <v>-19197.945363867675</v>
      </c>
      <c r="E146" s="41">
        <f t="shared" si="8"/>
        <v>0</v>
      </c>
      <c r="F146" s="41">
        <f t="shared" si="8"/>
        <v>0</v>
      </c>
      <c r="G146" s="41">
        <f t="shared" si="8"/>
        <v>-23997.431704834595</v>
      </c>
      <c r="H146" s="9">
        <f t="shared" si="8"/>
        <v>19197.945363867675</v>
      </c>
      <c r="I146" s="41">
        <f t="shared" si="8"/>
        <v>47994.863409669189</v>
      </c>
      <c r="J146" s="41">
        <f t="shared" si="8"/>
        <v>0</v>
      </c>
      <c r="K146" s="13" t="s">
        <v>251</v>
      </c>
      <c r="L146" s="215" t="str">
        <f>E134</f>
        <v>D4X</v>
      </c>
      <c r="M146" s="172"/>
      <c r="N146" s="172"/>
      <c r="O146" s="172"/>
      <c r="P146" s="172"/>
      <c r="Q146" s="173"/>
    </row>
    <row r="147" spans="1:17" ht="16.95" customHeight="1" x14ac:dyDescent="0.3">
      <c r="A147" s="41">
        <f t="shared" si="7"/>
        <v>-7500</v>
      </c>
      <c r="C147" s="9">
        <f t="shared" si="8"/>
        <v>-19197.945363867675</v>
      </c>
      <c r="D147" s="9">
        <f t="shared" si="8"/>
        <v>-15358.35629109414</v>
      </c>
      <c r="E147" s="41">
        <f t="shared" si="8"/>
        <v>0</v>
      </c>
      <c r="F147" s="41">
        <f t="shared" si="8"/>
        <v>-63000</v>
      </c>
      <c r="G147" s="41">
        <f t="shared" si="8"/>
        <v>19197.945363867675</v>
      </c>
      <c r="H147" s="9">
        <f t="shared" si="8"/>
        <v>-15358.35629109414</v>
      </c>
      <c r="I147" s="41">
        <f t="shared" si="8"/>
        <v>0</v>
      </c>
      <c r="J147" s="41">
        <f t="shared" si="8"/>
        <v>93716.71258218828</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100800</v>
      </c>
      <c r="D152" s="41">
        <f t="shared" si="9"/>
        <v>0</v>
      </c>
      <c r="E152" s="41">
        <f t="shared" si="9"/>
        <v>-50400</v>
      </c>
      <c r="F152" s="41">
        <f t="shared" si="9"/>
        <v>0</v>
      </c>
      <c r="G152" s="41">
        <f t="shared" si="9"/>
        <v>0</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-3500</v>
      </c>
      <c r="C153" s="41">
        <f t="shared" si="9"/>
        <v>0</v>
      </c>
      <c r="D153" s="41">
        <f t="shared" si="9"/>
        <v>63000</v>
      </c>
      <c r="E153" s="41">
        <f t="shared" si="9"/>
        <v>0</v>
      </c>
      <c r="F153" s="41">
        <f t="shared" si="9"/>
        <v>0</v>
      </c>
      <c r="G153" s="41">
        <f t="shared" si="9"/>
        <v>-63000</v>
      </c>
      <c r="H153" s="13" t="s">
        <v>251</v>
      </c>
      <c r="I153" s="38" t="str">
        <f>INDEX(B$128:B$135, MATCH(2, F$128:F$135, 0))</f>
        <v>D2Y</v>
      </c>
      <c r="J153" s="14" t="str">
        <f>INDEX(C$128:C$135, MATCH(2, F$128:F$135, 0))</f>
        <v>U2Y</v>
      </c>
      <c r="L153" s="215" t="s">
        <v>385</v>
      </c>
      <c r="M153" s="172"/>
      <c r="N153" s="172"/>
      <c r="O153" s="172"/>
      <c r="P153" s="172"/>
      <c r="Q153" s="173"/>
    </row>
    <row r="154" spans="1:17" ht="16.95" customHeight="1" x14ac:dyDescent="0.3">
      <c r="A154" s="41">
        <f>INDEX(E$118:E$125, MATCH(J154, C$118:C$125, 0))</f>
        <v>0</v>
      </c>
      <c r="B154" s="13" t="s">
        <v>220</v>
      </c>
      <c r="C154" s="41">
        <f t="shared" si="9"/>
        <v>-50400</v>
      </c>
      <c r="D154" s="41">
        <f t="shared" si="9"/>
        <v>0</v>
      </c>
      <c r="E154" s="41">
        <f t="shared" si="9"/>
        <v>74397.431704834598</v>
      </c>
      <c r="F154" s="41">
        <f t="shared" si="9"/>
        <v>-23997.431704834595</v>
      </c>
      <c r="G154" s="41">
        <f t="shared" si="9"/>
        <v>19197.945363867675</v>
      </c>
      <c r="H154" s="13" t="s">
        <v>251</v>
      </c>
      <c r="I154" s="38" t="str">
        <f>INDEX(B$128:B$135, MATCH(3, F$128:F$135, 0))</f>
        <v>D3X</v>
      </c>
      <c r="J154" s="14" t="str">
        <f>INDEX(C$128:C$135, MATCH(3, F$128:F$135, 0))</f>
        <v>U3X</v>
      </c>
      <c r="L154" s="215" t="s">
        <v>386</v>
      </c>
      <c r="M154" s="172"/>
      <c r="N154" s="172"/>
      <c r="O154" s="172"/>
      <c r="P154" s="172"/>
      <c r="Q154" s="173"/>
    </row>
    <row r="155" spans="1:17" ht="16.95" customHeight="1" x14ac:dyDescent="0.3">
      <c r="A155" s="41">
        <f>INDEX(E$118:E$125, MATCH(J155, C$118:C$125, 0))</f>
        <v>0</v>
      </c>
      <c r="C155" s="41">
        <f t="shared" si="9"/>
        <v>0</v>
      </c>
      <c r="D155" s="41">
        <f t="shared" si="9"/>
        <v>0</v>
      </c>
      <c r="E155" s="41">
        <f t="shared" si="9"/>
        <v>-23997.431704834595</v>
      </c>
      <c r="F155" s="41">
        <f t="shared" si="9"/>
        <v>47994.863409669189</v>
      </c>
      <c r="G155" s="41">
        <f t="shared" si="9"/>
        <v>0</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-7500</v>
      </c>
      <c r="C156" s="41">
        <f t="shared" si="9"/>
        <v>0</v>
      </c>
      <c r="D156" s="41">
        <f t="shared" si="9"/>
        <v>-63000</v>
      </c>
      <c r="E156" s="41">
        <f t="shared" si="9"/>
        <v>19197.945363867675</v>
      </c>
      <c r="F156" s="41">
        <f t="shared" si="9"/>
        <v>0</v>
      </c>
      <c r="G156" s="41">
        <f t="shared" si="9"/>
        <v>93716.71258218828</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1.9841269841269838E-5</v>
      </c>
      <c r="D160" s="93">
        <v>-1.2400793650793646E-5</v>
      </c>
      <c r="E160" s="93">
        <v>1.9841269841269838E-5</v>
      </c>
      <c r="F160" s="93">
        <v>9.9206349206349189E-6</v>
      </c>
      <c r="G160" s="93">
        <v>-1.2400793650793646E-5</v>
      </c>
      <c r="I160" s="17">
        <f>A152</f>
        <v>0</v>
      </c>
      <c r="L160" s="215"/>
      <c r="M160" s="172"/>
      <c r="N160" s="172"/>
      <c r="O160" s="172"/>
      <c r="P160" s="172"/>
      <c r="Q160" s="173"/>
    </row>
    <row r="161" spans="1:17" ht="16.95" customHeight="1" x14ac:dyDescent="0.3">
      <c r="A161" s="12" t="str">
        <f>I153</f>
        <v>D2Y</v>
      </c>
      <c r="C161" s="93">
        <v>-1.2400793650793647E-5</v>
      </c>
      <c r="D161" s="93">
        <v>6.3929575115916008E-5</v>
      </c>
      <c r="E161" s="93">
        <v>-2.4801587301587295E-5</v>
      </c>
      <c r="F161" s="93">
        <v>-1.2400793650793647E-5</v>
      </c>
      <c r="G161" s="93">
        <v>4.8056559242900133E-5</v>
      </c>
      <c r="I161" s="17">
        <f>A153</f>
        <v>-3500</v>
      </c>
      <c r="L161" s="215"/>
      <c r="M161" s="172"/>
      <c r="N161" s="172"/>
      <c r="O161" s="172"/>
      <c r="P161" s="172"/>
      <c r="Q161" s="173"/>
    </row>
    <row r="162" spans="1:17" ht="16.95" customHeight="1" x14ac:dyDescent="0.3">
      <c r="A162" s="12" t="str">
        <f>I154</f>
        <v>D3X</v>
      </c>
      <c r="B162" s="13" t="s">
        <v>220</v>
      </c>
      <c r="C162" s="93">
        <v>1.9841269841269838E-5</v>
      </c>
      <c r="D162" s="93">
        <v>-2.4801587301587291E-5</v>
      </c>
      <c r="E162" s="93">
        <v>3.9682539682539676E-5</v>
      </c>
      <c r="F162" s="93">
        <v>1.9841269841269838E-5</v>
      </c>
      <c r="G162" s="93">
        <v>-2.4801587301587291E-5</v>
      </c>
      <c r="I162" s="17">
        <f>A154</f>
        <v>0</v>
      </c>
      <c r="L162" s="215"/>
      <c r="M162" s="172"/>
      <c r="N162" s="172"/>
      <c r="O162" s="172"/>
      <c r="P162" s="172"/>
      <c r="Q162" s="173"/>
    </row>
    <row r="163" spans="1:17" ht="16.95" customHeight="1" x14ac:dyDescent="0.3">
      <c r="A163" s="12" t="str">
        <f>I155</f>
        <v>D4X</v>
      </c>
      <c r="C163" s="93">
        <v>9.9206349206349172E-6</v>
      </c>
      <c r="D163" s="93">
        <v>-1.2400793650793646E-5</v>
      </c>
      <c r="E163" s="93">
        <v>1.9841269841269834E-5</v>
      </c>
      <c r="F163" s="93">
        <v>3.0756197915456086E-5</v>
      </c>
      <c r="G163" s="93">
        <v>-1.2400793650793646E-5</v>
      </c>
      <c r="I163" s="17">
        <f>A155</f>
        <v>0</v>
      </c>
      <c r="L163" s="215"/>
      <c r="M163" s="172"/>
      <c r="N163" s="172"/>
      <c r="O163" s="172"/>
      <c r="P163" s="172"/>
      <c r="Q163" s="173"/>
    </row>
    <row r="164" spans="1:17" ht="16.95" customHeight="1" x14ac:dyDescent="0.3">
      <c r="A164" s="12" t="str">
        <f>I156</f>
        <v>D4Y</v>
      </c>
      <c r="C164" s="93">
        <v>-1.2400793650793647E-5</v>
      </c>
      <c r="D164" s="93">
        <v>4.8056559242900133E-5</v>
      </c>
      <c r="E164" s="93">
        <v>-2.4801587301587295E-5</v>
      </c>
      <c r="F164" s="93">
        <v>-1.2400793650793647E-5</v>
      </c>
      <c r="G164" s="93">
        <v>4.8056559242900133E-5</v>
      </c>
      <c r="I164" s="17">
        <f>A156</f>
        <v>-7500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0.13640873015873012</v>
      </c>
      <c r="D168" s="12" t="s">
        <v>267</v>
      </c>
      <c r="L168" s="215"/>
      <c r="M168" s="172"/>
      <c r="N168" s="172"/>
      <c r="O168" s="172"/>
      <c r="P168" s="172"/>
      <c r="Q168" s="173"/>
    </row>
    <row r="169" spans="1:17" ht="16.95" customHeight="1" x14ac:dyDescent="0.3">
      <c r="A169" s="12" t="str">
        <f>A161</f>
        <v>D2Y</v>
      </c>
      <c r="C169" s="94">
        <v>-0.58417770722745699</v>
      </c>
      <c r="D169" s="12" t="s">
        <v>267</v>
      </c>
      <c r="L169" s="215"/>
      <c r="M169" s="172"/>
      <c r="N169" s="172"/>
      <c r="O169" s="172"/>
      <c r="P169" s="172"/>
      <c r="Q169" s="173"/>
    </row>
    <row r="170" spans="1:17" ht="16.95" customHeight="1" x14ac:dyDescent="0.3">
      <c r="A170" s="12" t="str">
        <f>A162</f>
        <v>D3X</v>
      </c>
      <c r="B170" s="13" t="s">
        <v>220</v>
      </c>
      <c r="C170" s="94">
        <v>0.27281746031746024</v>
      </c>
      <c r="D170" s="12" t="s">
        <v>267</v>
      </c>
      <c r="L170" s="215"/>
      <c r="M170" s="172"/>
      <c r="N170" s="172"/>
      <c r="O170" s="172"/>
      <c r="P170" s="172"/>
      <c r="Q170" s="173"/>
    </row>
    <row r="171" spans="1:17" ht="16.95" customHeight="1" x14ac:dyDescent="0.3">
      <c r="A171" s="12" t="str">
        <f>A163</f>
        <v>D4X</v>
      </c>
      <c r="C171" s="94">
        <v>0.13640873015873012</v>
      </c>
      <c r="D171" s="12" t="s">
        <v>267</v>
      </c>
      <c r="L171" s="215"/>
      <c r="M171" s="172"/>
      <c r="N171" s="172"/>
      <c r="O171" s="172"/>
      <c r="P171" s="172"/>
      <c r="Q171" s="173"/>
    </row>
    <row r="172" spans="1:17" ht="16.95" customHeight="1" x14ac:dyDescent="0.3">
      <c r="A172" s="12" t="str">
        <f>A164</f>
        <v>D4Y</v>
      </c>
      <c r="C172" s="94">
        <v>-0.52862215167190141</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-50400</v>
      </c>
      <c r="D177" s="9">
        <f t="shared" si="10"/>
        <v>0</v>
      </c>
      <c r="E177" s="9">
        <f t="shared" si="10"/>
        <v>0</v>
      </c>
      <c r="F177" s="9">
        <f t="shared" si="10"/>
        <v>-23997.431704834595</v>
      </c>
      <c r="G177" s="9">
        <f t="shared" si="10"/>
        <v>-19197.945363867675</v>
      </c>
      <c r="I177" s="95">
        <f>C168</f>
        <v>0.13640873015873012</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0</v>
      </c>
      <c r="E178" s="9">
        <f t="shared" si="10"/>
        <v>0</v>
      </c>
      <c r="F178" s="9">
        <f t="shared" si="10"/>
        <v>-19197.945363867675</v>
      </c>
      <c r="G178" s="9">
        <f t="shared" si="10"/>
        <v>-15358.35629109414</v>
      </c>
      <c r="I178" s="95">
        <f>C169</f>
        <v>-0.58417770722745699</v>
      </c>
      <c r="J178" s="14" t="str">
        <f>INDEX(C$128:C$135, MATCH(2, G$128:G$135, 0))</f>
        <v>U1Y</v>
      </c>
      <c r="L178" s="215" t="s">
        <v>391</v>
      </c>
      <c r="M178" s="172"/>
      <c r="N178" s="172"/>
      <c r="O178" s="172"/>
      <c r="P178" s="172"/>
      <c r="Q178" s="173"/>
    </row>
    <row r="179" spans="1:17" ht="16.95" customHeight="1" x14ac:dyDescent="0.3">
      <c r="A179" s="18" t="str">
        <f>INDEX(B$118:B$125, MATCH(J179, C$118:C$125, 0))</f>
        <v>C3Y</v>
      </c>
      <c r="C179" s="9">
        <f t="shared" si="10"/>
        <v>0</v>
      </c>
      <c r="D179" s="9">
        <f t="shared" si="10"/>
        <v>0</v>
      </c>
      <c r="E179" s="9">
        <f t="shared" si="10"/>
        <v>-19197.945363867675</v>
      </c>
      <c r="F179" s="9">
        <f t="shared" si="10"/>
        <v>19197.945363867675</v>
      </c>
      <c r="G179" s="9">
        <f t="shared" si="10"/>
        <v>-15358.35629109414</v>
      </c>
      <c r="I179" s="95">
        <f>C170</f>
        <v>0.27281746031746024</v>
      </c>
      <c r="J179" s="14" t="str">
        <f>INDEX(C$128:C$135, MATCH(3, G$128:G$135, 0))</f>
        <v>U3Y</v>
      </c>
      <c r="L179" s="215" t="s">
        <v>392</v>
      </c>
      <c r="M179" s="172"/>
      <c r="N179" s="172"/>
      <c r="O179" s="172"/>
      <c r="P179" s="172"/>
      <c r="Q179" s="173"/>
    </row>
    <row r="180" spans="1:17" ht="16.95" customHeight="1" x14ac:dyDescent="0.3">
      <c r="I180" s="95">
        <f>C171</f>
        <v>0.13640873015873012</v>
      </c>
      <c r="L180" s="215" t="s">
        <v>393</v>
      </c>
      <c r="M180" s="172"/>
      <c r="N180" s="172"/>
      <c r="O180" s="172"/>
      <c r="P180" s="172"/>
      <c r="Q180" s="173"/>
    </row>
    <row r="181" spans="1:17" ht="16.95" customHeight="1" x14ac:dyDescent="0.3">
      <c r="I181" s="95">
        <f>C172</f>
        <v>-0.52862215167190141</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0</v>
      </c>
      <c r="D183" s="12" t="s">
        <v>273</v>
      </c>
      <c r="L183" s="215"/>
      <c r="M183" s="172"/>
      <c r="N183" s="172"/>
      <c r="O183" s="172"/>
      <c r="P183" s="172"/>
      <c r="Q183" s="173"/>
    </row>
    <row r="184" spans="1:17" ht="16.95" customHeight="1" x14ac:dyDescent="0.3">
      <c r="A184" s="12" t="str">
        <f>A178</f>
        <v>C1Y</v>
      </c>
      <c r="B184" s="13" t="s">
        <v>220</v>
      </c>
      <c r="C184" s="17">
        <v>5499.9999999999982</v>
      </c>
      <c r="D184" s="12" t="s">
        <v>273</v>
      </c>
      <c r="L184" s="215"/>
      <c r="M184" s="172"/>
      <c r="N184" s="172"/>
      <c r="O184" s="172"/>
      <c r="P184" s="172"/>
      <c r="Q184" s="173"/>
    </row>
    <row r="185" spans="1:17" ht="16.95" customHeight="1" x14ac:dyDescent="0.3">
      <c r="A185" s="12" t="str">
        <f>A179</f>
        <v>C3Y</v>
      </c>
      <c r="C185" s="17">
        <v>5499.9999999999982</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0.13640873015873012</v>
      </c>
    </row>
    <row r="193" spans="1:17" ht="19.05" customHeight="1" x14ac:dyDescent="0.3">
      <c r="A193" s="12" t="s">
        <v>231</v>
      </c>
      <c r="B193" s="12" t="s">
        <v>181</v>
      </c>
      <c r="D193" s="94">
        <f t="shared" si="11"/>
        <v>-0.58417770722745699</v>
      </c>
    </row>
    <row r="194" spans="1:17" ht="19.05" customHeight="1" x14ac:dyDescent="0.3">
      <c r="A194" s="12" t="s">
        <v>232</v>
      </c>
      <c r="B194" s="12" t="s">
        <v>182</v>
      </c>
      <c r="D194" s="94">
        <f t="shared" si="11"/>
        <v>0.27281746031746024</v>
      </c>
    </row>
    <row r="195" spans="1:17" ht="19.05" customHeight="1" x14ac:dyDescent="0.3">
      <c r="A195" s="12" t="s">
        <v>234</v>
      </c>
      <c r="B195" s="12" t="s">
        <v>183</v>
      </c>
      <c r="D195" s="94">
        <f t="shared" si="11"/>
        <v>0</v>
      </c>
    </row>
    <row r="196" spans="1:17" ht="19.05" customHeight="1" x14ac:dyDescent="0.3">
      <c r="A196" s="12" t="s">
        <v>235</v>
      </c>
      <c r="B196" s="12" t="s">
        <v>184</v>
      </c>
      <c r="D196" s="94">
        <f t="shared" si="11"/>
        <v>0.13640873015873012</v>
      </c>
    </row>
    <row r="197" spans="1:17" ht="19.05" customHeight="1" x14ac:dyDescent="0.3">
      <c r="A197" s="12" t="s">
        <v>236</v>
      </c>
      <c r="B197" s="12" t="s">
        <v>185</v>
      </c>
      <c r="D197" s="94">
        <f t="shared" si="11"/>
        <v>-0.52862215167190141</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6874.9999999999982</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0.13640873015873012</v>
      </c>
      <c r="H206" s="12" t="str">
        <f>"D" &amp; E14 &amp; "X"</f>
        <v>D2X</v>
      </c>
      <c r="L206" s="215" t="s">
        <v>400</v>
      </c>
      <c r="M206" s="172"/>
      <c r="N206" s="172"/>
      <c r="O206" s="172"/>
      <c r="P206" s="172"/>
      <c r="Q206" s="173"/>
    </row>
    <row r="207" spans="1:17" ht="16.95" customHeight="1" x14ac:dyDescent="0.3">
      <c r="G207" s="96">
        <f>IFERROR(VLOOKUP(H207, A$190:D$197, 4, FALSE), 0)</f>
        <v>-0.58417770722745699</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50400</v>
      </c>
      <c r="C212" s="92">
        <f>-J7</f>
        <v>-1</v>
      </c>
      <c r="D212" s="92">
        <f>-K7</f>
        <v>0</v>
      </c>
      <c r="E212" s="92">
        <f>J7</f>
        <v>1</v>
      </c>
      <c r="F212" s="92">
        <f>K7</f>
        <v>0</v>
      </c>
      <c r="G212" s="96">
        <f>IFERROR(VLOOKUP(H212, A$190:D$197, 4, FALSE), 0)</f>
        <v>0.13640873015873012</v>
      </c>
      <c r="H212" s="12" t="str">
        <f>"D" &amp; C15 &amp; "X"</f>
        <v>D2X</v>
      </c>
      <c r="L212" s="215"/>
      <c r="M212" s="172"/>
      <c r="N212" s="172"/>
      <c r="O212" s="172"/>
      <c r="P212" s="172"/>
      <c r="Q212" s="173"/>
    </row>
    <row r="213" spans="1:17" ht="16.95" customHeight="1" x14ac:dyDescent="0.3">
      <c r="A213" s="99" t="s">
        <v>286</v>
      </c>
      <c r="B213" s="97">
        <f>(MMULT(C212:F212, G212:G215)*A212)</f>
        <v>6874.9999999999982</v>
      </c>
      <c r="G213" s="96">
        <f>IFERROR(VLOOKUP(H213, A$190:D$197, 4, FALSE), 0)</f>
        <v>-0.58417770722745699</v>
      </c>
      <c r="H213" s="12" t="str">
        <f>"D" &amp; D15 &amp; "Y"</f>
        <v>D2Y</v>
      </c>
      <c r="L213" s="215"/>
      <c r="M213" s="172"/>
      <c r="N213" s="172"/>
      <c r="O213" s="172"/>
      <c r="P213" s="172"/>
      <c r="Q213" s="173"/>
    </row>
    <row r="214" spans="1:17" ht="16.95" customHeight="1" x14ac:dyDescent="0.3">
      <c r="G214" s="96">
        <f>IFERROR(VLOOKUP(H214, A$190:D$197, 4, FALSE), 0)</f>
        <v>0.27281746031746024</v>
      </c>
      <c r="H214" s="12" t="str">
        <f>"D" &amp; E15 &amp; "X"</f>
        <v>D3X</v>
      </c>
      <c r="L214" s="215"/>
      <c r="M214" s="172"/>
      <c r="N214" s="172"/>
      <c r="O214" s="172"/>
      <c r="P214" s="172"/>
      <c r="Q214" s="173"/>
    </row>
    <row r="215" spans="1:17" ht="16.95" customHeight="1" x14ac:dyDescent="0.3">
      <c r="G215" s="96">
        <f>IFERROR(VLOOKUP(H215, A$190:D$197, 4, FALSE), 0)</f>
        <v>0</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TRACCIÓN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39355.787995928731</v>
      </c>
      <c r="C220" s="92">
        <f>-J8</f>
        <v>-0.78086880944303039</v>
      </c>
      <c r="D220" s="92">
        <f>-K8</f>
        <v>-0.62469504755442429</v>
      </c>
      <c r="E220" s="92">
        <f>J8</f>
        <v>0.78086880944303039</v>
      </c>
      <c r="F220" s="92">
        <f>K8</f>
        <v>0.62469504755442429</v>
      </c>
      <c r="G220" s="96">
        <f>IFERROR(VLOOKUP(H220, A$190:D$197, 4, FALSE), 0)</f>
        <v>0</v>
      </c>
      <c r="H220" s="12" t="str">
        <f>"D" &amp; C16 &amp; "X"</f>
        <v>D1X</v>
      </c>
      <c r="L220" s="215"/>
      <c r="M220" s="172"/>
      <c r="N220" s="172"/>
      <c r="O220" s="172"/>
      <c r="P220" s="172"/>
      <c r="Q220" s="173"/>
    </row>
    <row r="221" spans="1:17" ht="16.95" customHeight="1" x14ac:dyDescent="0.3">
      <c r="A221" s="99" t="s">
        <v>287</v>
      </c>
      <c r="B221" s="97">
        <f>(MMULT(C220:F220, G220:G223)*A220)</f>
        <v>-8804.2958264701629</v>
      </c>
      <c r="G221" s="96">
        <f>IFERROR(VLOOKUP(H221, A$190:D$197, 4, FALSE), 0)</f>
        <v>0</v>
      </c>
      <c r="H221" s="12" t="str">
        <f>"D" &amp; D16 &amp; "Y"</f>
        <v>D1Y</v>
      </c>
      <c r="L221" s="215"/>
      <c r="M221" s="172"/>
      <c r="N221" s="172"/>
      <c r="O221" s="172"/>
      <c r="P221" s="172"/>
      <c r="Q221" s="173"/>
    </row>
    <row r="222" spans="1:17" ht="16.95" customHeight="1" x14ac:dyDescent="0.3">
      <c r="G222" s="96">
        <f>IFERROR(VLOOKUP(H222, A$190:D$197, 4, FALSE), 0)</f>
        <v>0.13640873015873012</v>
      </c>
      <c r="H222" s="12" t="str">
        <f>"D" &amp; E16 &amp; "X"</f>
        <v>D4X</v>
      </c>
      <c r="L222" s="215"/>
      <c r="M222" s="172"/>
      <c r="N222" s="172"/>
      <c r="O222" s="172"/>
      <c r="P222" s="172"/>
      <c r="Q222" s="173"/>
    </row>
    <row r="223" spans="1:17" ht="16.95" customHeight="1" x14ac:dyDescent="0.3">
      <c r="G223" s="96">
        <f>IFERROR(VLOOKUP(H223, A$190:D$197, 4, FALSE), 0)</f>
        <v>-0.52862215167190141</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39355.787995928731</v>
      </c>
      <c r="C228" s="92">
        <f>-J9</f>
        <v>0.78086880944303039</v>
      </c>
      <c r="D228" s="92">
        <f>-K9</f>
        <v>-0.62469504755442429</v>
      </c>
      <c r="E228" s="92">
        <f>J9</f>
        <v>-0.78086880944303039</v>
      </c>
      <c r="F228" s="92">
        <f>K9</f>
        <v>0.62469504755442429</v>
      </c>
      <c r="G228" s="96">
        <f>IFERROR(VLOOKUP(H228, A$190:D$197, 4, FALSE), 0)</f>
        <v>0.27281746031746024</v>
      </c>
      <c r="H228" s="12" t="str">
        <f>"D" &amp; C17 &amp; "X"</f>
        <v>D3X</v>
      </c>
    </row>
    <row r="229" spans="1:17" ht="19.95" customHeight="1" x14ac:dyDescent="0.3">
      <c r="A229" s="99" t="s">
        <v>288</v>
      </c>
      <c r="B229" s="97">
        <f>(MMULT(C228:F228, G228:G231)*A228)</f>
        <v>-8804.2958264701629</v>
      </c>
      <c r="G229" s="96">
        <f>IFERROR(VLOOKUP(H229, A$190:D$197, 4, FALSE), 0)</f>
        <v>0</v>
      </c>
      <c r="H229" s="12" t="str">
        <f>"D" &amp; D17 &amp; "Y"</f>
        <v>D3Y</v>
      </c>
    </row>
    <row r="230" spans="1:17" ht="19.95" customHeight="1" x14ac:dyDescent="0.3">
      <c r="G230" s="96">
        <f>IFERROR(VLOOKUP(H230, A$190:D$197, 4, FALSE), 0)</f>
        <v>0.13640873015873012</v>
      </c>
      <c r="H230" s="12" t="str">
        <f>"D" &amp; E17 &amp; "X"</f>
        <v>D4X</v>
      </c>
    </row>
    <row r="231" spans="1:17" ht="19.95" customHeight="1" x14ac:dyDescent="0.3">
      <c r="G231" s="96">
        <f>IFERROR(VLOOKUP(H231, A$190:D$197, 4, FALSE), 0)</f>
        <v>-0.52862215167190141</v>
      </c>
      <c r="H231" s="12" t="str">
        <f>"D" &amp; F17 &amp; "Y"</f>
        <v>D4Y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63000</v>
      </c>
      <c r="C236" s="92">
        <f>-J10</f>
        <v>0</v>
      </c>
      <c r="D236" s="92">
        <f>-K10</f>
        <v>-1</v>
      </c>
      <c r="E236" s="92">
        <f>J10</f>
        <v>0</v>
      </c>
      <c r="F236" s="92">
        <f>K10</f>
        <v>1</v>
      </c>
      <c r="G236" s="96">
        <f>IFERROR(VLOOKUP(H236, A$190:D$197, 4, FALSE), 0)</f>
        <v>0.13640873015873012</v>
      </c>
      <c r="H236" s="12" t="str">
        <f>"D" &amp; C18 &amp; "X"</f>
        <v>D2X</v>
      </c>
    </row>
    <row r="237" spans="1:17" ht="19.95" customHeight="1" x14ac:dyDescent="0.3">
      <c r="A237" s="99" t="s">
        <v>289</v>
      </c>
      <c r="B237" s="97">
        <f>(MMULT(C236:F236, G236:G239)*A236)</f>
        <v>3500.0000000000014</v>
      </c>
      <c r="G237" s="96">
        <f>IFERROR(VLOOKUP(H237, A$190:D$197, 4, FALSE), 0)</f>
        <v>-0.58417770722745699</v>
      </c>
      <c r="H237" s="12" t="str">
        <f>"D" &amp; D18 &amp; "Y"</f>
        <v>D2Y</v>
      </c>
    </row>
    <row r="238" spans="1:17" ht="19.95" customHeight="1" x14ac:dyDescent="0.3">
      <c r="G238" s="96">
        <f>IFERROR(VLOOKUP(H238, A$190:D$197, 4, FALSE), 0)</f>
        <v>0.13640873015873012</v>
      </c>
      <c r="H238" s="12" t="str">
        <f>"D" &amp; E18 &amp; "X"</f>
        <v>D4X</v>
      </c>
    </row>
    <row r="239" spans="1:17" ht="19.95" customHeight="1" x14ac:dyDescent="0.3">
      <c r="G239" s="96">
        <f>IFERROR(VLOOKUP(H239, A$190:D$197, 4, FALSE), 0)</f>
        <v>-0.52862215167190141</v>
      </c>
      <c r="H239" s="12" t="str">
        <f>"D" &amp; F18 &amp; "Y"</f>
        <v>D4Y</v>
      </c>
    </row>
    <row r="240" spans="1:17" ht="19.95" customHeight="1" x14ac:dyDescent="0.3">
      <c r="B240" s="99" t="s">
        <v>273</v>
      </c>
      <c r="C240" s="178" t="str">
        <f>IF(B237&gt;0.001,"BARRA A TRACCIÓN (+)",IF(B237&lt;-0.001,"BARRA A COMPRESIÓN (-)","BARRA DE FUERZA NULA"))</f>
        <v>BARRA A TRACCIÓN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6874.9999999999982</v>
      </c>
      <c r="H245" s="84" t="str">
        <f>C208</f>
        <v>BARRA A TRACCIÓN (+)</v>
      </c>
    </row>
    <row r="246" spans="2:8" ht="19.95" customHeight="1" x14ac:dyDescent="0.3">
      <c r="B246" s="25">
        <v>2</v>
      </c>
      <c r="C246" s="86">
        <f>C15</f>
        <v>2</v>
      </c>
      <c r="D246" s="86">
        <f>E15</f>
        <v>3</v>
      </c>
      <c r="E246" s="9">
        <f>I7</f>
        <v>500</v>
      </c>
      <c r="F246" s="9">
        <f>L7</f>
        <v>12</v>
      </c>
      <c r="G246" s="97">
        <f>B213</f>
        <v>6874.9999999999982</v>
      </c>
      <c r="H246" s="84" t="str">
        <f>C216</f>
        <v>BARRA A TRACCIÓN (+)</v>
      </c>
    </row>
    <row r="247" spans="2:8" ht="19.95" customHeight="1" x14ac:dyDescent="0.3">
      <c r="B247" s="26">
        <v>3</v>
      </c>
      <c r="C247" s="86">
        <f>C16</f>
        <v>1</v>
      </c>
      <c r="D247" s="86">
        <f>E16</f>
        <v>4</v>
      </c>
      <c r="E247" s="9">
        <f>I8</f>
        <v>640.31242374328485</v>
      </c>
      <c r="F247" s="9">
        <f>L8</f>
        <v>12</v>
      </c>
      <c r="G247" s="97">
        <f>B221</f>
        <v>-8804.2958264701629</v>
      </c>
      <c r="H247" s="84" t="str">
        <f>C224</f>
        <v>BARRA A COMPRESIÓN (-)</v>
      </c>
    </row>
    <row r="248" spans="2:8" ht="19.95" customHeight="1" x14ac:dyDescent="0.3">
      <c r="B248" s="43">
        <v>4</v>
      </c>
      <c r="C248" s="86">
        <f>C17</f>
        <v>3</v>
      </c>
      <c r="D248" s="86">
        <f>E17</f>
        <v>4</v>
      </c>
      <c r="E248" s="9">
        <f>I9</f>
        <v>640.31242374328485</v>
      </c>
      <c r="F248" s="9">
        <f>L9</f>
        <v>12</v>
      </c>
      <c r="G248" s="97">
        <f>B229</f>
        <v>-8804.2958264701629</v>
      </c>
      <c r="H248" s="84" t="str">
        <f>C232</f>
        <v>BARRA A COMPRESIÓN (-)</v>
      </c>
    </row>
    <row r="249" spans="2:8" ht="19.95" customHeight="1" x14ac:dyDescent="0.3">
      <c r="B249" s="44">
        <v>5</v>
      </c>
      <c r="C249" s="86">
        <f>C18</f>
        <v>2</v>
      </c>
      <c r="D249" s="86">
        <f>E18</f>
        <v>4</v>
      </c>
      <c r="E249" s="9">
        <f>I10</f>
        <v>400</v>
      </c>
      <c r="F249" s="9">
        <f>L10</f>
        <v>12</v>
      </c>
      <c r="G249" s="97">
        <f>B237</f>
        <v>3500.0000000000014</v>
      </c>
      <c r="H249" s="84" t="str">
        <f>C240</f>
        <v>BARRA A TRACCIÓN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438</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700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700</v>
      </c>
      <c r="AB8" s="20">
        <f>IF(F29="","",F29)</f>
        <v>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700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700</v>
      </c>
      <c r="AB14" s="20">
        <f>IF(F31="","",F31)</f>
        <v>450</v>
      </c>
      <c r="AC14" t="s">
        <v>328</v>
      </c>
    </row>
    <row r="15" spans="2:29" ht="19.05" customHeight="1" x14ac:dyDescent="0.3">
      <c r="B15" s="89">
        <v>2</v>
      </c>
      <c r="C15" s="21">
        <v>700</v>
      </c>
      <c r="D15" s="21">
        <v>0</v>
      </c>
      <c r="E15" s="21" t="s">
        <v>326</v>
      </c>
      <c r="F15" s="88">
        <f t="shared" si="0"/>
        <v>0</v>
      </c>
      <c r="G15" s="88">
        <f t="shared" si="1"/>
        <v>0</v>
      </c>
      <c r="H15" s="22">
        <v>0</v>
      </c>
      <c r="I15" s="22">
        <v>-3000</v>
      </c>
      <c r="J15" s="205" t="s">
        <v>440</v>
      </c>
      <c r="K15" s="172"/>
      <c r="L15" s="172"/>
      <c r="M15" s="172"/>
      <c r="N15" s="172"/>
      <c r="O15" s="173"/>
      <c r="AA15" s="20">
        <f>IF(G31="","",G31)</f>
        <v>1000</v>
      </c>
      <c r="AB15" s="20">
        <f>IF(H31="","",H31)</f>
        <v>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700</v>
      </c>
      <c r="D17" s="21">
        <v>450</v>
      </c>
      <c r="E17" s="21" t="s">
        <v>326</v>
      </c>
      <c r="F17" s="88">
        <f t="shared" si="0"/>
        <v>0</v>
      </c>
      <c r="G17" s="88">
        <f t="shared" si="1"/>
        <v>0</v>
      </c>
      <c r="H17" s="22">
        <v>2000</v>
      </c>
      <c r="I17" s="22">
        <v>-6500</v>
      </c>
      <c r="J17" s="205" t="s">
        <v>441</v>
      </c>
      <c r="K17" s="172"/>
      <c r="L17" s="172"/>
      <c r="M17" s="172"/>
      <c r="N17" s="172"/>
      <c r="O17" s="173"/>
      <c r="AA17" s="20">
        <f>IF(E32="","",E32)</f>
        <v>700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700</v>
      </c>
      <c r="AB18" s="20">
        <f>IF(H32="","",H32)</f>
        <v>450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700</v>
      </c>
      <c r="H28" s="5">
        <f t="shared" ref="H28:H42" si="5">IF(OR(ISBLANK(D28),D28=""),"",VLOOKUP(D28,$B$14:$D$23,3,FALSE))</f>
        <v>0</v>
      </c>
      <c r="I28" s="9">
        <f t="shared" ref="I28:I42" si="6">IF(G28="","",G28-E28)</f>
        <v>700</v>
      </c>
      <c r="J28" s="9">
        <f t="shared" ref="J28:J42" si="7">IF(H28="","",H28-F28)</f>
        <v>0</v>
      </c>
      <c r="K28" s="9">
        <f t="shared" ref="K28:K42" si="8">IF(I28="","",SQRT(I28^2+J28^2))</f>
        <v>700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700</v>
      </c>
      <c r="F29" s="5">
        <f t="shared" si="3"/>
        <v>0</v>
      </c>
      <c r="G29" s="5">
        <f t="shared" si="4"/>
        <v>1000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700</v>
      </c>
      <c r="H30" s="5">
        <f t="shared" si="5"/>
        <v>450</v>
      </c>
      <c r="I30" s="9">
        <f t="shared" si="6"/>
        <v>700</v>
      </c>
      <c r="J30" s="9">
        <f t="shared" si="7"/>
        <v>450</v>
      </c>
      <c r="K30" s="9">
        <f t="shared" si="8"/>
        <v>832.16584885466193</v>
      </c>
      <c r="L30" s="92">
        <f t="shared" si="9"/>
        <v>0.84117847537655355</v>
      </c>
      <c r="M30" s="92">
        <f t="shared" si="10"/>
        <v>0.54075759131349865</v>
      </c>
      <c r="N30" s="22">
        <v>12</v>
      </c>
      <c r="O30" s="24">
        <v>2100000</v>
      </c>
      <c r="AA30" s="20" t="str">
        <f>IF(G36="","",G36)</f>
        <v/>
      </c>
      <c r="AB30" s="20" t="str">
        <f>IF(H36="","",H36)</f>
        <v/>
      </c>
      <c r="AC30" t="s">
        <v>354</v>
      </c>
    </row>
    <row r="31" spans="2:29" ht="19.05" customHeight="1" x14ac:dyDescent="0.3">
      <c r="B31" s="89">
        <v>4</v>
      </c>
      <c r="C31" s="23">
        <v>4</v>
      </c>
      <c r="D31" s="23">
        <v>3</v>
      </c>
      <c r="E31" s="5">
        <f t="shared" si="2"/>
        <v>700</v>
      </c>
      <c r="F31" s="5">
        <f t="shared" si="3"/>
        <v>450</v>
      </c>
      <c r="G31" s="5">
        <f t="shared" si="4"/>
        <v>1000</v>
      </c>
      <c r="H31" s="5">
        <f t="shared" si="5"/>
        <v>0</v>
      </c>
      <c r="I31" s="9">
        <f t="shared" si="6"/>
        <v>300</v>
      </c>
      <c r="J31" s="9">
        <f t="shared" si="7"/>
        <v>-450</v>
      </c>
      <c r="K31" s="9">
        <f t="shared" si="8"/>
        <v>540.83269131959844</v>
      </c>
      <c r="L31" s="92">
        <f t="shared" si="9"/>
        <v>0.55470019622522904</v>
      </c>
      <c r="M31" s="92">
        <f t="shared" si="10"/>
        <v>-0.83205029433784361</v>
      </c>
      <c r="N31" s="22">
        <v>12</v>
      </c>
      <c r="O31" s="24">
        <v>2100000</v>
      </c>
    </row>
    <row r="32" spans="2:29" ht="19.05" customHeight="1" x14ac:dyDescent="0.3">
      <c r="B32" s="89">
        <v>5</v>
      </c>
      <c r="C32" s="23">
        <v>2</v>
      </c>
      <c r="D32" s="23">
        <v>4</v>
      </c>
      <c r="E32" s="5">
        <f t="shared" si="2"/>
        <v>700</v>
      </c>
      <c r="F32" s="5">
        <f t="shared" si="3"/>
        <v>0</v>
      </c>
      <c r="G32" s="5">
        <f t="shared" si="4"/>
        <v>700</v>
      </c>
      <c r="H32" s="5">
        <f t="shared" si="5"/>
        <v>450</v>
      </c>
      <c r="I32" s="9">
        <f t="shared" si="6"/>
        <v>0</v>
      </c>
      <c r="J32" s="9">
        <f t="shared" si="7"/>
        <v>450</v>
      </c>
      <c r="K32" s="9">
        <f t="shared" si="8"/>
        <v>450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100-000000000000}">
      <formula1>"Fijo (articulado),Rodillo Y (despl. X libre),Rodillo X (despl. Y libre),Libre (0 reac.)"</formula1>
    </dataValidation>
  </dataValidation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442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GRAFICA_08!E28</f>
        <v>0</v>
      </c>
      <c r="D6" s="22">
        <f>GRAFICA_08!F28</f>
        <v>0</v>
      </c>
      <c r="E6" s="22">
        <f>GRAFICA_08!G28</f>
        <v>700</v>
      </c>
      <c r="F6" s="22">
        <f>GRAFICA_08!H28</f>
        <v>0</v>
      </c>
      <c r="G6" s="9">
        <f t="shared" ref="G6:H10" si="0">E6-C6</f>
        <v>700</v>
      </c>
      <c r="H6" s="9">
        <f t="shared" si="0"/>
        <v>0</v>
      </c>
      <c r="I6" s="9">
        <f>SQRT(G6*G6+H6*H6)</f>
        <v>700</v>
      </c>
      <c r="J6" s="92">
        <f>G6/I6</f>
        <v>1</v>
      </c>
      <c r="K6" s="92">
        <f>H6/I6</f>
        <v>0</v>
      </c>
      <c r="L6" s="22">
        <f>GRAFICA_08!N28</f>
        <v>12</v>
      </c>
      <c r="M6" s="22">
        <f>GRAFICA_08!O28</f>
        <v>2100000</v>
      </c>
      <c r="N6" s="6">
        <f>L6*M6/I6</f>
        <v>36000</v>
      </c>
    </row>
    <row r="7" spans="2:14" ht="19.05" customHeight="1" x14ac:dyDescent="0.3">
      <c r="B7" s="25">
        <v>2</v>
      </c>
      <c r="C7" s="22">
        <f>GRAFICA_08!E29</f>
        <v>700</v>
      </c>
      <c r="D7" s="22">
        <f>GRAFICA_08!F29</f>
        <v>0</v>
      </c>
      <c r="E7" s="22">
        <f>GRAFICA_08!G29</f>
        <v>1000</v>
      </c>
      <c r="F7" s="22">
        <f>GRAFICA_08!H29</f>
        <v>0</v>
      </c>
      <c r="G7" s="9">
        <f t="shared" si="0"/>
        <v>300</v>
      </c>
      <c r="H7" s="9">
        <f t="shared" si="0"/>
        <v>0</v>
      </c>
      <c r="I7" s="9">
        <f>SQRT(G7*G7+H7*H7)</f>
        <v>300</v>
      </c>
      <c r="J7" s="92">
        <f>G7/I7</f>
        <v>1</v>
      </c>
      <c r="K7" s="92">
        <f>H7/I7</f>
        <v>0</v>
      </c>
      <c r="L7" s="22">
        <f>GRAFICA_08!N29</f>
        <v>12</v>
      </c>
      <c r="M7" s="22">
        <f>GRAFICA_08!O29</f>
        <v>2100000</v>
      </c>
      <c r="N7" s="6">
        <f>L7*M7/I7</f>
        <v>84000</v>
      </c>
    </row>
    <row r="8" spans="2:14" ht="19.05" customHeight="1" x14ac:dyDescent="0.3">
      <c r="B8" s="26">
        <v>3</v>
      </c>
      <c r="C8" s="22">
        <f>GRAFICA_08!E30</f>
        <v>0</v>
      </c>
      <c r="D8" s="22">
        <f>GRAFICA_08!F30</f>
        <v>0</v>
      </c>
      <c r="E8" s="22">
        <f>GRAFICA_08!G30</f>
        <v>700</v>
      </c>
      <c r="F8" s="22">
        <f>GRAFICA_08!H30</f>
        <v>450</v>
      </c>
      <c r="G8" s="9">
        <f t="shared" si="0"/>
        <v>700</v>
      </c>
      <c r="H8" s="9">
        <f t="shared" si="0"/>
        <v>450</v>
      </c>
      <c r="I8" s="9">
        <f>SQRT(G8*G8+H8*H8)</f>
        <v>832.16584885466193</v>
      </c>
      <c r="J8" s="92">
        <f>G8/I8</f>
        <v>0.84117847537655355</v>
      </c>
      <c r="K8" s="92">
        <f>H8/I8</f>
        <v>0.54075759131349865</v>
      </c>
      <c r="L8" s="22">
        <f>GRAFICA_08!N30</f>
        <v>12</v>
      </c>
      <c r="M8" s="22">
        <f>GRAFICA_08!O30</f>
        <v>2100000</v>
      </c>
      <c r="N8" s="6">
        <f>L8*M8/I8</f>
        <v>30282.425113555928</v>
      </c>
    </row>
    <row r="9" spans="2:14" ht="19.05" customHeight="1" x14ac:dyDescent="0.3">
      <c r="B9" s="43">
        <v>4</v>
      </c>
      <c r="C9" s="22">
        <f>GRAFICA_08!E31</f>
        <v>700</v>
      </c>
      <c r="D9" s="22">
        <f>GRAFICA_08!F31</f>
        <v>450</v>
      </c>
      <c r="E9" s="22">
        <f>GRAFICA_08!G31</f>
        <v>1000</v>
      </c>
      <c r="F9" s="22">
        <f>GRAFICA_08!H31</f>
        <v>0</v>
      </c>
      <c r="G9" s="9">
        <f t="shared" si="0"/>
        <v>300</v>
      </c>
      <c r="H9" s="9">
        <f t="shared" si="0"/>
        <v>-450</v>
      </c>
      <c r="I9" s="9">
        <f>SQRT(G9*G9+H9*H9)</f>
        <v>540.83269131959844</v>
      </c>
      <c r="J9" s="92">
        <f>G9/I9</f>
        <v>0.55470019622522904</v>
      </c>
      <c r="K9" s="92">
        <f>H9/I9</f>
        <v>-0.83205029433784361</v>
      </c>
      <c r="L9" s="22">
        <f>GRAFICA_08!N31</f>
        <v>12</v>
      </c>
      <c r="M9" s="22">
        <f>GRAFICA_08!O31</f>
        <v>2100000</v>
      </c>
      <c r="N9" s="6">
        <f>L9*M9/I9</f>
        <v>46594.816482919239</v>
      </c>
    </row>
    <row r="10" spans="2:14" ht="19.05" customHeight="1" x14ac:dyDescent="0.3">
      <c r="B10" s="44">
        <v>5</v>
      </c>
      <c r="C10" s="22">
        <f>GRAFICA_08!E32</f>
        <v>700</v>
      </c>
      <c r="D10" s="22">
        <f>GRAFICA_08!F32</f>
        <v>0</v>
      </c>
      <c r="E10" s="22">
        <f>GRAFICA_08!G32</f>
        <v>700</v>
      </c>
      <c r="F10" s="22">
        <f>GRAFICA_08!H32</f>
        <v>450</v>
      </c>
      <c r="G10" s="9">
        <f t="shared" si="0"/>
        <v>0</v>
      </c>
      <c r="H10" s="9">
        <f t="shared" si="0"/>
        <v>450</v>
      </c>
      <c r="I10" s="9">
        <f>SQRT(G10*G10+H10*H10)</f>
        <v>450</v>
      </c>
      <c r="J10" s="92">
        <f>G10/I10</f>
        <v>0</v>
      </c>
      <c r="K10" s="92">
        <f>H10/I10</f>
        <v>1</v>
      </c>
      <c r="L10" s="22">
        <f>GRAFICA_08!N32</f>
        <v>12</v>
      </c>
      <c r="M10" s="22">
        <f>GRAFICA_08!O32</f>
        <v>2100000</v>
      </c>
      <c r="N10" s="6">
        <f>L10*M10/I10</f>
        <v>56000</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GRAFICA_08!C28</f>
        <v>1</v>
      </c>
      <c r="D14" s="23">
        <f>GRAFICA_08!C28</f>
        <v>1</v>
      </c>
      <c r="E14" s="23">
        <f>GRAFICA_08!D28</f>
        <v>2</v>
      </c>
      <c r="F14" s="23">
        <f>GRAFICA_08!D28</f>
        <v>2</v>
      </c>
    </row>
    <row r="15" spans="2:14" ht="19.05" customHeight="1" x14ac:dyDescent="0.3">
      <c r="B15" s="25">
        <v>2</v>
      </c>
      <c r="C15" s="23">
        <f>GRAFICA_08!C29</f>
        <v>2</v>
      </c>
      <c r="D15" s="23">
        <f>GRAFICA_08!C29</f>
        <v>2</v>
      </c>
      <c r="E15" s="23">
        <f>GRAFICA_08!D29</f>
        <v>3</v>
      </c>
      <c r="F15" s="23">
        <f>GRAFICA_08!D29</f>
        <v>3</v>
      </c>
    </row>
    <row r="16" spans="2:14" ht="19.05" customHeight="1" x14ac:dyDescent="0.3">
      <c r="B16" s="26">
        <v>3</v>
      </c>
      <c r="C16" s="23">
        <f>GRAFICA_08!C30</f>
        <v>1</v>
      </c>
      <c r="D16" s="23">
        <f>GRAFICA_08!C30</f>
        <v>1</v>
      </c>
      <c r="E16" s="23">
        <f>GRAFICA_08!D30</f>
        <v>4</v>
      </c>
      <c r="F16" s="23">
        <f>GRAFICA_08!D30</f>
        <v>4</v>
      </c>
    </row>
    <row r="17" spans="1:10" ht="19.05" customHeight="1" x14ac:dyDescent="0.3">
      <c r="B17" s="43">
        <v>4</v>
      </c>
      <c r="C17" s="23">
        <f>GRAFICA_08!C31</f>
        <v>4</v>
      </c>
      <c r="D17" s="23">
        <f>GRAFICA_08!C31</f>
        <v>4</v>
      </c>
      <c r="E17" s="23">
        <f>GRAFICA_08!D31</f>
        <v>3</v>
      </c>
      <c r="F17" s="23">
        <f>GRAFICA_08!D31</f>
        <v>3</v>
      </c>
    </row>
    <row r="18" spans="1:10" ht="19.05" customHeight="1" x14ac:dyDescent="0.3">
      <c r="B18" s="44">
        <v>5</v>
      </c>
      <c r="C18" s="23">
        <f>GRAFICA_08!C32</f>
        <v>2</v>
      </c>
      <c r="D18" s="23">
        <f>GRAFICA_08!C32</f>
        <v>2</v>
      </c>
      <c r="E18" s="23">
        <f>GRAFICA_08!D32</f>
        <v>4</v>
      </c>
      <c r="F18" s="23">
        <f>GRAFICA_08!D32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36000</v>
      </c>
      <c r="C22" s="7">
        <f>J6*K6*N6</f>
        <v>0</v>
      </c>
      <c r="D22" s="7">
        <f>-B22</f>
        <v>-36000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-36000</v>
      </c>
      <c r="C24" s="7">
        <f>E22</f>
        <v>0</v>
      </c>
      <c r="D24" s="7">
        <f>B22</f>
        <v>36000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36000</v>
      </c>
      <c r="C28" s="8">
        <f t="shared" si="1"/>
        <v>0</v>
      </c>
      <c r="D28" s="8">
        <f t="shared" si="1"/>
        <v>-36000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-36000</v>
      </c>
      <c r="C30" s="8">
        <f t="shared" si="1"/>
        <v>0</v>
      </c>
      <c r="D30" s="8">
        <f t="shared" si="1"/>
        <v>36000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84000</v>
      </c>
      <c r="C39" s="30">
        <f>J7*K7*N7</f>
        <v>0</v>
      </c>
      <c r="D39" s="30">
        <f>-B39</f>
        <v>-84000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-84000</v>
      </c>
      <c r="C41" s="30">
        <f>E39</f>
        <v>0</v>
      </c>
      <c r="D41" s="30">
        <f>B39</f>
        <v>84000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84000</v>
      </c>
      <c r="E47" s="31">
        <f t="shared" si="2"/>
        <v>0</v>
      </c>
      <c r="F47" s="31">
        <f t="shared" si="2"/>
        <v>-84000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-84000</v>
      </c>
      <c r="E49" s="31">
        <f t="shared" si="2"/>
        <v>0</v>
      </c>
      <c r="F49" s="31">
        <f t="shared" si="2"/>
        <v>84000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21427.275531613581</v>
      </c>
      <c r="C56" s="33">
        <f>J8*K8*N8</f>
        <v>13774.677127465873</v>
      </c>
      <c r="D56" s="33">
        <f>-B56</f>
        <v>-21427.275531613581</v>
      </c>
      <c r="E56" s="33">
        <f>-C56</f>
        <v>-13774.677127465873</v>
      </c>
      <c r="F56" s="32" t="str">
        <f>B55</f>
        <v>U1X</v>
      </c>
    </row>
    <row r="57" spans="1:10" ht="16.8" customHeight="1" x14ac:dyDescent="0.3">
      <c r="A57" s="28" t="s">
        <v>193</v>
      </c>
      <c r="B57" s="33">
        <f>C56</f>
        <v>13774.677127465873</v>
      </c>
      <c r="C57" s="33">
        <f>K8*K8*N8</f>
        <v>8855.1495819423453</v>
      </c>
      <c r="D57" s="33">
        <f>-B57</f>
        <v>-13774.677127465873</v>
      </c>
      <c r="E57" s="33">
        <f>-C57</f>
        <v>-8855.1495819423453</v>
      </c>
      <c r="F57" s="32" t="str">
        <f>C55</f>
        <v>U1Y</v>
      </c>
    </row>
    <row r="58" spans="1:10" x14ac:dyDescent="0.3">
      <c r="B58" s="33">
        <f>D56</f>
        <v>-21427.275531613581</v>
      </c>
      <c r="C58" s="33">
        <f>E56</f>
        <v>-13774.677127465873</v>
      </c>
      <c r="D58" s="33">
        <f>B56</f>
        <v>21427.275531613581</v>
      </c>
      <c r="E58" s="33">
        <f>C56</f>
        <v>13774.677127465873</v>
      </c>
      <c r="F58" s="32" t="str">
        <f>D55</f>
        <v>U4X</v>
      </c>
    </row>
    <row r="59" spans="1:10" x14ac:dyDescent="0.3">
      <c r="B59" s="33">
        <f>D57</f>
        <v>-13774.677127465873</v>
      </c>
      <c r="C59" s="33">
        <f>E57</f>
        <v>-8855.1495819423453</v>
      </c>
      <c r="D59" s="33">
        <f>B57</f>
        <v>13774.677127465873</v>
      </c>
      <c r="E59" s="33">
        <f>C57</f>
        <v>8855.1495819423453</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21427.275531613581</v>
      </c>
      <c r="C62" s="34">
        <f t="shared" si="3"/>
        <v>13774.677127465873</v>
      </c>
      <c r="D62" s="9">
        <f t="shared" si="3"/>
        <v>0</v>
      </c>
      <c r="E62" s="9">
        <f t="shared" si="3"/>
        <v>0</v>
      </c>
      <c r="F62" s="9">
        <f t="shared" si="3"/>
        <v>0</v>
      </c>
      <c r="G62" s="9">
        <f t="shared" si="3"/>
        <v>0</v>
      </c>
      <c r="H62" s="34">
        <f t="shared" si="3"/>
        <v>-21427.275531613581</v>
      </c>
      <c r="I62" s="34">
        <f t="shared" si="3"/>
        <v>-13774.677127465873</v>
      </c>
      <c r="J62" s="32" t="s">
        <v>178</v>
      </c>
    </row>
    <row r="63" spans="1:10" ht="19.05" customHeight="1" x14ac:dyDescent="0.3">
      <c r="B63" s="34">
        <f t="shared" si="3"/>
        <v>13774.677127465873</v>
      </c>
      <c r="C63" s="34">
        <f t="shared" si="3"/>
        <v>8855.1495819423453</v>
      </c>
      <c r="D63" s="9">
        <f t="shared" si="3"/>
        <v>0</v>
      </c>
      <c r="E63" s="9">
        <f t="shared" si="3"/>
        <v>0</v>
      </c>
      <c r="F63" s="9">
        <f t="shared" si="3"/>
        <v>0</v>
      </c>
      <c r="G63" s="9">
        <f t="shared" si="3"/>
        <v>0</v>
      </c>
      <c r="H63" s="34">
        <f t="shared" si="3"/>
        <v>-13774.677127465873</v>
      </c>
      <c r="I63" s="34">
        <f t="shared" si="3"/>
        <v>-8855.1495819423453</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-21427.275531613581</v>
      </c>
      <c r="C68" s="34">
        <f t="shared" si="3"/>
        <v>-13774.677127465873</v>
      </c>
      <c r="D68" s="9">
        <f t="shared" si="3"/>
        <v>0</v>
      </c>
      <c r="E68" s="9">
        <f t="shared" si="3"/>
        <v>0</v>
      </c>
      <c r="F68" s="9">
        <f t="shared" si="3"/>
        <v>0</v>
      </c>
      <c r="G68" s="9">
        <f t="shared" si="3"/>
        <v>0</v>
      </c>
      <c r="H68" s="34">
        <f t="shared" si="3"/>
        <v>21427.275531613581</v>
      </c>
      <c r="I68" s="34">
        <f t="shared" si="3"/>
        <v>13774.677127465873</v>
      </c>
      <c r="J68" s="32" t="s">
        <v>184</v>
      </c>
    </row>
    <row r="69" spans="1:10" ht="19.05" customHeight="1" x14ac:dyDescent="0.3">
      <c r="B69" s="34">
        <f t="shared" si="3"/>
        <v>-13774.677127465873</v>
      </c>
      <c r="C69" s="34">
        <f t="shared" si="3"/>
        <v>-8855.1495819423453</v>
      </c>
      <c r="D69" s="9">
        <f t="shared" si="3"/>
        <v>0</v>
      </c>
      <c r="E69" s="9">
        <f t="shared" si="3"/>
        <v>0</v>
      </c>
      <c r="F69" s="9">
        <f t="shared" si="3"/>
        <v>0</v>
      </c>
      <c r="G69" s="9">
        <f t="shared" si="3"/>
        <v>0</v>
      </c>
      <c r="H69" s="34">
        <f t="shared" si="3"/>
        <v>13774.677127465873</v>
      </c>
      <c r="I69" s="34">
        <f t="shared" si="3"/>
        <v>8855.1495819423453</v>
      </c>
      <c r="J69" s="32" t="s">
        <v>185</v>
      </c>
    </row>
    <row r="72" spans="1:10" ht="18" customHeight="1" x14ac:dyDescent="0.3">
      <c r="B72" s="45" t="str">
        <f>CONCATENATE("U",C17,C$13)</f>
        <v>U4X</v>
      </c>
      <c r="C72" s="45" t="str">
        <f>CONCATENATE("U",D17,D$13)</f>
        <v>U4Y</v>
      </c>
      <c r="D72" s="45" t="str">
        <f>CONCATENATE("U",E17,E$13)</f>
        <v>U3X</v>
      </c>
      <c r="E72" s="45" t="str">
        <f>CONCATENATE("U",F17,F$13)</f>
        <v>U3Y</v>
      </c>
    </row>
    <row r="73" spans="1:10" x14ac:dyDescent="0.3">
      <c r="B73" s="46">
        <f>J9*J9*N9</f>
        <v>14336.866610128993</v>
      </c>
      <c r="C73" s="46">
        <f>J9*K9*N9</f>
        <v>-21505.299915193493</v>
      </c>
      <c r="D73" s="46">
        <f>-B73</f>
        <v>-14336.866610128993</v>
      </c>
      <c r="E73" s="46">
        <f>-C73</f>
        <v>21505.299915193493</v>
      </c>
      <c r="F73" s="45" t="str">
        <f>B72</f>
        <v>U4X</v>
      </c>
    </row>
    <row r="74" spans="1:10" ht="16.8" customHeight="1" x14ac:dyDescent="0.3">
      <c r="A74" s="28" t="s">
        <v>195</v>
      </c>
      <c r="B74" s="46">
        <f>C73</f>
        <v>-21505.299915193493</v>
      </c>
      <c r="C74" s="46">
        <f>K9*K9*N9</f>
        <v>32257.949872790236</v>
      </c>
      <c r="D74" s="46">
        <f>-B74</f>
        <v>21505.299915193493</v>
      </c>
      <c r="E74" s="46">
        <f>-C74</f>
        <v>-32257.949872790236</v>
      </c>
      <c r="F74" s="45" t="str">
        <f>C72</f>
        <v>U4Y</v>
      </c>
    </row>
    <row r="75" spans="1:10" x14ac:dyDescent="0.3">
      <c r="B75" s="46">
        <f>D73</f>
        <v>-14336.866610128993</v>
      </c>
      <c r="C75" s="46">
        <f>E73</f>
        <v>21505.299915193493</v>
      </c>
      <c r="D75" s="46">
        <f>B73</f>
        <v>14336.866610128993</v>
      </c>
      <c r="E75" s="46">
        <f>C73</f>
        <v>-21505.299915193493</v>
      </c>
      <c r="F75" s="45" t="str">
        <f>D72</f>
        <v>U3X</v>
      </c>
    </row>
    <row r="76" spans="1:10" x14ac:dyDescent="0.3">
      <c r="B76" s="46">
        <f>D74</f>
        <v>21505.299915193493</v>
      </c>
      <c r="C76" s="46">
        <f>E74</f>
        <v>-32257.949872790236</v>
      </c>
      <c r="D76" s="46">
        <f>B74</f>
        <v>-21505.299915193493</v>
      </c>
      <c r="E76" s="46">
        <f>C74</f>
        <v>32257.949872790236</v>
      </c>
      <c r="F76" s="45" t="str">
        <f>E72</f>
        <v>U3Y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14336.866610128993</v>
      </c>
      <c r="G83" s="47">
        <f t="shared" si="4"/>
        <v>-21505.299915193493</v>
      </c>
      <c r="H83" s="47">
        <f t="shared" si="4"/>
        <v>-14336.866610128993</v>
      </c>
      <c r="I83" s="47">
        <f t="shared" si="4"/>
        <v>21505.299915193493</v>
      </c>
      <c r="J83" s="45" t="s">
        <v>182</v>
      </c>
    </row>
    <row r="84" spans="1:10" ht="19.05" customHeight="1" x14ac:dyDescent="0.3">
      <c r="B84" s="9">
        <f t="shared" si="4"/>
        <v>0</v>
      </c>
      <c r="C84" s="9">
        <f t="shared" si="4"/>
        <v>0</v>
      </c>
      <c r="D84" s="9">
        <f t="shared" si="4"/>
        <v>0</v>
      </c>
      <c r="E84" s="9">
        <f t="shared" si="4"/>
        <v>0</v>
      </c>
      <c r="F84" s="47">
        <f t="shared" si="4"/>
        <v>-21505.299915193493</v>
      </c>
      <c r="G84" s="47">
        <f t="shared" si="4"/>
        <v>32257.949872790236</v>
      </c>
      <c r="H84" s="47">
        <f t="shared" si="4"/>
        <v>21505.299915193493</v>
      </c>
      <c r="I84" s="47">
        <f t="shared" si="4"/>
        <v>-32257.949872790236</v>
      </c>
      <c r="J84" s="45" t="s">
        <v>183</v>
      </c>
    </row>
    <row r="85" spans="1:10" ht="19.05" customHeight="1" x14ac:dyDescent="0.3">
      <c r="B85" s="9">
        <f t="shared" si="4"/>
        <v>0</v>
      </c>
      <c r="C85" s="9">
        <f t="shared" si="4"/>
        <v>0</v>
      </c>
      <c r="D85" s="9">
        <f t="shared" si="4"/>
        <v>0</v>
      </c>
      <c r="E85" s="9">
        <f t="shared" si="4"/>
        <v>0</v>
      </c>
      <c r="F85" s="47">
        <f t="shared" si="4"/>
        <v>-14336.866610128993</v>
      </c>
      <c r="G85" s="47">
        <f t="shared" si="4"/>
        <v>21505.299915193493</v>
      </c>
      <c r="H85" s="47">
        <f t="shared" si="4"/>
        <v>14336.866610128993</v>
      </c>
      <c r="I85" s="47">
        <f t="shared" si="4"/>
        <v>-21505.299915193493</v>
      </c>
      <c r="J85" s="45" t="s">
        <v>184</v>
      </c>
    </row>
    <row r="86" spans="1:10" ht="19.05" customHeight="1" x14ac:dyDescent="0.3">
      <c r="B86" s="9">
        <f t="shared" si="4"/>
        <v>0</v>
      </c>
      <c r="C86" s="9">
        <f t="shared" si="4"/>
        <v>0</v>
      </c>
      <c r="D86" s="9">
        <f t="shared" si="4"/>
        <v>0</v>
      </c>
      <c r="E86" s="9">
        <f t="shared" si="4"/>
        <v>0</v>
      </c>
      <c r="F86" s="47">
        <f t="shared" si="4"/>
        <v>21505.299915193493</v>
      </c>
      <c r="G86" s="47">
        <f t="shared" si="4"/>
        <v>-32257.949872790236</v>
      </c>
      <c r="H86" s="47">
        <f t="shared" si="4"/>
        <v>-21505.299915193493</v>
      </c>
      <c r="I86" s="47">
        <f t="shared" si="4"/>
        <v>32257.949872790236</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56000</v>
      </c>
      <c r="D91" s="49">
        <f>-B91</f>
        <v>0</v>
      </c>
      <c r="E91" s="49">
        <f>-C91</f>
        <v>-56000</v>
      </c>
      <c r="F91" s="48" t="str">
        <f>C89</f>
        <v>U2Y</v>
      </c>
    </row>
    <row r="92" spans="1:10" x14ac:dyDescent="0.3">
      <c r="B92" s="49">
        <f>D90</f>
        <v>0</v>
      </c>
      <c r="C92" s="49">
        <f>E90</f>
        <v>0</v>
      </c>
      <c r="D92" s="49">
        <f>B90</f>
        <v>0</v>
      </c>
      <c r="E92" s="49">
        <f>C90</f>
        <v>0</v>
      </c>
      <c r="F92" s="48" t="str">
        <f>D89</f>
        <v>U4X</v>
      </c>
    </row>
    <row r="93" spans="1:10" x14ac:dyDescent="0.3">
      <c r="B93" s="49">
        <f>D91</f>
        <v>0</v>
      </c>
      <c r="C93" s="49">
        <f>E91</f>
        <v>-56000</v>
      </c>
      <c r="D93" s="49">
        <f>B91</f>
        <v>0</v>
      </c>
      <c r="E93" s="49">
        <f>C91</f>
        <v>56000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56000</v>
      </c>
      <c r="F99" s="9">
        <f t="shared" si="5"/>
        <v>0</v>
      </c>
      <c r="G99" s="9">
        <f t="shared" si="5"/>
        <v>0</v>
      </c>
      <c r="H99" s="50">
        <f t="shared" si="5"/>
        <v>0</v>
      </c>
      <c r="I99" s="50">
        <f t="shared" si="5"/>
        <v>-56000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-56000</v>
      </c>
      <c r="F103" s="9">
        <f t="shared" si="5"/>
        <v>0</v>
      </c>
      <c r="G103" s="9">
        <f t="shared" si="5"/>
        <v>0</v>
      </c>
      <c r="H103" s="50">
        <f t="shared" si="5"/>
        <v>0</v>
      </c>
      <c r="I103" s="50">
        <f t="shared" si="5"/>
        <v>56000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57427.275531613581</v>
      </c>
      <c r="C107" s="36">
        <f t="shared" si="6"/>
        <v>13774.677127465873</v>
      </c>
      <c r="D107" s="9">
        <f t="shared" si="6"/>
        <v>-36000</v>
      </c>
      <c r="E107" s="9">
        <f t="shared" si="6"/>
        <v>0</v>
      </c>
      <c r="F107" s="9">
        <f t="shared" si="6"/>
        <v>0</v>
      </c>
      <c r="G107" s="9">
        <f t="shared" si="6"/>
        <v>0</v>
      </c>
      <c r="H107" s="9">
        <f t="shared" si="6"/>
        <v>-21427.275531613581</v>
      </c>
      <c r="I107" s="9">
        <f t="shared" si="6"/>
        <v>-13774.677127465873</v>
      </c>
      <c r="J107" s="89" t="s">
        <v>178</v>
      </c>
    </row>
    <row r="108" spans="1:10" ht="19.95" customHeight="1" x14ac:dyDescent="0.3">
      <c r="B108" s="36">
        <f t="shared" si="6"/>
        <v>13774.677127465873</v>
      </c>
      <c r="C108" s="35">
        <f t="shared" si="6"/>
        <v>8855.1495819423453</v>
      </c>
      <c r="D108" s="9">
        <f t="shared" si="6"/>
        <v>0</v>
      </c>
      <c r="E108" s="9">
        <f t="shared" si="6"/>
        <v>0</v>
      </c>
      <c r="F108" s="9">
        <f t="shared" si="6"/>
        <v>0</v>
      </c>
      <c r="G108" s="9">
        <f t="shared" si="6"/>
        <v>0</v>
      </c>
      <c r="H108" s="9">
        <f t="shared" si="6"/>
        <v>-13774.677127465873</v>
      </c>
      <c r="I108" s="9">
        <f t="shared" si="6"/>
        <v>-8855.1495819423453</v>
      </c>
      <c r="J108" s="89" t="s">
        <v>179</v>
      </c>
    </row>
    <row r="109" spans="1:10" ht="19.95" customHeight="1" x14ac:dyDescent="0.3">
      <c r="B109" s="9">
        <f t="shared" si="6"/>
        <v>-36000</v>
      </c>
      <c r="C109" s="9">
        <f t="shared" si="6"/>
        <v>0</v>
      </c>
      <c r="D109" s="35">
        <f t="shared" si="6"/>
        <v>120000</v>
      </c>
      <c r="E109" s="36">
        <f t="shared" si="6"/>
        <v>0</v>
      </c>
      <c r="F109" s="9">
        <f t="shared" si="6"/>
        <v>-84000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56000</v>
      </c>
      <c r="F110" s="9">
        <f t="shared" si="6"/>
        <v>0</v>
      </c>
      <c r="G110" s="9">
        <f t="shared" si="6"/>
        <v>0</v>
      </c>
      <c r="H110" s="9">
        <f t="shared" si="6"/>
        <v>0</v>
      </c>
      <c r="I110" s="9">
        <f t="shared" si="6"/>
        <v>-56000</v>
      </c>
      <c r="J110" s="89" t="s">
        <v>181</v>
      </c>
    </row>
    <row r="111" spans="1:10" ht="19.95" customHeight="1" x14ac:dyDescent="0.3">
      <c r="B111" s="9">
        <f t="shared" si="6"/>
        <v>0</v>
      </c>
      <c r="C111" s="9">
        <f t="shared" si="6"/>
        <v>0</v>
      </c>
      <c r="D111" s="9">
        <f t="shared" si="6"/>
        <v>-84000</v>
      </c>
      <c r="E111" s="9">
        <f t="shared" si="6"/>
        <v>0</v>
      </c>
      <c r="F111" s="35">
        <f t="shared" si="6"/>
        <v>98336.866610128985</v>
      </c>
      <c r="G111" s="36">
        <f t="shared" si="6"/>
        <v>-21505.299915193493</v>
      </c>
      <c r="H111" s="9">
        <f t="shared" si="6"/>
        <v>-14336.866610128993</v>
      </c>
      <c r="I111" s="9">
        <f t="shared" si="6"/>
        <v>21505.299915193493</v>
      </c>
      <c r="J111" s="89" t="s">
        <v>182</v>
      </c>
    </row>
    <row r="112" spans="1:10" ht="19.95" customHeight="1" x14ac:dyDescent="0.3">
      <c r="B112" s="9">
        <f t="shared" si="6"/>
        <v>0</v>
      </c>
      <c r="C112" s="9">
        <f t="shared" si="6"/>
        <v>0</v>
      </c>
      <c r="D112" s="9">
        <f t="shared" si="6"/>
        <v>0</v>
      </c>
      <c r="E112" s="9">
        <f t="shared" si="6"/>
        <v>0</v>
      </c>
      <c r="F112" s="36">
        <f t="shared" si="6"/>
        <v>-21505.299915193493</v>
      </c>
      <c r="G112" s="35">
        <f t="shared" si="6"/>
        <v>32257.949872790236</v>
      </c>
      <c r="H112" s="9">
        <f t="shared" si="6"/>
        <v>21505.299915193493</v>
      </c>
      <c r="I112" s="9">
        <f t="shared" si="6"/>
        <v>-32257.949872790236</v>
      </c>
      <c r="J112" s="89" t="s">
        <v>183</v>
      </c>
    </row>
    <row r="113" spans="1:17" ht="19.95" customHeight="1" x14ac:dyDescent="0.3">
      <c r="B113" s="9">
        <f t="shared" si="6"/>
        <v>-21427.275531613581</v>
      </c>
      <c r="C113" s="9">
        <f t="shared" si="6"/>
        <v>-13774.677127465873</v>
      </c>
      <c r="D113" s="9">
        <f t="shared" si="6"/>
        <v>0</v>
      </c>
      <c r="E113" s="9">
        <f t="shared" si="6"/>
        <v>0</v>
      </c>
      <c r="F113" s="9">
        <f t="shared" si="6"/>
        <v>-14336.866610128993</v>
      </c>
      <c r="G113" s="9">
        <f t="shared" si="6"/>
        <v>21505.299915193493</v>
      </c>
      <c r="H113" s="35">
        <f t="shared" si="6"/>
        <v>35764.142141742574</v>
      </c>
      <c r="I113" s="36">
        <f t="shared" si="6"/>
        <v>-7730.6227877276197</v>
      </c>
      <c r="J113" s="89" t="s">
        <v>184</v>
      </c>
    </row>
    <row r="114" spans="1:17" ht="19.95" customHeight="1" x14ac:dyDescent="0.3">
      <c r="B114" s="9">
        <f t="shared" si="6"/>
        <v>-13774.677127465873</v>
      </c>
      <c r="C114" s="9">
        <f t="shared" si="6"/>
        <v>-8855.1495819423453</v>
      </c>
      <c r="D114" s="9">
        <f t="shared" si="6"/>
        <v>0</v>
      </c>
      <c r="E114" s="9">
        <f t="shared" si="6"/>
        <v>-56000</v>
      </c>
      <c r="F114" s="9">
        <f t="shared" si="6"/>
        <v>21505.299915193493</v>
      </c>
      <c r="G114" s="9">
        <f t="shared" si="6"/>
        <v>-32257.949872790236</v>
      </c>
      <c r="H114" s="36">
        <f t="shared" si="6"/>
        <v>-7730.6227877276197</v>
      </c>
      <c r="I114" s="35">
        <f t="shared" si="6"/>
        <v>97113.099454732583</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IF(GRAFICA_08!F14=1, B118, GRAFICA_08!H14)</f>
        <v>C1X</v>
      </c>
      <c r="L118" s="215" t="s">
        <v>376</v>
      </c>
      <c r="M118" s="172"/>
      <c r="N118" s="172"/>
      <c r="O118" s="172"/>
      <c r="P118" s="172"/>
      <c r="Q118" s="173"/>
    </row>
    <row r="119" spans="1:17" ht="16.95" customHeight="1" x14ac:dyDescent="0.3">
      <c r="B119" s="12" t="s">
        <v>210</v>
      </c>
      <c r="C119" s="12" t="s">
        <v>179</v>
      </c>
      <c r="E119" s="37" t="str">
        <f>IF(GRAFICA_08!G14=1, B119, GRAFICA_08!I14)</f>
        <v>C1Y</v>
      </c>
      <c r="L119" s="215" t="s">
        <v>211</v>
      </c>
      <c r="M119" s="172"/>
      <c r="N119" s="172"/>
      <c r="O119" s="172"/>
      <c r="P119" s="172"/>
      <c r="Q119" s="173"/>
    </row>
    <row r="120" spans="1:17" ht="16.95" customHeight="1" x14ac:dyDescent="0.3">
      <c r="B120" s="12" t="s">
        <v>212</v>
      </c>
      <c r="C120" s="12" t="s">
        <v>180</v>
      </c>
      <c r="E120" s="37">
        <f>IF(GRAFICA_08!F15=1, B120, GRAFICA_08!H15)</f>
        <v>0</v>
      </c>
      <c r="L120" s="215" t="s">
        <v>377</v>
      </c>
      <c r="M120" s="172"/>
      <c r="N120" s="172"/>
      <c r="O120" s="172"/>
      <c r="P120" s="172"/>
      <c r="Q120" s="173"/>
    </row>
    <row r="121" spans="1:17" ht="16.95" customHeight="1" x14ac:dyDescent="0.3">
      <c r="A121" s="38" t="s">
        <v>218</v>
      </c>
      <c r="B121" s="12" t="s">
        <v>214</v>
      </c>
      <c r="C121" s="12" t="s">
        <v>181</v>
      </c>
      <c r="D121" s="13" t="s">
        <v>220</v>
      </c>
      <c r="E121" s="37">
        <f>IF(GRAFICA_08!G15=1, B121, GRAFICA_08!I15)</f>
        <v>-3000</v>
      </c>
      <c r="L121" s="215" t="s">
        <v>215</v>
      </c>
      <c r="M121" s="172"/>
      <c r="N121" s="172"/>
      <c r="O121" s="172"/>
      <c r="P121" s="172"/>
      <c r="Q121" s="173"/>
    </row>
    <row r="122" spans="1:17" ht="16.95" customHeight="1" x14ac:dyDescent="0.3">
      <c r="B122" s="12" t="s">
        <v>216</v>
      </c>
      <c r="C122" s="12" t="s">
        <v>182</v>
      </c>
      <c r="E122" s="37">
        <f>IF(GRAFICA_08!F16=1, B122, GRAFICA_08!H16)</f>
        <v>0</v>
      </c>
      <c r="L122" s="215" t="s">
        <v>378</v>
      </c>
      <c r="M122" s="172"/>
      <c r="N122" s="172"/>
      <c r="O122" s="172"/>
      <c r="P122" s="172"/>
      <c r="Q122" s="173"/>
    </row>
    <row r="123" spans="1:17" ht="16.95" customHeight="1" x14ac:dyDescent="0.3">
      <c r="B123" s="12" t="s">
        <v>219</v>
      </c>
      <c r="C123" s="12" t="s">
        <v>183</v>
      </c>
      <c r="E123" s="37" t="str">
        <f>IF(GRAFICA_08!G16=1, B123, GRAFICA_08!I16)</f>
        <v>C3Y</v>
      </c>
      <c r="L123" s="215" t="s">
        <v>379</v>
      </c>
      <c r="M123" s="172"/>
      <c r="N123" s="172"/>
      <c r="O123" s="172"/>
      <c r="P123" s="172"/>
      <c r="Q123" s="173"/>
    </row>
    <row r="124" spans="1:17" ht="16.95" customHeight="1" x14ac:dyDescent="0.3">
      <c r="B124" s="12" t="s">
        <v>221</v>
      </c>
      <c r="C124" s="12" t="s">
        <v>184</v>
      </c>
      <c r="E124" s="37">
        <f>IF(GRAFICA_08!F17=1, B124, GRAFICA_08!H17)</f>
        <v>2000</v>
      </c>
      <c r="L124" s="215"/>
      <c r="M124" s="172"/>
      <c r="N124" s="172"/>
      <c r="O124" s="172"/>
      <c r="P124" s="172"/>
      <c r="Q124" s="173"/>
    </row>
    <row r="125" spans="1:17" ht="16.95" customHeight="1" x14ac:dyDescent="0.3">
      <c r="B125" s="12" t="s">
        <v>222</v>
      </c>
      <c r="C125" s="12" t="s">
        <v>185</v>
      </c>
      <c r="E125" s="37">
        <f>IF(GRAFICA_08!G17=1, B125, GRAFICA_08!I17)</f>
        <v>-6500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IF(GRAFICA_08!F14=1,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IF(GRAFICA_08!G14=1,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IF(GRAFICA_08!F15=1,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t="str">
        <f>IF(GRAFICA_08!G15=1, 0, B131)</f>
        <v>D2Y</v>
      </c>
      <c r="F131" s="14">
        <f>IF(E131&lt;&gt;0, COUNTIF(E$128:E131, "&lt;&gt;0"), "")</f>
        <v>2</v>
      </c>
      <c r="G131" s="14" t="str">
        <f>IF(E131=0, COUNTIF(E$128:E131, 0), "")</f>
        <v/>
      </c>
      <c r="L131" s="215"/>
      <c r="M131" s="172"/>
      <c r="N131" s="172"/>
      <c r="O131" s="172"/>
      <c r="P131" s="172"/>
      <c r="Q131" s="173"/>
    </row>
    <row r="132" spans="1:17" ht="16.95" customHeight="1" x14ac:dyDescent="0.3">
      <c r="B132" s="12" t="s">
        <v>232</v>
      </c>
      <c r="C132" s="12" t="s">
        <v>182</v>
      </c>
      <c r="E132" s="39" t="str">
        <f>IF(GRAFICA_08!F16=1, 0, B132)</f>
        <v>D3X</v>
      </c>
      <c r="F132" s="14">
        <f>IF(E132&lt;&gt;0, COUNTIF(E$128:E132, "&lt;&gt;0"), "")</f>
        <v>3</v>
      </c>
      <c r="G132" s="14" t="str">
        <f>IF(E132=0, COUNTIF(E$128:E132, 0), "")</f>
        <v/>
      </c>
      <c r="L132" s="215"/>
      <c r="M132" s="172"/>
      <c r="N132" s="172"/>
      <c r="O132" s="172"/>
      <c r="P132" s="172"/>
      <c r="Q132" s="173"/>
    </row>
    <row r="133" spans="1:17" ht="16.95" customHeight="1" x14ac:dyDescent="0.3">
      <c r="B133" s="12" t="s">
        <v>234</v>
      </c>
      <c r="C133" s="12" t="s">
        <v>183</v>
      </c>
      <c r="E133" s="39">
        <f>IF(GRAFICA_08!G16=1, 0, B133)</f>
        <v>0</v>
      </c>
      <c r="F133" s="14" t="str">
        <f>IF(E133&lt;&gt;0, COUNTIF(E$128:E133, "&lt;&gt;0"), "")</f>
        <v/>
      </c>
      <c r="G133" s="14">
        <f>IF(E133=0, COUNTIF(E$128:E133, 0), "")</f>
        <v>3</v>
      </c>
      <c r="L133" s="215"/>
      <c r="M133" s="172"/>
      <c r="N133" s="172"/>
      <c r="O133" s="172"/>
      <c r="P133" s="172"/>
      <c r="Q133" s="173"/>
    </row>
    <row r="134" spans="1:17" ht="16.95" customHeight="1" x14ac:dyDescent="0.3">
      <c r="B134" s="12" t="s">
        <v>235</v>
      </c>
      <c r="C134" s="12" t="s">
        <v>184</v>
      </c>
      <c r="E134" s="39" t="str">
        <f>IF(GRAFICA_08!F17=1,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IF(GRAFICA_08!G17=1,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57427.275531613581</v>
      </c>
      <c r="D140" s="9">
        <f t="shared" si="8"/>
        <v>13774.677127465873</v>
      </c>
      <c r="E140" s="9">
        <f t="shared" si="8"/>
        <v>-36000</v>
      </c>
      <c r="F140" s="9">
        <f t="shared" si="8"/>
        <v>0</v>
      </c>
      <c r="G140" s="9">
        <f t="shared" si="8"/>
        <v>0</v>
      </c>
      <c r="H140" s="9">
        <f t="shared" si="8"/>
        <v>0</v>
      </c>
      <c r="I140" s="9">
        <f t="shared" si="8"/>
        <v>-21427.275531613581</v>
      </c>
      <c r="J140" s="9">
        <f t="shared" si="8"/>
        <v>-13774.677127465873</v>
      </c>
      <c r="K140" s="13" t="s">
        <v>251</v>
      </c>
      <c r="L140" s="219" t="s">
        <v>380</v>
      </c>
      <c r="M140" s="172"/>
      <c r="N140" s="172"/>
      <c r="O140" s="172"/>
      <c r="P140" s="172"/>
      <c r="Q140" s="173"/>
    </row>
    <row r="141" spans="1:17" ht="16.95" customHeight="1" x14ac:dyDescent="0.3">
      <c r="A141" s="12" t="str">
        <f t="shared" si="7"/>
        <v>C1Y</v>
      </c>
      <c r="C141" s="9">
        <f t="shared" si="8"/>
        <v>13774.677127465873</v>
      </c>
      <c r="D141" s="9">
        <f t="shared" si="8"/>
        <v>8855.1495819423453</v>
      </c>
      <c r="E141" s="9">
        <f t="shared" si="8"/>
        <v>0</v>
      </c>
      <c r="F141" s="9">
        <f t="shared" si="8"/>
        <v>0</v>
      </c>
      <c r="G141" s="9">
        <f t="shared" si="8"/>
        <v>0</v>
      </c>
      <c r="H141" s="9">
        <f t="shared" si="8"/>
        <v>0</v>
      </c>
      <c r="I141" s="9">
        <f t="shared" si="8"/>
        <v>-13774.677127465873</v>
      </c>
      <c r="J141" s="9">
        <f t="shared" si="8"/>
        <v>-8855.1495819423453</v>
      </c>
      <c r="K141" s="13" t="s">
        <v>251</v>
      </c>
      <c r="L141" s="219" t="s">
        <v>253</v>
      </c>
      <c r="M141" s="172"/>
      <c r="N141" s="172"/>
      <c r="O141" s="172"/>
      <c r="P141" s="172"/>
      <c r="Q141" s="173"/>
    </row>
    <row r="142" spans="1:17" ht="16.95" customHeight="1" x14ac:dyDescent="0.3">
      <c r="A142" s="41">
        <f t="shared" si="7"/>
        <v>0</v>
      </c>
      <c r="C142" s="9">
        <f t="shared" si="8"/>
        <v>-36000</v>
      </c>
      <c r="D142" s="9">
        <f t="shared" si="8"/>
        <v>0</v>
      </c>
      <c r="E142" s="41">
        <f t="shared" si="8"/>
        <v>120000</v>
      </c>
      <c r="F142" s="41">
        <f t="shared" si="8"/>
        <v>0</v>
      </c>
      <c r="G142" s="41">
        <f t="shared" si="8"/>
        <v>-84000</v>
      </c>
      <c r="H142" s="9">
        <f t="shared" si="8"/>
        <v>0</v>
      </c>
      <c r="I142" s="41">
        <f t="shared" si="8"/>
        <v>0</v>
      </c>
      <c r="J142" s="41">
        <f t="shared" si="8"/>
        <v>0</v>
      </c>
      <c r="K142" s="13" t="s">
        <v>251</v>
      </c>
      <c r="L142" s="215" t="s">
        <v>254</v>
      </c>
      <c r="M142" s="172"/>
      <c r="N142" s="172"/>
      <c r="O142" s="172"/>
      <c r="P142" s="172"/>
      <c r="Q142" s="173"/>
    </row>
    <row r="143" spans="1:17" ht="16.95" customHeight="1" x14ac:dyDescent="0.3">
      <c r="A143" s="41">
        <f t="shared" si="7"/>
        <v>-3000</v>
      </c>
      <c r="C143" s="9">
        <f t="shared" si="8"/>
        <v>0</v>
      </c>
      <c r="D143" s="9">
        <f t="shared" si="8"/>
        <v>0</v>
      </c>
      <c r="E143" s="41">
        <f t="shared" si="8"/>
        <v>0</v>
      </c>
      <c r="F143" s="41">
        <f t="shared" si="8"/>
        <v>56000</v>
      </c>
      <c r="G143" s="41">
        <f t="shared" si="8"/>
        <v>0</v>
      </c>
      <c r="H143" s="9">
        <f t="shared" si="8"/>
        <v>0</v>
      </c>
      <c r="I143" s="41">
        <f t="shared" si="8"/>
        <v>0</v>
      </c>
      <c r="J143" s="41">
        <f t="shared" si="8"/>
        <v>-56000</v>
      </c>
      <c r="K143" s="13" t="s">
        <v>251</v>
      </c>
      <c r="L143" s="215" t="s">
        <v>381</v>
      </c>
      <c r="M143" s="172"/>
      <c r="N143" s="172"/>
      <c r="O143" s="172"/>
      <c r="P143" s="172"/>
      <c r="Q143" s="173"/>
    </row>
    <row r="144" spans="1:17" ht="16.95" customHeight="1" x14ac:dyDescent="0.3">
      <c r="A144" s="41">
        <f t="shared" si="7"/>
        <v>0</v>
      </c>
      <c r="B144" s="13" t="s">
        <v>220</v>
      </c>
      <c r="C144" s="9">
        <f t="shared" si="8"/>
        <v>0</v>
      </c>
      <c r="D144" s="9">
        <f t="shared" si="8"/>
        <v>0</v>
      </c>
      <c r="E144" s="41">
        <f t="shared" si="8"/>
        <v>-84000</v>
      </c>
      <c r="F144" s="41">
        <f t="shared" si="8"/>
        <v>0</v>
      </c>
      <c r="G144" s="41">
        <f t="shared" si="8"/>
        <v>98336.866610128985</v>
      </c>
      <c r="H144" s="9">
        <f t="shared" si="8"/>
        <v>-21505.299915193493</v>
      </c>
      <c r="I144" s="41">
        <f t="shared" si="8"/>
        <v>-14336.866610128993</v>
      </c>
      <c r="J144" s="41">
        <f t="shared" si="8"/>
        <v>21505.299915193493</v>
      </c>
      <c r="K144" s="13" t="s">
        <v>251</v>
      </c>
      <c r="L144" s="215" t="s">
        <v>382</v>
      </c>
      <c r="M144" s="172"/>
      <c r="N144" s="172"/>
      <c r="O144" s="172"/>
      <c r="P144" s="172"/>
      <c r="Q144" s="173"/>
    </row>
    <row r="145" spans="1:17" ht="16.95" customHeight="1" x14ac:dyDescent="0.3">
      <c r="A145" s="12" t="str">
        <f t="shared" si="7"/>
        <v>C3Y</v>
      </c>
      <c r="C145" s="9">
        <f t="shared" si="8"/>
        <v>0</v>
      </c>
      <c r="D145" s="9">
        <f t="shared" si="8"/>
        <v>0</v>
      </c>
      <c r="E145" s="9">
        <f t="shared" si="8"/>
        <v>0</v>
      </c>
      <c r="F145" s="9">
        <f t="shared" si="8"/>
        <v>0</v>
      </c>
      <c r="G145" s="9">
        <f t="shared" si="8"/>
        <v>-21505.299915193493</v>
      </c>
      <c r="H145" s="9">
        <f t="shared" si="8"/>
        <v>32257.949872790236</v>
      </c>
      <c r="I145" s="9">
        <f t="shared" si="8"/>
        <v>21505.299915193493</v>
      </c>
      <c r="J145" s="9">
        <f t="shared" si="8"/>
        <v>-32257.949872790236</v>
      </c>
      <c r="K145" s="13" t="s">
        <v>251</v>
      </c>
      <c r="L145" s="219">
        <f>E133</f>
        <v>0</v>
      </c>
      <c r="M145" s="172"/>
      <c r="N145" s="172"/>
      <c r="O145" s="172"/>
      <c r="P145" s="172"/>
      <c r="Q145" s="173"/>
    </row>
    <row r="146" spans="1:17" ht="16.95" customHeight="1" x14ac:dyDescent="0.3">
      <c r="A146" s="41">
        <f t="shared" si="7"/>
        <v>2000</v>
      </c>
      <c r="C146" s="9">
        <f t="shared" si="8"/>
        <v>-21427.275531613581</v>
      </c>
      <c r="D146" s="9">
        <f t="shared" si="8"/>
        <v>-13774.677127465873</v>
      </c>
      <c r="E146" s="41">
        <f t="shared" si="8"/>
        <v>0</v>
      </c>
      <c r="F146" s="41">
        <f t="shared" si="8"/>
        <v>0</v>
      </c>
      <c r="G146" s="41">
        <f t="shared" si="8"/>
        <v>-14336.866610128993</v>
      </c>
      <c r="H146" s="9">
        <f t="shared" si="8"/>
        <v>21505.299915193493</v>
      </c>
      <c r="I146" s="41">
        <f t="shared" si="8"/>
        <v>35764.142141742574</v>
      </c>
      <c r="J146" s="41">
        <f t="shared" si="8"/>
        <v>-7730.6227877276197</v>
      </c>
      <c r="K146" s="13" t="s">
        <v>251</v>
      </c>
      <c r="L146" s="215" t="str">
        <f>E134</f>
        <v>D4X</v>
      </c>
      <c r="M146" s="172"/>
      <c r="N146" s="172"/>
      <c r="O146" s="172"/>
      <c r="P146" s="172"/>
      <c r="Q146" s="173"/>
    </row>
    <row r="147" spans="1:17" ht="16.95" customHeight="1" x14ac:dyDescent="0.3">
      <c r="A147" s="41">
        <f t="shared" si="7"/>
        <v>-6500</v>
      </c>
      <c r="C147" s="9">
        <f t="shared" si="8"/>
        <v>-13774.677127465873</v>
      </c>
      <c r="D147" s="9">
        <f t="shared" si="8"/>
        <v>-8855.1495819423453</v>
      </c>
      <c r="E147" s="41">
        <f t="shared" si="8"/>
        <v>0</v>
      </c>
      <c r="F147" s="41">
        <f t="shared" si="8"/>
        <v>-56000</v>
      </c>
      <c r="G147" s="41">
        <f t="shared" si="8"/>
        <v>21505.299915193493</v>
      </c>
      <c r="H147" s="9">
        <f t="shared" si="8"/>
        <v>-32257.949872790236</v>
      </c>
      <c r="I147" s="41">
        <f t="shared" si="8"/>
        <v>-7730.6227877276197</v>
      </c>
      <c r="J147" s="41">
        <f t="shared" si="8"/>
        <v>97113.099454732583</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120000</v>
      </c>
      <c r="D152" s="41">
        <f t="shared" si="9"/>
        <v>0</v>
      </c>
      <c r="E152" s="41">
        <f t="shared" si="9"/>
        <v>-84000</v>
      </c>
      <c r="F152" s="41">
        <f t="shared" si="9"/>
        <v>0</v>
      </c>
      <c r="G152" s="41">
        <f t="shared" si="9"/>
        <v>0</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-3000</v>
      </c>
      <c r="C153" s="41">
        <f t="shared" si="9"/>
        <v>0</v>
      </c>
      <c r="D153" s="41">
        <f t="shared" si="9"/>
        <v>56000</v>
      </c>
      <c r="E153" s="41">
        <f t="shared" si="9"/>
        <v>0</v>
      </c>
      <c r="F153" s="41">
        <f t="shared" si="9"/>
        <v>0</v>
      </c>
      <c r="G153" s="41">
        <f t="shared" si="9"/>
        <v>-56000</v>
      </c>
      <c r="H153" s="13" t="s">
        <v>251</v>
      </c>
      <c r="I153" s="38" t="str">
        <f>INDEX(B$128:B$135, MATCH(2, F$128:F$135, 0))</f>
        <v>D2Y</v>
      </c>
      <c r="J153" s="14" t="str">
        <f>INDEX(C$128:C$135, MATCH(2, F$128:F$135, 0))</f>
        <v>U2Y</v>
      </c>
      <c r="L153" s="215" t="s">
        <v>385</v>
      </c>
      <c r="M153" s="172"/>
      <c r="N153" s="172"/>
      <c r="O153" s="172"/>
      <c r="P153" s="172"/>
      <c r="Q153" s="173"/>
    </row>
    <row r="154" spans="1:17" ht="16.95" customHeight="1" x14ac:dyDescent="0.3">
      <c r="A154" s="41">
        <f>INDEX(E$118:E$125, MATCH(J154, C$118:C$125, 0))</f>
        <v>0</v>
      </c>
      <c r="B154" s="13" t="s">
        <v>220</v>
      </c>
      <c r="C154" s="41">
        <f t="shared" si="9"/>
        <v>-84000</v>
      </c>
      <c r="D154" s="41">
        <f t="shared" si="9"/>
        <v>0</v>
      </c>
      <c r="E154" s="41">
        <f t="shared" si="9"/>
        <v>98336.866610128985</v>
      </c>
      <c r="F154" s="41">
        <f t="shared" si="9"/>
        <v>-14336.866610128993</v>
      </c>
      <c r="G154" s="41">
        <f t="shared" si="9"/>
        <v>21505.299915193493</v>
      </c>
      <c r="H154" s="13" t="s">
        <v>251</v>
      </c>
      <c r="I154" s="38" t="str">
        <f>INDEX(B$128:B$135, MATCH(3, F$128:F$135, 0))</f>
        <v>D3X</v>
      </c>
      <c r="J154" s="14" t="str">
        <f>INDEX(C$128:C$135, MATCH(3, F$128:F$135, 0))</f>
        <v>U3X</v>
      </c>
      <c r="L154" s="215" t="s">
        <v>386</v>
      </c>
      <c r="M154" s="172"/>
      <c r="N154" s="172"/>
      <c r="O154" s="172"/>
      <c r="P154" s="172"/>
      <c r="Q154" s="173"/>
    </row>
    <row r="155" spans="1:17" ht="16.95" customHeight="1" x14ac:dyDescent="0.3">
      <c r="A155" s="41">
        <f>INDEX(E$118:E$125, MATCH(J155, C$118:C$125, 0))</f>
        <v>2000</v>
      </c>
      <c r="C155" s="41">
        <f t="shared" si="9"/>
        <v>0</v>
      </c>
      <c r="D155" s="41">
        <f t="shared" si="9"/>
        <v>0</v>
      </c>
      <c r="E155" s="41">
        <f t="shared" si="9"/>
        <v>-14336.866610128993</v>
      </c>
      <c r="F155" s="41">
        <f t="shared" si="9"/>
        <v>35764.142141742574</v>
      </c>
      <c r="G155" s="41">
        <f t="shared" si="9"/>
        <v>-7730.6227877276197</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-6500</v>
      </c>
      <c r="C156" s="41">
        <f t="shared" si="9"/>
        <v>0</v>
      </c>
      <c r="D156" s="41">
        <f t="shared" si="9"/>
        <v>-56000</v>
      </c>
      <c r="E156" s="41">
        <f t="shared" si="9"/>
        <v>21505.299915193493</v>
      </c>
      <c r="F156" s="41">
        <f t="shared" si="9"/>
        <v>-7730.6227877276197</v>
      </c>
      <c r="G156" s="41">
        <f t="shared" si="9"/>
        <v>97113.099454732583</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2.7777777777777776E-5</v>
      </c>
      <c r="D160" s="93">
        <v>-1.2962962962962966E-5</v>
      </c>
      <c r="E160" s="93">
        <v>2.7777777777777779E-5</v>
      </c>
      <c r="F160" s="93">
        <v>8.333333333333332E-6</v>
      </c>
      <c r="G160" s="93">
        <v>-1.2962962962962966E-5</v>
      </c>
      <c r="I160" s="17">
        <f>A152</f>
        <v>0</v>
      </c>
      <c r="L160" s="215"/>
      <c r="M160" s="172"/>
      <c r="N160" s="172"/>
      <c r="O160" s="172"/>
      <c r="P160" s="172"/>
      <c r="Q160" s="173"/>
    </row>
    <row r="161" spans="1:17" ht="16.95" customHeight="1" x14ac:dyDescent="0.3">
      <c r="A161" s="12" t="str">
        <f>I153</f>
        <v>D2Y</v>
      </c>
      <c r="C161" s="93">
        <v>-1.2962962962962962E-5</v>
      </c>
      <c r="D161" s="93">
        <v>5.1852749757642226E-5</v>
      </c>
      <c r="E161" s="93">
        <v>-1.8518518518518522E-5</v>
      </c>
      <c r="F161" s="93">
        <v>-7.5223849041602639E-8</v>
      </c>
      <c r="G161" s="93">
        <v>3.3995606900499368E-5</v>
      </c>
      <c r="I161" s="17">
        <f>A153</f>
        <v>-3000</v>
      </c>
      <c r="L161" s="215"/>
      <c r="M161" s="172"/>
      <c r="N161" s="172"/>
      <c r="O161" s="172"/>
      <c r="P161" s="172"/>
      <c r="Q161" s="173"/>
    </row>
    <row r="162" spans="1:17" ht="16.95" customHeight="1" x14ac:dyDescent="0.3">
      <c r="A162" s="12" t="str">
        <f>I154</f>
        <v>D3X</v>
      </c>
      <c r="B162" s="13" t="s">
        <v>220</v>
      </c>
      <c r="C162" s="93">
        <v>2.7777777777777772E-5</v>
      </c>
      <c r="D162" s="93">
        <v>-1.8518518518518522E-5</v>
      </c>
      <c r="E162" s="93">
        <v>3.9682539682539683E-5</v>
      </c>
      <c r="F162" s="93">
        <v>1.1904761904761902E-5</v>
      </c>
      <c r="G162" s="93">
        <v>-1.8518518518518522E-5</v>
      </c>
      <c r="I162" s="17">
        <f>A154</f>
        <v>0</v>
      </c>
      <c r="L162" s="215"/>
      <c r="M162" s="172"/>
      <c r="N162" s="172"/>
      <c r="O162" s="172"/>
      <c r="P162" s="172"/>
      <c r="Q162" s="173"/>
    </row>
    <row r="163" spans="1:17" ht="16.95" customHeight="1" x14ac:dyDescent="0.3">
      <c r="A163" s="12" t="str">
        <f>I155</f>
        <v>D4X</v>
      </c>
      <c r="C163" s="93">
        <v>8.333333333333332E-6</v>
      </c>
      <c r="D163" s="93">
        <v>-7.5223849041603645E-8</v>
      </c>
      <c r="E163" s="93">
        <v>1.1904761904761903E-5</v>
      </c>
      <c r="F163" s="93">
        <v>3.2717000497731581E-5</v>
      </c>
      <c r="G163" s="93">
        <v>-7.5223849041603645E-8</v>
      </c>
      <c r="I163" s="17">
        <f>A155</f>
        <v>2000</v>
      </c>
      <c r="L163" s="215"/>
      <c r="M163" s="172"/>
      <c r="N163" s="172"/>
      <c r="O163" s="172"/>
      <c r="P163" s="172"/>
      <c r="Q163" s="173"/>
    </row>
    <row r="164" spans="1:17" ht="16.95" customHeight="1" x14ac:dyDescent="0.3">
      <c r="A164" s="12" t="str">
        <f>I156</f>
        <v>D4Y</v>
      </c>
      <c r="C164" s="93">
        <v>-1.2962962962962962E-5</v>
      </c>
      <c r="D164" s="93">
        <v>3.3995606900499368E-5</v>
      </c>
      <c r="E164" s="93">
        <v>-1.8518518518518522E-5</v>
      </c>
      <c r="F164" s="93">
        <v>-7.5223849041602639E-8</v>
      </c>
      <c r="G164" s="93">
        <v>3.3995606900499368E-5</v>
      </c>
      <c r="I164" s="17">
        <f>A156</f>
        <v>-6500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0.13981481481481484</v>
      </c>
      <c r="D168" s="12" t="s">
        <v>267</v>
      </c>
      <c r="L168" s="215"/>
      <c r="M168" s="172"/>
      <c r="N168" s="172"/>
      <c r="O168" s="172"/>
      <c r="P168" s="172"/>
      <c r="Q168" s="173"/>
    </row>
    <row r="169" spans="1:17" ht="16.95" customHeight="1" x14ac:dyDescent="0.3">
      <c r="A169" s="12" t="str">
        <f>A161</f>
        <v>D2Y</v>
      </c>
      <c r="C169" s="94">
        <v>-0.3766801418242558</v>
      </c>
      <c r="D169" s="12" t="s">
        <v>267</v>
      </c>
      <c r="L169" s="215"/>
      <c r="M169" s="172"/>
      <c r="N169" s="172"/>
      <c r="O169" s="172"/>
      <c r="P169" s="172"/>
      <c r="Q169" s="173"/>
    </row>
    <row r="170" spans="1:17" ht="16.95" customHeight="1" x14ac:dyDescent="0.3">
      <c r="A170" s="12" t="str">
        <f>A162</f>
        <v>D3X</v>
      </c>
      <c r="B170" s="13" t="s">
        <v>220</v>
      </c>
      <c r="C170" s="94">
        <v>0.19973544973544977</v>
      </c>
      <c r="D170" s="12" t="s">
        <v>267</v>
      </c>
      <c r="L170" s="215"/>
      <c r="M170" s="172"/>
      <c r="N170" s="172"/>
      <c r="O170" s="172"/>
      <c r="P170" s="172"/>
      <c r="Q170" s="173"/>
    </row>
    <row r="171" spans="1:17" ht="16.95" customHeight="1" x14ac:dyDescent="0.3">
      <c r="A171" s="12" t="str">
        <f>A163</f>
        <v>D4X</v>
      </c>
      <c r="C171" s="94">
        <v>6.6148627561358406E-2</v>
      </c>
      <c r="D171" s="12" t="s">
        <v>267</v>
      </c>
      <c r="L171" s="215"/>
      <c r="M171" s="172"/>
      <c r="N171" s="172"/>
      <c r="O171" s="172"/>
      <c r="P171" s="172"/>
      <c r="Q171" s="173"/>
    </row>
    <row r="172" spans="1:17" ht="16.95" customHeight="1" x14ac:dyDescent="0.3">
      <c r="A172" s="12" t="str">
        <f>A164</f>
        <v>D4Y</v>
      </c>
      <c r="C172" s="94">
        <v>-0.3231087132528272</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-36000</v>
      </c>
      <c r="D177" s="9">
        <f t="shared" si="10"/>
        <v>0</v>
      </c>
      <c r="E177" s="9">
        <f t="shared" si="10"/>
        <v>0</v>
      </c>
      <c r="F177" s="9">
        <f t="shared" si="10"/>
        <v>-21427.275531613581</v>
      </c>
      <c r="G177" s="9">
        <f t="shared" si="10"/>
        <v>-13774.677127465873</v>
      </c>
      <c r="I177" s="95">
        <f>C168</f>
        <v>0.13981481481481484</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0</v>
      </c>
      <c r="E178" s="9">
        <f t="shared" si="10"/>
        <v>0</v>
      </c>
      <c r="F178" s="9">
        <f t="shared" si="10"/>
        <v>-13774.677127465873</v>
      </c>
      <c r="G178" s="9">
        <f t="shared" si="10"/>
        <v>-8855.1495819423453</v>
      </c>
      <c r="I178" s="95">
        <f>C169</f>
        <v>-0.3766801418242558</v>
      </c>
      <c r="J178" s="14" t="str">
        <f>INDEX(C$128:C$135, MATCH(2, G$128:G$135, 0))</f>
        <v>U1Y</v>
      </c>
      <c r="L178" s="215" t="s">
        <v>391</v>
      </c>
      <c r="M178" s="172"/>
      <c r="N178" s="172"/>
      <c r="O178" s="172"/>
      <c r="P178" s="172"/>
      <c r="Q178" s="173"/>
    </row>
    <row r="179" spans="1:17" ht="16.95" customHeight="1" x14ac:dyDescent="0.3">
      <c r="A179" s="18" t="str">
        <f>INDEX(B$118:B$125, MATCH(J179, C$118:C$125, 0))</f>
        <v>C3Y</v>
      </c>
      <c r="C179" s="9">
        <f t="shared" si="10"/>
        <v>0</v>
      </c>
      <c r="D179" s="9">
        <f t="shared" si="10"/>
        <v>0</v>
      </c>
      <c r="E179" s="9">
        <f t="shared" si="10"/>
        <v>-21505.299915193493</v>
      </c>
      <c r="F179" s="9">
        <f t="shared" si="10"/>
        <v>21505.299915193493</v>
      </c>
      <c r="G179" s="9">
        <f t="shared" si="10"/>
        <v>-32257.949872790236</v>
      </c>
      <c r="I179" s="95">
        <f>C170</f>
        <v>0.19973544973544977</v>
      </c>
      <c r="J179" s="14" t="str">
        <f>INDEX(C$128:C$135, MATCH(3, G$128:G$135, 0))</f>
        <v>U3Y</v>
      </c>
      <c r="L179" s="215" t="s">
        <v>392</v>
      </c>
      <c r="M179" s="172"/>
      <c r="N179" s="172"/>
      <c r="O179" s="172"/>
      <c r="P179" s="172"/>
      <c r="Q179" s="173"/>
    </row>
    <row r="180" spans="1:17" ht="16.95" customHeight="1" x14ac:dyDescent="0.3">
      <c r="I180" s="95">
        <f>C171</f>
        <v>6.6148627561358406E-2</v>
      </c>
      <c r="L180" s="215" t="s">
        <v>393</v>
      </c>
      <c r="M180" s="172"/>
      <c r="N180" s="172"/>
      <c r="O180" s="172"/>
      <c r="P180" s="172"/>
      <c r="Q180" s="173"/>
    </row>
    <row r="181" spans="1:17" ht="16.95" customHeight="1" x14ac:dyDescent="0.3">
      <c r="I181" s="95">
        <f>C172</f>
        <v>-0.3231087132528272</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-2000.0000000000009</v>
      </c>
      <c r="D183" s="12" t="s">
        <v>273</v>
      </c>
      <c r="L183" s="215"/>
      <c r="M183" s="172"/>
      <c r="N183" s="172"/>
      <c r="O183" s="172"/>
      <c r="P183" s="172"/>
      <c r="Q183" s="173"/>
    </row>
    <row r="184" spans="1:17" ht="16.95" customHeight="1" x14ac:dyDescent="0.3">
      <c r="A184" s="12" t="str">
        <f>A178</f>
        <v>C1Y</v>
      </c>
      <c r="B184" s="13" t="s">
        <v>220</v>
      </c>
      <c r="C184" s="17">
        <v>1949.9999999999995</v>
      </c>
      <c r="D184" s="12" t="s">
        <v>273</v>
      </c>
      <c r="L184" s="215"/>
      <c r="M184" s="172"/>
      <c r="N184" s="172"/>
      <c r="O184" s="172"/>
      <c r="P184" s="172"/>
      <c r="Q184" s="173"/>
    </row>
    <row r="185" spans="1:17" ht="16.95" customHeight="1" x14ac:dyDescent="0.3">
      <c r="A185" s="12" t="str">
        <f>A179</f>
        <v>C3Y</v>
      </c>
      <c r="C185" s="17">
        <v>7549.9999999999982</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0.13981481481481484</v>
      </c>
    </row>
    <row r="193" spans="1:17" ht="19.05" customHeight="1" x14ac:dyDescent="0.3">
      <c r="A193" s="12" t="s">
        <v>231</v>
      </c>
      <c r="B193" s="12" t="s">
        <v>181</v>
      </c>
      <c r="D193" s="94">
        <f t="shared" si="11"/>
        <v>-0.3766801418242558</v>
      </c>
    </row>
    <row r="194" spans="1:17" ht="19.05" customHeight="1" x14ac:dyDescent="0.3">
      <c r="A194" s="12" t="s">
        <v>232</v>
      </c>
      <c r="B194" s="12" t="s">
        <v>182</v>
      </c>
      <c r="D194" s="94">
        <f t="shared" si="11"/>
        <v>0.19973544973544977</v>
      </c>
    </row>
    <row r="195" spans="1:17" ht="19.05" customHeight="1" x14ac:dyDescent="0.3">
      <c r="A195" s="12" t="s">
        <v>234</v>
      </c>
      <c r="B195" s="12" t="s">
        <v>183</v>
      </c>
      <c r="D195" s="94">
        <f t="shared" si="11"/>
        <v>0</v>
      </c>
    </row>
    <row r="196" spans="1:17" ht="19.05" customHeight="1" x14ac:dyDescent="0.3">
      <c r="A196" s="12" t="s">
        <v>235</v>
      </c>
      <c r="B196" s="12" t="s">
        <v>184</v>
      </c>
      <c r="D196" s="94">
        <f t="shared" si="11"/>
        <v>6.6148627561358406E-2</v>
      </c>
    </row>
    <row r="197" spans="1:17" ht="19.05" customHeight="1" x14ac:dyDescent="0.3">
      <c r="A197" s="12" t="s">
        <v>236</v>
      </c>
      <c r="B197" s="12" t="s">
        <v>185</v>
      </c>
      <c r="D197" s="94">
        <f t="shared" si="11"/>
        <v>-0.3231087132528272</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36000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5033.3333333333339</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0.13981481481481484</v>
      </c>
      <c r="H206" s="12" t="str">
        <f>"D" &amp; E14 &amp; "X"</f>
        <v>D2X</v>
      </c>
      <c r="L206" s="215" t="s">
        <v>400</v>
      </c>
      <c r="M206" s="172"/>
      <c r="N206" s="172"/>
      <c r="O206" s="172"/>
      <c r="P206" s="172"/>
      <c r="Q206" s="173"/>
    </row>
    <row r="207" spans="1:17" ht="16.95" customHeight="1" x14ac:dyDescent="0.3">
      <c r="G207" s="96">
        <f>IFERROR(VLOOKUP(H207, A$190:D$197, 4, FALSE), 0)</f>
        <v>-0.3766801418242558</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84000</v>
      </c>
      <c r="C212" s="92">
        <f>-J7</f>
        <v>-1</v>
      </c>
      <c r="D212" s="92">
        <f>-K7</f>
        <v>0</v>
      </c>
      <c r="E212" s="92">
        <f>J7</f>
        <v>1</v>
      </c>
      <c r="F212" s="92">
        <f>K7</f>
        <v>0</v>
      </c>
      <c r="G212" s="96">
        <f>IFERROR(VLOOKUP(H212, A$190:D$197, 4, FALSE), 0)</f>
        <v>0.13981481481481484</v>
      </c>
      <c r="H212" s="12" t="str">
        <f>"D" &amp; C15 &amp; "X"</f>
        <v>D2X</v>
      </c>
      <c r="L212" s="215"/>
      <c r="M212" s="172"/>
      <c r="N212" s="172"/>
      <c r="O212" s="172"/>
      <c r="P212" s="172"/>
      <c r="Q212" s="173"/>
    </row>
    <row r="213" spans="1:17" ht="16.95" customHeight="1" x14ac:dyDescent="0.3">
      <c r="A213" s="99" t="s">
        <v>286</v>
      </c>
      <c r="B213" s="97">
        <f>(MMULT(C212:F212, G212:G215)*A212)</f>
        <v>5033.3333333333339</v>
      </c>
      <c r="G213" s="96">
        <f>IFERROR(VLOOKUP(H213, A$190:D$197, 4, FALSE), 0)</f>
        <v>-0.3766801418242558</v>
      </c>
      <c r="H213" s="12" t="str">
        <f>"D" &amp; D15 &amp; "Y"</f>
        <v>D2Y</v>
      </c>
      <c r="L213" s="215"/>
      <c r="M213" s="172"/>
      <c r="N213" s="172"/>
      <c r="O213" s="172"/>
      <c r="P213" s="172"/>
      <c r="Q213" s="173"/>
    </row>
    <row r="214" spans="1:17" ht="16.95" customHeight="1" x14ac:dyDescent="0.3">
      <c r="G214" s="96">
        <f>IFERROR(VLOOKUP(H214, A$190:D$197, 4, FALSE), 0)</f>
        <v>0.19973544973544977</v>
      </c>
      <c r="H214" s="12" t="str">
        <f>"D" &amp; E15 &amp; "X"</f>
        <v>D3X</v>
      </c>
      <c r="L214" s="215"/>
      <c r="M214" s="172"/>
      <c r="N214" s="172"/>
      <c r="O214" s="172"/>
      <c r="P214" s="172"/>
      <c r="Q214" s="173"/>
    </row>
    <row r="215" spans="1:17" ht="16.95" customHeight="1" x14ac:dyDescent="0.3">
      <c r="G215" s="96">
        <f>IFERROR(VLOOKUP(H215, A$190:D$197, 4, FALSE), 0)</f>
        <v>0</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TRACCIÓN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30282.425113555928</v>
      </c>
      <c r="C220" s="92">
        <f>-J8</f>
        <v>-0.84117847537655355</v>
      </c>
      <c r="D220" s="92">
        <f>-K8</f>
        <v>-0.54075759131349865</v>
      </c>
      <c r="E220" s="92">
        <f>J8</f>
        <v>0.84117847537655355</v>
      </c>
      <c r="F220" s="92">
        <f>K8</f>
        <v>0.54075759131349865</v>
      </c>
      <c r="G220" s="96">
        <f>IFERROR(VLOOKUP(H220, A$190:D$197, 4, FALSE), 0)</f>
        <v>0</v>
      </c>
      <c r="H220" s="12" t="str">
        <f>"D" &amp; C16 &amp; "X"</f>
        <v>D1X</v>
      </c>
      <c r="L220" s="215"/>
      <c r="M220" s="172"/>
      <c r="N220" s="172"/>
      <c r="O220" s="172"/>
      <c r="P220" s="172"/>
      <c r="Q220" s="173"/>
    </row>
    <row r="221" spans="1:17" ht="16.95" customHeight="1" x14ac:dyDescent="0.3">
      <c r="A221" s="99" t="s">
        <v>287</v>
      </c>
      <c r="B221" s="97">
        <f>(MMULT(C220:F220, G220:G223)*A220)</f>
        <v>-3606.0520117035344</v>
      </c>
      <c r="G221" s="96">
        <f>IFERROR(VLOOKUP(H221, A$190:D$197, 4, FALSE), 0)</f>
        <v>0</v>
      </c>
      <c r="H221" s="12" t="str">
        <f>"D" &amp; D16 &amp; "Y"</f>
        <v>D1Y</v>
      </c>
      <c r="L221" s="215"/>
      <c r="M221" s="172"/>
      <c r="N221" s="172"/>
      <c r="O221" s="172"/>
      <c r="P221" s="172"/>
      <c r="Q221" s="173"/>
    </row>
    <row r="222" spans="1:17" ht="16.95" customHeight="1" x14ac:dyDescent="0.3">
      <c r="G222" s="96">
        <f>IFERROR(VLOOKUP(H222, A$190:D$197, 4, FALSE), 0)</f>
        <v>6.6148627561358406E-2</v>
      </c>
      <c r="H222" s="12" t="str">
        <f>"D" &amp; E16 &amp; "X"</f>
        <v>D4X</v>
      </c>
      <c r="L222" s="215"/>
      <c r="M222" s="172"/>
      <c r="N222" s="172"/>
      <c r="O222" s="172"/>
      <c r="P222" s="172"/>
      <c r="Q222" s="173"/>
    </row>
    <row r="223" spans="1:17" ht="16.95" customHeight="1" x14ac:dyDescent="0.3">
      <c r="G223" s="96">
        <f>IFERROR(VLOOKUP(H223, A$190:D$197, 4, FALSE), 0)</f>
        <v>-0.3231087132528272</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46594.816482919239</v>
      </c>
      <c r="C228" s="92">
        <f>-J9</f>
        <v>-0.55470019622522904</v>
      </c>
      <c r="D228" s="92">
        <f>-K9</f>
        <v>0.83205029433784361</v>
      </c>
      <c r="E228" s="92">
        <f>J9</f>
        <v>0.55470019622522904</v>
      </c>
      <c r="F228" s="92">
        <f>K9</f>
        <v>-0.83205029433784361</v>
      </c>
      <c r="G228" s="96">
        <f>IFERROR(VLOOKUP(H228, A$190:D$197, 4, FALSE), 0)</f>
        <v>6.6148627561358406E-2</v>
      </c>
      <c r="H228" s="12" t="str">
        <f>"D" &amp; C17 &amp; "X"</f>
        <v>D4X</v>
      </c>
    </row>
    <row r="229" spans="1:17" ht="19.95" customHeight="1" x14ac:dyDescent="0.3">
      <c r="A229" s="99" t="s">
        <v>288</v>
      </c>
      <c r="B229" s="97">
        <f>(MMULT(C228:F228, G228:G231)*A228)</f>
        <v>-9073.9707099177067</v>
      </c>
      <c r="G229" s="96">
        <f>IFERROR(VLOOKUP(H229, A$190:D$197, 4, FALSE), 0)</f>
        <v>-0.3231087132528272</v>
      </c>
      <c r="H229" s="12" t="str">
        <f>"D" &amp; D17 &amp; "Y"</f>
        <v>D4Y</v>
      </c>
    </row>
    <row r="230" spans="1:17" ht="19.95" customHeight="1" x14ac:dyDescent="0.3">
      <c r="G230" s="96">
        <f>IFERROR(VLOOKUP(H230, A$190:D$197, 4, FALSE), 0)</f>
        <v>0.19973544973544977</v>
      </c>
      <c r="H230" s="12" t="str">
        <f>"D" &amp; E17 &amp; "X"</f>
        <v>D3X</v>
      </c>
    </row>
    <row r="231" spans="1:17" ht="19.95" customHeight="1" x14ac:dyDescent="0.3">
      <c r="G231" s="96">
        <f>IFERROR(VLOOKUP(H231, A$190:D$197, 4, FALSE), 0)</f>
        <v>0</v>
      </c>
      <c r="H231" s="12" t="str">
        <f>"D" &amp; F17 &amp; "Y"</f>
        <v>D3Y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56000</v>
      </c>
      <c r="C236" s="92">
        <f>-J10</f>
        <v>0</v>
      </c>
      <c r="D236" s="92">
        <f>-K10</f>
        <v>-1</v>
      </c>
      <c r="E236" s="92">
        <f>J10</f>
        <v>0</v>
      </c>
      <c r="F236" s="92">
        <f>K10</f>
        <v>1</v>
      </c>
      <c r="G236" s="96">
        <f>IFERROR(VLOOKUP(H236, A$190:D$197, 4, FALSE), 0)</f>
        <v>0.13981481481481484</v>
      </c>
      <c r="H236" s="12" t="str">
        <f>"D" &amp; C18 &amp; "X"</f>
        <v>D2X</v>
      </c>
    </row>
    <row r="237" spans="1:17" ht="19.95" customHeight="1" x14ac:dyDescent="0.3">
      <c r="A237" s="99" t="s">
        <v>289</v>
      </c>
      <c r="B237" s="97">
        <f>(MMULT(C236:F236, G236:G239)*A236)</f>
        <v>3000.0000000000018</v>
      </c>
      <c r="G237" s="96">
        <f>IFERROR(VLOOKUP(H237, A$190:D$197, 4, FALSE), 0)</f>
        <v>-0.3766801418242558</v>
      </c>
      <c r="H237" s="12" t="str">
        <f>"D" &amp; D18 &amp; "Y"</f>
        <v>D2Y</v>
      </c>
    </row>
    <row r="238" spans="1:17" ht="19.95" customHeight="1" x14ac:dyDescent="0.3">
      <c r="G238" s="96">
        <f>IFERROR(VLOOKUP(H238, A$190:D$197, 4, FALSE), 0)</f>
        <v>6.6148627561358406E-2</v>
      </c>
      <c r="H238" s="12" t="str">
        <f>"D" &amp; E18 &amp; "X"</f>
        <v>D4X</v>
      </c>
    </row>
    <row r="239" spans="1:17" ht="19.95" customHeight="1" x14ac:dyDescent="0.3">
      <c r="G239" s="96">
        <f>IFERROR(VLOOKUP(H239, A$190:D$197, 4, FALSE), 0)</f>
        <v>-0.3231087132528272</v>
      </c>
      <c r="H239" s="12" t="str">
        <f>"D" &amp; F18 &amp; "Y"</f>
        <v>D4Y</v>
      </c>
    </row>
    <row r="240" spans="1:17" ht="19.95" customHeight="1" x14ac:dyDescent="0.3">
      <c r="B240" s="99" t="s">
        <v>273</v>
      </c>
      <c r="C240" s="178" t="str">
        <f>IF(B237&gt;0.001,"BARRA A TRACCIÓN (+)",IF(B237&lt;-0.001,"BARRA A COMPRESIÓN (-)","BARRA DE FUERZA NULA"))</f>
        <v>BARRA A TRACCIÓN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700</v>
      </c>
      <c r="F245" s="9">
        <f>L6</f>
        <v>12</v>
      </c>
      <c r="G245" s="97">
        <f>B205</f>
        <v>5033.3333333333339</v>
      </c>
      <c r="H245" s="84" t="str">
        <f>C208</f>
        <v>BARRA A TRACCIÓN (+)</v>
      </c>
    </row>
    <row r="246" spans="2:8" ht="19.95" customHeight="1" x14ac:dyDescent="0.3">
      <c r="B246" s="25">
        <v>2</v>
      </c>
      <c r="C246" s="86">
        <f>C15</f>
        <v>2</v>
      </c>
      <c r="D246" s="86">
        <f>E15</f>
        <v>3</v>
      </c>
      <c r="E246" s="9">
        <f>I7</f>
        <v>300</v>
      </c>
      <c r="F246" s="9">
        <f>L7</f>
        <v>12</v>
      </c>
      <c r="G246" s="97">
        <f>B213</f>
        <v>5033.3333333333339</v>
      </c>
      <c r="H246" s="84" t="str">
        <f>C216</f>
        <v>BARRA A TRACCIÓN (+)</v>
      </c>
    </row>
    <row r="247" spans="2:8" ht="19.95" customHeight="1" x14ac:dyDescent="0.3">
      <c r="B247" s="26">
        <v>3</v>
      </c>
      <c r="C247" s="86">
        <f>C16</f>
        <v>1</v>
      </c>
      <c r="D247" s="86">
        <f>E16</f>
        <v>4</v>
      </c>
      <c r="E247" s="9">
        <f>I8</f>
        <v>832.16584885466193</v>
      </c>
      <c r="F247" s="9">
        <f>L8</f>
        <v>12</v>
      </c>
      <c r="G247" s="97">
        <f>B221</f>
        <v>-3606.0520117035344</v>
      </c>
      <c r="H247" s="84" t="str">
        <f>C224</f>
        <v>BARRA A COMPRESIÓN (-)</v>
      </c>
    </row>
    <row r="248" spans="2:8" ht="19.95" customHeight="1" x14ac:dyDescent="0.3">
      <c r="B248" s="43">
        <v>4</v>
      </c>
      <c r="C248" s="86">
        <f>C17</f>
        <v>4</v>
      </c>
      <c r="D248" s="86">
        <f>E17</f>
        <v>3</v>
      </c>
      <c r="E248" s="9">
        <f>I9</f>
        <v>540.83269131959844</v>
      </c>
      <c r="F248" s="9">
        <f>L9</f>
        <v>12</v>
      </c>
      <c r="G248" s="97">
        <f>B229</f>
        <v>-9073.9707099177067</v>
      </c>
      <c r="H248" s="84" t="str">
        <f>C232</f>
        <v>BARRA A COMPRESIÓN (-)</v>
      </c>
    </row>
    <row r="249" spans="2:8" ht="19.95" customHeight="1" x14ac:dyDescent="0.3">
      <c r="B249" s="44">
        <v>5</v>
      </c>
      <c r="C249" s="86">
        <f>C18</f>
        <v>2</v>
      </c>
      <c r="D249" s="86">
        <f>E18</f>
        <v>4</v>
      </c>
      <c r="E249" s="9">
        <f>I10</f>
        <v>450</v>
      </c>
      <c r="F249" s="9">
        <f>L10</f>
        <v>12</v>
      </c>
      <c r="G249" s="97">
        <f>B237</f>
        <v>3000.0000000000018</v>
      </c>
      <c r="H249" s="84" t="str">
        <f>C240</f>
        <v>BARRA A TRACCIÓN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48"/>
  <sheetViews>
    <sheetView topLeftCell="E4" zoomScale="76"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443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HYPERLINK("#'AUTOMATIZADA_09'!A1",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1000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300</v>
      </c>
      <c r="AB9" s="20">
        <f>IF(H29="","",H29)</f>
        <v>700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300</v>
      </c>
      <c r="AB11" s="20">
        <f>IF(F30="","",F30)</f>
        <v>700</v>
      </c>
      <c r="AC11" t="s">
        <v>324</v>
      </c>
    </row>
    <row r="12" spans="2:29" x14ac:dyDescent="0.3">
      <c r="AA12" s="20">
        <f>IF(G30="","",G30)</f>
        <v>750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750</v>
      </c>
      <c r="AB14" s="20">
        <f>IF(F31="","",F31)</f>
        <v>350</v>
      </c>
      <c r="AC14" t="s">
        <v>328</v>
      </c>
    </row>
    <row r="15" spans="2:29" ht="19.05" customHeight="1" x14ac:dyDescent="0.3">
      <c r="B15" s="89">
        <v>2</v>
      </c>
      <c r="C15" s="21">
        <v>1000</v>
      </c>
      <c r="D15" s="21">
        <v>0</v>
      </c>
      <c r="E15" s="21" t="s">
        <v>329</v>
      </c>
      <c r="F15" s="88">
        <f t="shared" si="0"/>
        <v>0</v>
      </c>
      <c r="G15" s="88">
        <f t="shared" si="1"/>
        <v>1</v>
      </c>
      <c r="H15" s="22">
        <v>0</v>
      </c>
      <c r="I15" s="22">
        <v>0</v>
      </c>
      <c r="J15" s="205" t="s">
        <v>435</v>
      </c>
      <c r="K15" s="172"/>
      <c r="L15" s="172"/>
      <c r="M15" s="172"/>
      <c r="N15" s="172"/>
      <c r="O15" s="173"/>
      <c r="AA15" s="20">
        <f>IF(G31="","",G31)</f>
        <v>1000</v>
      </c>
      <c r="AB15" s="20">
        <f>IF(H31="","",H31)</f>
        <v>0</v>
      </c>
      <c r="AC15" t="s">
        <v>331</v>
      </c>
    </row>
    <row r="16" spans="2:29" ht="19.05" customHeight="1" x14ac:dyDescent="0.3">
      <c r="B16" s="89">
        <v>3</v>
      </c>
      <c r="C16" s="21">
        <v>750</v>
      </c>
      <c r="D16" s="21">
        <v>350</v>
      </c>
      <c r="E16" s="21" t="s">
        <v>326</v>
      </c>
      <c r="F16" s="88">
        <f t="shared" si="0"/>
        <v>0</v>
      </c>
      <c r="G16" s="88">
        <f t="shared" si="1"/>
        <v>0</v>
      </c>
      <c r="H16" s="22">
        <v>-3000</v>
      </c>
      <c r="I16" s="22">
        <v>-5000</v>
      </c>
      <c r="J16" s="205" t="s">
        <v>444</v>
      </c>
      <c r="K16" s="172"/>
      <c r="L16" s="172"/>
      <c r="M16" s="172"/>
      <c r="N16" s="172"/>
      <c r="O16" s="173"/>
    </row>
    <row r="17" spans="2:29" ht="19.05" customHeight="1" x14ac:dyDescent="0.3">
      <c r="B17" s="89">
        <v>4</v>
      </c>
      <c r="C17" s="21">
        <v>300</v>
      </c>
      <c r="D17" s="21">
        <v>700</v>
      </c>
      <c r="E17" s="21" t="s">
        <v>326</v>
      </c>
      <c r="F17" s="88">
        <f t="shared" si="0"/>
        <v>0</v>
      </c>
      <c r="G17" s="88">
        <f t="shared" si="1"/>
        <v>0</v>
      </c>
      <c r="H17" s="22">
        <v>4000</v>
      </c>
      <c r="I17" s="22">
        <v>-7000</v>
      </c>
      <c r="J17" s="205" t="s">
        <v>445</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750</v>
      </c>
      <c r="AB18" s="20">
        <f>IF(H32="","",H32)</f>
        <v>350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1000</v>
      </c>
      <c r="H28" s="5">
        <f t="shared" ref="H28:H42" si="5">IF(OR(ISBLANK(D28),D28=""),"",VLOOKUP(D28,$B$14:$D$23,3,FALSE))</f>
        <v>0</v>
      </c>
      <c r="I28" s="9">
        <f t="shared" ref="I28:I42" si="6">IF(G28="","",G28-E28)</f>
        <v>1000</v>
      </c>
      <c r="J28" s="9">
        <f t="shared" ref="J28:J42" si="7">IF(H28="","",H28-F28)</f>
        <v>0</v>
      </c>
      <c r="K28" s="9">
        <f t="shared" ref="K28:K42" si="8">IF(I28="","",SQRT(I28^2+J28^2))</f>
        <v>1000</v>
      </c>
      <c r="L28" s="92">
        <f t="shared" ref="L28:L42" si="9">IF(K28="","",I28/K28)</f>
        <v>1</v>
      </c>
      <c r="M28" s="92">
        <f t="shared" ref="M28:M42" si="10">IF(K28="","",J28/K28)</f>
        <v>0</v>
      </c>
      <c r="N28" s="22">
        <v>12</v>
      </c>
      <c r="O28" s="24">
        <v>2100000</v>
      </c>
    </row>
    <row r="29" spans="2:29" ht="19.05" customHeight="1" x14ac:dyDescent="0.3">
      <c r="B29" s="89">
        <v>2</v>
      </c>
      <c r="C29" s="23">
        <v>1</v>
      </c>
      <c r="D29" s="23">
        <v>4</v>
      </c>
      <c r="E29" s="5">
        <f t="shared" si="2"/>
        <v>0</v>
      </c>
      <c r="F29" s="5">
        <f t="shared" si="3"/>
        <v>0</v>
      </c>
      <c r="G29" s="5">
        <f t="shared" si="4"/>
        <v>300</v>
      </c>
      <c r="H29" s="5">
        <f t="shared" si="5"/>
        <v>700</v>
      </c>
      <c r="I29" s="9">
        <f t="shared" si="6"/>
        <v>300</v>
      </c>
      <c r="J29" s="9">
        <f t="shared" si="7"/>
        <v>700</v>
      </c>
      <c r="K29" s="9">
        <f t="shared" si="8"/>
        <v>761.57731058639081</v>
      </c>
      <c r="L29" s="92">
        <f t="shared" si="9"/>
        <v>0.39391929857916769</v>
      </c>
      <c r="M29" s="92">
        <f t="shared" si="10"/>
        <v>0.91914503001805792</v>
      </c>
      <c r="N29" s="22">
        <v>12</v>
      </c>
      <c r="O29" s="24">
        <v>2100000</v>
      </c>
      <c r="AA29" s="20" t="str">
        <f>IF(E36="","",E36)</f>
        <v/>
      </c>
      <c r="AB29" s="20" t="str">
        <f>IF(F36="","",F36)</f>
        <v/>
      </c>
      <c r="AC29" t="s">
        <v>353</v>
      </c>
    </row>
    <row r="30" spans="2:29" ht="19.05" customHeight="1" x14ac:dyDescent="0.3">
      <c r="B30" s="89">
        <v>3</v>
      </c>
      <c r="C30" s="23">
        <v>4</v>
      </c>
      <c r="D30" s="23">
        <v>3</v>
      </c>
      <c r="E30" s="5">
        <f t="shared" si="2"/>
        <v>300</v>
      </c>
      <c r="F30" s="5">
        <f t="shared" si="3"/>
        <v>700</v>
      </c>
      <c r="G30" s="5">
        <f t="shared" si="4"/>
        <v>750</v>
      </c>
      <c r="H30" s="5">
        <f t="shared" si="5"/>
        <v>350</v>
      </c>
      <c r="I30" s="9">
        <f t="shared" si="6"/>
        <v>450</v>
      </c>
      <c r="J30" s="9">
        <f t="shared" si="7"/>
        <v>-350</v>
      </c>
      <c r="K30" s="9">
        <f t="shared" si="8"/>
        <v>570.08771254956901</v>
      </c>
      <c r="L30" s="92">
        <f t="shared" si="9"/>
        <v>0.78935221737632633</v>
      </c>
      <c r="M30" s="92">
        <f t="shared" si="10"/>
        <v>-0.61394061351492046</v>
      </c>
      <c r="N30" s="22">
        <v>12</v>
      </c>
      <c r="O30" s="24">
        <v>2100000</v>
      </c>
      <c r="AA30" s="20" t="str">
        <f>IF(G36="","",G36)</f>
        <v/>
      </c>
      <c r="AB30" s="20" t="str">
        <f>IF(H36="","",H36)</f>
        <v/>
      </c>
      <c r="AC30" t="s">
        <v>354</v>
      </c>
    </row>
    <row r="31" spans="2:29" ht="19.05" customHeight="1" x14ac:dyDescent="0.3">
      <c r="B31" s="89">
        <v>4</v>
      </c>
      <c r="C31" s="23">
        <v>3</v>
      </c>
      <c r="D31" s="23">
        <v>2</v>
      </c>
      <c r="E31" s="5">
        <f t="shared" si="2"/>
        <v>750</v>
      </c>
      <c r="F31" s="5">
        <f t="shared" si="3"/>
        <v>350</v>
      </c>
      <c r="G31" s="5">
        <f t="shared" si="4"/>
        <v>1000</v>
      </c>
      <c r="H31" s="5">
        <f t="shared" si="5"/>
        <v>0</v>
      </c>
      <c r="I31" s="9">
        <f t="shared" si="6"/>
        <v>250</v>
      </c>
      <c r="J31" s="9">
        <f t="shared" si="7"/>
        <v>-350</v>
      </c>
      <c r="K31" s="9">
        <f t="shared" si="8"/>
        <v>430.11626335213134</v>
      </c>
      <c r="L31" s="92">
        <f t="shared" si="9"/>
        <v>0.58123819371909635</v>
      </c>
      <c r="M31" s="92">
        <f t="shared" si="10"/>
        <v>-0.813733471206735</v>
      </c>
      <c r="N31" s="22">
        <v>12</v>
      </c>
      <c r="O31" s="24">
        <v>2100000</v>
      </c>
    </row>
    <row r="32" spans="2:29" ht="19.05" customHeight="1" x14ac:dyDescent="0.3">
      <c r="B32" s="89">
        <v>5</v>
      </c>
      <c r="C32" s="23">
        <v>1</v>
      </c>
      <c r="D32" s="23">
        <v>3</v>
      </c>
      <c r="E32" s="5">
        <f t="shared" si="2"/>
        <v>0</v>
      </c>
      <c r="F32" s="5">
        <f t="shared" si="3"/>
        <v>0</v>
      </c>
      <c r="G32" s="5">
        <f t="shared" si="4"/>
        <v>750</v>
      </c>
      <c r="H32" s="5">
        <f t="shared" si="5"/>
        <v>350</v>
      </c>
      <c r="I32" s="9">
        <f t="shared" si="6"/>
        <v>750</v>
      </c>
      <c r="J32" s="9">
        <f t="shared" si="7"/>
        <v>350</v>
      </c>
      <c r="K32" s="9">
        <f t="shared" si="8"/>
        <v>827.64726786234246</v>
      </c>
      <c r="L32" s="92">
        <f t="shared" si="9"/>
        <v>0.90618313999526545</v>
      </c>
      <c r="M32" s="92">
        <f t="shared" si="10"/>
        <v>0.42288546533112387</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300-000000000000}">
      <formula1>"Fijo (articulado),Rodillo Y (despl. X libre),Rodillo X (despl. Y libre),Libre (0 reac.)"</formula1>
    </dataValidation>
  </dataValidation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446</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HYPERLINK("#'GRAFICA_09'!A1",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GRAFICA_09!E28</f>
        <v>0</v>
      </c>
      <c r="D6" s="22">
        <f>GRAFICA_09!F28</f>
        <v>0</v>
      </c>
      <c r="E6" s="22">
        <f>GRAFICA_09!G28</f>
        <v>1000</v>
      </c>
      <c r="F6" s="22">
        <f>GRAFICA_09!H28</f>
        <v>0</v>
      </c>
      <c r="G6" s="9">
        <f t="shared" ref="G6:H10" si="0">E6-C6</f>
        <v>1000</v>
      </c>
      <c r="H6" s="9">
        <f t="shared" si="0"/>
        <v>0</v>
      </c>
      <c r="I6" s="9">
        <f>SQRT(G6*G6+H6*H6)</f>
        <v>1000</v>
      </c>
      <c r="J6" s="92">
        <f>G6/I6</f>
        <v>1</v>
      </c>
      <c r="K6" s="92">
        <f>H6/I6</f>
        <v>0</v>
      </c>
      <c r="L6" s="22">
        <f>GRAFICA_09!N28</f>
        <v>12</v>
      </c>
      <c r="M6" s="22">
        <f>GRAFICA_09!O28</f>
        <v>2100000</v>
      </c>
      <c r="N6" s="6">
        <f>L6*M6/I6</f>
        <v>25200</v>
      </c>
    </row>
    <row r="7" spans="2:14" ht="19.05" customHeight="1" x14ac:dyDescent="0.3">
      <c r="B7" s="25">
        <v>2</v>
      </c>
      <c r="C7" s="22">
        <f>GRAFICA_09!E29</f>
        <v>0</v>
      </c>
      <c r="D7" s="22">
        <f>GRAFICA_09!F29</f>
        <v>0</v>
      </c>
      <c r="E7" s="22">
        <f>GRAFICA_09!G29</f>
        <v>300</v>
      </c>
      <c r="F7" s="22">
        <f>GRAFICA_09!H29</f>
        <v>700</v>
      </c>
      <c r="G7" s="9">
        <f t="shared" si="0"/>
        <v>300</v>
      </c>
      <c r="H7" s="9">
        <f t="shared" si="0"/>
        <v>700</v>
      </c>
      <c r="I7" s="9">
        <f>SQRT(G7*G7+H7*H7)</f>
        <v>761.57731058639081</v>
      </c>
      <c r="J7" s="92">
        <f>G7/I7</f>
        <v>0.39391929857916769</v>
      </c>
      <c r="K7" s="92">
        <f>H7/I7</f>
        <v>0.91914503001805792</v>
      </c>
      <c r="L7" s="22">
        <f>GRAFICA_09!N29</f>
        <v>12</v>
      </c>
      <c r="M7" s="22">
        <f>GRAFICA_09!O29</f>
        <v>2100000</v>
      </c>
      <c r="N7" s="6">
        <f>L7*M7/I7</f>
        <v>33089.221080650088</v>
      </c>
    </row>
    <row r="8" spans="2:14" ht="19.05" customHeight="1" x14ac:dyDescent="0.3">
      <c r="B8" s="26">
        <v>3</v>
      </c>
      <c r="C8" s="22">
        <f>GRAFICA_09!E30</f>
        <v>300</v>
      </c>
      <c r="D8" s="22">
        <f>GRAFICA_09!F30</f>
        <v>700</v>
      </c>
      <c r="E8" s="22">
        <f>GRAFICA_09!G30</f>
        <v>750</v>
      </c>
      <c r="F8" s="22">
        <f>GRAFICA_09!H30</f>
        <v>350</v>
      </c>
      <c r="G8" s="9">
        <f t="shared" si="0"/>
        <v>450</v>
      </c>
      <c r="H8" s="9">
        <f t="shared" si="0"/>
        <v>-350</v>
      </c>
      <c r="I8" s="9">
        <f>SQRT(G8*G8+H8*H8)</f>
        <v>570.08771254956901</v>
      </c>
      <c r="J8" s="92">
        <f>G8/I8</f>
        <v>0.78935221737632633</v>
      </c>
      <c r="K8" s="92">
        <f>H8/I8</f>
        <v>-0.61394061351492046</v>
      </c>
      <c r="L8" s="22">
        <f>GRAFICA_09!N30</f>
        <v>12</v>
      </c>
      <c r="M8" s="22">
        <f>GRAFICA_09!O30</f>
        <v>2100000</v>
      </c>
      <c r="N8" s="6">
        <f>L8*M8/I8</f>
        <v>44203.724173074268</v>
      </c>
    </row>
    <row r="9" spans="2:14" ht="19.05" customHeight="1" x14ac:dyDescent="0.3">
      <c r="B9" s="43">
        <v>4</v>
      </c>
      <c r="C9" s="22">
        <f>GRAFICA_09!E31</f>
        <v>750</v>
      </c>
      <c r="D9" s="22">
        <f>GRAFICA_09!F31</f>
        <v>350</v>
      </c>
      <c r="E9" s="22">
        <f>GRAFICA_09!G31</f>
        <v>1000</v>
      </c>
      <c r="F9" s="22">
        <f>GRAFICA_09!H31</f>
        <v>0</v>
      </c>
      <c r="G9" s="9">
        <f t="shared" si="0"/>
        <v>250</v>
      </c>
      <c r="H9" s="9">
        <f t="shared" si="0"/>
        <v>-350</v>
      </c>
      <c r="I9" s="9">
        <f>SQRT(G9*G9+H9*H9)</f>
        <v>430.11626335213134</v>
      </c>
      <c r="J9" s="92">
        <f>G9/I9</f>
        <v>0.58123819371909635</v>
      </c>
      <c r="K9" s="92">
        <f>H9/I9</f>
        <v>-0.813733471206735</v>
      </c>
      <c r="L9" s="22">
        <f>GRAFICA_09!N31</f>
        <v>12</v>
      </c>
      <c r="M9" s="22">
        <f>GRAFICA_09!O31</f>
        <v>2100000</v>
      </c>
      <c r="N9" s="6">
        <f>L9*M9/I9</f>
        <v>58588.809926884918</v>
      </c>
    </row>
    <row r="10" spans="2:14" ht="19.05" customHeight="1" x14ac:dyDescent="0.3">
      <c r="B10" s="44">
        <v>5</v>
      </c>
      <c r="C10" s="22">
        <f>GRAFICA_09!E32</f>
        <v>0</v>
      </c>
      <c r="D10" s="22">
        <f>GRAFICA_09!F32</f>
        <v>0</v>
      </c>
      <c r="E10" s="22">
        <f>GRAFICA_09!G32</f>
        <v>750</v>
      </c>
      <c r="F10" s="22">
        <f>GRAFICA_09!H32</f>
        <v>350</v>
      </c>
      <c r="G10" s="9">
        <f t="shared" si="0"/>
        <v>750</v>
      </c>
      <c r="H10" s="9">
        <f t="shared" si="0"/>
        <v>350</v>
      </c>
      <c r="I10" s="9">
        <f>SQRT(G10*G10+H10*H10)</f>
        <v>827.64726786234246</v>
      </c>
      <c r="J10" s="92">
        <f>G10/I10</f>
        <v>0.90618313999526545</v>
      </c>
      <c r="K10" s="92">
        <f>H10/I10</f>
        <v>0.42288546533112387</v>
      </c>
      <c r="L10" s="22">
        <f>GRAFICA_09!N32</f>
        <v>12</v>
      </c>
      <c r="M10" s="22">
        <f>GRAFICA_09!O32</f>
        <v>2100000</v>
      </c>
      <c r="N10" s="6">
        <f>L10*M10/I10</f>
        <v>30447.753503840919</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GRAFICA_09!C28</f>
        <v>1</v>
      </c>
      <c r="D14" s="23">
        <f>GRAFICA_09!C28</f>
        <v>1</v>
      </c>
      <c r="E14" s="23">
        <f>GRAFICA_09!D28</f>
        <v>2</v>
      </c>
      <c r="F14" s="23">
        <f>GRAFICA_09!D28</f>
        <v>2</v>
      </c>
    </row>
    <row r="15" spans="2:14" ht="19.05" customHeight="1" x14ac:dyDescent="0.3">
      <c r="B15" s="25">
        <v>2</v>
      </c>
      <c r="C15" s="23">
        <f>GRAFICA_09!C29</f>
        <v>1</v>
      </c>
      <c r="D15" s="23">
        <f>GRAFICA_09!C29</f>
        <v>1</v>
      </c>
      <c r="E15" s="23">
        <f>GRAFICA_09!D29</f>
        <v>4</v>
      </c>
      <c r="F15" s="23">
        <f>GRAFICA_09!D29</f>
        <v>4</v>
      </c>
    </row>
    <row r="16" spans="2:14" ht="19.05" customHeight="1" x14ac:dyDescent="0.3">
      <c r="B16" s="26">
        <v>3</v>
      </c>
      <c r="C16" s="23">
        <f>GRAFICA_09!C30</f>
        <v>4</v>
      </c>
      <c r="D16" s="23">
        <f>GRAFICA_09!C30</f>
        <v>4</v>
      </c>
      <c r="E16" s="23">
        <f>GRAFICA_09!D30</f>
        <v>3</v>
      </c>
      <c r="F16" s="23">
        <f>GRAFICA_09!D30</f>
        <v>3</v>
      </c>
    </row>
    <row r="17" spans="1:10" ht="19.05" customHeight="1" x14ac:dyDescent="0.3">
      <c r="B17" s="43">
        <v>4</v>
      </c>
      <c r="C17" s="23">
        <f>GRAFICA_09!C31</f>
        <v>3</v>
      </c>
      <c r="D17" s="23">
        <f>GRAFICA_09!C31</f>
        <v>3</v>
      </c>
      <c r="E17" s="23">
        <f>GRAFICA_09!D31</f>
        <v>2</v>
      </c>
      <c r="F17" s="23">
        <f>GRAFICA_09!D31</f>
        <v>2</v>
      </c>
    </row>
    <row r="18" spans="1:10" ht="19.05" customHeight="1" x14ac:dyDescent="0.3">
      <c r="B18" s="44">
        <v>5</v>
      </c>
      <c r="C18" s="23">
        <f>GRAFICA_09!C32</f>
        <v>1</v>
      </c>
      <c r="D18" s="23">
        <f>GRAFICA_09!C32</f>
        <v>1</v>
      </c>
      <c r="E18" s="23">
        <f>GRAFICA_09!D32</f>
        <v>3</v>
      </c>
      <c r="F18" s="23">
        <f>GRAFICA_09!D32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25200</v>
      </c>
      <c r="C22" s="7">
        <f>J6*K6*N6</f>
        <v>0</v>
      </c>
      <c r="D22" s="7">
        <f>-B22</f>
        <v>-25200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-25200</v>
      </c>
      <c r="C24" s="7">
        <f>E22</f>
        <v>0</v>
      </c>
      <c r="D24" s="7">
        <f>B22</f>
        <v>25200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25200</v>
      </c>
      <c r="C28" s="8">
        <f t="shared" si="1"/>
        <v>0</v>
      </c>
      <c r="D28" s="8">
        <f t="shared" si="1"/>
        <v>-25200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-25200</v>
      </c>
      <c r="C30" s="8">
        <f t="shared" si="1"/>
        <v>0</v>
      </c>
      <c r="D30" s="8">
        <f t="shared" si="1"/>
        <v>25200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U4X</v>
      </c>
      <c r="E38" s="29" t="str">
        <f>CONCATENATE("U",F15,F$13)</f>
        <v>U4Y</v>
      </c>
    </row>
    <row r="39" spans="1:10" x14ac:dyDescent="0.3">
      <c r="B39" s="30">
        <f>J7*J7*N7</f>
        <v>5134.5343056181173</v>
      </c>
      <c r="C39" s="30">
        <f>J7*K7*N7</f>
        <v>11980.580046442274</v>
      </c>
      <c r="D39" s="30">
        <f>-B39</f>
        <v>-5134.5343056181173</v>
      </c>
      <c r="E39" s="30">
        <f>-C39</f>
        <v>-11980.580046442274</v>
      </c>
      <c r="F39" s="29" t="str">
        <f>B38</f>
        <v>U1X</v>
      </c>
    </row>
    <row r="40" spans="1:10" ht="16.8" customHeight="1" x14ac:dyDescent="0.3">
      <c r="A40" s="28" t="s">
        <v>191</v>
      </c>
      <c r="B40" s="30">
        <f>C39</f>
        <v>11980.580046442274</v>
      </c>
      <c r="C40" s="30">
        <f>K7*K7*N7</f>
        <v>27954.686775031973</v>
      </c>
      <c r="D40" s="30">
        <f>-B40</f>
        <v>-11980.580046442274</v>
      </c>
      <c r="E40" s="30">
        <f>-C40</f>
        <v>-27954.686775031973</v>
      </c>
      <c r="F40" s="29" t="str">
        <f>C38</f>
        <v>U1Y</v>
      </c>
    </row>
    <row r="41" spans="1:10" x14ac:dyDescent="0.3">
      <c r="B41" s="30">
        <f>D39</f>
        <v>-5134.5343056181173</v>
      </c>
      <c r="C41" s="30">
        <f>E39</f>
        <v>-11980.580046442274</v>
      </c>
      <c r="D41" s="30">
        <f>B39</f>
        <v>5134.5343056181173</v>
      </c>
      <c r="E41" s="30">
        <f>C39</f>
        <v>11980.580046442274</v>
      </c>
      <c r="F41" s="29" t="str">
        <f>D38</f>
        <v>U4X</v>
      </c>
    </row>
    <row r="42" spans="1:10" x14ac:dyDescent="0.3">
      <c r="B42" s="30">
        <f>D40</f>
        <v>-11980.580046442274</v>
      </c>
      <c r="C42" s="30">
        <f>E40</f>
        <v>-27954.686775031973</v>
      </c>
      <c r="D42" s="30">
        <f>B40</f>
        <v>11980.580046442274</v>
      </c>
      <c r="E42" s="30">
        <f>C40</f>
        <v>27954.686775031973</v>
      </c>
      <c r="F42" s="29" t="str">
        <f>E38</f>
        <v>U4Y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5134.5343056181173</v>
      </c>
      <c r="C45" s="31">
        <f t="shared" si="2"/>
        <v>11980.580046442274</v>
      </c>
      <c r="D45" s="9">
        <f t="shared" si="2"/>
        <v>0</v>
      </c>
      <c r="E45" s="9">
        <f t="shared" si="2"/>
        <v>0</v>
      </c>
      <c r="F45" s="9">
        <f t="shared" si="2"/>
        <v>0</v>
      </c>
      <c r="G45" s="9">
        <f t="shared" si="2"/>
        <v>0</v>
      </c>
      <c r="H45" s="31">
        <f t="shared" si="2"/>
        <v>-5134.5343056181173</v>
      </c>
      <c r="I45" s="31">
        <f t="shared" si="2"/>
        <v>-11980.580046442274</v>
      </c>
      <c r="J45" s="29" t="s">
        <v>178</v>
      </c>
    </row>
    <row r="46" spans="1:10" ht="19.05" customHeight="1" x14ac:dyDescent="0.3">
      <c r="B46" s="31">
        <f t="shared" si="2"/>
        <v>11980.580046442274</v>
      </c>
      <c r="C46" s="31">
        <f t="shared" si="2"/>
        <v>27954.686775031973</v>
      </c>
      <c r="D46" s="9">
        <f t="shared" si="2"/>
        <v>0</v>
      </c>
      <c r="E46" s="9">
        <f t="shared" si="2"/>
        <v>0</v>
      </c>
      <c r="F46" s="9">
        <f t="shared" si="2"/>
        <v>0</v>
      </c>
      <c r="G46" s="9">
        <f t="shared" si="2"/>
        <v>0</v>
      </c>
      <c r="H46" s="31">
        <f t="shared" si="2"/>
        <v>-11980.580046442274</v>
      </c>
      <c r="I46" s="31">
        <f t="shared" si="2"/>
        <v>-27954.686775031973</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9">
        <f t="shared" si="2"/>
        <v>0</v>
      </c>
      <c r="C49" s="9">
        <f t="shared" si="2"/>
        <v>0</v>
      </c>
      <c r="D49" s="9">
        <f t="shared" si="2"/>
        <v>0</v>
      </c>
      <c r="E49" s="9">
        <f t="shared" si="2"/>
        <v>0</v>
      </c>
      <c r="F49" s="9">
        <f t="shared" si="2"/>
        <v>0</v>
      </c>
      <c r="G49" s="9">
        <f t="shared" si="2"/>
        <v>0</v>
      </c>
      <c r="H49" s="9">
        <f t="shared" si="2"/>
        <v>0</v>
      </c>
      <c r="I49" s="9">
        <f t="shared" si="2"/>
        <v>0</v>
      </c>
      <c r="J49" s="29" t="s">
        <v>182</v>
      </c>
    </row>
    <row r="50" spans="1:10" ht="19.05" customHeight="1" x14ac:dyDescent="0.3">
      <c r="B50" s="9">
        <f t="shared" si="2"/>
        <v>0</v>
      </c>
      <c r="C50" s="9">
        <f t="shared" si="2"/>
        <v>0</v>
      </c>
      <c r="D50" s="9">
        <f t="shared" si="2"/>
        <v>0</v>
      </c>
      <c r="E50" s="9">
        <f t="shared" si="2"/>
        <v>0</v>
      </c>
      <c r="F50" s="9">
        <f t="shared" si="2"/>
        <v>0</v>
      </c>
      <c r="G50" s="9">
        <f t="shared" si="2"/>
        <v>0</v>
      </c>
      <c r="H50" s="9">
        <f t="shared" si="2"/>
        <v>0</v>
      </c>
      <c r="I50" s="9">
        <f t="shared" si="2"/>
        <v>0</v>
      </c>
      <c r="J50" s="29" t="s">
        <v>183</v>
      </c>
    </row>
    <row r="51" spans="1:10" ht="19.05" customHeight="1" x14ac:dyDescent="0.3">
      <c r="B51" s="31">
        <f t="shared" si="2"/>
        <v>-5134.5343056181173</v>
      </c>
      <c r="C51" s="31">
        <f t="shared" si="2"/>
        <v>-11980.580046442274</v>
      </c>
      <c r="D51" s="9">
        <f t="shared" si="2"/>
        <v>0</v>
      </c>
      <c r="E51" s="9">
        <f t="shared" si="2"/>
        <v>0</v>
      </c>
      <c r="F51" s="9">
        <f t="shared" si="2"/>
        <v>0</v>
      </c>
      <c r="G51" s="9">
        <f t="shared" si="2"/>
        <v>0</v>
      </c>
      <c r="H51" s="31">
        <f t="shared" si="2"/>
        <v>5134.5343056181173</v>
      </c>
      <c r="I51" s="31">
        <f t="shared" si="2"/>
        <v>11980.580046442274</v>
      </c>
      <c r="J51" s="29" t="s">
        <v>184</v>
      </c>
    </row>
    <row r="52" spans="1:10" ht="19.05" customHeight="1" x14ac:dyDescent="0.3">
      <c r="B52" s="31">
        <f t="shared" si="2"/>
        <v>-11980.580046442274</v>
      </c>
      <c r="C52" s="31">
        <f t="shared" si="2"/>
        <v>-27954.686775031973</v>
      </c>
      <c r="D52" s="9">
        <f t="shared" si="2"/>
        <v>0</v>
      </c>
      <c r="E52" s="9">
        <f t="shared" si="2"/>
        <v>0</v>
      </c>
      <c r="F52" s="9">
        <f t="shared" si="2"/>
        <v>0</v>
      </c>
      <c r="G52" s="9">
        <f t="shared" si="2"/>
        <v>0</v>
      </c>
      <c r="H52" s="31">
        <f t="shared" si="2"/>
        <v>11980.580046442274</v>
      </c>
      <c r="I52" s="31">
        <f t="shared" si="2"/>
        <v>27954.686775031973</v>
      </c>
      <c r="J52" s="29" t="s">
        <v>185</v>
      </c>
    </row>
    <row r="55" spans="1:10" ht="18" customHeight="1" x14ac:dyDescent="0.3">
      <c r="B55" s="32" t="str">
        <f>CONCATENATE("U",C16,C$13)</f>
        <v>U4X</v>
      </c>
      <c r="C55" s="32" t="str">
        <f>CONCATENATE("U",D16,D$13)</f>
        <v>U4Y</v>
      </c>
      <c r="D55" s="32" t="str">
        <f>CONCATENATE("U",E16,E$13)</f>
        <v>U3X</v>
      </c>
      <c r="E55" s="32" t="str">
        <f>CONCATENATE("U",F16,F$13)</f>
        <v>U3Y</v>
      </c>
    </row>
    <row r="56" spans="1:10" x14ac:dyDescent="0.3">
      <c r="B56" s="33">
        <f>J8*J8*N8</f>
        <v>27542.32044630012</v>
      </c>
      <c r="C56" s="33">
        <f>J8*K8*N8</f>
        <v>-21421.804791566763</v>
      </c>
      <c r="D56" s="33">
        <f>-B56</f>
        <v>-27542.32044630012</v>
      </c>
      <c r="E56" s="33">
        <f>-C56</f>
        <v>21421.804791566763</v>
      </c>
      <c r="F56" s="32" t="str">
        <f>B55</f>
        <v>U4X</v>
      </c>
    </row>
    <row r="57" spans="1:10" ht="16.8" customHeight="1" x14ac:dyDescent="0.3">
      <c r="A57" s="28" t="s">
        <v>193</v>
      </c>
      <c r="B57" s="33">
        <f>C56</f>
        <v>-21421.804791566763</v>
      </c>
      <c r="C57" s="33">
        <f>K8*K8*N8</f>
        <v>16661.403726774148</v>
      </c>
      <c r="D57" s="33">
        <f>-B57</f>
        <v>21421.804791566763</v>
      </c>
      <c r="E57" s="33">
        <f>-C57</f>
        <v>-16661.403726774148</v>
      </c>
      <c r="F57" s="32" t="str">
        <f>C55</f>
        <v>U4Y</v>
      </c>
    </row>
    <row r="58" spans="1:10" x14ac:dyDescent="0.3">
      <c r="B58" s="33">
        <f>D56</f>
        <v>-27542.32044630012</v>
      </c>
      <c r="C58" s="33">
        <f>E56</f>
        <v>21421.804791566763</v>
      </c>
      <c r="D58" s="33">
        <f>B56</f>
        <v>27542.32044630012</v>
      </c>
      <c r="E58" s="33">
        <f>C56</f>
        <v>-21421.804791566763</v>
      </c>
      <c r="F58" s="32" t="str">
        <f>D55</f>
        <v>U3X</v>
      </c>
    </row>
    <row r="59" spans="1:10" x14ac:dyDescent="0.3">
      <c r="B59" s="33">
        <f>D57</f>
        <v>21421.804791566763</v>
      </c>
      <c r="C59" s="33">
        <f>E57</f>
        <v>-16661.403726774148</v>
      </c>
      <c r="D59" s="33">
        <f>B57</f>
        <v>-21421.804791566763</v>
      </c>
      <c r="E59" s="33">
        <f>C57</f>
        <v>16661.403726774148</v>
      </c>
      <c r="F59" s="32" t="str">
        <f>E55</f>
        <v>U3Y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27542.32044630012</v>
      </c>
      <c r="G66" s="34">
        <f t="shared" si="3"/>
        <v>-21421.804791566763</v>
      </c>
      <c r="H66" s="34">
        <f t="shared" si="3"/>
        <v>-27542.32044630012</v>
      </c>
      <c r="I66" s="34">
        <f t="shared" si="3"/>
        <v>21421.804791566763</v>
      </c>
      <c r="J66" s="32" t="s">
        <v>182</v>
      </c>
    </row>
    <row r="67" spans="1:10" ht="19.05" customHeight="1" x14ac:dyDescent="0.3">
      <c r="B67" s="9">
        <f t="shared" si="3"/>
        <v>0</v>
      </c>
      <c r="C67" s="9">
        <f t="shared" si="3"/>
        <v>0</v>
      </c>
      <c r="D67" s="9">
        <f t="shared" si="3"/>
        <v>0</v>
      </c>
      <c r="E67" s="9">
        <f t="shared" si="3"/>
        <v>0</v>
      </c>
      <c r="F67" s="34">
        <f t="shared" si="3"/>
        <v>-21421.804791566763</v>
      </c>
      <c r="G67" s="34">
        <f t="shared" si="3"/>
        <v>16661.403726774148</v>
      </c>
      <c r="H67" s="34">
        <f t="shared" si="3"/>
        <v>21421.804791566763</v>
      </c>
      <c r="I67" s="34">
        <f t="shared" si="3"/>
        <v>-16661.403726774148</v>
      </c>
      <c r="J67" s="32" t="s">
        <v>183</v>
      </c>
    </row>
    <row r="68" spans="1:10" ht="19.05" customHeight="1" x14ac:dyDescent="0.3">
      <c r="B68" s="9">
        <f t="shared" si="3"/>
        <v>0</v>
      </c>
      <c r="C68" s="9">
        <f t="shared" si="3"/>
        <v>0</v>
      </c>
      <c r="D68" s="9">
        <f t="shared" si="3"/>
        <v>0</v>
      </c>
      <c r="E68" s="9">
        <f t="shared" si="3"/>
        <v>0</v>
      </c>
      <c r="F68" s="34">
        <f t="shared" si="3"/>
        <v>-27542.32044630012</v>
      </c>
      <c r="G68" s="34">
        <f t="shared" si="3"/>
        <v>21421.804791566763</v>
      </c>
      <c r="H68" s="34">
        <f t="shared" si="3"/>
        <v>27542.32044630012</v>
      </c>
      <c r="I68" s="34">
        <f t="shared" si="3"/>
        <v>-21421.804791566763</v>
      </c>
      <c r="J68" s="32" t="s">
        <v>184</v>
      </c>
    </row>
    <row r="69" spans="1:10" ht="19.05" customHeight="1" x14ac:dyDescent="0.3">
      <c r="B69" s="9">
        <f t="shared" si="3"/>
        <v>0</v>
      </c>
      <c r="C69" s="9">
        <f t="shared" si="3"/>
        <v>0</v>
      </c>
      <c r="D69" s="9">
        <f t="shared" si="3"/>
        <v>0</v>
      </c>
      <c r="E69" s="9">
        <f t="shared" si="3"/>
        <v>0</v>
      </c>
      <c r="F69" s="34">
        <f t="shared" si="3"/>
        <v>21421.804791566763</v>
      </c>
      <c r="G69" s="34">
        <f t="shared" si="3"/>
        <v>-16661.403726774148</v>
      </c>
      <c r="H69" s="34">
        <f t="shared" si="3"/>
        <v>-21421.804791566763</v>
      </c>
      <c r="I69" s="34">
        <f t="shared" si="3"/>
        <v>16661.403726774148</v>
      </c>
      <c r="J69" s="32" t="s">
        <v>185</v>
      </c>
    </row>
    <row r="72" spans="1:10" ht="18" customHeight="1" x14ac:dyDescent="0.3">
      <c r="B72" s="45" t="str">
        <f>CONCATENATE("U",C17,C$13)</f>
        <v>U3X</v>
      </c>
      <c r="C72" s="45" t="str">
        <f>CONCATENATE("U",D17,D$13)</f>
        <v>U3Y</v>
      </c>
      <c r="D72" s="45" t="str">
        <f>CONCATENATE("U",E17,E$13)</f>
        <v>U2X</v>
      </c>
      <c r="E72" s="45" t="str">
        <f>CONCATENATE("U",F17,F$13)</f>
        <v>U2Y</v>
      </c>
    </row>
    <row r="73" spans="1:10" x14ac:dyDescent="0.3">
      <c r="B73" s="46">
        <f>J9*J9*N9</f>
        <v>19793.516867190847</v>
      </c>
      <c r="C73" s="46">
        <f>J9*K9*N9</f>
        <v>-27710.923614067189</v>
      </c>
      <c r="D73" s="46">
        <f>-B73</f>
        <v>-19793.516867190847</v>
      </c>
      <c r="E73" s="46">
        <f>-C73</f>
        <v>27710.923614067189</v>
      </c>
      <c r="F73" s="45" t="str">
        <f>B72</f>
        <v>U3X</v>
      </c>
    </row>
    <row r="74" spans="1:10" ht="16.8" customHeight="1" x14ac:dyDescent="0.3">
      <c r="A74" s="28" t="s">
        <v>195</v>
      </c>
      <c r="B74" s="46">
        <f>C73</f>
        <v>-27710.923614067189</v>
      </c>
      <c r="C74" s="46">
        <f>K9*K9*N9</f>
        <v>38795.293059694071</v>
      </c>
      <c r="D74" s="46">
        <f>-B74</f>
        <v>27710.923614067189</v>
      </c>
      <c r="E74" s="46">
        <f>-C74</f>
        <v>-38795.293059694071</v>
      </c>
      <c r="F74" s="45" t="str">
        <f>C72</f>
        <v>U3Y</v>
      </c>
    </row>
    <row r="75" spans="1:10" x14ac:dyDescent="0.3">
      <c r="B75" s="46">
        <f>D73</f>
        <v>-19793.516867190847</v>
      </c>
      <c r="C75" s="46">
        <f>E73</f>
        <v>27710.923614067189</v>
      </c>
      <c r="D75" s="46">
        <f>B73</f>
        <v>19793.516867190847</v>
      </c>
      <c r="E75" s="46">
        <f>C73</f>
        <v>-27710.923614067189</v>
      </c>
      <c r="F75" s="45" t="str">
        <f>D72</f>
        <v>U2X</v>
      </c>
    </row>
    <row r="76" spans="1:10" x14ac:dyDescent="0.3">
      <c r="B76" s="46">
        <f>D74</f>
        <v>27710.923614067189</v>
      </c>
      <c r="C76" s="46">
        <f>E74</f>
        <v>-38795.293059694071</v>
      </c>
      <c r="D76" s="46">
        <f>B74</f>
        <v>-27710.923614067189</v>
      </c>
      <c r="E76" s="46">
        <f>C74</f>
        <v>38795.293059694071</v>
      </c>
      <c r="F76" s="45" t="str">
        <f>E72</f>
        <v>U2Y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47">
        <f t="shared" si="4"/>
        <v>19793.516867190847</v>
      </c>
      <c r="E81" s="47">
        <f t="shared" si="4"/>
        <v>-27710.923614067189</v>
      </c>
      <c r="F81" s="47">
        <f t="shared" si="4"/>
        <v>-19793.516867190847</v>
      </c>
      <c r="G81" s="47">
        <f t="shared" si="4"/>
        <v>27710.923614067189</v>
      </c>
      <c r="H81" s="9">
        <f t="shared" si="4"/>
        <v>0</v>
      </c>
      <c r="I81" s="9">
        <f t="shared" si="4"/>
        <v>0</v>
      </c>
      <c r="J81" s="45" t="s">
        <v>180</v>
      </c>
    </row>
    <row r="82" spans="1:10" ht="19.05" customHeight="1" x14ac:dyDescent="0.3">
      <c r="A82" s="28" t="s">
        <v>196</v>
      </c>
      <c r="B82" s="9">
        <f t="shared" si="4"/>
        <v>0</v>
      </c>
      <c r="C82" s="9">
        <f t="shared" si="4"/>
        <v>0</v>
      </c>
      <c r="D82" s="47">
        <f t="shared" si="4"/>
        <v>-27710.923614067189</v>
      </c>
      <c r="E82" s="47">
        <f t="shared" si="4"/>
        <v>38795.293059694071</v>
      </c>
      <c r="F82" s="47">
        <f t="shared" si="4"/>
        <v>27710.923614067189</v>
      </c>
      <c r="G82" s="47">
        <f t="shared" si="4"/>
        <v>-38795.293059694071</v>
      </c>
      <c r="H82" s="9">
        <f t="shared" si="4"/>
        <v>0</v>
      </c>
      <c r="I82" s="9">
        <f t="shared" si="4"/>
        <v>0</v>
      </c>
      <c r="J82" s="45" t="s">
        <v>181</v>
      </c>
    </row>
    <row r="83" spans="1:10" ht="19.05" customHeight="1" x14ac:dyDescent="0.3">
      <c r="B83" s="9">
        <f t="shared" si="4"/>
        <v>0</v>
      </c>
      <c r="C83" s="9">
        <f t="shared" si="4"/>
        <v>0</v>
      </c>
      <c r="D83" s="47">
        <f t="shared" si="4"/>
        <v>-19793.516867190847</v>
      </c>
      <c r="E83" s="47">
        <f t="shared" si="4"/>
        <v>27710.923614067189</v>
      </c>
      <c r="F83" s="47">
        <f t="shared" si="4"/>
        <v>19793.516867190847</v>
      </c>
      <c r="G83" s="47">
        <f t="shared" si="4"/>
        <v>-27710.923614067189</v>
      </c>
      <c r="H83" s="9">
        <f t="shared" si="4"/>
        <v>0</v>
      </c>
      <c r="I83" s="9">
        <f t="shared" si="4"/>
        <v>0</v>
      </c>
      <c r="J83" s="45" t="s">
        <v>182</v>
      </c>
    </row>
    <row r="84" spans="1:10" ht="19.05" customHeight="1" x14ac:dyDescent="0.3">
      <c r="B84" s="9">
        <f t="shared" si="4"/>
        <v>0</v>
      </c>
      <c r="C84" s="9">
        <f t="shared" si="4"/>
        <v>0</v>
      </c>
      <c r="D84" s="47">
        <f t="shared" si="4"/>
        <v>27710.923614067189</v>
      </c>
      <c r="E84" s="47">
        <f t="shared" si="4"/>
        <v>-38795.293059694071</v>
      </c>
      <c r="F84" s="47">
        <f t="shared" si="4"/>
        <v>-27710.923614067189</v>
      </c>
      <c r="G84" s="47">
        <f t="shared" si="4"/>
        <v>38795.293059694071</v>
      </c>
      <c r="H84" s="9">
        <f t="shared" si="4"/>
        <v>0</v>
      </c>
      <c r="I84" s="9">
        <f t="shared" si="4"/>
        <v>0</v>
      </c>
      <c r="J84" s="45" t="s">
        <v>183</v>
      </c>
    </row>
    <row r="85" spans="1:10" ht="19.05" customHeight="1" x14ac:dyDescent="0.3">
      <c r="B85" s="9">
        <f t="shared" si="4"/>
        <v>0</v>
      </c>
      <c r="C85" s="9">
        <f t="shared" si="4"/>
        <v>0</v>
      </c>
      <c r="D85" s="9">
        <f t="shared" si="4"/>
        <v>0</v>
      </c>
      <c r="E85" s="9">
        <f t="shared" si="4"/>
        <v>0</v>
      </c>
      <c r="F85" s="9">
        <f t="shared" si="4"/>
        <v>0</v>
      </c>
      <c r="G85" s="9">
        <f t="shared" si="4"/>
        <v>0</v>
      </c>
      <c r="H85" s="9">
        <f t="shared" si="4"/>
        <v>0</v>
      </c>
      <c r="I85" s="9">
        <f t="shared" si="4"/>
        <v>0</v>
      </c>
      <c r="J85" s="45" t="s">
        <v>184</v>
      </c>
    </row>
    <row r="86" spans="1:10" ht="19.05" customHeight="1" x14ac:dyDescent="0.3">
      <c r="B86" s="9">
        <f t="shared" si="4"/>
        <v>0</v>
      </c>
      <c r="C86" s="9">
        <f t="shared" si="4"/>
        <v>0</v>
      </c>
      <c r="D86" s="9">
        <f t="shared" si="4"/>
        <v>0</v>
      </c>
      <c r="E86" s="9">
        <f t="shared" si="4"/>
        <v>0</v>
      </c>
      <c r="F86" s="9">
        <f t="shared" si="4"/>
        <v>0</v>
      </c>
      <c r="G86" s="9">
        <f t="shared" si="4"/>
        <v>0</v>
      </c>
      <c r="H86" s="9">
        <f t="shared" si="4"/>
        <v>0</v>
      </c>
      <c r="I86" s="9">
        <f t="shared" si="4"/>
        <v>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25002.717293300026</v>
      </c>
      <c r="C90" s="49">
        <f>J10*K10*N10</f>
        <v>11667.934736873345</v>
      </c>
      <c r="D90" s="49">
        <f>-B90</f>
        <v>-25002.717293300026</v>
      </c>
      <c r="E90" s="49">
        <f>-C90</f>
        <v>-11667.934736873345</v>
      </c>
      <c r="F90" s="48" t="str">
        <f>B89</f>
        <v>U1X</v>
      </c>
    </row>
    <row r="91" spans="1:10" ht="16.8" customHeight="1" x14ac:dyDescent="0.3">
      <c r="A91" s="28" t="s">
        <v>197</v>
      </c>
      <c r="B91" s="49">
        <f>C90</f>
        <v>11667.934736873345</v>
      </c>
      <c r="C91" s="49">
        <f>K10*K10*N10</f>
        <v>5445.036210540894</v>
      </c>
      <c r="D91" s="49">
        <f>-B91</f>
        <v>-11667.934736873345</v>
      </c>
      <c r="E91" s="49">
        <f>-C91</f>
        <v>-5445.036210540894</v>
      </c>
      <c r="F91" s="48" t="str">
        <f>C89</f>
        <v>U1Y</v>
      </c>
    </row>
    <row r="92" spans="1:10" x14ac:dyDescent="0.3">
      <c r="B92" s="49">
        <f>D90</f>
        <v>-25002.717293300026</v>
      </c>
      <c r="C92" s="49">
        <f>E90</f>
        <v>-11667.934736873345</v>
      </c>
      <c r="D92" s="49">
        <f>B90</f>
        <v>25002.717293300026</v>
      </c>
      <c r="E92" s="49">
        <f>C90</f>
        <v>11667.934736873345</v>
      </c>
      <c r="F92" s="48" t="str">
        <f>D89</f>
        <v>U3X</v>
      </c>
    </row>
    <row r="93" spans="1:10" x14ac:dyDescent="0.3">
      <c r="B93" s="49">
        <f>D91</f>
        <v>-11667.934736873345</v>
      </c>
      <c r="C93" s="49">
        <f>E91</f>
        <v>-5445.036210540894</v>
      </c>
      <c r="D93" s="49">
        <f>B91</f>
        <v>11667.934736873345</v>
      </c>
      <c r="E93" s="49">
        <f>C91</f>
        <v>5445.036210540894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25002.717293300026</v>
      </c>
      <c r="C96" s="50">
        <f t="shared" si="5"/>
        <v>11667.934736873345</v>
      </c>
      <c r="D96" s="9">
        <f t="shared" si="5"/>
        <v>0</v>
      </c>
      <c r="E96" s="9">
        <f t="shared" si="5"/>
        <v>0</v>
      </c>
      <c r="F96" s="50">
        <f t="shared" si="5"/>
        <v>-25002.717293300026</v>
      </c>
      <c r="G96" s="50">
        <f t="shared" si="5"/>
        <v>-11667.934736873345</v>
      </c>
      <c r="H96" s="9">
        <f t="shared" si="5"/>
        <v>0</v>
      </c>
      <c r="I96" s="9">
        <f t="shared" si="5"/>
        <v>0</v>
      </c>
      <c r="J96" s="48" t="s">
        <v>178</v>
      </c>
    </row>
    <row r="97" spans="1:10" ht="19.05" customHeight="1" x14ac:dyDescent="0.3">
      <c r="B97" s="50">
        <f t="shared" si="5"/>
        <v>11667.934736873345</v>
      </c>
      <c r="C97" s="50">
        <f t="shared" si="5"/>
        <v>5445.036210540894</v>
      </c>
      <c r="D97" s="9">
        <f t="shared" si="5"/>
        <v>0</v>
      </c>
      <c r="E97" s="9">
        <f t="shared" si="5"/>
        <v>0</v>
      </c>
      <c r="F97" s="50">
        <f t="shared" si="5"/>
        <v>-11667.934736873345</v>
      </c>
      <c r="G97" s="50">
        <f t="shared" si="5"/>
        <v>-5445.036210540894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-25002.717293300026</v>
      </c>
      <c r="C100" s="50">
        <f t="shared" si="5"/>
        <v>-11667.934736873345</v>
      </c>
      <c r="D100" s="9">
        <f t="shared" si="5"/>
        <v>0</v>
      </c>
      <c r="E100" s="9">
        <f t="shared" si="5"/>
        <v>0</v>
      </c>
      <c r="F100" s="50">
        <f t="shared" si="5"/>
        <v>25002.717293300026</v>
      </c>
      <c r="G100" s="50">
        <f t="shared" si="5"/>
        <v>11667.934736873345</v>
      </c>
      <c r="H100" s="9">
        <f t="shared" si="5"/>
        <v>0</v>
      </c>
      <c r="I100" s="9">
        <f t="shared" si="5"/>
        <v>0</v>
      </c>
      <c r="J100" s="48" t="s">
        <v>182</v>
      </c>
    </row>
    <row r="101" spans="1:10" ht="19.05" customHeight="1" x14ac:dyDescent="0.3">
      <c r="B101" s="50">
        <f t="shared" si="5"/>
        <v>-11667.934736873345</v>
      </c>
      <c r="C101" s="50">
        <f t="shared" si="5"/>
        <v>-5445.036210540894</v>
      </c>
      <c r="D101" s="9">
        <f t="shared" si="5"/>
        <v>0</v>
      </c>
      <c r="E101" s="9">
        <f t="shared" si="5"/>
        <v>0</v>
      </c>
      <c r="F101" s="50">
        <f t="shared" si="5"/>
        <v>11667.934736873345</v>
      </c>
      <c r="G101" s="50">
        <f t="shared" si="5"/>
        <v>5445.036210540894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55337.251598918141</v>
      </c>
      <c r="C107" s="36">
        <f t="shared" si="6"/>
        <v>23648.514783315619</v>
      </c>
      <c r="D107" s="9">
        <f t="shared" si="6"/>
        <v>-25200</v>
      </c>
      <c r="E107" s="9">
        <f t="shared" si="6"/>
        <v>0</v>
      </c>
      <c r="F107" s="9">
        <f t="shared" si="6"/>
        <v>-25002.717293300026</v>
      </c>
      <c r="G107" s="9">
        <f t="shared" si="6"/>
        <v>-11667.934736873345</v>
      </c>
      <c r="H107" s="9">
        <f t="shared" si="6"/>
        <v>-5134.5343056181173</v>
      </c>
      <c r="I107" s="9">
        <f t="shared" si="6"/>
        <v>-11980.580046442274</v>
      </c>
      <c r="J107" s="89" t="s">
        <v>178</v>
      </c>
    </row>
    <row r="108" spans="1:10" ht="19.95" customHeight="1" x14ac:dyDescent="0.3">
      <c r="B108" s="36">
        <f t="shared" si="6"/>
        <v>23648.514783315619</v>
      </c>
      <c r="C108" s="35">
        <f t="shared" si="6"/>
        <v>33399.722985572866</v>
      </c>
      <c r="D108" s="9">
        <f t="shared" si="6"/>
        <v>0</v>
      </c>
      <c r="E108" s="9">
        <f t="shared" si="6"/>
        <v>0</v>
      </c>
      <c r="F108" s="9">
        <f t="shared" si="6"/>
        <v>-11667.934736873345</v>
      </c>
      <c r="G108" s="9">
        <f t="shared" si="6"/>
        <v>-5445.036210540894</v>
      </c>
      <c r="H108" s="9">
        <f t="shared" si="6"/>
        <v>-11980.580046442274</v>
      </c>
      <c r="I108" s="9">
        <f t="shared" si="6"/>
        <v>-27954.686775031973</v>
      </c>
      <c r="J108" s="89" t="s">
        <v>179</v>
      </c>
    </row>
    <row r="109" spans="1:10" ht="19.95" customHeight="1" x14ac:dyDescent="0.3">
      <c r="B109" s="9">
        <f t="shared" si="6"/>
        <v>-25200</v>
      </c>
      <c r="C109" s="9">
        <f t="shared" si="6"/>
        <v>0</v>
      </c>
      <c r="D109" s="35">
        <f t="shared" si="6"/>
        <v>44993.516867190847</v>
      </c>
      <c r="E109" s="36">
        <f t="shared" si="6"/>
        <v>-27710.923614067189</v>
      </c>
      <c r="F109" s="9">
        <f t="shared" si="6"/>
        <v>-19793.516867190847</v>
      </c>
      <c r="G109" s="9">
        <f t="shared" si="6"/>
        <v>27710.923614067189</v>
      </c>
      <c r="H109" s="9">
        <f t="shared" si="6"/>
        <v>0</v>
      </c>
      <c r="I109" s="9">
        <f t="shared" si="6"/>
        <v>0</v>
      </c>
      <c r="J109" s="89" t="s">
        <v>180</v>
      </c>
    </row>
    <row r="110" spans="1:10" ht="19.95" customHeight="1" x14ac:dyDescent="0.3">
      <c r="A110" s="28" t="s">
        <v>205</v>
      </c>
      <c r="B110" s="9">
        <f t="shared" si="6"/>
        <v>0</v>
      </c>
      <c r="C110" s="9">
        <f t="shared" si="6"/>
        <v>0</v>
      </c>
      <c r="D110" s="36">
        <f t="shared" si="6"/>
        <v>-27710.923614067189</v>
      </c>
      <c r="E110" s="35">
        <f t="shared" si="6"/>
        <v>38795.293059694071</v>
      </c>
      <c r="F110" s="9">
        <f t="shared" si="6"/>
        <v>27710.923614067189</v>
      </c>
      <c r="G110" s="9">
        <f t="shared" si="6"/>
        <v>-38795.293059694071</v>
      </c>
      <c r="H110" s="9">
        <f t="shared" si="6"/>
        <v>0</v>
      </c>
      <c r="I110" s="9">
        <f t="shared" si="6"/>
        <v>0</v>
      </c>
      <c r="J110" s="89" t="s">
        <v>181</v>
      </c>
    </row>
    <row r="111" spans="1:10" ht="19.95" customHeight="1" x14ac:dyDescent="0.3">
      <c r="B111" s="9">
        <f t="shared" si="6"/>
        <v>-25002.717293300026</v>
      </c>
      <c r="C111" s="9">
        <f t="shared" si="6"/>
        <v>-11667.934736873345</v>
      </c>
      <c r="D111" s="9">
        <f t="shared" si="6"/>
        <v>-19793.516867190847</v>
      </c>
      <c r="E111" s="9">
        <f t="shared" si="6"/>
        <v>27710.923614067189</v>
      </c>
      <c r="F111" s="35">
        <f t="shared" si="6"/>
        <v>72338.554606790989</v>
      </c>
      <c r="G111" s="36">
        <f t="shared" si="6"/>
        <v>-37464.793668760612</v>
      </c>
      <c r="H111" s="9">
        <f t="shared" si="6"/>
        <v>-27542.32044630012</v>
      </c>
      <c r="I111" s="9">
        <f t="shared" si="6"/>
        <v>21421.804791566763</v>
      </c>
      <c r="J111" s="89" t="s">
        <v>182</v>
      </c>
    </row>
    <row r="112" spans="1:10" ht="19.95" customHeight="1" x14ac:dyDescent="0.3">
      <c r="B112" s="9">
        <f t="shared" si="6"/>
        <v>-11667.934736873345</v>
      </c>
      <c r="C112" s="9">
        <f t="shared" si="6"/>
        <v>-5445.036210540894</v>
      </c>
      <c r="D112" s="9">
        <f t="shared" si="6"/>
        <v>27710.923614067189</v>
      </c>
      <c r="E112" s="9">
        <f t="shared" si="6"/>
        <v>-38795.293059694071</v>
      </c>
      <c r="F112" s="36">
        <f t="shared" si="6"/>
        <v>-37464.793668760612</v>
      </c>
      <c r="G112" s="35">
        <f t="shared" si="6"/>
        <v>60901.732997009116</v>
      </c>
      <c r="H112" s="9">
        <f t="shared" si="6"/>
        <v>21421.804791566763</v>
      </c>
      <c r="I112" s="9">
        <f t="shared" si="6"/>
        <v>-16661.403726774148</v>
      </c>
      <c r="J112" s="89" t="s">
        <v>183</v>
      </c>
    </row>
    <row r="113" spans="1:17" ht="19.95" customHeight="1" x14ac:dyDescent="0.3">
      <c r="B113" s="9">
        <f t="shared" si="6"/>
        <v>-5134.5343056181173</v>
      </c>
      <c r="C113" s="9">
        <f t="shared" si="6"/>
        <v>-11980.580046442274</v>
      </c>
      <c r="D113" s="9">
        <f t="shared" si="6"/>
        <v>0</v>
      </c>
      <c r="E113" s="9">
        <f t="shared" si="6"/>
        <v>0</v>
      </c>
      <c r="F113" s="9">
        <f t="shared" si="6"/>
        <v>-27542.32044630012</v>
      </c>
      <c r="G113" s="9">
        <f t="shared" si="6"/>
        <v>21421.804791566763</v>
      </c>
      <c r="H113" s="35">
        <f t="shared" si="6"/>
        <v>32676.854751918239</v>
      </c>
      <c r="I113" s="36">
        <f t="shared" si="6"/>
        <v>-9441.2247451244893</v>
      </c>
      <c r="J113" s="89" t="s">
        <v>184</v>
      </c>
    </row>
    <row r="114" spans="1:17" ht="19.95" customHeight="1" x14ac:dyDescent="0.3">
      <c r="B114" s="9">
        <f t="shared" si="6"/>
        <v>-11980.580046442274</v>
      </c>
      <c r="C114" s="9">
        <f t="shared" si="6"/>
        <v>-27954.686775031973</v>
      </c>
      <c r="D114" s="9">
        <f t="shared" si="6"/>
        <v>0</v>
      </c>
      <c r="E114" s="9">
        <f t="shared" si="6"/>
        <v>0</v>
      </c>
      <c r="F114" s="9">
        <f t="shared" si="6"/>
        <v>21421.804791566763</v>
      </c>
      <c r="G114" s="9">
        <f t="shared" si="6"/>
        <v>-16661.403726774148</v>
      </c>
      <c r="H114" s="36">
        <f t="shared" si="6"/>
        <v>-9441.2247451244893</v>
      </c>
      <c r="I114" s="35">
        <f t="shared" si="6"/>
        <v>44616.090501806117</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IF(GRAFICA_09!F14=1, B118, GRAFICA_09!H14)</f>
        <v>C1X</v>
      </c>
      <c r="L118" s="215" t="s">
        <v>376</v>
      </c>
      <c r="M118" s="172"/>
      <c r="N118" s="172"/>
      <c r="O118" s="172"/>
      <c r="P118" s="172"/>
      <c r="Q118" s="173"/>
    </row>
    <row r="119" spans="1:17" ht="16.95" customHeight="1" x14ac:dyDescent="0.3">
      <c r="B119" s="12" t="s">
        <v>210</v>
      </c>
      <c r="C119" s="12" t="s">
        <v>179</v>
      </c>
      <c r="E119" s="37" t="str">
        <f>IF(GRAFICA_09!G14=1, B119, GRAFICA_09!I14)</f>
        <v>C1Y</v>
      </c>
      <c r="L119" s="215" t="s">
        <v>211</v>
      </c>
      <c r="M119" s="172"/>
      <c r="N119" s="172"/>
      <c r="O119" s="172"/>
      <c r="P119" s="172"/>
      <c r="Q119" s="173"/>
    </row>
    <row r="120" spans="1:17" ht="16.95" customHeight="1" x14ac:dyDescent="0.3">
      <c r="B120" s="12" t="s">
        <v>212</v>
      </c>
      <c r="C120" s="12" t="s">
        <v>180</v>
      </c>
      <c r="E120" s="37">
        <f>IF(GRAFICA_09!F15=1, B120, GRAFICA_09!H15)</f>
        <v>0</v>
      </c>
      <c r="L120" s="215" t="s">
        <v>377</v>
      </c>
      <c r="M120" s="172"/>
      <c r="N120" s="172"/>
      <c r="O120" s="172"/>
      <c r="P120" s="172"/>
      <c r="Q120" s="173"/>
    </row>
    <row r="121" spans="1:17" ht="16.95" customHeight="1" x14ac:dyDescent="0.3">
      <c r="A121" s="38" t="s">
        <v>218</v>
      </c>
      <c r="B121" s="12" t="s">
        <v>214</v>
      </c>
      <c r="C121" s="12" t="s">
        <v>181</v>
      </c>
      <c r="D121" s="13" t="s">
        <v>220</v>
      </c>
      <c r="E121" s="37" t="str">
        <f>IF(GRAFICA_09!G15=1, B121, GRAFICA_09!I15)</f>
        <v>C2Y</v>
      </c>
      <c r="L121" s="215" t="s">
        <v>215</v>
      </c>
      <c r="M121" s="172"/>
      <c r="N121" s="172"/>
      <c r="O121" s="172"/>
      <c r="P121" s="172"/>
      <c r="Q121" s="173"/>
    </row>
    <row r="122" spans="1:17" ht="16.95" customHeight="1" x14ac:dyDescent="0.3">
      <c r="B122" s="12" t="s">
        <v>216</v>
      </c>
      <c r="C122" s="12" t="s">
        <v>182</v>
      </c>
      <c r="E122" s="37">
        <f>IF(GRAFICA_09!F16=1, B122, GRAFICA_09!H16)</f>
        <v>-3000</v>
      </c>
      <c r="L122" s="215" t="s">
        <v>378</v>
      </c>
      <c r="M122" s="172"/>
      <c r="N122" s="172"/>
      <c r="O122" s="172"/>
      <c r="P122" s="172"/>
      <c r="Q122" s="173"/>
    </row>
    <row r="123" spans="1:17" ht="16.95" customHeight="1" x14ac:dyDescent="0.3">
      <c r="B123" s="12" t="s">
        <v>219</v>
      </c>
      <c r="C123" s="12" t="s">
        <v>183</v>
      </c>
      <c r="E123" s="37">
        <f>IF(GRAFICA_09!G16=1, B123, GRAFICA_09!I16)</f>
        <v>-5000</v>
      </c>
      <c r="L123" s="215" t="s">
        <v>379</v>
      </c>
      <c r="M123" s="172"/>
      <c r="N123" s="172"/>
      <c r="O123" s="172"/>
      <c r="P123" s="172"/>
      <c r="Q123" s="173"/>
    </row>
    <row r="124" spans="1:17" ht="16.95" customHeight="1" x14ac:dyDescent="0.3">
      <c r="B124" s="12" t="s">
        <v>221</v>
      </c>
      <c r="C124" s="12" t="s">
        <v>184</v>
      </c>
      <c r="E124" s="37">
        <f>IF(GRAFICA_09!F17=1, B124, GRAFICA_09!H17)</f>
        <v>4000</v>
      </c>
      <c r="L124" s="215"/>
      <c r="M124" s="172"/>
      <c r="N124" s="172"/>
      <c r="O124" s="172"/>
      <c r="P124" s="172"/>
      <c r="Q124" s="173"/>
    </row>
    <row r="125" spans="1:17" ht="16.95" customHeight="1" x14ac:dyDescent="0.3">
      <c r="B125" s="12" t="s">
        <v>222</v>
      </c>
      <c r="C125" s="12" t="s">
        <v>185</v>
      </c>
      <c r="E125" s="37">
        <f>IF(GRAFICA_09!G17=1, B125, GRAFICA_09!I17)</f>
        <v>-7000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IF(GRAFICA_09!F14=1,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IF(GRAFICA_09!G14=1,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IF(GRAFICA_09!F15=1,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f>IF(GRAFICA_09!G15=1, 0, B131)</f>
        <v>0</v>
      </c>
      <c r="F131" s="14" t="str">
        <f>IF(E131&lt;&gt;0, COUNTIF(E$128:E131, "&lt;&gt;0"), "")</f>
        <v/>
      </c>
      <c r="G131" s="14">
        <f>IF(E131=0, COUNTIF(E$128:E131, 0), "")</f>
        <v>3</v>
      </c>
      <c r="L131" s="215"/>
      <c r="M131" s="172"/>
      <c r="N131" s="172"/>
      <c r="O131" s="172"/>
      <c r="P131" s="172"/>
      <c r="Q131" s="173"/>
    </row>
    <row r="132" spans="1:17" ht="16.95" customHeight="1" x14ac:dyDescent="0.3">
      <c r="B132" s="12" t="s">
        <v>232</v>
      </c>
      <c r="C132" s="12" t="s">
        <v>182</v>
      </c>
      <c r="E132" s="39" t="str">
        <f>IF(GRAFICA_09!F16=1,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IF(GRAFICA_09!G16=1,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IF(GRAFICA_09!F17=1,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IF(GRAFICA_09!G17=1,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55337.251598918141</v>
      </c>
      <c r="D140" s="9">
        <f t="shared" si="8"/>
        <v>23648.514783315619</v>
      </c>
      <c r="E140" s="9">
        <f t="shared" si="8"/>
        <v>-25200</v>
      </c>
      <c r="F140" s="9">
        <f t="shared" si="8"/>
        <v>0</v>
      </c>
      <c r="G140" s="9">
        <f t="shared" si="8"/>
        <v>-25002.717293300026</v>
      </c>
      <c r="H140" s="9">
        <f t="shared" si="8"/>
        <v>-11667.934736873345</v>
      </c>
      <c r="I140" s="9">
        <f t="shared" si="8"/>
        <v>-5134.5343056181173</v>
      </c>
      <c r="J140" s="9">
        <f t="shared" si="8"/>
        <v>-11980.580046442274</v>
      </c>
      <c r="K140" s="13" t="s">
        <v>251</v>
      </c>
      <c r="L140" s="219" t="s">
        <v>380</v>
      </c>
      <c r="M140" s="172"/>
      <c r="N140" s="172"/>
      <c r="O140" s="172"/>
      <c r="P140" s="172"/>
      <c r="Q140" s="173"/>
    </row>
    <row r="141" spans="1:17" ht="16.95" customHeight="1" x14ac:dyDescent="0.3">
      <c r="A141" s="12" t="str">
        <f t="shared" si="7"/>
        <v>C1Y</v>
      </c>
      <c r="C141" s="9">
        <f t="shared" si="8"/>
        <v>23648.514783315619</v>
      </c>
      <c r="D141" s="9">
        <f t="shared" si="8"/>
        <v>33399.722985572866</v>
      </c>
      <c r="E141" s="9">
        <f t="shared" si="8"/>
        <v>0</v>
      </c>
      <c r="F141" s="9">
        <f t="shared" si="8"/>
        <v>0</v>
      </c>
      <c r="G141" s="9">
        <f t="shared" si="8"/>
        <v>-11667.934736873345</v>
      </c>
      <c r="H141" s="9">
        <f t="shared" si="8"/>
        <v>-5445.036210540894</v>
      </c>
      <c r="I141" s="9">
        <f t="shared" si="8"/>
        <v>-11980.580046442274</v>
      </c>
      <c r="J141" s="9">
        <f t="shared" si="8"/>
        <v>-27954.686775031973</v>
      </c>
      <c r="K141" s="13" t="s">
        <v>251</v>
      </c>
      <c r="L141" s="219" t="s">
        <v>253</v>
      </c>
      <c r="M141" s="172"/>
      <c r="N141" s="172"/>
      <c r="O141" s="172"/>
      <c r="P141" s="172"/>
      <c r="Q141" s="173"/>
    </row>
    <row r="142" spans="1:17" ht="16.95" customHeight="1" x14ac:dyDescent="0.3">
      <c r="A142" s="41">
        <f t="shared" si="7"/>
        <v>0</v>
      </c>
      <c r="C142" s="9">
        <f t="shared" si="8"/>
        <v>-25200</v>
      </c>
      <c r="D142" s="9">
        <f t="shared" si="8"/>
        <v>0</v>
      </c>
      <c r="E142" s="41">
        <f t="shared" si="8"/>
        <v>44993.516867190847</v>
      </c>
      <c r="F142" s="9">
        <f t="shared" si="8"/>
        <v>-27710.923614067189</v>
      </c>
      <c r="G142" s="41">
        <f t="shared" si="8"/>
        <v>-19793.516867190847</v>
      </c>
      <c r="H142" s="41">
        <f t="shared" si="8"/>
        <v>27710.923614067189</v>
      </c>
      <c r="I142" s="41">
        <f t="shared" si="8"/>
        <v>0</v>
      </c>
      <c r="J142" s="41">
        <f t="shared" si="8"/>
        <v>0</v>
      </c>
      <c r="K142" s="13" t="s">
        <v>251</v>
      </c>
      <c r="L142" s="215" t="s">
        <v>254</v>
      </c>
      <c r="M142" s="172"/>
      <c r="N142" s="172"/>
      <c r="O142" s="172"/>
      <c r="P142" s="172"/>
      <c r="Q142" s="173"/>
    </row>
    <row r="143" spans="1:17" ht="16.95" customHeight="1" x14ac:dyDescent="0.3">
      <c r="A143" s="12" t="str">
        <f t="shared" si="7"/>
        <v>C2Y</v>
      </c>
      <c r="C143" s="9">
        <f t="shared" si="8"/>
        <v>0</v>
      </c>
      <c r="D143" s="9">
        <f t="shared" si="8"/>
        <v>0</v>
      </c>
      <c r="E143" s="9">
        <f t="shared" si="8"/>
        <v>-27710.923614067189</v>
      </c>
      <c r="F143" s="9">
        <f t="shared" si="8"/>
        <v>38795.293059694071</v>
      </c>
      <c r="G143" s="9">
        <f t="shared" si="8"/>
        <v>27710.923614067189</v>
      </c>
      <c r="H143" s="9">
        <f t="shared" si="8"/>
        <v>-38795.293059694071</v>
      </c>
      <c r="I143" s="9">
        <f t="shared" si="8"/>
        <v>0</v>
      </c>
      <c r="J143" s="9">
        <f t="shared" si="8"/>
        <v>0</v>
      </c>
      <c r="K143" s="13" t="s">
        <v>251</v>
      </c>
      <c r="L143" s="219" t="s">
        <v>381</v>
      </c>
      <c r="M143" s="172"/>
      <c r="N143" s="172"/>
      <c r="O143" s="172"/>
      <c r="P143" s="172"/>
      <c r="Q143" s="173"/>
    </row>
    <row r="144" spans="1:17" ht="16.95" customHeight="1" x14ac:dyDescent="0.3">
      <c r="A144" s="41">
        <f t="shared" si="7"/>
        <v>-3000</v>
      </c>
      <c r="B144" s="13" t="s">
        <v>220</v>
      </c>
      <c r="C144" s="9">
        <f t="shared" si="8"/>
        <v>-25002.717293300026</v>
      </c>
      <c r="D144" s="9">
        <f t="shared" si="8"/>
        <v>-11667.934736873345</v>
      </c>
      <c r="E144" s="41">
        <f t="shared" si="8"/>
        <v>-19793.516867190847</v>
      </c>
      <c r="F144" s="9">
        <f t="shared" si="8"/>
        <v>27710.923614067189</v>
      </c>
      <c r="G144" s="41">
        <f t="shared" si="8"/>
        <v>72338.554606790989</v>
      </c>
      <c r="H144" s="41">
        <f t="shared" si="8"/>
        <v>-37464.793668760612</v>
      </c>
      <c r="I144" s="41">
        <f t="shared" si="8"/>
        <v>-27542.32044630012</v>
      </c>
      <c r="J144" s="41">
        <f t="shared" si="8"/>
        <v>21421.804791566763</v>
      </c>
      <c r="K144" s="13" t="s">
        <v>251</v>
      </c>
      <c r="L144" s="215" t="s">
        <v>382</v>
      </c>
      <c r="M144" s="172"/>
      <c r="N144" s="172"/>
      <c r="O144" s="172"/>
      <c r="P144" s="172"/>
      <c r="Q144" s="173"/>
    </row>
    <row r="145" spans="1:17" ht="16.95" customHeight="1" x14ac:dyDescent="0.3">
      <c r="A145" s="41">
        <f t="shared" si="7"/>
        <v>-5000</v>
      </c>
      <c r="C145" s="9">
        <f t="shared" si="8"/>
        <v>-11667.934736873345</v>
      </c>
      <c r="D145" s="9">
        <f t="shared" si="8"/>
        <v>-5445.036210540894</v>
      </c>
      <c r="E145" s="41">
        <f t="shared" si="8"/>
        <v>27710.923614067189</v>
      </c>
      <c r="F145" s="9">
        <f t="shared" si="8"/>
        <v>-38795.293059694071</v>
      </c>
      <c r="G145" s="41">
        <f t="shared" si="8"/>
        <v>-37464.793668760612</v>
      </c>
      <c r="H145" s="41">
        <f t="shared" si="8"/>
        <v>60901.732997009116</v>
      </c>
      <c r="I145" s="41">
        <f t="shared" si="8"/>
        <v>21421.804791566763</v>
      </c>
      <c r="J145" s="41">
        <f t="shared" si="8"/>
        <v>-16661.403726774148</v>
      </c>
      <c r="K145" s="13" t="s">
        <v>251</v>
      </c>
      <c r="L145" s="215" t="str">
        <f>E133</f>
        <v>D3Y</v>
      </c>
      <c r="M145" s="172"/>
      <c r="N145" s="172"/>
      <c r="O145" s="172"/>
      <c r="P145" s="172"/>
      <c r="Q145" s="173"/>
    </row>
    <row r="146" spans="1:17" ht="16.95" customHeight="1" x14ac:dyDescent="0.3">
      <c r="A146" s="41">
        <f t="shared" si="7"/>
        <v>4000</v>
      </c>
      <c r="C146" s="9">
        <f t="shared" si="8"/>
        <v>-5134.5343056181173</v>
      </c>
      <c r="D146" s="9">
        <f t="shared" si="8"/>
        <v>-11980.580046442274</v>
      </c>
      <c r="E146" s="41">
        <f t="shared" si="8"/>
        <v>0</v>
      </c>
      <c r="F146" s="9">
        <f t="shared" si="8"/>
        <v>0</v>
      </c>
      <c r="G146" s="41">
        <f t="shared" si="8"/>
        <v>-27542.32044630012</v>
      </c>
      <c r="H146" s="41">
        <f t="shared" si="8"/>
        <v>21421.804791566763</v>
      </c>
      <c r="I146" s="41">
        <f t="shared" si="8"/>
        <v>32676.854751918239</v>
      </c>
      <c r="J146" s="41">
        <f t="shared" si="8"/>
        <v>-9441.2247451244893</v>
      </c>
      <c r="K146" s="13" t="s">
        <v>251</v>
      </c>
      <c r="L146" s="215" t="str">
        <f>E134</f>
        <v>D4X</v>
      </c>
      <c r="M146" s="172"/>
      <c r="N146" s="172"/>
      <c r="O146" s="172"/>
      <c r="P146" s="172"/>
      <c r="Q146" s="173"/>
    </row>
    <row r="147" spans="1:17" ht="16.95" customHeight="1" x14ac:dyDescent="0.3">
      <c r="A147" s="41">
        <f t="shared" si="7"/>
        <v>-7000</v>
      </c>
      <c r="C147" s="9">
        <f t="shared" si="8"/>
        <v>-11980.580046442274</v>
      </c>
      <c r="D147" s="9">
        <f t="shared" si="8"/>
        <v>-27954.686775031973</v>
      </c>
      <c r="E147" s="41">
        <f t="shared" si="8"/>
        <v>0</v>
      </c>
      <c r="F147" s="9">
        <f t="shared" si="8"/>
        <v>0</v>
      </c>
      <c r="G147" s="41">
        <f t="shared" si="8"/>
        <v>21421.804791566763</v>
      </c>
      <c r="H147" s="41">
        <f t="shared" si="8"/>
        <v>-16661.403726774148</v>
      </c>
      <c r="I147" s="41">
        <f t="shared" si="8"/>
        <v>-9441.2247451244893</v>
      </c>
      <c r="J147" s="41">
        <f t="shared" si="8"/>
        <v>44616.090501806117</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44993.516867190847</v>
      </c>
      <c r="D152" s="41">
        <f t="shared" si="9"/>
        <v>-19793.516867190847</v>
      </c>
      <c r="E152" s="41">
        <f t="shared" si="9"/>
        <v>27710.923614067189</v>
      </c>
      <c r="F152" s="41">
        <f t="shared" si="9"/>
        <v>0</v>
      </c>
      <c r="G152" s="41">
        <f t="shared" si="9"/>
        <v>0</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-3000</v>
      </c>
      <c r="C153" s="41">
        <f t="shared" si="9"/>
        <v>-19793.516867190847</v>
      </c>
      <c r="D153" s="41">
        <f t="shared" si="9"/>
        <v>72338.554606790989</v>
      </c>
      <c r="E153" s="41">
        <f t="shared" si="9"/>
        <v>-37464.793668760612</v>
      </c>
      <c r="F153" s="41">
        <f t="shared" si="9"/>
        <v>-27542.32044630012</v>
      </c>
      <c r="G153" s="41">
        <f t="shared" si="9"/>
        <v>21421.804791566763</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-5000</v>
      </c>
      <c r="B154" s="13" t="s">
        <v>220</v>
      </c>
      <c r="C154" s="41">
        <f t="shared" si="9"/>
        <v>27710.923614067189</v>
      </c>
      <c r="D154" s="41">
        <f t="shared" si="9"/>
        <v>-37464.793668760612</v>
      </c>
      <c r="E154" s="41">
        <f t="shared" si="9"/>
        <v>60901.732997009116</v>
      </c>
      <c r="F154" s="41">
        <f t="shared" si="9"/>
        <v>21421.804791566763</v>
      </c>
      <c r="G154" s="41">
        <f t="shared" si="9"/>
        <v>-16661.403726774148</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4000</v>
      </c>
      <c r="C155" s="41">
        <f t="shared" si="9"/>
        <v>0</v>
      </c>
      <c r="D155" s="41">
        <f t="shared" si="9"/>
        <v>-27542.32044630012</v>
      </c>
      <c r="E155" s="41">
        <f t="shared" si="9"/>
        <v>21421.804791566763</v>
      </c>
      <c r="F155" s="41">
        <f t="shared" si="9"/>
        <v>32676.854751918239</v>
      </c>
      <c r="G155" s="41">
        <f t="shared" si="9"/>
        <v>-9441.2247451244893</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-7000</v>
      </c>
      <c r="C156" s="41">
        <f t="shared" si="9"/>
        <v>0</v>
      </c>
      <c r="D156" s="41">
        <f t="shared" si="9"/>
        <v>21421.804791566763</v>
      </c>
      <c r="E156" s="41">
        <f t="shared" si="9"/>
        <v>-16661.403726774148</v>
      </c>
      <c r="F156" s="41">
        <f t="shared" si="9"/>
        <v>-9441.2247451244893</v>
      </c>
      <c r="G156" s="41">
        <f t="shared" si="9"/>
        <v>44616.090501806117</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3.9682539682539683E-5</v>
      </c>
      <c r="D160" s="93">
        <v>9.9206349206349172E-6</v>
      </c>
      <c r="E160" s="93">
        <v>-2.1258503401360539E-5</v>
      </c>
      <c r="F160" s="93">
        <v>1.9841269841269838E-5</v>
      </c>
      <c r="G160" s="93">
        <v>-8.5034013605442174E-6</v>
      </c>
      <c r="I160" s="17">
        <f>A152</f>
        <v>0</v>
      </c>
      <c r="L160" s="215"/>
      <c r="M160" s="172"/>
      <c r="N160" s="172"/>
      <c r="O160" s="172"/>
      <c r="P160" s="172"/>
      <c r="Q160" s="173"/>
    </row>
    <row r="161" spans="1:17" ht="16.95" customHeight="1" x14ac:dyDescent="0.3">
      <c r="A161" s="12" t="str">
        <f>I153</f>
        <v>D3X</v>
      </c>
      <c r="C161" s="93">
        <v>9.9206349206349206E-6</v>
      </c>
      <c r="D161" s="93">
        <v>2.8135312984359086E-5</v>
      </c>
      <c r="E161" s="93">
        <v>3.9887713244124656E-6</v>
      </c>
      <c r="F161" s="93">
        <v>1.8774701465695371E-5</v>
      </c>
      <c r="G161" s="93">
        <v>-8.0463006281551626E-6</v>
      </c>
      <c r="I161" s="17">
        <f>A153</f>
        <v>-3000</v>
      </c>
      <c r="L161" s="215"/>
      <c r="M161" s="172"/>
      <c r="N161" s="172"/>
      <c r="O161" s="172"/>
      <c r="P161" s="172"/>
      <c r="Q161" s="173"/>
    </row>
    <row r="162" spans="1:17" ht="16.95" customHeight="1" x14ac:dyDescent="0.3">
      <c r="A162" s="12" t="str">
        <f>I154</f>
        <v>D3Y</v>
      </c>
      <c r="B162" s="13" t="s">
        <v>220</v>
      </c>
      <c r="C162" s="93">
        <v>-2.1258503401360539E-5</v>
      </c>
      <c r="D162" s="93">
        <v>3.9887713244124673E-6</v>
      </c>
      <c r="E162" s="93">
        <v>3.7366009818735886E-5</v>
      </c>
      <c r="F162" s="93">
        <v>-1.8805260567619921E-5</v>
      </c>
      <c r="G162" s="93">
        <v>8.0593973861228231E-6</v>
      </c>
      <c r="I162" s="17">
        <f>A154</f>
        <v>-5000</v>
      </c>
      <c r="L162" s="215"/>
      <c r="M162" s="172"/>
      <c r="N162" s="172"/>
      <c r="O162" s="172"/>
      <c r="P162" s="172"/>
      <c r="Q162" s="173"/>
    </row>
    <row r="163" spans="1:17" ht="16.95" customHeight="1" x14ac:dyDescent="0.3">
      <c r="A163" s="12" t="str">
        <f>I155</f>
        <v>D4X</v>
      </c>
      <c r="C163" s="93">
        <v>1.9841269841269841E-5</v>
      </c>
      <c r="D163" s="93">
        <v>1.8774701465695375E-5</v>
      </c>
      <c r="E163" s="93">
        <v>-1.8805260567619924E-5</v>
      </c>
      <c r="F163" s="93">
        <v>5.7646354090616464E-5</v>
      </c>
      <c r="G163" s="93">
        <v>-3.8384771433279444E-6</v>
      </c>
      <c r="I163" s="17">
        <f>A155</f>
        <v>4000</v>
      </c>
      <c r="L163" s="215"/>
      <c r="M163" s="172"/>
      <c r="N163" s="172"/>
      <c r="O163" s="172"/>
      <c r="P163" s="172"/>
      <c r="Q163" s="173"/>
    </row>
    <row r="164" spans="1:17" ht="16.95" customHeight="1" x14ac:dyDescent="0.3">
      <c r="A164" s="12" t="str">
        <f>I156</f>
        <v>D4Y</v>
      </c>
      <c r="C164" s="93">
        <v>-8.5034013605442157E-6</v>
      </c>
      <c r="D164" s="93">
        <v>-8.0463006281551626E-6</v>
      </c>
      <c r="E164" s="93">
        <v>8.0593973861228214E-6</v>
      </c>
      <c r="F164" s="93">
        <v>-3.838477143327941E-6</v>
      </c>
      <c r="G164" s="93">
        <v>2.8474194294425941E-5</v>
      </c>
      <c r="I164" s="17">
        <f>A156</f>
        <v>-7000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0.21541950113378683</v>
      </c>
      <c r="D168" s="12" t="s">
        <v>267</v>
      </c>
      <c r="L168" s="215"/>
      <c r="M168" s="172"/>
      <c r="N168" s="172"/>
      <c r="O168" s="172"/>
      <c r="P168" s="172"/>
      <c r="Q168" s="173"/>
    </row>
    <row r="169" spans="1:17" ht="16.95" customHeight="1" x14ac:dyDescent="0.3">
      <c r="A169" s="12" t="str">
        <f>A161</f>
        <v>D3X</v>
      </c>
      <c r="C169" s="94">
        <v>2.707311468472804E-2</v>
      </c>
      <c r="D169" s="12" t="s">
        <v>267</v>
      </c>
      <c r="L169" s="215"/>
      <c r="M169" s="172"/>
      <c r="N169" s="172"/>
      <c r="O169" s="172"/>
      <c r="P169" s="172"/>
      <c r="Q169" s="173"/>
    </row>
    <row r="170" spans="1:17" ht="16.95" customHeight="1" x14ac:dyDescent="0.3">
      <c r="A170" s="12" t="str">
        <f>A162</f>
        <v>D3Y</v>
      </c>
      <c r="B170" s="13" t="s">
        <v>220</v>
      </c>
      <c r="C170" s="94">
        <v>-0.33043318704025626</v>
      </c>
      <c r="D170" s="12" t="s">
        <v>267</v>
      </c>
      <c r="L170" s="215"/>
      <c r="M170" s="172"/>
      <c r="N170" s="172"/>
      <c r="O170" s="172"/>
      <c r="P170" s="172"/>
      <c r="Q170" s="173"/>
    </row>
    <row r="171" spans="1:17" ht="16.95" customHeight="1" x14ac:dyDescent="0.3">
      <c r="A171" s="12" t="str">
        <f>A163</f>
        <v>D4X</v>
      </c>
      <c r="C171" s="94">
        <v>0.29515695480677495</v>
      </c>
      <c r="D171" s="12" t="s">
        <v>267</v>
      </c>
      <c r="L171" s="215"/>
      <c r="M171" s="172"/>
      <c r="N171" s="172"/>
      <c r="O171" s="172"/>
      <c r="P171" s="172"/>
      <c r="Q171" s="173"/>
    </row>
    <row r="172" spans="1:17" ht="16.95" customHeight="1" x14ac:dyDescent="0.3">
      <c r="A172" s="12" t="str">
        <f>A164</f>
        <v>D4Y</v>
      </c>
      <c r="C172" s="94">
        <v>-0.23083135368044197</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-25200</v>
      </c>
      <c r="D177" s="9">
        <f t="shared" si="10"/>
        <v>-25002.717293300026</v>
      </c>
      <c r="E177" s="9">
        <f t="shared" si="10"/>
        <v>-11667.934736873345</v>
      </c>
      <c r="F177" s="9">
        <f t="shared" si="10"/>
        <v>-5134.5343056181173</v>
      </c>
      <c r="G177" s="9">
        <f t="shared" si="10"/>
        <v>-11980.580046442274</v>
      </c>
      <c r="I177" s="95">
        <f>C168</f>
        <v>0.21541950113378683</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-11667.934736873345</v>
      </c>
      <c r="E178" s="9">
        <f t="shared" si="10"/>
        <v>-5445.036210540894</v>
      </c>
      <c r="F178" s="9">
        <f t="shared" si="10"/>
        <v>-11980.580046442274</v>
      </c>
      <c r="G178" s="9">
        <f t="shared" si="10"/>
        <v>-27954.686775031973</v>
      </c>
      <c r="I178" s="95">
        <f>C169</f>
        <v>2.707311468472804E-2</v>
      </c>
      <c r="J178" s="14" t="str">
        <f>INDEX(C$128:C$135, MATCH(2, G$128:G$135, 0))</f>
        <v>U1Y</v>
      </c>
      <c r="L178" s="215" t="s">
        <v>391</v>
      </c>
      <c r="M178" s="172"/>
      <c r="N178" s="172"/>
      <c r="O178" s="172"/>
      <c r="P178" s="172"/>
      <c r="Q178" s="173"/>
    </row>
    <row r="179" spans="1:17" ht="16.95" customHeight="1" x14ac:dyDescent="0.3">
      <c r="A179" s="18" t="str">
        <f>INDEX(B$118:B$125, MATCH(J179, C$118:C$125, 0))</f>
        <v>C2Y</v>
      </c>
      <c r="C179" s="9">
        <f t="shared" si="10"/>
        <v>-27710.923614067189</v>
      </c>
      <c r="D179" s="9">
        <f t="shared" si="10"/>
        <v>27710.923614067189</v>
      </c>
      <c r="E179" s="9">
        <f t="shared" si="10"/>
        <v>-38795.293059694071</v>
      </c>
      <c r="F179" s="9">
        <f t="shared" si="10"/>
        <v>0</v>
      </c>
      <c r="G179" s="9">
        <f t="shared" si="10"/>
        <v>0</v>
      </c>
      <c r="I179" s="95">
        <f>C170</f>
        <v>-0.33043318704025626</v>
      </c>
      <c r="J179" s="14" t="str">
        <f>INDEX(C$128:C$135, MATCH(3, G$128:G$135, 0))</f>
        <v>U2Y</v>
      </c>
      <c r="L179" s="215" t="s">
        <v>392</v>
      </c>
      <c r="M179" s="172"/>
      <c r="N179" s="172"/>
      <c r="O179" s="172"/>
      <c r="P179" s="172"/>
      <c r="Q179" s="173"/>
    </row>
    <row r="180" spans="1:17" ht="16.95" customHeight="1" x14ac:dyDescent="0.3">
      <c r="I180" s="95">
        <f>C171</f>
        <v>0.29515695480677495</v>
      </c>
      <c r="L180" s="215" t="s">
        <v>393</v>
      </c>
      <c r="M180" s="172"/>
      <c r="N180" s="172"/>
      <c r="O180" s="172"/>
      <c r="P180" s="172"/>
      <c r="Q180" s="173"/>
    </row>
    <row r="181" spans="1:17" ht="16.95" customHeight="1" x14ac:dyDescent="0.3">
      <c r="I181" s="95">
        <f>C172</f>
        <v>-0.23083135368044197</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-999.99999999999955</v>
      </c>
      <c r="D183" s="12" t="s">
        <v>273</v>
      </c>
      <c r="L183" s="215"/>
      <c r="M183" s="172"/>
      <c r="N183" s="172"/>
      <c r="O183" s="172"/>
      <c r="P183" s="172"/>
      <c r="Q183" s="173"/>
    </row>
    <row r="184" spans="1:17" ht="16.95" customHeight="1" x14ac:dyDescent="0.3">
      <c r="A184" s="12" t="str">
        <f>A178</f>
        <v>C1Y</v>
      </c>
      <c r="B184" s="13" t="s">
        <v>220</v>
      </c>
      <c r="C184" s="17">
        <v>4400</v>
      </c>
      <c r="D184" s="12" t="s">
        <v>273</v>
      </c>
      <c r="L184" s="215"/>
      <c r="M184" s="172"/>
      <c r="N184" s="172"/>
      <c r="O184" s="172"/>
      <c r="P184" s="172"/>
      <c r="Q184" s="173"/>
    </row>
    <row r="185" spans="1:17" ht="16.95" customHeight="1" x14ac:dyDescent="0.3">
      <c r="A185" s="12" t="str">
        <f>A179</f>
        <v>C2Y</v>
      </c>
      <c r="C185" s="17">
        <v>7600</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0.21541950113378683</v>
      </c>
    </row>
    <row r="193" spans="1:17" ht="19.05" customHeight="1" x14ac:dyDescent="0.3">
      <c r="A193" s="12" t="s">
        <v>231</v>
      </c>
      <c r="B193" s="12" t="s">
        <v>181</v>
      </c>
      <c r="D193" s="94">
        <f t="shared" si="11"/>
        <v>0</v>
      </c>
    </row>
    <row r="194" spans="1:17" ht="19.05" customHeight="1" x14ac:dyDescent="0.3">
      <c r="A194" s="12" t="s">
        <v>232</v>
      </c>
      <c r="B194" s="12" t="s">
        <v>182</v>
      </c>
      <c r="D194" s="94">
        <f t="shared" si="11"/>
        <v>2.707311468472804E-2</v>
      </c>
    </row>
    <row r="195" spans="1:17" ht="19.05" customHeight="1" x14ac:dyDescent="0.3">
      <c r="A195" s="12" t="s">
        <v>234</v>
      </c>
      <c r="B195" s="12" t="s">
        <v>183</v>
      </c>
      <c r="D195" s="94">
        <f t="shared" si="11"/>
        <v>-0.33043318704025626</v>
      </c>
    </row>
    <row r="196" spans="1:17" ht="19.05" customHeight="1" x14ac:dyDescent="0.3">
      <c r="A196" s="12" t="s">
        <v>235</v>
      </c>
      <c r="B196" s="12" t="s">
        <v>184</v>
      </c>
      <c r="D196" s="94">
        <f t="shared" si="11"/>
        <v>0.29515695480677495</v>
      </c>
    </row>
    <row r="197" spans="1:17" ht="19.05" customHeight="1" x14ac:dyDescent="0.3">
      <c r="A197" s="12" t="s">
        <v>236</v>
      </c>
      <c r="B197" s="12" t="s">
        <v>185</v>
      </c>
      <c r="D197" s="94">
        <f t="shared" si="11"/>
        <v>-0.23083135368044197</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25200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5428.5714285714284</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0.21541950113378683</v>
      </c>
      <c r="H206" s="12" t="str">
        <f>"D" &amp; E14 &amp; "X"</f>
        <v>D2X</v>
      </c>
      <c r="L206" s="215" t="s">
        <v>400</v>
      </c>
      <c r="M206" s="172"/>
      <c r="N206" s="172"/>
      <c r="O206" s="172"/>
      <c r="P206" s="172"/>
      <c r="Q206" s="173"/>
    </row>
    <row r="207" spans="1:17" ht="16.95" customHeight="1" x14ac:dyDescent="0.3">
      <c r="G207" s="96">
        <f>IFERROR(VLOOKUP(H207, A$190:D$197, 4, FALSE), 0)</f>
        <v>0</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33089.221080650088</v>
      </c>
      <c r="C212" s="92">
        <f>-J7</f>
        <v>-0.39391929857916769</v>
      </c>
      <c r="D212" s="92">
        <f>-K7</f>
        <v>-0.91914503001805792</v>
      </c>
      <c r="E212" s="92">
        <f>J7</f>
        <v>0.39391929857916769</v>
      </c>
      <c r="F212" s="92">
        <f>K7</f>
        <v>0.91914503001805792</v>
      </c>
      <c r="G212" s="96">
        <f>IFERROR(VLOOKUP(H212, A$190:D$197, 4, FALSE), 0)</f>
        <v>0</v>
      </c>
      <c r="H212" s="12" t="str">
        <f>"D" &amp; C15 &amp; "X"</f>
        <v>D1X</v>
      </c>
      <c r="L212" s="215"/>
      <c r="M212" s="172"/>
      <c r="N212" s="172"/>
      <c r="O212" s="172"/>
      <c r="P212" s="172"/>
      <c r="Q212" s="173"/>
    </row>
    <row r="213" spans="1:17" ht="16.95" customHeight="1" x14ac:dyDescent="0.3">
      <c r="A213" s="99" t="s">
        <v>286</v>
      </c>
      <c r="B213" s="97">
        <f>(MMULT(C212:F212, G212:G215)*A212)</f>
        <v>-3173.2387941099619</v>
      </c>
      <c r="G213" s="96">
        <f>IFERROR(VLOOKUP(H213, A$190:D$197, 4, FALSE), 0)</f>
        <v>0</v>
      </c>
      <c r="H213" s="12" t="str">
        <f>"D" &amp; D15 &amp; "Y"</f>
        <v>D1Y</v>
      </c>
      <c r="L213" s="215"/>
      <c r="M213" s="172"/>
      <c r="N213" s="172"/>
      <c r="O213" s="172"/>
      <c r="P213" s="172"/>
      <c r="Q213" s="173"/>
    </row>
    <row r="214" spans="1:17" ht="16.95" customHeight="1" x14ac:dyDescent="0.3">
      <c r="G214" s="96">
        <f>IFERROR(VLOOKUP(H214, A$190:D$197, 4, FALSE), 0)</f>
        <v>0.29515695480677495</v>
      </c>
      <c r="H214" s="12" t="str">
        <f>"D" &amp; E15 &amp; "X"</f>
        <v>D4X</v>
      </c>
      <c r="L214" s="215"/>
      <c r="M214" s="172"/>
      <c r="N214" s="172"/>
      <c r="O214" s="172"/>
      <c r="P214" s="172"/>
      <c r="Q214" s="173"/>
    </row>
    <row r="215" spans="1:17" ht="16.95" customHeight="1" x14ac:dyDescent="0.3">
      <c r="G215" s="96">
        <f>IFERROR(VLOOKUP(H215, A$190:D$197, 4, FALSE), 0)</f>
        <v>-0.23083135368044197</v>
      </c>
      <c r="H215" s="12" t="str">
        <f>"D" &amp; F15 &amp; "Y"</f>
        <v>D4Y</v>
      </c>
      <c r="L215" s="215"/>
      <c r="M215" s="172"/>
      <c r="N215" s="172"/>
      <c r="O215" s="172"/>
      <c r="P215" s="172"/>
      <c r="Q215" s="173"/>
    </row>
    <row r="216" spans="1:17" ht="16.95" customHeight="1" x14ac:dyDescent="0.3">
      <c r="B216" s="99" t="s">
        <v>273</v>
      </c>
      <c r="C216" s="178" t="str">
        <f>IF(B213&gt;0.001,"BARRA A TRACCIÓN (+)",IF(B213&lt;-0.001,"BARRA A COMPRESIÓN (-)","BARRA DE FUERZA NULA"))</f>
        <v>BARRA A COMPRESIÓN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44203.724173074268</v>
      </c>
      <c r="C220" s="92">
        <f>-J8</f>
        <v>-0.78935221737632633</v>
      </c>
      <c r="D220" s="92">
        <f>-K8</f>
        <v>0.61394061351492046</v>
      </c>
      <c r="E220" s="92">
        <f>J8</f>
        <v>0.78935221737632633</v>
      </c>
      <c r="F220" s="92">
        <f>K8</f>
        <v>-0.61394061351492046</v>
      </c>
      <c r="G220" s="96">
        <f>IFERROR(VLOOKUP(H220, A$190:D$197, 4, FALSE), 0)</f>
        <v>0.29515695480677495</v>
      </c>
      <c r="H220" s="12" t="str">
        <f>"D" &amp; C16 &amp; "X"</f>
        <v>D4X</v>
      </c>
      <c r="L220" s="215"/>
      <c r="M220" s="172"/>
      <c r="N220" s="172"/>
      <c r="O220" s="172"/>
      <c r="P220" s="172"/>
      <c r="Q220" s="173"/>
    </row>
    <row r="221" spans="1:17" ht="16.95" customHeight="1" x14ac:dyDescent="0.3">
      <c r="A221" s="99" t="s">
        <v>287</v>
      </c>
      <c r="B221" s="97">
        <f>(MMULT(C220:F220, G220:G223)*A220)</f>
        <v>-6651.0233130783081</v>
      </c>
      <c r="G221" s="96">
        <f>IFERROR(VLOOKUP(H221, A$190:D$197, 4, FALSE), 0)</f>
        <v>-0.23083135368044197</v>
      </c>
      <c r="H221" s="12" t="str">
        <f>"D" &amp; D16 &amp; "Y"</f>
        <v>D4Y</v>
      </c>
      <c r="L221" s="215"/>
      <c r="M221" s="172"/>
      <c r="N221" s="172"/>
      <c r="O221" s="172"/>
      <c r="P221" s="172"/>
      <c r="Q221" s="173"/>
    </row>
    <row r="222" spans="1:17" ht="16.95" customHeight="1" x14ac:dyDescent="0.3">
      <c r="G222" s="96">
        <f>IFERROR(VLOOKUP(H222, A$190:D$197, 4, FALSE), 0)</f>
        <v>2.707311468472804E-2</v>
      </c>
      <c r="H222" s="12" t="str">
        <f>"D" &amp; E16 &amp; "X"</f>
        <v>D3X</v>
      </c>
      <c r="L222" s="215"/>
      <c r="M222" s="172"/>
      <c r="N222" s="172"/>
      <c r="O222" s="172"/>
      <c r="P222" s="172"/>
      <c r="Q222" s="173"/>
    </row>
    <row r="223" spans="1:17" ht="16.95" customHeight="1" x14ac:dyDescent="0.3">
      <c r="G223" s="96">
        <f>IFERROR(VLOOKUP(H223, A$190:D$197, 4, FALSE), 0)</f>
        <v>-0.33043318704025626</v>
      </c>
      <c r="H223" s="12" t="str">
        <f>"D" &amp; F16 &amp; "Y"</f>
        <v>D3Y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58588.809926884918</v>
      </c>
      <c r="C228" s="92">
        <f>-J9</f>
        <v>-0.58123819371909635</v>
      </c>
      <c r="D228" s="92">
        <f>-K9</f>
        <v>0.813733471206735</v>
      </c>
      <c r="E228" s="92">
        <f>J9</f>
        <v>0.58123819371909635</v>
      </c>
      <c r="F228" s="92">
        <f>K9</f>
        <v>-0.813733471206735</v>
      </c>
      <c r="G228" s="96">
        <f>IFERROR(VLOOKUP(H228, A$190:D$197, 4, FALSE), 0)</f>
        <v>2.707311468472804E-2</v>
      </c>
      <c r="H228" s="12" t="str">
        <f>"D" &amp; C17 &amp; "X"</f>
        <v>D3X</v>
      </c>
    </row>
    <row r="229" spans="1:17" ht="19.95" customHeight="1" x14ac:dyDescent="0.3">
      <c r="A229" s="99" t="s">
        <v>288</v>
      </c>
      <c r="B229" s="97">
        <f>(MMULT(C228:F228, G228:G231)*A228)</f>
        <v>-9339.667432789136</v>
      </c>
      <c r="G229" s="96">
        <f>IFERROR(VLOOKUP(H229, A$190:D$197, 4, FALSE), 0)</f>
        <v>-0.33043318704025626</v>
      </c>
      <c r="H229" s="12" t="str">
        <f>"D" &amp; D17 &amp; "Y"</f>
        <v>D3Y</v>
      </c>
    </row>
    <row r="230" spans="1:17" ht="19.95" customHeight="1" x14ac:dyDescent="0.3">
      <c r="G230" s="96">
        <f>IFERROR(VLOOKUP(H230, A$190:D$197, 4, FALSE), 0)</f>
        <v>0.21541950113378683</v>
      </c>
      <c r="H230" s="12" t="str">
        <f>"D" &amp; E17 &amp; "X"</f>
        <v>D2X</v>
      </c>
    </row>
    <row r="231" spans="1:17" ht="19.95" customHeight="1" x14ac:dyDescent="0.3">
      <c r="G231" s="96">
        <f>IFERROR(VLOOKUP(H231, A$190:D$197, 4, FALSE), 0)</f>
        <v>0</v>
      </c>
      <c r="H231" s="12" t="str">
        <f>"D" &amp; F17 &amp; "Y"</f>
        <v>D2Y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30447.753503840919</v>
      </c>
      <c r="C236" s="92">
        <f>-J10</f>
        <v>-0.90618313999526545</v>
      </c>
      <c r="D236" s="92">
        <f>-K10</f>
        <v>-0.42288546533112387</v>
      </c>
      <c r="E236" s="92">
        <f>J10</f>
        <v>0.90618313999526545</v>
      </c>
      <c r="F236" s="92">
        <f>K10</f>
        <v>0.42288546533112387</v>
      </c>
      <c r="G236" s="96">
        <f>IFERROR(VLOOKUP(H236, A$190:D$197, 4, FALSE), 0)</f>
        <v>0</v>
      </c>
      <c r="H236" s="12" t="str">
        <f>"D" &amp; C18 &amp; "X"</f>
        <v>D1X</v>
      </c>
    </row>
    <row r="237" spans="1:17" ht="19.95" customHeight="1" x14ac:dyDescent="0.3">
      <c r="A237" s="99" t="s">
        <v>289</v>
      </c>
      <c r="B237" s="97">
        <f>(MMULT(C236:F236, G236:G239)*A236)</f>
        <v>-3507.6479447499269</v>
      </c>
      <c r="G237" s="96">
        <f>IFERROR(VLOOKUP(H237, A$190:D$197, 4, FALSE), 0)</f>
        <v>0</v>
      </c>
      <c r="H237" s="12" t="str">
        <f>"D" &amp; D18 &amp; "Y"</f>
        <v>D1Y</v>
      </c>
    </row>
    <row r="238" spans="1:17" ht="19.95" customHeight="1" x14ac:dyDescent="0.3">
      <c r="G238" s="96">
        <f>IFERROR(VLOOKUP(H238, A$190:D$197, 4, FALSE), 0)</f>
        <v>2.707311468472804E-2</v>
      </c>
      <c r="H238" s="12" t="str">
        <f>"D" &amp; E18 &amp; "X"</f>
        <v>D3X</v>
      </c>
    </row>
    <row r="239" spans="1:17" ht="19.95" customHeight="1" x14ac:dyDescent="0.3">
      <c r="G239" s="96">
        <f>IFERROR(VLOOKUP(H239, A$190:D$197, 4, FALSE), 0)</f>
        <v>-0.33043318704025626</v>
      </c>
      <c r="H239" s="12" t="str">
        <f>"D" &amp; F18 &amp; "Y"</f>
        <v>D3Y</v>
      </c>
    </row>
    <row r="240" spans="1:17" ht="19.95" customHeight="1" x14ac:dyDescent="0.3">
      <c r="B240" s="99" t="s">
        <v>273</v>
      </c>
      <c r="C240" s="178" t="str">
        <f>IF(B237&gt;0.001,"BARRA A TRACCIÓN (+)",IF(B237&lt;-0.001,"BARRA A COMPRESIÓN (-)","BARRA DE FUERZA NULA"))</f>
        <v>BARRA A COMPRESIÓN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1000</v>
      </c>
      <c r="F245" s="9">
        <f>L6</f>
        <v>12</v>
      </c>
      <c r="G245" s="97">
        <f>B205</f>
        <v>5428.5714285714284</v>
      </c>
      <c r="H245" s="84" t="str">
        <f>C208</f>
        <v>BARRA A TRACCIÓN (+)</v>
      </c>
    </row>
    <row r="246" spans="2:8" ht="19.95" customHeight="1" x14ac:dyDescent="0.3">
      <c r="B246" s="25">
        <v>2</v>
      </c>
      <c r="C246" s="86">
        <f>C15</f>
        <v>1</v>
      </c>
      <c r="D246" s="86">
        <f>E15</f>
        <v>4</v>
      </c>
      <c r="E246" s="9">
        <f>I7</f>
        <v>761.57731058639081</v>
      </c>
      <c r="F246" s="9">
        <f>L7</f>
        <v>12</v>
      </c>
      <c r="G246" s="97">
        <f>B213</f>
        <v>-3173.2387941099619</v>
      </c>
      <c r="H246" s="84" t="str">
        <f>C216</f>
        <v>BARRA A COMPRESIÓN (-)</v>
      </c>
    </row>
    <row r="247" spans="2:8" ht="19.95" customHeight="1" x14ac:dyDescent="0.3">
      <c r="B247" s="26">
        <v>3</v>
      </c>
      <c r="C247" s="86">
        <f>C16</f>
        <v>4</v>
      </c>
      <c r="D247" s="86">
        <f>E16</f>
        <v>3</v>
      </c>
      <c r="E247" s="9">
        <f>I8</f>
        <v>570.08771254956901</v>
      </c>
      <c r="F247" s="9">
        <f>L8</f>
        <v>12</v>
      </c>
      <c r="G247" s="97">
        <f>B221</f>
        <v>-6651.0233130783081</v>
      </c>
      <c r="H247" s="84" t="str">
        <f>C224</f>
        <v>BARRA A COMPRESIÓN (-)</v>
      </c>
    </row>
    <row r="248" spans="2:8" ht="19.95" customHeight="1" x14ac:dyDescent="0.3">
      <c r="B248" s="43">
        <v>4</v>
      </c>
      <c r="C248" s="86">
        <f>C17</f>
        <v>3</v>
      </c>
      <c r="D248" s="86">
        <f>E17</f>
        <v>2</v>
      </c>
      <c r="E248" s="9">
        <f>I9</f>
        <v>430.11626335213134</v>
      </c>
      <c r="F248" s="9">
        <f>L9</f>
        <v>12</v>
      </c>
      <c r="G248" s="97">
        <f>B229</f>
        <v>-9339.667432789136</v>
      </c>
      <c r="H248" s="84" t="str">
        <f>C232</f>
        <v>BARRA A COMPRESIÓN (-)</v>
      </c>
    </row>
    <row r="249" spans="2:8" ht="19.95" customHeight="1" x14ac:dyDescent="0.3">
      <c r="B249" s="44">
        <v>5</v>
      </c>
      <c r="C249" s="86">
        <f>C18</f>
        <v>1</v>
      </c>
      <c r="D249" s="86">
        <f>E18</f>
        <v>3</v>
      </c>
      <c r="E249" s="9">
        <f>I10</f>
        <v>827.64726786234246</v>
      </c>
      <c r="F249" s="9">
        <f>L10</f>
        <v>12</v>
      </c>
      <c r="G249" s="97">
        <f>B237</f>
        <v>-3507.6479447499269</v>
      </c>
      <c r="H249" s="84" t="str">
        <f>C240</f>
        <v>BARRA A COMPRESIÓN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48"/>
  <sheetViews>
    <sheetView topLeftCell="I1"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447</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300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300</v>
      </c>
      <c r="AC8" t="s">
        <v>316</v>
      </c>
    </row>
    <row r="9" spans="2:29" x14ac:dyDescent="0.3">
      <c r="AA9" s="20">
        <f>IF(G29="","",G29)</f>
        <v>400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400</v>
      </c>
      <c r="AB11" s="20">
        <f>IF(F30="","",F30)</f>
        <v>300</v>
      </c>
      <c r="AC11" t="s">
        <v>324</v>
      </c>
    </row>
    <row r="12" spans="2:29" x14ac:dyDescent="0.3">
      <c r="AA12" s="20">
        <f>IF(G30="","",G30)</f>
        <v>400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448</v>
      </c>
      <c r="K14" s="172"/>
      <c r="L14" s="172"/>
      <c r="M14" s="172"/>
      <c r="N14" s="172"/>
      <c r="O14" s="173"/>
      <c r="AA14" s="20">
        <f>IF(E31="","",E31)</f>
        <v>400</v>
      </c>
      <c r="AB14" s="20">
        <f>IF(F31="","",F31)</f>
        <v>0</v>
      </c>
      <c r="AC14" t="s">
        <v>328</v>
      </c>
    </row>
    <row r="15" spans="2:29" ht="19.05" customHeight="1" x14ac:dyDescent="0.3">
      <c r="B15" s="89">
        <v>2</v>
      </c>
      <c r="C15" s="21">
        <v>0</v>
      </c>
      <c r="D15" s="21">
        <v>300</v>
      </c>
      <c r="E15" s="21" t="s">
        <v>417</v>
      </c>
      <c r="F15" s="88">
        <f t="shared" si="0"/>
        <v>1</v>
      </c>
      <c r="G15" s="88">
        <f t="shared" si="1"/>
        <v>0</v>
      </c>
      <c r="H15" s="22">
        <v>0</v>
      </c>
      <c r="I15" s="22">
        <v>0</v>
      </c>
      <c r="J15" s="205" t="s">
        <v>449</v>
      </c>
      <c r="K15" s="172"/>
      <c r="L15" s="172"/>
      <c r="M15" s="172"/>
      <c r="N15" s="172"/>
      <c r="O15" s="173"/>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0</v>
      </c>
      <c r="I16" s="22">
        <v>-4000</v>
      </c>
      <c r="J16" s="205" t="s">
        <v>450</v>
      </c>
      <c r="K16" s="172"/>
      <c r="L16" s="172"/>
      <c r="M16" s="172"/>
      <c r="N16" s="172"/>
      <c r="O16" s="173"/>
    </row>
    <row r="17" spans="2:29" ht="19.05" customHeight="1" x14ac:dyDescent="0.3">
      <c r="B17" s="89">
        <v>4</v>
      </c>
      <c r="C17" s="21">
        <v>400</v>
      </c>
      <c r="D17" s="21">
        <v>0</v>
      </c>
      <c r="E17" s="21" t="s">
        <v>326</v>
      </c>
      <c r="F17" s="88">
        <f t="shared" si="0"/>
        <v>0</v>
      </c>
      <c r="G17" s="88">
        <f t="shared" si="1"/>
        <v>0</v>
      </c>
      <c r="H17" s="22">
        <v>1500</v>
      </c>
      <c r="I17" s="22">
        <v>-5000</v>
      </c>
      <c r="J17" s="205" t="s">
        <v>451</v>
      </c>
      <c r="K17" s="172"/>
      <c r="L17" s="172"/>
      <c r="M17" s="172"/>
      <c r="N17" s="172"/>
      <c r="O17" s="173"/>
      <c r="AA17" s="20">
        <f>IF(E32="","",E32)</f>
        <v>0</v>
      </c>
      <c r="AB17" s="20">
        <f>IF(F32="","",F32)</f>
        <v>300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400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300</v>
      </c>
      <c r="I28" s="9">
        <f t="shared" ref="I28:I42" si="6">IF(G28="","",G28-E28)</f>
        <v>0</v>
      </c>
      <c r="J28" s="9">
        <f t="shared" ref="J28:J42" si="7">IF(H28="","",H28-F28)</f>
        <v>300</v>
      </c>
      <c r="K28" s="9">
        <f t="shared" ref="K28:K42" si="8">IF(I28="","",SQRT(I28^2+J28^2))</f>
        <v>300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300</v>
      </c>
      <c r="G29" s="5">
        <f t="shared" si="4"/>
        <v>400</v>
      </c>
      <c r="H29" s="5">
        <f t="shared" si="5"/>
        <v>300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400</v>
      </c>
      <c r="H30" s="5">
        <f t="shared" si="5"/>
        <v>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400</v>
      </c>
      <c r="F31" s="5">
        <f t="shared" si="3"/>
        <v>0</v>
      </c>
      <c r="G31" s="5">
        <f t="shared" si="4"/>
        <v>0</v>
      </c>
      <c r="H31" s="5">
        <f t="shared" si="5"/>
        <v>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2</v>
      </c>
      <c r="D32" s="23">
        <v>4</v>
      </c>
      <c r="E32" s="5">
        <f t="shared" si="2"/>
        <v>0</v>
      </c>
      <c r="F32" s="5">
        <f t="shared" si="3"/>
        <v>300</v>
      </c>
      <c r="G32" s="5">
        <f t="shared" si="4"/>
        <v>400</v>
      </c>
      <c r="H32" s="5">
        <f t="shared" si="5"/>
        <v>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500-000000000000}">
      <formula1>"Fijo (articulado),Rodillo Y (despl. X libre),Rodillo X (despl. Y libre),Libre (0 reac.)"</formula1>
    </dataValidation>
  </dataValidations>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249"/>
  <sheetViews>
    <sheetView topLeftCell="C1" zoomScale="61"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452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GRAFICA_10!E28</f>
        <v>0</v>
      </c>
      <c r="D6" s="22">
        <f>GRAFICA_10!F28</f>
        <v>0</v>
      </c>
      <c r="E6" s="22">
        <f>GRAFICA_10!G28</f>
        <v>0</v>
      </c>
      <c r="F6" s="22">
        <f>GRAFICA_10!H28</f>
        <v>300</v>
      </c>
      <c r="G6" s="9">
        <f t="shared" ref="G6:H10" si="0">E6-C6</f>
        <v>0</v>
      </c>
      <c r="H6" s="9">
        <f t="shared" si="0"/>
        <v>300</v>
      </c>
      <c r="I6" s="9">
        <f>SQRT(G6*G6+H6*H6)</f>
        <v>300</v>
      </c>
      <c r="J6" s="92">
        <f>G6/I6</f>
        <v>0</v>
      </c>
      <c r="K6" s="92">
        <f>H6/I6</f>
        <v>1</v>
      </c>
      <c r="L6" s="22">
        <f>GRAFICA_10!N28</f>
        <v>12</v>
      </c>
      <c r="M6" s="22">
        <f>GRAFICA_10!O28</f>
        <v>2100000</v>
      </c>
      <c r="N6" s="6">
        <f>L6*M6/I6</f>
        <v>84000</v>
      </c>
    </row>
    <row r="7" spans="2:14" ht="19.05" customHeight="1" x14ac:dyDescent="0.3">
      <c r="B7" s="25">
        <v>2</v>
      </c>
      <c r="C7" s="22">
        <f>GRAFICA_10!E29</f>
        <v>0</v>
      </c>
      <c r="D7" s="22">
        <f>GRAFICA_10!F29</f>
        <v>300</v>
      </c>
      <c r="E7" s="22">
        <f>GRAFICA_10!G29</f>
        <v>400</v>
      </c>
      <c r="F7" s="22">
        <f>GRAFICA_10!H29</f>
        <v>300</v>
      </c>
      <c r="G7" s="9">
        <f t="shared" si="0"/>
        <v>400</v>
      </c>
      <c r="H7" s="9">
        <f t="shared" si="0"/>
        <v>0</v>
      </c>
      <c r="I7" s="9">
        <f>SQRT(G7*G7+H7*H7)</f>
        <v>400</v>
      </c>
      <c r="J7" s="92">
        <f>G7/I7</f>
        <v>1</v>
      </c>
      <c r="K7" s="92">
        <f>H7/I7</f>
        <v>0</v>
      </c>
      <c r="L7" s="22">
        <f>GRAFICA_10!N29</f>
        <v>12</v>
      </c>
      <c r="M7" s="22">
        <f>GRAFICA_10!O29</f>
        <v>2100000</v>
      </c>
      <c r="N7" s="6">
        <f>L7*M7/I7</f>
        <v>63000</v>
      </c>
    </row>
    <row r="8" spans="2:14" ht="19.05" customHeight="1" x14ac:dyDescent="0.3">
      <c r="B8" s="26">
        <v>3</v>
      </c>
      <c r="C8" s="22">
        <f>GRAFICA_10!E30</f>
        <v>400</v>
      </c>
      <c r="D8" s="22">
        <f>GRAFICA_10!F30</f>
        <v>300</v>
      </c>
      <c r="E8" s="22">
        <f>GRAFICA_10!G30</f>
        <v>400</v>
      </c>
      <c r="F8" s="22">
        <f>GRAFICA_10!H30</f>
        <v>0</v>
      </c>
      <c r="G8" s="9">
        <f t="shared" si="0"/>
        <v>0</v>
      </c>
      <c r="H8" s="9">
        <f t="shared" si="0"/>
        <v>-300</v>
      </c>
      <c r="I8" s="9">
        <f>SQRT(G8*G8+H8*H8)</f>
        <v>300</v>
      </c>
      <c r="J8" s="92">
        <f>G8/I8</f>
        <v>0</v>
      </c>
      <c r="K8" s="92">
        <f>H8/I8</f>
        <v>-1</v>
      </c>
      <c r="L8" s="22">
        <f>GRAFICA_10!N30</f>
        <v>12</v>
      </c>
      <c r="M8" s="22">
        <f>GRAFICA_10!O30</f>
        <v>2100000</v>
      </c>
      <c r="N8" s="6">
        <f>L8*M8/I8</f>
        <v>84000</v>
      </c>
    </row>
    <row r="9" spans="2:14" ht="19.05" customHeight="1" x14ac:dyDescent="0.3">
      <c r="B9" s="43">
        <v>4</v>
      </c>
      <c r="C9" s="22">
        <f>GRAFICA_10!E31</f>
        <v>400</v>
      </c>
      <c r="D9" s="22">
        <f>GRAFICA_10!F31</f>
        <v>0</v>
      </c>
      <c r="E9" s="22">
        <f>GRAFICA_10!G31</f>
        <v>0</v>
      </c>
      <c r="F9" s="22">
        <f>GRAFICA_10!H31</f>
        <v>0</v>
      </c>
      <c r="G9" s="9">
        <f t="shared" si="0"/>
        <v>-400</v>
      </c>
      <c r="H9" s="9">
        <f t="shared" si="0"/>
        <v>0</v>
      </c>
      <c r="I9" s="9">
        <f>SQRT(G9*G9+H9*H9)</f>
        <v>400</v>
      </c>
      <c r="J9" s="92">
        <f>G9/I9</f>
        <v>-1</v>
      </c>
      <c r="K9" s="92">
        <f>H9/I9</f>
        <v>0</v>
      </c>
      <c r="L9" s="22">
        <f>GRAFICA_10!N31</f>
        <v>12</v>
      </c>
      <c r="M9" s="22">
        <f>GRAFICA_10!O31</f>
        <v>2100000</v>
      </c>
      <c r="N9" s="6">
        <f>L9*M9/I9</f>
        <v>63000</v>
      </c>
    </row>
    <row r="10" spans="2:14" ht="19.05" customHeight="1" x14ac:dyDescent="0.3">
      <c r="B10" s="44">
        <v>5</v>
      </c>
      <c r="C10" s="22">
        <f>GRAFICA_10!E32</f>
        <v>0</v>
      </c>
      <c r="D10" s="22">
        <f>GRAFICA_10!F32</f>
        <v>300</v>
      </c>
      <c r="E10" s="22">
        <f>GRAFICA_10!G32</f>
        <v>400</v>
      </c>
      <c r="F10" s="22">
        <f>GRAFICA_10!H32</f>
        <v>0</v>
      </c>
      <c r="G10" s="9">
        <f t="shared" si="0"/>
        <v>400</v>
      </c>
      <c r="H10" s="9">
        <f t="shared" si="0"/>
        <v>-300</v>
      </c>
      <c r="I10" s="9">
        <f>SQRT(G10*G10+H10*H10)</f>
        <v>500</v>
      </c>
      <c r="J10" s="92">
        <f>G10/I10</f>
        <v>0.8</v>
      </c>
      <c r="K10" s="92">
        <f>H10/I10</f>
        <v>-0.6</v>
      </c>
      <c r="L10" s="22">
        <f>GRAFICA_10!N32</f>
        <v>12</v>
      </c>
      <c r="M10" s="22">
        <f>GRAFICA_10!O32</f>
        <v>2100000</v>
      </c>
      <c r="N10" s="6">
        <f>L10*M10/I10</f>
        <v>50400</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GRAFICA_10!C28</f>
        <v>1</v>
      </c>
      <c r="D14" s="23">
        <f>GRAFICA_10!C28</f>
        <v>1</v>
      </c>
      <c r="E14" s="23">
        <f>GRAFICA_10!D28</f>
        <v>2</v>
      </c>
      <c r="F14" s="23">
        <f>GRAFICA_10!D28</f>
        <v>2</v>
      </c>
    </row>
    <row r="15" spans="2:14" ht="19.05" customHeight="1" x14ac:dyDescent="0.3">
      <c r="B15" s="25">
        <v>2</v>
      </c>
      <c r="C15" s="23">
        <f>GRAFICA_10!C29</f>
        <v>2</v>
      </c>
      <c r="D15" s="23">
        <f>GRAFICA_10!C29</f>
        <v>2</v>
      </c>
      <c r="E15" s="23">
        <f>GRAFICA_10!D29</f>
        <v>3</v>
      </c>
      <c r="F15" s="23">
        <f>GRAFICA_10!D29</f>
        <v>3</v>
      </c>
    </row>
    <row r="16" spans="2:14" ht="19.05" customHeight="1" x14ac:dyDescent="0.3">
      <c r="B16" s="26">
        <v>3</v>
      </c>
      <c r="C16" s="23">
        <f>GRAFICA_10!C30</f>
        <v>3</v>
      </c>
      <c r="D16" s="23">
        <f>GRAFICA_10!C30</f>
        <v>3</v>
      </c>
      <c r="E16" s="23">
        <f>GRAFICA_10!D30</f>
        <v>4</v>
      </c>
      <c r="F16" s="23">
        <f>GRAFICA_10!D30</f>
        <v>4</v>
      </c>
    </row>
    <row r="17" spans="1:10" ht="19.05" customHeight="1" x14ac:dyDescent="0.3">
      <c r="B17" s="43">
        <v>4</v>
      </c>
      <c r="C17" s="23">
        <f>GRAFICA_10!C31</f>
        <v>4</v>
      </c>
      <c r="D17" s="23">
        <f>GRAFICA_10!C31</f>
        <v>4</v>
      </c>
      <c r="E17" s="23">
        <f>GRAFICA_10!D31</f>
        <v>1</v>
      </c>
      <c r="F17" s="23">
        <f>GRAFICA_10!D31</f>
        <v>1</v>
      </c>
    </row>
    <row r="18" spans="1:10" ht="19.05" customHeight="1" x14ac:dyDescent="0.3">
      <c r="B18" s="44">
        <v>5</v>
      </c>
      <c r="C18" s="23">
        <f>GRAFICA_10!C32</f>
        <v>2</v>
      </c>
      <c r="D18" s="23">
        <f>GRAFICA_10!C32</f>
        <v>2</v>
      </c>
      <c r="E18" s="23">
        <f>GRAFICA_10!D32</f>
        <v>4</v>
      </c>
      <c r="F18" s="23">
        <f>GRAFICA_10!D32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0</v>
      </c>
      <c r="C22" s="7">
        <f>J6*K6*N6</f>
        <v>0</v>
      </c>
      <c r="D22" s="7">
        <f>-B22</f>
        <v>0</v>
      </c>
      <c r="E22" s="7">
        <f>-C22</f>
        <v>0</v>
      </c>
      <c r="F22" s="27" t="str">
        <f>B21</f>
        <v>U1X</v>
      </c>
    </row>
    <row r="23" spans="1:10" ht="16.8" customHeight="1" x14ac:dyDescent="0.3">
      <c r="A23" s="28" t="s">
        <v>177</v>
      </c>
      <c r="B23" s="7">
        <f>C22</f>
        <v>0</v>
      </c>
      <c r="C23" s="7">
        <f>K6*K6*N6</f>
        <v>84000</v>
      </c>
      <c r="D23" s="7">
        <f>-B23</f>
        <v>0</v>
      </c>
      <c r="E23" s="7">
        <f>-C23</f>
        <v>-84000</v>
      </c>
      <c r="F23" s="27" t="str">
        <f>C21</f>
        <v>U1Y</v>
      </c>
    </row>
    <row r="24" spans="1:10" x14ac:dyDescent="0.3">
      <c r="B24" s="7">
        <f>D22</f>
        <v>0</v>
      </c>
      <c r="C24" s="7">
        <f>E22</f>
        <v>0</v>
      </c>
      <c r="D24" s="7">
        <f>B22</f>
        <v>0</v>
      </c>
      <c r="E24" s="7">
        <f>C22</f>
        <v>0</v>
      </c>
      <c r="F24" s="27" t="str">
        <f>D21</f>
        <v>U2X</v>
      </c>
    </row>
    <row r="25" spans="1:10" x14ac:dyDescent="0.3">
      <c r="B25" s="7">
        <f>D23</f>
        <v>0</v>
      </c>
      <c r="C25" s="7">
        <f>E23</f>
        <v>-84000</v>
      </c>
      <c r="D25" s="7">
        <f>B23</f>
        <v>0</v>
      </c>
      <c r="E25" s="7">
        <f>C23</f>
        <v>84000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0</v>
      </c>
      <c r="C28" s="8">
        <f t="shared" si="1"/>
        <v>0</v>
      </c>
      <c r="D28" s="8">
        <f t="shared" si="1"/>
        <v>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84000</v>
      </c>
      <c r="D29" s="8">
        <f t="shared" si="1"/>
        <v>0</v>
      </c>
      <c r="E29" s="8">
        <f t="shared" si="1"/>
        <v>-84000</v>
      </c>
      <c r="F29" s="9">
        <f t="shared" si="1"/>
        <v>0</v>
      </c>
      <c r="G29" s="9">
        <f t="shared" si="1"/>
        <v>0</v>
      </c>
      <c r="H29" s="9">
        <f t="shared" si="1"/>
        <v>0</v>
      </c>
      <c r="I29" s="9">
        <f t="shared" si="1"/>
        <v>0</v>
      </c>
      <c r="J29" s="27" t="s">
        <v>179</v>
      </c>
    </row>
    <row r="30" spans="1:10" ht="19.05" customHeight="1" x14ac:dyDescent="0.3">
      <c r="B30" s="8">
        <f t="shared" si="1"/>
        <v>0</v>
      </c>
      <c r="C30" s="8">
        <f t="shared" si="1"/>
        <v>0</v>
      </c>
      <c r="D30" s="8">
        <f t="shared" si="1"/>
        <v>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-84000</v>
      </c>
      <c r="D31" s="8">
        <f t="shared" si="1"/>
        <v>0</v>
      </c>
      <c r="E31" s="8">
        <f t="shared" si="1"/>
        <v>84000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63000</v>
      </c>
      <c r="C39" s="30">
        <f>J7*K7*N7</f>
        <v>0</v>
      </c>
      <c r="D39" s="30">
        <f>-B39</f>
        <v>-63000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-63000</v>
      </c>
      <c r="C41" s="30">
        <f>E39</f>
        <v>0</v>
      </c>
      <c r="D41" s="30">
        <f>B39</f>
        <v>63000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63000</v>
      </c>
      <c r="E47" s="31">
        <f t="shared" si="2"/>
        <v>0</v>
      </c>
      <c r="F47" s="31">
        <f t="shared" si="2"/>
        <v>-63000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-63000</v>
      </c>
      <c r="E49" s="31">
        <f t="shared" si="2"/>
        <v>0</v>
      </c>
      <c r="F49" s="31">
        <f t="shared" si="2"/>
        <v>63000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0</v>
      </c>
      <c r="C56" s="33">
        <f>J8*K8*N8</f>
        <v>0</v>
      </c>
      <c r="D56" s="33">
        <f>-B56</f>
        <v>0</v>
      </c>
      <c r="E56" s="33">
        <f>-C56</f>
        <v>0</v>
      </c>
      <c r="F56" s="32" t="str">
        <f>B55</f>
        <v>U3X</v>
      </c>
    </row>
    <row r="57" spans="1:10" ht="16.8" customHeight="1" x14ac:dyDescent="0.3">
      <c r="A57" s="28" t="s">
        <v>193</v>
      </c>
      <c r="B57" s="33">
        <f>C56</f>
        <v>0</v>
      </c>
      <c r="C57" s="33">
        <f>K8*K8*N8</f>
        <v>84000</v>
      </c>
      <c r="D57" s="33">
        <f>-B57</f>
        <v>0</v>
      </c>
      <c r="E57" s="33">
        <f>-C57</f>
        <v>-84000</v>
      </c>
      <c r="F57" s="32" t="str">
        <f>C55</f>
        <v>U3Y</v>
      </c>
    </row>
    <row r="58" spans="1:10" x14ac:dyDescent="0.3">
      <c r="B58" s="33">
        <f>D56</f>
        <v>0</v>
      </c>
      <c r="C58" s="33">
        <f>E56</f>
        <v>0</v>
      </c>
      <c r="D58" s="33">
        <f>B56</f>
        <v>0</v>
      </c>
      <c r="E58" s="33">
        <f>C56</f>
        <v>0</v>
      </c>
      <c r="F58" s="32" t="str">
        <f>D55</f>
        <v>U4X</v>
      </c>
    </row>
    <row r="59" spans="1:10" x14ac:dyDescent="0.3">
      <c r="B59" s="33">
        <f>D57</f>
        <v>0</v>
      </c>
      <c r="C59" s="33">
        <f>E57</f>
        <v>-84000</v>
      </c>
      <c r="D59" s="33">
        <f>B57</f>
        <v>0</v>
      </c>
      <c r="E59" s="33">
        <f>C57</f>
        <v>84000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0</v>
      </c>
      <c r="G66" s="34">
        <f t="shared" si="3"/>
        <v>0</v>
      </c>
      <c r="H66" s="34">
        <f t="shared" si="3"/>
        <v>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84000</v>
      </c>
      <c r="H67" s="34">
        <f t="shared" si="3"/>
        <v>0</v>
      </c>
      <c r="I67" s="34">
        <f t="shared" si="3"/>
        <v>-84000</v>
      </c>
      <c r="J67" s="32" t="s">
        <v>183</v>
      </c>
    </row>
    <row r="68" spans="1:10" ht="19.05" customHeight="1" x14ac:dyDescent="0.3">
      <c r="B68" s="9">
        <f t="shared" si="3"/>
        <v>0</v>
      </c>
      <c r="C68" s="9">
        <f t="shared" si="3"/>
        <v>0</v>
      </c>
      <c r="D68" s="9">
        <f t="shared" si="3"/>
        <v>0</v>
      </c>
      <c r="E68" s="9">
        <f t="shared" si="3"/>
        <v>0</v>
      </c>
      <c r="F68" s="34">
        <f t="shared" si="3"/>
        <v>0</v>
      </c>
      <c r="G68" s="34">
        <f t="shared" si="3"/>
        <v>0</v>
      </c>
      <c r="H68" s="34">
        <f t="shared" si="3"/>
        <v>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-84000</v>
      </c>
      <c r="H69" s="34">
        <f t="shared" si="3"/>
        <v>0</v>
      </c>
      <c r="I69" s="34">
        <f t="shared" si="3"/>
        <v>84000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63000</v>
      </c>
      <c r="C73" s="46">
        <f>J9*K9*N9</f>
        <v>0</v>
      </c>
      <c r="D73" s="46">
        <f>-B73</f>
        <v>-63000</v>
      </c>
      <c r="E73" s="46">
        <f>-C73</f>
        <v>0</v>
      </c>
      <c r="F73" s="45" t="str">
        <f>B72</f>
        <v>U4X</v>
      </c>
    </row>
    <row r="74" spans="1:10" ht="16.8" customHeight="1" x14ac:dyDescent="0.3">
      <c r="A74" s="28" t="s">
        <v>195</v>
      </c>
      <c r="B74" s="46">
        <f>C73</f>
        <v>0</v>
      </c>
      <c r="C74" s="46">
        <f>K9*K9*N9</f>
        <v>0</v>
      </c>
      <c r="D74" s="46">
        <f>-B74</f>
        <v>0</v>
      </c>
      <c r="E74" s="46">
        <f>-C74</f>
        <v>0</v>
      </c>
      <c r="F74" s="45" t="str">
        <f>C72</f>
        <v>U4Y</v>
      </c>
    </row>
    <row r="75" spans="1:10" x14ac:dyDescent="0.3">
      <c r="B75" s="46">
        <f>D73</f>
        <v>-63000</v>
      </c>
      <c r="C75" s="46">
        <f>E73</f>
        <v>0</v>
      </c>
      <c r="D75" s="46">
        <f>B73</f>
        <v>63000</v>
      </c>
      <c r="E75" s="46">
        <f>C73</f>
        <v>0</v>
      </c>
      <c r="F75" s="45" t="str">
        <f>D72</f>
        <v>U1X</v>
      </c>
    </row>
    <row r="76" spans="1:10" x14ac:dyDescent="0.3">
      <c r="B76" s="46">
        <f>D74</f>
        <v>0</v>
      </c>
      <c r="C76" s="46">
        <f>E74</f>
        <v>0</v>
      </c>
      <c r="D76" s="46">
        <f>B74</f>
        <v>0</v>
      </c>
      <c r="E76" s="46">
        <f>C74</f>
        <v>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63000</v>
      </c>
      <c r="C79" s="47">
        <f t="shared" si="4"/>
        <v>0</v>
      </c>
      <c r="D79" s="9">
        <f t="shared" si="4"/>
        <v>0</v>
      </c>
      <c r="E79" s="9">
        <f t="shared" si="4"/>
        <v>0</v>
      </c>
      <c r="F79" s="9">
        <f t="shared" si="4"/>
        <v>0</v>
      </c>
      <c r="G79" s="9">
        <f t="shared" si="4"/>
        <v>0</v>
      </c>
      <c r="H79" s="47">
        <f t="shared" si="4"/>
        <v>-63000</v>
      </c>
      <c r="I79" s="47">
        <f t="shared" si="4"/>
        <v>0</v>
      </c>
      <c r="J79" s="45" t="s">
        <v>178</v>
      </c>
    </row>
    <row r="80" spans="1:10" ht="19.05" customHeight="1" x14ac:dyDescent="0.3">
      <c r="B80" s="47">
        <f t="shared" si="4"/>
        <v>0</v>
      </c>
      <c r="C80" s="47">
        <f t="shared" si="4"/>
        <v>0</v>
      </c>
      <c r="D80" s="9">
        <f t="shared" si="4"/>
        <v>0</v>
      </c>
      <c r="E80" s="9">
        <f t="shared" si="4"/>
        <v>0</v>
      </c>
      <c r="F80" s="9">
        <f t="shared" si="4"/>
        <v>0</v>
      </c>
      <c r="G80" s="9">
        <f t="shared" si="4"/>
        <v>0</v>
      </c>
      <c r="H80" s="47">
        <f t="shared" si="4"/>
        <v>0</v>
      </c>
      <c r="I80" s="47">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-63000</v>
      </c>
      <c r="C85" s="47">
        <f t="shared" si="4"/>
        <v>0</v>
      </c>
      <c r="D85" s="9">
        <f t="shared" si="4"/>
        <v>0</v>
      </c>
      <c r="E85" s="9">
        <f t="shared" si="4"/>
        <v>0</v>
      </c>
      <c r="F85" s="9">
        <f t="shared" si="4"/>
        <v>0</v>
      </c>
      <c r="G85" s="9">
        <f t="shared" si="4"/>
        <v>0</v>
      </c>
      <c r="H85" s="47">
        <f t="shared" si="4"/>
        <v>63000</v>
      </c>
      <c r="I85" s="47">
        <f t="shared" si="4"/>
        <v>0</v>
      </c>
      <c r="J85" s="45" t="s">
        <v>184</v>
      </c>
    </row>
    <row r="86" spans="1:10" ht="19.05" customHeight="1" x14ac:dyDescent="0.3">
      <c r="B86" s="47">
        <f t="shared" si="4"/>
        <v>0</v>
      </c>
      <c r="C86" s="47">
        <f t="shared" si="4"/>
        <v>0</v>
      </c>
      <c r="D86" s="9">
        <f t="shared" si="4"/>
        <v>0</v>
      </c>
      <c r="E86" s="9">
        <f t="shared" si="4"/>
        <v>0</v>
      </c>
      <c r="F86" s="9">
        <f t="shared" si="4"/>
        <v>0</v>
      </c>
      <c r="G86" s="9">
        <f t="shared" si="4"/>
        <v>0</v>
      </c>
      <c r="H86" s="47">
        <f t="shared" si="4"/>
        <v>0</v>
      </c>
      <c r="I86" s="47">
        <f t="shared" si="4"/>
        <v>0</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32256.000000000007</v>
      </c>
      <c r="C90" s="49">
        <f>J10*K10*N10</f>
        <v>-24192</v>
      </c>
      <c r="D90" s="49">
        <f>-B90</f>
        <v>-32256.000000000007</v>
      </c>
      <c r="E90" s="49">
        <f>-C90</f>
        <v>24192</v>
      </c>
      <c r="F90" s="48" t="str">
        <f>B89</f>
        <v>U2X</v>
      </c>
    </row>
    <row r="91" spans="1:10" ht="16.8" customHeight="1" x14ac:dyDescent="0.3">
      <c r="A91" s="28" t="s">
        <v>197</v>
      </c>
      <c r="B91" s="49">
        <f>C90</f>
        <v>-24192</v>
      </c>
      <c r="C91" s="49">
        <f>K10*K10*N10</f>
        <v>18144</v>
      </c>
      <c r="D91" s="49">
        <f>-B91</f>
        <v>24192</v>
      </c>
      <c r="E91" s="49">
        <f>-C91</f>
        <v>-18144</v>
      </c>
      <c r="F91" s="48" t="str">
        <f>C89</f>
        <v>U2Y</v>
      </c>
    </row>
    <row r="92" spans="1:10" x14ac:dyDescent="0.3">
      <c r="B92" s="49">
        <f>D90</f>
        <v>-32256.000000000007</v>
      </c>
      <c r="C92" s="49">
        <f>E90</f>
        <v>24192</v>
      </c>
      <c r="D92" s="49">
        <f>B90</f>
        <v>32256.000000000007</v>
      </c>
      <c r="E92" s="49">
        <f>C90</f>
        <v>-24192</v>
      </c>
      <c r="F92" s="48" t="str">
        <f>D89</f>
        <v>U4X</v>
      </c>
    </row>
    <row r="93" spans="1:10" x14ac:dyDescent="0.3">
      <c r="B93" s="49">
        <f>D91</f>
        <v>24192</v>
      </c>
      <c r="C93" s="49">
        <f>E91</f>
        <v>-18144</v>
      </c>
      <c r="D93" s="49">
        <f>B91</f>
        <v>-24192</v>
      </c>
      <c r="E93" s="49">
        <f>C91</f>
        <v>18144</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32256.000000000007</v>
      </c>
      <c r="E98" s="50">
        <f t="shared" si="5"/>
        <v>-24192</v>
      </c>
      <c r="F98" s="9">
        <f t="shared" si="5"/>
        <v>0</v>
      </c>
      <c r="G98" s="9">
        <f t="shared" si="5"/>
        <v>0</v>
      </c>
      <c r="H98" s="50">
        <f t="shared" si="5"/>
        <v>-32256.000000000007</v>
      </c>
      <c r="I98" s="50">
        <f t="shared" si="5"/>
        <v>24192</v>
      </c>
      <c r="J98" s="48" t="s">
        <v>180</v>
      </c>
    </row>
    <row r="99" spans="1:10" ht="19.05" customHeight="1" x14ac:dyDescent="0.3">
      <c r="A99" s="28" t="s">
        <v>198</v>
      </c>
      <c r="B99" s="9">
        <f t="shared" si="5"/>
        <v>0</v>
      </c>
      <c r="C99" s="9">
        <f t="shared" si="5"/>
        <v>0</v>
      </c>
      <c r="D99" s="50">
        <f t="shared" si="5"/>
        <v>-24192</v>
      </c>
      <c r="E99" s="50">
        <f t="shared" si="5"/>
        <v>18144</v>
      </c>
      <c r="F99" s="9">
        <f t="shared" si="5"/>
        <v>0</v>
      </c>
      <c r="G99" s="9">
        <f t="shared" si="5"/>
        <v>0</v>
      </c>
      <c r="H99" s="50">
        <f t="shared" si="5"/>
        <v>24192</v>
      </c>
      <c r="I99" s="50">
        <f t="shared" si="5"/>
        <v>-18144</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-32256.000000000007</v>
      </c>
      <c r="E102" s="50">
        <f t="shared" si="5"/>
        <v>24192</v>
      </c>
      <c r="F102" s="9">
        <f t="shared" si="5"/>
        <v>0</v>
      </c>
      <c r="G102" s="9">
        <f t="shared" si="5"/>
        <v>0</v>
      </c>
      <c r="H102" s="50">
        <f t="shared" si="5"/>
        <v>32256.000000000007</v>
      </c>
      <c r="I102" s="50">
        <f t="shared" si="5"/>
        <v>-24192</v>
      </c>
      <c r="J102" s="48" t="s">
        <v>184</v>
      </c>
    </row>
    <row r="103" spans="1:10" ht="19.05" customHeight="1" x14ac:dyDescent="0.3">
      <c r="B103" s="9">
        <f t="shared" si="5"/>
        <v>0</v>
      </c>
      <c r="C103" s="9">
        <f t="shared" si="5"/>
        <v>0</v>
      </c>
      <c r="D103" s="50">
        <f t="shared" si="5"/>
        <v>24192</v>
      </c>
      <c r="E103" s="50">
        <f t="shared" si="5"/>
        <v>-18144</v>
      </c>
      <c r="F103" s="9">
        <f t="shared" si="5"/>
        <v>0</v>
      </c>
      <c r="G103" s="9">
        <f t="shared" si="5"/>
        <v>0</v>
      </c>
      <c r="H103" s="50">
        <f t="shared" si="5"/>
        <v>-24192</v>
      </c>
      <c r="I103" s="50">
        <f t="shared" si="5"/>
        <v>18144</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63000</v>
      </c>
      <c r="C107" s="36">
        <f t="shared" si="6"/>
        <v>0</v>
      </c>
      <c r="D107" s="9">
        <f t="shared" si="6"/>
        <v>0</v>
      </c>
      <c r="E107" s="9">
        <f t="shared" si="6"/>
        <v>0</v>
      </c>
      <c r="F107" s="9">
        <f t="shared" si="6"/>
        <v>0</v>
      </c>
      <c r="G107" s="9">
        <f t="shared" si="6"/>
        <v>0</v>
      </c>
      <c r="H107" s="9">
        <f t="shared" si="6"/>
        <v>-63000</v>
      </c>
      <c r="I107" s="9">
        <f t="shared" si="6"/>
        <v>0</v>
      </c>
      <c r="J107" s="89" t="s">
        <v>178</v>
      </c>
    </row>
    <row r="108" spans="1:10" ht="19.95" customHeight="1" x14ac:dyDescent="0.3">
      <c r="B108" s="36">
        <f t="shared" si="6"/>
        <v>0</v>
      </c>
      <c r="C108" s="35">
        <f t="shared" si="6"/>
        <v>84000</v>
      </c>
      <c r="D108" s="9">
        <f t="shared" si="6"/>
        <v>0</v>
      </c>
      <c r="E108" s="9">
        <f t="shared" si="6"/>
        <v>-84000</v>
      </c>
      <c r="F108" s="9">
        <f t="shared" si="6"/>
        <v>0</v>
      </c>
      <c r="G108" s="9">
        <f t="shared" si="6"/>
        <v>0</v>
      </c>
      <c r="H108" s="9">
        <f t="shared" si="6"/>
        <v>0</v>
      </c>
      <c r="I108" s="9">
        <f t="shared" si="6"/>
        <v>0</v>
      </c>
      <c r="J108" s="89" t="s">
        <v>179</v>
      </c>
    </row>
    <row r="109" spans="1:10" ht="19.95" customHeight="1" x14ac:dyDescent="0.3">
      <c r="B109" s="9">
        <f t="shared" si="6"/>
        <v>0</v>
      </c>
      <c r="C109" s="9">
        <f t="shared" si="6"/>
        <v>0</v>
      </c>
      <c r="D109" s="35">
        <f t="shared" si="6"/>
        <v>95256</v>
      </c>
      <c r="E109" s="36">
        <f t="shared" si="6"/>
        <v>-24192</v>
      </c>
      <c r="F109" s="9">
        <f t="shared" si="6"/>
        <v>-63000</v>
      </c>
      <c r="G109" s="9">
        <f t="shared" si="6"/>
        <v>0</v>
      </c>
      <c r="H109" s="9">
        <f t="shared" si="6"/>
        <v>-32256.000000000007</v>
      </c>
      <c r="I109" s="9">
        <f t="shared" si="6"/>
        <v>24192</v>
      </c>
      <c r="J109" s="89" t="s">
        <v>180</v>
      </c>
    </row>
    <row r="110" spans="1:10" ht="19.95" customHeight="1" x14ac:dyDescent="0.3">
      <c r="A110" s="28" t="s">
        <v>205</v>
      </c>
      <c r="B110" s="9">
        <f t="shared" si="6"/>
        <v>0</v>
      </c>
      <c r="C110" s="9">
        <f t="shared" si="6"/>
        <v>-84000</v>
      </c>
      <c r="D110" s="36">
        <f t="shared" si="6"/>
        <v>-24192</v>
      </c>
      <c r="E110" s="35">
        <f t="shared" si="6"/>
        <v>102144</v>
      </c>
      <c r="F110" s="9">
        <f t="shared" si="6"/>
        <v>0</v>
      </c>
      <c r="G110" s="9">
        <f t="shared" si="6"/>
        <v>0</v>
      </c>
      <c r="H110" s="9">
        <f t="shared" si="6"/>
        <v>24192</v>
      </c>
      <c r="I110" s="9">
        <f t="shared" si="6"/>
        <v>-18144</v>
      </c>
      <c r="J110" s="89" t="s">
        <v>181</v>
      </c>
    </row>
    <row r="111" spans="1:10" ht="19.95" customHeight="1" x14ac:dyDescent="0.3">
      <c r="B111" s="9">
        <f t="shared" si="6"/>
        <v>0</v>
      </c>
      <c r="C111" s="9">
        <f t="shared" si="6"/>
        <v>0</v>
      </c>
      <c r="D111" s="9">
        <f t="shared" si="6"/>
        <v>-63000</v>
      </c>
      <c r="E111" s="9">
        <f t="shared" si="6"/>
        <v>0</v>
      </c>
      <c r="F111" s="35">
        <f t="shared" si="6"/>
        <v>63000</v>
      </c>
      <c r="G111" s="36">
        <f t="shared" si="6"/>
        <v>0</v>
      </c>
      <c r="H111" s="9">
        <f t="shared" si="6"/>
        <v>0</v>
      </c>
      <c r="I111" s="9">
        <f t="shared" si="6"/>
        <v>0</v>
      </c>
      <c r="J111" s="89" t="s">
        <v>182</v>
      </c>
    </row>
    <row r="112" spans="1:10" ht="19.95" customHeight="1" x14ac:dyDescent="0.3">
      <c r="B112" s="9">
        <f t="shared" si="6"/>
        <v>0</v>
      </c>
      <c r="C112" s="9">
        <f t="shared" si="6"/>
        <v>0</v>
      </c>
      <c r="D112" s="9">
        <f t="shared" si="6"/>
        <v>0</v>
      </c>
      <c r="E112" s="9">
        <f t="shared" si="6"/>
        <v>0</v>
      </c>
      <c r="F112" s="36">
        <f t="shared" si="6"/>
        <v>0</v>
      </c>
      <c r="G112" s="35">
        <f t="shared" si="6"/>
        <v>84000</v>
      </c>
      <c r="H112" s="9">
        <f t="shared" si="6"/>
        <v>0</v>
      </c>
      <c r="I112" s="9">
        <f t="shared" si="6"/>
        <v>-84000</v>
      </c>
      <c r="J112" s="89" t="s">
        <v>183</v>
      </c>
    </row>
    <row r="113" spans="1:17" ht="19.95" customHeight="1" x14ac:dyDescent="0.3">
      <c r="B113" s="9">
        <f t="shared" si="6"/>
        <v>-63000</v>
      </c>
      <c r="C113" s="9">
        <f t="shared" si="6"/>
        <v>0</v>
      </c>
      <c r="D113" s="9">
        <f t="shared" si="6"/>
        <v>-32256.000000000007</v>
      </c>
      <c r="E113" s="9">
        <f t="shared" si="6"/>
        <v>24192</v>
      </c>
      <c r="F113" s="9">
        <f t="shared" si="6"/>
        <v>0</v>
      </c>
      <c r="G113" s="9">
        <f t="shared" si="6"/>
        <v>0</v>
      </c>
      <c r="H113" s="35">
        <f t="shared" si="6"/>
        <v>95256</v>
      </c>
      <c r="I113" s="36">
        <f t="shared" si="6"/>
        <v>-24192</v>
      </c>
      <c r="J113" s="89" t="s">
        <v>184</v>
      </c>
    </row>
    <row r="114" spans="1:17" ht="19.95" customHeight="1" x14ac:dyDescent="0.3">
      <c r="B114" s="9">
        <f t="shared" si="6"/>
        <v>0</v>
      </c>
      <c r="C114" s="9">
        <f t="shared" si="6"/>
        <v>0</v>
      </c>
      <c r="D114" s="9">
        <f t="shared" si="6"/>
        <v>24192</v>
      </c>
      <c r="E114" s="9">
        <f t="shared" si="6"/>
        <v>-18144</v>
      </c>
      <c r="F114" s="9">
        <f t="shared" si="6"/>
        <v>0</v>
      </c>
      <c r="G114" s="9">
        <f t="shared" si="6"/>
        <v>-84000</v>
      </c>
      <c r="H114" s="36">
        <f t="shared" si="6"/>
        <v>-24192</v>
      </c>
      <c r="I114" s="35">
        <f t="shared" si="6"/>
        <v>102144</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IF(GRAFICA_10!F14=1, B118, GRAFICA_10!H14)</f>
        <v>C1X</v>
      </c>
      <c r="L118" s="215" t="s">
        <v>376</v>
      </c>
      <c r="M118" s="172"/>
      <c r="N118" s="172"/>
      <c r="O118" s="172"/>
      <c r="P118" s="172"/>
      <c r="Q118" s="173"/>
    </row>
    <row r="119" spans="1:17" ht="16.95" customHeight="1" x14ac:dyDescent="0.3">
      <c r="B119" s="12" t="s">
        <v>210</v>
      </c>
      <c r="C119" s="12" t="s">
        <v>179</v>
      </c>
      <c r="E119" s="37" t="str">
        <f>IF(GRAFICA_10!G14=1, B119, GRAFICA_10!I14)</f>
        <v>C1Y</v>
      </c>
      <c r="L119" s="215" t="s">
        <v>211</v>
      </c>
      <c r="M119" s="172"/>
      <c r="N119" s="172"/>
      <c r="O119" s="172"/>
      <c r="P119" s="172"/>
      <c r="Q119" s="173"/>
    </row>
    <row r="120" spans="1:17" ht="16.95" customHeight="1" x14ac:dyDescent="0.3">
      <c r="B120" s="12" t="s">
        <v>212</v>
      </c>
      <c r="C120" s="12" t="s">
        <v>180</v>
      </c>
      <c r="E120" s="37" t="str">
        <f>IF(GRAFICA_10!F15=1, B120, GRAFICA_10!H15)</f>
        <v>C2X</v>
      </c>
      <c r="L120" s="215" t="s">
        <v>377</v>
      </c>
      <c r="M120" s="172"/>
      <c r="N120" s="172"/>
      <c r="O120" s="172"/>
      <c r="P120" s="172"/>
      <c r="Q120" s="173"/>
    </row>
    <row r="121" spans="1:17" ht="16.95" customHeight="1" x14ac:dyDescent="0.3">
      <c r="A121" s="38" t="s">
        <v>218</v>
      </c>
      <c r="B121" s="12" t="s">
        <v>214</v>
      </c>
      <c r="C121" s="12" t="s">
        <v>181</v>
      </c>
      <c r="D121" s="13" t="s">
        <v>220</v>
      </c>
      <c r="E121" s="37">
        <f>IF(GRAFICA_10!G15=1, B121, GRAFICA_10!I15)</f>
        <v>0</v>
      </c>
      <c r="L121" s="215" t="s">
        <v>215</v>
      </c>
      <c r="M121" s="172"/>
      <c r="N121" s="172"/>
      <c r="O121" s="172"/>
      <c r="P121" s="172"/>
      <c r="Q121" s="173"/>
    </row>
    <row r="122" spans="1:17" ht="16.95" customHeight="1" x14ac:dyDescent="0.3">
      <c r="B122" s="12" t="s">
        <v>216</v>
      </c>
      <c r="C122" s="12" t="s">
        <v>182</v>
      </c>
      <c r="E122" s="37">
        <f>IF(GRAFICA_10!F16=1, B122, GRAFICA_10!H16)</f>
        <v>0</v>
      </c>
      <c r="L122" s="215" t="s">
        <v>378</v>
      </c>
      <c r="M122" s="172"/>
      <c r="N122" s="172"/>
      <c r="O122" s="172"/>
      <c r="P122" s="172"/>
      <c r="Q122" s="173"/>
    </row>
    <row r="123" spans="1:17" ht="16.95" customHeight="1" x14ac:dyDescent="0.3">
      <c r="B123" s="12" t="s">
        <v>219</v>
      </c>
      <c r="C123" s="12" t="s">
        <v>183</v>
      </c>
      <c r="E123" s="37">
        <f>IF(GRAFICA_10!G16=1, B123, GRAFICA_10!I16)</f>
        <v>-4000</v>
      </c>
      <c r="L123" s="215" t="s">
        <v>379</v>
      </c>
      <c r="M123" s="172"/>
      <c r="N123" s="172"/>
      <c r="O123" s="172"/>
      <c r="P123" s="172"/>
      <c r="Q123" s="173"/>
    </row>
    <row r="124" spans="1:17" ht="16.95" customHeight="1" x14ac:dyDescent="0.3">
      <c r="B124" s="12" t="s">
        <v>221</v>
      </c>
      <c r="C124" s="12" t="s">
        <v>184</v>
      </c>
      <c r="E124" s="37">
        <f>IF(GRAFICA_10!F17=1, B124, GRAFICA_10!H17)</f>
        <v>1500</v>
      </c>
      <c r="L124" s="215"/>
      <c r="M124" s="172"/>
      <c r="N124" s="172"/>
      <c r="O124" s="172"/>
      <c r="P124" s="172"/>
      <c r="Q124" s="173"/>
    </row>
    <row r="125" spans="1:17" ht="16.95" customHeight="1" x14ac:dyDescent="0.3">
      <c r="B125" s="12" t="s">
        <v>222</v>
      </c>
      <c r="C125" s="12" t="s">
        <v>185</v>
      </c>
      <c r="E125" s="37">
        <f>IF(GRAFICA_10!G17=1, B125, GRAFICA_10!I17)</f>
        <v>-5000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IF(GRAFICA_10!F14=1,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IF(GRAFICA_10!G14=1,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f>IF(GRAFICA_10!F15=1, 0, B130)</f>
        <v>0</v>
      </c>
      <c r="F130" s="14" t="str">
        <f>IF(E130&lt;&gt;0, COUNTIF(E$128:E130, "&lt;&gt;0"), "")</f>
        <v/>
      </c>
      <c r="G130" s="14">
        <f>IF(E130=0, COUNTIF(E$128:E130, 0), "")</f>
        <v>3</v>
      </c>
      <c r="L130" s="215"/>
      <c r="M130" s="172"/>
      <c r="N130" s="172"/>
      <c r="O130" s="172"/>
      <c r="P130" s="172"/>
      <c r="Q130" s="173"/>
    </row>
    <row r="131" spans="1:17" ht="16.95" customHeight="1" x14ac:dyDescent="0.3">
      <c r="A131" s="38" t="s">
        <v>233</v>
      </c>
      <c r="B131" s="12" t="s">
        <v>231</v>
      </c>
      <c r="C131" s="12" t="s">
        <v>181</v>
      </c>
      <c r="D131" s="13" t="s">
        <v>220</v>
      </c>
      <c r="E131" s="39" t="str">
        <f>IF(GRAFICA_10!G15=1, 0, B131)</f>
        <v>D2Y</v>
      </c>
      <c r="F131" s="14">
        <f>IF(E131&lt;&gt;0, COUNTIF(E$128:E131, "&lt;&gt;0"), "")</f>
        <v>1</v>
      </c>
      <c r="G131" s="14" t="str">
        <f>IF(E131=0, COUNTIF(E$128:E131, 0), "")</f>
        <v/>
      </c>
      <c r="L131" s="215"/>
      <c r="M131" s="172"/>
      <c r="N131" s="172"/>
      <c r="O131" s="172"/>
      <c r="P131" s="172"/>
      <c r="Q131" s="173"/>
    </row>
    <row r="132" spans="1:17" ht="16.95" customHeight="1" x14ac:dyDescent="0.3">
      <c r="B132" s="12" t="s">
        <v>232</v>
      </c>
      <c r="C132" s="12" t="s">
        <v>182</v>
      </c>
      <c r="E132" s="39" t="str">
        <f>IF(GRAFICA_10!F16=1,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IF(GRAFICA_10!G16=1,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IF(GRAFICA_10!F17=1,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IF(GRAFICA_10!G17=1,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63000</v>
      </c>
      <c r="D140" s="9">
        <f t="shared" si="8"/>
        <v>0</v>
      </c>
      <c r="E140" s="9">
        <f t="shared" si="8"/>
        <v>0</v>
      </c>
      <c r="F140" s="9">
        <f t="shared" si="8"/>
        <v>0</v>
      </c>
      <c r="G140" s="9">
        <f t="shared" si="8"/>
        <v>0</v>
      </c>
      <c r="H140" s="9">
        <f t="shared" si="8"/>
        <v>0</v>
      </c>
      <c r="I140" s="9">
        <f t="shared" si="8"/>
        <v>-63000</v>
      </c>
      <c r="J140" s="9">
        <f t="shared" si="8"/>
        <v>0</v>
      </c>
      <c r="K140" s="13" t="s">
        <v>251</v>
      </c>
      <c r="L140" s="219" t="s">
        <v>380</v>
      </c>
      <c r="M140" s="172"/>
      <c r="N140" s="172"/>
      <c r="O140" s="172"/>
      <c r="P140" s="172"/>
      <c r="Q140" s="173"/>
    </row>
    <row r="141" spans="1:17" ht="16.95" customHeight="1" x14ac:dyDescent="0.3">
      <c r="A141" s="12" t="str">
        <f t="shared" si="7"/>
        <v>C1Y</v>
      </c>
      <c r="C141" s="9">
        <f t="shared" si="8"/>
        <v>0</v>
      </c>
      <c r="D141" s="9">
        <f t="shared" si="8"/>
        <v>84000</v>
      </c>
      <c r="E141" s="9">
        <f t="shared" si="8"/>
        <v>0</v>
      </c>
      <c r="F141" s="9">
        <f t="shared" si="8"/>
        <v>-84000</v>
      </c>
      <c r="G141" s="9">
        <f t="shared" si="8"/>
        <v>0</v>
      </c>
      <c r="H141" s="9">
        <f t="shared" si="8"/>
        <v>0</v>
      </c>
      <c r="I141" s="9">
        <f t="shared" si="8"/>
        <v>0</v>
      </c>
      <c r="J141" s="9">
        <f t="shared" si="8"/>
        <v>0</v>
      </c>
      <c r="K141" s="13" t="s">
        <v>251</v>
      </c>
      <c r="L141" s="219" t="s">
        <v>253</v>
      </c>
      <c r="M141" s="172"/>
      <c r="N141" s="172"/>
      <c r="O141" s="172"/>
      <c r="P141" s="172"/>
      <c r="Q141" s="173"/>
    </row>
    <row r="142" spans="1:17" ht="16.95" customHeight="1" x14ac:dyDescent="0.3">
      <c r="A142" s="12" t="str">
        <f t="shared" si="7"/>
        <v>C2X</v>
      </c>
      <c r="C142" s="9">
        <f t="shared" si="8"/>
        <v>0</v>
      </c>
      <c r="D142" s="9">
        <f t="shared" si="8"/>
        <v>0</v>
      </c>
      <c r="E142" s="9">
        <f t="shared" si="8"/>
        <v>95256</v>
      </c>
      <c r="F142" s="9">
        <f t="shared" si="8"/>
        <v>-24192</v>
      </c>
      <c r="G142" s="9">
        <f t="shared" si="8"/>
        <v>-63000</v>
      </c>
      <c r="H142" s="9">
        <f t="shared" si="8"/>
        <v>0</v>
      </c>
      <c r="I142" s="9">
        <f t="shared" si="8"/>
        <v>-32256.000000000007</v>
      </c>
      <c r="J142" s="9">
        <f t="shared" si="8"/>
        <v>24192</v>
      </c>
      <c r="K142" s="13" t="s">
        <v>251</v>
      </c>
      <c r="L142" s="219" t="s">
        <v>254</v>
      </c>
      <c r="M142" s="172"/>
      <c r="N142" s="172"/>
      <c r="O142" s="172"/>
      <c r="P142" s="172"/>
      <c r="Q142" s="173"/>
    </row>
    <row r="143" spans="1:17" ht="16.95" customHeight="1" x14ac:dyDescent="0.3">
      <c r="A143" s="41">
        <f t="shared" si="7"/>
        <v>0</v>
      </c>
      <c r="C143" s="9">
        <f t="shared" si="8"/>
        <v>0</v>
      </c>
      <c r="D143" s="9">
        <f t="shared" si="8"/>
        <v>-84000</v>
      </c>
      <c r="E143" s="9">
        <f t="shared" si="8"/>
        <v>-24192</v>
      </c>
      <c r="F143" s="41">
        <f t="shared" si="8"/>
        <v>102144</v>
      </c>
      <c r="G143" s="41">
        <f t="shared" si="8"/>
        <v>0</v>
      </c>
      <c r="H143" s="41">
        <f t="shared" si="8"/>
        <v>0</v>
      </c>
      <c r="I143" s="41">
        <f t="shared" si="8"/>
        <v>24192</v>
      </c>
      <c r="J143" s="41">
        <f t="shared" si="8"/>
        <v>-18144</v>
      </c>
      <c r="K143" s="13" t="s">
        <v>251</v>
      </c>
      <c r="L143" s="215" t="s">
        <v>381</v>
      </c>
      <c r="M143" s="172"/>
      <c r="N143" s="172"/>
      <c r="O143" s="172"/>
      <c r="P143" s="172"/>
      <c r="Q143" s="173"/>
    </row>
    <row r="144" spans="1:17" ht="16.95" customHeight="1" x14ac:dyDescent="0.3">
      <c r="A144" s="41">
        <f t="shared" si="7"/>
        <v>0</v>
      </c>
      <c r="B144" s="13" t="s">
        <v>220</v>
      </c>
      <c r="C144" s="9">
        <f t="shared" si="8"/>
        <v>0</v>
      </c>
      <c r="D144" s="9">
        <f t="shared" si="8"/>
        <v>0</v>
      </c>
      <c r="E144" s="9">
        <f t="shared" si="8"/>
        <v>-63000</v>
      </c>
      <c r="F144" s="41">
        <f t="shared" si="8"/>
        <v>0</v>
      </c>
      <c r="G144" s="41">
        <f t="shared" si="8"/>
        <v>63000</v>
      </c>
      <c r="H144" s="41">
        <f t="shared" si="8"/>
        <v>0</v>
      </c>
      <c r="I144" s="41">
        <f t="shared" si="8"/>
        <v>0</v>
      </c>
      <c r="J144" s="41">
        <f t="shared" si="8"/>
        <v>0</v>
      </c>
      <c r="K144" s="13" t="s">
        <v>251</v>
      </c>
      <c r="L144" s="215" t="s">
        <v>382</v>
      </c>
      <c r="M144" s="172"/>
      <c r="N144" s="172"/>
      <c r="O144" s="172"/>
      <c r="P144" s="172"/>
      <c r="Q144" s="173"/>
    </row>
    <row r="145" spans="1:17" ht="16.95" customHeight="1" x14ac:dyDescent="0.3">
      <c r="A145" s="41">
        <f t="shared" si="7"/>
        <v>-4000</v>
      </c>
      <c r="C145" s="9">
        <f t="shared" si="8"/>
        <v>0</v>
      </c>
      <c r="D145" s="9">
        <f t="shared" si="8"/>
        <v>0</v>
      </c>
      <c r="E145" s="9">
        <f t="shared" si="8"/>
        <v>0</v>
      </c>
      <c r="F145" s="41">
        <f t="shared" si="8"/>
        <v>0</v>
      </c>
      <c r="G145" s="41">
        <f t="shared" si="8"/>
        <v>0</v>
      </c>
      <c r="H145" s="41">
        <f t="shared" si="8"/>
        <v>84000</v>
      </c>
      <c r="I145" s="41">
        <f t="shared" si="8"/>
        <v>0</v>
      </c>
      <c r="J145" s="41">
        <f t="shared" si="8"/>
        <v>-84000</v>
      </c>
      <c r="K145" s="13" t="s">
        <v>251</v>
      </c>
      <c r="L145" s="215" t="str">
        <f>E133</f>
        <v>D3Y</v>
      </c>
      <c r="M145" s="172"/>
      <c r="N145" s="172"/>
      <c r="O145" s="172"/>
      <c r="P145" s="172"/>
      <c r="Q145" s="173"/>
    </row>
    <row r="146" spans="1:17" ht="16.95" customHeight="1" x14ac:dyDescent="0.3">
      <c r="A146" s="41">
        <f t="shared" si="7"/>
        <v>1500</v>
      </c>
      <c r="C146" s="9">
        <f t="shared" si="8"/>
        <v>-63000</v>
      </c>
      <c r="D146" s="9">
        <f t="shared" si="8"/>
        <v>0</v>
      </c>
      <c r="E146" s="9">
        <f t="shared" si="8"/>
        <v>-32256.000000000007</v>
      </c>
      <c r="F146" s="41">
        <f t="shared" si="8"/>
        <v>24192</v>
      </c>
      <c r="G146" s="41">
        <f t="shared" si="8"/>
        <v>0</v>
      </c>
      <c r="H146" s="41">
        <f t="shared" si="8"/>
        <v>0</v>
      </c>
      <c r="I146" s="41">
        <f t="shared" si="8"/>
        <v>95256</v>
      </c>
      <c r="J146" s="41">
        <f t="shared" si="8"/>
        <v>-24192</v>
      </c>
      <c r="K146" s="13" t="s">
        <v>251</v>
      </c>
      <c r="L146" s="215" t="str">
        <f>E134</f>
        <v>D4X</v>
      </c>
      <c r="M146" s="172"/>
      <c r="N146" s="172"/>
      <c r="O146" s="172"/>
      <c r="P146" s="172"/>
      <c r="Q146" s="173"/>
    </row>
    <row r="147" spans="1:17" ht="16.95" customHeight="1" x14ac:dyDescent="0.3">
      <c r="A147" s="41">
        <f t="shared" si="7"/>
        <v>-5000</v>
      </c>
      <c r="C147" s="9">
        <f t="shared" si="8"/>
        <v>0</v>
      </c>
      <c r="D147" s="9">
        <f t="shared" si="8"/>
        <v>0</v>
      </c>
      <c r="E147" s="9">
        <f t="shared" si="8"/>
        <v>24192</v>
      </c>
      <c r="F147" s="41">
        <f t="shared" si="8"/>
        <v>-18144</v>
      </c>
      <c r="G147" s="41">
        <f t="shared" si="8"/>
        <v>0</v>
      </c>
      <c r="H147" s="41">
        <f t="shared" si="8"/>
        <v>-84000</v>
      </c>
      <c r="I147" s="41">
        <f t="shared" si="8"/>
        <v>-24192</v>
      </c>
      <c r="J147" s="41">
        <f t="shared" si="8"/>
        <v>102144</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U2Y</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102144</v>
      </c>
      <c r="D152" s="41">
        <f t="shared" si="9"/>
        <v>0</v>
      </c>
      <c r="E152" s="41">
        <f t="shared" si="9"/>
        <v>0</v>
      </c>
      <c r="F152" s="41">
        <f t="shared" si="9"/>
        <v>24192</v>
      </c>
      <c r="G152" s="41">
        <f t="shared" si="9"/>
        <v>-18144</v>
      </c>
      <c r="H152" s="13" t="s">
        <v>251</v>
      </c>
      <c r="I152" s="38" t="str">
        <f>INDEX(B$128:B$135, MATCH(1, F$128:F$135, 0))</f>
        <v>D2Y</v>
      </c>
      <c r="J152" s="14" t="str">
        <f>INDEX(C$128:C$135, MATCH(1, F$128:F$135, 0))</f>
        <v>U2Y</v>
      </c>
      <c r="L152" s="215" t="s">
        <v>384</v>
      </c>
      <c r="M152" s="172"/>
      <c r="N152" s="172"/>
      <c r="O152" s="172"/>
      <c r="P152" s="172"/>
      <c r="Q152" s="173"/>
    </row>
    <row r="153" spans="1:17" ht="16.95" customHeight="1" x14ac:dyDescent="0.3">
      <c r="A153" s="41">
        <f>INDEX(E$118:E$125, MATCH(J153, C$118:C$125, 0))</f>
        <v>0</v>
      </c>
      <c r="C153" s="41">
        <f t="shared" si="9"/>
        <v>0</v>
      </c>
      <c r="D153" s="41">
        <f t="shared" si="9"/>
        <v>63000</v>
      </c>
      <c r="E153" s="41">
        <f t="shared" si="9"/>
        <v>0</v>
      </c>
      <c r="F153" s="41">
        <f t="shared" si="9"/>
        <v>0</v>
      </c>
      <c r="G153" s="41">
        <f t="shared" si="9"/>
        <v>0</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-4000</v>
      </c>
      <c r="B154" s="13" t="s">
        <v>220</v>
      </c>
      <c r="C154" s="41">
        <f t="shared" si="9"/>
        <v>0</v>
      </c>
      <c r="D154" s="41">
        <f t="shared" si="9"/>
        <v>0</v>
      </c>
      <c r="E154" s="41">
        <f t="shared" si="9"/>
        <v>84000</v>
      </c>
      <c r="F154" s="41">
        <f t="shared" si="9"/>
        <v>0</v>
      </c>
      <c r="G154" s="41">
        <f t="shared" si="9"/>
        <v>-84000</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1500</v>
      </c>
      <c r="C155" s="41">
        <f t="shared" si="9"/>
        <v>24192</v>
      </c>
      <c r="D155" s="41">
        <f t="shared" si="9"/>
        <v>0</v>
      </c>
      <c r="E155" s="41">
        <f t="shared" si="9"/>
        <v>0</v>
      </c>
      <c r="F155" s="41">
        <f t="shared" si="9"/>
        <v>95256</v>
      </c>
      <c r="G155" s="41">
        <f t="shared" si="9"/>
        <v>-24192</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-5000</v>
      </c>
      <c r="C156" s="41">
        <f t="shared" si="9"/>
        <v>-18144</v>
      </c>
      <c r="D156" s="41">
        <f t="shared" si="9"/>
        <v>0</v>
      </c>
      <c r="E156" s="41">
        <f t="shared" si="9"/>
        <v>-84000</v>
      </c>
      <c r="F156" s="41">
        <f t="shared" si="9"/>
        <v>-24192</v>
      </c>
      <c r="G156" s="41">
        <f t="shared" si="9"/>
        <v>102144</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D2Y</v>
      </c>
      <c r="C160" s="93">
        <f t="array" ref="C160:G164">MINVERSE(C152:G156)</f>
        <v>1.1904761904761905E-5</v>
      </c>
      <c r="D160" s="93">
        <v>0</v>
      </c>
      <c r="E160" s="93">
        <v>1.1904761904761902E-5</v>
      </c>
      <c r="F160" s="93">
        <v>0</v>
      </c>
      <c r="G160" s="93">
        <v>1.1904761904761902E-5</v>
      </c>
      <c r="I160" s="17">
        <f>A152</f>
        <v>0</v>
      </c>
      <c r="L160" s="215"/>
      <c r="M160" s="172"/>
      <c r="N160" s="172"/>
      <c r="O160" s="172"/>
      <c r="P160" s="172"/>
      <c r="Q160" s="173"/>
    </row>
    <row r="161" spans="1:17" ht="16.95" customHeight="1" x14ac:dyDescent="0.3">
      <c r="A161" s="12" t="str">
        <f>I153</f>
        <v>D3X</v>
      </c>
      <c r="C161" s="93">
        <v>0</v>
      </c>
      <c r="D161" s="93">
        <v>1.5873015873015872E-5</v>
      </c>
      <c r="E161" s="93">
        <v>0</v>
      </c>
      <c r="F161" s="93">
        <v>0</v>
      </c>
      <c r="G161" s="93">
        <v>0</v>
      </c>
      <c r="I161" s="17">
        <f>A153</f>
        <v>0</v>
      </c>
      <c r="L161" s="215"/>
      <c r="M161" s="172"/>
      <c r="N161" s="172"/>
      <c r="O161" s="172"/>
      <c r="P161" s="172"/>
      <c r="Q161" s="173"/>
    </row>
    <row r="162" spans="1:17" ht="16.95" customHeight="1" x14ac:dyDescent="0.3">
      <c r="A162" s="12" t="str">
        <f>I154</f>
        <v>D3Y</v>
      </c>
      <c r="B162" s="13" t="s">
        <v>220</v>
      </c>
      <c r="C162" s="93">
        <v>1.1904761904761905E-5</v>
      </c>
      <c r="D162" s="93">
        <v>0</v>
      </c>
      <c r="E162" s="93">
        <v>1.0714285714285714E-4</v>
      </c>
      <c r="F162" s="93">
        <v>2.1164021164021164E-5</v>
      </c>
      <c r="G162" s="93">
        <v>9.5238095238095241E-5</v>
      </c>
      <c r="I162" s="17">
        <f>A154</f>
        <v>-4000</v>
      </c>
      <c r="L162" s="215"/>
      <c r="M162" s="172"/>
      <c r="N162" s="172"/>
      <c r="O162" s="172"/>
      <c r="P162" s="172"/>
      <c r="Q162" s="173"/>
    </row>
    <row r="163" spans="1:17" ht="16.95" customHeight="1" x14ac:dyDescent="0.3">
      <c r="A163" s="12" t="str">
        <f>I155</f>
        <v>D4X</v>
      </c>
      <c r="C163" s="93">
        <v>3.1002700570073449E-22</v>
      </c>
      <c r="D163" s="93">
        <v>0</v>
      </c>
      <c r="E163" s="93">
        <v>2.1164021164021168E-5</v>
      </c>
      <c r="F163" s="93">
        <v>1.5873015873015872E-5</v>
      </c>
      <c r="G163" s="93">
        <v>2.1164021164021168E-5</v>
      </c>
      <c r="I163" s="17">
        <f>A155</f>
        <v>1500</v>
      </c>
      <c r="L163" s="215"/>
      <c r="M163" s="172"/>
      <c r="N163" s="172"/>
      <c r="O163" s="172"/>
      <c r="P163" s="172"/>
      <c r="Q163" s="173"/>
    </row>
    <row r="164" spans="1:17" ht="16.95" customHeight="1" x14ac:dyDescent="0.3">
      <c r="A164" s="12" t="str">
        <f>I156</f>
        <v>D4Y</v>
      </c>
      <c r="C164" s="93">
        <v>1.1904761904761905E-5</v>
      </c>
      <c r="D164" s="93">
        <v>0</v>
      </c>
      <c r="E164" s="93">
        <v>9.5238095238095241E-5</v>
      </c>
      <c r="F164" s="93">
        <v>2.1164021164021164E-5</v>
      </c>
      <c r="G164" s="93">
        <v>9.5238095238095241E-5</v>
      </c>
      <c r="I164" s="17">
        <f>A156</f>
        <v>-5000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D2Y</v>
      </c>
      <c r="C168" s="94">
        <f t="array" ref="C168:C172">MMULT(C160:G164, I160:I164)</f>
        <v>-0.10714285714285712</v>
      </c>
      <c r="D168" s="12" t="s">
        <v>267</v>
      </c>
      <c r="L168" s="215"/>
      <c r="M168" s="172"/>
      <c r="N168" s="172"/>
      <c r="O168" s="172"/>
      <c r="P168" s="172"/>
      <c r="Q168" s="173"/>
    </row>
    <row r="169" spans="1:17" ht="16.95" customHeight="1" x14ac:dyDescent="0.3">
      <c r="A169" s="12" t="str">
        <f>A161</f>
        <v>D3X</v>
      </c>
      <c r="C169" s="94">
        <v>0</v>
      </c>
      <c r="D169" s="12" t="s">
        <v>267</v>
      </c>
      <c r="L169" s="215"/>
      <c r="M169" s="172"/>
      <c r="N169" s="172"/>
      <c r="O169" s="172"/>
      <c r="P169" s="172"/>
      <c r="Q169" s="173"/>
    </row>
    <row r="170" spans="1:17" ht="16.95" customHeight="1" x14ac:dyDescent="0.3">
      <c r="A170" s="12" t="str">
        <f>A162</f>
        <v>D3Y</v>
      </c>
      <c r="B170" s="13" t="s">
        <v>220</v>
      </c>
      <c r="C170" s="94">
        <v>-0.87301587301587302</v>
      </c>
      <c r="D170" s="12" t="s">
        <v>267</v>
      </c>
      <c r="L170" s="215"/>
      <c r="M170" s="172"/>
      <c r="N170" s="172"/>
      <c r="O170" s="172"/>
      <c r="P170" s="172"/>
      <c r="Q170" s="173"/>
    </row>
    <row r="171" spans="1:17" ht="16.95" customHeight="1" x14ac:dyDescent="0.3">
      <c r="A171" s="12" t="str">
        <f>A163</f>
        <v>D4X</v>
      </c>
      <c r="C171" s="94">
        <v>-0.16666666666666669</v>
      </c>
      <c r="D171" s="12" t="s">
        <v>267</v>
      </c>
      <c r="L171" s="215"/>
      <c r="M171" s="172"/>
      <c r="N171" s="172"/>
      <c r="O171" s="172"/>
      <c r="P171" s="172"/>
      <c r="Q171" s="173"/>
    </row>
    <row r="172" spans="1:17" ht="16.95" customHeight="1" x14ac:dyDescent="0.3">
      <c r="A172" s="12" t="str">
        <f>A164</f>
        <v>D4Y</v>
      </c>
      <c r="C172" s="94">
        <v>-0.82539682539682546</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0</v>
      </c>
      <c r="D177" s="9">
        <f t="shared" si="10"/>
        <v>0</v>
      </c>
      <c r="E177" s="9">
        <f t="shared" si="10"/>
        <v>0</v>
      </c>
      <c r="F177" s="9">
        <f t="shared" si="10"/>
        <v>-63000</v>
      </c>
      <c r="G177" s="9">
        <f t="shared" si="10"/>
        <v>0</v>
      </c>
      <c r="I177" s="95">
        <f>C168</f>
        <v>-0.10714285714285712</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-84000</v>
      </c>
      <c r="D178" s="9">
        <f t="shared" si="10"/>
        <v>0</v>
      </c>
      <c r="E178" s="9">
        <f t="shared" si="10"/>
        <v>0</v>
      </c>
      <c r="F178" s="9">
        <f t="shared" si="10"/>
        <v>0</v>
      </c>
      <c r="G178" s="9">
        <f t="shared" si="10"/>
        <v>0</v>
      </c>
      <c r="I178" s="95">
        <f>C169</f>
        <v>0</v>
      </c>
      <c r="J178" s="14" t="str">
        <f>INDEX(C$128:C$135, MATCH(2, G$128:G$135, 0))</f>
        <v>U1Y</v>
      </c>
      <c r="L178" s="215" t="s">
        <v>391</v>
      </c>
      <c r="M178" s="172"/>
      <c r="N178" s="172"/>
      <c r="O178" s="172"/>
      <c r="P178" s="172"/>
      <c r="Q178" s="173"/>
    </row>
    <row r="179" spans="1:17" ht="16.95" customHeight="1" x14ac:dyDescent="0.3">
      <c r="A179" s="18" t="str">
        <f>INDEX(B$118:B$125, MATCH(J179, C$118:C$125, 0))</f>
        <v>C2X</v>
      </c>
      <c r="C179" s="9">
        <f t="shared" si="10"/>
        <v>-24192</v>
      </c>
      <c r="D179" s="9">
        <f t="shared" si="10"/>
        <v>-63000</v>
      </c>
      <c r="E179" s="9">
        <f t="shared" si="10"/>
        <v>0</v>
      </c>
      <c r="F179" s="9">
        <f t="shared" si="10"/>
        <v>-32256.000000000007</v>
      </c>
      <c r="G179" s="9">
        <f t="shared" si="10"/>
        <v>24192</v>
      </c>
      <c r="I179" s="95">
        <f>C170</f>
        <v>-0.87301587301587302</v>
      </c>
      <c r="J179" s="14" t="str">
        <f>INDEX(C$128:C$135, MATCH(3, G$128:G$135, 0))</f>
        <v>U2X</v>
      </c>
      <c r="L179" s="215" t="s">
        <v>392</v>
      </c>
      <c r="M179" s="172"/>
      <c r="N179" s="172"/>
      <c r="O179" s="172"/>
      <c r="P179" s="172"/>
      <c r="Q179" s="173"/>
    </row>
    <row r="180" spans="1:17" ht="16.95" customHeight="1" x14ac:dyDescent="0.3">
      <c r="I180" s="95">
        <f>C171</f>
        <v>-0.16666666666666669</v>
      </c>
      <c r="L180" s="215" t="s">
        <v>393</v>
      </c>
      <c r="M180" s="172"/>
      <c r="N180" s="172"/>
      <c r="O180" s="172"/>
      <c r="P180" s="172"/>
      <c r="Q180" s="173"/>
    </row>
    <row r="181" spans="1:17" ht="16.95" customHeight="1" x14ac:dyDescent="0.3">
      <c r="I181" s="95">
        <f>C172</f>
        <v>-0.82539682539682546</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10500.000000000002</v>
      </c>
      <c r="D183" s="12" t="s">
        <v>273</v>
      </c>
      <c r="L183" s="215"/>
      <c r="M183" s="172"/>
      <c r="N183" s="172"/>
      <c r="O183" s="172"/>
      <c r="P183" s="172"/>
      <c r="Q183" s="173"/>
    </row>
    <row r="184" spans="1:17" ht="16.95" customHeight="1" x14ac:dyDescent="0.3">
      <c r="A184" s="12" t="str">
        <f>A178</f>
        <v>C1Y</v>
      </c>
      <c r="B184" s="13" t="s">
        <v>220</v>
      </c>
      <c r="C184" s="17">
        <v>8999.9999999999982</v>
      </c>
      <c r="D184" s="12" t="s">
        <v>273</v>
      </c>
      <c r="L184" s="215"/>
      <c r="M184" s="172"/>
      <c r="N184" s="172"/>
      <c r="O184" s="172"/>
      <c r="P184" s="172"/>
      <c r="Q184" s="173"/>
    </row>
    <row r="185" spans="1:17" ht="16.95" customHeight="1" x14ac:dyDescent="0.3">
      <c r="A185" s="12" t="str">
        <f>A179</f>
        <v>C2X</v>
      </c>
      <c r="C185" s="17">
        <v>-11999.999999999998</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v>
      </c>
    </row>
    <row r="193" spans="1:17" ht="19.05" customHeight="1" x14ac:dyDescent="0.3">
      <c r="A193" s="12" t="s">
        <v>231</v>
      </c>
      <c r="B193" s="12" t="s">
        <v>181</v>
      </c>
      <c r="D193" s="94">
        <f t="shared" si="11"/>
        <v>-0.10714285714285712</v>
      </c>
    </row>
    <row r="194" spans="1:17" ht="19.05" customHeight="1" x14ac:dyDescent="0.3">
      <c r="A194" s="12" t="s">
        <v>232</v>
      </c>
      <c r="B194" s="12" t="s">
        <v>182</v>
      </c>
      <c r="D194" s="94">
        <f t="shared" si="11"/>
        <v>0</v>
      </c>
    </row>
    <row r="195" spans="1:17" ht="19.05" customHeight="1" x14ac:dyDescent="0.3">
      <c r="A195" s="12" t="s">
        <v>234</v>
      </c>
      <c r="B195" s="12" t="s">
        <v>183</v>
      </c>
      <c r="D195" s="94">
        <f t="shared" si="11"/>
        <v>-0.87301587301587302</v>
      </c>
    </row>
    <row r="196" spans="1:17" ht="19.05" customHeight="1" x14ac:dyDescent="0.3">
      <c r="A196" s="12" t="s">
        <v>235</v>
      </c>
      <c r="B196" s="12" t="s">
        <v>184</v>
      </c>
      <c r="D196" s="94">
        <f t="shared" si="11"/>
        <v>-0.16666666666666669</v>
      </c>
    </row>
    <row r="197" spans="1:17" ht="19.05" customHeight="1" x14ac:dyDescent="0.3">
      <c r="A197" s="12" t="s">
        <v>236</v>
      </c>
      <c r="B197" s="12" t="s">
        <v>185</v>
      </c>
      <c r="D197" s="94">
        <f t="shared" si="11"/>
        <v>-0.82539682539682546</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84000</v>
      </c>
      <c r="C204" s="92">
        <f>-J6</f>
        <v>0</v>
      </c>
      <c r="D204" s="92">
        <f>-K6</f>
        <v>-1</v>
      </c>
      <c r="E204" s="92">
        <f>J6</f>
        <v>0</v>
      </c>
      <c r="F204" s="92">
        <f>K6</f>
        <v>1</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-8999.9999999999982</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0</v>
      </c>
      <c r="H206" s="12" t="str">
        <f>"D" &amp; E14 &amp; "X"</f>
        <v>D2X</v>
      </c>
      <c r="L206" s="215" t="s">
        <v>400</v>
      </c>
      <c r="M206" s="172"/>
      <c r="N206" s="172"/>
      <c r="O206" s="172"/>
      <c r="P206" s="172"/>
      <c r="Q206" s="173"/>
    </row>
    <row r="207" spans="1:17" ht="16.95" customHeight="1" x14ac:dyDescent="0.3">
      <c r="G207" s="96">
        <f>IFERROR(VLOOKUP(H207, A$190:D$197, 4, FALSE), 0)</f>
        <v>-0.10714285714285712</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COMPRESIÓN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63000</v>
      </c>
      <c r="C212" s="92">
        <f>-J7</f>
        <v>-1</v>
      </c>
      <c r="D212" s="92">
        <f>-K7</f>
        <v>0</v>
      </c>
      <c r="E212" s="92">
        <f>J7</f>
        <v>1</v>
      </c>
      <c r="F212" s="92">
        <f>K7</f>
        <v>0</v>
      </c>
      <c r="G212" s="96">
        <f>IFERROR(VLOOKUP(H212, A$190:D$197, 4, FALSE), 0)</f>
        <v>0</v>
      </c>
      <c r="H212" s="12" t="str">
        <f>"D" &amp; C15 &amp; "X"</f>
        <v>D2X</v>
      </c>
      <c r="L212" s="215"/>
      <c r="M212" s="172"/>
      <c r="N212" s="172"/>
      <c r="O212" s="172"/>
      <c r="P212" s="172"/>
      <c r="Q212" s="173"/>
    </row>
    <row r="213" spans="1:17" ht="16.95" customHeight="1" x14ac:dyDescent="0.3">
      <c r="A213" s="99" t="s">
        <v>286</v>
      </c>
      <c r="B213" s="97">
        <f>(MMULT(C212:F212, G212:G215)*A212)</f>
        <v>0</v>
      </c>
      <c r="G213" s="96">
        <f>IFERROR(VLOOKUP(H213, A$190:D$197, 4, FALSE), 0)</f>
        <v>-0.10714285714285712</v>
      </c>
      <c r="H213" s="12" t="str">
        <f>"D" &amp; D15 &amp; "Y"</f>
        <v>D2Y</v>
      </c>
      <c r="L213" s="215"/>
      <c r="M213" s="172"/>
      <c r="N213" s="172"/>
      <c r="O213" s="172"/>
      <c r="P213" s="172"/>
      <c r="Q213" s="173"/>
    </row>
    <row r="214" spans="1:17" ht="16.95" customHeight="1" x14ac:dyDescent="0.3">
      <c r="G214" s="96">
        <f>IFERROR(VLOOKUP(H214, A$190:D$197, 4, FALSE), 0)</f>
        <v>0</v>
      </c>
      <c r="H214" s="12" t="str">
        <f>"D" &amp; E15 &amp; "X"</f>
        <v>D3X</v>
      </c>
      <c r="L214" s="215"/>
      <c r="M214" s="172"/>
      <c r="N214" s="172"/>
      <c r="O214" s="172"/>
      <c r="P214" s="172"/>
      <c r="Q214" s="173"/>
    </row>
    <row r="215" spans="1:17" ht="16.95" customHeight="1" x14ac:dyDescent="0.3">
      <c r="G215" s="96">
        <f>IFERROR(VLOOKUP(H215, A$190:D$197, 4, FALSE), 0)</f>
        <v>-0.87301587301587302</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DE FUERZA NULA</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84000</v>
      </c>
      <c r="C220" s="92">
        <f>-J8</f>
        <v>0</v>
      </c>
      <c r="D220" s="92">
        <f>-K8</f>
        <v>1</v>
      </c>
      <c r="E220" s="92">
        <f>J8</f>
        <v>0</v>
      </c>
      <c r="F220" s="92">
        <f>K8</f>
        <v>-1</v>
      </c>
      <c r="G220" s="96">
        <f>IFERROR(VLOOKUP(H220, A$190:D$197, 4, FALSE), 0)</f>
        <v>0</v>
      </c>
      <c r="H220" s="12" t="str">
        <f>"D" &amp; C16 &amp; "X"</f>
        <v>D3X</v>
      </c>
      <c r="L220" s="215"/>
      <c r="M220" s="172"/>
      <c r="N220" s="172"/>
      <c r="O220" s="172"/>
      <c r="P220" s="172"/>
      <c r="Q220" s="173"/>
    </row>
    <row r="221" spans="1:17" ht="16.95" customHeight="1" x14ac:dyDescent="0.3">
      <c r="A221" s="99" t="s">
        <v>287</v>
      </c>
      <c r="B221" s="97">
        <f>(MMULT(C220:F220, G220:G223)*A220)</f>
        <v>-3999.999999999995</v>
      </c>
      <c r="G221" s="96">
        <f>IFERROR(VLOOKUP(H221, A$190:D$197, 4, FALSE), 0)</f>
        <v>-0.87301587301587302</v>
      </c>
      <c r="H221" s="12" t="str">
        <f>"D" &amp; D16 &amp; "Y"</f>
        <v>D3Y</v>
      </c>
      <c r="L221" s="215"/>
      <c r="M221" s="172"/>
      <c r="N221" s="172"/>
      <c r="O221" s="172"/>
      <c r="P221" s="172"/>
      <c r="Q221" s="173"/>
    </row>
    <row r="222" spans="1:17" ht="16.95" customHeight="1" x14ac:dyDescent="0.3">
      <c r="G222" s="96">
        <f>IFERROR(VLOOKUP(H222, A$190:D$197, 4, FALSE), 0)</f>
        <v>-0.16666666666666669</v>
      </c>
      <c r="H222" s="12" t="str">
        <f>"D" &amp; E16 &amp; "X"</f>
        <v>D4X</v>
      </c>
      <c r="L222" s="215"/>
      <c r="M222" s="172"/>
      <c r="N222" s="172"/>
      <c r="O222" s="172"/>
      <c r="P222" s="172"/>
      <c r="Q222" s="173"/>
    </row>
    <row r="223" spans="1:17" ht="16.95" customHeight="1" x14ac:dyDescent="0.3">
      <c r="G223" s="96">
        <f>IFERROR(VLOOKUP(H223, A$190:D$197, 4, FALSE), 0)</f>
        <v>-0.82539682539682546</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63000</v>
      </c>
      <c r="C228" s="92">
        <f>-J9</f>
        <v>1</v>
      </c>
      <c r="D228" s="92">
        <f>-K9</f>
        <v>0</v>
      </c>
      <c r="E228" s="92">
        <f>J9</f>
        <v>-1</v>
      </c>
      <c r="F228" s="92">
        <f>K9</f>
        <v>0</v>
      </c>
      <c r="G228" s="96">
        <f>IFERROR(VLOOKUP(H228, A$190:D$197, 4, FALSE), 0)</f>
        <v>-0.16666666666666669</v>
      </c>
      <c r="H228" s="12" t="str">
        <f>"D" &amp; C17 &amp; "X"</f>
        <v>D4X</v>
      </c>
    </row>
    <row r="229" spans="1:17" ht="19.95" customHeight="1" x14ac:dyDescent="0.3">
      <c r="A229" s="99" t="s">
        <v>288</v>
      </c>
      <c r="B229" s="97">
        <f>(MMULT(C228:F228, G228:G231)*A228)</f>
        <v>-10500.000000000002</v>
      </c>
      <c r="G229" s="96">
        <f>IFERROR(VLOOKUP(H229, A$190:D$197, 4, FALSE), 0)</f>
        <v>-0.82539682539682546</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50400</v>
      </c>
      <c r="C236" s="92">
        <f>-J10</f>
        <v>-0.8</v>
      </c>
      <c r="D236" s="92">
        <f>-K10</f>
        <v>0.6</v>
      </c>
      <c r="E236" s="92">
        <f>J10</f>
        <v>0.8</v>
      </c>
      <c r="F236" s="92">
        <f>K10</f>
        <v>-0.6</v>
      </c>
      <c r="G236" s="96">
        <f>IFERROR(VLOOKUP(H236, A$190:D$197, 4, FALSE), 0)</f>
        <v>0</v>
      </c>
      <c r="H236" s="12" t="str">
        <f>"D" &amp; C18 &amp; "X"</f>
        <v>D2X</v>
      </c>
    </row>
    <row r="237" spans="1:17" ht="19.95" customHeight="1" x14ac:dyDescent="0.3">
      <c r="A237" s="99" t="s">
        <v>289</v>
      </c>
      <c r="B237" s="97">
        <f>(MMULT(C236:F236, G236:G239)*A236)</f>
        <v>15000</v>
      </c>
      <c r="G237" s="96">
        <f>IFERROR(VLOOKUP(H237, A$190:D$197, 4, FALSE), 0)</f>
        <v>-0.10714285714285712</v>
      </c>
      <c r="H237" s="12" t="str">
        <f>"D" &amp; D18 &amp; "Y"</f>
        <v>D2Y</v>
      </c>
    </row>
    <row r="238" spans="1:17" ht="19.95" customHeight="1" x14ac:dyDescent="0.3">
      <c r="G238" s="96">
        <f>IFERROR(VLOOKUP(H238, A$190:D$197, 4, FALSE), 0)</f>
        <v>-0.16666666666666669</v>
      </c>
      <c r="H238" s="12" t="str">
        <f>"D" &amp; E18 &amp; "X"</f>
        <v>D4X</v>
      </c>
    </row>
    <row r="239" spans="1:17" ht="19.95" customHeight="1" x14ac:dyDescent="0.3">
      <c r="G239" s="96">
        <f>IFERROR(VLOOKUP(H239, A$190:D$197, 4, FALSE), 0)</f>
        <v>-0.82539682539682546</v>
      </c>
      <c r="H239" s="12" t="str">
        <f>"D" &amp; F18 &amp; "Y"</f>
        <v>D4Y</v>
      </c>
    </row>
    <row r="240" spans="1:17" ht="19.95" customHeight="1" x14ac:dyDescent="0.3">
      <c r="B240" s="99" t="s">
        <v>273</v>
      </c>
      <c r="C240" s="178" t="str">
        <f>IF(B237&gt;0.001,"BARRA A TRACCIÓN (+)",IF(B237&lt;-0.001,"BARRA A COMPRESIÓN (-)","BARRA DE FUERZA NULA"))</f>
        <v>BARRA A TRACCIÓN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300</v>
      </c>
      <c r="F245" s="9">
        <f>L6</f>
        <v>12</v>
      </c>
      <c r="G245" s="97">
        <f>B205</f>
        <v>-8999.9999999999982</v>
      </c>
      <c r="H245" s="84" t="str">
        <f>C208</f>
        <v>BARRA A COMPRESIÓN (-)</v>
      </c>
    </row>
    <row r="246" spans="2:8" ht="19.95" customHeight="1" x14ac:dyDescent="0.3">
      <c r="B246" s="25">
        <v>2</v>
      </c>
      <c r="C246" s="86">
        <f>C15</f>
        <v>2</v>
      </c>
      <c r="D246" s="86">
        <f>E15</f>
        <v>3</v>
      </c>
      <c r="E246" s="9">
        <f>I7</f>
        <v>400</v>
      </c>
      <c r="F246" s="9">
        <f>L7</f>
        <v>12</v>
      </c>
      <c r="G246" s="97">
        <f>B213</f>
        <v>0</v>
      </c>
      <c r="H246" s="84" t="str">
        <f>C216</f>
        <v>BARRA DE FUERZA NULA</v>
      </c>
    </row>
    <row r="247" spans="2:8" ht="19.95" customHeight="1" x14ac:dyDescent="0.3">
      <c r="B247" s="26">
        <v>3</v>
      </c>
      <c r="C247" s="86">
        <f>C16</f>
        <v>3</v>
      </c>
      <c r="D247" s="86">
        <f>E16</f>
        <v>4</v>
      </c>
      <c r="E247" s="9">
        <f>I8</f>
        <v>300</v>
      </c>
      <c r="F247" s="9">
        <f>L8</f>
        <v>12</v>
      </c>
      <c r="G247" s="97">
        <f>B221</f>
        <v>-3999.999999999995</v>
      </c>
      <c r="H247" s="84" t="str">
        <f>C224</f>
        <v>BARRA A COMPRESIÓN (-)</v>
      </c>
    </row>
    <row r="248" spans="2:8" ht="19.95" customHeight="1" x14ac:dyDescent="0.3">
      <c r="B248" s="43">
        <v>4</v>
      </c>
      <c r="C248" s="86">
        <f>C17</f>
        <v>4</v>
      </c>
      <c r="D248" s="86">
        <f>E17</f>
        <v>1</v>
      </c>
      <c r="E248" s="9">
        <f>I9</f>
        <v>400</v>
      </c>
      <c r="F248" s="9">
        <f>L9</f>
        <v>12</v>
      </c>
      <c r="G248" s="97">
        <f>B229</f>
        <v>-10500.000000000002</v>
      </c>
      <c r="H248" s="84" t="str">
        <f>C232</f>
        <v>BARRA A COMPRESIÓN (-)</v>
      </c>
    </row>
    <row r="249" spans="2:8" ht="19.95" customHeight="1" x14ac:dyDescent="0.3">
      <c r="B249" s="44">
        <v>5</v>
      </c>
      <c r="C249" s="86">
        <f>C18</f>
        <v>2</v>
      </c>
      <c r="D249" s="86">
        <f>E18</f>
        <v>4</v>
      </c>
      <c r="E249" s="9">
        <f>I10</f>
        <v>500</v>
      </c>
      <c r="F249" s="9">
        <f>L10</f>
        <v>12</v>
      </c>
      <c r="G249" s="97">
        <f>B237</f>
        <v>15000</v>
      </c>
      <c r="H249" s="84" t="str">
        <f>C240</f>
        <v>BARRA A TRACCIÓN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453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350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350</v>
      </c>
      <c r="AC8" t="s">
        <v>316</v>
      </c>
    </row>
    <row r="9" spans="2:29" x14ac:dyDescent="0.3">
      <c r="AA9" s="20">
        <f>IF(G29="","",G29)</f>
        <v>500</v>
      </c>
      <c r="AB9" s="20">
        <f>IF(H29="","",H29)</f>
        <v>350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500</v>
      </c>
      <c r="AB11" s="20">
        <f>IF(F30="","",F30)</f>
        <v>350</v>
      </c>
      <c r="AC11" t="s">
        <v>324</v>
      </c>
    </row>
    <row r="12" spans="2:29" x14ac:dyDescent="0.3">
      <c r="AA12" s="20">
        <f>IF(G30="","",G30)</f>
        <v>500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448</v>
      </c>
      <c r="K14" s="172"/>
      <c r="L14" s="172"/>
      <c r="M14" s="172"/>
      <c r="N14" s="172"/>
      <c r="O14" s="173"/>
      <c r="AA14" s="20">
        <f>IF(E31="","",E31)</f>
        <v>500</v>
      </c>
      <c r="AB14" s="20">
        <f>IF(F31="","",F31)</f>
        <v>0</v>
      </c>
      <c r="AC14" t="s">
        <v>328</v>
      </c>
    </row>
    <row r="15" spans="2:29" ht="19.05" customHeight="1" x14ac:dyDescent="0.3">
      <c r="B15" s="89">
        <v>2</v>
      </c>
      <c r="C15" s="21">
        <v>0</v>
      </c>
      <c r="D15" s="21">
        <v>350</v>
      </c>
      <c r="E15" s="21" t="s">
        <v>417</v>
      </c>
      <c r="F15" s="88">
        <f t="shared" si="0"/>
        <v>1</v>
      </c>
      <c r="G15" s="88">
        <f t="shared" si="1"/>
        <v>0</v>
      </c>
      <c r="H15" s="22">
        <v>0</v>
      </c>
      <c r="I15" s="22">
        <v>0</v>
      </c>
      <c r="J15" s="205" t="s">
        <v>449</v>
      </c>
      <c r="K15" s="172"/>
      <c r="L15" s="172"/>
      <c r="M15" s="172"/>
      <c r="N15" s="172"/>
      <c r="O15" s="173"/>
      <c r="AA15" s="20">
        <f>IF(G31="","",G31)</f>
        <v>0</v>
      </c>
      <c r="AB15" s="20">
        <f>IF(H31="","",H31)</f>
        <v>0</v>
      </c>
      <c r="AC15" t="s">
        <v>331</v>
      </c>
    </row>
    <row r="16" spans="2:29" ht="19.05" customHeight="1" x14ac:dyDescent="0.3">
      <c r="B16" s="89">
        <v>3</v>
      </c>
      <c r="C16" s="21">
        <v>500</v>
      </c>
      <c r="D16" s="21">
        <v>350</v>
      </c>
      <c r="E16" s="21" t="s">
        <v>326</v>
      </c>
      <c r="F16" s="88">
        <f t="shared" si="0"/>
        <v>0</v>
      </c>
      <c r="G16" s="88">
        <f t="shared" si="1"/>
        <v>0</v>
      </c>
      <c r="H16" s="22">
        <v>0</v>
      </c>
      <c r="I16" s="22">
        <v>-6000</v>
      </c>
      <c r="J16" s="205" t="s">
        <v>450</v>
      </c>
      <c r="K16" s="172"/>
      <c r="L16" s="172"/>
      <c r="M16" s="172"/>
      <c r="N16" s="172"/>
      <c r="O16" s="173"/>
    </row>
    <row r="17" spans="2:29" ht="19.05" customHeight="1" x14ac:dyDescent="0.3">
      <c r="B17" s="89">
        <v>4</v>
      </c>
      <c r="C17" s="21">
        <v>500</v>
      </c>
      <c r="D17" s="21">
        <v>0</v>
      </c>
      <c r="E17" s="21" t="s">
        <v>326</v>
      </c>
      <c r="F17" s="88">
        <f t="shared" si="0"/>
        <v>0</v>
      </c>
      <c r="G17" s="88">
        <f t="shared" si="1"/>
        <v>0</v>
      </c>
      <c r="H17" s="22">
        <v>2500</v>
      </c>
      <c r="I17" s="22">
        <v>-3500</v>
      </c>
      <c r="J17" s="205" t="s">
        <v>451</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500</v>
      </c>
      <c r="AB18" s="20">
        <f>IF(H32="","",H32)</f>
        <v>350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350</v>
      </c>
      <c r="G29" s="5">
        <f t="shared" si="4"/>
        <v>500</v>
      </c>
      <c r="H29" s="5">
        <f t="shared" si="5"/>
        <v>350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350</v>
      </c>
      <c r="G30" s="5">
        <f t="shared" si="4"/>
        <v>500</v>
      </c>
      <c r="H30" s="5">
        <f t="shared" si="5"/>
        <v>0</v>
      </c>
      <c r="I30" s="9">
        <f t="shared" si="6"/>
        <v>0</v>
      </c>
      <c r="J30" s="9">
        <f t="shared" si="7"/>
        <v>-350</v>
      </c>
      <c r="K30" s="9">
        <f t="shared" si="8"/>
        <v>350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500</v>
      </c>
      <c r="F31" s="5">
        <f t="shared" si="3"/>
        <v>0</v>
      </c>
      <c r="G31" s="5">
        <f t="shared" si="4"/>
        <v>0</v>
      </c>
      <c r="H31" s="5">
        <f t="shared" si="5"/>
        <v>0</v>
      </c>
      <c r="I31" s="9">
        <f t="shared" si="6"/>
        <v>-500</v>
      </c>
      <c r="J31" s="9">
        <f t="shared" si="7"/>
        <v>0</v>
      </c>
      <c r="K31" s="9">
        <f t="shared" si="8"/>
        <v>500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500</v>
      </c>
      <c r="H32" s="5">
        <f t="shared" si="5"/>
        <v>350</v>
      </c>
      <c r="I32" s="9">
        <f t="shared" si="6"/>
        <v>500</v>
      </c>
      <c r="J32" s="9">
        <f t="shared" si="7"/>
        <v>350</v>
      </c>
      <c r="K32" s="9">
        <f t="shared" si="8"/>
        <v>610.32778078668514</v>
      </c>
      <c r="L32" s="92">
        <f t="shared" si="9"/>
        <v>0.81923192051904048</v>
      </c>
      <c r="M32" s="92">
        <f t="shared" si="10"/>
        <v>0.57346234436332832</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700-000000000000}">
      <formula1>"Fijo (articulado),Rodillo Y (despl. X libre),Rodillo X (despl. Y libre),Libre (0 reac.)"</formula1>
    </dataValidation>
  </dataValidations>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454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GRAFICA_11!E28</f>
        <v>0</v>
      </c>
      <c r="D6" s="22">
        <f>GRAFICA_11!F28</f>
        <v>0</v>
      </c>
      <c r="E6" s="22">
        <f>GRAFICA_11!G28</f>
        <v>0</v>
      </c>
      <c r="F6" s="22">
        <f>GRAFICA_11!H28</f>
        <v>350</v>
      </c>
      <c r="G6" s="9">
        <f t="shared" ref="G6:H10" si="0">E6-C6</f>
        <v>0</v>
      </c>
      <c r="H6" s="9">
        <f t="shared" si="0"/>
        <v>350</v>
      </c>
      <c r="I6" s="9">
        <f>SQRT(G6*G6+H6*H6)</f>
        <v>350</v>
      </c>
      <c r="J6" s="92">
        <f>G6/I6</f>
        <v>0</v>
      </c>
      <c r="K6" s="92">
        <f>H6/I6</f>
        <v>1</v>
      </c>
      <c r="L6" s="22">
        <f>GRAFICA_11!N28</f>
        <v>12</v>
      </c>
      <c r="M6" s="22">
        <f>GRAFICA_11!O28</f>
        <v>2100000</v>
      </c>
      <c r="N6" s="6">
        <f>L6*M6/I6</f>
        <v>72000</v>
      </c>
    </row>
    <row r="7" spans="2:14" ht="19.05" customHeight="1" x14ac:dyDescent="0.3">
      <c r="B7" s="25">
        <v>2</v>
      </c>
      <c r="C7" s="22">
        <f>GRAFICA_11!E29</f>
        <v>0</v>
      </c>
      <c r="D7" s="22">
        <f>GRAFICA_11!F29</f>
        <v>350</v>
      </c>
      <c r="E7" s="22">
        <f>GRAFICA_11!G29</f>
        <v>500</v>
      </c>
      <c r="F7" s="22">
        <f>GRAFICA_11!H29</f>
        <v>350</v>
      </c>
      <c r="G7" s="9">
        <f t="shared" si="0"/>
        <v>500</v>
      </c>
      <c r="H7" s="9">
        <f t="shared" si="0"/>
        <v>0</v>
      </c>
      <c r="I7" s="9">
        <f>SQRT(G7*G7+H7*H7)</f>
        <v>500</v>
      </c>
      <c r="J7" s="92">
        <f>G7/I7</f>
        <v>1</v>
      </c>
      <c r="K7" s="92">
        <f>H7/I7</f>
        <v>0</v>
      </c>
      <c r="L7" s="22">
        <f>GRAFICA_11!N29</f>
        <v>12</v>
      </c>
      <c r="M7" s="22">
        <f>GRAFICA_11!O29</f>
        <v>2100000</v>
      </c>
      <c r="N7" s="6">
        <f>L7*M7/I7</f>
        <v>50400</v>
      </c>
    </row>
    <row r="8" spans="2:14" ht="19.05" customHeight="1" x14ac:dyDescent="0.3">
      <c r="B8" s="26">
        <v>3</v>
      </c>
      <c r="C8" s="22">
        <f>GRAFICA_11!E30</f>
        <v>500</v>
      </c>
      <c r="D8" s="22">
        <f>GRAFICA_11!F30</f>
        <v>350</v>
      </c>
      <c r="E8" s="22">
        <f>GRAFICA_11!G30</f>
        <v>500</v>
      </c>
      <c r="F8" s="22">
        <f>GRAFICA_11!H30</f>
        <v>0</v>
      </c>
      <c r="G8" s="9">
        <f t="shared" si="0"/>
        <v>0</v>
      </c>
      <c r="H8" s="9">
        <f t="shared" si="0"/>
        <v>-350</v>
      </c>
      <c r="I8" s="9">
        <f>SQRT(G8*G8+H8*H8)</f>
        <v>350</v>
      </c>
      <c r="J8" s="92">
        <f>G8/I8</f>
        <v>0</v>
      </c>
      <c r="K8" s="92">
        <f>H8/I8</f>
        <v>-1</v>
      </c>
      <c r="L8" s="22">
        <f>GRAFICA_11!N30</f>
        <v>12</v>
      </c>
      <c r="M8" s="22">
        <f>GRAFICA_11!O30</f>
        <v>2100000</v>
      </c>
      <c r="N8" s="6">
        <f>L8*M8/I8</f>
        <v>72000</v>
      </c>
    </row>
    <row r="9" spans="2:14" ht="19.05" customHeight="1" x14ac:dyDescent="0.3">
      <c r="B9" s="43">
        <v>4</v>
      </c>
      <c r="C9" s="22">
        <f>GRAFICA_11!E31</f>
        <v>500</v>
      </c>
      <c r="D9" s="22">
        <f>GRAFICA_11!F31</f>
        <v>0</v>
      </c>
      <c r="E9" s="22">
        <f>GRAFICA_11!G31</f>
        <v>0</v>
      </c>
      <c r="F9" s="22">
        <f>GRAFICA_11!H31</f>
        <v>0</v>
      </c>
      <c r="G9" s="9">
        <f t="shared" si="0"/>
        <v>-500</v>
      </c>
      <c r="H9" s="9">
        <f t="shared" si="0"/>
        <v>0</v>
      </c>
      <c r="I9" s="9">
        <f>SQRT(G9*G9+H9*H9)</f>
        <v>500</v>
      </c>
      <c r="J9" s="92">
        <f>G9/I9</f>
        <v>-1</v>
      </c>
      <c r="K9" s="92">
        <f>H9/I9</f>
        <v>0</v>
      </c>
      <c r="L9" s="22">
        <f>GRAFICA_11!N31</f>
        <v>12</v>
      </c>
      <c r="M9" s="22">
        <f>GRAFICA_11!O31</f>
        <v>2100000</v>
      </c>
      <c r="N9" s="6">
        <f>L9*M9/I9</f>
        <v>50400</v>
      </c>
    </row>
    <row r="10" spans="2:14" ht="19.05" customHeight="1" x14ac:dyDescent="0.3">
      <c r="B10" s="44">
        <v>5</v>
      </c>
      <c r="C10" s="22">
        <f>GRAFICA_11!E32</f>
        <v>0</v>
      </c>
      <c r="D10" s="22">
        <f>GRAFICA_11!F32</f>
        <v>0</v>
      </c>
      <c r="E10" s="22">
        <f>GRAFICA_11!G32</f>
        <v>500</v>
      </c>
      <c r="F10" s="22">
        <f>GRAFICA_11!H32</f>
        <v>350</v>
      </c>
      <c r="G10" s="9">
        <f t="shared" si="0"/>
        <v>500</v>
      </c>
      <c r="H10" s="9">
        <f t="shared" si="0"/>
        <v>350</v>
      </c>
      <c r="I10" s="9">
        <f>SQRT(G10*G10+H10*H10)</f>
        <v>610.32778078668514</v>
      </c>
      <c r="J10" s="92">
        <f>G10/I10</f>
        <v>0.81923192051904048</v>
      </c>
      <c r="K10" s="92">
        <f>H10/I10</f>
        <v>0.57346234436332832</v>
      </c>
      <c r="L10" s="22">
        <f>GRAFICA_11!N32</f>
        <v>12</v>
      </c>
      <c r="M10" s="22">
        <f>GRAFICA_11!O32</f>
        <v>2100000</v>
      </c>
      <c r="N10" s="6">
        <f>L10*M10/I10</f>
        <v>41289.288794159642</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GRAFICA_11!C28</f>
        <v>1</v>
      </c>
      <c r="D14" s="23">
        <f>GRAFICA_11!C28</f>
        <v>1</v>
      </c>
      <c r="E14" s="23">
        <f>GRAFICA_11!D28</f>
        <v>2</v>
      </c>
      <c r="F14" s="23">
        <f>GRAFICA_11!D28</f>
        <v>2</v>
      </c>
    </row>
    <row r="15" spans="2:14" ht="19.05" customHeight="1" x14ac:dyDescent="0.3">
      <c r="B15" s="25">
        <v>2</v>
      </c>
      <c r="C15" s="23">
        <f>GRAFICA_11!C29</f>
        <v>2</v>
      </c>
      <c r="D15" s="23">
        <f>GRAFICA_11!C29</f>
        <v>2</v>
      </c>
      <c r="E15" s="23">
        <f>GRAFICA_11!D29</f>
        <v>3</v>
      </c>
      <c r="F15" s="23">
        <f>GRAFICA_11!D29</f>
        <v>3</v>
      </c>
    </row>
    <row r="16" spans="2:14" ht="19.05" customHeight="1" x14ac:dyDescent="0.3">
      <c r="B16" s="26">
        <v>3</v>
      </c>
      <c r="C16" s="23">
        <f>GRAFICA_11!C30</f>
        <v>3</v>
      </c>
      <c r="D16" s="23">
        <f>GRAFICA_11!C30</f>
        <v>3</v>
      </c>
      <c r="E16" s="23">
        <f>GRAFICA_11!D30</f>
        <v>4</v>
      </c>
      <c r="F16" s="23">
        <f>GRAFICA_11!D30</f>
        <v>4</v>
      </c>
    </row>
    <row r="17" spans="1:10" ht="19.05" customHeight="1" x14ac:dyDescent="0.3">
      <c r="B17" s="43">
        <v>4</v>
      </c>
      <c r="C17" s="23">
        <f>GRAFICA_11!C31</f>
        <v>4</v>
      </c>
      <c r="D17" s="23">
        <f>GRAFICA_11!C31</f>
        <v>4</v>
      </c>
      <c r="E17" s="23">
        <f>GRAFICA_11!D31</f>
        <v>1</v>
      </c>
      <c r="F17" s="23">
        <f>GRAFICA_11!D31</f>
        <v>1</v>
      </c>
    </row>
    <row r="18" spans="1:10" ht="19.05" customHeight="1" x14ac:dyDescent="0.3">
      <c r="B18" s="44">
        <v>5</v>
      </c>
      <c r="C18" s="23">
        <f>GRAFICA_11!C32</f>
        <v>1</v>
      </c>
      <c r="D18" s="23">
        <f>GRAFICA_11!C32</f>
        <v>1</v>
      </c>
      <c r="E18" s="23">
        <f>GRAFICA_11!D32</f>
        <v>3</v>
      </c>
      <c r="F18" s="23">
        <f>GRAFICA_11!D32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0</v>
      </c>
      <c r="C22" s="7">
        <f>J6*K6*N6</f>
        <v>0</v>
      </c>
      <c r="D22" s="7">
        <f>-B22</f>
        <v>0</v>
      </c>
      <c r="E22" s="7">
        <f>-C22</f>
        <v>0</v>
      </c>
      <c r="F22" s="27" t="str">
        <f>B21</f>
        <v>U1X</v>
      </c>
    </row>
    <row r="23" spans="1:10" ht="16.8" customHeight="1" x14ac:dyDescent="0.3">
      <c r="A23" s="28" t="s">
        <v>177</v>
      </c>
      <c r="B23" s="7">
        <f>C22</f>
        <v>0</v>
      </c>
      <c r="C23" s="7">
        <f>K6*K6*N6</f>
        <v>72000</v>
      </c>
      <c r="D23" s="7">
        <f>-B23</f>
        <v>0</v>
      </c>
      <c r="E23" s="7">
        <f>-C23</f>
        <v>-72000</v>
      </c>
      <c r="F23" s="27" t="str">
        <f>C21</f>
        <v>U1Y</v>
      </c>
    </row>
    <row r="24" spans="1:10" x14ac:dyDescent="0.3">
      <c r="B24" s="7">
        <f>D22</f>
        <v>0</v>
      </c>
      <c r="C24" s="7">
        <f>E22</f>
        <v>0</v>
      </c>
      <c r="D24" s="7">
        <f>B22</f>
        <v>0</v>
      </c>
      <c r="E24" s="7">
        <f>C22</f>
        <v>0</v>
      </c>
      <c r="F24" s="27" t="str">
        <f>D21</f>
        <v>U2X</v>
      </c>
    </row>
    <row r="25" spans="1:10" x14ac:dyDescent="0.3">
      <c r="B25" s="7">
        <f>D23</f>
        <v>0</v>
      </c>
      <c r="C25" s="7">
        <f>E23</f>
        <v>-72000</v>
      </c>
      <c r="D25" s="7">
        <f>B23</f>
        <v>0</v>
      </c>
      <c r="E25" s="7">
        <f>C23</f>
        <v>72000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0</v>
      </c>
      <c r="C28" s="8">
        <f t="shared" si="1"/>
        <v>0</v>
      </c>
      <c r="D28" s="8">
        <f t="shared" si="1"/>
        <v>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72000</v>
      </c>
      <c r="D29" s="8">
        <f t="shared" si="1"/>
        <v>0</v>
      </c>
      <c r="E29" s="8">
        <f t="shared" si="1"/>
        <v>-72000</v>
      </c>
      <c r="F29" s="9">
        <f t="shared" si="1"/>
        <v>0</v>
      </c>
      <c r="G29" s="9">
        <f t="shared" si="1"/>
        <v>0</v>
      </c>
      <c r="H29" s="9">
        <f t="shared" si="1"/>
        <v>0</v>
      </c>
      <c r="I29" s="9">
        <f t="shared" si="1"/>
        <v>0</v>
      </c>
      <c r="J29" s="27" t="s">
        <v>179</v>
      </c>
    </row>
    <row r="30" spans="1:10" ht="19.05" customHeight="1" x14ac:dyDescent="0.3">
      <c r="B30" s="8">
        <f t="shared" si="1"/>
        <v>0</v>
      </c>
      <c r="C30" s="8">
        <f t="shared" si="1"/>
        <v>0</v>
      </c>
      <c r="D30" s="8">
        <f t="shared" si="1"/>
        <v>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-72000</v>
      </c>
      <c r="D31" s="8">
        <f t="shared" si="1"/>
        <v>0</v>
      </c>
      <c r="E31" s="8">
        <f t="shared" si="1"/>
        <v>72000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50400</v>
      </c>
      <c r="C39" s="30">
        <f>J7*K7*N7</f>
        <v>0</v>
      </c>
      <c r="D39" s="30">
        <f>-B39</f>
        <v>-50400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-50400</v>
      </c>
      <c r="C41" s="30">
        <f>E39</f>
        <v>0</v>
      </c>
      <c r="D41" s="30">
        <f>B39</f>
        <v>50400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50400</v>
      </c>
      <c r="E47" s="31">
        <f t="shared" si="2"/>
        <v>0</v>
      </c>
      <c r="F47" s="31">
        <f t="shared" si="2"/>
        <v>-50400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-50400</v>
      </c>
      <c r="E49" s="31">
        <f t="shared" si="2"/>
        <v>0</v>
      </c>
      <c r="F49" s="31">
        <f t="shared" si="2"/>
        <v>50400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0</v>
      </c>
      <c r="C56" s="33">
        <f>J8*K8*N8</f>
        <v>0</v>
      </c>
      <c r="D56" s="33">
        <f>-B56</f>
        <v>0</v>
      </c>
      <c r="E56" s="33">
        <f>-C56</f>
        <v>0</v>
      </c>
      <c r="F56" s="32" t="str">
        <f>B55</f>
        <v>U3X</v>
      </c>
    </row>
    <row r="57" spans="1:10" ht="16.8" customHeight="1" x14ac:dyDescent="0.3">
      <c r="A57" s="28" t="s">
        <v>193</v>
      </c>
      <c r="B57" s="33">
        <f>C56</f>
        <v>0</v>
      </c>
      <c r="C57" s="33">
        <f>K8*K8*N8</f>
        <v>72000</v>
      </c>
      <c r="D57" s="33">
        <f>-B57</f>
        <v>0</v>
      </c>
      <c r="E57" s="33">
        <f>-C57</f>
        <v>-72000</v>
      </c>
      <c r="F57" s="32" t="str">
        <f>C55</f>
        <v>U3Y</v>
      </c>
    </row>
    <row r="58" spans="1:10" x14ac:dyDescent="0.3">
      <c r="B58" s="33">
        <f>D56</f>
        <v>0</v>
      </c>
      <c r="C58" s="33">
        <f>E56</f>
        <v>0</v>
      </c>
      <c r="D58" s="33">
        <f>B56</f>
        <v>0</v>
      </c>
      <c r="E58" s="33">
        <f>C56</f>
        <v>0</v>
      </c>
      <c r="F58" s="32" t="str">
        <f>D55</f>
        <v>U4X</v>
      </c>
    </row>
    <row r="59" spans="1:10" x14ac:dyDescent="0.3">
      <c r="B59" s="33">
        <f>D57</f>
        <v>0</v>
      </c>
      <c r="C59" s="33">
        <f>E57</f>
        <v>-72000</v>
      </c>
      <c r="D59" s="33">
        <f>B57</f>
        <v>0</v>
      </c>
      <c r="E59" s="33">
        <f>C57</f>
        <v>72000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0</v>
      </c>
      <c r="G66" s="34">
        <f t="shared" si="3"/>
        <v>0</v>
      </c>
      <c r="H66" s="34">
        <f t="shared" si="3"/>
        <v>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72000</v>
      </c>
      <c r="H67" s="34">
        <f t="shared" si="3"/>
        <v>0</v>
      </c>
      <c r="I67" s="34">
        <f t="shared" si="3"/>
        <v>-72000</v>
      </c>
      <c r="J67" s="32" t="s">
        <v>183</v>
      </c>
    </row>
    <row r="68" spans="1:10" ht="19.05" customHeight="1" x14ac:dyDescent="0.3">
      <c r="B68" s="9">
        <f t="shared" si="3"/>
        <v>0</v>
      </c>
      <c r="C68" s="9">
        <f t="shared" si="3"/>
        <v>0</v>
      </c>
      <c r="D68" s="9">
        <f t="shared" si="3"/>
        <v>0</v>
      </c>
      <c r="E68" s="9">
        <f t="shared" si="3"/>
        <v>0</v>
      </c>
      <c r="F68" s="34">
        <f t="shared" si="3"/>
        <v>0</v>
      </c>
      <c r="G68" s="34">
        <f t="shared" si="3"/>
        <v>0</v>
      </c>
      <c r="H68" s="34">
        <f t="shared" si="3"/>
        <v>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-72000</v>
      </c>
      <c r="H69" s="34">
        <f t="shared" si="3"/>
        <v>0</v>
      </c>
      <c r="I69" s="34">
        <f t="shared" si="3"/>
        <v>72000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50400</v>
      </c>
      <c r="C73" s="46">
        <f>J9*K9*N9</f>
        <v>0</v>
      </c>
      <c r="D73" s="46">
        <f>-B73</f>
        <v>-50400</v>
      </c>
      <c r="E73" s="46">
        <f>-C73</f>
        <v>0</v>
      </c>
      <c r="F73" s="45" t="str">
        <f>B72</f>
        <v>U4X</v>
      </c>
    </row>
    <row r="74" spans="1:10" ht="16.8" customHeight="1" x14ac:dyDescent="0.3">
      <c r="A74" s="28" t="s">
        <v>195</v>
      </c>
      <c r="B74" s="46">
        <f>C73</f>
        <v>0</v>
      </c>
      <c r="C74" s="46">
        <f>K9*K9*N9</f>
        <v>0</v>
      </c>
      <c r="D74" s="46">
        <f>-B74</f>
        <v>0</v>
      </c>
      <c r="E74" s="46">
        <f>-C74</f>
        <v>0</v>
      </c>
      <c r="F74" s="45" t="str">
        <f>C72</f>
        <v>U4Y</v>
      </c>
    </row>
    <row r="75" spans="1:10" x14ac:dyDescent="0.3">
      <c r="B75" s="46">
        <f>D73</f>
        <v>-50400</v>
      </c>
      <c r="C75" s="46">
        <f>E73</f>
        <v>0</v>
      </c>
      <c r="D75" s="46">
        <f>B73</f>
        <v>50400</v>
      </c>
      <c r="E75" s="46">
        <f>C73</f>
        <v>0</v>
      </c>
      <c r="F75" s="45" t="str">
        <f>D72</f>
        <v>U1X</v>
      </c>
    </row>
    <row r="76" spans="1:10" x14ac:dyDescent="0.3">
      <c r="B76" s="46">
        <f>D74</f>
        <v>0</v>
      </c>
      <c r="C76" s="46">
        <f>E74</f>
        <v>0</v>
      </c>
      <c r="D76" s="46">
        <f>B74</f>
        <v>0</v>
      </c>
      <c r="E76" s="46">
        <f>C74</f>
        <v>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50400</v>
      </c>
      <c r="C79" s="47">
        <f t="shared" si="4"/>
        <v>0</v>
      </c>
      <c r="D79" s="9">
        <f t="shared" si="4"/>
        <v>0</v>
      </c>
      <c r="E79" s="9">
        <f t="shared" si="4"/>
        <v>0</v>
      </c>
      <c r="F79" s="9">
        <f t="shared" si="4"/>
        <v>0</v>
      </c>
      <c r="G79" s="9">
        <f t="shared" si="4"/>
        <v>0</v>
      </c>
      <c r="H79" s="47">
        <f t="shared" si="4"/>
        <v>-50400</v>
      </c>
      <c r="I79" s="47">
        <f t="shared" si="4"/>
        <v>0</v>
      </c>
      <c r="J79" s="45" t="s">
        <v>178</v>
      </c>
    </row>
    <row r="80" spans="1:10" ht="19.05" customHeight="1" x14ac:dyDescent="0.3">
      <c r="B80" s="47">
        <f t="shared" si="4"/>
        <v>0</v>
      </c>
      <c r="C80" s="47">
        <f t="shared" si="4"/>
        <v>0</v>
      </c>
      <c r="D80" s="9">
        <f t="shared" si="4"/>
        <v>0</v>
      </c>
      <c r="E80" s="9">
        <f t="shared" si="4"/>
        <v>0</v>
      </c>
      <c r="F80" s="9">
        <f t="shared" si="4"/>
        <v>0</v>
      </c>
      <c r="G80" s="9">
        <f t="shared" si="4"/>
        <v>0</v>
      </c>
      <c r="H80" s="47">
        <f t="shared" si="4"/>
        <v>0</v>
      </c>
      <c r="I80" s="47">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-50400</v>
      </c>
      <c r="C85" s="47">
        <f t="shared" si="4"/>
        <v>0</v>
      </c>
      <c r="D85" s="9">
        <f t="shared" si="4"/>
        <v>0</v>
      </c>
      <c r="E85" s="9">
        <f t="shared" si="4"/>
        <v>0</v>
      </c>
      <c r="F85" s="9">
        <f t="shared" si="4"/>
        <v>0</v>
      </c>
      <c r="G85" s="9">
        <f t="shared" si="4"/>
        <v>0</v>
      </c>
      <c r="H85" s="47">
        <f t="shared" si="4"/>
        <v>50400</v>
      </c>
      <c r="I85" s="47">
        <f t="shared" si="4"/>
        <v>0</v>
      </c>
      <c r="J85" s="45" t="s">
        <v>184</v>
      </c>
    </row>
    <row r="86" spans="1:10" ht="19.05" customHeight="1" x14ac:dyDescent="0.3">
      <c r="B86" s="47">
        <f t="shared" si="4"/>
        <v>0</v>
      </c>
      <c r="C86" s="47">
        <f t="shared" si="4"/>
        <v>0</v>
      </c>
      <c r="D86" s="9">
        <f t="shared" si="4"/>
        <v>0</v>
      </c>
      <c r="E86" s="9">
        <f t="shared" si="4"/>
        <v>0</v>
      </c>
      <c r="F86" s="9">
        <f t="shared" si="4"/>
        <v>0</v>
      </c>
      <c r="G86" s="9">
        <f t="shared" si="4"/>
        <v>0</v>
      </c>
      <c r="H86" s="47">
        <f t="shared" si="4"/>
        <v>0</v>
      </c>
      <c r="I86" s="47">
        <f t="shared" si="4"/>
        <v>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27710.93207661721</v>
      </c>
      <c r="C90" s="49">
        <f>J10*K10*N10</f>
        <v>19397.652453632047</v>
      </c>
      <c r="D90" s="49">
        <f>-B90</f>
        <v>-27710.93207661721</v>
      </c>
      <c r="E90" s="49">
        <f>-C90</f>
        <v>-19397.652453632047</v>
      </c>
      <c r="F90" s="48" t="str">
        <f>B89</f>
        <v>U1X</v>
      </c>
    </row>
    <row r="91" spans="1:10" ht="16.8" customHeight="1" x14ac:dyDescent="0.3">
      <c r="A91" s="28" t="s">
        <v>197</v>
      </c>
      <c r="B91" s="49">
        <f>C90</f>
        <v>19397.652453632047</v>
      </c>
      <c r="C91" s="49">
        <f>K10*K10*N10</f>
        <v>13578.356717542434</v>
      </c>
      <c r="D91" s="49">
        <f>-B91</f>
        <v>-19397.652453632047</v>
      </c>
      <c r="E91" s="49">
        <f>-C91</f>
        <v>-13578.356717542434</v>
      </c>
      <c r="F91" s="48" t="str">
        <f>C89</f>
        <v>U1Y</v>
      </c>
    </row>
    <row r="92" spans="1:10" x14ac:dyDescent="0.3">
      <c r="B92" s="49">
        <f>D90</f>
        <v>-27710.93207661721</v>
      </c>
      <c r="C92" s="49">
        <f>E90</f>
        <v>-19397.652453632047</v>
      </c>
      <c r="D92" s="49">
        <f>B90</f>
        <v>27710.93207661721</v>
      </c>
      <c r="E92" s="49">
        <f>C90</f>
        <v>19397.652453632047</v>
      </c>
      <c r="F92" s="48" t="str">
        <f>D89</f>
        <v>U3X</v>
      </c>
    </row>
    <row r="93" spans="1:10" x14ac:dyDescent="0.3">
      <c r="B93" s="49">
        <f>D91</f>
        <v>-19397.652453632047</v>
      </c>
      <c r="C93" s="49">
        <f>E91</f>
        <v>-13578.356717542434</v>
      </c>
      <c r="D93" s="49">
        <f>B91</f>
        <v>19397.652453632047</v>
      </c>
      <c r="E93" s="49">
        <f>C91</f>
        <v>13578.356717542434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27710.93207661721</v>
      </c>
      <c r="C96" s="50">
        <f t="shared" si="5"/>
        <v>19397.652453632047</v>
      </c>
      <c r="D96" s="9">
        <f t="shared" si="5"/>
        <v>0</v>
      </c>
      <c r="E96" s="9">
        <f t="shared" si="5"/>
        <v>0</v>
      </c>
      <c r="F96" s="50">
        <f t="shared" si="5"/>
        <v>-27710.93207661721</v>
      </c>
      <c r="G96" s="50">
        <f t="shared" si="5"/>
        <v>-19397.652453632047</v>
      </c>
      <c r="H96" s="9">
        <f t="shared" si="5"/>
        <v>0</v>
      </c>
      <c r="I96" s="9">
        <f t="shared" si="5"/>
        <v>0</v>
      </c>
      <c r="J96" s="48" t="s">
        <v>178</v>
      </c>
    </row>
    <row r="97" spans="1:10" ht="19.05" customHeight="1" x14ac:dyDescent="0.3">
      <c r="B97" s="50">
        <f t="shared" si="5"/>
        <v>19397.652453632047</v>
      </c>
      <c r="C97" s="50">
        <f t="shared" si="5"/>
        <v>13578.356717542434</v>
      </c>
      <c r="D97" s="9">
        <f t="shared" si="5"/>
        <v>0</v>
      </c>
      <c r="E97" s="9">
        <f t="shared" si="5"/>
        <v>0</v>
      </c>
      <c r="F97" s="50">
        <f t="shared" si="5"/>
        <v>-19397.652453632047</v>
      </c>
      <c r="G97" s="50">
        <f t="shared" si="5"/>
        <v>-13578.356717542434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-27710.93207661721</v>
      </c>
      <c r="C100" s="50">
        <f t="shared" si="5"/>
        <v>-19397.652453632047</v>
      </c>
      <c r="D100" s="9">
        <f t="shared" si="5"/>
        <v>0</v>
      </c>
      <c r="E100" s="9">
        <f t="shared" si="5"/>
        <v>0</v>
      </c>
      <c r="F100" s="50">
        <f t="shared" si="5"/>
        <v>27710.93207661721</v>
      </c>
      <c r="G100" s="50">
        <f t="shared" si="5"/>
        <v>19397.652453632047</v>
      </c>
      <c r="H100" s="9">
        <f t="shared" si="5"/>
        <v>0</v>
      </c>
      <c r="I100" s="9">
        <f t="shared" si="5"/>
        <v>0</v>
      </c>
      <c r="J100" s="48" t="s">
        <v>182</v>
      </c>
    </row>
    <row r="101" spans="1:10" ht="19.05" customHeight="1" x14ac:dyDescent="0.3">
      <c r="B101" s="50">
        <f t="shared" si="5"/>
        <v>-19397.652453632047</v>
      </c>
      <c r="C101" s="50">
        <f t="shared" si="5"/>
        <v>-13578.356717542434</v>
      </c>
      <c r="D101" s="9">
        <f t="shared" si="5"/>
        <v>0</v>
      </c>
      <c r="E101" s="9">
        <f t="shared" si="5"/>
        <v>0</v>
      </c>
      <c r="F101" s="50">
        <f t="shared" si="5"/>
        <v>19397.652453632047</v>
      </c>
      <c r="G101" s="50">
        <f t="shared" si="5"/>
        <v>13578.356717542434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78110.932076617202</v>
      </c>
      <c r="C107" s="36">
        <f t="shared" si="6"/>
        <v>19397.652453632047</v>
      </c>
      <c r="D107" s="9">
        <f t="shared" si="6"/>
        <v>0</v>
      </c>
      <c r="E107" s="9">
        <f t="shared" si="6"/>
        <v>0</v>
      </c>
      <c r="F107" s="9">
        <f t="shared" si="6"/>
        <v>-27710.93207661721</v>
      </c>
      <c r="G107" s="9">
        <f t="shared" si="6"/>
        <v>-19397.652453632047</v>
      </c>
      <c r="H107" s="9">
        <f t="shared" si="6"/>
        <v>-50400</v>
      </c>
      <c r="I107" s="9">
        <f t="shared" si="6"/>
        <v>0</v>
      </c>
      <c r="J107" s="89" t="s">
        <v>178</v>
      </c>
    </row>
    <row r="108" spans="1:10" ht="19.95" customHeight="1" x14ac:dyDescent="0.3">
      <c r="B108" s="36">
        <f t="shared" si="6"/>
        <v>19397.652453632047</v>
      </c>
      <c r="C108" s="35">
        <f t="shared" si="6"/>
        <v>85578.35671754244</v>
      </c>
      <c r="D108" s="9">
        <f t="shared" si="6"/>
        <v>0</v>
      </c>
      <c r="E108" s="9">
        <f t="shared" si="6"/>
        <v>-72000</v>
      </c>
      <c r="F108" s="9">
        <f t="shared" si="6"/>
        <v>-19397.652453632047</v>
      </c>
      <c r="G108" s="9">
        <f t="shared" si="6"/>
        <v>-13578.356717542434</v>
      </c>
      <c r="H108" s="9">
        <f t="shared" si="6"/>
        <v>0</v>
      </c>
      <c r="I108" s="9">
        <f t="shared" si="6"/>
        <v>0</v>
      </c>
      <c r="J108" s="89" t="s">
        <v>179</v>
      </c>
    </row>
    <row r="109" spans="1:10" ht="19.95" customHeight="1" x14ac:dyDescent="0.3">
      <c r="B109" s="9">
        <f t="shared" si="6"/>
        <v>0</v>
      </c>
      <c r="C109" s="9">
        <f t="shared" si="6"/>
        <v>0</v>
      </c>
      <c r="D109" s="35">
        <f t="shared" si="6"/>
        <v>50400</v>
      </c>
      <c r="E109" s="36">
        <f t="shared" si="6"/>
        <v>0</v>
      </c>
      <c r="F109" s="9">
        <f t="shared" si="6"/>
        <v>-50400</v>
      </c>
      <c r="G109" s="9">
        <f t="shared" si="6"/>
        <v>0</v>
      </c>
      <c r="H109" s="9">
        <f t="shared" si="6"/>
        <v>0</v>
      </c>
      <c r="I109" s="9">
        <f t="shared" si="6"/>
        <v>0</v>
      </c>
      <c r="J109" s="89" t="s">
        <v>180</v>
      </c>
    </row>
    <row r="110" spans="1:10" ht="19.95" customHeight="1" x14ac:dyDescent="0.3">
      <c r="A110" s="28" t="s">
        <v>205</v>
      </c>
      <c r="B110" s="9">
        <f t="shared" si="6"/>
        <v>0</v>
      </c>
      <c r="C110" s="9">
        <f t="shared" si="6"/>
        <v>-72000</v>
      </c>
      <c r="D110" s="36">
        <f t="shared" si="6"/>
        <v>0</v>
      </c>
      <c r="E110" s="35">
        <f t="shared" si="6"/>
        <v>72000</v>
      </c>
      <c r="F110" s="9">
        <f t="shared" si="6"/>
        <v>0</v>
      </c>
      <c r="G110" s="9">
        <f t="shared" si="6"/>
        <v>0</v>
      </c>
      <c r="H110" s="9">
        <f t="shared" si="6"/>
        <v>0</v>
      </c>
      <c r="I110" s="9">
        <f t="shared" si="6"/>
        <v>0</v>
      </c>
      <c r="J110" s="89" t="s">
        <v>181</v>
      </c>
    </row>
    <row r="111" spans="1:10" ht="19.95" customHeight="1" x14ac:dyDescent="0.3">
      <c r="B111" s="9">
        <f t="shared" si="6"/>
        <v>-27710.93207661721</v>
      </c>
      <c r="C111" s="9">
        <f t="shared" si="6"/>
        <v>-19397.652453632047</v>
      </c>
      <c r="D111" s="9">
        <f t="shared" si="6"/>
        <v>-50400</v>
      </c>
      <c r="E111" s="9">
        <f t="shared" si="6"/>
        <v>0</v>
      </c>
      <c r="F111" s="35">
        <f t="shared" si="6"/>
        <v>78110.932076617202</v>
      </c>
      <c r="G111" s="36">
        <f t="shared" si="6"/>
        <v>19397.652453632047</v>
      </c>
      <c r="H111" s="9">
        <f t="shared" si="6"/>
        <v>0</v>
      </c>
      <c r="I111" s="9">
        <f t="shared" si="6"/>
        <v>0</v>
      </c>
      <c r="J111" s="89" t="s">
        <v>182</v>
      </c>
    </row>
    <row r="112" spans="1:10" ht="19.95" customHeight="1" x14ac:dyDescent="0.3">
      <c r="B112" s="9">
        <f t="shared" si="6"/>
        <v>-19397.652453632047</v>
      </c>
      <c r="C112" s="9">
        <f t="shared" si="6"/>
        <v>-13578.356717542434</v>
      </c>
      <c r="D112" s="9">
        <f t="shared" si="6"/>
        <v>0</v>
      </c>
      <c r="E112" s="9">
        <f t="shared" si="6"/>
        <v>0</v>
      </c>
      <c r="F112" s="36">
        <f t="shared" si="6"/>
        <v>19397.652453632047</v>
      </c>
      <c r="G112" s="35">
        <f t="shared" si="6"/>
        <v>85578.35671754244</v>
      </c>
      <c r="H112" s="9">
        <f t="shared" si="6"/>
        <v>0</v>
      </c>
      <c r="I112" s="9">
        <f t="shared" si="6"/>
        <v>-72000</v>
      </c>
      <c r="J112" s="89" t="s">
        <v>183</v>
      </c>
    </row>
    <row r="113" spans="1:17" ht="19.95" customHeight="1" x14ac:dyDescent="0.3">
      <c r="B113" s="9">
        <f t="shared" si="6"/>
        <v>-50400</v>
      </c>
      <c r="C113" s="9">
        <f t="shared" si="6"/>
        <v>0</v>
      </c>
      <c r="D113" s="9">
        <f t="shared" si="6"/>
        <v>0</v>
      </c>
      <c r="E113" s="9">
        <f t="shared" si="6"/>
        <v>0</v>
      </c>
      <c r="F113" s="9">
        <f t="shared" si="6"/>
        <v>0</v>
      </c>
      <c r="G113" s="9">
        <f t="shared" si="6"/>
        <v>0</v>
      </c>
      <c r="H113" s="35">
        <f t="shared" si="6"/>
        <v>50400</v>
      </c>
      <c r="I113" s="36">
        <f t="shared" si="6"/>
        <v>0</v>
      </c>
      <c r="J113" s="89" t="s">
        <v>184</v>
      </c>
    </row>
    <row r="114" spans="1:17" ht="19.95" customHeight="1" x14ac:dyDescent="0.3">
      <c r="B114" s="9">
        <f t="shared" si="6"/>
        <v>0</v>
      </c>
      <c r="C114" s="9">
        <f t="shared" si="6"/>
        <v>0</v>
      </c>
      <c r="D114" s="9">
        <f t="shared" si="6"/>
        <v>0</v>
      </c>
      <c r="E114" s="9">
        <f t="shared" si="6"/>
        <v>0</v>
      </c>
      <c r="F114" s="9">
        <f t="shared" si="6"/>
        <v>0</v>
      </c>
      <c r="G114" s="9">
        <f t="shared" si="6"/>
        <v>-72000</v>
      </c>
      <c r="H114" s="36">
        <f t="shared" si="6"/>
        <v>0</v>
      </c>
      <c r="I114" s="35">
        <f t="shared" si="6"/>
        <v>72000</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IF(GRAFICA_11!F14=1, B118, GRAFICA_11!H14)</f>
        <v>C1X</v>
      </c>
      <c r="L118" s="215" t="s">
        <v>376</v>
      </c>
      <c r="M118" s="172"/>
      <c r="N118" s="172"/>
      <c r="O118" s="172"/>
      <c r="P118" s="172"/>
      <c r="Q118" s="173"/>
    </row>
    <row r="119" spans="1:17" ht="16.95" customHeight="1" x14ac:dyDescent="0.3">
      <c r="B119" s="12" t="s">
        <v>210</v>
      </c>
      <c r="C119" s="12" t="s">
        <v>179</v>
      </c>
      <c r="E119" s="37" t="str">
        <f>IF(GRAFICA_11!G14=1, B119, GRAFICA_11!I14)</f>
        <v>C1Y</v>
      </c>
      <c r="L119" s="215" t="s">
        <v>211</v>
      </c>
      <c r="M119" s="172"/>
      <c r="N119" s="172"/>
      <c r="O119" s="172"/>
      <c r="P119" s="172"/>
      <c r="Q119" s="173"/>
    </row>
    <row r="120" spans="1:17" ht="16.95" customHeight="1" x14ac:dyDescent="0.3">
      <c r="B120" s="12" t="s">
        <v>212</v>
      </c>
      <c r="C120" s="12" t="s">
        <v>180</v>
      </c>
      <c r="E120" s="37" t="str">
        <f>IF(GRAFICA_11!F15=1, B120, GRAFICA_11!H15)</f>
        <v>C2X</v>
      </c>
      <c r="L120" s="215" t="s">
        <v>377</v>
      </c>
      <c r="M120" s="172"/>
      <c r="N120" s="172"/>
      <c r="O120" s="172"/>
      <c r="P120" s="172"/>
      <c r="Q120" s="173"/>
    </row>
    <row r="121" spans="1:17" ht="16.95" customHeight="1" x14ac:dyDescent="0.3">
      <c r="A121" s="38" t="s">
        <v>218</v>
      </c>
      <c r="B121" s="12" t="s">
        <v>214</v>
      </c>
      <c r="C121" s="12" t="s">
        <v>181</v>
      </c>
      <c r="D121" s="13" t="s">
        <v>220</v>
      </c>
      <c r="E121" s="37">
        <f>IF(GRAFICA_11!G15=1, B121, GRAFICA_11!I15)</f>
        <v>0</v>
      </c>
      <c r="L121" s="215" t="s">
        <v>215</v>
      </c>
      <c r="M121" s="172"/>
      <c r="N121" s="172"/>
      <c r="O121" s="172"/>
      <c r="P121" s="172"/>
      <c r="Q121" s="173"/>
    </row>
    <row r="122" spans="1:17" ht="16.95" customHeight="1" x14ac:dyDescent="0.3">
      <c r="B122" s="12" t="s">
        <v>216</v>
      </c>
      <c r="C122" s="12" t="s">
        <v>182</v>
      </c>
      <c r="E122" s="37">
        <f>IF(GRAFICA_11!F16=1, B122, GRAFICA_11!H16)</f>
        <v>0</v>
      </c>
      <c r="L122" s="215" t="s">
        <v>378</v>
      </c>
      <c r="M122" s="172"/>
      <c r="N122" s="172"/>
      <c r="O122" s="172"/>
      <c r="P122" s="172"/>
      <c r="Q122" s="173"/>
    </row>
    <row r="123" spans="1:17" ht="16.95" customHeight="1" x14ac:dyDescent="0.3">
      <c r="B123" s="12" t="s">
        <v>219</v>
      </c>
      <c r="C123" s="12" t="s">
        <v>183</v>
      </c>
      <c r="E123" s="37">
        <f>IF(GRAFICA_11!G16=1, B123, GRAFICA_11!I16)</f>
        <v>-6000</v>
      </c>
      <c r="L123" s="215" t="s">
        <v>379</v>
      </c>
      <c r="M123" s="172"/>
      <c r="N123" s="172"/>
      <c r="O123" s="172"/>
      <c r="P123" s="172"/>
      <c r="Q123" s="173"/>
    </row>
    <row r="124" spans="1:17" ht="16.95" customHeight="1" x14ac:dyDescent="0.3">
      <c r="B124" s="12" t="s">
        <v>221</v>
      </c>
      <c r="C124" s="12" t="s">
        <v>184</v>
      </c>
      <c r="E124" s="37">
        <f>IF(GRAFICA_11!F17=1, B124, GRAFICA_11!H17)</f>
        <v>2500</v>
      </c>
      <c r="L124" s="215"/>
      <c r="M124" s="172"/>
      <c r="N124" s="172"/>
      <c r="O124" s="172"/>
      <c r="P124" s="172"/>
      <c r="Q124" s="173"/>
    </row>
    <row r="125" spans="1:17" ht="16.95" customHeight="1" x14ac:dyDescent="0.3">
      <c r="B125" s="12" t="s">
        <v>222</v>
      </c>
      <c r="C125" s="12" t="s">
        <v>185</v>
      </c>
      <c r="E125" s="37">
        <f>IF(GRAFICA_11!G17=1, B125, GRAFICA_11!I17)</f>
        <v>-3500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IF(GRAFICA_11!F14=1,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IF(GRAFICA_11!G14=1,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f>IF(GRAFICA_11!F15=1, 0, B130)</f>
        <v>0</v>
      </c>
      <c r="F130" s="14" t="str">
        <f>IF(E130&lt;&gt;0, COUNTIF(E$128:E130, "&lt;&gt;0"), "")</f>
        <v/>
      </c>
      <c r="G130" s="14">
        <f>IF(E130=0, COUNTIF(E$128:E130, 0), "")</f>
        <v>3</v>
      </c>
      <c r="L130" s="215"/>
      <c r="M130" s="172"/>
      <c r="N130" s="172"/>
      <c r="O130" s="172"/>
      <c r="P130" s="172"/>
      <c r="Q130" s="173"/>
    </row>
    <row r="131" spans="1:17" ht="16.95" customHeight="1" x14ac:dyDescent="0.3">
      <c r="A131" s="38" t="s">
        <v>233</v>
      </c>
      <c r="B131" s="12" t="s">
        <v>231</v>
      </c>
      <c r="C131" s="12" t="s">
        <v>181</v>
      </c>
      <c r="D131" s="13" t="s">
        <v>220</v>
      </c>
      <c r="E131" s="39" t="str">
        <f>IF(GRAFICA_11!G15=1, 0, B131)</f>
        <v>D2Y</v>
      </c>
      <c r="F131" s="14">
        <f>IF(E131&lt;&gt;0, COUNTIF(E$128:E131, "&lt;&gt;0"), "")</f>
        <v>1</v>
      </c>
      <c r="G131" s="14" t="str">
        <f>IF(E131=0, COUNTIF(E$128:E131, 0), "")</f>
        <v/>
      </c>
      <c r="L131" s="215"/>
      <c r="M131" s="172"/>
      <c r="N131" s="172"/>
      <c r="O131" s="172"/>
      <c r="P131" s="172"/>
      <c r="Q131" s="173"/>
    </row>
    <row r="132" spans="1:17" ht="16.95" customHeight="1" x14ac:dyDescent="0.3">
      <c r="B132" s="12" t="s">
        <v>232</v>
      </c>
      <c r="C132" s="12" t="s">
        <v>182</v>
      </c>
      <c r="E132" s="39" t="str">
        <f>IF(GRAFICA_11!F16=1,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IF(GRAFICA_11!G16=1,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IF(GRAFICA_11!F17=1,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IF(GRAFICA_11!G17=1,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78110.932076617202</v>
      </c>
      <c r="D140" s="9">
        <f t="shared" si="8"/>
        <v>19397.652453632047</v>
      </c>
      <c r="E140" s="9">
        <f t="shared" si="8"/>
        <v>0</v>
      </c>
      <c r="F140" s="9">
        <f t="shared" si="8"/>
        <v>0</v>
      </c>
      <c r="G140" s="9">
        <f t="shared" si="8"/>
        <v>-27710.93207661721</v>
      </c>
      <c r="H140" s="9">
        <f t="shared" si="8"/>
        <v>-19397.652453632047</v>
      </c>
      <c r="I140" s="9">
        <f t="shared" si="8"/>
        <v>-50400</v>
      </c>
      <c r="J140" s="9">
        <f t="shared" si="8"/>
        <v>0</v>
      </c>
      <c r="K140" s="13" t="s">
        <v>251</v>
      </c>
      <c r="L140" s="219" t="s">
        <v>380</v>
      </c>
      <c r="M140" s="172"/>
      <c r="N140" s="172"/>
      <c r="O140" s="172"/>
      <c r="P140" s="172"/>
      <c r="Q140" s="173"/>
    </row>
    <row r="141" spans="1:17" ht="16.95" customHeight="1" x14ac:dyDescent="0.3">
      <c r="A141" s="12" t="str">
        <f t="shared" si="7"/>
        <v>C1Y</v>
      </c>
      <c r="C141" s="9">
        <f t="shared" si="8"/>
        <v>19397.652453632047</v>
      </c>
      <c r="D141" s="9">
        <f t="shared" si="8"/>
        <v>85578.35671754244</v>
      </c>
      <c r="E141" s="9">
        <f t="shared" si="8"/>
        <v>0</v>
      </c>
      <c r="F141" s="9">
        <f t="shared" si="8"/>
        <v>-72000</v>
      </c>
      <c r="G141" s="9">
        <f t="shared" si="8"/>
        <v>-19397.652453632047</v>
      </c>
      <c r="H141" s="9">
        <f t="shared" si="8"/>
        <v>-13578.356717542434</v>
      </c>
      <c r="I141" s="9">
        <f t="shared" si="8"/>
        <v>0</v>
      </c>
      <c r="J141" s="9">
        <f t="shared" si="8"/>
        <v>0</v>
      </c>
      <c r="K141" s="13" t="s">
        <v>251</v>
      </c>
      <c r="L141" s="219" t="s">
        <v>253</v>
      </c>
      <c r="M141" s="172"/>
      <c r="N141" s="172"/>
      <c r="O141" s="172"/>
      <c r="P141" s="172"/>
      <c r="Q141" s="173"/>
    </row>
    <row r="142" spans="1:17" ht="16.95" customHeight="1" x14ac:dyDescent="0.3">
      <c r="A142" s="12" t="str">
        <f t="shared" si="7"/>
        <v>C2X</v>
      </c>
      <c r="C142" s="9">
        <f t="shared" si="8"/>
        <v>0</v>
      </c>
      <c r="D142" s="9">
        <f t="shared" si="8"/>
        <v>0</v>
      </c>
      <c r="E142" s="9">
        <f t="shared" si="8"/>
        <v>50400</v>
      </c>
      <c r="F142" s="9">
        <f t="shared" si="8"/>
        <v>0</v>
      </c>
      <c r="G142" s="9">
        <f t="shared" si="8"/>
        <v>-50400</v>
      </c>
      <c r="H142" s="9">
        <f t="shared" si="8"/>
        <v>0</v>
      </c>
      <c r="I142" s="9">
        <f t="shared" si="8"/>
        <v>0</v>
      </c>
      <c r="J142" s="9">
        <f t="shared" si="8"/>
        <v>0</v>
      </c>
      <c r="K142" s="13" t="s">
        <v>251</v>
      </c>
      <c r="L142" s="219" t="s">
        <v>254</v>
      </c>
      <c r="M142" s="172"/>
      <c r="N142" s="172"/>
      <c r="O142" s="172"/>
      <c r="P142" s="172"/>
      <c r="Q142" s="173"/>
    </row>
    <row r="143" spans="1:17" ht="16.95" customHeight="1" x14ac:dyDescent="0.3">
      <c r="A143" s="41">
        <f t="shared" si="7"/>
        <v>0</v>
      </c>
      <c r="C143" s="9">
        <f t="shared" si="8"/>
        <v>0</v>
      </c>
      <c r="D143" s="9">
        <f t="shared" si="8"/>
        <v>-72000</v>
      </c>
      <c r="E143" s="9">
        <f t="shared" si="8"/>
        <v>0</v>
      </c>
      <c r="F143" s="41">
        <f t="shared" si="8"/>
        <v>72000</v>
      </c>
      <c r="G143" s="41">
        <f t="shared" si="8"/>
        <v>0</v>
      </c>
      <c r="H143" s="41">
        <f t="shared" si="8"/>
        <v>0</v>
      </c>
      <c r="I143" s="41">
        <f t="shared" si="8"/>
        <v>0</v>
      </c>
      <c r="J143" s="41">
        <f t="shared" si="8"/>
        <v>0</v>
      </c>
      <c r="K143" s="13" t="s">
        <v>251</v>
      </c>
      <c r="L143" s="215" t="s">
        <v>381</v>
      </c>
      <c r="M143" s="172"/>
      <c r="N143" s="172"/>
      <c r="O143" s="172"/>
      <c r="P143" s="172"/>
      <c r="Q143" s="173"/>
    </row>
    <row r="144" spans="1:17" ht="16.95" customHeight="1" x14ac:dyDescent="0.3">
      <c r="A144" s="41">
        <f t="shared" si="7"/>
        <v>0</v>
      </c>
      <c r="B144" s="13" t="s">
        <v>220</v>
      </c>
      <c r="C144" s="9">
        <f t="shared" si="8"/>
        <v>-27710.93207661721</v>
      </c>
      <c r="D144" s="9">
        <f t="shared" si="8"/>
        <v>-19397.652453632047</v>
      </c>
      <c r="E144" s="9">
        <f t="shared" si="8"/>
        <v>-50400</v>
      </c>
      <c r="F144" s="41">
        <f t="shared" si="8"/>
        <v>0</v>
      </c>
      <c r="G144" s="41">
        <f t="shared" si="8"/>
        <v>78110.932076617202</v>
      </c>
      <c r="H144" s="41">
        <f t="shared" si="8"/>
        <v>19397.652453632047</v>
      </c>
      <c r="I144" s="41">
        <f t="shared" si="8"/>
        <v>0</v>
      </c>
      <c r="J144" s="41">
        <f t="shared" si="8"/>
        <v>0</v>
      </c>
      <c r="K144" s="13" t="s">
        <v>251</v>
      </c>
      <c r="L144" s="215" t="s">
        <v>382</v>
      </c>
      <c r="M144" s="172"/>
      <c r="N144" s="172"/>
      <c r="O144" s="172"/>
      <c r="P144" s="172"/>
      <c r="Q144" s="173"/>
    </row>
    <row r="145" spans="1:17" ht="16.95" customHeight="1" x14ac:dyDescent="0.3">
      <c r="A145" s="41">
        <f t="shared" si="7"/>
        <v>-6000</v>
      </c>
      <c r="C145" s="9">
        <f t="shared" si="8"/>
        <v>-19397.652453632047</v>
      </c>
      <c r="D145" s="9">
        <f t="shared" si="8"/>
        <v>-13578.356717542434</v>
      </c>
      <c r="E145" s="9">
        <f t="shared" si="8"/>
        <v>0</v>
      </c>
      <c r="F145" s="41">
        <f t="shared" si="8"/>
        <v>0</v>
      </c>
      <c r="G145" s="41">
        <f t="shared" si="8"/>
        <v>19397.652453632047</v>
      </c>
      <c r="H145" s="41">
        <f t="shared" si="8"/>
        <v>85578.35671754244</v>
      </c>
      <c r="I145" s="41">
        <f t="shared" si="8"/>
        <v>0</v>
      </c>
      <c r="J145" s="41">
        <f t="shared" si="8"/>
        <v>-72000</v>
      </c>
      <c r="K145" s="13" t="s">
        <v>251</v>
      </c>
      <c r="L145" s="215" t="str">
        <f>E133</f>
        <v>D3Y</v>
      </c>
      <c r="M145" s="172"/>
      <c r="N145" s="172"/>
      <c r="O145" s="172"/>
      <c r="P145" s="172"/>
      <c r="Q145" s="173"/>
    </row>
    <row r="146" spans="1:17" ht="16.95" customHeight="1" x14ac:dyDescent="0.3">
      <c r="A146" s="41">
        <f t="shared" si="7"/>
        <v>2500</v>
      </c>
      <c r="C146" s="9">
        <f t="shared" si="8"/>
        <v>-50400</v>
      </c>
      <c r="D146" s="9">
        <f t="shared" si="8"/>
        <v>0</v>
      </c>
      <c r="E146" s="9">
        <f t="shared" si="8"/>
        <v>0</v>
      </c>
      <c r="F146" s="41">
        <f t="shared" si="8"/>
        <v>0</v>
      </c>
      <c r="G146" s="41">
        <f t="shared" si="8"/>
        <v>0</v>
      </c>
      <c r="H146" s="41">
        <f t="shared" si="8"/>
        <v>0</v>
      </c>
      <c r="I146" s="41">
        <f t="shared" si="8"/>
        <v>50400</v>
      </c>
      <c r="J146" s="41">
        <f t="shared" si="8"/>
        <v>0</v>
      </c>
      <c r="K146" s="13" t="s">
        <v>251</v>
      </c>
      <c r="L146" s="215" t="str">
        <f>E134</f>
        <v>D4X</v>
      </c>
      <c r="M146" s="172"/>
      <c r="N146" s="172"/>
      <c r="O146" s="172"/>
      <c r="P146" s="172"/>
      <c r="Q146" s="173"/>
    </row>
    <row r="147" spans="1:17" ht="16.95" customHeight="1" x14ac:dyDescent="0.3">
      <c r="A147" s="41">
        <f t="shared" si="7"/>
        <v>-3500</v>
      </c>
      <c r="C147" s="9">
        <f t="shared" si="8"/>
        <v>0</v>
      </c>
      <c r="D147" s="9">
        <f t="shared" si="8"/>
        <v>0</v>
      </c>
      <c r="E147" s="9">
        <f t="shared" si="8"/>
        <v>0</v>
      </c>
      <c r="F147" s="41">
        <f t="shared" si="8"/>
        <v>0</v>
      </c>
      <c r="G147" s="41">
        <f t="shared" si="8"/>
        <v>0</v>
      </c>
      <c r="H147" s="41">
        <f t="shared" si="8"/>
        <v>-72000</v>
      </c>
      <c r="I147" s="41">
        <f t="shared" si="8"/>
        <v>0</v>
      </c>
      <c r="J147" s="41">
        <f t="shared" si="8"/>
        <v>72000</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U2Y</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72000</v>
      </c>
      <c r="D152" s="41">
        <f t="shared" si="9"/>
        <v>0</v>
      </c>
      <c r="E152" s="41">
        <f t="shared" si="9"/>
        <v>0</v>
      </c>
      <c r="F152" s="41">
        <f t="shared" si="9"/>
        <v>0</v>
      </c>
      <c r="G152" s="41">
        <f t="shared" si="9"/>
        <v>0</v>
      </c>
      <c r="H152" s="13" t="s">
        <v>251</v>
      </c>
      <c r="I152" s="38" t="str">
        <f>INDEX(B$128:B$135, MATCH(1, F$128:F$135, 0))</f>
        <v>D2Y</v>
      </c>
      <c r="J152" s="14" t="str">
        <f>INDEX(C$128:C$135, MATCH(1, F$128:F$135, 0))</f>
        <v>U2Y</v>
      </c>
      <c r="L152" s="215" t="s">
        <v>384</v>
      </c>
      <c r="M152" s="172"/>
      <c r="N152" s="172"/>
      <c r="O152" s="172"/>
      <c r="P152" s="172"/>
      <c r="Q152" s="173"/>
    </row>
    <row r="153" spans="1:17" ht="16.95" customHeight="1" x14ac:dyDescent="0.3">
      <c r="A153" s="41">
        <f>INDEX(E$118:E$125, MATCH(J153, C$118:C$125, 0))</f>
        <v>0</v>
      </c>
      <c r="C153" s="41">
        <f t="shared" si="9"/>
        <v>0</v>
      </c>
      <c r="D153" s="41">
        <f t="shared" si="9"/>
        <v>78110.932076617202</v>
      </c>
      <c r="E153" s="41">
        <f t="shared" si="9"/>
        <v>19397.652453632047</v>
      </c>
      <c r="F153" s="41">
        <f t="shared" si="9"/>
        <v>0</v>
      </c>
      <c r="G153" s="41">
        <f t="shared" si="9"/>
        <v>0</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-6000</v>
      </c>
      <c r="B154" s="13" t="s">
        <v>220</v>
      </c>
      <c r="C154" s="41">
        <f t="shared" si="9"/>
        <v>0</v>
      </c>
      <c r="D154" s="41">
        <f t="shared" si="9"/>
        <v>19397.652453632047</v>
      </c>
      <c r="E154" s="41">
        <f t="shared" si="9"/>
        <v>85578.35671754244</v>
      </c>
      <c r="F154" s="41">
        <f t="shared" si="9"/>
        <v>0</v>
      </c>
      <c r="G154" s="41">
        <f t="shared" si="9"/>
        <v>-72000</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2500</v>
      </c>
      <c r="C155" s="41">
        <f t="shared" si="9"/>
        <v>0</v>
      </c>
      <c r="D155" s="41">
        <f t="shared" si="9"/>
        <v>0</v>
      </c>
      <c r="E155" s="41">
        <f t="shared" si="9"/>
        <v>0</v>
      </c>
      <c r="F155" s="41">
        <f t="shared" si="9"/>
        <v>50400</v>
      </c>
      <c r="G155" s="41">
        <f t="shared" si="9"/>
        <v>0</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-3500</v>
      </c>
      <c r="C156" s="41">
        <f t="shared" si="9"/>
        <v>0</v>
      </c>
      <c r="D156" s="41">
        <f t="shared" si="9"/>
        <v>0</v>
      </c>
      <c r="E156" s="41">
        <f t="shared" si="9"/>
        <v>-72000</v>
      </c>
      <c r="F156" s="41">
        <f t="shared" si="9"/>
        <v>0</v>
      </c>
      <c r="G156" s="41">
        <f t="shared" si="9"/>
        <v>72000</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D2Y</v>
      </c>
      <c r="C160" s="93">
        <f t="array" ref="C160:G164">MINVERSE(C152:G156)</f>
        <v>1.388888888888889E-5</v>
      </c>
      <c r="D160" s="93">
        <v>0</v>
      </c>
      <c r="E160" s="93">
        <v>0</v>
      </c>
      <c r="F160" s="93">
        <v>0</v>
      </c>
      <c r="G160" s="93">
        <v>0</v>
      </c>
      <c r="I160" s="17">
        <f>A152</f>
        <v>0</v>
      </c>
      <c r="L160" s="215"/>
      <c r="M160" s="172"/>
      <c r="N160" s="172"/>
      <c r="O160" s="172"/>
      <c r="P160" s="172"/>
      <c r="Q160" s="173"/>
    </row>
    <row r="161" spans="1:17" ht="16.95" customHeight="1" x14ac:dyDescent="0.3">
      <c r="A161" s="12" t="str">
        <f>I153</f>
        <v>D3X</v>
      </c>
      <c r="C161" s="93">
        <v>0</v>
      </c>
      <c r="D161" s="93">
        <v>1.9841269841269845E-5</v>
      </c>
      <c r="E161" s="93">
        <v>-2.8344671201814064E-5</v>
      </c>
      <c r="F161" s="93">
        <v>0</v>
      </c>
      <c r="G161" s="93">
        <v>-2.8344671201814064E-5</v>
      </c>
      <c r="I161" s="17">
        <f>A153</f>
        <v>0</v>
      </c>
      <c r="L161" s="215"/>
      <c r="M161" s="172"/>
      <c r="N161" s="172"/>
      <c r="O161" s="172"/>
      <c r="P161" s="172"/>
      <c r="Q161" s="173"/>
    </row>
    <row r="162" spans="1:17" ht="16.95" customHeight="1" x14ac:dyDescent="0.3">
      <c r="A162" s="12" t="str">
        <f>I154</f>
        <v>D3Y</v>
      </c>
      <c r="B162" s="13" t="s">
        <v>220</v>
      </c>
      <c r="C162" s="93">
        <v>0</v>
      </c>
      <c r="D162" s="93">
        <v>-2.8344671201814067E-5</v>
      </c>
      <c r="E162" s="93">
        <v>1.1413900173081964E-4</v>
      </c>
      <c r="F162" s="93">
        <v>0</v>
      </c>
      <c r="G162" s="93">
        <v>1.1413900173081964E-4</v>
      </c>
      <c r="I162" s="17">
        <f>A154</f>
        <v>-6000</v>
      </c>
      <c r="L162" s="215"/>
      <c r="M162" s="172"/>
      <c r="N162" s="172"/>
      <c r="O162" s="172"/>
      <c r="P162" s="172"/>
      <c r="Q162" s="173"/>
    </row>
    <row r="163" spans="1:17" ht="16.95" customHeight="1" x14ac:dyDescent="0.3">
      <c r="A163" s="12" t="str">
        <f>I155</f>
        <v>D4X</v>
      </c>
      <c r="C163" s="93">
        <v>0</v>
      </c>
      <c r="D163" s="93">
        <v>0</v>
      </c>
      <c r="E163" s="93">
        <v>0</v>
      </c>
      <c r="F163" s="93">
        <v>1.9841269841269841E-5</v>
      </c>
      <c r="G163" s="93">
        <v>0</v>
      </c>
      <c r="I163" s="17">
        <f>A155</f>
        <v>2500</v>
      </c>
      <c r="L163" s="215"/>
      <c r="M163" s="172"/>
      <c r="N163" s="172"/>
      <c r="O163" s="172"/>
      <c r="P163" s="172"/>
      <c r="Q163" s="173"/>
    </row>
    <row r="164" spans="1:17" ht="16.95" customHeight="1" x14ac:dyDescent="0.3">
      <c r="A164" s="12" t="str">
        <f>I156</f>
        <v>D4Y</v>
      </c>
      <c r="C164" s="93">
        <v>0</v>
      </c>
      <c r="D164" s="93">
        <v>-2.8344671201814064E-5</v>
      </c>
      <c r="E164" s="93">
        <v>1.1413900173081964E-4</v>
      </c>
      <c r="F164" s="93">
        <v>0</v>
      </c>
      <c r="G164" s="93">
        <v>1.2802789061970853E-4</v>
      </c>
      <c r="I164" s="17">
        <f>A156</f>
        <v>-3500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D2Y</v>
      </c>
      <c r="C168" s="94">
        <f t="array" ref="C168:C172">MMULT(C160:G164, I160:I164)</f>
        <v>0</v>
      </c>
      <c r="D168" s="12" t="s">
        <v>267</v>
      </c>
      <c r="L168" s="215"/>
      <c r="M168" s="172"/>
      <c r="N168" s="172"/>
      <c r="O168" s="172"/>
      <c r="P168" s="172"/>
      <c r="Q168" s="173"/>
    </row>
    <row r="169" spans="1:17" ht="16.95" customHeight="1" x14ac:dyDescent="0.3">
      <c r="A169" s="12" t="str">
        <f>A161</f>
        <v>D3X</v>
      </c>
      <c r="C169" s="94">
        <v>0.26927437641723362</v>
      </c>
      <c r="D169" s="12" t="s">
        <v>267</v>
      </c>
      <c r="L169" s="215"/>
      <c r="M169" s="172"/>
      <c r="N169" s="172"/>
      <c r="O169" s="172"/>
      <c r="P169" s="172"/>
      <c r="Q169" s="173"/>
    </row>
    <row r="170" spans="1:17" ht="16.95" customHeight="1" x14ac:dyDescent="0.3">
      <c r="A170" s="12" t="str">
        <f>A162</f>
        <v>D3Y</v>
      </c>
      <c r="B170" s="13" t="s">
        <v>220</v>
      </c>
      <c r="C170" s="94">
        <v>-1.0843205164427867</v>
      </c>
      <c r="D170" s="12" t="s">
        <v>267</v>
      </c>
      <c r="L170" s="215"/>
      <c r="M170" s="172"/>
      <c r="N170" s="172"/>
      <c r="O170" s="172"/>
      <c r="P170" s="172"/>
      <c r="Q170" s="173"/>
    </row>
    <row r="171" spans="1:17" ht="16.95" customHeight="1" x14ac:dyDescent="0.3">
      <c r="A171" s="12" t="str">
        <f>A163</f>
        <v>D4X</v>
      </c>
      <c r="C171" s="94">
        <v>4.96031746031746E-2</v>
      </c>
      <c r="D171" s="12" t="s">
        <v>267</v>
      </c>
      <c r="L171" s="215"/>
      <c r="M171" s="172"/>
      <c r="N171" s="172"/>
      <c r="O171" s="172"/>
      <c r="P171" s="172"/>
      <c r="Q171" s="173"/>
    </row>
    <row r="172" spans="1:17" ht="16.95" customHeight="1" x14ac:dyDescent="0.3">
      <c r="A172" s="12" t="str">
        <f>A164</f>
        <v>D4Y</v>
      </c>
      <c r="C172" s="94">
        <v>-1.1329316275538976</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0</v>
      </c>
      <c r="D177" s="9">
        <f t="shared" si="10"/>
        <v>-27710.93207661721</v>
      </c>
      <c r="E177" s="9">
        <f t="shared" si="10"/>
        <v>-19397.652453632047</v>
      </c>
      <c r="F177" s="9">
        <f t="shared" si="10"/>
        <v>-50400</v>
      </c>
      <c r="G177" s="9">
        <f t="shared" si="10"/>
        <v>0</v>
      </c>
      <c r="I177" s="95">
        <f>C168</f>
        <v>0</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-72000</v>
      </c>
      <c r="D178" s="9">
        <f t="shared" si="10"/>
        <v>-19397.652453632047</v>
      </c>
      <c r="E178" s="9">
        <f t="shared" si="10"/>
        <v>-13578.356717542434</v>
      </c>
      <c r="F178" s="9">
        <f t="shared" si="10"/>
        <v>0</v>
      </c>
      <c r="G178" s="9">
        <f t="shared" si="10"/>
        <v>0</v>
      </c>
      <c r="I178" s="95">
        <f>C169</f>
        <v>0.26927437641723362</v>
      </c>
      <c r="J178" s="14" t="str">
        <f>INDEX(C$128:C$135, MATCH(2, G$128:G$135, 0))</f>
        <v>U1Y</v>
      </c>
      <c r="L178" s="215" t="s">
        <v>391</v>
      </c>
      <c r="M178" s="172"/>
      <c r="N178" s="172"/>
      <c r="O178" s="172"/>
      <c r="P178" s="172"/>
      <c r="Q178" s="173"/>
    </row>
    <row r="179" spans="1:17" ht="16.95" customHeight="1" x14ac:dyDescent="0.3">
      <c r="A179" s="18" t="str">
        <f>INDEX(B$118:B$125, MATCH(J179, C$118:C$125, 0))</f>
        <v>C2X</v>
      </c>
      <c r="C179" s="9">
        <f t="shared" si="10"/>
        <v>0</v>
      </c>
      <c r="D179" s="9">
        <f t="shared" si="10"/>
        <v>-50400</v>
      </c>
      <c r="E179" s="9">
        <f t="shared" si="10"/>
        <v>0</v>
      </c>
      <c r="F179" s="9">
        <f t="shared" si="10"/>
        <v>0</v>
      </c>
      <c r="G179" s="9">
        <f t="shared" si="10"/>
        <v>0</v>
      </c>
      <c r="I179" s="95">
        <f>C170</f>
        <v>-1.0843205164427867</v>
      </c>
      <c r="J179" s="14" t="str">
        <f>INDEX(C$128:C$135, MATCH(3, G$128:G$135, 0))</f>
        <v>U2X</v>
      </c>
      <c r="L179" s="215" t="s">
        <v>392</v>
      </c>
      <c r="M179" s="172"/>
      <c r="N179" s="172"/>
      <c r="O179" s="172"/>
      <c r="P179" s="172"/>
      <c r="Q179" s="173"/>
    </row>
    <row r="180" spans="1:17" ht="16.95" customHeight="1" x14ac:dyDescent="0.3">
      <c r="I180" s="95">
        <f>C171</f>
        <v>4.96031746031746E-2</v>
      </c>
      <c r="L180" s="215" t="s">
        <v>393</v>
      </c>
      <c r="M180" s="172"/>
      <c r="N180" s="172"/>
      <c r="O180" s="172"/>
      <c r="P180" s="172"/>
      <c r="Q180" s="173"/>
    </row>
    <row r="181" spans="1:17" ht="16.95" customHeight="1" x14ac:dyDescent="0.3">
      <c r="I181" s="95">
        <f>C172</f>
        <v>-1.1329316275538976</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11071.428571428572</v>
      </c>
      <c r="D183" s="12" t="s">
        <v>273</v>
      </c>
      <c r="L183" s="215"/>
      <c r="M183" s="172"/>
      <c r="N183" s="172"/>
      <c r="O183" s="172"/>
      <c r="P183" s="172"/>
      <c r="Q183" s="173"/>
    </row>
    <row r="184" spans="1:17" ht="16.95" customHeight="1" x14ac:dyDescent="0.3">
      <c r="A184" s="12" t="str">
        <f>A178</f>
        <v>C1Y</v>
      </c>
      <c r="B184" s="13" t="s">
        <v>220</v>
      </c>
      <c r="C184" s="17">
        <v>9500.0000000000036</v>
      </c>
      <c r="D184" s="12" t="s">
        <v>273</v>
      </c>
      <c r="L184" s="215"/>
      <c r="M184" s="172"/>
      <c r="N184" s="172"/>
      <c r="O184" s="172"/>
      <c r="P184" s="172"/>
      <c r="Q184" s="173"/>
    </row>
    <row r="185" spans="1:17" ht="16.95" customHeight="1" x14ac:dyDescent="0.3">
      <c r="A185" s="12" t="str">
        <f>A179</f>
        <v>C2X</v>
      </c>
      <c r="C185" s="17">
        <v>-13571.428571428574</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v>
      </c>
    </row>
    <row r="193" spans="1:17" ht="19.05" customHeight="1" x14ac:dyDescent="0.3">
      <c r="A193" s="12" t="s">
        <v>231</v>
      </c>
      <c r="B193" s="12" t="s">
        <v>181</v>
      </c>
      <c r="D193" s="94">
        <f t="shared" si="11"/>
        <v>0</v>
      </c>
    </row>
    <row r="194" spans="1:17" ht="19.05" customHeight="1" x14ac:dyDescent="0.3">
      <c r="A194" s="12" t="s">
        <v>232</v>
      </c>
      <c r="B194" s="12" t="s">
        <v>182</v>
      </c>
      <c r="D194" s="94">
        <f t="shared" si="11"/>
        <v>0.26927437641723362</v>
      </c>
    </row>
    <row r="195" spans="1:17" ht="19.05" customHeight="1" x14ac:dyDescent="0.3">
      <c r="A195" s="12" t="s">
        <v>234</v>
      </c>
      <c r="B195" s="12" t="s">
        <v>183</v>
      </c>
      <c r="D195" s="94">
        <f t="shared" si="11"/>
        <v>-1.0843205164427867</v>
      </c>
    </row>
    <row r="196" spans="1:17" ht="19.05" customHeight="1" x14ac:dyDescent="0.3">
      <c r="A196" s="12" t="s">
        <v>235</v>
      </c>
      <c r="B196" s="12" t="s">
        <v>184</v>
      </c>
      <c r="D196" s="94">
        <f t="shared" si="11"/>
        <v>4.96031746031746E-2</v>
      </c>
    </row>
    <row r="197" spans="1:17" ht="19.05" customHeight="1" x14ac:dyDescent="0.3">
      <c r="A197" s="12" t="s">
        <v>236</v>
      </c>
      <c r="B197" s="12" t="s">
        <v>185</v>
      </c>
      <c r="D197" s="94">
        <f t="shared" si="11"/>
        <v>-1.1329316275538976</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72000</v>
      </c>
      <c r="C204" s="92">
        <f>-J6</f>
        <v>0</v>
      </c>
      <c r="D204" s="92">
        <f>-K6</f>
        <v>-1</v>
      </c>
      <c r="E204" s="92">
        <f>J6</f>
        <v>0</v>
      </c>
      <c r="F204" s="92">
        <f>K6</f>
        <v>1</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0</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0</v>
      </c>
      <c r="H206" s="12" t="str">
        <f>"D" &amp; E14 &amp; "X"</f>
        <v>D2X</v>
      </c>
      <c r="L206" s="215" t="s">
        <v>400</v>
      </c>
      <c r="M206" s="172"/>
      <c r="N206" s="172"/>
      <c r="O206" s="172"/>
      <c r="P206" s="172"/>
      <c r="Q206" s="173"/>
    </row>
    <row r="207" spans="1:17" ht="16.95" customHeight="1" x14ac:dyDescent="0.3">
      <c r="G207" s="96">
        <f>IFERROR(VLOOKUP(H207, A$190:D$197, 4, FALSE), 0)</f>
        <v>0</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DE FUERZA NULA</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50400</v>
      </c>
      <c r="C212" s="92">
        <f>-J7</f>
        <v>-1</v>
      </c>
      <c r="D212" s="92">
        <f>-K7</f>
        <v>0</v>
      </c>
      <c r="E212" s="92">
        <f>J7</f>
        <v>1</v>
      </c>
      <c r="F212" s="92">
        <f>K7</f>
        <v>0</v>
      </c>
      <c r="G212" s="96">
        <f>IFERROR(VLOOKUP(H212, A$190:D$197, 4, FALSE), 0)</f>
        <v>0</v>
      </c>
      <c r="H212" s="12" t="str">
        <f>"D" &amp; C15 &amp; "X"</f>
        <v>D2X</v>
      </c>
      <c r="L212" s="215"/>
      <c r="M212" s="172"/>
      <c r="N212" s="172"/>
      <c r="O212" s="172"/>
      <c r="P212" s="172"/>
      <c r="Q212" s="173"/>
    </row>
    <row r="213" spans="1:17" ht="16.95" customHeight="1" x14ac:dyDescent="0.3">
      <c r="A213" s="99" t="s">
        <v>286</v>
      </c>
      <c r="B213" s="97">
        <f>(MMULT(C212:F212, G212:G215)*A212)</f>
        <v>13571.428571428574</v>
      </c>
      <c r="G213" s="96">
        <f>IFERROR(VLOOKUP(H213, A$190:D$197, 4, FALSE), 0)</f>
        <v>0</v>
      </c>
      <c r="H213" s="12" t="str">
        <f>"D" &amp; D15 &amp; "Y"</f>
        <v>D2Y</v>
      </c>
      <c r="L213" s="215"/>
      <c r="M213" s="172"/>
      <c r="N213" s="172"/>
      <c r="O213" s="172"/>
      <c r="P213" s="172"/>
      <c r="Q213" s="173"/>
    </row>
    <row r="214" spans="1:17" ht="16.95" customHeight="1" x14ac:dyDescent="0.3">
      <c r="G214" s="96">
        <f>IFERROR(VLOOKUP(H214, A$190:D$197, 4, FALSE), 0)</f>
        <v>0.26927437641723362</v>
      </c>
      <c r="H214" s="12" t="str">
        <f>"D" &amp; E15 &amp; "X"</f>
        <v>D3X</v>
      </c>
      <c r="L214" s="215"/>
      <c r="M214" s="172"/>
      <c r="N214" s="172"/>
      <c r="O214" s="172"/>
      <c r="P214" s="172"/>
      <c r="Q214" s="173"/>
    </row>
    <row r="215" spans="1:17" ht="16.95" customHeight="1" x14ac:dyDescent="0.3">
      <c r="G215" s="96">
        <f>IFERROR(VLOOKUP(H215, A$190:D$197, 4, FALSE), 0)</f>
        <v>-1.0843205164427867</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TRACCIÓN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72000</v>
      </c>
      <c r="C220" s="92">
        <f>-J8</f>
        <v>0</v>
      </c>
      <c r="D220" s="92">
        <f>-K8</f>
        <v>1</v>
      </c>
      <c r="E220" s="92">
        <f>J8</f>
        <v>0</v>
      </c>
      <c r="F220" s="92">
        <f>K8</f>
        <v>-1</v>
      </c>
      <c r="G220" s="96">
        <f>IFERROR(VLOOKUP(H220, A$190:D$197, 4, FALSE), 0)</f>
        <v>0.26927437641723362</v>
      </c>
      <c r="H220" s="12" t="str">
        <f>"D" &amp; C16 &amp; "X"</f>
        <v>D3X</v>
      </c>
      <c r="L220" s="215"/>
      <c r="M220" s="172"/>
      <c r="N220" s="172"/>
      <c r="O220" s="172"/>
      <c r="P220" s="172"/>
      <c r="Q220" s="173"/>
    </row>
    <row r="221" spans="1:17" ht="16.95" customHeight="1" x14ac:dyDescent="0.3">
      <c r="A221" s="99" t="s">
        <v>287</v>
      </c>
      <c r="B221" s="97">
        <f>(MMULT(C220:F220, G220:G223)*A220)</f>
        <v>3499.9999999999877</v>
      </c>
      <c r="G221" s="96">
        <f>IFERROR(VLOOKUP(H221, A$190:D$197, 4, FALSE), 0)</f>
        <v>-1.0843205164427867</v>
      </c>
      <c r="H221" s="12" t="str">
        <f>"D" &amp; D16 &amp; "Y"</f>
        <v>D3Y</v>
      </c>
      <c r="L221" s="215"/>
      <c r="M221" s="172"/>
      <c r="N221" s="172"/>
      <c r="O221" s="172"/>
      <c r="P221" s="172"/>
      <c r="Q221" s="173"/>
    </row>
    <row r="222" spans="1:17" ht="16.95" customHeight="1" x14ac:dyDescent="0.3">
      <c r="G222" s="96">
        <f>IFERROR(VLOOKUP(H222, A$190:D$197, 4, FALSE), 0)</f>
        <v>4.96031746031746E-2</v>
      </c>
      <c r="H222" s="12" t="str">
        <f>"D" &amp; E16 &amp; "X"</f>
        <v>D4X</v>
      </c>
      <c r="L222" s="215"/>
      <c r="M222" s="172"/>
      <c r="N222" s="172"/>
      <c r="O222" s="172"/>
      <c r="P222" s="172"/>
      <c r="Q222" s="173"/>
    </row>
    <row r="223" spans="1:17" ht="16.95" customHeight="1" x14ac:dyDescent="0.3">
      <c r="G223" s="96">
        <f>IFERROR(VLOOKUP(H223, A$190:D$197, 4, FALSE), 0)</f>
        <v>-1.1329316275538976</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TRACCIÓN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50400</v>
      </c>
      <c r="C228" s="92">
        <f>-J9</f>
        <v>1</v>
      </c>
      <c r="D228" s="92">
        <f>-K9</f>
        <v>0</v>
      </c>
      <c r="E228" s="92">
        <f>J9</f>
        <v>-1</v>
      </c>
      <c r="F228" s="92">
        <f>K9</f>
        <v>0</v>
      </c>
      <c r="G228" s="96">
        <f>IFERROR(VLOOKUP(H228, A$190:D$197, 4, FALSE), 0)</f>
        <v>4.96031746031746E-2</v>
      </c>
      <c r="H228" s="12" t="str">
        <f>"D" &amp; C17 &amp; "X"</f>
        <v>D4X</v>
      </c>
    </row>
    <row r="229" spans="1:17" ht="19.95" customHeight="1" x14ac:dyDescent="0.3">
      <c r="A229" s="99" t="s">
        <v>288</v>
      </c>
      <c r="B229" s="97">
        <f>(MMULT(C228:F228, G228:G231)*A228)</f>
        <v>2500</v>
      </c>
      <c r="G229" s="96">
        <f>IFERROR(VLOOKUP(H229, A$190:D$197, 4, FALSE), 0)</f>
        <v>-1.1329316275538976</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78" t="str">
        <f>IF(B229&gt;0.001,"BARRA A TRACCIÓN (+)",IF(B229&lt;-0.001,"BARRA A COMPRESIÓN (-)","BARRA DE FUERZA NULA"))</f>
        <v>BARRA A TRACCIÓN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41289.288794159642</v>
      </c>
      <c r="C236" s="92">
        <f>-J10</f>
        <v>-0.81923192051904048</v>
      </c>
      <c r="D236" s="92">
        <f>-K10</f>
        <v>-0.57346234436332832</v>
      </c>
      <c r="E236" s="92">
        <f>J10</f>
        <v>0.81923192051904048</v>
      </c>
      <c r="F236" s="92">
        <f>K10</f>
        <v>0.57346234436332832</v>
      </c>
      <c r="G236" s="96">
        <f>IFERROR(VLOOKUP(H236, A$190:D$197, 4, FALSE), 0)</f>
        <v>0</v>
      </c>
      <c r="H236" s="12" t="str">
        <f>"D" &amp; C18 &amp; "X"</f>
        <v>D1X</v>
      </c>
    </row>
    <row r="237" spans="1:17" ht="19.95" customHeight="1" x14ac:dyDescent="0.3">
      <c r="A237" s="99" t="s">
        <v>289</v>
      </c>
      <c r="B237" s="97">
        <f>(MMULT(C236:F236, G236:G239)*A236)</f>
        <v>-16566.039764210025</v>
      </c>
      <c r="G237" s="96">
        <f>IFERROR(VLOOKUP(H237, A$190:D$197, 4, FALSE), 0)</f>
        <v>0</v>
      </c>
      <c r="H237" s="12" t="str">
        <f>"D" &amp; D18 &amp; "Y"</f>
        <v>D1Y</v>
      </c>
    </row>
    <row r="238" spans="1:17" ht="19.95" customHeight="1" x14ac:dyDescent="0.3">
      <c r="G238" s="96">
        <f>IFERROR(VLOOKUP(H238, A$190:D$197, 4, FALSE), 0)</f>
        <v>0.26927437641723362</v>
      </c>
      <c r="H238" s="12" t="str">
        <f>"D" &amp; E18 &amp; "X"</f>
        <v>D3X</v>
      </c>
    </row>
    <row r="239" spans="1:17" ht="19.95" customHeight="1" x14ac:dyDescent="0.3">
      <c r="G239" s="96">
        <f>IFERROR(VLOOKUP(H239, A$190:D$197, 4, FALSE), 0)</f>
        <v>-1.0843205164427867</v>
      </c>
      <c r="H239" s="12" t="str">
        <f>"D" &amp; F18 &amp; "Y"</f>
        <v>D3Y</v>
      </c>
    </row>
    <row r="240" spans="1:17" ht="19.95" customHeight="1" x14ac:dyDescent="0.3">
      <c r="B240" s="99" t="s">
        <v>273</v>
      </c>
      <c r="C240" s="178" t="str">
        <f>IF(B237&gt;0.001,"BARRA A TRACCIÓN (+)",IF(B237&lt;-0.001,"BARRA A COMPRESIÓN (-)","BARRA DE FUERZA NULA"))</f>
        <v>BARRA A COMPRESIÓN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350</v>
      </c>
      <c r="F245" s="9">
        <f>L6</f>
        <v>12</v>
      </c>
      <c r="G245" s="97">
        <f>B205</f>
        <v>0</v>
      </c>
      <c r="H245" s="84" t="str">
        <f>C208</f>
        <v>BARRA DE FUERZA NULA</v>
      </c>
    </row>
    <row r="246" spans="2:8" ht="19.95" customHeight="1" x14ac:dyDescent="0.3">
      <c r="B246" s="25">
        <v>2</v>
      </c>
      <c r="C246" s="86">
        <f>C15</f>
        <v>2</v>
      </c>
      <c r="D246" s="86">
        <f>E15</f>
        <v>3</v>
      </c>
      <c r="E246" s="9">
        <f>I7</f>
        <v>500</v>
      </c>
      <c r="F246" s="9">
        <f>L7</f>
        <v>12</v>
      </c>
      <c r="G246" s="97">
        <f>B213</f>
        <v>13571.428571428574</v>
      </c>
      <c r="H246" s="84" t="str">
        <f>C216</f>
        <v>BARRA A TRACCIÓN (+)</v>
      </c>
    </row>
    <row r="247" spans="2:8" ht="19.95" customHeight="1" x14ac:dyDescent="0.3">
      <c r="B247" s="26">
        <v>3</v>
      </c>
      <c r="C247" s="86">
        <f>C16</f>
        <v>3</v>
      </c>
      <c r="D247" s="86">
        <f>E16</f>
        <v>4</v>
      </c>
      <c r="E247" s="9">
        <f>I8</f>
        <v>350</v>
      </c>
      <c r="F247" s="9">
        <f>L8</f>
        <v>12</v>
      </c>
      <c r="G247" s="97">
        <f>B221</f>
        <v>3499.9999999999877</v>
      </c>
      <c r="H247" s="84" t="str">
        <f>C224</f>
        <v>BARRA A TRACCIÓN (+)</v>
      </c>
    </row>
    <row r="248" spans="2:8" ht="19.95" customHeight="1" x14ac:dyDescent="0.3">
      <c r="B248" s="43">
        <v>4</v>
      </c>
      <c r="C248" s="86">
        <f>C17</f>
        <v>4</v>
      </c>
      <c r="D248" s="86">
        <f>E17</f>
        <v>1</v>
      </c>
      <c r="E248" s="9">
        <f>I9</f>
        <v>500</v>
      </c>
      <c r="F248" s="9">
        <f>L9</f>
        <v>12</v>
      </c>
      <c r="G248" s="97">
        <f>B229</f>
        <v>2500</v>
      </c>
      <c r="H248" s="84" t="str">
        <f>C232</f>
        <v>BARRA A TRACCIÓN (+)</v>
      </c>
    </row>
    <row r="249" spans="2:8" ht="19.95" customHeight="1" x14ac:dyDescent="0.3">
      <c r="B249" s="44">
        <v>5</v>
      </c>
      <c r="C249" s="86">
        <f>C18</f>
        <v>1</v>
      </c>
      <c r="D249" s="86">
        <f>E18</f>
        <v>3</v>
      </c>
      <c r="E249" s="9">
        <f>I10</f>
        <v>610.32778078668514</v>
      </c>
      <c r="F249" s="9">
        <f>L10</f>
        <v>12</v>
      </c>
      <c r="G249" s="97">
        <f>B237</f>
        <v>-16566.039764210025</v>
      </c>
      <c r="H249" s="84" t="str">
        <f>C240</f>
        <v>BARRA A COMPRESIÓN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48"/>
  <sheetViews>
    <sheetView topLeftCell="DW1" zoomScale="64"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455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375</v>
      </c>
      <c r="AB9" s="20">
        <f>IF(H29="","",H29)</f>
        <v>600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375</v>
      </c>
      <c r="AB11" s="20">
        <f>IF(F30="","",F30)</f>
        <v>600</v>
      </c>
      <c r="AC11" t="s">
        <v>324</v>
      </c>
    </row>
    <row r="12" spans="2:29" x14ac:dyDescent="0.3">
      <c r="AA12" s="20">
        <f>IF(G30="","",G30)</f>
        <v>125</v>
      </c>
      <c r="AB12" s="20">
        <f>IF(H30="","",H30)</f>
        <v>600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456</v>
      </c>
      <c r="K14" s="172"/>
      <c r="L14" s="172"/>
      <c r="M14" s="172"/>
      <c r="N14" s="172"/>
      <c r="O14" s="173"/>
      <c r="AA14" s="20">
        <f>IF(E31="","",E31)</f>
        <v>125</v>
      </c>
      <c r="AB14" s="20">
        <f>IF(F31="","",F31)</f>
        <v>600</v>
      </c>
      <c r="AC14" t="s">
        <v>328</v>
      </c>
    </row>
    <row r="15" spans="2:29" ht="19.05" customHeight="1" x14ac:dyDescent="0.3">
      <c r="B15" s="89">
        <v>2</v>
      </c>
      <c r="C15" s="21">
        <v>500</v>
      </c>
      <c r="D15" s="21">
        <v>0</v>
      </c>
      <c r="E15" s="21" t="s">
        <v>329</v>
      </c>
      <c r="F15" s="88">
        <f t="shared" si="0"/>
        <v>0</v>
      </c>
      <c r="G15" s="88">
        <f t="shared" si="1"/>
        <v>1</v>
      </c>
      <c r="H15" s="22">
        <v>0</v>
      </c>
      <c r="I15" s="22">
        <v>0</v>
      </c>
      <c r="J15" s="205" t="s">
        <v>457</v>
      </c>
      <c r="K15" s="172"/>
      <c r="L15" s="172"/>
      <c r="M15" s="172"/>
      <c r="N15" s="172"/>
      <c r="O15" s="173"/>
      <c r="AA15" s="20">
        <f>IF(G31="","",G31)</f>
        <v>0</v>
      </c>
      <c r="AB15" s="20">
        <f>IF(H31="","",H31)</f>
        <v>0</v>
      </c>
      <c r="AC15" t="s">
        <v>331</v>
      </c>
    </row>
    <row r="16" spans="2:29" ht="19.05" customHeight="1" x14ac:dyDescent="0.3">
      <c r="B16" s="89">
        <v>3</v>
      </c>
      <c r="C16" s="21">
        <v>375</v>
      </c>
      <c r="D16" s="21">
        <v>600</v>
      </c>
      <c r="E16" s="21" t="s">
        <v>326</v>
      </c>
      <c r="F16" s="88">
        <f t="shared" si="0"/>
        <v>0</v>
      </c>
      <c r="G16" s="88">
        <f t="shared" si="1"/>
        <v>0</v>
      </c>
      <c r="H16" s="22">
        <v>3000</v>
      </c>
      <c r="I16" s="22">
        <v>-2000</v>
      </c>
      <c r="J16" s="205" t="s">
        <v>458</v>
      </c>
      <c r="K16" s="172"/>
      <c r="L16" s="172"/>
      <c r="M16" s="172"/>
      <c r="N16" s="172"/>
      <c r="O16" s="173"/>
    </row>
    <row r="17" spans="2:29" ht="19.05" customHeight="1" x14ac:dyDescent="0.3">
      <c r="B17" s="89">
        <v>4</v>
      </c>
      <c r="C17" s="21">
        <v>125</v>
      </c>
      <c r="D17" s="21">
        <v>600</v>
      </c>
      <c r="E17" s="21" t="s">
        <v>326</v>
      </c>
      <c r="F17" s="88">
        <f t="shared" si="0"/>
        <v>0</v>
      </c>
      <c r="G17" s="88">
        <f t="shared" si="1"/>
        <v>0</v>
      </c>
      <c r="H17" s="22">
        <v>4500</v>
      </c>
      <c r="I17" s="22">
        <v>-2000</v>
      </c>
      <c r="J17" s="205" t="s">
        <v>459</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375</v>
      </c>
      <c r="AB18" s="20">
        <f>IF(H32="","",H32)</f>
        <v>600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375</v>
      </c>
      <c r="H29" s="5">
        <f t="shared" si="5"/>
        <v>600</v>
      </c>
      <c r="I29" s="9">
        <f t="shared" si="6"/>
        <v>-125</v>
      </c>
      <c r="J29" s="9">
        <f t="shared" si="7"/>
        <v>600</v>
      </c>
      <c r="K29" s="9">
        <f t="shared" si="8"/>
        <v>612.88253360656313</v>
      </c>
      <c r="L29" s="92">
        <f t="shared" si="9"/>
        <v>-0.20395425411200105</v>
      </c>
      <c r="M29" s="92">
        <f t="shared" si="10"/>
        <v>0.97898041973760508</v>
      </c>
      <c r="N29" s="22">
        <v>12</v>
      </c>
      <c r="O29" s="24">
        <v>2100000</v>
      </c>
      <c r="AA29" s="20" t="str">
        <f>IF(E36="","",E36)</f>
        <v/>
      </c>
      <c r="AB29" s="20" t="str">
        <f>IF(F36="","",F36)</f>
        <v/>
      </c>
      <c r="AC29" t="s">
        <v>353</v>
      </c>
    </row>
    <row r="30" spans="2:29" ht="19.05" customHeight="1" x14ac:dyDescent="0.3">
      <c r="B30" s="89">
        <v>3</v>
      </c>
      <c r="C30" s="23">
        <v>3</v>
      </c>
      <c r="D30" s="23">
        <v>4</v>
      </c>
      <c r="E30" s="5">
        <f t="shared" si="2"/>
        <v>375</v>
      </c>
      <c r="F30" s="5">
        <f t="shared" si="3"/>
        <v>600</v>
      </c>
      <c r="G30" s="5">
        <f t="shared" si="4"/>
        <v>125</v>
      </c>
      <c r="H30" s="5">
        <f t="shared" si="5"/>
        <v>600</v>
      </c>
      <c r="I30" s="9">
        <f t="shared" si="6"/>
        <v>-250</v>
      </c>
      <c r="J30" s="9">
        <f t="shared" si="7"/>
        <v>0</v>
      </c>
      <c r="K30" s="9">
        <f t="shared" si="8"/>
        <v>250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125</v>
      </c>
      <c r="F31" s="5">
        <f t="shared" si="3"/>
        <v>600</v>
      </c>
      <c r="G31" s="5">
        <f t="shared" si="4"/>
        <v>0</v>
      </c>
      <c r="H31" s="5">
        <f t="shared" si="5"/>
        <v>0</v>
      </c>
      <c r="I31" s="9">
        <f t="shared" si="6"/>
        <v>-125</v>
      </c>
      <c r="J31" s="9">
        <f t="shared" si="7"/>
        <v>-600</v>
      </c>
      <c r="K31" s="9">
        <f t="shared" si="8"/>
        <v>612.88253360656313</v>
      </c>
      <c r="L31" s="92">
        <f t="shared" si="9"/>
        <v>-0.20395425411200105</v>
      </c>
      <c r="M31" s="92">
        <f t="shared" si="10"/>
        <v>-0.97898041973760508</v>
      </c>
      <c r="N31" s="22">
        <v>12</v>
      </c>
      <c r="O31" s="24">
        <v>2100000</v>
      </c>
    </row>
    <row r="32" spans="2:29" ht="19.05" customHeight="1" x14ac:dyDescent="0.3">
      <c r="B32" s="89">
        <v>5</v>
      </c>
      <c r="C32" s="23">
        <v>1</v>
      </c>
      <c r="D32" s="23">
        <v>3</v>
      </c>
      <c r="E32" s="5">
        <f t="shared" si="2"/>
        <v>0</v>
      </c>
      <c r="F32" s="5">
        <f t="shared" si="3"/>
        <v>0</v>
      </c>
      <c r="G32" s="5">
        <f t="shared" si="4"/>
        <v>375</v>
      </c>
      <c r="H32" s="5">
        <f t="shared" si="5"/>
        <v>600</v>
      </c>
      <c r="I32" s="9">
        <f t="shared" si="6"/>
        <v>375</v>
      </c>
      <c r="J32" s="9">
        <f t="shared" si="7"/>
        <v>600</v>
      </c>
      <c r="K32" s="9">
        <f t="shared" si="8"/>
        <v>707.54858490424533</v>
      </c>
      <c r="L32" s="92">
        <f t="shared" si="9"/>
        <v>0.52999894000317993</v>
      </c>
      <c r="M32" s="92">
        <f t="shared" si="10"/>
        <v>0.84799830400508791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900-000000000000}">
      <formula1>"Fijo (articulado),Rodillo Y (despl. X libre),Rodillo X (despl. Y libre),Libre (0 reac.)"</formula1>
    </dataValidation>
  </dataValidation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460</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GRAFICA_12!E28</f>
        <v>0</v>
      </c>
      <c r="D6" s="22">
        <f>GRAFICA_12!F28</f>
        <v>0</v>
      </c>
      <c r="E6" s="22">
        <f>GRAFICA_12!G28</f>
        <v>500</v>
      </c>
      <c r="F6" s="22">
        <f>GRAFICA_12!H28</f>
        <v>0</v>
      </c>
      <c r="G6" s="9">
        <f t="shared" ref="G6:H10" si="0">E6-C6</f>
        <v>500</v>
      </c>
      <c r="H6" s="9">
        <f t="shared" si="0"/>
        <v>0</v>
      </c>
      <c r="I6" s="9">
        <f>SQRT(G6*G6+H6*H6)</f>
        <v>500</v>
      </c>
      <c r="J6" s="92">
        <f>G6/I6</f>
        <v>1</v>
      </c>
      <c r="K6" s="92">
        <f>H6/I6</f>
        <v>0</v>
      </c>
      <c r="L6" s="22">
        <f>GRAFICA_12!N28</f>
        <v>12</v>
      </c>
      <c r="M6" s="22">
        <f>GRAFICA_12!O28</f>
        <v>2100000</v>
      </c>
      <c r="N6" s="6">
        <f>L6*M6/I6</f>
        <v>50400</v>
      </c>
    </row>
    <row r="7" spans="2:14" ht="19.05" customHeight="1" x14ac:dyDescent="0.3">
      <c r="B7" s="25">
        <v>2</v>
      </c>
      <c r="C7" s="22">
        <f>GRAFICA_12!E29</f>
        <v>500</v>
      </c>
      <c r="D7" s="22">
        <f>GRAFICA_12!F29</f>
        <v>0</v>
      </c>
      <c r="E7" s="22">
        <f>GRAFICA_12!G29</f>
        <v>375</v>
      </c>
      <c r="F7" s="22">
        <f>GRAFICA_12!H29</f>
        <v>600</v>
      </c>
      <c r="G7" s="9">
        <f t="shared" si="0"/>
        <v>-125</v>
      </c>
      <c r="H7" s="9">
        <f t="shared" si="0"/>
        <v>600</v>
      </c>
      <c r="I7" s="9">
        <f>SQRT(G7*G7+H7*H7)</f>
        <v>612.88253360656313</v>
      </c>
      <c r="J7" s="92">
        <f>G7/I7</f>
        <v>-0.20395425411200105</v>
      </c>
      <c r="K7" s="92">
        <f>H7/I7</f>
        <v>0.97898041973760508</v>
      </c>
      <c r="L7" s="22">
        <f>GRAFICA_12!N29</f>
        <v>12</v>
      </c>
      <c r="M7" s="22">
        <f>GRAFICA_12!O29</f>
        <v>2100000</v>
      </c>
      <c r="N7" s="6">
        <f>L7*M7/I7</f>
        <v>41117.177628979414</v>
      </c>
    </row>
    <row r="8" spans="2:14" ht="19.05" customHeight="1" x14ac:dyDescent="0.3">
      <c r="B8" s="26">
        <v>3</v>
      </c>
      <c r="C8" s="22">
        <f>GRAFICA_12!E30</f>
        <v>375</v>
      </c>
      <c r="D8" s="22">
        <f>GRAFICA_12!F30</f>
        <v>600</v>
      </c>
      <c r="E8" s="22">
        <f>GRAFICA_12!G30</f>
        <v>125</v>
      </c>
      <c r="F8" s="22">
        <f>GRAFICA_12!H30</f>
        <v>600</v>
      </c>
      <c r="G8" s="9">
        <f t="shared" si="0"/>
        <v>-250</v>
      </c>
      <c r="H8" s="9">
        <f t="shared" si="0"/>
        <v>0</v>
      </c>
      <c r="I8" s="9">
        <f>SQRT(G8*G8+H8*H8)</f>
        <v>250</v>
      </c>
      <c r="J8" s="92">
        <f>G8/I8</f>
        <v>-1</v>
      </c>
      <c r="K8" s="92">
        <f>H8/I8</f>
        <v>0</v>
      </c>
      <c r="L8" s="22">
        <f>GRAFICA_12!N30</f>
        <v>12</v>
      </c>
      <c r="M8" s="22">
        <f>GRAFICA_12!O30</f>
        <v>2100000</v>
      </c>
      <c r="N8" s="6">
        <f>L8*M8/I8</f>
        <v>100800</v>
      </c>
    </row>
    <row r="9" spans="2:14" ht="19.05" customHeight="1" x14ac:dyDescent="0.3">
      <c r="B9" s="43">
        <v>4</v>
      </c>
      <c r="C9" s="22">
        <f>GRAFICA_12!E31</f>
        <v>125</v>
      </c>
      <c r="D9" s="22">
        <f>GRAFICA_12!F31</f>
        <v>600</v>
      </c>
      <c r="E9" s="22">
        <f>GRAFICA_12!G31</f>
        <v>0</v>
      </c>
      <c r="F9" s="22">
        <f>GRAFICA_12!H31</f>
        <v>0</v>
      </c>
      <c r="G9" s="9">
        <f t="shared" si="0"/>
        <v>-125</v>
      </c>
      <c r="H9" s="9">
        <f t="shared" si="0"/>
        <v>-600</v>
      </c>
      <c r="I9" s="9">
        <f>SQRT(G9*G9+H9*H9)</f>
        <v>612.88253360656313</v>
      </c>
      <c r="J9" s="92">
        <f>G9/I9</f>
        <v>-0.20395425411200105</v>
      </c>
      <c r="K9" s="92">
        <f>H9/I9</f>
        <v>-0.97898041973760508</v>
      </c>
      <c r="L9" s="22">
        <f>GRAFICA_12!N31</f>
        <v>12</v>
      </c>
      <c r="M9" s="22">
        <f>GRAFICA_12!O31</f>
        <v>2100000</v>
      </c>
      <c r="N9" s="6">
        <f>L9*M9/I9</f>
        <v>41117.177628979414</v>
      </c>
    </row>
    <row r="10" spans="2:14" ht="19.05" customHeight="1" x14ac:dyDescent="0.3">
      <c r="B10" s="44">
        <v>5</v>
      </c>
      <c r="C10" s="22">
        <f>GRAFICA_12!E32</f>
        <v>0</v>
      </c>
      <c r="D10" s="22">
        <f>GRAFICA_12!F32</f>
        <v>0</v>
      </c>
      <c r="E10" s="22">
        <f>GRAFICA_12!G32</f>
        <v>375</v>
      </c>
      <c r="F10" s="22">
        <f>GRAFICA_12!H32</f>
        <v>600</v>
      </c>
      <c r="G10" s="9">
        <f t="shared" si="0"/>
        <v>375</v>
      </c>
      <c r="H10" s="9">
        <f t="shared" si="0"/>
        <v>600</v>
      </c>
      <c r="I10" s="9">
        <f>SQRT(G10*G10+H10*H10)</f>
        <v>707.54858490424533</v>
      </c>
      <c r="J10" s="92">
        <f>G10/I10</f>
        <v>0.52999894000317993</v>
      </c>
      <c r="K10" s="92">
        <f>H10/I10</f>
        <v>0.84799830400508791</v>
      </c>
      <c r="L10" s="22">
        <f>GRAFICA_12!N32</f>
        <v>12</v>
      </c>
      <c r="M10" s="22">
        <f>GRAFICA_12!O32</f>
        <v>2100000</v>
      </c>
      <c r="N10" s="6">
        <f>L10*M10/I10</f>
        <v>35615.928768213693</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GRAFICA_12!C28</f>
        <v>1</v>
      </c>
      <c r="D14" s="23">
        <f>GRAFICA_12!C28</f>
        <v>1</v>
      </c>
      <c r="E14" s="23">
        <f>GRAFICA_12!D28</f>
        <v>2</v>
      </c>
      <c r="F14" s="23">
        <f>GRAFICA_12!D28</f>
        <v>2</v>
      </c>
    </row>
    <row r="15" spans="2:14" ht="19.05" customHeight="1" x14ac:dyDescent="0.3">
      <c r="B15" s="25">
        <v>2</v>
      </c>
      <c r="C15" s="23">
        <f>GRAFICA_12!C29</f>
        <v>2</v>
      </c>
      <c r="D15" s="23">
        <f>GRAFICA_12!C29</f>
        <v>2</v>
      </c>
      <c r="E15" s="23">
        <f>GRAFICA_12!D29</f>
        <v>3</v>
      </c>
      <c r="F15" s="23">
        <f>GRAFICA_12!D29</f>
        <v>3</v>
      </c>
    </row>
    <row r="16" spans="2:14" ht="19.05" customHeight="1" x14ac:dyDescent="0.3">
      <c r="B16" s="26">
        <v>3</v>
      </c>
      <c r="C16" s="23">
        <f>GRAFICA_12!C30</f>
        <v>3</v>
      </c>
      <c r="D16" s="23">
        <f>GRAFICA_12!C30</f>
        <v>3</v>
      </c>
      <c r="E16" s="23">
        <f>GRAFICA_12!D30</f>
        <v>4</v>
      </c>
      <c r="F16" s="23">
        <f>GRAFICA_12!D30</f>
        <v>4</v>
      </c>
    </row>
    <row r="17" spans="1:10" ht="19.05" customHeight="1" x14ac:dyDescent="0.3">
      <c r="B17" s="43">
        <v>4</v>
      </c>
      <c r="C17" s="23">
        <f>GRAFICA_12!C31</f>
        <v>4</v>
      </c>
      <c r="D17" s="23">
        <f>GRAFICA_12!C31</f>
        <v>4</v>
      </c>
      <c r="E17" s="23">
        <f>GRAFICA_12!D31</f>
        <v>1</v>
      </c>
      <c r="F17" s="23">
        <f>GRAFICA_12!D31</f>
        <v>1</v>
      </c>
    </row>
    <row r="18" spans="1:10" ht="19.05" customHeight="1" x14ac:dyDescent="0.3">
      <c r="B18" s="44">
        <v>5</v>
      </c>
      <c r="C18" s="23">
        <f>GRAFICA_12!C32</f>
        <v>1</v>
      </c>
      <c r="D18" s="23">
        <f>GRAFICA_12!C32</f>
        <v>1</v>
      </c>
      <c r="E18" s="23">
        <f>GRAFICA_12!D32</f>
        <v>3</v>
      </c>
      <c r="F18" s="23">
        <f>GRAFICA_12!D32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1710.3651259974799</v>
      </c>
      <c r="C39" s="30">
        <f>J7*K7*N7</f>
        <v>-8209.7526047879037</v>
      </c>
      <c r="D39" s="30">
        <f>-B39</f>
        <v>-1710.3651259974799</v>
      </c>
      <c r="E39" s="30">
        <f>-C39</f>
        <v>8209.7526047879037</v>
      </c>
      <c r="F39" s="29" t="str">
        <f>B38</f>
        <v>U2X</v>
      </c>
    </row>
    <row r="40" spans="1:10" ht="16.8" customHeight="1" x14ac:dyDescent="0.3">
      <c r="A40" s="28" t="s">
        <v>191</v>
      </c>
      <c r="B40" s="30">
        <f>C39</f>
        <v>-8209.7526047879037</v>
      </c>
      <c r="C40" s="30">
        <f>K7*K7*N7</f>
        <v>39406.812502981942</v>
      </c>
      <c r="D40" s="30">
        <f>-B40</f>
        <v>8209.7526047879037</v>
      </c>
      <c r="E40" s="30">
        <f>-C40</f>
        <v>-39406.812502981942</v>
      </c>
      <c r="F40" s="29" t="str">
        <f>C38</f>
        <v>U2Y</v>
      </c>
    </row>
    <row r="41" spans="1:10" x14ac:dyDescent="0.3">
      <c r="B41" s="30">
        <f>D39</f>
        <v>-1710.3651259974799</v>
      </c>
      <c r="C41" s="30">
        <f>E39</f>
        <v>8209.7526047879037</v>
      </c>
      <c r="D41" s="30">
        <f>B39</f>
        <v>1710.3651259974799</v>
      </c>
      <c r="E41" s="30">
        <f>C39</f>
        <v>-8209.7526047879037</v>
      </c>
      <c r="F41" s="29" t="str">
        <f>D38</f>
        <v>U3X</v>
      </c>
    </row>
    <row r="42" spans="1:10" x14ac:dyDescent="0.3">
      <c r="B42" s="30">
        <f>D40</f>
        <v>8209.7526047879037</v>
      </c>
      <c r="C42" s="30">
        <f>E40</f>
        <v>-39406.812502981942</v>
      </c>
      <c r="D42" s="30">
        <f>B40</f>
        <v>-8209.7526047879037</v>
      </c>
      <c r="E42" s="30">
        <f>C40</f>
        <v>39406.812502981942</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1710.3651259974799</v>
      </c>
      <c r="E47" s="31">
        <f t="shared" si="2"/>
        <v>-8209.7526047879037</v>
      </c>
      <c r="F47" s="31">
        <f t="shared" si="2"/>
        <v>-1710.3651259974799</v>
      </c>
      <c r="G47" s="31">
        <f t="shared" si="2"/>
        <v>8209.7526047879037</v>
      </c>
      <c r="H47" s="9">
        <f t="shared" si="2"/>
        <v>0</v>
      </c>
      <c r="I47" s="9">
        <f t="shared" si="2"/>
        <v>0</v>
      </c>
      <c r="J47" s="29" t="s">
        <v>180</v>
      </c>
    </row>
    <row r="48" spans="1:10" ht="19.05" customHeight="1" x14ac:dyDescent="0.3">
      <c r="A48" s="28" t="s">
        <v>192</v>
      </c>
      <c r="B48" s="9">
        <f t="shared" si="2"/>
        <v>0</v>
      </c>
      <c r="C48" s="9">
        <f t="shared" si="2"/>
        <v>0</v>
      </c>
      <c r="D48" s="31">
        <f t="shared" si="2"/>
        <v>-8209.7526047879037</v>
      </c>
      <c r="E48" s="31">
        <f t="shared" si="2"/>
        <v>39406.812502981942</v>
      </c>
      <c r="F48" s="31">
        <f t="shared" si="2"/>
        <v>8209.7526047879037</v>
      </c>
      <c r="G48" s="31">
        <f t="shared" si="2"/>
        <v>-39406.812502981942</v>
      </c>
      <c r="H48" s="9">
        <f t="shared" si="2"/>
        <v>0</v>
      </c>
      <c r="I48" s="9">
        <f t="shared" si="2"/>
        <v>0</v>
      </c>
      <c r="J48" s="29" t="s">
        <v>181</v>
      </c>
    </row>
    <row r="49" spans="1:10" ht="19.05" customHeight="1" x14ac:dyDescent="0.3">
      <c r="B49" s="9">
        <f t="shared" si="2"/>
        <v>0</v>
      </c>
      <c r="C49" s="9">
        <f t="shared" si="2"/>
        <v>0</v>
      </c>
      <c r="D49" s="31">
        <f t="shared" si="2"/>
        <v>-1710.3651259974799</v>
      </c>
      <c r="E49" s="31">
        <f t="shared" si="2"/>
        <v>8209.7526047879037</v>
      </c>
      <c r="F49" s="31">
        <f t="shared" si="2"/>
        <v>1710.3651259974799</v>
      </c>
      <c r="G49" s="31">
        <f t="shared" si="2"/>
        <v>-8209.7526047879037</v>
      </c>
      <c r="H49" s="9">
        <f t="shared" si="2"/>
        <v>0</v>
      </c>
      <c r="I49" s="9">
        <f t="shared" si="2"/>
        <v>0</v>
      </c>
      <c r="J49" s="29" t="s">
        <v>182</v>
      </c>
    </row>
    <row r="50" spans="1:10" ht="19.05" customHeight="1" x14ac:dyDescent="0.3">
      <c r="B50" s="9">
        <f t="shared" si="2"/>
        <v>0</v>
      </c>
      <c r="C50" s="9">
        <f t="shared" si="2"/>
        <v>0</v>
      </c>
      <c r="D50" s="31">
        <f t="shared" si="2"/>
        <v>8209.7526047879037</v>
      </c>
      <c r="E50" s="31">
        <f t="shared" si="2"/>
        <v>-39406.812502981942</v>
      </c>
      <c r="F50" s="31">
        <f t="shared" si="2"/>
        <v>-8209.7526047879037</v>
      </c>
      <c r="G50" s="31">
        <f t="shared" si="2"/>
        <v>39406.812502981942</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100800</v>
      </c>
      <c r="C56" s="33">
        <f>J8*K8*N8</f>
        <v>0</v>
      </c>
      <c r="D56" s="33">
        <f>-B56</f>
        <v>-100800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-100800</v>
      </c>
      <c r="C58" s="33">
        <f>E56</f>
        <v>0</v>
      </c>
      <c r="D58" s="33">
        <f>B56</f>
        <v>100800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100800</v>
      </c>
      <c r="G66" s="34">
        <f t="shared" si="3"/>
        <v>0</v>
      </c>
      <c r="H66" s="34">
        <f t="shared" si="3"/>
        <v>-100800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-100800</v>
      </c>
      <c r="G68" s="34">
        <f t="shared" si="3"/>
        <v>0</v>
      </c>
      <c r="H68" s="34">
        <f t="shared" si="3"/>
        <v>100800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1710.3651259974799</v>
      </c>
      <c r="C73" s="46">
        <f>J9*K9*N9</f>
        <v>8209.7526047879037</v>
      </c>
      <c r="D73" s="46">
        <f>-B73</f>
        <v>-1710.3651259974799</v>
      </c>
      <c r="E73" s="46">
        <f>-C73</f>
        <v>-8209.7526047879037</v>
      </c>
      <c r="F73" s="45" t="str">
        <f>B72</f>
        <v>U4X</v>
      </c>
    </row>
    <row r="74" spans="1:10" ht="16.8" customHeight="1" x14ac:dyDescent="0.3">
      <c r="A74" s="28" t="s">
        <v>195</v>
      </c>
      <c r="B74" s="46">
        <f>C73</f>
        <v>8209.7526047879037</v>
      </c>
      <c r="C74" s="46">
        <f>K9*K9*N9</f>
        <v>39406.812502981942</v>
      </c>
      <c r="D74" s="46">
        <f>-B74</f>
        <v>-8209.7526047879037</v>
      </c>
      <c r="E74" s="46">
        <f>-C74</f>
        <v>-39406.812502981942</v>
      </c>
      <c r="F74" s="45" t="str">
        <f>C72</f>
        <v>U4Y</v>
      </c>
    </row>
    <row r="75" spans="1:10" x14ac:dyDescent="0.3">
      <c r="B75" s="46">
        <f>D73</f>
        <v>-1710.3651259974799</v>
      </c>
      <c r="C75" s="46">
        <f>E73</f>
        <v>-8209.7526047879037</v>
      </c>
      <c r="D75" s="46">
        <f>B73</f>
        <v>1710.3651259974799</v>
      </c>
      <c r="E75" s="46">
        <f>C73</f>
        <v>8209.7526047879037</v>
      </c>
      <c r="F75" s="45" t="str">
        <f>D72</f>
        <v>U1X</v>
      </c>
    </row>
    <row r="76" spans="1:10" x14ac:dyDescent="0.3">
      <c r="B76" s="46">
        <f>D74</f>
        <v>-8209.7526047879037</v>
      </c>
      <c r="C76" s="46">
        <f>E74</f>
        <v>-39406.812502981942</v>
      </c>
      <c r="D76" s="46">
        <f>B74</f>
        <v>8209.7526047879037</v>
      </c>
      <c r="E76" s="46">
        <f>C74</f>
        <v>39406.812502981942</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1710.3651259974799</v>
      </c>
      <c r="C79" s="47">
        <f t="shared" si="4"/>
        <v>8209.7526047879037</v>
      </c>
      <c r="D79" s="9">
        <f t="shared" si="4"/>
        <v>0</v>
      </c>
      <c r="E79" s="9">
        <f t="shared" si="4"/>
        <v>0</v>
      </c>
      <c r="F79" s="9">
        <f t="shared" si="4"/>
        <v>0</v>
      </c>
      <c r="G79" s="9">
        <f t="shared" si="4"/>
        <v>0</v>
      </c>
      <c r="H79" s="47">
        <f t="shared" si="4"/>
        <v>-1710.3651259974799</v>
      </c>
      <c r="I79" s="47">
        <f t="shared" si="4"/>
        <v>-8209.7526047879037</v>
      </c>
      <c r="J79" s="45" t="s">
        <v>178</v>
      </c>
    </row>
    <row r="80" spans="1:10" ht="19.05" customHeight="1" x14ac:dyDescent="0.3">
      <c r="B80" s="47">
        <f t="shared" si="4"/>
        <v>8209.7526047879037</v>
      </c>
      <c r="C80" s="47">
        <f t="shared" si="4"/>
        <v>39406.812502981942</v>
      </c>
      <c r="D80" s="9">
        <f t="shared" si="4"/>
        <v>0</v>
      </c>
      <c r="E80" s="9">
        <f t="shared" si="4"/>
        <v>0</v>
      </c>
      <c r="F80" s="9">
        <f t="shared" si="4"/>
        <v>0</v>
      </c>
      <c r="G80" s="9">
        <f t="shared" si="4"/>
        <v>0</v>
      </c>
      <c r="H80" s="47">
        <f t="shared" si="4"/>
        <v>-8209.7526047879037</v>
      </c>
      <c r="I80" s="47">
        <f t="shared" si="4"/>
        <v>-39406.812502981942</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-1710.3651259974799</v>
      </c>
      <c r="C85" s="47">
        <f t="shared" si="4"/>
        <v>-8209.7526047879037</v>
      </c>
      <c r="D85" s="9">
        <f t="shared" si="4"/>
        <v>0</v>
      </c>
      <c r="E85" s="9">
        <f t="shared" si="4"/>
        <v>0</v>
      </c>
      <c r="F85" s="9">
        <f t="shared" si="4"/>
        <v>0</v>
      </c>
      <c r="G85" s="9">
        <f t="shared" si="4"/>
        <v>0</v>
      </c>
      <c r="H85" s="47">
        <f t="shared" si="4"/>
        <v>1710.3651259974799</v>
      </c>
      <c r="I85" s="47">
        <f t="shared" si="4"/>
        <v>8209.7526047879037</v>
      </c>
      <c r="J85" s="45" t="s">
        <v>184</v>
      </c>
    </row>
    <row r="86" spans="1:10" ht="19.05" customHeight="1" x14ac:dyDescent="0.3">
      <c r="B86" s="47">
        <f t="shared" si="4"/>
        <v>-8209.7526047879037</v>
      </c>
      <c r="C86" s="47">
        <f t="shared" si="4"/>
        <v>-39406.812502981942</v>
      </c>
      <c r="D86" s="9">
        <f t="shared" si="4"/>
        <v>0</v>
      </c>
      <c r="E86" s="9">
        <f t="shared" si="4"/>
        <v>0</v>
      </c>
      <c r="F86" s="9">
        <f t="shared" si="4"/>
        <v>0</v>
      </c>
      <c r="G86" s="9">
        <f t="shared" si="4"/>
        <v>0</v>
      </c>
      <c r="H86" s="47">
        <f t="shared" si="4"/>
        <v>8209.7526047879037</v>
      </c>
      <c r="I86" s="47">
        <f t="shared" si="4"/>
        <v>39406.812502981942</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10004.474373093733</v>
      </c>
      <c r="C90" s="49">
        <f>J10*K10*N10</f>
        <v>16007.158996949973</v>
      </c>
      <c r="D90" s="49">
        <f>-B90</f>
        <v>-10004.474373093733</v>
      </c>
      <c r="E90" s="49">
        <f>-C90</f>
        <v>-16007.158996949973</v>
      </c>
      <c r="F90" s="48" t="str">
        <f>B89</f>
        <v>U1X</v>
      </c>
    </row>
    <row r="91" spans="1:10" ht="16.8" customHeight="1" x14ac:dyDescent="0.3">
      <c r="A91" s="28" t="s">
        <v>197</v>
      </c>
      <c r="B91" s="49">
        <f>C90</f>
        <v>16007.158996949973</v>
      </c>
      <c r="C91" s="49">
        <f>K10*K10*N10</f>
        <v>25611.454395119956</v>
      </c>
      <c r="D91" s="49">
        <f>-B91</f>
        <v>-16007.158996949973</v>
      </c>
      <c r="E91" s="49">
        <f>-C91</f>
        <v>-25611.454395119956</v>
      </c>
      <c r="F91" s="48" t="str">
        <f>C89</f>
        <v>U1Y</v>
      </c>
    </row>
    <row r="92" spans="1:10" x14ac:dyDescent="0.3">
      <c r="B92" s="49">
        <f>D90</f>
        <v>-10004.474373093733</v>
      </c>
      <c r="C92" s="49">
        <f>E90</f>
        <v>-16007.158996949973</v>
      </c>
      <c r="D92" s="49">
        <f>B90</f>
        <v>10004.474373093733</v>
      </c>
      <c r="E92" s="49">
        <f>C90</f>
        <v>16007.158996949973</v>
      </c>
      <c r="F92" s="48" t="str">
        <f>D89</f>
        <v>U3X</v>
      </c>
    </row>
    <row r="93" spans="1:10" x14ac:dyDescent="0.3">
      <c r="B93" s="49">
        <f>D91</f>
        <v>-16007.158996949973</v>
      </c>
      <c r="C93" s="49">
        <f>E91</f>
        <v>-25611.454395119956</v>
      </c>
      <c r="D93" s="49">
        <f>B91</f>
        <v>16007.158996949973</v>
      </c>
      <c r="E93" s="49">
        <f>C91</f>
        <v>25611.454395119956</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10004.474373093733</v>
      </c>
      <c r="C96" s="50">
        <f t="shared" si="5"/>
        <v>16007.158996949973</v>
      </c>
      <c r="D96" s="9">
        <f t="shared" si="5"/>
        <v>0</v>
      </c>
      <c r="E96" s="9">
        <f t="shared" si="5"/>
        <v>0</v>
      </c>
      <c r="F96" s="50">
        <f t="shared" si="5"/>
        <v>-10004.474373093733</v>
      </c>
      <c r="G96" s="50">
        <f t="shared" si="5"/>
        <v>-16007.158996949973</v>
      </c>
      <c r="H96" s="9">
        <f t="shared" si="5"/>
        <v>0</v>
      </c>
      <c r="I96" s="9">
        <f t="shared" si="5"/>
        <v>0</v>
      </c>
      <c r="J96" s="48" t="s">
        <v>178</v>
      </c>
    </row>
    <row r="97" spans="1:10" ht="19.05" customHeight="1" x14ac:dyDescent="0.3">
      <c r="B97" s="50">
        <f t="shared" si="5"/>
        <v>16007.158996949973</v>
      </c>
      <c r="C97" s="50">
        <f t="shared" si="5"/>
        <v>25611.454395119956</v>
      </c>
      <c r="D97" s="9">
        <f t="shared" si="5"/>
        <v>0</v>
      </c>
      <c r="E97" s="9">
        <f t="shared" si="5"/>
        <v>0</v>
      </c>
      <c r="F97" s="50">
        <f t="shared" si="5"/>
        <v>-16007.158996949973</v>
      </c>
      <c r="G97" s="50">
        <f t="shared" si="5"/>
        <v>-25611.454395119956</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-10004.474373093733</v>
      </c>
      <c r="C100" s="50">
        <f t="shared" si="5"/>
        <v>-16007.158996949973</v>
      </c>
      <c r="D100" s="9">
        <f t="shared" si="5"/>
        <v>0</v>
      </c>
      <c r="E100" s="9">
        <f t="shared" si="5"/>
        <v>0</v>
      </c>
      <c r="F100" s="50">
        <f t="shared" si="5"/>
        <v>10004.474373093733</v>
      </c>
      <c r="G100" s="50">
        <f t="shared" si="5"/>
        <v>16007.158996949973</v>
      </c>
      <c r="H100" s="9">
        <f t="shared" si="5"/>
        <v>0</v>
      </c>
      <c r="I100" s="9">
        <f t="shared" si="5"/>
        <v>0</v>
      </c>
      <c r="J100" s="48" t="s">
        <v>182</v>
      </c>
    </row>
    <row r="101" spans="1:10" ht="19.05" customHeight="1" x14ac:dyDescent="0.3">
      <c r="B101" s="50">
        <f t="shared" si="5"/>
        <v>-16007.158996949973</v>
      </c>
      <c r="C101" s="50">
        <f t="shared" si="5"/>
        <v>-25611.454395119956</v>
      </c>
      <c r="D101" s="9">
        <f t="shared" si="5"/>
        <v>0</v>
      </c>
      <c r="E101" s="9">
        <f t="shared" si="5"/>
        <v>0</v>
      </c>
      <c r="F101" s="50">
        <f t="shared" si="5"/>
        <v>16007.158996949973</v>
      </c>
      <c r="G101" s="50">
        <f t="shared" si="5"/>
        <v>25611.454395119956</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62114.839499091213</v>
      </c>
      <c r="C107" s="36">
        <f t="shared" si="6"/>
        <v>24216.911601737876</v>
      </c>
      <c r="D107" s="9">
        <f t="shared" si="6"/>
        <v>-50400</v>
      </c>
      <c r="E107" s="9">
        <f t="shared" si="6"/>
        <v>0</v>
      </c>
      <c r="F107" s="9">
        <f t="shared" si="6"/>
        <v>-10004.474373093733</v>
      </c>
      <c r="G107" s="9">
        <f t="shared" si="6"/>
        <v>-16007.158996949973</v>
      </c>
      <c r="H107" s="9">
        <f t="shared" si="6"/>
        <v>-1710.3651259974799</v>
      </c>
      <c r="I107" s="9">
        <f t="shared" si="6"/>
        <v>-8209.7526047879037</v>
      </c>
      <c r="J107" s="89" t="s">
        <v>178</v>
      </c>
    </row>
    <row r="108" spans="1:10" ht="19.95" customHeight="1" x14ac:dyDescent="0.3">
      <c r="B108" s="36">
        <f t="shared" si="6"/>
        <v>24216.911601737876</v>
      </c>
      <c r="C108" s="35">
        <f t="shared" si="6"/>
        <v>65018.266898101894</v>
      </c>
      <c r="D108" s="9">
        <f t="shared" si="6"/>
        <v>0</v>
      </c>
      <c r="E108" s="9">
        <f t="shared" si="6"/>
        <v>0</v>
      </c>
      <c r="F108" s="9">
        <f t="shared" si="6"/>
        <v>-16007.158996949973</v>
      </c>
      <c r="G108" s="9">
        <f t="shared" si="6"/>
        <v>-25611.454395119956</v>
      </c>
      <c r="H108" s="9">
        <f t="shared" si="6"/>
        <v>-8209.7526047879037</v>
      </c>
      <c r="I108" s="9">
        <f t="shared" si="6"/>
        <v>-39406.812502981942</v>
      </c>
      <c r="J108" s="89" t="s">
        <v>179</v>
      </c>
    </row>
    <row r="109" spans="1:10" ht="19.95" customHeight="1" x14ac:dyDescent="0.3">
      <c r="B109" s="9">
        <f t="shared" si="6"/>
        <v>-50400</v>
      </c>
      <c r="C109" s="9">
        <f t="shared" si="6"/>
        <v>0</v>
      </c>
      <c r="D109" s="35">
        <f t="shared" si="6"/>
        <v>52110.365125997479</v>
      </c>
      <c r="E109" s="36">
        <f t="shared" si="6"/>
        <v>-8209.7526047879037</v>
      </c>
      <c r="F109" s="9">
        <f t="shared" si="6"/>
        <v>-1710.3651259974799</v>
      </c>
      <c r="G109" s="9">
        <f t="shared" si="6"/>
        <v>8209.7526047879037</v>
      </c>
      <c r="H109" s="9">
        <f t="shared" si="6"/>
        <v>0</v>
      </c>
      <c r="I109" s="9">
        <f t="shared" si="6"/>
        <v>0</v>
      </c>
      <c r="J109" s="89" t="s">
        <v>180</v>
      </c>
    </row>
    <row r="110" spans="1:10" ht="19.95" customHeight="1" x14ac:dyDescent="0.3">
      <c r="A110" s="28" t="s">
        <v>205</v>
      </c>
      <c r="B110" s="9">
        <f t="shared" si="6"/>
        <v>0</v>
      </c>
      <c r="C110" s="9">
        <f t="shared" si="6"/>
        <v>0</v>
      </c>
      <c r="D110" s="36">
        <f t="shared" si="6"/>
        <v>-8209.7526047879037</v>
      </c>
      <c r="E110" s="35">
        <f t="shared" si="6"/>
        <v>39406.812502981942</v>
      </c>
      <c r="F110" s="9">
        <f t="shared" si="6"/>
        <v>8209.7526047879037</v>
      </c>
      <c r="G110" s="9">
        <f t="shared" si="6"/>
        <v>-39406.812502981942</v>
      </c>
      <c r="H110" s="9">
        <f t="shared" si="6"/>
        <v>0</v>
      </c>
      <c r="I110" s="9">
        <f t="shared" si="6"/>
        <v>0</v>
      </c>
      <c r="J110" s="89" t="s">
        <v>181</v>
      </c>
    </row>
    <row r="111" spans="1:10" ht="19.95" customHeight="1" x14ac:dyDescent="0.3">
      <c r="B111" s="9">
        <f t="shared" si="6"/>
        <v>-10004.474373093733</v>
      </c>
      <c r="C111" s="9">
        <f t="shared" si="6"/>
        <v>-16007.158996949973</v>
      </c>
      <c r="D111" s="9">
        <f t="shared" si="6"/>
        <v>-1710.3651259974799</v>
      </c>
      <c r="E111" s="9">
        <f t="shared" si="6"/>
        <v>8209.7526047879037</v>
      </c>
      <c r="F111" s="35">
        <f t="shared" si="6"/>
        <v>112514.83949909122</v>
      </c>
      <c r="G111" s="36">
        <f t="shared" si="6"/>
        <v>7797.4063921620691</v>
      </c>
      <c r="H111" s="9">
        <f t="shared" si="6"/>
        <v>-100800</v>
      </c>
      <c r="I111" s="9">
        <f t="shared" si="6"/>
        <v>0</v>
      </c>
      <c r="J111" s="89" t="s">
        <v>182</v>
      </c>
    </row>
    <row r="112" spans="1:10" ht="19.95" customHeight="1" x14ac:dyDescent="0.3">
      <c r="B112" s="9">
        <f t="shared" si="6"/>
        <v>-16007.158996949973</v>
      </c>
      <c r="C112" s="9">
        <f t="shared" si="6"/>
        <v>-25611.454395119956</v>
      </c>
      <c r="D112" s="9">
        <f t="shared" si="6"/>
        <v>8209.7526047879037</v>
      </c>
      <c r="E112" s="9">
        <f t="shared" si="6"/>
        <v>-39406.812502981942</v>
      </c>
      <c r="F112" s="36">
        <f t="shared" si="6"/>
        <v>7797.4063921620691</v>
      </c>
      <c r="G112" s="35">
        <f t="shared" si="6"/>
        <v>65018.266898101894</v>
      </c>
      <c r="H112" s="9">
        <f t="shared" si="6"/>
        <v>0</v>
      </c>
      <c r="I112" s="9">
        <f t="shared" si="6"/>
        <v>0</v>
      </c>
      <c r="J112" s="89" t="s">
        <v>183</v>
      </c>
    </row>
    <row r="113" spans="1:17" ht="19.95" customHeight="1" x14ac:dyDescent="0.3">
      <c r="B113" s="9">
        <f t="shared" si="6"/>
        <v>-1710.3651259974799</v>
      </c>
      <c r="C113" s="9">
        <f t="shared" si="6"/>
        <v>-8209.7526047879037</v>
      </c>
      <c r="D113" s="9">
        <f t="shared" si="6"/>
        <v>0</v>
      </c>
      <c r="E113" s="9">
        <f t="shared" si="6"/>
        <v>0</v>
      </c>
      <c r="F113" s="9">
        <f t="shared" si="6"/>
        <v>-100800</v>
      </c>
      <c r="G113" s="9">
        <f t="shared" si="6"/>
        <v>0</v>
      </c>
      <c r="H113" s="35">
        <f t="shared" si="6"/>
        <v>102510.36512599749</v>
      </c>
      <c r="I113" s="36">
        <f t="shared" si="6"/>
        <v>8209.7526047879037</v>
      </c>
      <c r="J113" s="89" t="s">
        <v>184</v>
      </c>
    </row>
    <row r="114" spans="1:17" ht="19.95" customHeight="1" x14ac:dyDescent="0.3">
      <c r="B114" s="9">
        <f t="shared" si="6"/>
        <v>-8209.7526047879037</v>
      </c>
      <c r="C114" s="9">
        <f t="shared" si="6"/>
        <v>-39406.812502981942</v>
      </c>
      <c r="D114" s="9">
        <f t="shared" si="6"/>
        <v>0</v>
      </c>
      <c r="E114" s="9">
        <f t="shared" si="6"/>
        <v>0</v>
      </c>
      <c r="F114" s="9">
        <f t="shared" si="6"/>
        <v>0</v>
      </c>
      <c r="G114" s="9">
        <f t="shared" si="6"/>
        <v>0</v>
      </c>
      <c r="H114" s="36">
        <f t="shared" si="6"/>
        <v>8209.7526047879037</v>
      </c>
      <c r="I114" s="35">
        <f t="shared" si="6"/>
        <v>39406.812502981942</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IF(GRAFICA_12!F14=1, B118, GRAFICA_12!H14)</f>
        <v>C1X</v>
      </c>
      <c r="L118" s="215" t="s">
        <v>376</v>
      </c>
      <c r="M118" s="172"/>
      <c r="N118" s="172"/>
      <c r="O118" s="172"/>
      <c r="P118" s="172"/>
      <c r="Q118" s="173"/>
    </row>
    <row r="119" spans="1:17" ht="16.95" customHeight="1" x14ac:dyDescent="0.3">
      <c r="B119" s="12" t="s">
        <v>210</v>
      </c>
      <c r="C119" s="12" t="s">
        <v>179</v>
      </c>
      <c r="E119" s="37" t="str">
        <f>IF(GRAFICA_12!G14=1, B119, GRAFICA_12!I14)</f>
        <v>C1Y</v>
      </c>
      <c r="L119" s="215" t="s">
        <v>211</v>
      </c>
      <c r="M119" s="172"/>
      <c r="N119" s="172"/>
      <c r="O119" s="172"/>
      <c r="P119" s="172"/>
      <c r="Q119" s="173"/>
    </row>
    <row r="120" spans="1:17" ht="16.95" customHeight="1" x14ac:dyDescent="0.3">
      <c r="B120" s="12" t="s">
        <v>212</v>
      </c>
      <c r="C120" s="12" t="s">
        <v>180</v>
      </c>
      <c r="E120" s="37">
        <f>IF(GRAFICA_12!F15=1, B120, GRAFICA_12!H15)</f>
        <v>0</v>
      </c>
      <c r="L120" s="215" t="s">
        <v>377</v>
      </c>
      <c r="M120" s="172"/>
      <c r="N120" s="172"/>
      <c r="O120" s="172"/>
      <c r="P120" s="172"/>
      <c r="Q120" s="173"/>
    </row>
    <row r="121" spans="1:17" ht="16.95" customHeight="1" x14ac:dyDescent="0.3">
      <c r="A121" s="38" t="s">
        <v>218</v>
      </c>
      <c r="B121" s="12" t="s">
        <v>214</v>
      </c>
      <c r="C121" s="12" t="s">
        <v>181</v>
      </c>
      <c r="D121" s="13" t="s">
        <v>220</v>
      </c>
      <c r="E121" s="37" t="str">
        <f>IF(GRAFICA_12!G15=1, B121, GRAFICA_12!I15)</f>
        <v>C2Y</v>
      </c>
      <c r="L121" s="215" t="s">
        <v>215</v>
      </c>
      <c r="M121" s="172"/>
      <c r="N121" s="172"/>
      <c r="O121" s="172"/>
      <c r="P121" s="172"/>
      <c r="Q121" s="173"/>
    </row>
    <row r="122" spans="1:17" ht="16.95" customHeight="1" x14ac:dyDescent="0.3">
      <c r="B122" s="12" t="s">
        <v>216</v>
      </c>
      <c r="C122" s="12" t="s">
        <v>182</v>
      </c>
      <c r="E122" s="37">
        <f>IF(GRAFICA_12!F16=1, B122, GRAFICA_12!H16)</f>
        <v>3000</v>
      </c>
      <c r="L122" s="215" t="s">
        <v>378</v>
      </c>
      <c r="M122" s="172"/>
      <c r="N122" s="172"/>
      <c r="O122" s="172"/>
      <c r="P122" s="172"/>
      <c r="Q122" s="173"/>
    </row>
    <row r="123" spans="1:17" ht="16.95" customHeight="1" x14ac:dyDescent="0.3">
      <c r="B123" s="12" t="s">
        <v>219</v>
      </c>
      <c r="C123" s="12" t="s">
        <v>183</v>
      </c>
      <c r="E123" s="37">
        <f>IF(GRAFICA_12!G16=1, B123, GRAFICA_12!I16)</f>
        <v>-2000</v>
      </c>
      <c r="L123" s="215" t="s">
        <v>379</v>
      </c>
      <c r="M123" s="172"/>
      <c r="N123" s="172"/>
      <c r="O123" s="172"/>
      <c r="P123" s="172"/>
      <c r="Q123" s="173"/>
    </row>
    <row r="124" spans="1:17" ht="16.95" customHeight="1" x14ac:dyDescent="0.3">
      <c r="B124" s="12" t="s">
        <v>221</v>
      </c>
      <c r="C124" s="12" t="s">
        <v>184</v>
      </c>
      <c r="E124" s="37">
        <f>IF(GRAFICA_12!F17=1, B124, GRAFICA_12!H17)</f>
        <v>4500</v>
      </c>
      <c r="L124" s="215"/>
      <c r="M124" s="172"/>
      <c r="N124" s="172"/>
      <c r="O124" s="172"/>
      <c r="P124" s="172"/>
      <c r="Q124" s="173"/>
    </row>
    <row r="125" spans="1:17" ht="16.95" customHeight="1" x14ac:dyDescent="0.3">
      <c r="B125" s="12" t="s">
        <v>222</v>
      </c>
      <c r="C125" s="12" t="s">
        <v>185</v>
      </c>
      <c r="E125" s="37">
        <f>IF(GRAFICA_12!G17=1, B125, GRAFICA_12!I17)</f>
        <v>-2000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IF(GRAFICA_12!F14=1,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IF(GRAFICA_12!G14=1,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IF(GRAFICA_12!F15=1,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f>IF(GRAFICA_12!G15=1, 0, B131)</f>
        <v>0</v>
      </c>
      <c r="F131" s="14" t="str">
        <f>IF(E131&lt;&gt;0, COUNTIF(E$128:E131, "&lt;&gt;0"), "")</f>
        <v/>
      </c>
      <c r="G131" s="14">
        <f>IF(E131=0, COUNTIF(E$128:E131, 0), "")</f>
        <v>3</v>
      </c>
      <c r="L131" s="215"/>
      <c r="M131" s="172"/>
      <c r="N131" s="172"/>
      <c r="O131" s="172"/>
      <c r="P131" s="172"/>
      <c r="Q131" s="173"/>
    </row>
    <row r="132" spans="1:17" ht="16.95" customHeight="1" x14ac:dyDescent="0.3">
      <c r="B132" s="12" t="s">
        <v>232</v>
      </c>
      <c r="C132" s="12" t="s">
        <v>182</v>
      </c>
      <c r="E132" s="39" t="str">
        <f>IF(GRAFICA_12!F16=1,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IF(GRAFICA_12!G16=1,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IF(GRAFICA_12!F17=1,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IF(GRAFICA_12!G17=1,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62114.839499091213</v>
      </c>
      <c r="D140" s="9">
        <f t="shared" si="8"/>
        <v>24216.911601737876</v>
      </c>
      <c r="E140" s="9">
        <f t="shared" si="8"/>
        <v>-50400</v>
      </c>
      <c r="F140" s="9">
        <f t="shared" si="8"/>
        <v>0</v>
      </c>
      <c r="G140" s="9">
        <f t="shared" si="8"/>
        <v>-10004.474373093733</v>
      </c>
      <c r="H140" s="9">
        <f t="shared" si="8"/>
        <v>-16007.158996949973</v>
      </c>
      <c r="I140" s="9">
        <f t="shared" si="8"/>
        <v>-1710.3651259974799</v>
      </c>
      <c r="J140" s="9">
        <f t="shared" si="8"/>
        <v>-8209.7526047879037</v>
      </c>
      <c r="K140" s="13" t="s">
        <v>251</v>
      </c>
      <c r="L140" s="219" t="s">
        <v>380</v>
      </c>
      <c r="M140" s="172"/>
      <c r="N140" s="172"/>
      <c r="O140" s="172"/>
      <c r="P140" s="172"/>
      <c r="Q140" s="173"/>
    </row>
    <row r="141" spans="1:17" ht="16.95" customHeight="1" x14ac:dyDescent="0.3">
      <c r="A141" s="12" t="str">
        <f t="shared" si="7"/>
        <v>C1Y</v>
      </c>
      <c r="C141" s="9">
        <f t="shared" si="8"/>
        <v>24216.911601737876</v>
      </c>
      <c r="D141" s="9">
        <f t="shared" si="8"/>
        <v>65018.266898101894</v>
      </c>
      <c r="E141" s="9">
        <f t="shared" si="8"/>
        <v>0</v>
      </c>
      <c r="F141" s="9">
        <f t="shared" si="8"/>
        <v>0</v>
      </c>
      <c r="G141" s="9">
        <f t="shared" si="8"/>
        <v>-16007.158996949973</v>
      </c>
      <c r="H141" s="9">
        <f t="shared" si="8"/>
        <v>-25611.454395119956</v>
      </c>
      <c r="I141" s="9">
        <f t="shared" si="8"/>
        <v>-8209.7526047879037</v>
      </c>
      <c r="J141" s="9">
        <f t="shared" si="8"/>
        <v>-39406.812502981942</v>
      </c>
      <c r="K141" s="13" t="s">
        <v>251</v>
      </c>
      <c r="L141" s="219" t="s">
        <v>253</v>
      </c>
      <c r="M141" s="172"/>
      <c r="N141" s="172"/>
      <c r="O141" s="172"/>
      <c r="P141" s="172"/>
      <c r="Q141" s="173"/>
    </row>
    <row r="142" spans="1:17" ht="16.95" customHeight="1" x14ac:dyDescent="0.3">
      <c r="A142" s="41">
        <f t="shared" si="7"/>
        <v>0</v>
      </c>
      <c r="C142" s="9">
        <f t="shared" si="8"/>
        <v>-50400</v>
      </c>
      <c r="D142" s="9">
        <f t="shared" si="8"/>
        <v>0</v>
      </c>
      <c r="E142" s="41">
        <f t="shared" si="8"/>
        <v>52110.365125997479</v>
      </c>
      <c r="F142" s="9">
        <f t="shared" si="8"/>
        <v>-8209.7526047879037</v>
      </c>
      <c r="G142" s="41">
        <f t="shared" si="8"/>
        <v>-1710.3651259974799</v>
      </c>
      <c r="H142" s="41">
        <f t="shared" si="8"/>
        <v>8209.7526047879037</v>
      </c>
      <c r="I142" s="41">
        <f t="shared" si="8"/>
        <v>0</v>
      </c>
      <c r="J142" s="41">
        <f t="shared" si="8"/>
        <v>0</v>
      </c>
      <c r="K142" s="13" t="s">
        <v>251</v>
      </c>
      <c r="L142" s="215" t="s">
        <v>254</v>
      </c>
      <c r="M142" s="172"/>
      <c r="N142" s="172"/>
      <c r="O142" s="172"/>
      <c r="P142" s="172"/>
      <c r="Q142" s="173"/>
    </row>
    <row r="143" spans="1:17" ht="16.95" customHeight="1" x14ac:dyDescent="0.3">
      <c r="A143" s="12" t="str">
        <f t="shared" si="7"/>
        <v>C2Y</v>
      </c>
      <c r="C143" s="9">
        <f t="shared" si="8"/>
        <v>0</v>
      </c>
      <c r="D143" s="9">
        <f t="shared" si="8"/>
        <v>0</v>
      </c>
      <c r="E143" s="9">
        <f t="shared" si="8"/>
        <v>-8209.7526047879037</v>
      </c>
      <c r="F143" s="9">
        <f t="shared" si="8"/>
        <v>39406.812502981942</v>
      </c>
      <c r="G143" s="9">
        <f t="shared" si="8"/>
        <v>8209.7526047879037</v>
      </c>
      <c r="H143" s="9">
        <f t="shared" si="8"/>
        <v>-39406.812502981942</v>
      </c>
      <c r="I143" s="9">
        <f t="shared" si="8"/>
        <v>0</v>
      </c>
      <c r="J143" s="9">
        <f t="shared" si="8"/>
        <v>0</v>
      </c>
      <c r="K143" s="13" t="s">
        <v>251</v>
      </c>
      <c r="L143" s="219" t="s">
        <v>381</v>
      </c>
      <c r="M143" s="172"/>
      <c r="N143" s="172"/>
      <c r="O143" s="172"/>
      <c r="P143" s="172"/>
      <c r="Q143" s="173"/>
    </row>
    <row r="144" spans="1:17" ht="16.95" customHeight="1" x14ac:dyDescent="0.3">
      <c r="A144" s="41">
        <f t="shared" si="7"/>
        <v>3000</v>
      </c>
      <c r="B144" s="13" t="s">
        <v>220</v>
      </c>
      <c r="C144" s="9">
        <f t="shared" si="8"/>
        <v>-10004.474373093733</v>
      </c>
      <c r="D144" s="9">
        <f t="shared" si="8"/>
        <v>-16007.158996949973</v>
      </c>
      <c r="E144" s="41">
        <f t="shared" si="8"/>
        <v>-1710.3651259974799</v>
      </c>
      <c r="F144" s="9">
        <f t="shared" si="8"/>
        <v>8209.7526047879037</v>
      </c>
      <c r="G144" s="41">
        <f t="shared" si="8"/>
        <v>112514.83949909122</v>
      </c>
      <c r="H144" s="41">
        <f t="shared" si="8"/>
        <v>7797.4063921620691</v>
      </c>
      <c r="I144" s="41">
        <f t="shared" si="8"/>
        <v>-100800</v>
      </c>
      <c r="J144" s="41">
        <f t="shared" si="8"/>
        <v>0</v>
      </c>
      <c r="K144" s="13" t="s">
        <v>251</v>
      </c>
      <c r="L144" s="215" t="s">
        <v>382</v>
      </c>
      <c r="M144" s="172"/>
      <c r="N144" s="172"/>
      <c r="O144" s="172"/>
      <c r="P144" s="172"/>
      <c r="Q144" s="173"/>
    </row>
    <row r="145" spans="1:17" ht="16.95" customHeight="1" x14ac:dyDescent="0.3">
      <c r="A145" s="41">
        <f t="shared" si="7"/>
        <v>-2000</v>
      </c>
      <c r="C145" s="9">
        <f t="shared" si="8"/>
        <v>-16007.158996949973</v>
      </c>
      <c r="D145" s="9">
        <f t="shared" si="8"/>
        <v>-25611.454395119956</v>
      </c>
      <c r="E145" s="41">
        <f t="shared" si="8"/>
        <v>8209.7526047879037</v>
      </c>
      <c r="F145" s="9">
        <f t="shared" si="8"/>
        <v>-39406.812502981942</v>
      </c>
      <c r="G145" s="41">
        <f t="shared" si="8"/>
        <v>7797.4063921620691</v>
      </c>
      <c r="H145" s="41">
        <f t="shared" si="8"/>
        <v>65018.266898101894</v>
      </c>
      <c r="I145" s="41">
        <f t="shared" si="8"/>
        <v>0</v>
      </c>
      <c r="J145" s="41">
        <f t="shared" si="8"/>
        <v>0</v>
      </c>
      <c r="K145" s="13" t="s">
        <v>251</v>
      </c>
      <c r="L145" s="215" t="str">
        <f>E133</f>
        <v>D3Y</v>
      </c>
      <c r="M145" s="172"/>
      <c r="N145" s="172"/>
      <c r="O145" s="172"/>
      <c r="P145" s="172"/>
      <c r="Q145" s="173"/>
    </row>
    <row r="146" spans="1:17" ht="16.95" customHeight="1" x14ac:dyDescent="0.3">
      <c r="A146" s="41">
        <f t="shared" si="7"/>
        <v>4500</v>
      </c>
      <c r="C146" s="9">
        <f t="shared" si="8"/>
        <v>-1710.3651259974799</v>
      </c>
      <c r="D146" s="9">
        <f t="shared" si="8"/>
        <v>-8209.7526047879037</v>
      </c>
      <c r="E146" s="41">
        <f t="shared" si="8"/>
        <v>0</v>
      </c>
      <c r="F146" s="9">
        <f t="shared" si="8"/>
        <v>0</v>
      </c>
      <c r="G146" s="41">
        <f t="shared" si="8"/>
        <v>-100800</v>
      </c>
      <c r="H146" s="41">
        <f t="shared" si="8"/>
        <v>0</v>
      </c>
      <c r="I146" s="41">
        <f t="shared" si="8"/>
        <v>102510.36512599749</v>
      </c>
      <c r="J146" s="41">
        <f t="shared" si="8"/>
        <v>8209.7526047879037</v>
      </c>
      <c r="K146" s="13" t="s">
        <v>251</v>
      </c>
      <c r="L146" s="215" t="str">
        <f>E134</f>
        <v>D4X</v>
      </c>
      <c r="M146" s="172"/>
      <c r="N146" s="172"/>
      <c r="O146" s="172"/>
      <c r="P146" s="172"/>
      <c r="Q146" s="173"/>
    </row>
    <row r="147" spans="1:17" ht="16.95" customHeight="1" x14ac:dyDescent="0.3">
      <c r="A147" s="41">
        <f t="shared" si="7"/>
        <v>-2000</v>
      </c>
      <c r="C147" s="9">
        <f t="shared" si="8"/>
        <v>-8209.7526047879037</v>
      </c>
      <c r="D147" s="9">
        <f t="shared" si="8"/>
        <v>-39406.812502981942</v>
      </c>
      <c r="E147" s="41">
        <f t="shared" si="8"/>
        <v>0</v>
      </c>
      <c r="F147" s="9">
        <f t="shared" si="8"/>
        <v>0</v>
      </c>
      <c r="G147" s="41">
        <f t="shared" si="8"/>
        <v>0</v>
      </c>
      <c r="H147" s="41">
        <f t="shared" si="8"/>
        <v>0</v>
      </c>
      <c r="I147" s="41">
        <f t="shared" si="8"/>
        <v>8209.7526047879037</v>
      </c>
      <c r="J147" s="41">
        <f t="shared" si="8"/>
        <v>39406.812502981942</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52110.365125997479</v>
      </c>
      <c r="D152" s="41">
        <f t="shared" si="9"/>
        <v>-1710.3651259974799</v>
      </c>
      <c r="E152" s="41">
        <f t="shared" si="9"/>
        <v>8209.7526047879037</v>
      </c>
      <c r="F152" s="41">
        <f t="shared" si="9"/>
        <v>0</v>
      </c>
      <c r="G152" s="41">
        <f t="shared" si="9"/>
        <v>0</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3000</v>
      </c>
      <c r="C153" s="41">
        <f t="shared" si="9"/>
        <v>-1710.3651259974799</v>
      </c>
      <c r="D153" s="41">
        <f t="shared" si="9"/>
        <v>112514.83949909122</v>
      </c>
      <c r="E153" s="41">
        <f t="shared" si="9"/>
        <v>7797.4063921620691</v>
      </c>
      <c r="F153" s="41">
        <f t="shared" si="9"/>
        <v>-100800</v>
      </c>
      <c r="G153" s="41">
        <f t="shared" si="9"/>
        <v>0</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-2000</v>
      </c>
      <c r="B154" s="13" t="s">
        <v>220</v>
      </c>
      <c r="C154" s="41">
        <f t="shared" si="9"/>
        <v>8209.7526047879037</v>
      </c>
      <c r="D154" s="41">
        <f t="shared" si="9"/>
        <v>7797.4063921620691</v>
      </c>
      <c r="E154" s="41">
        <f t="shared" si="9"/>
        <v>65018.266898101894</v>
      </c>
      <c r="F154" s="41">
        <f t="shared" si="9"/>
        <v>0</v>
      </c>
      <c r="G154" s="41">
        <f t="shared" si="9"/>
        <v>0</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4500</v>
      </c>
      <c r="C155" s="41">
        <f t="shared" si="9"/>
        <v>0</v>
      </c>
      <c r="D155" s="41">
        <f t="shared" si="9"/>
        <v>-100800</v>
      </c>
      <c r="E155" s="41">
        <f t="shared" si="9"/>
        <v>0</v>
      </c>
      <c r="F155" s="41">
        <f t="shared" si="9"/>
        <v>102510.36512599749</v>
      </c>
      <c r="G155" s="41">
        <f t="shared" si="9"/>
        <v>8209.7526047879037</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-2000</v>
      </c>
      <c r="C156" s="41">
        <f t="shared" si="9"/>
        <v>0</v>
      </c>
      <c r="D156" s="41">
        <f t="shared" si="9"/>
        <v>0</v>
      </c>
      <c r="E156" s="41">
        <f t="shared" si="9"/>
        <v>0</v>
      </c>
      <c r="F156" s="41">
        <f t="shared" si="9"/>
        <v>8209.7526047879037</v>
      </c>
      <c r="G156" s="41">
        <f t="shared" si="9"/>
        <v>39406.812502981942</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1.9841269841269838E-5</v>
      </c>
      <c r="D160" s="93">
        <v>4.9603174603174535E-6</v>
      </c>
      <c r="E160" s="93">
        <v>-3.1001984126984123E-6</v>
      </c>
      <c r="F160" s="93">
        <v>4.9603174603174518E-6</v>
      </c>
      <c r="G160" s="93">
        <v>-1.0333994708994695E-6</v>
      </c>
      <c r="I160" s="17">
        <f>A152</f>
        <v>0</v>
      </c>
      <c r="L160" s="215"/>
      <c r="M160" s="172"/>
      <c r="N160" s="172"/>
      <c r="O160" s="172"/>
      <c r="P160" s="172"/>
      <c r="Q160" s="173"/>
    </row>
    <row r="161" spans="1:17" ht="16.95" customHeight="1" x14ac:dyDescent="0.3">
      <c r="A161" s="12" t="str">
        <f>I153</f>
        <v>D3X</v>
      </c>
      <c r="C161" s="93">
        <v>4.9603174603174544E-6</v>
      </c>
      <c r="D161" s="93">
        <v>9.400682730216702E-5</v>
      </c>
      <c r="E161" s="93">
        <v>-1.1900231307546538E-5</v>
      </c>
      <c r="F161" s="93">
        <v>9.4006827302167006E-5</v>
      </c>
      <c r="G161" s="93">
        <v>-1.9584755687951462E-5</v>
      </c>
      <c r="I161" s="17">
        <f>A153</f>
        <v>3000</v>
      </c>
      <c r="L161" s="215"/>
      <c r="M161" s="172"/>
      <c r="N161" s="172"/>
      <c r="O161" s="172"/>
      <c r="P161" s="172"/>
      <c r="Q161" s="173"/>
    </row>
    <row r="162" spans="1:17" ht="16.95" customHeight="1" x14ac:dyDescent="0.3">
      <c r="A162" s="12" t="str">
        <f>I154</f>
        <v>D3Y</v>
      </c>
      <c r="B162" s="13" t="s">
        <v>220</v>
      </c>
      <c r="C162" s="93">
        <v>-3.1001984126984118E-6</v>
      </c>
      <c r="D162" s="93">
        <v>-1.190023130754654E-5</v>
      </c>
      <c r="E162" s="93">
        <v>1.7198902016447412E-5</v>
      </c>
      <c r="F162" s="93">
        <v>-1.1900231307546538E-5</v>
      </c>
      <c r="G162" s="93">
        <v>2.4792148557388623E-6</v>
      </c>
      <c r="I162" s="17">
        <f>A154</f>
        <v>-2000</v>
      </c>
      <c r="L162" s="215"/>
      <c r="M162" s="172"/>
      <c r="N162" s="172"/>
      <c r="O162" s="172"/>
      <c r="P162" s="172"/>
      <c r="Q162" s="173"/>
    </row>
    <row r="163" spans="1:17" ht="16.95" customHeight="1" x14ac:dyDescent="0.3">
      <c r="A163" s="12" t="str">
        <f>I155</f>
        <v>D4X</v>
      </c>
      <c r="C163" s="93">
        <v>4.9603174603174535E-6</v>
      </c>
      <c r="D163" s="93">
        <v>9.4006827302167006E-5</v>
      </c>
      <c r="E163" s="93">
        <v>-1.1900231307546538E-5</v>
      </c>
      <c r="F163" s="93">
        <v>1.0392746222280191E-4</v>
      </c>
      <c r="G163" s="93">
        <v>-2.1651554629750397E-5</v>
      </c>
      <c r="I163" s="17">
        <f>A155</f>
        <v>4500</v>
      </c>
      <c r="L163" s="215"/>
      <c r="M163" s="172"/>
      <c r="N163" s="172"/>
      <c r="O163" s="172"/>
      <c r="P163" s="172"/>
      <c r="Q163" s="173"/>
    </row>
    <row r="164" spans="1:17" ht="16.95" customHeight="1" x14ac:dyDescent="0.3">
      <c r="A164" s="12" t="str">
        <f>I156</f>
        <v>D4Y</v>
      </c>
      <c r="C164" s="93">
        <v>-1.0333994708994693E-6</v>
      </c>
      <c r="D164" s="93">
        <v>-1.9584755687951462E-5</v>
      </c>
      <c r="E164" s="93">
        <v>2.4792148557388619E-6</v>
      </c>
      <c r="F164" s="93">
        <v>-2.1651554629750397E-5</v>
      </c>
      <c r="G164" s="93">
        <v>2.9887063485030147E-5</v>
      </c>
      <c r="I164" s="17">
        <f>A156</f>
        <v>-2000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4.546957671957666E-2</v>
      </c>
      <c r="D168" s="12" t="s">
        <v>267</v>
      </c>
      <c r="L168" s="215"/>
      <c r="M168" s="172"/>
      <c r="N168" s="172"/>
      <c r="O168" s="172"/>
      <c r="P168" s="172"/>
      <c r="Q168" s="173"/>
    </row>
    <row r="169" spans="1:17" ht="16.95" customHeight="1" x14ac:dyDescent="0.3">
      <c r="A169" s="12" t="str">
        <f>A161</f>
        <v>D3X</v>
      </c>
      <c r="C169" s="94">
        <v>0.76802117875724862</v>
      </c>
      <c r="D169" s="12" t="s">
        <v>267</v>
      </c>
      <c r="L169" s="215"/>
      <c r="M169" s="172"/>
      <c r="N169" s="172"/>
      <c r="O169" s="172"/>
      <c r="P169" s="172"/>
      <c r="Q169" s="173"/>
    </row>
    <row r="170" spans="1:17" ht="16.95" customHeight="1" x14ac:dyDescent="0.3">
      <c r="A170" s="12" t="str">
        <f>A162</f>
        <v>D3Y</v>
      </c>
      <c r="B170" s="13" t="s">
        <v>220</v>
      </c>
      <c r="C170" s="94">
        <v>-0.12860796855097159</v>
      </c>
      <c r="D170" s="12" t="s">
        <v>267</v>
      </c>
      <c r="L170" s="215"/>
      <c r="M170" s="172"/>
      <c r="N170" s="172"/>
      <c r="O170" s="172"/>
      <c r="P170" s="172"/>
      <c r="Q170" s="173"/>
    </row>
    <row r="171" spans="1:17" ht="16.95" customHeight="1" x14ac:dyDescent="0.3">
      <c r="A171" s="12" t="str">
        <f>A163</f>
        <v>D4X</v>
      </c>
      <c r="C171" s="94">
        <v>0.8167976337837034</v>
      </c>
      <c r="D171" s="12" t="s">
        <v>267</v>
      </c>
      <c r="L171" s="215"/>
      <c r="M171" s="172"/>
      <c r="N171" s="172"/>
      <c r="O171" s="172"/>
      <c r="P171" s="172"/>
      <c r="Q171" s="173"/>
    </row>
    <row r="172" spans="1:17" ht="16.95" customHeight="1" x14ac:dyDescent="0.3">
      <c r="A172" s="12" t="str">
        <f>A164</f>
        <v>D4Y</v>
      </c>
      <c r="C172" s="94">
        <v>-0.22091881957926918</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-50400</v>
      </c>
      <c r="D177" s="9">
        <f t="shared" si="10"/>
        <v>-10004.474373093733</v>
      </c>
      <c r="E177" s="9">
        <f t="shared" si="10"/>
        <v>-16007.158996949973</v>
      </c>
      <c r="F177" s="9">
        <f t="shared" si="10"/>
        <v>-1710.3651259974799</v>
      </c>
      <c r="G177" s="9">
        <f t="shared" si="10"/>
        <v>-8209.7526047879037</v>
      </c>
      <c r="I177" s="95">
        <f>C168</f>
        <v>4.546957671957666E-2</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-16007.158996949973</v>
      </c>
      <c r="E178" s="9">
        <f t="shared" si="10"/>
        <v>-25611.454395119956</v>
      </c>
      <c r="F178" s="9">
        <f t="shared" si="10"/>
        <v>-8209.7526047879037</v>
      </c>
      <c r="G178" s="9">
        <f t="shared" si="10"/>
        <v>-39406.812502981942</v>
      </c>
      <c r="I178" s="95">
        <f>C169</f>
        <v>0.76802117875724862</v>
      </c>
      <c r="J178" s="14" t="str">
        <f>INDEX(C$128:C$135, MATCH(2, G$128:G$135, 0))</f>
        <v>U1Y</v>
      </c>
      <c r="L178" s="215" t="s">
        <v>391</v>
      </c>
      <c r="M178" s="172"/>
      <c r="N178" s="172"/>
      <c r="O178" s="172"/>
      <c r="P178" s="172"/>
      <c r="Q178" s="173"/>
    </row>
    <row r="179" spans="1:17" ht="16.95" customHeight="1" x14ac:dyDescent="0.3">
      <c r="A179" s="18" t="str">
        <f>INDEX(B$118:B$125, MATCH(J179, C$118:C$125, 0))</f>
        <v>C2Y</v>
      </c>
      <c r="C179" s="9">
        <f t="shared" si="10"/>
        <v>-8209.7526047879037</v>
      </c>
      <c r="D179" s="9">
        <f t="shared" si="10"/>
        <v>8209.7526047879037</v>
      </c>
      <c r="E179" s="9">
        <f t="shared" si="10"/>
        <v>-39406.812502981942</v>
      </c>
      <c r="F179" s="9">
        <f t="shared" si="10"/>
        <v>0</v>
      </c>
      <c r="G179" s="9">
        <f t="shared" si="10"/>
        <v>0</v>
      </c>
      <c r="I179" s="95">
        <f>C170</f>
        <v>-0.12860796855097159</v>
      </c>
      <c r="J179" s="14" t="str">
        <f>INDEX(C$128:C$135, MATCH(3, G$128:G$135, 0))</f>
        <v>U2Y</v>
      </c>
      <c r="L179" s="215" t="s">
        <v>392</v>
      </c>
      <c r="M179" s="172"/>
      <c r="N179" s="172"/>
      <c r="O179" s="172"/>
      <c r="P179" s="172"/>
      <c r="Q179" s="173"/>
    </row>
    <row r="180" spans="1:17" ht="16.95" customHeight="1" x14ac:dyDescent="0.3">
      <c r="I180" s="95">
        <f>C171</f>
        <v>0.8167976337837034</v>
      </c>
      <c r="L180" s="215" t="s">
        <v>393</v>
      </c>
      <c r="M180" s="172"/>
      <c r="N180" s="172"/>
      <c r="O180" s="172"/>
      <c r="P180" s="172"/>
      <c r="Q180" s="173"/>
    </row>
    <row r="181" spans="1:17" ht="16.95" customHeight="1" x14ac:dyDescent="0.3">
      <c r="I181" s="95">
        <f>C172</f>
        <v>-0.22091881957926918</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-7499.9999999999882</v>
      </c>
      <c r="D183" s="12" t="s">
        <v>273</v>
      </c>
      <c r="L183" s="215"/>
      <c r="M183" s="172"/>
      <c r="N183" s="172"/>
      <c r="O183" s="172"/>
      <c r="P183" s="172"/>
      <c r="Q183" s="173"/>
    </row>
    <row r="184" spans="1:17" ht="16.95" customHeight="1" x14ac:dyDescent="0.3">
      <c r="A184" s="12" t="str">
        <f>A178</f>
        <v>C1Y</v>
      </c>
      <c r="B184" s="13" t="s">
        <v>220</v>
      </c>
      <c r="C184" s="17">
        <v>-6999.9999999999836</v>
      </c>
      <c r="D184" s="12" t="s">
        <v>273</v>
      </c>
      <c r="L184" s="215"/>
      <c r="M184" s="172"/>
      <c r="N184" s="172"/>
      <c r="O184" s="172"/>
      <c r="P184" s="172"/>
      <c r="Q184" s="173"/>
    </row>
    <row r="185" spans="1:17" ht="16.95" customHeight="1" x14ac:dyDescent="0.3">
      <c r="A185" s="12" t="str">
        <f>A179</f>
        <v>C2Y</v>
      </c>
      <c r="C185" s="17">
        <v>10999.999999999985</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4.546957671957666E-2</v>
      </c>
    </row>
    <row r="193" spans="1:17" ht="19.05" customHeight="1" x14ac:dyDescent="0.3">
      <c r="A193" s="12" t="s">
        <v>231</v>
      </c>
      <c r="B193" s="12" t="s">
        <v>181</v>
      </c>
      <c r="D193" s="94">
        <f t="shared" si="11"/>
        <v>0</v>
      </c>
    </row>
    <row r="194" spans="1:17" ht="19.05" customHeight="1" x14ac:dyDescent="0.3">
      <c r="A194" s="12" t="s">
        <v>232</v>
      </c>
      <c r="B194" s="12" t="s">
        <v>182</v>
      </c>
      <c r="D194" s="94">
        <f t="shared" si="11"/>
        <v>0.76802117875724862</v>
      </c>
    </row>
    <row r="195" spans="1:17" ht="19.05" customHeight="1" x14ac:dyDescent="0.3">
      <c r="A195" s="12" t="s">
        <v>234</v>
      </c>
      <c r="B195" s="12" t="s">
        <v>183</v>
      </c>
      <c r="D195" s="94">
        <f t="shared" si="11"/>
        <v>-0.12860796855097159</v>
      </c>
    </row>
    <row r="196" spans="1:17" ht="19.05" customHeight="1" x14ac:dyDescent="0.3">
      <c r="A196" s="12" t="s">
        <v>235</v>
      </c>
      <c r="B196" s="12" t="s">
        <v>184</v>
      </c>
      <c r="D196" s="94">
        <f t="shared" si="11"/>
        <v>0.8167976337837034</v>
      </c>
    </row>
    <row r="197" spans="1:17" ht="19.05" customHeight="1" x14ac:dyDescent="0.3">
      <c r="A197" s="12" t="s">
        <v>236</v>
      </c>
      <c r="B197" s="12" t="s">
        <v>185</v>
      </c>
      <c r="D197" s="94">
        <f t="shared" si="11"/>
        <v>-0.22091881957926918</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2291.6666666666638</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4.546957671957666E-2</v>
      </c>
      <c r="H206" s="12" t="str">
        <f>"D" &amp; E14 &amp; "X"</f>
        <v>D2X</v>
      </c>
      <c r="L206" s="215" t="s">
        <v>400</v>
      </c>
      <c r="M206" s="172"/>
      <c r="N206" s="172"/>
      <c r="O206" s="172"/>
      <c r="P206" s="172"/>
      <c r="Q206" s="173"/>
    </row>
    <row r="207" spans="1:17" ht="16.95" customHeight="1" x14ac:dyDescent="0.3">
      <c r="G207" s="96">
        <f>IFERROR(VLOOKUP(H207, A$190:D$197, 4, FALSE), 0)</f>
        <v>0</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41117.177628979414</v>
      </c>
      <c r="C212" s="92">
        <f>-J7</f>
        <v>0.20395425411200105</v>
      </c>
      <c r="D212" s="92">
        <f>-K7</f>
        <v>-0.97898041973760508</v>
      </c>
      <c r="E212" s="92">
        <f>J7</f>
        <v>-0.20395425411200105</v>
      </c>
      <c r="F212" s="92">
        <f>K7</f>
        <v>0.97898041973760508</v>
      </c>
      <c r="G212" s="96">
        <f>IFERROR(VLOOKUP(H212, A$190:D$197, 4, FALSE), 0)</f>
        <v>4.546957671957666E-2</v>
      </c>
      <c r="H212" s="12" t="str">
        <f>"D" &amp; C15 &amp; "X"</f>
        <v>D2X</v>
      </c>
      <c r="L212" s="215"/>
      <c r="M212" s="172"/>
      <c r="N212" s="172"/>
      <c r="O212" s="172"/>
      <c r="P212" s="172"/>
      <c r="Q212" s="173"/>
    </row>
    <row r="213" spans="1:17" ht="16.95" customHeight="1" x14ac:dyDescent="0.3">
      <c r="A213" s="99" t="s">
        <v>286</v>
      </c>
      <c r="B213" s="97">
        <f>(MMULT(C212:F212, G212:G215)*A212)</f>
        <v>-11236.179782786976</v>
      </c>
      <c r="G213" s="96">
        <f>IFERROR(VLOOKUP(H213, A$190:D$197, 4, FALSE), 0)</f>
        <v>0</v>
      </c>
      <c r="H213" s="12" t="str">
        <f>"D" &amp; D15 &amp; "Y"</f>
        <v>D2Y</v>
      </c>
      <c r="L213" s="215"/>
      <c r="M213" s="172"/>
      <c r="N213" s="172"/>
      <c r="O213" s="172"/>
      <c r="P213" s="172"/>
      <c r="Q213" s="173"/>
    </row>
    <row r="214" spans="1:17" ht="16.95" customHeight="1" x14ac:dyDescent="0.3">
      <c r="G214" s="96">
        <f>IFERROR(VLOOKUP(H214, A$190:D$197, 4, FALSE), 0)</f>
        <v>0.76802117875724862</v>
      </c>
      <c r="H214" s="12" t="str">
        <f>"D" &amp; E15 &amp; "X"</f>
        <v>D3X</v>
      </c>
      <c r="L214" s="215"/>
      <c r="M214" s="172"/>
      <c r="N214" s="172"/>
      <c r="O214" s="172"/>
      <c r="P214" s="172"/>
      <c r="Q214" s="173"/>
    </row>
    <row r="215" spans="1:17" ht="16.95" customHeight="1" x14ac:dyDescent="0.3">
      <c r="G215" s="96">
        <f>IFERROR(VLOOKUP(H215, A$190:D$197, 4, FALSE), 0)</f>
        <v>-0.12860796855097159</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COMPRESIÓN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100800</v>
      </c>
      <c r="C220" s="92">
        <f>-J8</f>
        <v>1</v>
      </c>
      <c r="D220" s="92">
        <f>-K8</f>
        <v>0</v>
      </c>
      <c r="E220" s="92">
        <f>J8</f>
        <v>-1</v>
      </c>
      <c r="F220" s="92">
        <f>K8</f>
        <v>0</v>
      </c>
      <c r="G220" s="96">
        <f>IFERROR(VLOOKUP(H220, A$190:D$197, 4, FALSE), 0)</f>
        <v>0.76802117875724862</v>
      </c>
      <c r="H220" s="12" t="str">
        <f>"D" &amp; C16 &amp; "X"</f>
        <v>D3X</v>
      </c>
      <c r="L220" s="215"/>
      <c r="M220" s="172"/>
      <c r="N220" s="172"/>
      <c r="O220" s="172"/>
      <c r="P220" s="172"/>
      <c r="Q220" s="173"/>
    </row>
    <row r="221" spans="1:17" ht="16.95" customHeight="1" x14ac:dyDescent="0.3">
      <c r="A221" s="99" t="s">
        <v>287</v>
      </c>
      <c r="B221" s="97">
        <f>(MMULT(C220:F220, G220:G223)*A220)</f>
        <v>-4916.6666666666415</v>
      </c>
      <c r="G221" s="96">
        <f>IFERROR(VLOOKUP(H221, A$190:D$197, 4, FALSE), 0)</f>
        <v>-0.12860796855097159</v>
      </c>
      <c r="H221" s="12" t="str">
        <f>"D" &amp; D16 &amp; "Y"</f>
        <v>D3Y</v>
      </c>
      <c r="L221" s="215"/>
      <c r="M221" s="172"/>
      <c r="N221" s="172"/>
      <c r="O221" s="172"/>
      <c r="P221" s="172"/>
      <c r="Q221" s="173"/>
    </row>
    <row r="222" spans="1:17" ht="16.95" customHeight="1" x14ac:dyDescent="0.3">
      <c r="G222" s="96">
        <f>IFERROR(VLOOKUP(H222, A$190:D$197, 4, FALSE), 0)</f>
        <v>0.8167976337837034</v>
      </c>
      <c r="H222" s="12" t="str">
        <f>"D" &amp; E16 &amp; "X"</f>
        <v>D4X</v>
      </c>
      <c r="L222" s="215"/>
      <c r="M222" s="172"/>
      <c r="N222" s="172"/>
      <c r="O222" s="172"/>
      <c r="P222" s="172"/>
      <c r="Q222" s="173"/>
    </row>
    <row r="223" spans="1:17" ht="16.95" customHeight="1" x14ac:dyDescent="0.3">
      <c r="G223" s="96">
        <f>IFERROR(VLOOKUP(H223, A$190:D$197, 4, FALSE), 0)</f>
        <v>-0.22091881957926918</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41117.177628979414</v>
      </c>
      <c r="C228" s="92">
        <f>-J9</f>
        <v>0.20395425411200105</v>
      </c>
      <c r="D228" s="92">
        <f>-K9</f>
        <v>0.97898041973760508</v>
      </c>
      <c r="E228" s="92">
        <f>J9</f>
        <v>-0.20395425411200105</v>
      </c>
      <c r="F228" s="92">
        <f>K9</f>
        <v>-0.97898041973760508</v>
      </c>
      <c r="G228" s="96">
        <f>IFERROR(VLOOKUP(H228, A$190:D$197, 4, FALSE), 0)</f>
        <v>0.8167976337837034</v>
      </c>
      <c r="H228" s="12" t="str">
        <f>"D" &amp; C17 &amp; "X"</f>
        <v>D4X</v>
      </c>
    </row>
    <row r="229" spans="1:17" ht="19.95" customHeight="1" x14ac:dyDescent="0.3">
      <c r="A229" s="99" t="s">
        <v>288</v>
      </c>
      <c r="B229" s="97">
        <f>(MMULT(C228:F228, G228:G231)*A228)</f>
        <v>-2042.9417786885442</v>
      </c>
      <c r="G229" s="96">
        <f>IFERROR(VLOOKUP(H229, A$190:D$197, 4, FALSE), 0)</f>
        <v>-0.22091881957926918</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35615.928768213693</v>
      </c>
      <c r="C236" s="92">
        <f>-J10</f>
        <v>-0.52999894000317993</v>
      </c>
      <c r="D236" s="92">
        <f>-K10</f>
        <v>-0.84799830400508791</v>
      </c>
      <c r="E236" s="92">
        <f>J10</f>
        <v>0.52999894000317993</v>
      </c>
      <c r="F236" s="92">
        <f>K10</f>
        <v>0.84799830400508791</v>
      </c>
      <c r="G236" s="96">
        <f>IFERROR(VLOOKUP(H236, A$190:D$197, 4, FALSE), 0)</f>
        <v>0</v>
      </c>
      <c r="H236" s="12" t="str">
        <f>"D" &amp; C18 &amp; "X"</f>
        <v>D1X</v>
      </c>
    </row>
    <row r="237" spans="1:17" ht="19.95" customHeight="1" x14ac:dyDescent="0.3">
      <c r="A237" s="99" t="s">
        <v>289</v>
      </c>
      <c r="B237" s="97">
        <f>(MMULT(C236:F236, G236:G239)*A236)</f>
        <v>10613.228773563662</v>
      </c>
      <c r="G237" s="96">
        <f>IFERROR(VLOOKUP(H237, A$190:D$197, 4, FALSE), 0)</f>
        <v>0</v>
      </c>
      <c r="H237" s="12" t="str">
        <f>"D" &amp; D18 &amp; "Y"</f>
        <v>D1Y</v>
      </c>
    </row>
    <row r="238" spans="1:17" ht="19.95" customHeight="1" x14ac:dyDescent="0.3">
      <c r="G238" s="96">
        <f>IFERROR(VLOOKUP(H238, A$190:D$197, 4, FALSE), 0)</f>
        <v>0.76802117875724862</v>
      </c>
      <c r="H238" s="12" t="str">
        <f>"D" &amp; E18 &amp; "X"</f>
        <v>D3X</v>
      </c>
    </row>
    <row r="239" spans="1:17" ht="19.95" customHeight="1" x14ac:dyDescent="0.3">
      <c r="G239" s="96">
        <f>IFERROR(VLOOKUP(H239, A$190:D$197, 4, FALSE), 0)</f>
        <v>-0.12860796855097159</v>
      </c>
      <c r="H239" s="12" t="str">
        <f>"D" &amp; F18 &amp; "Y"</f>
        <v>D3Y</v>
      </c>
    </row>
    <row r="240" spans="1:17" ht="19.95" customHeight="1" x14ac:dyDescent="0.3">
      <c r="B240" s="99" t="s">
        <v>273</v>
      </c>
      <c r="C240" s="178" t="str">
        <f>IF(B237&gt;0.001,"BARRA A TRACCIÓN (+)",IF(B237&lt;-0.001,"BARRA A COMPRESIÓN (-)","BARRA DE FUERZA NULA"))</f>
        <v>BARRA A TRACCIÓN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2291.6666666666638</v>
      </c>
      <c r="H245" s="84" t="str">
        <f>C208</f>
        <v>BARRA A TRACCIÓN (+)</v>
      </c>
    </row>
    <row r="246" spans="2:8" ht="19.95" customHeight="1" x14ac:dyDescent="0.3">
      <c r="B246" s="25">
        <v>2</v>
      </c>
      <c r="C246" s="86">
        <f>C15</f>
        <v>2</v>
      </c>
      <c r="D246" s="86">
        <f>E15</f>
        <v>3</v>
      </c>
      <c r="E246" s="9">
        <f>I7</f>
        <v>612.88253360656313</v>
      </c>
      <c r="F246" s="9">
        <f>L7</f>
        <v>12</v>
      </c>
      <c r="G246" s="97">
        <f>B213</f>
        <v>-11236.179782786976</v>
      </c>
      <c r="H246" s="84" t="str">
        <f>C216</f>
        <v>BARRA A COMPRESIÓN (-)</v>
      </c>
    </row>
    <row r="247" spans="2:8" ht="19.95" customHeight="1" x14ac:dyDescent="0.3">
      <c r="B247" s="26">
        <v>3</v>
      </c>
      <c r="C247" s="86">
        <f>C16</f>
        <v>3</v>
      </c>
      <c r="D247" s="86">
        <f>E16</f>
        <v>4</v>
      </c>
      <c r="E247" s="9">
        <f>I8</f>
        <v>250</v>
      </c>
      <c r="F247" s="9">
        <f>L8</f>
        <v>12</v>
      </c>
      <c r="G247" s="97">
        <f>B221</f>
        <v>-4916.6666666666415</v>
      </c>
      <c r="H247" s="84" t="str">
        <f>C224</f>
        <v>BARRA A COMPRESIÓN (-)</v>
      </c>
    </row>
    <row r="248" spans="2:8" ht="19.95" customHeight="1" x14ac:dyDescent="0.3">
      <c r="B248" s="43">
        <v>4</v>
      </c>
      <c r="C248" s="86">
        <f>C17</f>
        <v>4</v>
      </c>
      <c r="D248" s="86">
        <f>E17</f>
        <v>1</v>
      </c>
      <c r="E248" s="9">
        <f>I9</f>
        <v>612.88253360656313</v>
      </c>
      <c r="F248" s="9">
        <f>L9</f>
        <v>12</v>
      </c>
      <c r="G248" s="97">
        <f>B229</f>
        <v>-2042.9417786885442</v>
      </c>
      <c r="H248" s="84" t="str">
        <f>C232</f>
        <v>BARRA A COMPRESIÓN (-)</v>
      </c>
    </row>
    <row r="249" spans="2:8" ht="19.95" customHeight="1" x14ac:dyDescent="0.3">
      <c r="B249" s="44">
        <v>5</v>
      </c>
      <c r="C249" s="86">
        <f>C18</f>
        <v>1</v>
      </c>
      <c r="D249" s="86">
        <f>E18</f>
        <v>3</v>
      </c>
      <c r="E249" s="9">
        <f>I10</f>
        <v>707.54858490424533</v>
      </c>
      <c r="F249" s="9">
        <f>L10</f>
        <v>12</v>
      </c>
      <c r="G249" s="97">
        <f>B237</f>
        <v>10613.228773563662</v>
      </c>
      <c r="H249" s="84" t="str">
        <f>C240</f>
        <v>BARRA A TRACCIÓN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461</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375</v>
      </c>
      <c r="AB9" s="20">
        <f>IF(H29="","",H29)</f>
        <v>600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375</v>
      </c>
      <c r="AB11" s="20">
        <f>IF(F30="","",F30)</f>
        <v>600</v>
      </c>
      <c r="AC11" t="s">
        <v>324</v>
      </c>
    </row>
    <row r="12" spans="2:29" x14ac:dyDescent="0.3">
      <c r="AA12" s="20">
        <f>IF(G30="","",G30)</f>
        <v>125</v>
      </c>
      <c r="AB12" s="20">
        <f>IF(H30="","",H30)</f>
        <v>600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456</v>
      </c>
      <c r="K14" s="172"/>
      <c r="L14" s="172"/>
      <c r="M14" s="172"/>
      <c r="N14" s="172"/>
      <c r="O14" s="173"/>
      <c r="AA14" s="20">
        <f>IF(E31="","",E31)</f>
        <v>125</v>
      </c>
      <c r="AB14" s="20">
        <f>IF(F31="","",F31)</f>
        <v>600</v>
      </c>
      <c r="AC14" t="s">
        <v>328</v>
      </c>
    </row>
    <row r="15" spans="2:29" ht="19.05" customHeight="1" x14ac:dyDescent="0.3">
      <c r="B15" s="89">
        <v>2</v>
      </c>
      <c r="C15" s="21">
        <v>500</v>
      </c>
      <c r="D15" s="21">
        <v>0</v>
      </c>
      <c r="E15" s="21" t="s">
        <v>329</v>
      </c>
      <c r="F15" s="88">
        <f t="shared" si="0"/>
        <v>0</v>
      </c>
      <c r="G15" s="88">
        <f t="shared" si="1"/>
        <v>1</v>
      </c>
      <c r="H15" s="22">
        <v>0</v>
      </c>
      <c r="I15" s="22">
        <v>0</v>
      </c>
      <c r="J15" s="205" t="s">
        <v>457</v>
      </c>
      <c r="K15" s="172"/>
      <c r="L15" s="172"/>
      <c r="M15" s="172"/>
      <c r="N15" s="172"/>
      <c r="O15" s="173"/>
      <c r="AA15" s="20">
        <f>IF(G31="","",G31)</f>
        <v>0</v>
      </c>
      <c r="AB15" s="20">
        <f>IF(H31="","",H31)</f>
        <v>0</v>
      </c>
      <c r="AC15" t="s">
        <v>331</v>
      </c>
    </row>
    <row r="16" spans="2:29" ht="19.05" customHeight="1" x14ac:dyDescent="0.3">
      <c r="B16" s="89">
        <v>3</v>
      </c>
      <c r="C16" s="21">
        <v>375</v>
      </c>
      <c r="D16" s="21">
        <v>600</v>
      </c>
      <c r="E16" s="21" t="s">
        <v>326</v>
      </c>
      <c r="F16" s="88">
        <f t="shared" si="0"/>
        <v>0</v>
      </c>
      <c r="G16" s="88">
        <f t="shared" si="1"/>
        <v>0</v>
      </c>
      <c r="H16" s="22">
        <v>-2500</v>
      </c>
      <c r="I16" s="22">
        <v>-2500</v>
      </c>
      <c r="J16" s="205" t="s">
        <v>462</v>
      </c>
      <c r="K16" s="172"/>
      <c r="L16" s="172"/>
      <c r="M16" s="172"/>
      <c r="N16" s="172"/>
      <c r="O16" s="173"/>
    </row>
    <row r="17" spans="2:29" ht="19.05" customHeight="1" x14ac:dyDescent="0.3">
      <c r="B17" s="89">
        <v>4</v>
      </c>
      <c r="C17" s="21">
        <v>125</v>
      </c>
      <c r="D17" s="21">
        <v>600</v>
      </c>
      <c r="E17" s="21" t="s">
        <v>326</v>
      </c>
      <c r="F17" s="88">
        <f t="shared" si="0"/>
        <v>0</v>
      </c>
      <c r="G17" s="88">
        <f t="shared" si="1"/>
        <v>0</v>
      </c>
      <c r="H17" s="22">
        <v>3500</v>
      </c>
      <c r="I17" s="22">
        <v>-2500</v>
      </c>
      <c r="J17" s="205" t="s">
        <v>463</v>
      </c>
      <c r="K17" s="172"/>
      <c r="L17" s="172"/>
      <c r="M17" s="172"/>
      <c r="N17" s="172"/>
      <c r="O17" s="173"/>
      <c r="AA17" s="20">
        <f>IF(E32="","",E32)</f>
        <v>500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125</v>
      </c>
      <c r="AB18" s="20">
        <f>IF(H32="","",H32)</f>
        <v>600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375</v>
      </c>
      <c r="H29" s="5">
        <f t="shared" si="5"/>
        <v>600</v>
      </c>
      <c r="I29" s="9">
        <f t="shared" si="6"/>
        <v>-125</v>
      </c>
      <c r="J29" s="9">
        <f t="shared" si="7"/>
        <v>600</v>
      </c>
      <c r="K29" s="9">
        <f t="shared" si="8"/>
        <v>612.88253360656313</v>
      </c>
      <c r="L29" s="92">
        <f t="shared" si="9"/>
        <v>-0.20395425411200105</v>
      </c>
      <c r="M29" s="92">
        <f t="shared" si="10"/>
        <v>0.97898041973760508</v>
      </c>
      <c r="N29" s="22">
        <v>12</v>
      </c>
      <c r="O29" s="24">
        <v>2100000</v>
      </c>
      <c r="AA29" s="20" t="str">
        <f>IF(E36="","",E36)</f>
        <v/>
      </c>
      <c r="AB29" s="20" t="str">
        <f>IF(F36="","",F36)</f>
        <v/>
      </c>
      <c r="AC29" t="s">
        <v>353</v>
      </c>
    </row>
    <row r="30" spans="2:29" ht="19.05" customHeight="1" x14ac:dyDescent="0.3">
      <c r="B30" s="89">
        <v>3</v>
      </c>
      <c r="C30" s="23">
        <v>3</v>
      </c>
      <c r="D30" s="23">
        <v>4</v>
      </c>
      <c r="E30" s="5">
        <f t="shared" si="2"/>
        <v>375</v>
      </c>
      <c r="F30" s="5">
        <f t="shared" si="3"/>
        <v>600</v>
      </c>
      <c r="G30" s="5">
        <f t="shared" si="4"/>
        <v>125</v>
      </c>
      <c r="H30" s="5">
        <f t="shared" si="5"/>
        <v>600</v>
      </c>
      <c r="I30" s="9">
        <f t="shared" si="6"/>
        <v>-250</v>
      </c>
      <c r="J30" s="9">
        <f t="shared" si="7"/>
        <v>0</v>
      </c>
      <c r="K30" s="9">
        <f t="shared" si="8"/>
        <v>250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125</v>
      </c>
      <c r="F31" s="5">
        <f t="shared" si="3"/>
        <v>600</v>
      </c>
      <c r="G31" s="5">
        <f t="shared" si="4"/>
        <v>0</v>
      </c>
      <c r="H31" s="5">
        <f t="shared" si="5"/>
        <v>0</v>
      </c>
      <c r="I31" s="9">
        <f t="shared" si="6"/>
        <v>-125</v>
      </c>
      <c r="J31" s="9">
        <f t="shared" si="7"/>
        <v>-600</v>
      </c>
      <c r="K31" s="9">
        <f t="shared" si="8"/>
        <v>612.88253360656313</v>
      </c>
      <c r="L31" s="92">
        <f t="shared" si="9"/>
        <v>-0.20395425411200105</v>
      </c>
      <c r="M31" s="92">
        <f t="shared" si="10"/>
        <v>-0.97898041973760508</v>
      </c>
      <c r="N31" s="22">
        <v>12</v>
      </c>
      <c r="O31" s="24">
        <v>2100000</v>
      </c>
    </row>
    <row r="32" spans="2:29" ht="19.05" customHeight="1" x14ac:dyDescent="0.3">
      <c r="B32" s="89">
        <v>5</v>
      </c>
      <c r="C32" s="23">
        <v>2</v>
      </c>
      <c r="D32" s="23">
        <v>4</v>
      </c>
      <c r="E32" s="5">
        <f t="shared" si="2"/>
        <v>500</v>
      </c>
      <c r="F32" s="5">
        <f t="shared" si="3"/>
        <v>0</v>
      </c>
      <c r="G32" s="5">
        <f t="shared" si="4"/>
        <v>125</v>
      </c>
      <c r="H32" s="5">
        <f t="shared" si="5"/>
        <v>600</v>
      </c>
      <c r="I32" s="9">
        <f t="shared" si="6"/>
        <v>-375</v>
      </c>
      <c r="J32" s="9">
        <f t="shared" si="7"/>
        <v>600</v>
      </c>
      <c r="K32" s="9">
        <f t="shared" si="8"/>
        <v>707.54858490424533</v>
      </c>
      <c r="L32" s="92">
        <f t="shared" si="9"/>
        <v>-0.52999894000317993</v>
      </c>
      <c r="M32" s="92">
        <f t="shared" si="10"/>
        <v>0.84799830400508791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B00-000000000000}">
      <formula1>"Fijo (articulado),Rodillo Y (despl. X libre),Rodillo X (despl. Y libre),Libre (0 reac.)"</formula1>
    </dataValidation>
  </dataValidations>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464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GRAFICA_13!E28</f>
        <v>0</v>
      </c>
      <c r="D6" s="22">
        <f>GRAFICA_13!F28</f>
        <v>0</v>
      </c>
      <c r="E6" s="22">
        <f>GRAFICA_13!G28</f>
        <v>500</v>
      </c>
      <c r="F6" s="22">
        <f>GRAFICA_13!H28</f>
        <v>0</v>
      </c>
      <c r="G6" s="9">
        <f t="shared" ref="G6:H10" si="0">E6-C6</f>
        <v>500</v>
      </c>
      <c r="H6" s="9">
        <f t="shared" si="0"/>
        <v>0</v>
      </c>
      <c r="I6" s="9">
        <f>SQRT(G6*G6+H6*H6)</f>
        <v>500</v>
      </c>
      <c r="J6" s="92">
        <f>G6/I6</f>
        <v>1</v>
      </c>
      <c r="K6" s="92">
        <f>H6/I6</f>
        <v>0</v>
      </c>
      <c r="L6" s="22">
        <f>GRAFICA_13!N28</f>
        <v>12</v>
      </c>
      <c r="M6" s="22">
        <f>GRAFICA_13!O28</f>
        <v>2100000</v>
      </c>
      <c r="N6" s="6">
        <f>L6*M6/I6</f>
        <v>50400</v>
      </c>
    </row>
    <row r="7" spans="2:14" ht="19.05" customHeight="1" x14ac:dyDescent="0.3">
      <c r="B7" s="25">
        <v>2</v>
      </c>
      <c r="C7" s="22">
        <f>GRAFICA_13!E29</f>
        <v>500</v>
      </c>
      <c r="D7" s="22">
        <f>GRAFICA_13!F29</f>
        <v>0</v>
      </c>
      <c r="E7" s="22">
        <f>GRAFICA_13!G29</f>
        <v>375</v>
      </c>
      <c r="F7" s="22">
        <f>GRAFICA_13!H29</f>
        <v>600</v>
      </c>
      <c r="G7" s="9">
        <f t="shared" si="0"/>
        <v>-125</v>
      </c>
      <c r="H7" s="9">
        <f t="shared" si="0"/>
        <v>600</v>
      </c>
      <c r="I7" s="9">
        <f>SQRT(G7*G7+H7*H7)</f>
        <v>612.88253360656313</v>
      </c>
      <c r="J7" s="92">
        <f>G7/I7</f>
        <v>-0.20395425411200105</v>
      </c>
      <c r="K7" s="92">
        <f>H7/I7</f>
        <v>0.97898041973760508</v>
      </c>
      <c r="L7" s="22">
        <f>GRAFICA_13!N29</f>
        <v>12</v>
      </c>
      <c r="M7" s="22">
        <f>GRAFICA_13!O29</f>
        <v>2100000</v>
      </c>
      <c r="N7" s="6">
        <f>L7*M7/I7</f>
        <v>41117.177628979414</v>
      </c>
    </row>
    <row r="8" spans="2:14" ht="19.05" customHeight="1" x14ac:dyDescent="0.3">
      <c r="B8" s="26">
        <v>3</v>
      </c>
      <c r="C8" s="22">
        <f>GRAFICA_13!E30</f>
        <v>375</v>
      </c>
      <c r="D8" s="22">
        <f>GRAFICA_13!F30</f>
        <v>600</v>
      </c>
      <c r="E8" s="22">
        <f>GRAFICA_13!G30</f>
        <v>125</v>
      </c>
      <c r="F8" s="22">
        <f>GRAFICA_13!H30</f>
        <v>600</v>
      </c>
      <c r="G8" s="9">
        <f t="shared" si="0"/>
        <v>-250</v>
      </c>
      <c r="H8" s="9">
        <f t="shared" si="0"/>
        <v>0</v>
      </c>
      <c r="I8" s="9">
        <f>SQRT(G8*G8+H8*H8)</f>
        <v>250</v>
      </c>
      <c r="J8" s="92">
        <f>G8/I8</f>
        <v>-1</v>
      </c>
      <c r="K8" s="92">
        <f>H8/I8</f>
        <v>0</v>
      </c>
      <c r="L8" s="22">
        <f>GRAFICA_13!N30</f>
        <v>12</v>
      </c>
      <c r="M8" s="22">
        <f>GRAFICA_13!O30</f>
        <v>2100000</v>
      </c>
      <c r="N8" s="6">
        <f>L8*M8/I8</f>
        <v>100800</v>
      </c>
    </row>
    <row r="9" spans="2:14" ht="19.05" customHeight="1" x14ac:dyDescent="0.3">
      <c r="B9" s="43">
        <v>4</v>
      </c>
      <c r="C9" s="22">
        <f>GRAFICA_13!E31</f>
        <v>125</v>
      </c>
      <c r="D9" s="22">
        <f>GRAFICA_13!F31</f>
        <v>600</v>
      </c>
      <c r="E9" s="22">
        <f>GRAFICA_13!G31</f>
        <v>0</v>
      </c>
      <c r="F9" s="22">
        <f>GRAFICA_13!H31</f>
        <v>0</v>
      </c>
      <c r="G9" s="9">
        <f t="shared" si="0"/>
        <v>-125</v>
      </c>
      <c r="H9" s="9">
        <f t="shared" si="0"/>
        <v>-600</v>
      </c>
      <c r="I9" s="9">
        <f>SQRT(G9*G9+H9*H9)</f>
        <v>612.88253360656313</v>
      </c>
      <c r="J9" s="92">
        <f>G9/I9</f>
        <v>-0.20395425411200105</v>
      </c>
      <c r="K9" s="92">
        <f>H9/I9</f>
        <v>-0.97898041973760508</v>
      </c>
      <c r="L9" s="22">
        <f>GRAFICA_13!N31</f>
        <v>12</v>
      </c>
      <c r="M9" s="22">
        <f>GRAFICA_13!O31</f>
        <v>2100000</v>
      </c>
      <c r="N9" s="6">
        <f>L9*M9/I9</f>
        <v>41117.177628979414</v>
      </c>
    </row>
    <row r="10" spans="2:14" ht="19.05" customHeight="1" x14ac:dyDescent="0.3">
      <c r="B10" s="44">
        <v>5</v>
      </c>
      <c r="C10" s="22">
        <f>GRAFICA_13!E32</f>
        <v>500</v>
      </c>
      <c r="D10" s="22">
        <f>GRAFICA_13!F32</f>
        <v>0</v>
      </c>
      <c r="E10" s="22">
        <f>GRAFICA_13!G32</f>
        <v>125</v>
      </c>
      <c r="F10" s="22">
        <f>GRAFICA_13!H32</f>
        <v>600</v>
      </c>
      <c r="G10" s="9">
        <f t="shared" si="0"/>
        <v>-375</v>
      </c>
      <c r="H10" s="9">
        <f t="shared" si="0"/>
        <v>600</v>
      </c>
      <c r="I10" s="9">
        <f>SQRT(G10*G10+H10*H10)</f>
        <v>707.54858490424533</v>
      </c>
      <c r="J10" s="92">
        <f>G10/I10</f>
        <v>-0.52999894000317993</v>
      </c>
      <c r="K10" s="92">
        <f>H10/I10</f>
        <v>0.84799830400508791</v>
      </c>
      <c r="L10" s="22">
        <f>GRAFICA_13!N32</f>
        <v>12</v>
      </c>
      <c r="M10" s="22">
        <f>GRAFICA_13!O32</f>
        <v>2100000</v>
      </c>
      <c r="N10" s="6">
        <f>L10*M10/I10</f>
        <v>35615.928768213693</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GRAFICA_13!C28</f>
        <v>1</v>
      </c>
      <c r="D14" s="23">
        <f>GRAFICA_13!C28</f>
        <v>1</v>
      </c>
      <c r="E14" s="23">
        <f>GRAFICA_13!D28</f>
        <v>2</v>
      </c>
      <c r="F14" s="23">
        <f>GRAFICA_13!D28</f>
        <v>2</v>
      </c>
    </row>
    <row r="15" spans="2:14" ht="19.05" customHeight="1" x14ac:dyDescent="0.3">
      <c r="B15" s="25">
        <v>2</v>
      </c>
      <c r="C15" s="23">
        <f>GRAFICA_13!C29</f>
        <v>2</v>
      </c>
      <c r="D15" s="23">
        <f>GRAFICA_13!C29</f>
        <v>2</v>
      </c>
      <c r="E15" s="23">
        <f>GRAFICA_13!D29</f>
        <v>3</v>
      </c>
      <c r="F15" s="23">
        <f>GRAFICA_13!D29</f>
        <v>3</v>
      </c>
    </row>
    <row r="16" spans="2:14" ht="19.05" customHeight="1" x14ac:dyDescent="0.3">
      <c r="B16" s="26">
        <v>3</v>
      </c>
      <c r="C16" s="23">
        <f>GRAFICA_13!C30</f>
        <v>3</v>
      </c>
      <c r="D16" s="23">
        <f>GRAFICA_13!C30</f>
        <v>3</v>
      </c>
      <c r="E16" s="23">
        <f>GRAFICA_13!D30</f>
        <v>4</v>
      </c>
      <c r="F16" s="23">
        <f>GRAFICA_13!D30</f>
        <v>4</v>
      </c>
    </row>
    <row r="17" spans="1:10" ht="19.05" customHeight="1" x14ac:dyDescent="0.3">
      <c r="B17" s="43">
        <v>4</v>
      </c>
      <c r="C17" s="23">
        <f>GRAFICA_13!C31</f>
        <v>4</v>
      </c>
      <c r="D17" s="23">
        <f>GRAFICA_13!C31</f>
        <v>4</v>
      </c>
      <c r="E17" s="23">
        <f>GRAFICA_13!D31</f>
        <v>1</v>
      </c>
      <c r="F17" s="23">
        <f>GRAFICA_13!D31</f>
        <v>1</v>
      </c>
    </row>
    <row r="18" spans="1:10" ht="19.05" customHeight="1" x14ac:dyDescent="0.3">
      <c r="B18" s="44">
        <v>5</v>
      </c>
      <c r="C18" s="23">
        <f>GRAFICA_13!C32</f>
        <v>2</v>
      </c>
      <c r="D18" s="23">
        <f>GRAFICA_13!C32</f>
        <v>2</v>
      </c>
      <c r="E18" s="23">
        <f>GRAFICA_13!D32</f>
        <v>4</v>
      </c>
      <c r="F18" s="23">
        <f>GRAFICA_13!D32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1710.3651259974799</v>
      </c>
      <c r="C39" s="30">
        <f>J7*K7*N7</f>
        <v>-8209.7526047879037</v>
      </c>
      <c r="D39" s="30">
        <f>-B39</f>
        <v>-1710.3651259974799</v>
      </c>
      <c r="E39" s="30">
        <f>-C39</f>
        <v>8209.7526047879037</v>
      </c>
      <c r="F39" s="29" t="str">
        <f>B38</f>
        <v>U2X</v>
      </c>
    </row>
    <row r="40" spans="1:10" ht="16.8" customHeight="1" x14ac:dyDescent="0.3">
      <c r="A40" s="28" t="s">
        <v>191</v>
      </c>
      <c r="B40" s="30">
        <f>C39</f>
        <v>-8209.7526047879037</v>
      </c>
      <c r="C40" s="30">
        <f>K7*K7*N7</f>
        <v>39406.812502981942</v>
      </c>
      <c r="D40" s="30">
        <f>-B40</f>
        <v>8209.7526047879037</v>
      </c>
      <c r="E40" s="30">
        <f>-C40</f>
        <v>-39406.812502981942</v>
      </c>
      <c r="F40" s="29" t="str">
        <f>C38</f>
        <v>U2Y</v>
      </c>
    </row>
    <row r="41" spans="1:10" x14ac:dyDescent="0.3">
      <c r="B41" s="30">
        <f>D39</f>
        <v>-1710.3651259974799</v>
      </c>
      <c r="C41" s="30">
        <f>E39</f>
        <v>8209.7526047879037</v>
      </c>
      <c r="D41" s="30">
        <f>B39</f>
        <v>1710.3651259974799</v>
      </c>
      <c r="E41" s="30">
        <f>C39</f>
        <v>-8209.7526047879037</v>
      </c>
      <c r="F41" s="29" t="str">
        <f>D38</f>
        <v>U3X</v>
      </c>
    </row>
    <row r="42" spans="1:10" x14ac:dyDescent="0.3">
      <c r="B42" s="30">
        <f>D40</f>
        <v>8209.7526047879037</v>
      </c>
      <c r="C42" s="30">
        <f>E40</f>
        <v>-39406.812502981942</v>
      </c>
      <c r="D42" s="30">
        <f>B40</f>
        <v>-8209.7526047879037</v>
      </c>
      <c r="E42" s="30">
        <f>C40</f>
        <v>39406.812502981942</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1710.3651259974799</v>
      </c>
      <c r="E47" s="31">
        <f t="shared" si="2"/>
        <v>-8209.7526047879037</v>
      </c>
      <c r="F47" s="31">
        <f t="shared" si="2"/>
        <v>-1710.3651259974799</v>
      </c>
      <c r="G47" s="31">
        <f t="shared" si="2"/>
        <v>8209.7526047879037</v>
      </c>
      <c r="H47" s="9">
        <f t="shared" si="2"/>
        <v>0</v>
      </c>
      <c r="I47" s="9">
        <f t="shared" si="2"/>
        <v>0</v>
      </c>
      <c r="J47" s="29" t="s">
        <v>180</v>
      </c>
    </row>
    <row r="48" spans="1:10" ht="19.05" customHeight="1" x14ac:dyDescent="0.3">
      <c r="A48" s="28" t="s">
        <v>192</v>
      </c>
      <c r="B48" s="9">
        <f t="shared" si="2"/>
        <v>0</v>
      </c>
      <c r="C48" s="9">
        <f t="shared" si="2"/>
        <v>0</v>
      </c>
      <c r="D48" s="31">
        <f t="shared" si="2"/>
        <v>-8209.7526047879037</v>
      </c>
      <c r="E48" s="31">
        <f t="shared" si="2"/>
        <v>39406.812502981942</v>
      </c>
      <c r="F48" s="31">
        <f t="shared" si="2"/>
        <v>8209.7526047879037</v>
      </c>
      <c r="G48" s="31">
        <f t="shared" si="2"/>
        <v>-39406.812502981942</v>
      </c>
      <c r="H48" s="9">
        <f t="shared" si="2"/>
        <v>0</v>
      </c>
      <c r="I48" s="9">
        <f t="shared" si="2"/>
        <v>0</v>
      </c>
      <c r="J48" s="29" t="s">
        <v>181</v>
      </c>
    </row>
    <row r="49" spans="1:10" ht="19.05" customHeight="1" x14ac:dyDescent="0.3">
      <c r="B49" s="9">
        <f t="shared" si="2"/>
        <v>0</v>
      </c>
      <c r="C49" s="9">
        <f t="shared" si="2"/>
        <v>0</v>
      </c>
      <c r="D49" s="31">
        <f t="shared" si="2"/>
        <v>-1710.3651259974799</v>
      </c>
      <c r="E49" s="31">
        <f t="shared" si="2"/>
        <v>8209.7526047879037</v>
      </c>
      <c r="F49" s="31">
        <f t="shared" si="2"/>
        <v>1710.3651259974799</v>
      </c>
      <c r="G49" s="31">
        <f t="shared" si="2"/>
        <v>-8209.7526047879037</v>
      </c>
      <c r="H49" s="9">
        <f t="shared" si="2"/>
        <v>0</v>
      </c>
      <c r="I49" s="9">
        <f t="shared" si="2"/>
        <v>0</v>
      </c>
      <c r="J49" s="29" t="s">
        <v>182</v>
      </c>
    </row>
    <row r="50" spans="1:10" ht="19.05" customHeight="1" x14ac:dyDescent="0.3">
      <c r="B50" s="9">
        <f t="shared" si="2"/>
        <v>0</v>
      </c>
      <c r="C50" s="9">
        <f t="shared" si="2"/>
        <v>0</v>
      </c>
      <c r="D50" s="31">
        <f t="shared" si="2"/>
        <v>8209.7526047879037</v>
      </c>
      <c r="E50" s="31">
        <f t="shared" si="2"/>
        <v>-39406.812502981942</v>
      </c>
      <c r="F50" s="31">
        <f t="shared" si="2"/>
        <v>-8209.7526047879037</v>
      </c>
      <c r="G50" s="31">
        <f t="shared" si="2"/>
        <v>39406.812502981942</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100800</v>
      </c>
      <c r="C56" s="33">
        <f>J8*K8*N8</f>
        <v>0</v>
      </c>
      <c r="D56" s="33">
        <f>-B56</f>
        <v>-100800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-100800</v>
      </c>
      <c r="C58" s="33">
        <f>E56</f>
        <v>0</v>
      </c>
      <c r="D58" s="33">
        <f>B56</f>
        <v>100800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100800</v>
      </c>
      <c r="G66" s="34">
        <f t="shared" si="3"/>
        <v>0</v>
      </c>
      <c r="H66" s="34">
        <f t="shared" si="3"/>
        <v>-100800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-100800</v>
      </c>
      <c r="G68" s="34">
        <f t="shared" si="3"/>
        <v>0</v>
      </c>
      <c r="H68" s="34">
        <f t="shared" si="3"/>
        <v>100800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1710.3651259974799</v>
      </c>
      <c r="C73" s="46">
        <f>J9*K9*N9</f>
        <v>8209.7526047879037</v>
      </c>
      <c r="D73" s="46">
        <f>-B73</f>
        <v>-1710.3651259974799</v>
      </c>
      <c r="E73" s="46">
        <f>-C73</f>
        <v>-8209.7526047879037</v>
      </c>
      <c r="F73" s="45" t="str">
        <f>B72</f>
        <v>U4X</v>
      </c>
    </row>
    <row r="74" spans="1:10" ht="16.8" customHeight="1" x14ac:dyDescent="0.3">
      <c r="A74" s="28" t="s">
        <v>195</v>
      </c>
      <c r="B74" s="46">
        <f>C73</f>
        <v>8209.7526047879037</v>
      </c>
      <c r="C74" s="46">
        <f>K9*K9*N9</f>
        <v>39406.812502981942</v>
      </c>
      <c r="D74" s="46">
        <f>-B74</f>
        <v>-8209.7526047879037</v>
      </c>
      <c r="E74" s="46">
        <f>-C74</f>
        <v>-39406.812502981942</v>
      </c>
      <c r="F74" s="45" t="str">
        <f>C72</f>
        <v>U4Y</v>
      </c>
    </row>
    <row r="75" spans="1:10" x14ac:dyDescent="0.3">
      <c r="B75" s="46">
        <f>D73</f>
        <v>-1710.3651259974799</v>
      </c>
      <c r="C75" s="46">
        <f>E73</f>
        <v>-8209.7526047879037</v>
      </c>
      <c r="D75" s="46">
        <f>B73</f>
        <v>1710.3651259974799</v>
      </c>
      <c r="E75" s="46">
        <f>C73</f>
        <v>8209.7526047879037</v>
      </c>
      <c r="F75" s="45" t="str">
        <f>D72</f>
        <v>U1X</v>
      </c>
    </row>
    <row r="76" spans="1:10" x14ac:dyDescent="0.3">
      <c r="B76" s="46">
        <f>D74</f>
        <v>-8209.7526047879037</v>
      </c>
      <c r="C76" s="46">
        <f>E74</f>
        <v>-39406.812502981942</v>
      </c>
      <c r="D76" s="46">
        <f>B74</f>
        <v>8209.7526047879037</v>
      </c>
      <c r="E76" s="46">
        <f>C74</f>
        <v>39406.812502981942</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1710.3651259974799</v>
      </c>
      <c r="C79" s="47">
        <f t="shared" si="4"/>
        <v>8209.7526047879037</v>
      </c>
      <c r="D79" s="9">
        <f t="shared" si="4"/>
        <v>0</v>
      </c>
      <c r="E79" s="9">
        <f t="shared" si="4"/>
        <v>0</v>
      </c>
      <c r="F79" s="9">
        <f t="shared" si="4"/>
        <v>0</v>
      </c>
      <c r="G79" s="9">
        <f t="shared" si="4"/>
        <v>0</v>
      </c>
      <c r="H79" s="47">
        <f t="shared" si="4"/>
        <v>-1710.3651259974799</v>
      </c>
      <c r="I79" s="47">
        <f t="shared" si="4"/>
        <v>-8209.7526047879037</v>
      </c>
      <c r="J79" s="45" t="s">
        <v>178</v>
      </c>
    </row>
    <row r="80" spans="1:10" ht="19.05" customHeight="1" x14ac:dyDescent="0.3">
      <c r="B80" s="47">
        <f t="shared" si="4"/>
        <v>8209.7526047879037</v>
      </c>
      <c r="C80" s="47">
        <f t="shared" si="4"/>
        <v>39406.812502981942</v>
      </c>
      <c r="D80" s="9">
        <f t="shared" si="4"/>
        <v>0</v>
      </c>
      <c r="E80" s="9">
        <f t="shared" si="4"/>
        <v>0</v>
      </c>
      <c r="F80" s="9">
        <f t="shared" si="4"/>
        <v>0</v>
      </c>
      <c r="G80" s="9">
        <f t="shared" si="4"/>
        <v>0</v>
      </c>
      <c r="H80" s="47">
        <f t="shared" si="4"/>
        <v>-8209.7526047879037</v>
      </c>
      <c r="I80" s="47">
        <f t="shared" si="4"/>
        <v>-39406.812502981942</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-1710.3651259974799</v>
      </c>
      <c r="C85" s="47">
        <f t="shared" si="4"/>
        <v>-8209.7526047879037</v>
      </c>
      <c r="D85" s="9">
        <f t="shared" si="4"/>
        <v>0</v>
      </c>
      <c r="E85" s="9">
        <f t="shared" si="4"/>
        <v>0</v>
      </c>
      <c r="F85" s="9">
        <f t="shared" si="4"/>
        <v>0</v>
      </c>
      <c r="G85" s="9">
        <f t="shared" si="4"/>
        <v>0</v>
      </c>
      <c r="H85" s="47">
        <f t="shared" si="4"/>
        <v>1710.3651259974799</v>
      </c>
      <c r="I85" s="47">
        <f t="shared" si="4"/>
        <v>8209.7526047879037</v>
      </c>
      <c r="J85" s="45" t="s">
        <v>184</v>
      </c>
    </row>
    <row r="86" spans="1:10" ht="19.05" customHeight="1" x14ac:dyDescent="0.3">
      <c r="B86" s="47">
        <f t="shared" si="4"/>
        <v>-8209.7526047879037</v>
      </c>
      <c r="C86" s="47">
        <f t="shared" si="4"/>
        <v>-39406.812502981942</v>
      </c>
      <c r="D86" s="9">
        <f t="shared" si="4"/>
        <v>0</v>
      </c>
      <c r="E86" s="9">
        <f t="shared" si="4"/>
        <v>0</v>
      </c>
      <c r="F86" s="9">
        <f t="shared" si="4"/>
        <v>0</v>
      </c>
      <c r="G86" s="9">
        <f t="shared" si="4"/>
        <v>0</v>
      </c>
      <c r="H86" s="47">
        <f t="shared" si="4"/>
        <v>8209.7526047879037</v>
      </c>
      <c r="I86" s="47">
        <f t="shared" si="4"/>
        <v>39406.812502981942</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10004.474373093733</v>
      </c>
      <c r="C90" s="49">
        <f>J10*K10*N10</f>
        <v>-16007.158996949973</v>
      </c>
      <c r="D90" s="49">
        <f>-B90</f>
        <v>-10004.474373093733</v>
      </c>
      <c r="E90" s="49">
        <f>-C90</f>
        <v>16007.158996949973</v>
      </c>
      <c r="F90" s="48" t="str">
        <f>B89</f>
        <v>U2X</v>
      </c>
    </row>
    <row r="91" spans="1:10" ht="16.8" customHeight="1" x14ac:dyDescent="0.3">
      <c r="A91" s="28" t="s">
        <v>197</v>
      </c>
      <c r="B91" s="49">
        <f>C90</f>
        <v>-16007.158996949973</v>
      </c>
      <c r="C91" s="49">
        <f>K10*K10*N10</f>
        <v>25611.454395119956</v>
      </c>
      <c r="D91" s="49">
        <f>-B91</f>
        <v>16007.158996949973</v>
      </c>
      <c r="E91" s="49">
        <f>-C91</f>
        <v>-25611.454395119956</v>
      </c>
      <c r="F91" s="48" t="str">
        <f>C89</f>
        <v>U2Y</v>
      </c>
    </row>
    <row r="92" spans="1:10" x14ac:dyDescent="0.3">
      <c r="B92" s="49">
        <f>D90</f>
        <v>-10004.474373093733</v>
      </c>
      <c r="C92" s="49">
        <f>E90</f>
        <v>16007.158996949973</v>
      </c>
      <c r="D92" s="49">
        <f>B90</f>
        <v>10004.474373093733</v>
      </c>
      <c r="E92" s="49">
        <f>C90</f>
        <v>-16007.158996949973</v>
      </c>
      <c r="F92" s="48" t="str">
        <f>D89</f>
        <v>U4X</v>
      </c>
    </row>
    <row r="93" spans="1:10" x14ac:dyDescent="0.3">
      <c r="B93" s="49">
        <f>D91</f>
        <v>16007.158996949973</v>
      </c>
      <c r="C93" s="49">
        <f>E91</f>
        <v>-25611.454395119956</v>
      </c>
      <c r="D93" s="49">
        <f>B91</f>
        <v>-16007.158996949973</v>
      </c>
      <c r="E93" s="49">
        <f>C91</f>
        <v>25611.454395119956</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10004.474373093733</v>
      </c>
      <c r="E98" s="50">
        <f t="shared" si="5"/>
        <v>-16007.158996949973</v>
      </c>
      <c r="F98" s="9">
        <f t="shared" si="5"/>
        <v>0</v>
      </c>
      <c r="G98" s="9">
        <f t="shared" si="5"/>
        <v>0</v>
      </c>
      <c r="H98" s="50">
        <f t="shared" si="5"/>
        <v>-10004.474373093733</v>
      </c>
      <c r="I98" s="50">
        <f t="shared" si="5"/>
        <v>16007.158996949973</v>
      </c>
      <c r="J98" s="48" t="s">
        <v>180</v>
      </c>
    </row>
    <row r="99" spans="1:10" ht="19.05" customHeight="1" x14ac:dyDescent="0.3">
      <c r="A99" s="28" t="s">
        <v>198</v>
      </c>
      <c r="B99" s="9">
        <f t="shared" si="5"/>
        <v>0</v>
      </c>
      <c r="C99" s="9">
        <f t="shared" si="5"/>
        <v>0</v>
      </c>
      <c r="D99" s="50">
        <f t="shared" si="5"/>
        <v>-16007.158996949973</v>
      </c>
      <c r="E99" s="50">
        <f t="shared" si="5"/>
        <v>25611.454395119956</v>
      </c>
      <c r="F99" s="9">
        <f t="shared" si="5"/>
        <v>0</v>
      </c>
      <c r="G99" s="9">
        <f t="shared" si="5"/>
        <v>0</v>
      </c>
      <c r="H99" s="50">
        <f t="shared" si="5"/>
        <v>16007.158996949973</v>
      </c>
      <c r="I99" s="50">
        <f t="shared" si="5"/>
        <v>-25611.454395119956</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-10004.474373093733</v>
      </c>
      <c r="E102" s="50">
        <f t="shared" si="5"/>
        <v>16007.158996949973</v>
      </c>
      <c r="F102" s="9">
        <f t="shared" si="5"/>
        <v>0</v>
      </c>
      <c r="G102" s="9">
        <f t="shared" si="5"/>
        <v>0</v>
      </c>
      <c r="H102" s="50">
        <f t="shared" si="5"/>
        <v>10004.474373093733</v>
      </c>
      <c r="I102" s="50">
        <f t="shared" si="5"/>
        <v>-16007.158996949973</v>
      </c>
      <c r="J102" s="48" t="s">
        <v>184</v>
      </c>
    </row>
    <row r="103" spans="1:10" ht="19.05" customHeight="1" x14ac:dyDescent="0.3">
      <c r="B103" s="9">
        <f t="shared" si="5"/>
        <v>0</v>
      </c>
      <c r="C103" s="9">
        <f t="shared" si="5"/>
        <v>0</v>
      </c>
      <c r="D103" s="50">
        <f t="shared" si="5"/>
        <v>16007.158996949973</v>
      </c>
      <c r="E103" s="50">
        <f t="shared" si="5"/>
        <v>-25611.454395119956</v>
      </c>
      <c r="F103" s="9">
        <f t="shared" si="5"/>
        <v>0</v>
      </c>
      <c r="G103" s="9">
        <f t="shared" si="5"/>
        <v>0</v>
      </c>
      <c r="H103" s="50">
        <f t="shared" si="5"/>
        <v>-16007.158996949973</v>
      </c>
      <c r="I103" s="50">
        <f t="shared" si="5"/>
        <v>25611.454395119956</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52110.365125997479</v>
      </c>
      <c r="C107" s="36">
        <f t="shared" si="6"/>
        <v>8209.7526047879037</v>
      </c>
      <c r="D107" s="9">
        <f t="shared" si="6"/>
        <v>-50400</v>
      </c>
      <c r="E107" s="9">
        <f t="shared" si="6"/>
        <v>0</v>
      </c>
      <c r="F107" s="9">
        <f t="shared" si="6"/>
        <v>0</v>
      </c>
      <c r="G107" s="9">
        <f t="shared" si="6"/>
        <v>0</v>
      </c>
      <c r="H107" s="9">
        <f t="shared" si="6"/>
        <v>-1710.3651259974799</v>
      </c>
      <c r="I107" s="9">
        <f t="shared" si="6"/>
        <v>-8209.7526047879037</v>
      </c>
      <c r="J107" s="89" t="s">
        <v>178</v>
      </c>
    </row>
    <row r="108" spans="1:10" ht="19.95" customHeight="1" x14ac:dyDescent="0.3">
      <c r="B108" s="36">
        <f t="shared" si="6"/>
        <v>8209.7526047879037</v>
      </c>
      <c r="C108" s="35">
        <f t="shared" si="6"/>
        <v>39406.812502981942</v>
      </c>
      <c r="D108" s="9">
        <f t="shared" si="6"/>
        <v>0</v>
      </c>
      <c r="E108" s="9">
        <f t="shared" si="6"/>
        <v>0</v>
      </c>
      <c r="F108" s="9">
        <f t="shared" si="6"/>
        <v>0</v>
      </c>
      <c r="G108" s="9">
        <f t="shared" si="6"/>
        <v>0</v>
      </c>
      <c r="H108" s="9">
        <f t="shared" si="6"/>
        <v>-8209.7526047879037</v>
      </c>
      <c r="I108" s="9">
        <f t="shared" si="6"/>
        <v>-39406.812502981942</v>
      </c>
      <c r="J108" s="89" t="s">
        <v>179</v>
      </c>
    </row>
    <row r="109" spans="1:10" ht="19.95" customHeight="1" x14ac:dyDescent="0.3">
      <c r="B109" s="9">
        <f t="shared" si="6"/>
        <v>-50400</v>
      </c>
      <c r="C109" s="9">
        <f t="shared" si="6"/>
        <v>0</v>
      </c>
      <c r="D109" s="35">
        <f t="shared" si="6"/>
        <v>62114.839499091213</v>
      </c>
      <c r="E109" s="36">
        <f t="shared" si="6"/>
        <v>-24216.911601737876</v>
      </c>
      <c r="F109" s="9">
        <f t="shared" si="6"/>
        <v>-1710.3651259974799</v>
      </c>
      <c r="G109" s="9">
        <f t="shared" si="6"/>
        <v>8209.7526047879037</v>
      </c>
      <c r="H109" s="9">
        <f t="shared" si="6"/>
        <v>-10004.474373093733</v>
      </c>
      <c r="I109" s="9">
        <f t="shared" si="6"/>
        <v>16007.158996949973</v>
      </c>
      <c r="J109" s="89" t="s">
        <v>180</v>
      </c>
    </row>
    <row r="110" spans="1:10" ht="19.95" customHeight="1" x14ac:dyDescent="0.3">
      <c r="A110" s="28" t="s">
        <v>205</v>
      </c>
      <c r="B110" s="9">
        <f t="shared" si="6"/>
        <v>0</v>
      </c>
      <c r="C110" s="9">
        <f t="shared" si="6"/>
        <v>0</v>
      </c>
      <c r="D110" s="36">
        <f t="shared" si="6"/>
        <v>-24216.911601737876</v>
      </c>
      <c r="E110" s="35">
        <f t="shared" si="6"/>
        <v>65018.266898101894</v>
      </c>
      <c r="F110" s="9">
        <f t="shared" si="6"/>
        <v>8209.7526047879037</v>
      </c>
      <c r="G110" s="9">
        <f t="shared" si="6"/>
        <v>-39406.812502981942</v>
      </c>
      <c r="H110" s="9">
        <f t="shared" si="6"/>
        <v>16007.158996949973</v>
      </c>
      <c r="I110" s="9">
        <f t="shared" si="6"/>
        <v>-25611.454395119956</v>
      </c>
      <c r="J110" s="89" t="s">
        <v>181</v>
      </c>
    </row>
    <row r="111" spans="1:10" ht="19.95" customHeight="1" x14ac:dyDescent="0.3">
      <c r="B111" s="9">
        <f t="shared" si="6"/>
        <v>0</v>
      </c>
      <c r="C111" s="9">
        <f t="shared" si="6"/>
        <v>0</v>
      </c>
      <c r="D111" s="9">
        <f t="shared" si="6"/>
        <v>-1710.3651259974799</v>
      </c>
      <c r="E111" s="9">
        <f t="shared" si="6"/>
        <v>8209.7526047879037</v>
      </c>
      <c r="F111" s="35">
        <f t="shared" si="6"/>
        <v>102510.36512599749</v>
      </c>
      <c r="G111" s="36">
        <f t="shared" si="6"/>
        <v>-8209.7526047879037</v>
      </c>
      <c r="H111" s="9">
        <f t="shared" si="6"/>
        <v>-100800</v>
      </c>
      <c r="I111" s="9">
        <f t="shared" si="6"/>
        <v>0</v>
      </c>
      <c r="J111" s="89" t="s">
        <v>182</v>
      </c>
    </row>
    <row r="112" spans="1:10" ht="19.95" customHeight="1" x14ac:dyDescent="0.3">
      <c r="B112" s="9">
        <f t="shared" si="6"/>
        <v>0</v>
      </c>
      <c r="C112" s="9">
        <f t="shared" si="6"/>
        <v>0</v>
      </c>
      <c r="D112" s="9">
        <f t="shared" si="6"/>
        <v>8209.7526047879037</v>
      </c>
      <c r="E112" s="9">
        <f t="shared" si="6"/>
        <v>-39406.812502981942</v>
      </c>
      <c r="F112" s="36">
        <f t="shared" si="6"/>
        <v>-8209.7526047879037</v>
      </c>
      <c r="G112" s="35">
        <f t="shared" si="6"/>
        <v>39406.812502981942</v>
      </c>
      <c r="H112" s="9">
        <f t="shared" si="6"/>
        <v>0</v>
      </c>
      <c r="I112" s="9">
        <f t="shared" si="6"/>
        <v>0</v>
      </c>
      <c r="J112" s="89" t="s">
        <v>183</v>
      </c>
    </row>
    <row r="113" spans="1:17" ht="19.95" customHeight="1" x14ac:dyDescent="0.3">
      <c r="B113" s="9">
        <f t="shared" si="6"/>
        <v>-1710.3651259974799</v>
      </c>
      <c r="C113" s="9">
        <f t="shared" si="6"/>
        <v>-8209.7526047879037</v>
      </c>
      <c r="D113" s="9">
        <f t="shared" si="6"/>
        <v>-10004.474373093733</v>
      </c>
      <c r="E113" s="9">
        <f t="shared" si="6"/>
        <v>16007.158996949973</v>
      </c>
      <c r="F113" s="9">
        <f t="shared" si="6"/>
        <v>-100800</v>
      </c>
      <c r="G113" s="9">
        <f t="shared" si="6"/>
        <v>0</v>
      </c>
      <c r="H113" s="35">
        <f t="shared" si="6"/>
        <v>112514.83949909122</v>
      </c>
      <c r="I113" s="36">
        <f t="shared" si="6"/>
        <v>-7797.4063921620691</v>
      </c>
      <c r="J113" s="89" t="s">
        <v>184</v>
      </c>
    </row>
    <row r="114" spans="1:17" ht="19.95" customHeight="1" x14ac:dyDescent="0.3">
      <c r="B114" s="9">
        <f t="shared" si="6"/>
        <v>-8209.7526047879037</v>
      </c>
      <c r="C114" s="9">
        <f t="shared" si="6"/>
        <v>-39406.812502981942</v>
      </c>
      <c r="D114" s="9">
        <f t="shared" si="6"/>
        <v>16007.158996949973</v>
      </c>
      <c r="E114" s="9">
        <f t="shared" si="6"/>
        <v>-25611.454395119956</v>
      </c>
      <c r="F114" s="9">
        <f t="shared" si="6"/>
        <v>0</v>
      </c>
      <c r="G114" s="9">
        <f t="shared" si="6"/>
        <v>0</v>
      </c>
      <c r="H114" s="36">
        <f t="shared" si="6"/>
        <v>-7797.4063921620691</v>
      </c>
      <c r="I114" s="35">
        <f t="shared" si="6"/>
        <v>65018.266898101894</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IF(GRAFICA_13!F14=1, B118, GRAFICA_13!H14)</f>
        <v>C1X</v>
      </c>
      <c r="L118" s="215" t="s">
        <v>376</v>
      </c>
      <c r="M118" s="172"/>
      <c r="N118" s="172"/>
      <c r="O118" s="172"/>
      <c r="P118" s="172"/>
      <c r="Q118" s="173"/>
    </row>
    <row r="119" spans="1:17" ht="16.95" customHeight="1" x14ac:dyDescent="0.3">
      <c r="B119" s="12" t="s">
        <v>210</v>
      </c>
      <c r="C119" s="12" t="s">
        <v>179</v>
      </c>
      <c r="E119" s="37" t="str">
        <f>IF(GRAFICA_13!G14=1, B119, GRAFICA_13!I14)</f>
        <v>C1Y</v>
      </c>
      <c r="L119" s="215" t="s">
        <v>211</v>
      </c>
      <c r="M119" s="172"/>
      <c r="N119" s="172"/>
      <c r="O119" s="172"/>
      <c r="P119" s="172"/>
      <c r="Q119" s="173"/>
    </row>
    <row r="120" spans="1:17" ht="16.95" customHeight="1" x14ac:dyDescent="0.3">
      <c r="B120" s="12" t="s">
        <v>212</v>
      </c>
      <c r="C120" s="12" t="s">
        <v>180</v>
      </c>
      <c r="E120" s="37">
        <f>IF(GRAFICA_13!F15=1, B120, GRAFICA_13!H15)</f>
        <v>0</v>
      </c>
      <c r="L120" s="215" t="s">
        <v>377</v>
      </c>
      <c r="M120" s="172"/>
      <c r="N120" s="172"/>
      <c r="O120" s="172"/>
      <c r="P120" s="172"/>
      <c r="Q120" s="173"/>
    </row>
    <row r="121" spans="1:17" ht="16.95" customHeight="1" x14ac:dyDescent="0.3">
      <c r="A121" s="38" t="s">
        <v>218</v>
      </c>
      <c r="B121" s="12" t="s">
        <v>214</v>
      </c>
      <c r="C121" s="12" t="s">
        <v>181</v>
      </c>
      <c r="D121" s="13" t="s">
        <v>220</v>
      </c>
      <c r="E121" s="37" t="str">
        <f>IF(GRAFICA_13!G15=1, B121, GRAFICA_13!I15)</f>
        <v>C2Y</v>
      </c>
      <c r="L121" s="215" t="s">
        <v>215</v>
      </c>
      <c r="M121" s="172"/>
      <c r="N121" s="172"/>
      <c r="O121" s="172"/>
      <c r="P121" s="172"/>
      <c r="Q121" s="173"/>
    </row>
    <row r="122" spans="1:17" ht="16.95" customHeight="1" x14ac:dyDescent="0.3">
      <c r="B122" s="12" t="s">
        <v>216</v>
      </c>
      <c r="C122" s="12" t="s">
        <v>182</v>
      </c>
      <c r="E122" s="37">
        <f>IF(GRAFICA_13!F16=1, B122, GRAFICA_13!H16)</f>
        <v>-2500</v>
      </c>
      <c r="L122" s="215" t="s">
        <v>378</v>
      </c>
      <c r="M122" s="172"/>
      <c r="N122" s="172"/>
      <c r="O122" s="172"/>
      <c r="P122" s="172"/>
      <c r="Q122" s="173"/>
    </row>
    <row r="123" spans="1:17" ht="16.95" customHeight="1" x14ac:dyDescent="0.3">
      <c r="B123" s="12" t="s">
        <v>219</v>
      </c>
      <c r="C123" s="12" t="s">
        <v>183</v>
      </c>
      <c r="E123" s="37">
        <f>IF(GRAFICA_13!G16=1, B123, GRAFICA_13!I16)</f>
        <v>-2500</v>
      </c>
      <c r="L123" s="215" t="s">
        <v>379</v>
      </c>
      <c r="M123" s="172"/>
      <c r="N123" s="172"/>
      <c r="O123" s="172"/>
      <c r="P123" s="172"/>
      <c r="Q123" s="173"/>
    </row>
    <row r="124" spans="1:17" ht="16.95" customHeight="1" x14ac:dyDescent="0.3">
      <c r="B124" s="12" t="s">
        <v>221</v>
      </c>
      <c r="C124" s="12" t="s">
        <v>184</v>
      </c>
      <c r="E124" s="37">
        <f>IF(GRAFICA_13!F17=1, B124, GRAFICA_13!H17)</f>
        <v>3500</v>
      </c>
      <c r="L124" s="215"/>
      <c r="M124" s="172"/>
      <c r="N124" s="172"/>
      <c r="O124" s="172"/>
      <c r="P124" s="172"/>
      <c r="Q124" s="173"/>
    </row>
    <row r="125" spans="1:17" ht="16.95" customHeight="1" x14ac:dyDescent="0.3">
      <c r="B125" s="12" t="s">
        <v>222</v>
      </c>
      <c r="C125" s="12" t="s">
        <v>185</v>
      </c>
      <c r="E125" s="37">
        <f>IF(GRAFICA_13!G17=1, B125, GRAFICA_13!I17)</f>
        <v>-2500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IF(GRAFICA_13!F14=1,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IF(GRAFICA_13!G14=1,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IF(GRAFICA_13!F15=1,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f>IF(GRAFICA_13!G15=1, 0, B131)</f>
        <v>0</v>
      </c>
      <c r="F131" s="14" t="str">
        <f>IF(E131&lt;&gt;0, COUNTIF(E$128:E131, "&lt;&gt;0"), "")</f>
        <v/>
      </c>
      <c r="G131" s="14">
        <f>IF(E131=0, COUNTIF(E$128:E131, 0), "")</f>
        <v>3</v>
      </c>
      <c r="L131" s="215"/>
      <c r="M131" s="172"/>
      <c r="N131" s="172"/>
      <c r="O131" s="172"/>
      <c r="P131" s="172"/>
      <c r="Q131" s="173"/>
    </row>
    <row r="132" spans="1:17" ht="16.95" customHeight="1" x14ac:dyDescent="0.3">
      <c r="B132" s="12" t="s">
        <v>232</v>
      </c>
      <c r="C132" s="12" t="s">
        <v>182</v>
      </c>
      <c r="E132" s="39" t="str">
        <f>IF(GRAFICA_13!F16=1,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IF(GRAFICA_13!G16=1,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IF(GRAFICA_13!F17=1,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IF(GRAFICA_13!G17=1,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52110.365125997479</v>
      </c>
      <c r="D140" s="9">
        <f t="shared" si="8"/>
        <v>8209.7526047879037</v>
      </c>
      <c r="E140" s="9">
        <f t="shared" si="8"/>
        <v>-50400</v>
      </c>
      <c r="F140" s="9">
        <f t="shared" si="8"/>
        <v>0</v>
      </c>
      <c r="G140" s="9">
        <f t="shared" si="8"/>
        <v>0</v>
      </c>
      <c r="H140" s="9">
        <f t="shared" si="8"/>
        <v>0</v>
      </c>
      <c r="I140" s="9">
        <f t="shared" si="8"/>
        <v>-1710.3651259974799</v>
      </c>
      <c r="J140" s="9">
        <f t="shared" si="8"/>
        <v>-8209.7526047879037</v>
      </c>
      <c r="K140" s="13" t="s">
        <v>251</v>
      </c>
      <c r="L140" s="219" t="s">
        <v>380</v>
      </c>
      <c r="M140" s="172"/>
      <c r="N140" s="172"/>
      <c r="O140" s="172"/>
      <c r="P140" s="172"/>
      <c r="Q140" s="173"/>
    </row>
    <row r="141" spans="1:17" ht="16.95" customHeight="1" x14ac:dyDescent="0.3">
      <c r="A141" s="12" t="str">
        <f t="shared" si="7"/>
        <v>C1Y</v>
      </c>
      <c r="C141" s="9">
        <f t="shared" si="8"/>
        <v>8209.7526047879037</v>
      </c>
      <c r="D141" s="9">
        <f t="shared" si="8"/>
        <v>39406.812502981942</v>
      </c>
      <c r="E141" s="9">
        <f t="shared" si="8"/>
        <v>0</v>
      </c>
      <c r="F141" s="9">
        <f t="shared" si="8"/>
        <v>0</v>
      </c>
      <c r="G141" s="9">
        <f t="shared" si="8"/>
        <v>0</v>
      </c>
      <c r="H141" s="9">
        <f t="shared" si="8"/>
        <v>0</v>
      </c>
      <c r="I141" s="9">
        <f t="shared" si="8"/>
        <v>-8209.7526047879037</v>
      </c>
      <c r="J141" s="9">
        <f t="shared" si="8"/>
        <v>-39406.812502981942</v>
      </c>
      <c r="K141" s="13" t="s">
        <v>251</v>
      </c>
      <c r="L141" s="219" t="s">
        <v>253</v>
      </c>
      <c r="M141" s="172"/>
      <c r="N141" s="172"/>
      <c r="O141" s="172"/>
      <c r="P141" s="172"/>
      <c r="Q141" s="173"/>
    </row>
    <row r="142" spans="1:17" ht="16.95" customHeight="1" x14ac:dyDescent="0.3">
      <c r="A142" s="41">
        <f t="shared" si="7"/>
        <v>0</v>
      </c>
      <c r="C142" s="9">
        <f t="shared" si="8"/>
        <v>-50400</v>
      </c>
      <c r="D142" s="9">
        <f t="shared" si="8"/>
        <v>0</v>
      </c>
      <c r="E142" s="41">
        <f t="shared" si="8"/>
        <v>62114.839499091213</v>
      </c>
      <c r="F142" s="9">
        <f t="shared" si="8"/>
        <v>-24216.911601737876</v>
      </c>
      <c r="G142" s="41">
        <f t="shared" si="8"/>
        <v>-1710.3651259974799</v>
      </c>
      <c r="H142" s="41">
        <f t="shared" si="8"/>
        <v>8209.7526047879037</v>
      </c>
      <c r="I142" s="41">
        <f t="shared" si="8"/>
        <v>-10004.474373093733</v>
      </c>
      <c r="J142" s="41">
        <f t="shared" si="8"/>
        <v>16007.158996949973</v>
      </c>
      <c r="K142" s="13" t="s">
        <v>251</v>
      </c>
      <c r="L142" s="215" t="s">
        <v>254</v>
      </c>
      <c r="M142" s="172"/>
      <c r="N142" s="172"/>
      <c r="O142" s="172"/>
      <c r="P142" s="172"/>
      <c r="Q142" s="173"/>
    </row>
    <row r="143" spans="1:17" ht="16.95" customHeight="1" x14ac:dyDescent="0.3">
      <c r="A143" s="12" t="str">
        <f t="shared" si="7"/>
        <v>C2Y</v>
      </c>
      <c r="C143" s="9">
        <f t="shared" si="8"/>
        <v>0</v>
      </c>
      <c r="D143" s="9">
        <f t="shared" si="8"/>
        <v>0</v>
      </c>
      <c r="E143" s="9">
        <f t="shared" si="8"/>
        <v>-24216.911601737876</v>
      </c>
      <c r="F143" s="9">
        <f t="shared" si="8"/>
        <v>65018.266898101894</v>
      </c>
      <c r="G143" s="9">
        <f t="shared" si="8"/>
        <v>8209.7526047879037</v>
      </c>
      <c r="H143" s="9">
        <f t="shared" si="8"/>
        <v>-39406.812502981942</v>
      </c>
      <c r="I143" s="9">
        <f t="shared" si="8"/>
        <v>16007.158996949973</v>
      </c>
      <c r="J143" s="9">
        <f t="shared" si="8"/>
        <v>-25611.454395119956</v>
      </c>
      <c r="K143" s="13" t="s">
        <v>251</v>
      </c>
      <c r="L143" s="219" t="s">
        <v>381</v>
      </c>
      <c r="M143" s="172"/>
      <c r="N143" s="172"/>
      <c r="O143" s="172"/>
      <c r="P143" s="172"/>
      <c r="Q143" s="173"/>
    </row>
    <row r="144" spans="1:17" ht="16.95" customHeight="1" x14ac:dyDescent="0.3">
      <c r="A144" s="41">
        <f t="shared" si="7"/>
        <v>-2500</v>
      </c>
      <c r="B144" s="13" t="s">
        <v>220</v>
      </c>
      <c r="C144" s="9">
        <f t="shared" si="8"/>
        <v>0</v>
      </c>
      <c r="D144" s="9">
        <f t="shared" si="8"/>
        <v>0</v>
      </c>
      <c r="E144" s="41">
        <f t="shared" si="8"/>
        <v>-1710.3651259974799</v>
      </c>
      <c r="F144" s="9">
        <f t="shared" si="8"/>
        <v>8209.7526047879037</v>
      </c>
      <c r="G144" s="41">
        <f t="shared" si="8"/>
        <v>102510.36512599749</v>
      </c>
      <c r="H144" s="41">
        <f t="shared" si="8"/>
        <v>-8209.7526047879037</v>
      </c>
      <c r="I144" s="41">
        <f t="shared" si="8"/>
        <v>-100800</v>
      </c>
      <c r="J144" s="41">
        <f t="shared" si="8"/>
        <v>0</v>
      </c>
      <c r="K144" s="13" t="s">
        <v>251</v>
      </c>
      <c r="L144" s="215" t="s">
        <v>382</v>
      </c>
      <c r="M144" s="172"/>
      <c r="N144" s="172"/>
      <c r="O144" s="172"/>
      <c r="P144" s="172"/>
      <c r="Q144" s="173"/>
    </row>
    <row r="145" spans="1:17" ht="16.95" customHeight="1" x14ac:dyDescent="0.3">
      <c r="A145" s="41">
        <f t="shared" si="7"/>
        <v>-2500</v>
      </c>
      <c r="C145" s="9">
        <f t="shared" si="8"/>
        <v>0</v>
      </c>
      <c r="D145" s="9">
        <f t="shared" si="8"/>
        <v>0</v>
      </c>
      <c r="E145" s="41">
        <f t="shared" si="8"/>
        <v>8209.7526047879037</v>
      </c>
      <c r="F145" s="9">
        <f t="shared" si="8"/>
        <v>-39406.812502981942</v>
      </c>
      <c r="G145" s="41">
        <f t="shared" si="8"/>
        <v>-8209.7526047879037</v>
      </c>
      <c r="H145" s="41">
        <f t="shared" si="8"/>
        <v>39406.812502981942</v>
      </c>
      <c r="I145" s="41">
        <f t="shared" si="8"/>
        <v>0</v>
      </c>
      <c r="J145" s="41">
        <f t="shared" si="8"/>
        <v>0</v>
      </c>
      <c r="K145" s="13" t="s">
        <v>251</v>
      </c>
      <c r="L145" s="215" t="str">
        <f>E133</f>
        <v>D3Y</v>
      </c>
      <c r="M145" s="172"/>
      <c r="N145" s="172"/>
      <c r="O145" s="172"/>
      <c r="P145" s="172"/>
      <c r="Q145" s="173"/>
    </row>
    <row r="146" spans="1:17" ht="16.95" customHeight="1" x14ac:dyDescent="0.3">
      <c r="A146" s="41">
        <f t="shared" si="7"/>
        <v>3500</v>
      </c>
      <c r="C146" s="9">
        <f t="shared" si="8"/>
        <v>-1710.3651259974799</v>
      </c>
      <c r="D146" s="9">
        <f t="shared" si="8"/>
        <v>-8209.7526047879037</v>
      </c>
      <c r="E146" s="41">
        <f t="shared" si="8"/>
        <v>-10004.474373093733</v>
      </c>
      <c r="F146" s="9">
        <f t="shared" si="8"/>
        <v>16007.158996949973</v>
      </c>
      <c r="G146" s="41">
        <f t="shared" si="8"/>
        <v>-100800</v>
      </c>
      <c r="H146" s="41">
        <f t="shared" si="8"/>
        <v>0</v>
      </c>
      <c r="I146" s="41">
        <f t="shared" si="8"/>
        <v>112514.83949909122</v>
      </c>
      <c r="J146" s="41">
        <f t="shared" si="8"/>
        <v>-7797.4063921620691</v>
      </c>
      <c r="K146" s="13" t="s">
        <v>251</v>
      </c>
      <c r="L146" s="215" t="str">
        <f>E134</f>
        <v>D4X</v>
      </c>
      <c r="M146" s="172"/>
      <c r="N146" s="172"/>
      <c r="O146" s="172"/>
      <c r="P146" s="172"/>
      <c r="Q146" s="173"/>
    </row>
    <row r="147" spans="1:17" ht="16.95" customHeight="1" x14ac:dyDescent="0.3">
      <c r="A147" s="41">
        <f t="shared" si="7"/>
        <v>-2500</v>
      </c>
      <c r="C147" s="9">
        <f t="shared" si="8"/>
        <v>-8209.7526047879037</v>
      </c>
      <c r="D147" s="9">
        <f t="shared" si="8"/>
        <v>-39406.812502981942</v>
      </c>
      <c r="E147" s="41">
        <f t="shared" si="8"/>
        <v>16007.158996949973</v>
      </c>
      <c r="F147" s="9">
        <f t="shared" si="8"/>
        <v>-25611.454395119956</v>
      </c>
      <c r="G147" s="41">
        <f t="shared" si="8"/>
        <v>0</v>
      </c>
      <c r="H147" s="41">
        <f t="shared" si="8"/>
        <v>0</v>
      </c>
      <c r="I147" s="41">
        <f t="shared" si="8"/>
        <v>-7797.4063921620691</v>
      </c>
      <c r="J147" s="41">
        <f t="shared" si="8"/>
        <v>65018.266898101894</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62114.839499091213</v>
      </c>
      <c r="D152" s="41">
        <f t="shared" si="9"/>
        <v>-1710.3651259974799</v>
      </c>
      <c r="E152" s="41">
        <f t="shared" si="9"/>
        <v>8209.7526047879037</v>
      </c>
      <c r="F152" s="41">
        <f t="shared" si="9"/>
        <v>-10004.474373093733</v>
      </c>
      <c r="G152" s="41">
        <f t="shared" si="9"/>
        <v>16007.158996949973</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-2500</v>
      </c>
      <c r="C153" s="41">
        <f t="shared" si="9"/>
        <v>-1710.3651259974799</v>
      </c>
      <c r="D153" s="41">
        <f t="shared" si="9"/>
        <v>102510.36512599749</v>
      </c>
      <c r="E153" s="41">
        <f t="shared" si="9"/>
        <v>-8209.7526047879037</v>
      </c>
      <c r="F153" s="41">
        <f t="shared" si="9"/>
        <v>-100800</v>
      </c>
      <c r="G153" s="41">
        <f t="shared" si="9"/>
        <v>0</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-2500</v>
      </c>
      <c r="B154" s="13" t="s">
        <v>220</v>
      </c>
      <c r="C154" s="41">
        <f t="shared" si="9"/>
        <v>8209.7526047879037</v>
      </c>
      <c r="D154" s="41">
        <f t="shared" si="9"/>
        <v>-8209.7526047879037</v>
      </c>
      <c r="E154" s="41">
        <f t="shared" si="9"/>
        <v>39406.812502981942</v>
      </c>
      <c r="F154" s="41">
        <f t="shared" si="9"/>
        <v>0</v>
      </c>
      <c r="G154" s="41">
        <f t="shared" si="9"/>
        <v>0</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3500</v>
      </c>
      <c r="C155" s="41">
        <f t="shared" si="9"/>
        <v>-10004.474373093733</v>
      </c>
      <c r="D155" s="41">
        <f t="shared" si="9"/>
        <v>-100800</v>
      </c>
      <c r="E155" s="41">
        <f t="shared" si="9"/>
        <v>0</v>
      </c>
      <c r="F155" s="41">
        <f t="shared" si="9"/>
        <v>112514.83949909122</v>
      </c>
      <c r="G155" s="41">
        <f t="shared" si="9"/>
        <v>-7797.4063921620691</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-2500</v>
      </c>
      <c r="C156" s="41">
        <f t="shared" si="9"/>
        <v>16007.158996949973</v>
      </c>
      <c r="D156" s="41">
        <f t="shared" si="9"/>
        <v>0</v>
      </c>
      <c r="E156" s="41">
        <f t="shared" si="9"/>
        <v>0</v>
      </c>
      <c r="F156" s="41">
        <f t="shared" si="9"/>
        <v>-7797.4063921620691</v>
      </c>
      <c r="G156" s="41">
        <f t="shared" si="9"/>
        <v>65018.266898101894</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1.9841269841269838E-5</v>
      </c>
      <c r="D160" s="93">
        <v>1.4880952380952347E-5</v>
      </c>
      <c r="E160" s="93">
        <v>-1.0333994708994769E-6</v>
      </c>
      <c r="F160" s="93">
        <v>1.4880952380952347E-5</v>
      </c>
      <c r="G160" s="93">
        <v>-3.1001984126984161E-6</v>
      </c>
      <c r="I160" s="17">
        <f>A152</f>
        <v>0</v>
      </c>
      <c r="L160" s="215"/>
      <c r="M160" s="172"/>
      <c r="N160" s="172"/>
      <c r="O160" s="172"/>
      <c r="P160" s="172"/>
      <c r="Q160" s="173"/>
    </row>
    <row r="161" spans="1:17" ht="16.95" customHeight="1" x14ac:dyDescent="0.3">
      <c r="A161" s="12" t="str">
        <f>I153</f>
        <v>D3X</v>
      </c>
      <c r="C161" s="93">
        <v>1.4880952380952342E-5</v>
      </c>
      <c r="D161" s="93">
        <v>1.1384809714343677E-4</v>
      </c>
      <c r="E161" s="93">
        <v>2.0618155158850908E-5</v>
      </c>
      <c r="F161" s="93">
        <v>1.0392746222280183E-4</v>
      </c>
      <c r="G161" s="93">
        <v>8.8000328948481211E-6</v>
      </c>
      <c r="I161" s="17">
        <f>A153</f>
        <v>-2500</v>
      </c>
      <c r="L161" s="215"/>
      <c r="M161" s="172"/>
      <c r="N161" s="172"/>
      <c r="O161" s="172"/>
      <c r="P161" s="172"/>
      <c r="Q161" s="173"/>
    </row>
    <row r="162" spans="1:17" ht="16.95" customHeight="1" x14ac:dyDescent="0.3">
      <c r="A162" s="12" t="str">
        <f>I154</f>
        <v>D3Y</v>
      </c>
      <c r="B162" s="13" t="s">
        <v>220</v>
      </c>
      <c r="C162" s="93">
        <v>-1.0333994708994771E-6</v>
      </c>
      <c r="D162" s="93">
        <v>2.0618155158850918E-5</v>
      </c>
      <c r="E162" s="93">
        <v>2.9887063485030137E-5</v>
      </c>
      <c r="F162" s="93">
        <v>1.8551356217051975E-5</v>
      </c>
      <c r="G162" s="93">
        <v>2.4792148557388615E-6</v>
      </c>
      <c r="I162" s="17">
        <f>A154</f>
        <v>-2500</v>
      </c>
      <c r="L162" s="215"/>
      <c r="M162" s="172"/>
      <c r="N162" s="172"/>
      <c r="O162" s="172"/>
      <c r="P162" s="172"/>
      <c r="Q162" s="173"/>
    </row>
    <row r="163" spans="1:17" ht="16.95" customHeight="1" x14ac:dyDescent="0.3">
      <c r="A163" s="12" t="str">
        <f>I155</f>
        <v>D4X</v>
      </c>
      <c r="C163" s="93">
        <v>1.4880952380952344E-5</v>
      </c>
      <c r="D163" s="93">
        <v>1.0392746222280183E-4</v>
      </c>
      <c r="E163" s="93">
        <v>1.8551356217051969E-5</v>
      </c>
      <c r="F163" s="93">
        <v>1.0392746222280183E-4</v>
      </c>
      <c r="G163" s="93">
        <v>8.8000328948481211E-6</v>
      </c>
      <c r="I163" s="17">
        <f>A155</f>
        <v>3500</v>
      </c>
      <c r="L163" s="215"/>
      <c r="M163" s="172"/>
      <c r="N163" s="172"/>
      <c r="O163" s="172"/>
      <c r="P163" s="172"/>
      <c r="Q163" s="173"/>
    </row>
    <row r="164" spans="1:17" ht="16.95" customHeight="1" x14ac:dyDescent="0.3">
      <c r="A164" s="12" t="str">
        <f>I156</f>
        <v>D4Y</v>
      </c>
      <c r="C164" s="93">
        <v>-3.1001984126984169E-6</v>
      </c>
      <c r="D164" s="93">
        <v>8.8000328948481211E-6</v>
      </c>
      <c r="E164" s="93">
        <v>2.4792148557388615E-6</v>
      </c>
      <c r="F164" s="93">
        <v>8.8000328948481211E-6</v>
      </c>
      <c r="G164" s="93">
        <v>1.7198902016447412E-5</v>
      </c>
      <c r="I164" s="17">
        <f>A156</f>
        <v>-2500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2.5214947089947079E-2</v>
      </c>
      <c r="D168" s="12" t="s">
        <v>267</v>
      </c>
      <c r="L168" s="215"/>
      <c r="M168" s="172"/>
      <c r="N168" s="172"/>
      <c r="O168" s="172"/>
      <c r="P168" s="172"/>
      <c r="Q168" s="173"/>
    </row>
    <row r="169" spans="1:17" ht="16.95" customHeight="1" x14ac:dyDescent="0.3">
      <c r="A169" s="12" t="str">
        <f>A161</f>
        <v>D3X</v>
      </c>
      <c r="C169" s="94">
        <v>5.5804047869669159E-3</v>
      </c>
      <c r="D169" s="12" t="s">
        <v>267</v>
      </c>
      <c r="L169" s="215"/>
      <c r="M169" s="172"/>
      <c r="N169" s="172"/>
      <c r="O169" s="172"/>
      <c r="P169" s="172"/>
      <c r="Q169" s="173"/>
    </row>
    <row r="170" spans="1:17" ht="16.95" customHeight="1" x14ac:dyDescent="0.3">
      <c r="A170" s="12" t="str">
        <f>A162</f>
        <v>D3Y</v>
      </c>
      <c r="B170" s="13" t="s">
        <v>220</v>
      </c>
      <c r="C170" s="94">
        <v>-6.7531336989367877E-2</v>
      </c>
      <c r="D170" s="12" t="s">
        <v>267</v>
      </c>
      <c r="L170" s="215"/>
      <c r="M170" s="172"/>
      <c r="N170" s="172"/>
      <c r="O170" s="172"/>
      <c r="P170" s="172"/>
      <c r="Q170" s="173"/>
    </row>
    <row r="171" spans="1:17" ht="16.95" customHeight="1" x14ac:dyDescent="0.3">
      <c r="A171" s="12" t="str">
        <f>A163</f>
        <v>D4X</v>
      </c>
      <c r="C171" s="94">
        <v>3.5548989443051626E-2</v>
      </c>
      <c r="D171" s="12" t="s">
        <v>267</v>
      </c>
      <c r="L171" s="215"/>
      <c r="M171" s="172"/>
      <c r="N171" s="172"/>
      <c r="O171" s="172"/>
      <c r="P171" s="172"/>
      <c r="Q171" s="173"/>
    </row>
    <row r="172" spans="1:17" ht="16.95" customHeight="1" x14ac:dyDescent="0.3">
      <c r="A172" s="12" t="str">
        <f>A164</f>
        <v>D4Y</v>
      </c>
      <c r="C172" s="94">
        <v>-4.039525928561756E-2</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-50400</v>
      </c>
      <c r="D177" s="9">
        <f t="shared" si="10"/>
        <v>0</v>
      </c>
      <c r="E177" s="9">
        <f t="shared" si="10"/>
        <v>0</v>
      </c>
      <c r="F177" s="9">
        <f t="shared" si="10"/>
        <v>-1710.3651259974799</v>
      </c>
      <c r="G177" s="9">
        <f t="shared" si="10"/>
        <v>-8209.7526047879037</v>
      </c>
      <c r="I177" s="95">
        <f>C168</f>
        <v>2.5214947089947079E-2</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0</v>
      </c>
      <c r="E178" s="9">
        <f t="shared" si="10"/>
        <v>0</v>
      </c>
      <c r="F178" s="9">
        <f t="shared" si="10"/>
        <v>-8209.7526047879037</v>
      </c>
      <c r="G178" s="9">
        <f t="shared" si="10"/>
        <v>-39406.812502981942</v>
      </c>
      <c r="I178" s="95">
        <f>C169</f>
        <v>5.5804047869669159E-3</v>
      </c>
      <c r="J178" s="14" t="str">
        <f>INDEX(C$128:C$135, MATCH(2, G$128:G$135, 0))</f>
        <v>U1Y</v>
      </c>
      <c r="L178" s="215" t="s">
        <v>391</v>
      </c>
      <c r="M178" s="172"/>
      <c r="N178" s="172"/>
      <c r="O178" s="172"/>
      <c r="P178" s="172"/>
      <c r="Q178" s="173"/>
    </row>
    <row r="179" spans="1:17" ht="16.95" customHeight="1" x14ac:dyDescent="0.3">
      <c r="A179" s="18" t="str">
        <f>INDEX(B$118:B$125, MATCH(J179, C$118:C$125, 0))</f>
        <v>C2Y</v>
      </c>
      <c r="C179" s="9">
        <f t="shared" si="10"/>
        <v>-24216.911601737876</v>
      </c>
      <c r="D179" s="9">
        <f t="shared" si="10"/>
        <v>8209.7526047879037</v>
      </c>
      <c r="E179" s="9">
        <f t="shared" si="10"/>
        <v>-39406.812502981942</v>
      </c>
      <c r="F179" s="9">
        <f t="shared" si="10"/>
        <v>16007.158996949973</v>
      </c>
      <c r="G179" s="9">
        <f t="shared" si="10"/>
        <v>-25611.454395119956</v>
      </c>
      <c r="I179" s="95">
        <f>C170</f>
        <v>-6.7531336989367877E-2</v>
      </c>
      <c r="J179" s="14" t="str">
        <f>INDEX(C$128:C$135, MATCH(3, G$128:G$135, 0))</f>
        <v>U2Y</v>
      </c>
      <c r="L179" s="215" t="s">
        <v>392</v>
      </c>
      <c r="M179" s="172"/>
      <c r="N179" s="172"/>
      <c r="O179" s="172"/>
      <c r="P179" s="172"/>
      <c r="Q179" s="173"/>
    </row>
    <row r="180" spans="1:17" ht="16.95" customHeight="1" x14ac:dyDescent="0.3">
      <c r="I180" s="95">
        <f>C171</f>
        <v>3.5548989443051626E-2</v>
      </c>
      <c r="L180" s="215" t="s">
        <v>393</v>
      </c>
      <c r="M180" s="172"/>
      <c r="N180" s="172"/>
      <c r="O180" s="172"/>
      <c r="P180" s="172"/>
      <c r="Q180" s="173"/>
    </row>
    <row r="181" spans="1:17" ht="16.95" customHeight="1" x14ac:dyDescent="0.3">
      <c r="I181" s="95">
        <f>C172</f>
        <v>-4.039525928561756E-2</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-999.99999999999955</v>
      </c>
      <c r="D183" s="12" t="s">
        <v>273</v>
      </c>
      <c r="L183" s="215"/>
      <c r="M183" s="172"/>
      <c r="N183" s="172"/>
      <c r="O183" s="172"/>
      <c r="P183" s="172"/>
      <c r="Q183" s="173"/>
    </row>
    <row r="184" spans="1:17" ht="16.95" customHeight="1" x14ac:dyDescent="0.3">
      <c r="A184" s="12" t="str">
        <f>A178</f>
        <v>C1Y</v>
      </c>
      <c r="B184" s="13" t="s">
        <v>220</v>
      </c>
      <c r="C184" s="17">
        <v>1300.0000000000007</v>
      </c>
      <c r="D184" s="12" t="s">
        <v>273</v>
      </c>
      <c r="L184" s="215"/>
      <c r="M184" s="172"/>
      <c r="N184" s="172"/>
      <c r="O184" s="172"/>
      <c r="P184" s="172"/>
      <c r="Q184" s="173"/>
    </row>
    <row r="185" spans="1:17" ht="16.95" customHeight="1" x14ac:dyDescent="0.3">
      <c r="A185" s="12" t="str">
        <f>A179</f>
        <v>C2Y</v>
      </c>
      <c r="C185" s="17">
        <v>3699.9999999999982</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2.5214947089947079E-2</v>
      </c>
    </row>
    <row r="193" spans="1:17" ht="19.05" customHeight="1" x14ac:dyDescent="0.3">
      <c r="A193" s="12" t="s">
        <v>231</v>
      </c>
      <c r="B193" s="12" t="s">
        <v>181</v>
      </c>
      <c r="D193" s="94">
        <f t="shared" si="11"/>
        <v>0</v>
      </c>
    </row>
    <row r="194" spans="1:17" ht="19.05" customHeight="1" x14ac:dyDescent="0.3">
      <c r="A194" s="12" t="s">
        <v>232</v>
      </c>
      <c r="B194" s="12" t="s">
        <v>182</v>
      </c>
      <c r="D194" s="94">
        <f t="shared" si="11"/>
        <v>5.5804047869669159E-3</v>
      </c>
    </row>
    <row r="195" spans="1:17" ht="19.05" customHeight="1" x14ac:dyDescent="0.3">
      <c r="A195" s="12" t="s">
        <v>234</v>
      </c>
      <c r="B195" s="12" t="s">
        <v>183</v>
      </c>
      <c r="D195" s="94">
        <f t="shared" si="11"/>
        <v>-6.7531336989367877E-2</v>
      </c>
    </row>
    <row r="196" spans="1:17" ht="19.05" customHeight="1" x14ac:dyDescent="0.3">
      <c r="A196" s="12" t="s">
        <v>235</v>
      </c>
      <c r="B196" s="12" t="s">
        <v>184</v>
      </c>
      <c r="D196" s="94">
        <f t="shared" si="11"/>
        <v>3.5548989443051626E-2</v>
      </c>
    </row>
    <row r="197" spans="1:17" ht="19.05" customHeight="1" x14ac:dyDescent="0.3">
      <c r="A197" s="12" t="s">
        <v>236</v>
      </c>
      <c r="B197" s="12" t="s">
        <v>185</v>
      </c>
      <c r="D197" s="94">
        <f t="shared" si="11"/>
        <v>-4.039525928561756E-2</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1270.8333333333328</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2.5214947089947079E-2</v>
      </c>
      <c r="H206" s="12" t="str">
        <f>"D" &amp; E14 &amp; "X"</f>
        <v>D2X</v>
      </c>
      <c r="L206" s="215" t="s">
        <v>400</v>
      </c>
      <c r="M206" s="172"/>
      <c r="N206" s="172"/>
      <c r="O206" s="172"/>
      <c r="P206" s="172"/>
      <c r="Q206" s="173"/>
    </row>
    <row r="207" spans="1:17" ht="16.95" customHeight="1" x14ac:dyDescent="0.3">
      <c r="G207" s="96">
        <f>IFERROR(VLOOKUP(H207, A$190:D$197, 4, FALSE), 0)</f>
        <v>0</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41117.177628979414</v>
      </c>
      <c r="C212" s="92">
        <f>-J7</f>
        <v>0.20395425411200105</v>
      </c>
      <c r="D212" s="92">
        <f>-K7</f>
        <v>-0.97898041973760508</v>
      </c>
      <c r="E212" s="92">
        <f>J7</f>
        <v>-0.20395425411200105</v>
      </c>
      <c r="F212" s="92">
        <f>K7</f>
        <v>0.97898041973760508</v>
      </c>
      <c r="G212" s="96">
        <f>IFERROR(VLOOKUP(H212, A$190:D$197, 4, FALSE), 0)</f>
        <v>2.5214947089947079E-2</v>
      </c>
      <c r="H212" s="12" t="str">
        <f>"D" &amp; C15 &amp; "X"</f>
        <v>D2X</v>
      </c>
      <c r="L212" s="215"/>
      <c r="M212" s="172"/>
      <c r="N212" s="172"/>
      <c r="O212" s="172"/>
      <c r="P212" s="172"/>
      <c r="Q212" s="173"/>
    </row>
    <row r="213" spans="1:17" ht="16.95" customHeight="1" x14ac:dyDescent="0.3">
      <c r="A213" s="99" t="s">
        <v>286</v>
      </c>
      <c r="B213" s="97">
        <f>(MMULT(C212:F212, G212:G215)*A212)</f>
        <v>-2553.6772233606785</v>
      </c>
      <c r="G213" s="96">
        <f>IFERROR(VLOOKUP(H213, A$190:D$197, 4, FALSE), 0)</f>
        <v>0</v>
      </c>
      <c r="H213" s="12" t="str">
        <f>"D" &amp; D15 &amp; "Y"</f>
        <v>D2Y</v>
      </c>
      <c r="L213" s="215"/>
      <c r="M213" s="172"/>
      <c r="N213" s="172"/>
      <c r="O213" s="172"/>
      <c r="P213" s="172"/>
      <c r="Q213" s="173"/>
    </row>
    <row r="214" spans="1:17" ht="16.95" customHeight="1" x14ac:dyDescent="0.3">
      <c r="G214" s="96">
        <f>IFERROR(VLOOKUP(H214, A$190:D$197, 4, FALSE), 0)</f>
        <v>5.5804047869669159E-3</v>
      </c>
      <c r="H214" s="12" t="str">
        <f>"D" &amp; E15 &amp; "X"</f>
        <v>D3X</v>
      </c>
      <c r="L214" s="215"/>
      <c r="M214" s="172"/>
      <c r="N214" s="172"/>
      <c r="O214" s="172"/>
      <c r="P214" s="172"/>
      <c r="Q214" s="173"/>
    </row>
    <row r="215" spans="1:17" ht="16.95" customHeight="1" x14ac:dyDescent="0.3">
      <c r="G215" s="96">
        <f>IFERROR(VLOOKUP(H215, A$190:D$197, 4, FALSE), 0)</f>
        <v>-6.7531336989367877E-2</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COMPRESIÓN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100800</v>
      </c>
      <c r="C220" s="92">
        <f>-J8</f>
        <v>1</v>
      </c>
      <c r="D220" s="92">
        <f>-K8</f>
        <v>0</v>
      </c>
      <c r="E220" s="92">
        <f>J8</f>
        <v>-1</v>
      </c>
      <c r="F220" s="92">
        <f>K8</f>
        <v>0</v>
      </c>
      <c r="G220" s="96">
        <f>IFERROR(VLOOKUP(H220, A$190:D$197, 4, FALSE), 0)</f>
        <v>5.5804047869669159E-3</v>
      </c>
      <c r="H220" s="12" t="str">
        <f>"D" &amp; C16 &amp; "X"</f>
        <v>D3X</v>
      </c>
      <c r="L220" s="215"/>
      <c r="M220" s="172"/>
      <c r="N220" s="172"/>
      <c r="O220" s="172"/>
      <c r="P220" s="172"/>
      <c r="Q220" s="173"/>
    </row>
    <row r="221" spans="1:17" ht="16.95" customHeight="1" x14ac:dyDescent="0.3">
      <c r="A221" s="99" t="s">
        <v>287</v>
      </c>
      <c r="B221" s="97">
        <f>(MMULT(C220:F220, G220:G223)*A220)</f>
        <v>-3020.8333333333389</v>
      </c>
      <c r="G221" s="96">
        <f>IFERROR(VLOOKUP(H221, A$190:D$197, 4, FALSE), 0)</f>
        <v>-6.7531336989367877E-2</v>
      </c>
      <c r="H221" s="12" t="str">
        <f>"D" &amp; D16 &amp; "Y"</f>
        <v>D3Y</v>
      </c>
      <c r="L221" s="215"/>
      <c r="M221" s="172"/>
      <c r="N221" s="172"/>
      <c r="O221" s="172"/>
      <c r="P221" s="172"/>
      <c r="Q221" s="173"/>
    </row>
    <row r="222" spans="1:17" ht="16.95" customHeight="1" x14ac:dyDescent="0.3">
      <c r="G222" s="96">
        <f>IFERROR(VLOOKUP(H222, A$190:D$197, 4, FALSE), 0)</f>
        <v>3.5548989443051626E-2</v>
      </c>
      <c r="H222" s="12" t="str">
        <f>"D" &amp; E16 &amp; "X"</f>
        <v>D4X</v>
      </c>
      <c r="L222" s="215"/>
      <c r="M222" s="172"/>
      <c r="N222" s="172"/>
      <c r="O222" s="172"/>
      <c r="P222" s="172"/>
      <c r="Q222" s="173"/>
    </row>
    <row r="223" spans="1:17" ht="16.95" customHeight="1" x14ac:dyDescent="0.3">
      <c r="G223" s="96">
        <f>IFERROR(VLOOKUP(H223, A$190:D$197, 4, FALSE), 0)</f>
        <v>-4.039525928561756E-2</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41117.177628979414</v>
      </c>
      <c r="C228" s="92">
        <f>-J9</f>
        <v>0.20395425411200105</v>
      </c>
      <c r="D228" s="92">
        <f>-K9</f>
        <v>0.97898041973760508</v>
      </c>
      <c r="E228" s="92">
        <f>J9</f>
        <v>-0.20395425411200105</v>
      </c>
      <c r="F228" s="92">
        <f>K9</f>
        <v>-0.97898041973760508</v>
      </c>
      <c r="G228" s="96">
        <f>IFERROR(VLOOKUP(H228, A$190:D$197, 4, FALSE), 0)</f>
        <v>3.5548989443051626E-2</v>
      </c>
      <c r="H228" s="12" t="str">
        <f>"D" &amp; C17 &amp; "X"</f>
        <v>D4X</v>
      </c>
    </row>
    <row r="229" spans="1:17" ht="19.95" customHeight="1" x14ac:dyDescent="0.3">
      <c r="A229" s="99" t="s">
        <v>288</v>
      </c>
      <c r="B229" s="97">
        <f>(MMULT(C228:F228, G228:G231)*A228)</f>
        <v>-1327.9121561475538</v>
      </c>
      <c r="G229" s="96">
        <f>IFERROR(VLOOKUP(H229, A$190:D$197, 4, FALSE), 0)</f>
        <v>-4.039525928561756E-2</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35615.928768213693</v>
      </c>
      <c r="C236" s="92">
        <f>-J10</f>
        <v>0.52999894000317993</v>
      </c>
      <c r="D236" s="92">
        <f>-K10</f>
        <v>-0.84799830400508791</v>
      </c>
      <c r="E236" s="92">
        <f>J10</f>
        <v>-0.52999894000317993</v>
      </c>
      <c r="F236" s="92">
        <f>K10</f>
        <v>0.84799830400508791</v>
      </c>
      <c r="G236" s="96">
        <f>IFERROR(VLOOKUP(H236, A$190:D$197, 4, FALSE), 0)</f>
        <v>2.5214947089947079E-2</v>
      </c>
      <c r="H236" s="12" t="str">
        <f>"D" &amp; C18 &amp; "X"</f>
        <v>D2X</v>
      </c>
    </row>
    <row r="237" spans="1:17" ht="19.95" customHeight="1" x14ac:dyDescent="0.3">
      <c r="A237" s="99" t="s">
        <v>289</v>
      </c>
      <c r="B237" s="97">
        <f>(MMULT(C236:F236, G236:G239)*A236)</f>
        <v>-1415.0971698084902</v>
      </c>
      <c r="G237" s="96">
        <f>IFERROR(VLOOKUP(H237, A$190:D$197, 4, FALSE), 0)</f>
        <v>0</v>
      </c>
      <c r="H237" s="12" t="str">
        <f>"D" &amp; D18 &amp; "Y"</f>
        <v>D2Y</v>
      </c>
    </row>
    <row r="238" spans="1:17" ht="19.95" customHeight="1" x14ac:dyDescent="0.3">
      <c r="G238" s="96">
        <f>IFERROR(VLOOKUP(H238, A$190:D$197, 4, FALSE), 0)</f>
        <v>3.5548989443051626E-2</v>
      </c>
      <c r="H238" s="12" t="str">
        <f>"D" &amp; E18 &amp; "X"</f>
        <v>D4X</v>
      </c>
    </row>
    <row r="239" spans="1:17" ht="19.95" customHeight="1" x14ac:dyDescent="0.3">
      <c r="G239" s="96">
        <f>IFERROR(VLOOKUP(H239, A$190:D$197, 4, FALSE), 0)</f>
        <v>-4.039525928561756E-2</v>
      </c>
      <c r="H239" s="12" t="str">
        <f>"D" &amp; F18 &amp; "Y"</f>
        <v>D4Y</v>
      </c>
    </row>
    <row r="240" spans="1:17" ht="19.95" customHeight="1" x14ac:dyDescent="0.3">
      <c r="B240" s="99" t="s">
        <v>273</v>
      </c>
      <c r="C240" s="178" t="str">
        <f>IF(B237&gt;0.001,"BARRA A TRACCIÓN (+)",IF(B237&lt;-0.001,"BARRA A COMPRESIÓN (-)","BARRA DE FUERZA NULA"))</f>
        <v>BARRA A COMPRESIÓN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1270.8333333333328</v>
      </c>
      <c r="H245" s="84" t="str">
        <f>C208</f>
        <v>BARRA A TRACCIÓN (+)</v>
      </c>
    </row>
    <row r="246" spans="2:8" ht="19.95" customHeight="1" x14ac:dyDescent="0.3">
      <c r="B246" s="25">
        <v>2</v>
      </c>
      <c r="C246" s="86">
        <f>C15</f>
        <v>2</v>
      </c>
      <c r="D246" s="86">
        <f>E15</f>
        <v>3</v>
      </c>
      <c r="E246" s="9">
        <f>I7</f>
        <v>612.88253360656313</v>
      </c>
      <c r="F246" s="9">
        <f>L7</f>
        <v>12</v>
      </c>
      <c r="G246" s="97">
        <f>B213</f>
        <v>-2553.6772233606785</v>
      </c>
      <c r="H246" s="84" t="str">
        <f>C216</f>
        <v>BARRA A COMPRESIÓN (-)</v>
      </c>
    </row>
    <row r="247" spans="2:8" ht="19.95" customHeight="1" x14ac:dyDescent="0.3">
      <c r="B247" s="26">
        <v>3</v>
      </c>
      <c r="C247" s="86">
        <f>C16</f>
        <v>3</v>
      </c>
      <c r="D247" s="86">
        <f>E16</f>
        <v>4</v>
      </c>
      <c r="E247" s="9">
        <f>I8</f>
        <v>250</v>
      </c>
      <c r="F247" s="9">
        <f>L8</f>
        <v>12</v>
      </c>
      <c r="G247" s="97">
        <f>B221</f>
        <v>-3020.8333333333389</v>
      </c>
      <c r="H247" s="84" t="str">
        <f>C224</f>
        <v>BARRA A COMPRESIÓN (-)</v>
      </c>
    </row>
    <row r="248" spans="2:8" ht="19.95" customHeight="1" x14ac:dyDescent="0.3">
      <c r="B248" s="43">
        <v>4</v>
      </c>
      <c r="C248" s="86">
        <f>C17</f>
        <v>4</v>
      </c>
      <c r="D248" s="86">
        <f>E17</f>
        <v>1</v>
      </c>
      <c r="E248" s="9">
        <f>I9</f>
        <v>612.88253360656313</v>
      </c>
      <c r="F248" s="9">
        <f>L9</f>
        <v>12</v>
      </c>
      <c r="G248" s="97">
        <f>B229</f>
        <v>-1327.9121561475538</v>
      </c>
      <c r="H248" s="84" t="str">
        <f>C232</f>
        <v>BARRA A COMPRESIÓN (-)</v>
      </c>
    </row>
    <row r="249" spans="2:8" ht="19.95" customHeight="1" x14ac:dyDescent="0.3">
      <c r="B249" s="44">
        <v>5</v>
      </c>
      <c r="C249" s="86">
        <f>C18</f>
        <v>2</v>
      </c>
      <c r="D249" s="86">
        <f>E18</f>
        <v>4</v>
      </c>
      <c r="E249" s="9">
        <f>I10</f>
        <v>707.54858490424533</v>
      </c>
      <c r="F249" s="9">
        <f>L10</f>
        <v>12</v>
      </c>
      <c r="G249" s="97">
        <f>B237</f>
        <v>-1415.0971698084902</v>
      </c>
      <c r="H249" s="84" t="str">
        <f>C240</f>
        <v>BARRA A COMPRESIÓN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465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800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600</v>
      </c>
      <c r="AB9" s="20">
        <f>IF(H29="","",H29)</f>
        <v>400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250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466</v>
      </c>
      <c r="K14" s="172"/>
      <c r="L14" s="172"/>
      <c r="M14" s="172"/>
      <c r="N14" s="172"/>
      <c r="O14" s="173"/>
      <c r="AA14" s="20">
        <f>IF(E31="","",E31)</f>
        <v>250</v>
      </c>
      <c r="AB14" s="20">
        <f>IF(F31="","",F31)</f>
        <v>450</v>
      </c>
      <c r="AC14" t="s">
        <v>328</v>
      </c>
    </row>
    <row r="15" spans="2:29" ht="19.05" customHeight="1" x14ac:dyDescent="0.3">
      <c r="B15" s="89">
        <v>2</v>
      </c>
      <c r="C15" s="21">
        <v>800</v>
      </c>
      <c r="D15" s="21">
        <v>0</v>
      </c>
      <c r="E15" s="21" t="s">
        <v>329</v>
      </c>
      <c r="F15" s="88">
        <f t="shared" si="0"/>
        <v>0</v>
      </c>
      <c r="G15" s="88">
        <f t="shared" si="1"/>
        <v>1</v>
      </c>
      <c r="H15" s="22">
        <v>0</v>
      </c>
      <c r="I15" s="22">
        <v>0</v>
      </c>
      <c r="J15" s="205" t="s">
        <v>467</v>
      </c>
      <c r="K15" s="172"/>
      <c r="L15" s="172"/>
      <c r="M15" s="172"/>
      <c r="N15" s="172"/>
      <c r="O15" s="173"/>
      <c r="AA15" s="20">
        <f>IF(G31="","",G31)</f>
        <v>600</v>
      </c>
      <c r="AB15" s="20">
        <f>IF(H31="","",H31)</f>
        <v>400</v>
      </c>
      <c r="AC15" t="s">
        <v>331</v>
      </c>
    </row>
    <row r="16" spans="2:29" ht="19.05" customHeight="1" x14ac:dyDescent="0.3">
      <c r="B16" s="89">
        <v>3</v>
      </c>
      <c r="C16" s="21">
        <v>600</v>
      </c>
      <c r="D16" s="21">
        <v>400</v>
      </c>
      <c r="E16" s="21" t="s">
        <v>326</v>
      </c>
      <c r="F16" s="88">
        <f t="shared" si="0"/>
        <v>0</v>
      </c>
      <c r="G16" s="88">
        <f t="shared" si="1"/>
        <v>0</v>
      </c>
      <c r="H16" s="22">
        <v>1500</v>
      </c>
      <c r="I16" s="22">
        <v>-4500</v>
      </c>
      <c r="J16" s="205" t="s">
        <v>468</v>
      </c>
      <c r="K16" s="172"/>
      <c r="L16" s="172"/>
      <c r="M16" s="172"/>
      <c r="N16" s="172"/>
      <c r="O16" s="173"/>
    </row>
    <row r="17" spans="2:29" ht="19.05" customHeight="1" x14ac:dyDescent="0.3">
      <c r="B17" s="89">
        <v>4</v>
      </c>
      <c r="C17" s="21">
        <v>250</v>
      </c>
      <c r="D17" s="21">
        <v>450</v>
      </c>
      <c r="E17" s="21" t="s">
        <v>326</v>
      </c>
      <c r="F17" s="88">
        <f t="shared" si="0"/>
        <v>0</v>
      </c>
      <c r="G17" s="88">
        <f t="shared" si="1"/>
        <v>0</v>
      </c>
      <c r="H17" s="22">
        <v>2000</v>
      </c>
      <c r="I17" s="22">
        <v>-6000</v>
      </c>
      <c r="J17" s="205" t="s">
        <v>469</v>
      </c>
      <c r="K17" s="172"/>
      <c r="L17" s="172"/>
      <c r="M17" s="172"/>
      <c r="N17" s="172"/>
      <c r="O17" s="173"/>
      <c r="AA17" s="20">
        <f>IF(E32="","",E32)</f>
        <v>600</v>
      </c>
      <c r="AB17" s="20">
        <f>IF(F32="","",F32)</f>
        <v>400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800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800</v>
      </c>
      <c r="H28" s="5">
        <f t="shared" ref="H28:H42" si="5">IF(OR(ISBLANK(D28),D28=""),"",VLOOKUP(D28,$B$14:$D$23,3,FALSE))</f>
        <v>0</v>
      </c>
      <c r="I28" s="9">
        <f t="shared" ref="I28:I42" si="6">IF(G28="","",G28-E28)</f>
        <v>800</v>
      </c>
      <c r="J28" s="9">
        <f t="shared" ref="J28:J42" si="7">IF(H28="","",H28-F28)</f>
        <v>0</v>
      </c>
      <c r="K28" s="9">
        <f t="shared" ref="K28:K42" si="8">IF(I28="","",SQRT(I28^2+J28^2))</f>
        <v>800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600</v>
      </c>
      <c r="H29" s="5">
        <f t="shared" si="5"/>
        <v>400</v>
      </c>
      <c r="I29" s="9">
        <f t="shared" si="6"/>
        <v>600</v>
      </c>
      <c r="J29" s="9">
        <f t="shared" si="7"/>
        <v>400</v>
      </c>
      <c r="K29" s="9">
        <f t="shared" si="8"/>
        <v>721.11025509279784</v>
      </c>
      <c r="L29" s="92">
        <f t="shared" si="9"/>
        <v>0.83205029433784372</v>
      </c>
      <c r="M29" s="92">
        <f t="shared" si="10"/>
        <v>0.55470019622522915</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450</v>
      </c>
      <c r="I30" s="9">
        <f t="shared" si="6"/>
        <v>250</v>
      </c>
      <c r="J30" s="9">
        <f t="shared" si="7"/>
        <v>450</v>
      </c>
      <c r="K30" s="9">
        <f t="shared" si="8"/>
        <v>514.78150704935001</v>
      </c>
      <c r="L30" s="92">
        <f t="shared" si="9"/>
        <v>0.48564293117863211</v>
      </c>
      <c r="M30" s="92">
        <f t="shared" si="10"/>
        <v>0.87415727612153782</v>
      </c>
      <c r="N30" s="22">
        <v>12</v>
      </c>
      <c r="O30" s="24">
        <v>2100000</v>
      </c>
      <c r="AA30" s="20" t="str">
        <f>IF(G36="","",G36)</f>
        <v/>
      </c>
      <c r="AB30" s="20" t="str">
        <f>IF(H36="","",H36)</f>
        <v/>
      </c>
      <c r="AC30" t="s">
        <v>354</v>
      </c>
    </row>
    <row r="31" spans="2:29" ht="19.05" customHeight="1" x14ac:dyDescent="0.3">
      <c r="B31" s="89">
        <v>4</v>
      </c>
      <c r="C31" s="23">
        <v>4</v>
      </c>
      <c r="D31" s="23">
        <v>3</v>
      </c>
      <c r="E31" s="5">
        <f t="shared" si="2"/>
        <v>250</v>
      </c>
      <c r="F31" s="5">
        <f t="shared" si="3"/>
        <v>450</v>
      </c>
      <c r="G31" s="5">
        <f t="shared" si="4"/>
        <v>600</v>
      </c>
      <c r="H31" s="5">
        <f t="shared" si="5"/>
        <v>400</v>
      </c>
      <c r="I31" s="9">
        <f t="shared" si="6"/>
        <v>350</v>
      </c>
      <c r="J31" s="9">
        <f t="shared" si="7"/>
        <v>-50</v>
      </c>
      <c r="K31" s="9">
        <f t="shared" si="8"/>
        <v>353.55339059327378</v>
      </c>
      <c r="L31" s="92">
        <f t="shared" si="9"/>
        <v>0.98994949366116647</v>
      </c>
      <c r="M31" s="92">
        <f t="shared" si="10"/>
        <v>-0.1414213562373095</v>
      </c>
      <c r="N31" s="22">
        <v>12</v>
      </c>
      <c r="O31" s="24">
        <v>2100000</v>
      </c>
    </row>
    <row r="32" spans="2:29" ht="19.05" customHeight="1" x14ac:dyDescent="0.3">
      <c r="B32" s="89">
        <v>5</v>
      </c>
      <c r="C32" s="23">
        <v>3</v>
      </c>
      <c r="D32" s="23">
        <v>2</v>
      </c>
      <c r="E32" s="5">
        <f t="shared" si="2"/>
        <v>600</v>
      </c>
      <c r="F32" s="5">
        <f t="shared" si="3"/>
        <v>400</v>
      </c>
      <c r="G32" s="5">
        <f t="shared" si="4"/>
        <v>800</v>
      </c>
      <c r="H32" s="5">
        <f t="shared" si="5"/>
        <v>0</v>
      </c>
      <c r="I32" s="9">
        <f t="shared" si="6"/>
        <v>200</v>
      </c>
      <c r="J32" s="9">
        <f t="shared" si="7"/>
        <v>-400</v>
      </c>
      <c r="K32" s="9">
        <f t="shared" si="8"/>
        <v>447.21359549995793</v>
      </c>
      <c r="L32" s="92">
        <f t="shared" si="9"/>
        <v>0.44721359549995793</v>
      </c>
      <c r="M32" s="92">
        <f t="shared" si="10"/>
        <v>-0.89442719099991586</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D00-000000000000}">
      <formula1>"Fijo (articulado),Rodillo Y (despl. X libre),Rodillo X (despl. Y libre),Libre (0 reac.)"</formula1>
    </dataValidation>
  </dataValidations>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470</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GRAFICA_14!E28</f>
        <v>0</v>
      </c>
      <c r="D6" s="22">
        <f>GRAFICA_14!F28</f>
        <v>0</v>
      </c>
      <c r="E6" s="22">
        <f>GRAFICA_14!G28</f>
        <v>800</v>
      </c>
      <c r="F6" s="22">
        <f>GRAFICA_14!H28</f>
        <v>0</v>
      </c>
      <c r="G6" s="9">
        <f t="shared" ref="G6:H10" si="0">E6-C6</f>
        <v>800</v>
      </c>
      <c r="H6" s="9">
        <f t="shared" si="0"/>
        <v>0</v>
      </c>
      <c r="I6" s="9">
        <f>SQRT(G6*G6+H6*H6)</f>
        <v>800</v>
      </c>
      <c r="J6" s="92">
        <f>G6/I6</f>
        <v>1</v>
      </c>
      <c r="K6" s="92">
        <f>H6/I6</f>
        <v>0</v>
      </c>
      <c r="L6" s="22">
        <f>GRAFICA_14!N28</f>
        <v>12</v>
      </c>
      <c r="M6" s="22">
        <f>GRAFICA_14!O28</f>
        <v>2100000</v>
      </c>
      <c r="N6" s="6">
        <f>L6*M6/I6</f>
        <v>31500</v>
      </c>
    </row>
    <row r="7" spans="2:14" ht="19.05" customHeight="1" x14ac:dyDescent="0.3">
      <c r="B7" s="25">
        <v>2</v>
      </c>
      <c r="C7" s="22">
        <f>GRAFICA_14!E29</f>
        <v>0</v>
      </c>
      <c r="D7" s="22">
        <f>GRAFICA_14!F29</f>
        <v>0</v>
      </c>
      <c r="E7" s="22">
        <f>GRAFICA_14!G29</f>
        <v>600</v>
      </c>
      <c r="F7" s="22">
        <f>GRAFICA_14!H29</f>
        <v>400</v>
      </c>
      <c r="G7" s="9">
        <f t="shared" si="0"/>
        <v>600</v>
      </c>
      <c r="H7" s="9">
        <f t="shared" si="0"/>
        <v>400</v>
      </c>
      <c r="I7" s="9">
        <f>SQRT(G7*G7+H7*H7)</f>
        <v>721.11025509279784</v>
      </c>
      <c r="J7" s="92">
        <f>G7/I7</f>
        <v>0.83205029433784372</v>
      </c>
      <c r="K7" s="92">
        <f>H7/I7</f>
        <v>0.55470019622522915</v>
      </c>
      <c r="L7" s="22">
        <f>GRAFICA_14!N29</f>
        <v>12</v>
      </c>
      <c r="M7" s="22">
        <f>GRAFICA_14!O29</f>
        <v>2100000</v>
      </c>
      <c r="N7" s="6">
        <f>L7*M7/I7</f>
        <v>34946.112362189437</v>
      </c>
    </row>
    <row r="8" spans="2:14" ht="19.05" customHeight="1" x14ac:dyDescent="0.3">
      <c r="B8" s="26">
        <v>3</v>
      </c>
      <c r="C8" s="22">
        <f>GRAFICA_14!E30</f>
        <v>0</v>
      </c>
      <c r="D8" s="22">
        <f>GRAFICA_14!F30</f>
        <v>0</v>
      </c>
      <c r="E8" s="22">
        <f>GRAFICA_14!G30</f>
        <v>250</v>
      </c>
      <c r="F8" s="22">
        <f>GRAFICA_14!H30</f>
        <v>450</v>
      </c>
      <c r="G8" s="9">
        <f t="shared" si="0"/>
        <v>250</v>
      </c>
      <c r="H8" s="9">
        <f t="shared" si="0"/>
        <v>450</v>
      </c>
      <c r="I8" s="9">
        <f>SQRT(G8*G8+H8*H8)</f>
        <v>514.78150704935001</v>
      </c>
      <c r="J8" s="92">
        <f>G8/I8</f>
        <v>0.48564293117863211</v>
      </c>
      <c r="K8" s="92">
        <f>H8/I8</f>
        <v>0.87415727612153782</v>
      </c>
      <c r="L8" s="22">
        <f>GRAFICA_14!N30</f>
        <v>12</v>
      </c>
      <c r="M8" s="22">
        <f>GRAFICA_14!O30</f>
        <v>2100000</v>
      </c>
      <c r="N8" s="6">
        <f>L8*M8/I8</f>
        <v>48952.807462806115</v>
      </c>
    </row>
    <row r="9" spans="2:14" ht="19.05" customHeight="1" x14ac:dyDescent="0.3">
      <c r="B9" s="43">
        <v>4</v>
      </c>
      <c r="C9" s="22">
        <f>GRAFICA_14!E31</f>
        <v>250</v>
      </c>
      <c r="D9" s="22">
        <f>GRAFICA_14!F31</f>
        <v>450</v>
      </c>
      <c r="E9" s="22">
        <f>GRAFICA_14!G31</f>
        <v>600</v>
      </c>
      <c r="F9" s="22">
        <f>GRAFICA_14!H31</f>
        <v>400</v>
      </c>
      <c r="G9" s="9">
        <f t="shared" si="0"/>
        <v>350</v>
      </c>
      <c r="H9" s="9">
        <f t="shared" si="0"/>
        <v>-50</v>
      </c>
      <c r="I9" s="9">
        <f>SQRT(G9*G9+H9*H9)</f>
        <v>353.55339059327378</v>
      </c>
      <c r="J9" s="92">
        <f>G9/I9</f>
        <v>0.98994949366116647</v>
      </c>
      <c r="K9" s="92">
        <f>H9/I9</f>
        <v>-0.1414213562373095</v>
      </c>
      <c r="L9" s="22">
        <f>GRAFICA_14!N31</f>
        <v>12</v>
      </c>
      <c r="M9" s="22">
        <f>GRAFICA_14!O31</f>
        <v>2100000</v>
      </c>
      <c r="N9" s="6">
        <f>L9*M9/I9</f>
        <v>71276.363543603991</v>
      </c>
    </row>
    <row r="10" spans="2:14" ht="19.05" customHeight="1" x14ac:dyDescent="0.3">
      <c r="B10" s="44">
        <v>5</v>
      </c>
      <c r="C10" s="22">
        <f>GRAFICA_14!E32</f>
        <v>600</v>
      </c>
      <c r="D10" s="22">
        <f>GRAFICA_14!F32</f>
        <v>400</v>
      </c>
      <c r="E10" s="22">
        <f>GRAFICA_14!G32</f>
        <v>800</v>
      </c>
      <c r="F10" s="22">
        <f>GRAFICA_14!H32</f>
        <v>0</v>
      </c>
      <c r="G10" s="9">
        <f t="shared" si="0"/>
        <v>200</v>
      </c>
      <c r="H10" s="9">
        <f t="shared" si="0"/>
        <v>-400</v>
      </c>
      <c r="I10" s="9">
        <f>SQRT(G10*G10+H10*H10)</f>
        <v>447.21359549995793</v>
      </c>
      <c r="J10" s="92">
        <f>G10/I10</f>
        <v>0.44721359549995793</v>
      </c>
      <c r="K10" s="92">
        <f>H10/I10</f>
        <v>-0.89442719099991586</v>
      </c>
      <c r="L10" s="22">
        <f>GRAFICA_14!N32</f>
        <v>12</v>
      </c>
      <c r="M10" s="22">
        <f>GRAFICA_14!O32</f>
        <v>2100000</v>
      </c>
      <c r="N10" s="6">
        <f>L10*M10/I10</f>
        <v>56348.9130329947</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GRAFICA_14!C28</f>
        <v>1</v>
      </c>
      <c r="D14" s="23">
        <f>GRAFICA_14!C28</f>
        <v>1</v>
      </c>
      <c r="E14" s="23">
        <f>GRAFICA_14!D28</f>
        <v>2</v>
      </c>
      <c r="F14" s="23">
        <f>GRAFICA_14!D28</f>
        <v>2</v>
      </c>
    </row>
    <row r="15" spans="2:14" ht="19.05" customHeight="1" x14ac:dyDescent="0.3">
      <c r="B15" s="25">
        <v>2</v>
      </c>
      <c r="C15" s="23">
        <f>GRAFICA_14!C29</f>
        <v>1</v>
      </c>
      <c r="D15" s="23">
        <f>GRAFICA_14!C29</f>
        <v>1</v>
      </c>
      <c r="E15" s="23">
        <f>GRAFICA_14!D29</f>
        <v>3</v>
      </c>
      <c r="F15" s="23">
        <f>GRAFICA_14!D29</f>
        <v>3</v>
      </c>
    </row>
    <row r="16" spans="2:14" ht="19.05" customHeight="1" x14ac:dyDescent="0.3">
      <c r="B16" s="26">
        <v>3</v>
      </c>
      <c r="C16" s="23">
        <f>GRAFICA_14!C30</f>
        <v>1</v>
      </c>
      <c r="D16" s="23">
        <f>GRAFICA_14!C30</f>
        <v>1</v>
      </c>
      <c r="E16" s="23">
        <f>GRAFICA_14!D30</f>
        <v>4</v>
      </c>
      <c r="F16" s="23">
        <f>GRAFICA_14!D30</f>
        <v>4</v>
      </c>
    </row>
    <row r="17" spans="1:10" ht="19.05" customHeight="1" x14ac:dyDescent="0.3">
      <c r="B17" s="43">
        <v>4</v>
      </c>
      <c r="C17" s="23">
        <f>GRAFICA_14!C31</f>
        <v>4</v>
      </c>
      <c r="D17" s="23">
        <f>GRAFICA_14!C31</f>
        <v>4</v>
      </c>
      <c r="E17" s="23">
        <f>GRAFICA_14!D31</f>
        <v>3</v>
      </c>
      <c r="F17" s="23">
        <f>GRAFICA_14!D31</f>
        <v>3</v>
      </c>
    </row>
    <row r="18" spans="1:10" ht="19.05" customHeight="1" x14ac:dyDescent="0.3">
      <c r="B18" s="44">
        <v>5</v>
      </c>
      <c r="C18" s="23">
        <f>GRAFICA_14!C32</f>
        <v>3</v>
      </c>
      <c r="D18" s="23">
        <f>GRAFICA_14!C32</f>
        <v>3</v>
      </c>
      <c r="E18" s="23">
        <f>GRAFICA_14!D32</f>
        <v>2</v>
      </c>
      <c r="F18" s="23">
        <f>GRAFICA_14!D32</f>
        <v>2</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31500</v>
      </c>
      <c r="C22" s="7">
        <f>J6*K6*N6</f>
        <v>0</v>
      </c>
      <c r="D22" s="7">
        <f>-B22</f>
        <v>-31500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-31500</v>
      </c>
      <c r="C24" s="7">
        <f>E22</f>
        <v>0</v>
      </c>
      <c r="D24" s="7">
        <f>B22</f>
        <v>31500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31500</v>
      </c>
      <c r="C28" s="8">
        <f t="shared" si="1"/>
        <v>0</v>
      </c>
      <c r="D28" s="8">
        <f t="shared" si="1"/>
        <v>-31500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-31500</v>
      </c>
      <c r="C30" s="8">
        <f t="shared" si="1"/>
        <v>0</v>
      </c>
      <c r="D30" s="8">
        <f t="shared" si="1"/>
        <v>31500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U3X</v>
      </c>
      <c r="E38" s="29" t="str">
        <f>CONCATENATE("U",F15,F$13)</f>
        <v>U3Y</v>
      </c>
    </row>
    <row r="39" spans="1:10" x14ac:dyDescent="0.3">
      <c r="B39" s="30">
        <f>J7*J7*N7</f>
        <v>24193.46240459269</v>
      </c>
      <c r="C39" s="30">
        <f>J7*K7*N7</f>
        <v>16128.974936395125</v>
      </c>
      <c r="D39" s="30">
        <f>-B39</f>
        <v>-24193.46240459269</v>
      </c>
      <c r="E39" s="30">
        <f>-C39</f>
        <v>-16128.974936395125</v>
      </c>
      <c r="F39" s="29" t="str">
        <f>B38</f>
        <v>U1X</v>
      </c>
    </row>
    <row r="40" spans="1:10" ht="16.8" customHeight="1" x14ac:dyDescent="0.3">
      <c r="A40" s="28" t="s">
        <v>191</v>
      </c>
      <c r="B40" s="30">
        <f>C39</f>
        <v>16128.974936395125</v>
      </c>
      <c r="C40" s="30">
        <f>K7*K7*N7</f>
        <v>10752.64995759675</v>
      </c>
      <c r="D40" s="30">
        <f>-B40</f>
        <v>-16128.974936395125</v>
      </c>
      <c r="E40" s="30">
        <f>-C40</f>
        <v>-10752.64995759675</v>
      </c>
      <c r="F40" s="29" t="str">
        <f>C38</f>
        <v>U1Y</v>
      </c>
    </row>
    <row r="41" spans="1:10" x14ac:dyDescent="0.3">
      <c r="B41" s="30">
        <f>D39</f>
        <v>-24193.46240459269</v>
      </c>
      <c r="C41" s="30">
        <f>E39</f>
        <v>-16128.974936395125</v>
      </c>
      <c r="D41" s="30">
        <f>B39</f>
        <v>24193.46240459269</v>
      </c>
      <c r="E41" s="30">
        <f>C39</f>
        <v>16128.974936395125</v>
      </c>
      <c r="F41" s="29" t="str">
        <f>D38</f>
        <v>U3X</v>
      </c>
    </row>
    <row r="42" spans="1:10" x14ac:dyDescent="0.3">
      <c r="B42" s="30">
        <f>D40</f>
        <v>-16128.974936395125</v>
      </c>
      <c r="C42" s="30">
        <f>E40</f>
        <v>-10752.64995759675</v>
      </c>
      <c r="D42" s="30">
        <f>B40</f>
        <v>16128.974936395125</v>
      </c>
      <c r="E42" s="30">
        <f>C40</f>
        <v>10752.64995759675</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24193.46240459269</v>
      </c>
      <c r="C45" s="31">
        <f t="shared" si="2"/>
        <v>16128.974936395125</v>
      </c>
      <c r="D45" s="9">
        <f t="shared" si="2"/>
        <v>0</v>
      </c>
      <c r="E45" s="9">
        <f t="shared" si="2"/>
        <v>0</v>
      </c>
      <c r="F45" s="31">
        <f t="shared" si="2"/>
        <v>-24193.46240459269</v>
      </c>
      <c r="G45" s="31">
        <f t="shared" si="2"/>
        <v>-16128.974936395125</v>
      </c>
      <c r="H45" s="9">
        <f t="shared" si="2"/>
        <v>0</v>
      </c>
      <c r="I45" s="9">
        <f t="shared" si="2"/>
        <v>0</v>
      </c>
      <c r="J45" s="29" t="s">
        <v>178</v>
      </c>
    </row>
    <row r="46" spans="1:10" ht="19.05" customHeight="1" x14ac:dyDescent="0.3">
      <c r="B46" s="31">
        <f t="shared" si="2"/>
        <v>16128.974936395125</v>
      </c>
      <c r="C46" s="31">
        <f t="shared" si="2"/>
        <v>10752.64995759675</v>
      </c>
      <c r="D46" s="9">
        <f t="shared" si="2"/>
        <v>0</v>
      </c>
      <c r="E46" s="9">
        <f t="shared" si="2"/>
        <v>0</v>
      </c>
      <c r="F46" s="31">
        <f t="shared" si="2"/>
        <v>-16128.974936395125</v>
      </c>
      <c r="G46" s="31">
        <f t="shared" si="2"/>
        <v>-10752.64995759675</v>
      </c>
      <c r="H46" s="9">
        <f t="shared" si="2"/>
        <v>0</v>
      </c>
      <c r="I46" s="9">
        <f t="shared" si="2"/>
        <v>0</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31">
        <f t="shared" si="2"/>
        <v>-24193.46240459269</v>
      </c>
      <c r="C49" s="31">
        <f t="shared" si="2"/>
        <v>-16128.974936395125</v>
      </c>
      <c r="D49" s="9">
        <f t="shared" si="2"/>
        <v>0</v>
      </c>
      <c r="E49" s="9">
        <f t="shared" si="2"/>
        <v>0</v>
      </c>
      <c r="F49" s="31">
        <f t="shared" si="2"/>
        <v>24193.46240459269</v>
      </c>
      <c r="G49" s="31">
        <f t="shared" si="2"/>
        <v>16128.974936395125</v>
      </c>
      <c r="H49" s="9">
        <f t="shared" si="2"/>
        <v>0</v>
      </c>
      <c r="I49" s="9">
        <f t="shared" si="2"/>
        <v>0</v>
      </c>
      <c r="J49" s="29" t="s">
        <v>182</v>
      </c>
    </row>
    <row r="50" spans="1:10" ht="19.05" customHeight="1" x14ac:dyDescent="0.3">
      <c r="B50" s="31">
        <f t="shared" si="2"/>
        <v>-16128.974936395125</v>
      </c>
      <c r="C50" s="31">
        <f t="shared" si="2"/>
        <v>-10752.64995759675</v>
      </c>
      <c r="D50" s="9">
        <f t="shared" si="2"/>
        <v>0</v>
      </c>
      <c r="E50" s="9">
        <f t="shared" si="2"/>
        <v>0</v>
      </c>
      <c r="F50" s="31">
        <f t="shared" si="2"/>
        <v>16128.974936395125</v>
      </c>
      <c r="G50" s="31">
        <f t="shared" si="2"/>
        <v>10752.64995759675</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11545.473458208991</v>
      </c>
      <c r="C56" s="33">
        <f>J8*K8*N8</f>
        <v>20781.852224776183</v>
      </c>
      <c r="D56" s="33">
        <f>-B56</f>
        <v>-11545.473458208991</v>
      </c>
      <c r="E56" s="33">
        <f>-C56</f>
        <v>-20781.852224776183</v>
      </c>
      <c r="F56" s="32" t="str">
        <f>B55</f>
        <v>U1X</v>
      </c>
    </row>
    <row r="57" spans="1:10" ht="16.8" customHeight="1" x14ac:dyDescent="0.3">
      <c r="A57" s="28" t="s">
        <v>193</v>
      </c>
      <c r="B57" s="33">
        <f>C56</f>
        <v>20781.852224776183</v>
      </c>
      <c r="C57" s="33">
        <f>K8*K8*N8</f>
        <v>37407.334004597127</v>
      </c>
      <c r="D57" s="33">
        <f>-B57</f>
        <v>-20781.852224776183</v>
      </c>
      <c r="E57" s="33">
        <f>-C57</f>
        <v>-37407.334004597127</v>
      </c>
      <c r="F57" s="32" t="str">
        <f>C55</f>
        <v>U1Y</v>
      </c>
    </row>
    <row r="58" spans="1:10" x14ac:dyDescent="0.3">
      <c r="B58" s="33">
        <f>D56</f>
        <v>-11545.473458208991</v>
      </c>
      <c r="C58" s="33">
        <f>E56</f>
        <v>-20781.852224776183</v>
      </c>
      <c r="D58" s="33">
        <f>B56</f>
        <v>11545.473458208991</v>
      </c>
      <c r="E58" s="33">
        <f>C56</f>
        <v>20781.852224776183</v>
      </c>
      <c r="F58" s="32" t="str">
        <f>D55</f>
        <v>U4X</v>
      </c>
    </row>
    <row r="59" spans="1:10" x14ac:dyDescent="0.3">
      <c r="B59" s="33">
        <f>D57</f>
        <v>-20781.852224776183</v>
      </c>
      <c r="C59" s="33">
        <f>E57</f>
        <v>-37407.334004597127</v>
      </c>
      <c r="D59" s="33">
        <f>B57</f>
        <v>20781.852224776183</v>
      </c>
      <c r="E59" s="33">
        <f>C57</f>
        <v>37407.334004597127</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11545.473458208991</v>
      </c>
      <c r="C62" s="34">
        <f t="shared" si="3"/>
        <v>20781.852224776183</v>
      </c>
      <c r="D62" s="9">
        <f t="shared" si="3"/>
        <v>0</v>
      </c>
      <c r="E62" s="9">
        <f t="shared" si="3"/>
        <v>0</v>
      </c>
      <c r="F62" s="9">
        <f t="shared" si="3"/>
        <v>0</v>
      </c>
      <c r="G62" s="9">
        <f t="shared" si="3"/>
        <v>0</v>
      </c>
      <c r="H62" s="34">
        <f t="shared" si="3"/>
        <v>-11545.473458208991</v>
      </c>
      <c r="I62" s="34">
        <f t="shared" si="3"/>
        <v>-20781.852224776183</v>
      </c>
      <c r="J62" s="32" t="s">
        <v>178</v>
      </c>
    </row>
    <row r="63" spans="1:10" ht="19.05" customHeight="1" x14ac:dyDescent="0.3">
      <c r="B63" s="34">
        <f t="shared" si="3"/>
        <v>20781.852224776183</v>
      </c>
      <c r="C63" s="34">
        <f t="shared" si="3"/>
        <v>37407.334004597127</v>
      </c>
      <c r="D63" s="9">
        <f t="shared" si="3"/>
        <v>0</v>
      </c>
      <c r="E63" s="9">
        <f t="shared" si="3"/>
        <v>0</v>
      </c>
      <c r="F63" s="9">
        <f t="shared" si="3"/>
        <v>0</v>
      </c>
      <c r="G63" s="9">
        <f t="shared" si="3"/>
        <v>0</v>
      </c>
      <c r="H63" s="34">
        <f t="shared" si="3"/>
        <v>-20781.852224776183</v>
      </c>
      <c r="I63" s="34">
        <f t="shared" si="3"/>
        <v>-37407.334004597127</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-11545.473458208991</v>
      </c>
      <c r="C68" s="34">
        <f t="shared" si="3"/>
        <v>-20781.852224776183</v>
      </c>
      <c r="D68" s="9">
        <f t="shared" si="3"/>
        <v>0</v>
      </c>
      <c r="E68" s="9">
        <f t="shared" si="3"/>
        <v>0</v>
      </c>
      <c r="F68" s="9">
        <f t="shared" si="3"/>
        <v>0</v>
      </c>
      <c r="G68" s="9">
        <f t="shared" si="3"/>
        <v>0</v>
      </c>
      <c r="H68" s="34">
        <f t="shared" si="3"/>
        <v>11545.473458208991</v>
      </c>
      <c r="I68" s="34">
        <f t="shared" si="3"/>
        <v>20781.852224776183</v>
      </c>
      <c r="J68" s="32" t="s">
        <v>184</v>
      </c>
    </row>
    <row r="69" spans="1:10" ht="19.05" customHeight="1" x14ac:dyDescent="0.3">
      <c r="B69" s="34">
        <f t="shared" si="3"/>
        <v>-20781.852224776183</v>
      </c>
      <c r="C69" s="34">
        <f t="shared" si="3"/>
        <v>-37407.334004597127</v>
      </c>
      <c r="D69" s="9">
        <f t="shared" si="3"/>
        <v>0</v>
      </c>
      <c r="E69" s="9">
        <f t="shared" si="3"/>
        <v>0</v>
      </c>
      <c r="F69" s="9">
        <f t="shared" si="3"/>
        <v>0</v>
      </c>
      <c r="G69" s="9">
        <f t="shared" si="3"/>
        <v>0</v>
      </c>
      <c r="H69" s="34">
        <f t="shared" si="3"/>
        <v>20781.852224776183</v>
      </c>
      <c r="I69" s="34">
        <f t="shared" si="3"/>
        <v>37407.334004597127</v>
      </c>
      <c r="J69" s="32" t="s">
        <v>185</v>
      </c>
    </row>
    <row r="72" spans="1:10" ht="18" customHeight="1" x14ac:dyDescent="0.3">
      <c r="B72" s="45" t="str">
        <f>CONCATENATE("U",C17,C$13)</f>
        <v>U4X</v>
      </c>
      <c r="C72" s="45" t="str">
        <f>CONCATENATE("U",D17,D$13)</f>
        <v>U4Y</v>
      </c>
      <c r="D72" s="45" t="str">
        <f>CONCATENATE("U",E17,E$13)</f>
        <v>U3X</v>
      </c>
      <c r="E72" s="45" t="str">
        <f>CONCATENATE("U",F17,F$13)</f>
        <v>U3Y</v>
      </c>
    </row>
    <row r="73" spans="1:10" x14ac:dyDescent="0.3">
      <c r="B73" s="46">
        <f>J9*J9*N9</f>
        <v>69850.836272731904</v>
      </c>
      <c r="C73" s="46">
        <f>J9*K9*N9</f>
        <v>-9978.6908961045574</v>
      </c>
      <c r="D73" s="46">
        <f>-B73</f>
        <v>-69850.836272731904</v>
      </c>
      <c r="E73" s="46">
        <f>-C73</f>
        <v>9978.6908961045574</v>
      </c>
      <c r="F73" s="45" t="str">
        <f>B72</f>
        <v>U4X</v>
      </c>
    </row>
    <row r="74" spans="1:10" ht="16.8" customHeight="1" x14ac:dyDescent="0.3">
      <c r="A74" s="28" t="s">
        <v>195</v>
      </c>
      <c r="B74" s="46">
        <f>C73</f>
        <v>-9978.6908961045574</v>
      </c>
      <c r="C74" s="46">
        <f>K9*K9*N9</f>
        <v>1425.52727087208</v>
      </c>
      <c r="D74" s="46">
        <f>-B74</f>
        <v>9978.6908961045574</v>
      </c>
      <c r="E74" s="46">
        <f>-C74</f>
        <v>-1425.52727087208</v>
      </c>
      <c r="F74" s="45" t="str">
        <f>C72</f>
        <v>U4Y</v>
      </c>
    </row>
    <row r="75" spans="1:10" x14ac:dyDescent="0.3">
      <c r="B75" s="46">
        <f>D73</f>
        <v>-69850.836272731904</v>
      </c>
      <c r="C75" s="46">
        <f>E73</f>
        <v>9978.6908961045574</v>
      </c>
      <c r="D75" s="46">
        <f>B73</f>
        <v>69850.836272731904</v>
      </c>
      <c r="E75" s="46">
        <f>C73</f>
        <v>-9978.6908961045574</v>
      </c>
      <c r="F75" s="45" t="str">
        <f>D72</f>
        <v>U3X</v>
      </c>
    </row>
    <row r="76" spans="1:10" x14ac:dyDescent="0.3">
      <c r="B76" s="46">
        <f>D74</f>
        <v>9978.6908961045574</v>
      </c>
      <c r="C76" s="46">
        <f>E74</f>
        <v>-1425.52727087208</v>
      </c>
      <c r="D76" s="46">
        <f>B74</f>
        <v>-9978.6908961045574</v>
      </c>
      <c r="E76" s="46">
        <f>C74</f>
        <v>1425.52727087208</v>
      </c>
      <c r="F76" s="45" t="str">
        <f>E72</f>
        <v>U3Y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69850.836272731904</v>
      </c>
      <c r="G83" s="47">
        <f t="shared" si="4"/>
        <v>-9978.6908961045574</v>
      </c>
      <c r="H83" s="47">
        <f t="shared" si="4"/>
        <v>-69850.836272731904</v>
      </c>
      <c r="I83" s="47">
        <f t="shared" si="4"/>
        <v>9978.6908961045574</v>
      </c>
      <c r="J83" s="45" t="s">
        <v>182</v>
      </c>
    </row>
    <row r="84" spans="1:10" ht="19.05" customHeight="1" x14ac:dyDescent="0.3">
      <c r="B84" s="9">
        <f t="shared" si="4"/>
        <v>0</v>
      </c>
      <c r="C84" s="9">
        <f t="shared" si="4"/>
        <v>0</v>
      </c>
      <c r="D84" s="9">
        <f t="shared" si="4"/>
        <v>0</v>
      </c>
      <c r="E84" s="9">
        <f t="shared" si="4"/>
        <v>0</v>
      </c>
      <c r="F84" s="47">
        <f t="shared" si="4"/>
        <v>-9978.6908961045574</v>
      </c>
      <c r="G84" s="47">
        <f t="shared" si="4"/>
        <v>1425.52727087208</v>
      </c>
      <c r="H84" s="47">
        <f t="shared" si="4"/>
        <v>9978.6908961045574</v>
      </c>
      <c r="I84" s="47">
        <f t="shared" si="4"/>
        <v>-1425.52727087208</v>
      </c>
      <c r="J84" s="45" t="s">
        <v>183</v>
      </c>
    </row>
    <row r="85" spans="1:10" ht="19.05" customHeight="1" x14ac:dyDescent="0.3">
      <c r="B85" s="9">
        <f t="shared" si="4"/>
        <v>0</v>
      </c>
      <c r="C85" s="9">
        <f t="shared" si="4"/>
        <v>0</v>
      </c>
      <c r="D85" s="9">
        <f t="shared" si="4"/>
        <v>0</v>
      </c>
      <c r="E85" s="9">
        <f t="shared" si="4"/>
        <v>0</v>
      </c>
      <c r="F85" s="47">
        <f t="shared" si="4"/>
        <v>-69850.836272731904</v>
      </c>
      <c r="G85" s="47">
        <f t="shared" si="4"/>
        <v>9978.6908961045574</v>
      </c>
      <c r="H85" s="47">
        <f t="shared" si="4"/>
        <v>69850.836272731904</v>
      </c>
      <c r="I85" s="47">
        <f t="shared" si="4"/>
        <v>-9978.6908961045574</v>
      </c>
      <c r="J85" s="45" t="s">
        <v>184</v>
      </c>
    </row>
    <row r="86" spans="1:10" ht="19.05" customHeight="1" x14ac:dyDescent="0.3">
      <c r="B86" s="9">
        <f t="shared" si="4"/>
        <v>0</v>
      </c>
      <c r="C86" s="9">
        <f t="shared" si="4"/>
        <v>0</v>
      </c>
      <c r="D86" s="9">
        <f t="shared" si="4"/>
        <v>0</v>
      </c>
      <c r="E86" s="9">
        <f t="shared" si="4"/>
        <v>0</v>
      </c>
      <c r="F86" s="47">
        <f t="shared" si="4"/>
        <v>9978.6908961045574</v>
      </c>
      <c r="G86" s="47">
        <f t="shared" si="4"/>
        <v>-1425.52727087208</v>
      </c>
      <c r="H86" s="47">
        <f t="shared" si="4"/>
        <v>-9978.6908961045574</v>
      </c>
      <c r="I86" s="47">
        <f t="shared" si="4"/>
        <v>1425.52727087208</v>
      </c>
      <c r="J86" s="45" t="s">
        <v>185</v>
      </c>
    </row>
    <row r="89" spans="1:10" ht="18" customHeight="1" x14ac:dyDescent="0.3">
      <c r="B89" s="48" t="str">
        <f>CONCATENATE("U",C18,C$13)</f>
        <v>U3X</v>
      </c>
      <c r="C89" s="48" t="str">
        <f>CONCATENATE("U",D18,D$13)</f>
        <v>U3Y</v>
      </c>
      <c r="D89" s="48" t="str">
        <f>CONCATENATE("U",E18,E$13)</f>
        <v>U2X</v>
      </c>
      <c r="E89" s="48" t="str">
        <f>CONCATENATE("U",F18,F$13)</f>
        <v>U2Y</v>
      </c>
    </row>
    <row r="90" spans="1:10" x14ac:dyDescent="0.3">
      <c r="B90" s="49">
        <f>J10*J10*N10</f>
        <v>11269.782606598939</v>
      </c>
      <c r="C90" s="49">
        <f>J10*K10*N10</f>
        <v>-22539.565213197879</v>
      </c>
      <c r="D90" s="49">
        <f>-B90</f>
        <v>-11269.782606598939</v>
      </c>
      <c r="E90" s="49">
        <f>-C90</f>
        <v>22539.565213197879</v>
      </c>
      <c r="F90" s="48" t="str">
        <f>B89</f>
        <v>U3X</v>
      </c>
    </row>
    <row r="91" spans="1:10" ht="16.8" customHeight="1" x14ac:dyDescent="0.3">
      <c r="A91" s="28" t="s">
        <v>197</v>
      </c>
      <c r="B91" s="49">
        <f>C90</f>
        <v>-22539.565213197879</v>
      </c>
      <c r="C91" s="49">
        <f>K10*K10*N10</f>
        <v>45079.130426395757</v>
      </c>
      <c r="D91" s="49">
        <f>-B91</f>
        <v>22539.565213197879</v>
      </c>
      <c r="E91" s="49">
        <f>-C91</f>
        <v>-45079.130426395757</v>
      </c>
      <c r="F91" s="48" t="str">
        <f>C89</f>
        <v>U3Y</v>
      </c>
    </row>
    <row r="92" spans="1:10" x14ac:dyDescent="0.3">
      <c r="B92" s="49">
        <f>D90</f>
        <v>-11269.782606598939</v>
      </c>
      <c r="C92" s="49">
        <f>E90</f>
        <v>22539.565213197879</v>
      </c>
      <c r="D92" s="49">
        <f>B90</f>
        <v>11269.782606598939</v>
      </c>
      <c r="E92" s="49">
        <f>C90</f>
        <v>-22539.565213197879</v>
      </c>
      <c r="F92" s="48" t="str">
        <f>D89</f>
        <v>U2X</v>
      </c>
    </row>
    <row r="93" spans="1:10" x14ac:dyDescent="0.3">
      <c r="B93" s="49">
        <f>D91</f>
        <v>22539.565213197879</v>
      </c>
      <c r="C93" s="49">
        <f>E91</f>
        <v>-45079.130426395757</v>
      </c>
      <c r="D93" s="49">
        <f>B91</f>
        <v>-22539.565213197879</v>
      </c>
      <c r="E93" s="49">
        <f>C91</f>
        <v>45079.130426395757</v>
      </c>
      <c r="F93" s="48" t="str">
        <f>E89</f>
        <v>U2Y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11269.782606598939</v>
      </c>
      <c r="E98" s="50">
        <f t="shared" si="5"/>
        <v>-22539.565213197879</v>
      </c>
      <c r="F98" s="50">
        <f t="shared" si="5"/>
        <v>-11269.782606598939</v>
      </c>
      <c r="G98" s="50">
        <f t="shared" si="5"/>
        <v>22539.565213197879</v>
      </c>
      <c r="H98" s="9">
        <f t="shared" si="5"/>
        <v>0</v>
      </c>
      <c r="I98" s="9">
        <f t="shared" si="5"/>
        <v>0</v>
      </c>
      <c r="J98" s="48" t="s">
        <v>180</v>
      </c>
    </row>
    <row r="99" spans="1:10" ht="19.05" customHeight="1" x14ac:dyDescent="0.3">
      <c r="A99" s="28" t="s">
        <v>198</v>
      </c>
      <c r="B99" s="9">
        <f t="shared" si="5"/>
        <v>0</v>
      </c>
      <c r="C99" s="9">
        <f t="shared" si="5"/>
        <v>0</v>
      </c>
      <c r="D99" s="50">
        <f t="shared" si="5"/>
        <v>-22539.565213197879</v>
      </c>
      <c r="E99" s="50">
        <f t="shared" si="5"/>
        <v>45079.130426395757</v>
      </c>
      <c r="F99" s="50">
        <f t="shared" si="5"/>
        <v>22539.565213197879</v>
      </c>
      <c r="G99" s="50">
        <f t="shared" si="5"/>
        <v>-45079.130426395757</v>
      </c>
      <c r="H99" s="9">
        <f t="shared" si="5"/>
        <v>0</v>
      </c>
      <c r="I99" s="9">
        <f t="shared" si="5"/>
        <v>0</v>
      </c>
      <c r="J99" s="48" t="s">
        <v>181</v>
      </c>
    </row>
    <row r="100" spans="1:10" ht="19.05" customHeight="1" x14ac:dyDescent="0.3">
      <c r="B100" s="9">
        <f t="shared" si="5"/>
        <v>0</v>
      </c>
      <c r="C100" s="9">
        <f t="shared" si="5"/>
        <v>0</v>
      </c>
      <c r="D100" s="50">
        <f t="shared" si="5"/>
        <v>-11269.782606598939</v>
      </c>
      <c r="E100" s="50">
        <f t="shared" si="5"/>
        <v>22539.565213197879</v>
      </c>
      <c r="F100" s="50">
        <f t="shared" si="5"/>
        <v>11269.782606598939</v>
      </c>
      <c r="G100" s="50">
        <f t="shared" si="5"/>
        <v>-22539.565213197879</v>
      </c>
      <c r="H100" s="9">
        <f t="shared" si="5"/>
        <v>0</v>
      </c>
      <c r="I100" s="9">
        <f t="shared" si="5"/>
        <v>0</v>
      </c>
      <c r="J100" s="48" t="s">
        <v>182</v>
      </c>
    </row>
    <row r="101" spans="1:10" ht="19.05" customHeight="1" x14ac:dyDescent="0.3">
      <c r="B101" s="9">
        <f t="shared" si="5"/>
        <v>0</v>
      </c>
      <c r="C101" s="9">
        <f t="shared" si="5"/>
        <v>0</v>
      </c>
      <c r="D101" s="50">
        <f t="shared" si="5"/>
        <v>22539.565213197879</v>
      </c>
      <c r="E101" s="50">
        <f t="shared" si="5"/>
        <v>-45079.130426395757</v>
      </c>
      <c r="F101" s="50">
        <f t="shared" si="5"/>
        <v>-22539.565213197879</v>
      </c>
      <c r="G101" s="50">
        <f t="shared" si="5"/>
        <v>45079.130426395757</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67238.935862801678</v>
      </c>
      <c r="C107" s="36">
        <f t="shared" si="6"/>
        <v>36910.827161171306</v>
      </c>
      <c r="D107" s="9">
        <f t="shared" si="6"/>
        <v>-31500</v>
      </c>
      <c r="E107" s="9">
        <f t="shared" si="6"/>
        <v>0</v>
      </c>
      <c r="F107" s="9">
        <f t="shared" si="6"/>
        <v>-24193.46240459269</v>
      </c>
      <c r="G107" s="9">
        <f t="shared" si="6"/>
        <v>-16128.974936395125</v>
      </c>
      <c r="H107" s="9">
        <f t="shared" si="6"/>
        <v>-11545.473458208991</v>
      </c>
      <c r="I107" s="9">
        <f t="shared" si="6"/>
        <v>-20781.852224776183</v>
      </c>
      <c r="J107" s="89" t="s">
        <v>178</v>
      </c>
    </row>
    <row r="108" spans="1:10" ht="19.95" customHeight="1" x14ac:dyDescent="0.3">
      <c r="B108" s="36">
        <f t="shared" si="6"/>
        <v>36910.827161171306</v>
      </c>
      <c r="C108" s="35">
        <f t="shared" si="6"/>
        <v>48159.983962193874</v>
      </c>
      <c r="D108" s="9">
        <f t="shared" si="6"/>
        <v>0</v>
      </c>
      <c r="E108" s="9">
        <f t="shared" si="6"/>
        <v>0</v>
      </c>
      <c r="F108" s="9">
        <f t="shared" si="6"/>
        <v>-16128.974936395125</v>
      </c>
      <c r="G108" s="9">
        <f t="shared" si="6"/>
        <v>-10752.64995759675</v>
      </c>
      <c r="H108" s="9">
        <f t="shared" si="6"/>
        <v>-20781.852224776183</v>
      </c>
      <c r="I108" s="9">
        <f t="shared" si="6"/>
        <v>-37407.334004597127</v>
      </c>
      <c r="J108" s="89" t="s">
        <v>179</v>
      </c>
    </row>
    <row r="109" spans="1:10" ht="19.95" customHeight="1" x14ac:dyDescent="0.3">
      <c r="B109" s="9">
        <f t="shared" si="6"/>
        <v>-31500</v>
      </c>
      <c r="C109" s="9">
        <f t="shared" si="6"/>
        <v>0</v>
      </c>
      <c r="D109" s="35">
        <f t="shared" si="6"/>
        <v>42769.782606598936</v>
      </c>
      <c r="E109" s="36">
        <f t="shared" si="6"/>
        <v>-22539.565213197879</v>
      </c>
      <c r="F109" s="9">
        <f t="shared" si="6"/>
        <v>-11269.782606598939</v>
      </c>
      <c r="G109" s="9">
        <f t="shared" si="6"/>
        <v>22539.565213197879</v>
      </c>
      <c r="H109" s="9">
        <f t="shared" si="6"/>
        <v>0</v>
      </c>
      <c r="I109" s="9">
        <f t="shared" si="6"/>
        <v>0</v>
      </c>
      <c r="J109" s="89" t="s">
        <v>180</v>
      </c>
    </row>
    <row r="110" spans="1:10" ht="19.95" customHeight="1" x14ac:dyDescent="0.3">
      <c r="A110" s="28" t="s">
        <v>205</v>
      </c>
      <c r="B110" s="9">
        <f t="shared" si="6"/>
        <v>0</v>
      </c>
      <c r="C110" s="9">
        <f t="shared" si="6"/>
        <v>0</v>
      </c>
      <c r="D110" s="36">
        <f t="shared" si="6"/>
        <v>-22539.565213197879</v>
      </c>
      <c r="E110" s="35">
        <f t="shared" si="6"/>
        <v>45079.130426395757</v>
      </c>
      <c r="F110" s="9">
        <f t="shared" si="6"/>
        <v>22539.565213197879</v>
      </c>
      <c r="G110" s="9">
        <f t="shared" si="6"/>
        <v>-45079.130426395757</v>
      </c>
      <c r="H110" s="9">
        <f t="shared" si="6"/>
        <v>0</v>
      </c>
      <c r="I110" s="9">
        <f t="shared" si="6"/>
        <v>0</v>
      </c>
      <c r="J110" s="89" t="s">
        <v>181</v>
      </c>
    </row>
    <row r="111" spans="1:10" ht="19.95" customHeight="1" x14ac:dyDescent="0.3">
      <c r="B111" s="9">
        <f t="shared" si="6"/>
        <v>-24193.46240459269</v>
      </c>
      <c r="C111" s="9">
        <f t="shared" si="6"/>
        <v>-16128.974936395125</v>
      </c>
      <c r="D111" s="9">
        <f t="shared" si="6"/>
        <v>-11269.782606598939</v>
      </c>
      <c r="E111" s="9">
        <f t="shared" si="6"/>
        <v>22539.565213197879</v>
      </c>
      <c r="F111" s="35">
        <f t="shared" si="6"/>
        <v>105314.08128392353</v>
      </c>
      <c r="G111" s="36">
        <f t="shared" si="6"/>
        <v>-16389.281172907311</v>
      </c>
      <c r="H111" s="9">
        <f t="shared" si="6"/>
        <v>-69850.836272731904</v>
      </c>
      <c r="I111" s="9">
        <f t="shared" si="6"/>
        <v>9978.6908961045574</v>
      </c>
      <c r="J111" s="89" t="s">
        <v>182</v>
      </c>
    </row>
    <row r="112" spans="1:10" ht="19.95" customHeight="1" x14ac:dyDescent="0.3">
      <c r="B112" s="9">
        <f t="shared" si="6"/>
        <v>-16128.974936395125</v>
      </c>
      <c r="C112" s="9">
        <f t="shared" si="6"/>
        <v>-10752.64995759675</v>
      </c>
      <c r="D112" s="9">
        <f t="shared" si="6"/>
        <v>22539.565213197879</v>
      </c>
      <c r="E112" s="9">
        <f t="shared" si="6"/>
        <v>-45079.130426395757</v>
      </c>
      <c r="F112" s="36">
        <f t="shared" si="6"/>
        <v>-16389.281172907311</v>
      </c>
      <c r="G112" s="35">
        <f t="shared" si="6"/>
        <v>57257.307654864591</v>
      </c>
      <c r="H112" s="9">
        <f t="shared" si="6"/>
        <v>9978.6908961045574</v>
      </c>
      <c r="I112" s="9">
        <f t="shared" si="6"/>
        <v>-1425.52727087208</v>
      </c>
      <c r="J112" s="89" t="s">
        <v>183</v>
      </c>
    </row>
    <row r="113" spans="1:17" ht="19.95" customHeight="1" x14ac:dyDescent="0.3">
      <c r="B113" s="9">
        <f t="shared" si="6"/>
        <v>-11545.473458208991</v>
      </c>
      <c r="C113" s="9">
        <f t="shared" si="6"/>
        <v>-20781.852224776183</v>
      </c>
      <c r="D113" s="9">
        <f t="shared" si="6"/>
        <v>0</v>
      </c>
      <c r="E113" s="9">
        <f t="shared" si="6"/>
        <v>0</v>
      </c>
      <c r="F113" s="9">
        <f t="shared" si="6"/>
        <v>-69850.836272731904</v>
      </c>
      <c r="G113" s="9">
        <f t="shared" si="6"/>
        <v>9978.6908961045574</v>
      </c>
      <c r="H113" s="35">
        <f t="shared" si="6"/>
        <v>81396.309730940891</v>
      </c>
      <c r="I113" s="36">
        <f t="shared" si="6"/>
        <v>10803.161328671626</v>
      </c>
      <c r="J113" s="89" t="s">
        <v>184</v>
      </c>
    </row>
    <row r="114" spans="1:17" ht="19.95" customHeight="1" x14ac:dyDescent="0.3">
      <c r="B114" s="9">
        <f t="shared" si="6"/>
        <v>-20781.852224776183</v>
      </c>
      <c r="C114" s="9">
        <f t="shared" si="6"/>
        <v>-37407.334004597127</v>
      </c>
      <c r="D114" s="9">
        <f t="shared" si="6"/>
        <v>0</v>
      </c>
      <c r="E114" s="9">
        <f t="shared" si="6"/>
        <v>0</v>
      </c>
      <c r="F114" s="9">
        <f t="shared" si="6"/>
        <v>9978.6908961045574</v>
      </c>
      <c r="G114" s="9">
        <f t="shared" si="6"/>
        <v>-1425.52727087208</v>
      </c>
      <c r="H114" s="36">
        <f t="shared" si="6"/>
        <v>10803.161328671626</v>
      </c>
      <c r="I114" s="35">
        <f t="shared" si="6"/>
        <v>38832.861275469208</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IF(GRAFICA_14!F14=1, B118, GRAFICA_14!H14)</f>
        <v>C1X</v>
      </c>
      <c r="L118" s="215" t="s">
        <v>376</v>
      </c>
      <c r="M118" s="172"/>
      <c r="N118" s="172"/>
      <c r="O118" s="172"/>
      <c r="P118" s="172"/>
      <c r="Q118" s="173"/>
    </row>
    <row r="119" spans="1:17" ht="16.95" customHeight="1" x14ac:dyDescent="0.3">
      <c r="B119" s="12" t="s">
        <v>210</v>
      </c>
      <c r="C119" s="12" t="s">
        <v>179</v>
      </c>
      <c r="E119" s="37" t="str">
        <f>IF(GRAFICA_14!G14=1, B119, GRAFICA_14!I14)</f>
        <v>C1Y</v>
      </c>
      <c r="L119" s="215" t="s">
        <v>211</v>
      </c>
      <c r="M119" s="172"/>
      <c r="N119" s="172"/>
      <c r="O119" s="172"/>
      <c r="P119" s="172"/>
      <c r="Q119" s="173"/>
    </row>
    <row r="120" spans="1:17" ht="16.95" customHeight="1" x14ac:dyDescent="0.3">
      <c r="B120" s="12" t="s">
        <v>212</v>
      </c>
      <c r="C120" s="12" t="s">
        <v>180</v>
      </c>
      <c r="E120" s="37">
        <f>IF(GRAFICA_14!F15=1, B120, GRAFICA_14!H15)</f>
        <v>0</v>
      </c>
      <c r="L120" s="215" t="s">
        <v>377</v>
      </c>
      <c r="M120" s="172"/>
      <c r="N120" s="172"/>
      <c r="O120" s="172"/>
      <c r="P120" s="172"/>
      <c r="Q120" s="173"/>
    </row>
    <row r="121" spans="1:17" ht="16.95" customHeight="1" x14ac:dyDescent="0.3">
      <c r="A121" s="38" t="s">
        <v>218</v>
      </c>
      <c r="B121" s="12" t="s">
        <v>214</v>
      </c>
      <c r="C121" s="12" t="s">
        <v>181</v>
      </c>
      <c r="D121" s="13" t="s">
        <v>220</v>
      </c>
      <c r="E121" s="37" t="str">
        <f>IF(GRAFICA_14!G15=1, B121, GRAFICA_14!I15)</f>
        <v>C2Y</v>
      </c>
      <c r="L121" s="215" t="s">
        <v>215</v>
      </c>
      <c r="M121" s="172"/>
      <c r="N121" s="172"/>
      <c r="O121" s="172"/>
      <c r="P121" s="172"/>
      <c r="Q121" s="173"/>
    </row>
    <row r="122" spans="1:17" ht="16.95" customHeight="1" x14ac:dyDescent="0.3">
      <c r="B122" s="12" t="s">
        <v>216</v>
      </c>
      <c r="C122" s="12" t="s">
        <v>182</v>
      </c>
      <c r="E122" s="37">
        <f>IF(GRAFICA_14!F16=1, B122, GRAFICA_14!H16)</f>
        <v>1500</v>
      </c>
      <c r="L122" s="215" t="s">
        <v>378</v>
      </c>
      <c r="M122" s="172"/>
      <c r="N122" s="172"/>
      <c r="O122" s="172"/>
      <c r="P122" s="172"/>
      <c r="Q122" s="173"/>
    </row>
    <row r="123" spans="1:17" ht="16.95" customHeight="1" x14ac:dyDescent="0.3">
      <c r="B123" s="12" t="s">
        <v>219</v>
      </c>
      <c r="C123" s="12" t="s">
        <v>183</v>
      </c>
      <c r="E123" s="37">
        <f>IF(GRAFICA_14!G16=1, B123, GRAFICA_14!I16)</f>
        <v>-4500</v>
      </c>
      <c r="L123" s="215" t="s">
        <v>379</v>
      </c>
      <c r="M123" s="172"/>
      <c r="N123" s="172"/>
      <c r="O123" s="172"/>
      <c r="P123" s="172"/>
      <c r="Q123" s="173"/>
    </row>
    <row r="124" spans="1:17" ht="16.95" customHeight="1" x14ac:dyDescent="0.3">
      <c r="B124" s="12" t="s">
        <v>221</v>
      </c>
      <c r="C124" s="12" t="s">
        <v>184</v>
      </c>
      <c r="E124" s="37">
        <f>IF(GRAFICA_14!F17=1, B124, GRAFICA_14!H17)</f>
        <v>2000</v>
      </c>
      <c r="L124" s="215"/>
      <c r="M124" s="172"/>
      <c r="N124" s="172"/>
      <c r="O124" s="172"/>
      <c r="P124" s="172"/>
      <c r="Q124" s="173"/>
    </row>
    <row r="125" spans="1:17" ht="16.95" customHeight="1" x14ac:dyDescent="0.3">
      <c r="B125" s="12" t="s">
        <v>222</v>
      </c>
      <c r="C125" s="12" t="s">
        <v>185</v>
      </c>
      <c r="E125" s="37">
        <f>IF(GRAFICA_14!G17=1, B125, GRAFICA_14!I17)</f>
        <v>-6000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IF(GRAFICA_14!F14=1,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IF(GRAFICA_14!G14=1,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IF(GRAFICA_14!F15=1,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f>IF(GRAFICA_14!G15=1, 0, B131)</f>
        <v>0</v>
      </c>
      <c r="F131" s="14" t="str">
        <f>IF(E131&lt;&gt;0, COUNTIF(E$128:E131, "&lt;&gt;0"), "")</f>
        <v/>
      </c>
      <c r="G131" s="14">
        <f>IF(E131=0, COUNTIF(E$128:E131, 0), "")</f>
        <v>3</v>
      </c>
      <c r="L131" s="215"/>
      <c r="M131" s="172"/>
      <c r="N131" s="172"/>
      <c r="O131" s="172"/>
      <c r="P131" s="172"/>
      <c r="Q131" s="173"/>
    </row>
    <row r="132" spans="1:17" ht="16.95" customHeight="1" x14ac:dyDescent="0.3">
      <c r="B132" s="12" t="s">
        <v>232</v>
      </c>
      <c r="C132" s="12" t="s">
        <v>182</v>
      </c>
      <c r="E132" s="39" t="str">
        <f>IF(GRAFICA_14!F16=1, 0, B132)</f>
        <v>D3X</v>
      </c>
      <c r="F132" s="14">
        <f>IF(E132&lt;&gt;0, COUNTIF(E$128:E132, "&lt;&gt;0"), "")</f>
        <v>2</v>
      </c>
      <c r="G132" s="14" t="str">
        <f>IF(E132=0, COUNTIF(E$128:E132, 0), "")</f>
        <v/>
      </c>
      <c r="L132" s="215"/>
      <c r="M132" s="172"/>
      <c r="N132" s="172"/>
      <c r="O132" s="172"/>
      <c r="P132" s="172"/>
      <c r="Q132" s="173"/>
    </row>
    <row r="133" spans="1:17" ht="16.95" customHeight="1" x14ac:dyDescent="0.3">
      <c r="B133" s="12" t="s">
        <v>234</v>
      </c>
      <c r="C133" s="12" t="s">
        <v>183</v>
      </c>
      <c r="E133" s="39" t="str">
        <f>IF(GRAFICA_14!G16=1, 0, B133)</f>
        <v>D3Y</v>
      </c>
      <c r="F133" s="14">
        <f>IF(E133&lt;&gt;0, COUNTIF(E$128:E133, "&lt;&gt;0"), "")</f>
        <v>3</v>
      </c>
      <c r="G133" s="14" t="str">
        <f>IF(E133=0, COUNTIF(E$128:E133, 0), "")</f>
        <v/>
      </c>
      <c r="L133" s="215"/>
      <c r="M133" s="172"/>
      <c r="N133" s="172"/>
      <c r="O133" s="172"/>
      <c r="P133" s="172"/>
      <c r="Q133" s="173"/>
    </row>
    <row r="134" spans="1:17" ht="16.95" customHeight="1" x14ac:dyDescent="0.3">
      <c r="B134" s="12" t="s">
        <v>235</v>
      </c>
      <c r="C134" s="12" t="s">
        <v>184</v>
      </c>
      <c r="E134" s="39" t="str">
        <f>IF(GRAFICA_14!F17=1,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IF(GRAFICA_14!G17=1,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67238.935862801678</v>
      </c>
      <c r="D140" s="9">
        <f t="shared" si="8"/>
        <v>36910.827161171306</v>
      </c>
      <c r="E140" s="9">
        <f t="shared" si="8"/>
        <v>-31500</v>
      </c>
      <c r="F140" s="9">
        <f t="shared" si="8"/>
        <v>0</v>
      </c>
      <c r="G140" s="9">
        <f t="shared" si="8"/>
        <v>-24193.46240459269</v>
      </c>
      <c r="H140" s="9">
        <f t="shared" si="8"/>
        <v>-16128.974936395125</v>
      </c>
      <c r="I140" s="9">
        <f t="shared" si="8"/>
        <v>-11545.473458208991</v>
      </c>
      <c r="J140" s="9">
        <f t="shared" si="8"/>
        <v>-20781.852224776183</v>
      </c>
      <c r="K140" s="13" t="s">
        <v>251</v>
      </c>
      <c r="L140" s="219" t="s">
        <v>380</v>
      </c>
      <c r="M140" s="172"/>
      <c r="N140" s="172"/>
      <c r="O140" s="172"/>
      <c r="P140" s="172"/>
      <c r="Q140" s="173"/>
    </row>
    <row r="141" spans="1:17" ht="16.95" customHeight="1" x14ac:dyDescent="0.3">
      <c r="A141" s="12" t="str">
        <f t="shared" si="7"/>
        <v>C1Y</v>
      </c>
      <c r="C141" s="9">
        <f t="shared" si="8"/>
        <v>36910.827161171306</v>
      </c>
      <c r="D141" s="9">
        <f t="shared" si="8"/>
        <v>48159.983962193874</v>
      </c>
      <c r="E141" s="9">
        <f t="shared" si="8"/>
        <v>0</v>
      </c>
      <c r="F141" s="9">
        <f t="shared" si="8"/>
        <v>0</v>
      </c>
      <c r="G141" s="9">
        <f t="shared" si="8"/>
        <v>-16128.974936395125</v>
      </c>
      <c r="H141" s="9">
        <f t="shared" si="8"/>
        <v>-10752.64995759675</v>
      </c>
      <c r="I141" s="9">
        <f t="shared" si="8"/>
        <v>-20781.852224776183</v>
      </c>
      <c r="J141" s="9">
        <f t="shared" si="8"/>
        <v>-37407.334004597127</v>
      </c>
      <c r="K141" s="13" t="s">
        <v>251</v>
      </c>
      <c r="L141" s="219" t="s">
        <v>253</v>
      </c>
      <c r="M141" s="172"/>
      <c r="N141" s="172"/>
      <c r="O141" s="172"/>
      <c r="P141" s="172"/>
      <c r="Q141" s="173"/>
    </row>
    <row r="142" spans="1:17" ht="16.95" customHeight="1" x14ac:dyDescent="0.3">
      <c r="A142" s="41">
        <f t="shared" si="7"/>
        <v>0</v>
      </c>
      <c r="C142" s="9">
        <f t="shared" si="8"/>
        <v>-31500</v>
      </c>
      <c r="D142" s="9">
        <f t="shared" si="8"/>
        <v>0</v>
      </c>
      <c r="E142" s="41">
        <f t="shared" si="8"/>
        <v>42769.782606598936</v>
      </c>
      <c r="F142" s="9">
        <f t="shared" si="8"/>
        <v>-22539.565213197879</v>
      </c>
      <c r="G142" s="41">
        <f t="shared" si="8"/>
        <v>-11269.782606598939</v>
      </c>
      <c r="H142" s="41">
        <f t="shared" si="8"/>
        <v>22539.565213197879</v>
      </c>
      <c r="I142" s="41">
        <f t="shared" si="8"/>
        <v>0</v>
      </c>
      <c r="J142" s="41">
        <f t="shared" si="8"/>
        <v>0</v>
      </c>
      <c r="K142" s="13" t="s">
        <v>251</v>
      </c>
      <c r="L142" s="215" t="s">
        <v>254</v>
      </c>
      <c r="M142" s="172"/>
      <c r="N142" s="172"/>
      <c r="O142" s="172"/>
      <c r="P142" s="172"/>
      <c r="Q142" s="173"/>
    </row>
    <row r="143" spans="1:17" ht="16.95" customHeight="1" x14ac:dyDescent="0.3">
      <c r="A143" s="12" t="str">
        <f t="shared" si="7"/>
        <v>C2Y</v>
      </c>
      <c r="C143" s="9">
        <f t="shared" si="8"/>
        <v>0</v>
      </c>
      <c r="D143" s="9">
        <f t="shared" si="8"/>
        <v>0</v>
      </c>
      <c r="E143" s="9">
        <f t="shared" si="8"/>
        <v>-22539.565213197879</v>
      </c>
      <c r="F143" s="9">
        <f t="shared" si="8"/>
        <v>45079.130426395757</v>
      </c>
      <c r="G143" s="9">
        <f t="shared" si="8"/>
        <v>22539.565213197879</v>
      </c>
      <c r="H143" s="9">
        <f t="shared" si="8"/>
        <v>-45079.130426395757</v>
      </c>
      <c r="I143" s="9">
        <f t="shared" si="8"/>
        <v>0</v>
      </c>
      <c r="J143" s="9">
        <f t="shared" si="8"/>
        <v>0</v>
      </c>
      <c r="K143" s="13" t="s">
        <v>251</v>
      </c>
      <c r="L143" s="219" t="s">
        <v>381</v>
      </c>
      <c r="M143" s="172"/>
      <c r="N143" s="172"/>
      <c r="O143" s="172"/>
      <c r="P143" s="172"/>
      <c r="Q143" s="173"/>
    </row>
    <row r="144" spans="1:17" ht="16.95" customHeight="1" x14ac:dyDescent="0.3">
      <c r="A144" s="41">
        <f t="shared" si="7"/>
        <v>1500</v>
      </c>
      <c r="B144" s="13" t="s">
        <v>220</v>
      </c>
      <c r="C144" s="9">
        <f t="shared" si="8"/>
        <v>-24193.46240459269</v>
      </c>
      <c r="D144" s="9">
        <f t="shared" si="8"/>
        <v>-16128.974936395125</v>
      </c>
      <c r="E144" s="41">
        <f t="shared" si="8"/>
        <v>-11269.782606598939</v>
      </c>
      <c r="F144" s="9">
        <f t="shared" si="8"/>
        <v>22539.565213197879</v>
      </c>
      <c r="G144" s="41">
        <f t="shared" si="8"/>
        <v>105314.08128392353</v>
      </c>
      <c r="H144" s="41">
        <f t="shared" si="8"/>
        <v>-16389.281172907311</v>
      </c>
      <c r="I144" s="41">
        <f t="shared" si="8"/>
        <v>-69850.836272731904</v>
      </c>
      <c r="J144" s="41">
        <f t="shared" si="8"/>
        <v>9978.6908961045574</v>
      </c>
      <c r="K144" s="13" t="s">
        <v>251</v>
      </c>
      <c r="L144" s="215" t="s">
        <v>382</v>
      </c>
      <c r="M144" s="172"/>
      <c r="N144" s="172"/>
      <c r="O144" s="172"/>
      <c r="P144" s="172"/>
      <c r="Q144" s="173"/>
    </row>
    <row r="145" spans="1:17" ht="16.95" customHeight="1" x14ac:dyDescent="0.3">
      <c r="A145" s="41">
        <f t="shared" si="7"/>
        <v>-4500</v>
      </c>
      <c r="C145" s="9">
        <f t="shared" si="8"/>
        <v>-16128.974936395125</v>
      </c>
      <c r="D145" s="9">
        <f t="shared" si="8"/>
        <v>-10752.64995759675</v>
      </c>
      <c r="E145" s="41">
        <f t="shared" si="8"/>
        <v>22539.565213197879</v>
      </c>
      <c r="F145" s="9">
        <f t="shared" si="8"/>
        <v>-45079.130426395757</v>
      </c>
      <c r="G145" s="41">
        <f t="shared" si="8"/>
        <v>-16389.281172907311</v>
      </c>
      <c r="H145" s="41">
        <f t="shared" si="8"/>
        <v>57257.307654864591</v>
      </c>
      <c r="I145" s="41">
        <f t="shared" si="8"/>
        <v>9978.6908961045574</v>
      </c>
      <c r="J145" s="41">
        <f t="shared" si="8"/>
        <v>-1425.52727087208</v>
      </c>
      <c r="K145" s="13" t="s">
        <v>251</v>
      </c>
      <c r="L145" s="215" t="str">
        <f>E133</f>
        <v>D3Y</v>
      </c>
      <c r="M145" s="172"/>
      <c r="N145" s="172"/>
      <c r="O145" s="172"/>
      <c r="P145" s="172"/>
      <c r="Q145" s="173"/>
    </row>
    <row r="146" spans="1:17" ht="16.95" customHeight="1" x14ac:dyDescent="0.3">
      <c r="A146" s="41">
        <f t="shared" si="7"/>
        <v>2000</v>
      </c>
      <c r="C146" s="9">
        <f t="shared" si="8"/>
        <v>-11545.473458208991</v>
      </c>
      <c r="D146" s="9">
        <f t="shared" si="8"/>
        <v>-20781.852224776183</v>
      </c>
      <c r="E146" s="41">
        <f t="shared" si="8"/>
        <v>0</v>
      </c>
      <c r="F146" s="9">
        <f t="shared" si="8"/>
        <v>0</v>
      </c>
      <c r="G146" s="41">
        <f t="shared" si="8"/>
        <v>-69850.836272731904</v>
      </c>
      <c r="H146" s="41">
        <f t="shared" si="8"/>
        <v>9978.6908961045574</v>
      </c>
      <c r="I146" s="41">
        <f t="shared" si="8"/>
        <v>81396.309730940891</v>
      </c>
      <c r="J146" s="41">
        <f t="shared" si="8"/>
        <v>10803.161328671626</v>
      </c>
      <c r="K146" s="13" t="s">
        <v>251</v>
      </c>
      <c r="L146" s="215" t="str">
        <f>E134</f>
        <v>D4X</v>
      </c>
      <c r="M146" s="172"/>
      <c r="N146" s="172"/>
      <c r="O146" s="172"/>
      <c r="P146" s="172"/>
      <c r="Q146" s="173"/>
    </row>
    <row r="147" spans="1:17" ht="16.95" customHeight="1" x14ac:dyDescent="0.3">
      <c r="A147" s="41">
        <f t="shared" si="7"/>
        <v>-6000</v>
      </c>
      <c r="C147" s="9">
        <f t="shared" si="8"/>
        <v>-20781.852224776183</v>
      </c>
      <c r="D147" s="9">
        <f t="shared" si="8"/>
        <v>-37407.334004597127</v>
      </c>
      <c r="E147" s="41">
        <f t="shared" si="8"/>
        <v>0</v>
      </c>
      <c r="F147" s="9">
        <f t="shared" si="8"/>
        <v>0</v>
      </c>
      <c r="G147" s="41">
        <f t="shared" si="8"/>
        <v>9978.6908961045574</v>
      </c>
      <c r="H147" s="41">
        <f t="shared" si="8"/>
        <v>-1425.52727087208</v>
      </c>
      <c r="I147" s="41">
        <f t="shared" si="8"/>
        <v>10803.161328671626</v>
      </c>
      <c r="J147" s="41">
        <f t="shared" si="8"/>
        <v>38832.861275469208</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42769.782606598936</v>
      </c>
      <c r="D152" s="41">
        <f t="shared" si="9"/>
        <v>-11269.782606598939</v>
      </c>
      <c r="E152" s="41">
        <f t="shared" si="9"/>
        <v>22539.565213197879</v>
      </c>
      <c r="F152" s="41">
        <f t="shared" si="9"/>
        <v>0</v>
      </c>
      <c r="G152" s="41">
        <f t="shared" si="9"/>
        <v>0</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1500</v>
      </c>
      <c r="C153" s="41">
        <f t="shared" si="9"/>
        <v>-11269.782606598939</v>
      </c>
      <c r="D153" s="41">
        <f t="shared" si="9"/>
        <v>105314.08128392353</v>
      </c>
      <c r="E153" s="41">
        <f t="shared" si="9"/>
        <v>-16389.281172907311</v>
      </c>
      <c r="F153" s="41">
        <f t="shared" si="9"/>
        <v>-69850.836272731904</v>
      </c>
      <c r="G153" s="41">
        <f t="shared" si="9"/>
        <v>9978.6908961045574</v>
      </c>
      <c r="H153" s="13" t="s">
        <v>251</v>
      </c>
      <c r="I153" s="38" t="str">
        <f>INDEX(B$128:B$135, MATCH(2, F$128:F$135, 0))</f>
        <v>D3X</v>
      </c>
      <c r="J153" s="14" t="str">
        <f>INDEX(C$128:C$135, MATCH(2, F$128:F$135, 0))</f>
        <v>U3X</v>
      </c>
      <c r="L153" s="215" t="s">
        <v>385</v>
      </c>
      <c r="M153" s="172"/>
      <c r="N153" s="172"/>
      <c r="O153" s="172"/>
      <c r="P153" s="172"/>
      <c r="Q153" s="173"/>
    </row>
    <row r="154" spans="1:17" ht="16.95" customHeight="1" x14ac:dyDescent="0.3">
      <c r="A154" s="41">
        <f>INDEX(E$118:E$125, MATCH(J154, C$118:C$125, 0))</f>
        <v>-4500</v>
      </c>
      <c r="B154" s="13" t="s">
        <v>220</v>
      </c>
      <c r="C154" s="41">
        <f t="shared" si="9"/>
        <v>22539.565213197879</v>
      </c>
      <c r="D154" s="41">
        <f t="shared" si="9"/>
        <v>-16389.281172907311</v>
      </c>
      <c r="E154" s="41">
        <f t="shared" si="9"/>
        <v>57257.307654864591</v>
      </c>
      <c r="F154" s="41">
        <f t="shared" si="9"/>
        <v>9978.6908961045574</v>
      </c>
      <c r="G154" s="41">
        <f t="shared" si="9"/>
        <v>-1425.52727087208</v>
      </c>
      <c r="H154" s="13" t="s">
        <v>251</v>
      </c>
      <c r="I154" s="38" t="str">
        <f>INDEX(B$128:B$135, MATCH(3, F$128:F$135, 0))</f>
        <v>D3Y</v>
      </c>
      <c r="J154" s="14" t="str">
        <f>INDEX(C$128:C$135, MATCH(3, F$128:F$135, 0))</f>
        <v>U3Y</v>
      </c>
      <c r="L154" s="215" t="s">
        <v>386</v>
      </c>
      <c r="M154" s="172"/>
      <c r="N154" s="172"/>
      <c r="O154" s="172"/>
      <c r="P154" s="172"/>
      <c r="Q154" s="173"/>
    </row>
    <row r="155" spans="1:17" ht="16.95" customHeight="1" x14ac:dyDescent="0.3">
      <c r="A155" s="41">
        <f>INDEX(E$118:E$125, MATCH(J155, C$118:C$125, 0))</f>
        <v>2000</v>
      </c>
      <c r="C155" s="41">
        <f t="shared" si="9"/>
        <v>0</v>
      </c>
      <c r="D155" s="41">
        <f t="shared" si="9"/>
        <v>-69850.836272731904</v>
      </c>
      <c r="E155" s="41">
        <f t="shared" si="9"/>
        <v>9978.6908961045574</v>
      </c>
      <c r="F155" s="41">
        <f t="shared" si="9"/>
        <v>81396.309730940891</v>
      </c>
      <c r="G155" s="41">
        <f t="shared" si="9"/>
        <v>10803.161328671626</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-6000</v>
      </c>
      <c r="C156" s="41">
        <f t="shared" si="9"/>
        <v>0</v>
      </c>
      <c r="D156" s="41">
        <f t="shared" si="9"/>
        <v>9978.6908961045574</v>
      </c>
      <c r="E156" s="41">
        <f t="shared" si="9"/>
        <v>-1425.52727087208</v>
      </c>
      <c r="F156" s="41">
        <f t="shared" si="9"/>
        <v>10803.161328671626</v>
      </c>
      <c r="G156" s="41">
        <f t="shared" si="9"/>
        <v>38832.861275469208</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3.1746031746031751E-5</v>
      </c>
      <c r="D160" s="93">
        <v>7.9365079365079362E-6</v>
      </c>
      <c r="E160" s="93">
        <v>-1.1904761904761903E-5</v>
      </c>
      <c r="F160" s="93">
        <v>8.9285714285714309E-6</v>
      </c>
      <c r="G160" s="93">
        <v>-4.9603174603174629E-6</v>
      </c>
      <c r="I160" s="17">
        <f>A152</f>
        <v>0</v>
      </c>
      <c r="L160" s="215"/>
      <c r="M160" s="172"/>
      <c r="N160" s="172"/>
      <c r="O160" s="172"/>
      <c r="P160" s="172"/>
      <c r="Q160" s="173"/>
    </row>
    <row r="161" spans="1:17" ht="16.95" customHeight="1" x14ac:dyDescent="0.3">
      <c r="A161" s="12" t="str">
        <f>I153</f>
        <v>D3X</v>
      </c>
      <c r="C161" s="93">
        <v>7.9365079365079362E-6</v>
      </c>
      <c r="D161" s="93">
        <v>3.0780013129231548E-5</v>
      </c>
      <c r="E161" s="93">
        <v>3.3014556511284806E-7</v>
      </c>
      <c r="F161" s="93">
        <v>2.8473081133170183E-5</v>
      </c>
      <c r="G161" s="93">
        <v>-1.5818378407316769E-5</v>
      </c>
      <c r="I161" s="17">
        <f>A153</f>
        <v>1500</v>
      </c>
      <c r="L161" s="215"/>
      <c r="M161" s="172"/>
      <c r="N161" s="172"/>
      <c r="O161" s="172"/>
      <c r="P161" s="172"/>
      <c r="Q161" s="173"/>
    </row>
    <row r="162" spans="1:17" ht="16.95" customHeight="1" x14ac:dyDescent="0.3">
      <c r="A162" s="12" t="str">
        <f>I154</f>
        <v>D3Y</v>
      </c>
      <c r="B162" s="13" t="s">
        <v>220</v>
      </c>
      <c r="C162" s="93">
        <v>-1.1904761904761903E-5</v>
      </c>
      <c r="D162" s="93">
        <v>3.3014556511284939E-7</v>
      </c>
      <c r="E162" s="93">
        <v>2.2754864281810809E-5</v>
      </c>
      <c r="F162" s="93">
        <v>-2.7058030578557031E-6</v>
      </c>
      <c r="G162" s="93">
        <v>1.5032239210309465E-6</v>
      </c>
      <c r="I162" s="17">
        <f>A154</f>
        <v>-4500</v>
      </c>
      <c r="L162" s="215"/>
      <c r="M162" s="172"/>
      <c r="N162" s="172"/>
      <c r="O162" s="172"/>
      <c r="P162" s="172"/>
      <c r="Q162" s="173"/>
    </row>
    <row r="163" spans="1:17" ht="16.95" customHeight="1" x14ac:dyDescent="0.3">
      <c r="A163" s="12" t="str">
        <f>I155</f>
        <v>D4X</v>
      </c>
      <c r="C163" s="93">
        <v>8.9285714285714275E-6</v>
      </c>
      <c r="D163" s="93">
        <v>2.8473081133170179E-5</v>
      </c>
      <c r="E163" s="93">
        <v>-2.705803057855704E-6</v>
      </c>
      <c r="F163" s="93">
        <v>3.9494174407567237E-5</v>
      </c>
      <c r="G163" s="93">
        <v>-1.8403053129007483E-5</v>
      </c>
      <c r="I163" s="17">
        <f>A155</f>
        <v>2000</v>
      </c>
      <c r="L163" s="215"/>
      <c r="M163" s="172"/>
      <c r="N163" s="172"/>
      <c r="O163" s="172"/>
      <c r="P163" s="172"/>
      <c r="Q163" s="173"/>
    </row>
    <row r="164" spans="1:17" ht="16.95" customHeight="1" x14ac:dyDescent="0.3">
      <c r="A164" s="12" t="str">
        <f>I156</f>
        <v>D4Y</v>
      </c>
      <c r="C164" s="93">
        <v>-4.9603174603174603E-6</v>
      </c>
      <c r="D164" s="93">
        <v>-1.5818378407316766E-5</v>
      </c>
      <c r="E164" s="93">
        <v>1.5032239210309467E-6</v>
      </c>
      <c r="F164" s="93">
        <v>-1.8403053129007483E-5</v>
      </c>
      <c r="G164" s="93">
        <v>3.4991002531379929E-5</v>
      </c>
      <c r="I164" s="17">
        <f>A156</f>
        <v>-6000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0.11309523809523811</v>
      </c>
      <c r="D168" s="12" t="s">
        <v>267</v>
      </c>
      <c r="L168" s="215"/>
      <c r="M168" s="172"/>
      <c r="N168" s="172"/>
      <c r="O168" s="172"/>
      <c r="P168" s="172"/>
      <c r="Q168" s="173"/>
    </row>
    <row r="169" spans="1:17" ht="16.95" customHeight="1" x14ac:dyDescent="0.3">
      <c r="A169" s="12" t="str">
        <f>A161</f>
        <v>D3X</v>
      </c>
      <c r="C169" s="94">
        <v>0.19654079736108049</v>
      </c>
      <c r="D169" s="12" t="s">
        <v>267</v>
      </c>
      <c r="L169" s="215"/>
      <c r="M169" s="172"/>
      <c r="N169" s="172"/>
      <c r="O169" s="172"/>
      <c r="P169" s="172"/>
      <c r="Q169" s="173"/>
    </row>
    <row r="170" spans="1:17" ht="16.95" customHeight="1" x14ac:dyDescent="0.3">
      <c r="A170" s="12" t="str">
        <f>A162</f>
        <v>D3Y</v>
      </c>
      <c r="B170" s="13" t="s">
        <v>220</v>
      </c>
      <c r="C170" s="94">
        <v>-0.11633262056237645</v>
      </c>
      <c r="D170" s="12" t="s">
        <v>267</v>
      </c>
      <c r="L170" s="215"/>
      <c r="M170" s="172"/>
      <c r="N170" s="172"/>
      <c r="O170" s="172"/>
      <c r="P170" s="172"/>
      <c r="Q170" s="173"/>
    </row>
    <row r="171" spans="1:17" ht="16.95" customHeight="1" x14ac:dyDescent="0.3">
      <c r="A171" s="12" t="str">
        <f>A163</f>
        <v>D4X</v>
      </c>
      <c r="C171" s="94">
        <v>0.24429240304928532</v>
      </c>
      <c r="D171" s="12" t="s">
        <v>267</v>
      </c>
      <c r="L171" s="215"/>
      <c r="M171" s="172"/>
      <c r="N171" s="172"/>
      <c r="O171" s="172"/>
      <c r="P171" s="172"/>
      <c r="Q171" s="173"/>
    </row>
    <row r="172" spans="1:17" ht="16.95" customHeight="1" x14ac:dyDescent="0.3">
      <c r="A172" s="12" t="str">
        <f>A164</f>
        <v>D4Y</v>
      </c>
      <c r="C172" s="94">
        <v>-0.27724419670190892</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-31500</v>
      </c>
      <c r="D177" s="9">
        <f t="shared" si="10"/>
        <v>-24193.46240459269</v>
      </c>
      <c r="E177" s="9">
        <f t="shared" si="10"/>
        <v>-16128.974936395125</v>
      </c>
      <c r="F177" s="9">
        <f t="shared" si="10"/>
        <v>-11545.473458208991</v>
      </c>
      <c r="G177" s="9">
        <f t="shared" si="10"/>
        <v>-20781.852224776183</v>
      </c>
      <c r="I177" s="95">
        <f>C168</f>
        <v>0.11309523809523811</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0</v>
      </c>
      <c r="D178" s="9">
        <f t="shared" si="10"/>
        <v>-16128.974936395125</v>
      </c>
      <c r="E178" s="9">
        <f t="shared" si="10"/>
        <v>-10752.64995759675</v>
      </c>
      <c r="F178" s="9">
        <f t="shared" si="10"/>
        <v>-20781.852224776183</v>
      </c>
      <c r="G178" s="9">
        <f t="shared" si="10"/>
        <v>-37407.334004597127</v>
      </c>
      <c r="I178" s="95">
        <f>C169</f>
        <v>0.19654079736108049</v>
      </c>
      <c r="J178" s="14" t="str">
        <f>INDEX(C$128:C$135, MATCH(2, G$128:G$135, 0))</f>
        <v>U1Y</v>
      </c>
      <c r="L178" s="215" t="s">
        <v>391</v>
      </c>
      <c r="M178" s="172"/>
      <c r="N178" s="172"/>
      <c r="O178" s="172"/>
      <c r="P178" s="172"/>
      <c r="Q178" s="173"/>
    </row>
    <row r="179" spans="1:17" ht="16.95" customHeight="1" x14ac:dyDescent="0.3">
      <c r="A179" s="18" t="str">
        <f>INDEX(B$118:B$125, MATCH(J179, C$118:C$125, 0))</f>
        <v>C2Y</v>
      </c>
      <c r="C179" s="9">
        <f t="shared" si="10"/>
        <v>-22539.565213197879</v>
      </c>
      <c r="D179" s="9">
        <f t="shared" si="10"/>
        <v>22539.565213197879</v>
      </c>
      <c r="E179" s="9">
        <f t="shared" si="10"/>
        <v>-45079.130426395757</v>
      </c>
      <c r="F179" s="9">
        <f t="shared" si="10"/>
        <v>0</v>
      </c>
      <c r="G179" s="9">
        <f t="shared" si="10"/>
        <v>0</v>
      </c>
      <c r="I179" s="95">
        <f>C170</f>
        <v>-0.11633262056237645</v>
      </c>
      <c r="J179" s="14" t="str">
        <f>INDEX(C$128:C$135, MATCH(3, G$128:G$135, 0))</f>
        <v>U2Y</v>
      </c>
      <c r="L179" s="215" t="s">
        <v>392</v>
      </c>
      <c r="M179" s="172"/>
      <c r="N179" s="172"/>
      <c r="O179" s="172"/>
      <c r="P179" s="172"/>
      <c r="Q179" s="173"/>
    </row>
    <row r="180" spans="1:17" ht="16.95" customHeight="1" x14ac:dyDescent="0.3">
      <c r="I180" s="95">
        <f>C171</f>
        <v>0.24429240304928532</v>
      </c>
      <c r="L180" s="215" t="s">
        <v>393</v>
      </c>
      <c r="M180" s="172"/>
      <c r="N180" s="172"/>
      <c r="O180" s="172"/>
      <c r="P180" s="172"/>
      <c r="Q180" s="173"/>
    </row>
    <row r="181" spans="1:17" ht="16.95" customHeight="1" x14ac:dyDescent="0.3">
      <c r="I181" s="95">
        <f>C172</f>
        <v>-0.27724419670190892</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-3500.0000000000018</v>
      </c>
      <c r="D183" s="12" t="s">
        <v>273</v>
      </c>
      <c r="L183" s="215"/>
      <c r="M183" s="172"/>
      <c r="N183" s="172"/>
      <c r="O183" s="172"/>
      <c r="P183" s="172"/>
      <c r="Q183" s="173"/>
    </row>
    <row r="184" spans="1:17" ht="16.95" customHeight="1" x14ac:dyDescent="0.3">
      <c r="A184" s="12" t="str">
        <f>A178</f>
        <v>C1Y</v>
      </c>
      <c r="B184" s="13" t="s">
        <v>220</v>
      </c>
      <c r="C184" s="17">
        <v>3374.9999999999982</v>
      </c>
      <c r="D184" s="12" t="s">
        <v>273</v>
      </c>
      <c r="L184" s="215"/>
      <c r="M184" s="172"/>
      <c r="N184" s="172"/>
      <c r="O184" s="172"/>
      <c r="P184" s="172"/>
      <c r="Q184" s="173"/>
    </row>
    <row r="185" spans="1:17" ht="16.95" customHeight="1" x14ac:dyDescent="0.3">
      <c r="A185" s="12" t="str">
        <f>A179</f>
        <v>C2Y</v>
      </c>
      <c r="C185" s="17">
        <v>7125</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0.11309523809523811</v>
      </c>
    </row>
    <row r="193" spans="1:17" ht="19.05" customHeight="1" x14ac:dyDescent="0.3">
      <c r="A193" s="12" t="s">
        <v>231</v>
      </c>
      <c r="B193" s="12" t="s">
        <v>181</v>
      </c>
      <c r="D193" s="94">
        <f t="shared" si="11"/>
        <v>0</v>
      </c>
    </row>
    <row r="194" spans="1:17" ht="19.05" customHeight="1" x14ac:dyDescent="0.3">
      <c r="A194" s="12" t="s">
        <v>232</v>
      </c>
      <c r="B194" s="12" t="s">
        <v>182</v>
      </c>
      <c r="D194" s="94">
        <f t="shared" si="11"/>
        <v>0.19654079736108049</v>
      </c>
    </row>
    <row r="195" spans="1:17" ht="19.05" customHeight="1" x14ac:dyDescent="0.3">
      <c r="A195" s="12" t="s">
        <v>234</v>
      </c>
      <c r="B195" s="12" t="s">
        <v>183</v>
      </c>
      <c r="D195" s="94">
        <f t="shared" si="11"/>
        <v>-0.11633262056237645</v>
      </c>
    </row>
    <row r="196" spans="1:17" ht="19.05" customHeight="1" x14ac:dyDescent="0.3">
      <c r="A196" s="12" t="s">
        <v>235</v>
      </c>
      <c r="B196" s="12" t="s">
        <v>184</v>
      </c>
      <c r="D196" s="94">
        <f t="shared" si="11"/>
        <v>0.24429240304928532</v>
      </c>
    </row>
    <row r="197" spans="1:17" ht="19.05" customHeight="1" x14ac:dyDescent="0.3">
      <c r="A197" s="12" t="s">
        <v>236</v>
      </c>
      <c r="B197" s="12" t="s">
        <v>185</v>
      </c>
      <c r="D197" s="94">
        <f t="shared" si="11"/>
        <v>-0.27724419670190892</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31500</v>
      </c>
      <c r="C204" s="92">
        <f>-J6</f>
        <v>-1</v>
      </c>
      <c r="D204" s="92">
        <f>-K6</f>
        <v>0</v>
      </c>
      <c r="E204" s="92">
        <f>J6</f>
        <v>1</v>
      </c>
      <c r="F204" s="92">
        <f>K6</f>
        <v>0</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3562.5000000000005</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0.11309523809523811</v>
      </c>
      <c r="H206" s="12" t="str">
        <f>"D" &amp; E14 &amp; "X"</f>
        <v>D2X</v>
      </c>
      <c r="L206" s="215" t="s">
        <v>400</v>
      </c>
      <c r="M206" s="172"/>
      <c r="N206" s="172"/>
      <c r="O206" s="172"/>
      <c r="P206" s="172"/>
      <c r="Q206" s="173"/>
    </row>
    <row r="207" spans="1:17" ht="16.95" customHeight="1" x14ac:dyDescent="0.3">
      <c r="G207" s="96">
        <f>IFERROR(VLOOKUP(H207, A$190:D$197, 4, FALSE), 0)</f>
        <v>0</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34946.112362189437</v>
      </c>
      <c r="C212" s="92">
        <f>-J7</f>
        <v>-0.83205029433784372</v>
      </c>
      <c r="D212" s="92">
        <f>-K7</f>
        <v>-0.55470019622522915</v>
      </c>
      <c r="E212" s="92">
        <f>J7</f>
        <v>0.83205029433784372</v>
      </c>
      <c r="F212" s="92">
        <f>K7</f>
        <v>0.55470019622522915</v>
      </c>
      <c r="G212" s="96">
        <f>IFERROR(VLOOKUP(H212, A$190:D$197, 4, FALSE), 0)</f>
        <v>0</v>
      </c>
      <c r="H212" s="12" t="str">
        <f>"D" &amp; C15 &amp; "X"</f>
        <v>D1X</v>
      </c>
      <c r="L212" s="215"/>
      <c r="M212" s="172"/>
      <c r="N212" s="172"/>
      <c r="O212" s="172"/>
      <c r="P212" s="172"/>
      <c r="Q212" s="173"/>
    </row>
    <row r="213" spans="1:17" ht="16.95" customHeight="1" x14ac:dyDescent="0.3">
      <c r="A213" s="99" t="s">
        <v>286</v>
      </c>
      <c r="B213" s="97">
        <f>(MMULT(C212:F212, G212:G215)*A212)</f>
        <v>3459.738540059197</v>
      </c>
      <c r="G213" s="96">
        <f>IFERROR(VLOOKUP(H213, A$190:D$197, 4, FALSE), 0)</f>
        <v>0</v>
      </c>
      <c r="H213" s="12" t="str">
        <f>"D" &amp; D15 &amp; "Y"</f>
        <v>D1Y</v>
      </c>
      <c r="L213" s="215"/>
      <c r="M213" s="172"/>
      <c r="N213" s="172"/>
      <c r="O213" s="172"/>
      <c r="P213" s="172"/>
      <c r="Q213" s="173"/>
    </row>
    <row r="214" spans="1:17" ht="16.95" customHeight="1" x14ac:dyDescent="0.3">
      <c r="G214" s="96">
        <f>IFERROR(VLOOKUP(H214, A$190:D$197, 4, FALSE), 0)</f>
        <v>0.19654079736108049</v>
      </c>
      <c r="H214" s="12" t="str">
        <f>"D" &amp; E15 &amp; "X"</f>
        <v>D3X</v>
      </c>
      <c r="L214" s="215"/>
      <c r="M214" s="172"/>
      <c r="N214" s="172"/>
      <c r="O214" s="172"/>
      <c r="P214" s="172"/>
      <c r="Q214" s="173"/>
    </row>
    <row r="215" spans="1:17" ht="16.95" customHeight="1" x14ac:dyDescent="0.3">
      <c r="G215" s="96">
        <f>IFERROR(VLOOKUP(H215, A$190:D$197, 4, FALSE), 0)</f>
        <v>-0.11633262056237645</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TRACCIÓN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48952.807462806115</v>
      </c>
      <c r="C220" s="92">
        <f>-J8</f>
        <v>-0.48564293117863211</v>
      </c>
      <c r="D220" s="92">
        <f>-K8</f>
        <v>-0.87415727612153782</v>
      </c>
      <c r="E220" s="92">
        <f>J8</f>
        <v>0.48564293117863211</v>
      </c>
      <c r="F220" s="92">
        <f>K8</f>
        <v>0.87415727612153782</v>
      </c>
      <c r="G220" s="96">
        <f>IFERROR(VLOOKUP(H220, A$190:D$197, 4, FALSE), 0)</f>
        <v>0</v>
      </c>
      <c r="H220" s="12" t="str">
        <f>"D" &amp; C16 &amp; "X"</f>
        <v>D1X</v>
      </c>
      <c r="L220" s="215"/>
      <c r="M220" s="172"/>
      <c r="N220" s="172"/>
      <c r="O220" s="172"/>
      <c r="P220" s="172"/>
      <c r="Q220" s="173"/>
    </row>
    <row r="221" spans="1:17" ht="16.95" customHeight="1" x14ac:dyDescent="0.3">
      <c r="A221" s="99" t="s">
        <v>287</v>
      </c>
      <c r="B221" s="97">
        <f>(MMULT(C220:F220, G220:G223)*A220)</f>
        <v>-6056.2530241099994</v>
      </c>
      <c r="G221" s="96">
        <f>IFERROR(VLOOKUP(H221, A$190:D$197, 4, FALSE), 0)</f>
        <v>0</v>
      </c>
      <c r="H221" s="12" t="str">
        <f>"D" &amp; D16 &amp; "Y"</f>
        <v>D1Y</v>
      </c>
      <c r="L221" s="215"/>
      <c r="M221" s="172"/>
      <c r="N221" s="172"/>
      <c r="O221" s="172"/>
      <c r="P221" s="172"/>
      <c r="Q221" s="173"/>
    </row>
    <row r="222" spans="1:17" ht="16.95" customHeight="1" x14ac:dyDescent="0.3">
      <c r="G222" s="96">
        <f>IFERROR(VLOOKUP(H222, A$190:D$197, 4, FALSE), 0)</f>
        <v>0.24429240304928532</v>
      </c>
      <c r="H222" s="12" t="str">
        <f>"D" &amp; E16 &amp; "X"</f>
        <v>D4X</v>
      </c>
      <c r="L222" s="215"/>
      <c r="M222" s="172"/>
      <c r="N222" s="172"/>
      <c r="O222" s="172"/>
      <c r="P222" s="172"/>
      <c r="Q222" s="173"/>
    </row>
    <row r="223" spans="1:17" ht="16.95" customHeight="1" x14ac:dyDescent="0.3">
      <c r="G223" s="96">
        <f>IFERROR(VLOOKUP(H223, A$190:D$197, 4, FALSE), 0)</f>
        <v>-0.27724419670190892</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71276.363543603991</v>
      </c>
      <c r="C228" s="92">
        <f>-J9</f>
        <v>-0.98994949366116647</v>
      </c>
      <c r="D228" s="92">
        <f>-K9</f>
        <v>0.1414213562373095</v>
      </c>
      <c r="E228" s="92">
        <f>J9</f>
        <v>0.98994949366116647</v>
      </c>
      <c r="F228" s="92">
        <f>K9</f>
        <v>-0.1414213562373095</v>
      </c>
      <c r="G228" s="96">
        <f>IFERROR(VLOOKUP(H228, A$190:D$197, 4, FALSE), 0)</f>
        <v>0.24429240304928532</v>
      </c>
      <c r="H228" s="12" t="str">
        <f>"D" &amp; C17 &amp; "X"</f>
        <v>D4X</v>
      </c>
    </row>
    <row r="229" spans="1:17" ht="19.95" customHeight="1" x14ac:dyDescent="0.3">
      <c r="A229" s="99" t="s">
        <v>288</v>
      </c>
      <c r="B229" s="97">
        <f>(MMULT(C228:F228, G228:G231)*A228)</f>
        <v>-4991.3419848462199</v>
      </c>
      <c r="G229" s="96">
        <f>IFERROR(VLOOKUP(H229, A$190:D$197, 4, FALSE), 0)</f>
        <v>-0.27724419670190892</v>
      </c>
      <c r="H229" s="12" t="str">
        <f>"D" &amp; D17 &amp; "Y"</f>
        <v>D4Y</v>
      </c>
    </row>
    <row r="230" spans="1:17" ht="19.95" customHeight="1" x14ac:dyDescent="0.3">
      <c r="G230" s="96">
        <f>IFERROR(VLOOKUP(H230, A$190:D$197, 4, FALSE), 0)</f>
        <v>0.19654079736108049</v>
      </c>
      <c r="H230" s="12" t="str">
        <f>"D" &amp; E17 &amp; "X"</f>
        <v>D3X</v>
      </c>
    </row>
    <row r="231" spans="1:17" ht="19.95" customHeight="1" x14ac:dyDescent="0.3">
      <c r="G231" s="96">
        <f>IFERROR(VLOOKUP(H231, A$190:D$197, 4, FALSE), 0)</f>
        <v>-0.11633262056237645</v>
      </c>
      <c r="H231" s="12" t="str">
        <f>"D" &amp; F17 &amp; "Y"</f>
        <v>D3Y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56348.9130329947</v>
      </c>
      <c r="C236" s="92">
        <f>-J10</f>
        <v>-0.44721359549995793</v>
      </c>
      <c r="D236" s="92">
        <f>-K10</f>
        <v>0.89442719099991586</v>
      </c>
      <c r="E236" s="92">
        <f>J10</f>
        <v>0.44721359549995793</v>
      </c>
      <c r="F236" s="92">
        <f>K10</f>
        <v>-0.89442719099991586</v>
      </c>
      <c r="G236" s="96">
        <f>IFERROR(VLOOKUP(H236, A$190:D$197, 4, FALSE), 0)</f>
        <v>0.19654079736108049</v>
      </c>
      <c r="H236" s="12" t="str">
        <f>"D" &amp; C18 &amp; "X"</f>
        <v>D3X</v>
      </c>
    </row>
    <row r="237" spans="1:17" ht="19.95" customHeight="1" x14ac:dyDescent="0.3">
      <c r="A237" s="99" t="s">
        <v>289</v>
      </c>
      <c r="B237" s="97">
        <f>(MMULT(C236:F236, G236:G239)*A236)</f>
        <v>-7965.9921698430007</v>
      </c>
      <c r="G237" s="96">
        <f>IFERROR(VLOOKUP(H237, A$190:D$197, 4, FALSE), 0)</f>
        <v>-0.11633262056237645</v>
      </c>
      <c r="H237" s="12" t="str">
        <f>"D" &amp; D18 &amp; "Y"</f>
        <v>D3Y</v>
      </c>
    </row>
    <row r="238" spans="1:17" ht="19.95" customHeight="1" x14ac:dyDescent="0.3">
      <c r="G238" s="96">
        <f>IFERROR(VLOOKUP(H238, A$190:D$197, 4, FALSE), 0)</f>
        <v>0.11309523809523811</v>
      </c>
      <c r="H238" s="12" t="str">
        <f>"D" &amp; E18 &amp; "X"</f>
        <v>D2X</v>
      </c>
    </row>
    <row r="239" spans="1:17" ht="19.95" customHeight="1" x14ac:dyDescent="0.3">
      <c r="G239" s="96">
        <f>IFERROR(VLOOKUP(H239, A$190:D$197, 4, FALSE), 0)</f>
        <v>0</v>
      </c>
      <c r="H239" s="12" t="str">
        <f>"D" &amp; F18 &amp; "Y"</f>
        <v>D2Y</v>
      </c>
    </row>
    <row r="240" spans="1:17" ht="19.95" customHeight="1" x14ac:dyDescent="0.3">
      <c r="B240" s="99" t="s">
        <v>273</v>
      </c>
      <c r="C240" s="178" t="str">
        <f>IF(B237&gt;0.001,"BARRA A TRACCIÓN (+)",IF(B237&lt;-0.001,"BARRA A COMPRESIÓN (-)","BARRA DE FUERZA NULA"))</f>
        <v>BARRA A COMPRESIÓN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800</v>
      </c>
      <c r="F245" s="9">
        <f>L6</f>
        <v>12</v>
      </c>
      <c r="G245" s="97">
        <f>B205</f>
        <v>3562.5000000000005</v>
      </c>
      <c r="H245" s="84" t="str">
        <f>C208</f>
        <v>BARRA A TRACCIÓN (+)</v>
      </c>
    </row>
    <row r="246" spans="2:8" ht="19.95" customHeight="1" x14ac:dyDescent="0.3">
      <c r="B246" s="25">
        <v>2</v>
      </c>
      <c r="C246" s="86">
        <f>C15</f>
        <v>1</v>
      </c>
      <c r="D246" s="86">
        <f>E15</f>
        <v>3</v>
      </c>
      <c r="E246" s="9">
        <f>I7</f>
        <v>721.11025509279784</v>
      </c>
      <c r="F246" s="9">
        <f>L7</f>
        <v>12</v>
      </c>
      <c r="G246" s="97">
        <f>B213</f>
        <v>3459.738540059197</v>
      </c>
      <c r="H246" s="84" t="str">
        <f>C216</f>
        <v>BARRA A TRACCIÓN (+)</v>
      </c>
    </row>
    <row r="247" spans="2:8" ht="19.95" customHeight="1" x14ac:dyDescent="0.3">
      <c r="B247" s="26">
        <v>3</v>
      </c>
      <c r="C247" s="86">
        <f>C16</f>
        <v>1</v>
      </c>
      <c r="D247" s="86">
        <f>E16</f>
        <v>4</v>
      </c>
      <c r="E247" s="9">
        <f>I8</f>
        <v>514.78150704935001</v>
      </c>
      <c r="F247" s="9">
        <f>L8</f>
        <v>12</v>
      </c>
      <c r="G247" s="97">
        <f>B221</f>
        <v>-6056.2530241099994</v>
      </c>
      <c r="H247" s="84" t="str">
        <f>C224</f>
        <v>BARRA A COMPRESIÓN (-)</v>
      </c>
    </row>
    <row r="248" spans="2:8" ht="19.95" customHeight="1" x14ac:dyDescent="0.3">
      <c r="B248" s="43">
        <v>4</v>
      </c>
      <c r="C248" s="86">
        <f>C17</f>
        <v>4</v>
      </c>
      <c r="D248" s="86">
        <f>E17</f>
        <v>3</v>
      </c>
      <c r="E248" s="9">
        <f>I9</f>
        <v>353.55339059327378</v>
      </c>
      <c r="F248" s="9">
        <f>L9</f>
        <v>12</v>
      </c>
      <c r="G248" s="97">
        <f>B229</f>
        <v>-4991.3419848462199</v>
      </c>
      <c r="H248" s="84" t="str">
        <f>C232</f>
        <v>BARRA A COMPRESIÓN (-)</v>
      </c>
    </row>
    <row r="249" spans="2:8" ht="19.95" customHeight="1" x14ac:dyDescent="0.3">
      <c r="B249" s="44">
        <v>5</v>
      </c>
      <c r="C249" s="86">
        <f>C18</f>
        <v>3</v>
      </c>
      <c r="D249" s="86">
        <f>E18</f>
        <v>2</v>
      </c>
      <c r="E249" s="9">
        <f>I10</f>
        <v>447.21359549995793</v>
      </c>
      <c r="F249" s="9">
        <f>L10</f>
        <v>12</v>
      </c>
      <c r="G249" s="97">
        <f>B237</f>
        <v>-7965.9921698430007</v>
      </c>
      <c r="H249" s="84" t="str">
        <f>C240</f>
        <v>BARRA A COMPRESIÓN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471</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-200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-200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1000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500</v>
      </c>
      <c r="AB14" s="20">
        <f>IF(F31="","",F31)</f>
        <v>400</v>
      </c>
      <c r="AC14" t="s">
        <v>328</v>
      </c>
    </row>
    <row r="15" spans="2:29" ht="19.05" customHeight="1" x14ac:dyDescent="0.3">
      <c r="B15" s="89">
        <v>2</v>
      </c>
      <c r="C15" s="21">
        <v>500</v>
      </c>
      <c r="D15" s="21">
        <v>-200</v>
      </c>
      <c r="E15" s="21" t="s">
        <v>326</v>
      </c>
      <c r="F15" s="88">
        <f t="shared" si="0"/>
        <v>0</v>
      </c>
      <c r="G15" s="88">
        <f t="shared" si="1"/>
        <v>0</v>
      </c>
      <c r="H15" s="22">
        <v>0</v>
      </c>
      <c r="I15" s="22">
        <v>-5000</v>
      </c>
      <c r="J15" s="205" t="s">
        <v>472</v>
      </c>
      <c r="K15" s="172"/>
      <c r="L15" s="172"/>
      <c r="M15" s="172"/>
      <c r="N15" s="172"/>
      <c r="O15" s="173"/>
      <c r="AA15" s="20">
        <f>IF(G31="","",G31)</f>
        <v>0</v>
      </c>
      <c r="AB15" s="20">
        <f>IF(H31="","",H31)</f>
        <v>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500</v>
      </c>
      <c r="D17" s="21">
        <v>400</v>
      </c>
      <c r="E17" s="21" t="s">
        <v>326</v>
      </c>
      <c r="F17" s="88">
        <f t="shared" si="0"/>
        <v>0</v>
      </c>
      <c r="G17" s="88">
        <f t="shared" si="1"/>
        <v>0</v>
      </c>
      <c r="H17" s="22">
        <v>0</v>
      </c>
      <c r="I17" s="22">
        <v>-7000</v>
      </c>
      <c r="J17" s="205" t="s">
        <v>473</v>
      </c>
      <c r="K17" s="172"/>
      <c r="L17" s="172"/>
      <c r="M17" s="172"/>
      <c r="N17" s="172"/>
      <c r="O17" s="173"/>
      <c r="AA17" s="20">
        <f>IF(E32="","",E32)</f>
        <v>500</v>
      </c>
      <c r="AB17" s="20">
        <f>IF(F32="","",F32)</f>
        <v>-200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-200</v>
      </c>
      <c r="I28" s="9">
        <f t="shared" ref="I28:I42" si="6">IF(G28="","",G28-E28)</f>
        <v>500</v>
      </c>
      <c r="J28" s="9">
        <f t="shared" ref="J28:J42" si="7">IF(H28="","",H28-F28)</f>
        <v>-200</v>
      </c>
      <c r="K28" s="9">
        <f t="shared" ref="K28:K42" si="8">IF(I28="","",SQRT(I28^2+J28^2))</f>
        <v>538.51648071345039</v>
      </c>
      <c r="L28" s="92">
        <f t="shared" ref="L28:L42" si="9">IF(K28="","",I28/K28)</f>
        <v>0.9284766908852593</v>
      </c>
      <c r="M28" s="92">
        <f t="shared" ref="M28:M42" si="10">IF(K28="","",J28/K28)</f>
        <v>-0.37139067635410372</v>
      </c>
      <c r="N28" s="22">
        <v>12</v>
      </c>
      <c r="O28" s="24">
        <v>2100000</v>
      </c>
    </row>
    <row r="29" spans="2:29" ht="19.05" customHeight="1" x14ac:dyDescent="0.3">
      <c r="B29" s="89">
        <v>2</v>
      </c>
      <c r="C29" s="23">
        <v>2</v>
      </c>
      <c r="D29" s="23">
        <v>3</v>
      </c>
      <c r="E29" s="5">
        <f t="shared" si="2"/>
        <v>500</v>
      </c>
      <c r="F29" s="5">
        <f t="shared" si="3"/>
        <v>-200</v>
      </c>
      <c r="G29" s="5">
        <f t="shared" si="4"/>
        <v>1000</v>
      </c>
      <c r="H29" s="5">
        <f t="shared" si="5"/>
        <v>0</v>
      </c>
      <c r="I29" s="9">
        <f t="shared" si="6"/>
        <v>500</v>
      </c>
      <c r="J29" s="9">
        <f t="shared" si="7"/>
        <v>200</v>
      </c>
      <c r="K29" s="9">
        <f t="shared" si="8"/>
        <v>538.51648071345039</v>
      </c>
      <c r="L29" s="92">
        <f t="shared" si="9"/>
        <v>0.9284766908852593</v>
      </c>
      <c r="M29" s="92">
        <f t="shared" si="10"/>
        <v>0.37139067635410372</v>
      </c>
      <c r="N29" s="22">
        <v>12</v>
      </c>
      <c r="O29" s="24">
        <v>2100000</v>
      </c>
      <c r="AA29" s="20" t="str">
        <f>IF(E36="","",E36)</f>
        <v/>
      </c>
      <c r="AB29" s="20" t="str">
        <f>IF(F36="","",F36)</f>
        <v/>
      </c>
      <c r="AC29" t="s">
        <v>353</v>
      </c>
    </row>
    <row r="30" spans="2:29" ht="19.05" customHeight="1" x14ac:dyDescent="0.3">
      <c r="B30" s="89">
        <v>3</v>
      </c>
      <c r="C30" s="23">
        <v>3</v>
      </c>
      <c r="D30" s="23">
        <v>4</v>
      </c>
      <c r="E30" s="5">
        <f t="shared" si="2"/>
        <v>1000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1</v>
      </c>
      <c r="E31" s="5">
        <f t="shared" si="2"/>
        <v>500</v>
      </c>
      <c r="F31" s="5">
        <f t="shared" si="3"/>
        <v>400</v>
      </c>
      <c r="G31" s="5">
        <f t="shared" si="4"/>
        <v>0</v>
      </c>
      <c r="H31" s="5">
        <f t="shared" si="5"/>
        <v>0</v>
      </c>
      <c r="I31" s="9">
        <f t="shared" si="6"/>
        <v>-500</v>
      </c>
      <c r="J31" s="9">
        <f t="shared" si="7"/>
        <v>-400</v>
      </c>
      <c r="K31" s="9">
        <f t="shared" si="8"/>
        <v>640.31242374328485</v>
      </c>
      <c r="L31" s="92">
        <f t="shared" si="9"/>
        <v>-0.78086880944303039</v>
      </c>
      <c r="M31" s="92">
        <f t="shared" si="10"/>
        <v>-0.62469504755442429</v>
      </c>
      <c r="N31" s="22">
        <v>12</v>
      </c>
      <c r="O31" s="24">
        <v>2100000</v>
      </c>
    </row>
    <row r="32" spans="2:29" ht="19.05" customHeight="1" x14ac:dyDescent="0.3">
      <c r="B32" s="89">
        <v>5</v>
      </c>
      <c r="C32" s="23">
        <v>2</v>
      </c>
      <c r="D32" s="23">
        <v>4</v>
      </c>
      <c r="E32" s="5">
        <f t="shared" si="2"/>
        <v>500</v>
      </c>
      <c r="F32" s="5">
        <f t="shared" si="3"/>
        <v>-200</v>
      </c>
      <c r="G32" s="5">
        <f t="shared" si="4"/>
        <v>500</v>
      </c>
      <c r="H32" s="5">
        <f t="shared" si="5"/>
        <v>400</v>
      </c>
      <c r="I32" s="9">
        <f t="shared" si="6"/>
        <v>0</v>
      </c>
      <c r="J32" s="9">
        <f t="shared" si="7"/>
        <v>600</v>
      </c>
      <c r="K32" s="9">
        <f t="shared" si="8"/>
        <v>600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1F00-000000000000}">
      <formula1>"Fijo (articulado),Rodillo Y (despl. X libre),Rodillo X (despl. Y libre),Libre (0 reac.)"</formula1>
    </dataValidation>
  </dataValidations>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474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GRAFICA_15!E28</f>
        <v>0</v>
      </c>
      <c r="D6" s="22">
        <f>GRAFICA_15!F28</f>
        <v>0</v>
      </c>
      <c r="E6" s="22">
        <f>GRAFICA_15!G28</f>
        <v>500</v>
      </c>
      <c r="F6" s="22">
        <f>GRAFICA_15!H28</f>
        <v>-200</v>
      </c>
      <c r="G6" s="9">
        <f t="shared" ref="G6:H10" si="0">E6-C6</f>
        <v>500</v>
      </c>
      <c r="H6" s="9">
        <f t="shared" si="0"/>
        <v>-200</v>
      </c>
      <c r="I6" s="9">
        <f>SQRT(G6*G6+H6*H6)</f>
        <v>538.51648071345039</v>
      </c>
      <c r="J6" s="92">
        <f>G6/I6</f>
        <v>0.9284766908852593</v>
      </c>
      <c r="K6" s="92">
        <f>H6/I6</f>
        <v>-0.37139067635410372</v>
      </c>
      <c r="L6" s="22">
        <f>GRAFICA_15!N28</f>
        <v>12</v>
      </c>
      <c r="M6" s="22">
        <f>GRAFICA_15!O28</f>
        <v>2100000</v>
      </c>
      <c r="N6" s="6">
        <f>L6*M6/I6</f>
        <v>46795.225220617067</v>
      </c>
    </row>
    <row r="7" spans="2:14" ht="19.05" customHeight="1" x14ac:dyDescent="0.3">
      <c r="B7" s="25">
        <v>2</v>
      </c>
      <c r="C7" s="22">
        <f>GRAFICA_15!E29</f>
        <v>500</v>
      </c>
      <c r="D7" s="22">
        <f>GRAFICA_15!F29</f>
        <v>-200</v>
      </c>
      <c r="E7" s="22">
        <f>GRAFICA_15!G29</f>
        <v>1000</v>
      </c>
      <c r="F7" s="22">
        <f>GRAFICA_15!H29</f>
        <v>0</v>
      </c>
      <c r="G7" s="9">
        <f t="shared" si="0"/>
        <v>500</v>
      </c>
      <c r="H7" s="9">
        <f t="shared" si="0"/>
        <v>200</v>
      </c>
      <c r="I7" s="9">
        <f>SQRT(G7*G7+H7*H7)</f>
        <v>538.51648071345039</v>
      </c>
      <c r="J7" s="92">
        <f>G7/I7</f>
        <v>0.9284766908852593</v>
      </c>
      <c r="K7" s="92">
        <f>H7/I7</f>
        <v>0.37139067635410372</v>
      </c>
      <c r="L7" s="22">
        <f>GRAFICA_15!N29</f>
        <v>12</v>
      </c>
      <c r="M7" s="22">
        <f>GRAFICA_15!O29</f>
        <v>2100000</v>
      </c>
      <c r="N7" s="6">
        <f>L7*M7/I7</f>
        <v>46795.225220617067</v>
      </c>
    </row>
    <row r="8" spans="2:14" ht="19.05" customHeight="1" x14ac:dyDescent="0.3">
      <c r="B8" s="26">
        <v>3</v>
      </c>
      <c r="C8" s="22">
        <f>GRAFICA_15!E30</f>
        <v>1000</v>
      </c>
      <c r="D8" s="22">
        <f>GRAFICA_15!F30</f>
        <v>0</v>
      </c>
      <c r="E8" s="22">
        <f>GRAFICA_15!G30</f>
        <v>500</v>
      </c>
      <c r="F8" s="22">
        <f>GRAFICA_15!H30</f>
        <v>400</v>
      </c>
      <c r="G8" s="9">
        <f t="shared" si="0"/>
        <v>-500</v>
      </c>
      <c r="H8" s="9">
        <f t="shared" si="0"/>
        <v>400</v>
      </c>
      <c r="I8" s="9">
        <f>SQRT(G8*G8+H8*H8)</f>
        <v>640.31242374328485</v>
      </c>
      <c r="J8" s="92">
        <f>G8/I8</f>
        <v>-0.78086880944303039</v>
      </c>
      <c r="K8" s="92">
        <f>H8/I8</f>
        <v>0.62469504755442429</v>
      </c>
      <c r="L8" s="22">
        <f>GRAFICA_15!N30</f>
        <v>12</v>
      </c>
      <c r="M8" s="22">
        <f>GRAFICA_15!O30</f>
        <v>2100000</v>
      </c>
      <c r="N8" s="6">
        <f>L8*M8/I8</f>
        <v>39355.787995928731</v>
      </c>
    </row>
    <row r="9" spans="2:14" ht="19.05" customHeight="1" x14ac:dyDescent="0.3">
      <c r="B9" s="43">
        <v>4</v>
      </c>
      <c r="C9" s="22">
        <f>GRAFICA_15!E31</f>
        <v>500</v>
      </c>
      <c r="D9" s="22">
        <f>GRAFICA_15!F31</f>
        <v>400</v>
      </c>
      <c r="E9" s="22">
        <f>GRAFICA_15!G31</f>
        <v>0</v>
      </c>
      <c r="F9" s="22">
        <f>GRAFICA_15!H31</f>
        <v>0</v>
      </c>
      <c r="G9" s="9">
        <f t="shared" si="0"/>
        <v>-500</v>
      </c>
      <c r="H9" s="9">
        <f t="shared" si="0"/>
        <v>-400</v>
      </c>
      <c r="I9" s="9">
        <f>SQRT(G9*G9+H9*H9)</f>
        <v>640.31242374328485</v>
      </c>
      <c r="J9" s="92">
        <f>G9/I9</f>
        <v>-0.78086880944303039</v>
      </c>
      <c r="K9" s="92">
        <f>H9/I9</f>
        <v>-0.62469504755442429</v>
      </c>
      <c r="L9" s="22">
        <f>GRAFICA_15!N31</f>
        <v>12</v>
      </c>
      <c r="M9" s="22">
        <f>GRAFICA_15!O31</f>
        <v>2100000</v>
      </c>
      <c r="N9" s="6">
        <f>L9*M9/I9</f>
        <v>39355.787995928731</v>
      </c>
    </row>
    <row r="10" spans="2:14" ht="19.05" customHeight="1" x14ac:dyDescent="0.3">
      <c r="B10" s="44">
        <v>5</v>
      </c>
      <c r="C10" s="22">
        <f>GRAFICA_15!E32</f>
        <v>500</v>
      </c>
      <c r="D10" s="22">
        <f>GRAFICA_15!F32</f>
        <v>-200</v>
      </c>
      <c r="E10" s="22">
        <f>GRAFICA_15!G32</f>
        <v>500</v>
      </c>
      <c r="F10" s="22">
        <f>GRAFICA_15!H32</f>
        <v>400</v>
      </c>
      <c r="G10" s="9">
        <f t="shared" si="0"/>
        <v>0</v>
      </c>
      <c r="H10" s="9">
        <f t="shared" si="0"/>
        <v>600</v>
      </c>
      <c r="I10" s="9">
        <f>SQRT(G10*G10+H10*H10)</f>
        <v>600</v>
      </c>
      <c r="J10" s="92">
        <f>G10/I10</f>
        <v>0</v>
      </c>
      <c r="K10" s="92">
        <f>H10/I10</f>
        <v>1</v>
      </c>
      <c r="L10" s="22">
        <f>GRAFICA_15!N32</f>
        <v>12</v>
      </c>
      <c r="M10" s="22">
        <f>GRAFICA_15!O32</f>
        <v>2100000</v>
      </c>
      <c r="N10" s="6">
        <f>L10*M10/I10</f>
        <v>42000</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GRAFICA_15!C28</f>
        <v>1</v>
      </c>
      <c r="D14" s="23">
        <f>GRAFICA_15!C28</f>
        <v>1</v>
      </c>
      <c r="E14" s="23">
        <f>GRAFICA_15!D28</f>
        <v>2</v>
      </c>
      <c r="F14" s="23">
        <f>GRAFICA_15!D28</f>
        <v>2</v>
      </c>
    </row>
    <row r="15" spans="2:14" ht="19.05" customHeight="1" x14ac:dyDescent="0.3">
      <c r="B15" s="25">
        <v>2</v>
      </c>
      <c r="C15" s="23">
        <f>GRAFICA_15!C29</f>
        <v>2</v>
      </c>
      <c r="D15" s="23">
        <f>GRAFICA_15!C29</f>
        <v>2</v>
      </c>
      <c r="E15" s="23">
        <f>GRAFICA_15!D29</f>
        <v>3</v>
      </c>
      <c r="F15" s="23">
        <f>GRAFICA_15!D29</f>
        <v>3</v>
      </c>
    </row>
    <row r="16" spans="2:14" ht="19.05" customHeight="1" x14ac:dyDescent="0.3">
      <c r="B16" s="26">
        <v>3</v>
      </c>
      <c r="C16" s="23">
        <f>GRAFICA_15!C30</f>
        <v>3</v>
      </c>
      <c r="D16" s="23">
        <f>GRAFICA_15!C30</f>
        <v>3</v>
      </c>
      <c r="E16" s="23">
        <f>GRAFICA_15!D30</f>
        <v>4</v>
      </c>
      <c r="F16" s="23">
        <f>GRAFICA_15!D30</f>
        <v>4</v>
      </c>
    </row>
    <row r="17" spans="1:10" ht="19.05" customHeight="1" x14ac:dyDescent="0.3">
      <c r="B17" s="43">
        <v>4</v>
      </c>
      <c r="C17" s="23">
        <f>GRAFICA_15!C31</f>
        <v>4</v>
      </c>
      <c r="D17" s="23">
        <f>GRAFICA_15!C31</f>
        <v>4</v>
      </c>
      <c r="E17" s="23">
        <f>GRAFICA_15!D31</f>
        <v>1</v>
      </c>
      <c r="F17" s="23">
        <f>GRAFICA_15!D31</f>
        <v>1</v>
      </c>
    </row>
    <row r="18" spans="1:10" ht="19.05" customHeight="1" x14ac:dyDescent="0.3">
      <c r="B18" s="44">
        <v>5</v>
      </c>
      <c r="C18" s="23">
        <f>GRAFICA_15!C32</f>
        <v>2</v>
      </c>
      <c r="D18" s="23">
        <f>GRAFICA_15!C32</f>
        <v>2</v>
      </c>
      <c r="E18" s="23">
        <f>GRAFICA_15!D32</f>
        <v>4</v>
      </c>
      <c r="F18" s="23">
        <f>GRAFICA_15!D32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40340.711397083673</v>
      </c>
      <c r="C22" s="7">
        <f>J6*K6*N6</f>
        <v>-16136.284558833469</v>
      </c>
      <c r="D22" s="7">
        <f>-B22</f>
        <v>-40340.711397083673</v>
      </c>
      <c r="E22" s="7">
        <f>-C22</f>
        <v>16136.284558833469</v>
      </c>
      <c r="F22" s="27" t="str">
        <f>B21</f>
        <v>U1X</v>
      </c>
    </row>
    <row r="23" spans="1:10" ht="16.8" customHeight="1" x14ac:dyDescent="0.3">
      <c r="A23" s="28" t="s">
        <v>177</v>
      </c>
      <c r="B23" s="7">
        <f>C22</f>
        <v>-16136.284558833469</v>
      </c>
      <c r="C23" s="7">
        <f>K6*K6*N6</f>
        <v>6454.5138235333889</v>
      </c>
      <c r="D23" s="7">
        <f>-B23</f>
        <v>16136.284558833469</v>
      </c>
      <c r="E23" s="7">
        <f>-C23</f>
        <v>-6454.5138235333889</v>
      </c>
      <c r="F23" s="27" t="str">
        <f>C21</f>
        <v>U1Y</v>
      </c>
    </row>
    <row r="24" spans="1:10" x14ac:dyDescent="0.3">
      <c r="B24" s="7">
        <f>D22</f>
        <v>-40340.711397083673</v>
      </c>
      <c r="C24" s="7">
        <f>E22</f>
        <v>16136.284558833469</v>
      </c>
      <c r="D24" s="7">
        <f>B22</f>
        <v>40340.711397083673</v>
      </c>
      <c r="E24" s="7">
        <f>C22</f>
        <v>-16136.284558833469</v>
      </c>
      <c r="F24" s="27" t="str">
        <f>D21</f>
        <v>U2X</v>
      </c>
    </row>
    <row r="25" spans="1:10" x14ac:dyDescent="0.3">
      <c r="B25" s="7">
        <f>D23</f>
        <v>16136.284558833469</v>
      </c>
      <c r="C25" s="7">
        <f>E23</f>
        <v>-6454.5138235333889</v>
      </c>
      <c r="D25" s="7">
        <f>B23</f>
        <v>-16136.284558833469</v>
      </c>
      <c r="E25" s="7">
        <f>C23</f>
        <v>6454.5138235333889</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40340.711397083673</v>
      </c>
      <c r="C28" s="8">
        <f t="shared" si="1"/>
        <v>-16136.284558833469</v>
      </c>
      <c r="D28" s="8">
        <f t="shared" si="1"/>
        <v>-40340.711397083673</v>
      </c>
      <c r="E28" s="8">
        <f t="shared" si="1"/>
        <v>16136.284558833469</v>
      </c>
      <c r="F28" s="9">
        <f t="shared" si="1"/>
        <v>0</v>
      </c>
      <c r="G28" s="9">
        <f t="shared" si="1"/>
        <v>0</v>
      </c>
      <c r="H28" s="9">
        <f t="shared" si="1"/>
        <v>0</v>
      </c>
      <c r="I28" s="9">
        <f t="shared" si="1"/>
        <v>0</v>
      </c>
      <c r="J28" s="27" t="s">
        <v>178</v>
      </c>
    </row>
    <row r="29" spans="1:10" ht="19.05" customHeight="1" x14ac:dyDescent="0.3">
      <c r="B29" s="8">
        <f t="shared" si="1"/>
        <v>-16136.284558833469</v>
      </c>
      <c r="C29" s="8">
        <f t="shared" si="1"/>
        <v>6454.5138235333889</v>
      </c>
      <c r="D29" s="8">
        <f t="shared" si="1"/>
        <v>16136.284558833469</v>
      </c>
      <c r="E29" s="8">
        <f t="shared" si="1"/>
        <v>-6454.5138235333889</v>
      </c>
      <c r="F29" s="9">
        <f t="shared" si="1"/>
        <v>0</v>
      </c>
      <c r="G29" s="9">
        <f t="shared" si="1"/>
        <v>0</v>
      </c>
      <c r="H29" s="9">
        <f t="shared" si="1"/>
        <v>0</v>
      </c>
      <c r="I29" s="9">
        <f t="shared" si="1"/>
        <v>0</v>
      </c>
      <c r="J29" s="27" t="s">
        <v>179</v>
      </c>
    </row>
    <row r="30" spans="1:10" ht="19.05" customHeight="1" x14ac:dyDescent="0.3">
      <c r="B30" s="8">
        <f t="shared" si="1"/>
        <v>-40340.711397083673</v>
      </c>
      <c r="C30" s="8">
        <f t="shared" si="1"/>
        <v>16136.284558833469</v>
      </c>
      <c r="D30" s="8">
        <f t="shared" si="1"/>
        <v>40340.711397083673</v>
      </c>
      <c r="E30" s="8">
        <f t="shared" si="1"/>
        <v>-16136.284558833469</v>
      </c>
      <c r="F30" s="9">
        <f t="shared" si="1"/>
        <v>0</v>
      </c>
      <c r="G30" s="9">
        <f t="shared" si="1"/>
        <v>0</v>
      </c>
      <c r="H30" s="9">
        <f t="shared" si="1"/>
        <v>0</v>
      </c>
      <c r="I30" s="9">
        <f t="shared" si="1"/>
        <v>0</v>
      </c>
      <c r="J30" s="27" t="s">
        <v>180</v>
      </c>
    </row>
    <row r="31" spans="1:10" ht="19.05" customHeight="1" x14ac:dyDescent="0.3">
      <c r="A31" s="28" t="s">
        <v>190</v>
      </c>
      <c r="B31" s="8">
        <f t="shared" si="1"/>
        <v>16136.284558833469</v>
      </c>
      <c r="C31" s="8">
        <f t="shared" si="1"/>
        <v>-6454.5138235333889</v>
      </c>
      <c r="D31" s="8">
        <f t="shared" si="1"/>
        <v>-16136.284558833469</v>
      </c>
      <c r="E31" s="8">
        <f t="shared" si="1"/>
        <v>6454.5138235333889</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40340.711397083673</v>
      </c>
      <c r="C39" s="30">
        <f>J7*K7*N7</f>
        <v>16136.284558833469</v>
      </c>
      <c r="D39" s="30">
        <f>-B39</f>
        <v>-40340.711397083673</v>
      </c>
      <c r="E39" s="30">
        <f>-C39</f>
        <v>-16136.284558833469</v>
      </c>
      <c r="F39" s="29" t="str">
        <f>B38</f>
        <v>U2X</v>
      </c>
    </row>
    <row r="40" spans="1:10" ht="16.8" customHeight="1" x14ac:dyDescent="0.3">
      <c r="A40" s="28" t="s">
        <v>191</v>
      </c>
      <c r="B40" s="30">
        <f>C39</f>
        <v>16136.284558833469</v>
      </c>
      <c r="C40" s="30">
        <f>K7*K7*N7</f>
        <v>6454.5138235333889</v>
      </c>
      <c r="D40" s="30">
        <f>-B40</f>
        <v>-16136.284558833469</v>
      </c>
      <c r="E40" s="30">
        <f>-C40</f>
        <v>-6454.5138235333889</v>
      </c>
      <c r="F40" s="29" t="str">
        <f>C38</f>
        <v>U2Y</v>
      </c>
    </row>
    <row r="41" spans="1:10" x14ac:dyDescent="0.3">
      <c r="B41" s="30">
        <f>D39</f>
        <v>-40340.711397083673</v>
      </c>
      <c r="C41" s="30">
        <f>E39</f>
        <v>-16136.284558833469</v>
      </c>
      <c r="D41" s="30">
        <f>B39</f>
        <v>40340.711397083673</v>
      </c>
      <c r="E41" s="30">
        <f>C39</f>
        <v>16136.284558833469</v>
      </c>
      <c r="F41" s="29" t="str">
        <f>D38</f>
        <v>U3X</v>
      </c>
    </row>
    <row r="42" spans="1:10" x14ac:dyDescent="0.3">
      <c r="B42" s="30">
        <f>D40</f>
        <v>-16136.284558833469</v>
      </c>
      <c r="C42" s="30">
        <f>E40</f>
        <v>-6454.5138235333889</v>
      </c>
      <c r="D42" s="30">
        <f>B40</f>
        <v>16136.284558833469</v>
      </c>
      <c r="E42" s="30">
        <f>C40</f>
        <v>6454.5138235333889</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40340.711397083673</v>
      </c>
      <c r="E47" s="31">
        <f t="shared" si="2"/>
        <v>16136.284558833469</v>
      </c>
      <c r="F47" s="31">
        <f t="shared" si="2"/>
        <v>-40340.711397083673</v>
      </c>
      <c r="G47" s="31">
        <f t="shared" si="2"/>
        <v>-16136.284558833469</v>
      </c>
      <c r="H47" s="9">
        <f t="shared" si="2"/>
        <v>0</v>
      </c>
      <c r="I47" s="9">
        <f t="shared" si="2"/>
        <v>0</v>
      </c>
      <c r="J47" s="29" t="s">
        <v>180</v>
      </c>
    </row>
    <row r="48" spans="1:10" ht="19.05" customHeight="1" x14ac:dyDescent="0.3">
      <c r="A48" s="28" t="s">
        <v>192</v>
      </c>
      <c r="B48" s="9">
        <f t="shared" si="2"/>
        <v>0</v>
      </c>
      <c r="C48" s="9">
        <f t="shared" si="2"/>
        <v>0</v>
      </c>
      <c r="D48" s="31">
        <f t="shared" si="2"/>
        <v>16136.284558833469</v>
      </c>
      <c r="E48" s="31">
        <f t="shared" si="2"/>
        <v>6454.5138235333889</v>
      </c>
      <c r="F48" s="31">
        <f t="shared" si="2"/>
        <v>-16136.284558833469</v>
      </c>
      <c r="G48" s="31">
        <f t="shared" si="2"/>
        <v>-6454.5138235333889</v>
      </c>
      <c r="H48" s="9">
        <f t="shared" si="2"/>
        <v>0</v>
      </c>
      <c r="I48" s="9">
        <f t="shared" si="2"/>
        <v>0</v>
      </c>
      <c r="J48" s="29" t="s">
        <v>181</v>
      </c>
    </row>
    <row r="49" spans="1:10" ht="19.05" customHeight="1" x14ac:dyDescent="0.3">
      <c r="B49" s="9">
        <f t="shared" si="2"/>
        <v>0</v>
      </c>
      <c r="C49" s="9">
        <f t="shared" si="2"/>
        <v>0</v>
      </c>
      <c r="D49" s="31">
        <f t="shared" si="2"/>
        <v>-40340.711397083673</v>
      </c>
      <c r="E49" s="31">
        <f t="shared" si="2"/>
        <v>-16136.284558833469</v>
      </c>
      <c r="F49" s="31">
        <f t="shared" si="2"/>
        <v>40340.711397083673</v>
      </c>
      <c r="G49" s="31">
        <f t="shared" si="2"/>
        <v>16136.284558833469</v>
      </c>
      <c r="H49" s="9">
        <f t="shared" si="2"/>
        <v>0</v>
      </c>
      <c r="I49" s="9">
        <f t="shared" si="2"/>
        <v>0</v>
      </c>
      <c r="J49" s="29" t="s">
        <v>182</v>
      </c>
    </row>
    <row r="50" spans="1:10" ht="19.05" customHeight="1" x14ac:dyDescent="0.3">
      <c r="B50" s="9">
        <f t="shared" si="2"/>
        <v>0</v>
      </c>
      <c r="C50" s="9">
        <f t="shared" si="2"/>
        <v>0</v>
      </c>
      <c r="D50" s="31">
        <f t="shared" si="2"/>
        <v>-16136.284558833469</v>
      </c>
      <c r="E50" s="31">
        <f t="shared" si="2"/>
        <v>-6454.5138235333889</v>
      </c>
      <c r="F50" s="31">
        <f t="shared" si="2"/>
        <v>16136.284558833469</v>
      </c>
      <c r="G50" s="31">
        <f t="shared" si="2"/>
        <v>6454.5138235333889</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23997.431704834595</v>
      </c>
      <c r="C56" s="33">
        <f>J8*K8*N8</f>
        <v>-19197.945363867675</v>
      </c>
      <c r="D56" s="33">
        <f>-B56</f>
        <v>-23997.431704834595</v>
      </c>
      <c r="E56" s="33">
        <f>-C56</f>
        <v>19197.945363867675</v>
      </c>
      <c r="F56" s="32" t="str">
        <f>B55</f>
        <v>U3X</v>
      </c>
    </row>
    <row r="57" spans="1:10" ht="16.8" customHeight="1" x14ac:dyDescent="0.3">
      <c r="A57" s="28" t="s">
        <v>193</v>
      </c>
      <c r="B57" s="33">
        <f>C56</f>
        <v>-19197.945363867675</v>
      </c>
      <c r="C57" s="33">
        <f>K8*K8*N8</f>
        <v>15358.35629109414</v>
      </c>
      <c r="D57" s="33">
        <f>-B57</f>
        <v>19197.945363867675</v>
      </c>
      <c r="E57" s="33">
        <f>-C57</f>
        <v>-15358.35629109414</v>
      </c>
      <c r="F57" s="32" t="str">
        <f>C55</f>
        <v>U3Y</v>
      </c>
    </row>
    <row r="58" spans="1:10" x14ac:dyDescent="0.3">
      <c r="B58" s="33">
        <f>D56</f>
        <v>-23997.431704834595</v>
      </c>
      <c r="C58" s="33">
        <f>E56</f>
        <v>19197.945363867675</v>
      </c>
      <c r="D58" s="33">
        <f>B56</f>
        <v>23997.431704834595</v>
      </c>
      <c r="E58" s="33">
        <f>C56</f>
        <v>-19197.945363867675</v>
      </c>
      <c r="F58" s="32" t="str">
        <f>D55</f>
        <v>U4X</v>
      </c>
    </row>
    <row r="59" spans="1:10" x14ac:dyDescent="0.3">
      <c r="B59" s="33">
        <f>D57</f>
        <v>19197.945363867675</v>
      </c>
      <c r="C59" s="33">
        <f>E57</f>
        <v>-15358.35629109414</v>
      </c>
      <c r="D59" s="33">
        <f>B57</f>
        <v>-19197.945363867675</v>
      </c>
      <c r="E59" s="33">
        <f>C57</f>
        <v>15358.35629109414</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23997.431704834595</v>
      </c>
      <c r="G66" s="34">
        <f t="shared" si="3"/>
        <v>-19197.945363867675</v>
      </c>
      <c r="H66" s="34">
        <f t="shared" si="3"/>
        <v>-23997.431704834595</v>
      </c>
      <c r="I66" s="34">
        <f t="shared" si="3"/>
        <v>19197.945363867675</v>
      </c>
      <c r="J66" s="32" t="s">
        <v>182</v>
      </c>
    </row>
    <row r="67" spans="1:10" ht="19.05" customHeight="1" x14ac:dyDescent="0.3">
      <c r="B67" s="9">
        <f t="shared" si="3"/>
        <v>0</v>
      </c>
      <c r="C67" s="9">
        <f t="shared" si="3"/>
        <v>0</v>
      </c>
      <c r="D67" s="9">
        <f t="shared" si="3"/>
        <v>0</v>
      </c>
      <c r="E67" s="9">
        <f t="shared" si="3"/>
        <v>0</v>
      </c>
      <c r="F67" s="34">
        <f t="shared" si="3"/>
        <v>-19197.945363867675</v>
      </c>
      <c r="G67" s="34">
        <f t="shared" si="3"/>
        <v>15358.35629109414</v>
      </c>
      <c r="H67" s="34">
        <f t="shared" si="3"/>
        <v>19197.945363867675</v>
      </c>
      <c r="I67" s="34">
        <f t="shared" si="3"/>
        <v>-15358.35629109414</v>
      </c>
      <c r="J67" s="32" t="s">
        <v>183</v>
      </c>
    </row>
    <row r="68" spans="1:10" ht="19.05" customHeight="1" x14ac:dyDescent="0.3">
      <c r="B68" s="9">
        <f t="shared" si="3"/>
        <v>0</v>
      </c>
      <c r="C68" s="9">
        <f t="shared" si="3"/>
        <v>0</v>
      </c>
      <c r="D68" s="9">
        <f t="shared" si="3"/>
        <v>0</v>
      </c>
      <c r="E68" s="9">
        <f t="shared" si="3"/>
        <v>0</v>
      </c>
      <c r="F68" s="34">
        <f t="shared" si="3"/>
        <v>-23997.431704834595</v>
      </c>
      <c r="G68" s="34">
        <f t="shared" si="3"/>
        <v>19197.945363867675</v>
      </c>
      <c r="H68" s="34">
        <f t="shared" si="3"/>
        <v>23997.431704834595</v>
      </c>
      <c r="I68" s="34">
        <f t="shared" si="3"/>
        <v>-19197.945363867675</v>
      </c>
      <c r="J68" s="32" t="s">
        <v>184</v>
      </c>
    </row>
    <row r="69" spans="1:10" ht="19.05" customHeight="1" x14ac:dyDescent="0.3">
      <c r="B69" s="9">
        <f t="shared" si="3"/>
        <v>0</v>
      </c>
      <c r="C69" s="9">
        <f t="shared" si="3"/>
        <v>0</v>
      </c>
      <c r="D69" s="9">
        <f t="shared" si="3"/>
        <v>0</v>
      </c>
      <c r="E69" s="9">
        <f t="shared" si="3"/>
        <v>0</v>
      </c>
      <c r="F69" s="34">
        <f t="shared" si="3"/>
        <v>19197.945363867675</v>
      </c>
      <c r="G69" s="34">
        <f t="shared" si="3"/>
        <v>-15358.35629109414</v>
      </c>
      <c r="H69" s="34">
        <f t="shared" si="3"/>
        <v>-19197.945363867675</v>
      </c>
      <c r="I69" s="34">
        <f t="shared" si="3"/>
        <v>15358.35629109414</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23997.431704834595</v>
      </c>
      <c r="C73" s="46">
        <f>J9*K9*N9</f>
        <v>19197.945363867675</v>
      </c>
      <c r="D73" s="46">
        <f>-B73</f>
        <v>-23997.431704834595</v>
      </c>
      <c r="E73" s="46">
        <f>-C73</f>
        <v>-19197.945363867675</v>
      </c>
      <c r="F73" s="45" t="str">
        <f>B72</f>
        <v>U4X</v>
      </c>
    </row>
    <row r="74" spans="1:10" ht="16.8" customHeight="1" x14ac:dyDescent="0.3">
      <c r="A74" s="28" t="s">
        <v>195</v>
      </c>
      <c r="B74" s="46">
        <f>C73</f>
        <v>19197.945363867675</v>
      </c>
      <c r="C74" s="46">
        <f>K9*K9*N9</f>
        <v>15358.35629109414</v>
      </c>
      <c r="D74" s="46">
        <f>-B74</f>
        <v>-19197.945363867675</v>
      </c>
      <c r="E74" s="46">
        <f>-C74</f>
        <v>-15358.35629109414</v>
      </c>
      <c r="F74" s="45" t="str">
        <f>C72</f>
        <v>U4Y</v>
      </c>
    </row>
    <row r="75" spans="1:10" x14ac:dyDescent="0.3">
      <c r="B75" s="46">
        <f>D73</f>
        <v>-23997.431704834595</v>
      </c>
      <c r="C75" s="46">
        <f>E73</f>
        <v>-19197.945363867675</v>
      </c>
      <c r="D75" s="46">
        <f>B73</f>
        <v>23997.431704834595</v>
      </c>
      <c r="E75" s="46">
        <f>C73</f>
        <v>19197.945363867675</v>
      </c>
      <c r="F75" s="45" t="str">
        <f>D72</f>
        <v>U1X</v>
      </c>
    </row>
    <row r="76" spans="1:10" x14ac:dyDescent="0.3">
      <c r="B76" s="46">
        <f>D74</f>
        <v>-19197.945363867675</v>
      </c>
      <c r="C76" s="46">
        <f>E74</f>
        <v>-15358.35629109414</v>
      </c>
      <c r="D76" s="46">
        <f>B74</f>
        <v>19197.945363867675</v>
      </c>
      <c r="E76" s="46">
        <f>C74</f>
        <v>15358.35629109414</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23997.431704834595</v>
      </c>
      <c r="C79" s="47">
        <f t="shared" si="4"/>
        <v>19197.945363867675</v>
      </c>
      <c r="D79" s="9">
        <f t="shared" si="4"/>
        <v>0</v>
      </c>
      <c r="E79" s="9">
        <f t="shared" si="4"/>
        <v>0</v>
      </c>
      <c r="F79" s="9">
        <f t="shared" si="4"/>
        <v>0</v>
      </c>
      <c r="G79" s="9">
        <f t="shared" si="4"/>
        <v>0</v>
      </c>
      <c r="H79" s="47">
        <f t="shared" si="4"/>
        <v>-23997.431704834595</v>
      </c>
      <c r="I79" s="47">
        <f t="shared" si="4"/>
        <v>-19197.945363867675</v>
      </c>
      <c r="J79" s="45" t="s">
        <v>178</v>
      </c>
    </row>
    <row r="80" spans="1:10" ht="19.05" customHeight="1" x14ac:dyDescent="0.3">
      <c r="B80" s="47">
        <f t="shared" si="4"/>
        <v>19197.945363867675</v>
      </c>
      <c r="C80" s="47">
        <f t="shared" si="4"/>
        <v>15358.35629109414</v>
      </c>
      <c r="D80" s="9">
        <f t="shared" si="4"/>
        <v>0</v>
      </c>
      <c r="E80" s="9">
        <f t="shared" si="4"/>
        <v>0</v>
      </c>
      <c r="F80" s="9">
        <f t="shared" si="4"/>
        <v>0</v>
      </c>
      <c r="G80" s="9">
        <f t="shared" si="4"/>
        <v>0</v>
      </c>
      <c r="H80" s="47">
        <f t="shared" si="4"/>
        <v>-19197.945363867675</v>
      </c>
      <c r="I80" s="47">
        <f t="shared" si="4"/>
        <v>-15358.35629109414</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-23997.431704834595</v>
      </c>
      <c r="C85" s="47">
        <f t="shared" si="4"/>
        <v>-19197.945363867675</v>
      </c>
      <c r="D85" s="9">
        <f t="shared" si="4"/>
        <v>0</v>
      </c>
      <c r="E85" s="9">
        <f t="shared" si="4"/>
        <v>0</v>
      </c>
      <c r="F85" s="9">
        <f t="shared" si="4"/>
        <v>0</v>
      </c>
      <c r="G85" s="9">
        <f t="shared" si="4"/>
        <v>0</v>
      </c>
      <c r="H85" s="47">
        <f t="shared" si="4"/>
        <v>23997.431704834595</v>
      </c>
      <c r="I85" s="47">
        <f t="shared" si="4"/>
        <v>19197.945363867675</v>
      </c>
      <c r="J85" s="45" t="s">
        <v>184</v>
      </c>
    </row>
    <row r="86" spans="1:10" ht="19.05" customHeight="1" x14ac:dyDescent="0.3">
      <c r="B86" s="47">
        <f t="shared" si="4"/>
        <v>-19197.945363867675</v>
      </c>
      <c r="C86" s="47">
        <f t="shared" si="4"/>
        <v>-15358.35629109414</v>
      </c>
      <c r="D86" s="9">
        <f t="shared" si="4"/>
        <v>0</v>
      </c>
      <c r="E86" s="9">
        <f t="shared" si="4"/>
        <v>0</v>
      </c>
      <c r="F86" s="9">
        <f t="shared" si="4"/>
        <v>0</v>
      </c>
      <c r="G86" s="9">
        <f t="shared" si="4"/>
        <v>0</v>
      </c>
      <c r="H86" s="47">
        <f t="shared" si="4"/>
        <v>19197.945363867675</v>
      </c>
      <c r="I86" s="47">
        <f t="shared" si="4"/>
        <v>15358.35629109414</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42000</v>
      </c>
      <c r="D91" s="49">
        <f>-B91</f>
        <v>0</v>
      </c>
      <c r="E91" s="49">
        <f>-C91</f>
        <v>-42000</v>
      </c>
      <c r="F91" s="48" t="str">
        <f>C89</f>
        <v>U2Y</v>
      </c>
    </row>
    <row r="92" spans="1:10" x14ac:dyDescent="0.3">
      <c r="B92" s="49">
        <f>D90</f>
        <v>0</v>
      </c>
      <c r="C92" s="49">
        <f>E90</f>
        <v>0</v>
      </c>
      <c r="D92" s="49">
        <f>B90</f>
        <v>0</v>
      </c>
      <c r="E92" s="49">
        <f>C90</f>
        <v>0</v>
      </c>
      <c r="F92" s="48" t="str">
        <f>D89</f>
        <v>U4X</v>
      </c>
    </row>
    <row r="93" spans="1:10" x14ac:dyDescent="0.3">
      <c r="B93" s="49">
        <f>D91</f>
        <v>0</v>
      </c>
      <c r="C93" s="49">
        <f>E91</f>
        <v>-42000</v>
      </c>
      <c r="D93" s="49">
        <f>B91</f>
        <v>0</v>
      </c>
      <c r="E93" s="49">
        <f>C91</f>
        <v>42000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42000</v>
      </c>
      <c r="F99" s="9">
        <f t="shared" si="5"/>
        <v>0</v>
      </c>
      <c r="G99" s="9">
        <f t="shared" si="5"/>
        <v>0</v>
      </c>
      <c r="H99" s="50">
        <f t="shared" si="5"/>
        <v>0</v>
      </c>
      <c r="I99" s="50">
        <f t="shared" si="5"/>
        <v>-42000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-42000</v>
      </c>
      <c r="F103" s="9">
        <f t="shared" si="5"/>
        <v>0</v>
      </c>
      <c r="G103" s="9">
        <f t="shared" si="5"/>
        <v>0</v>
      </c>
      <c r="H103" s="50">
        <f t="shared" si="5"/>
        <v>0</v>
      </c>
      <c r="I103" s="50">
        <f t="shared" si="5"/>
        <v>42000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64338.143101918264</v>
      </c>
      <c r="C107" s="36">
        <f t="shared" si="6"/>
        <v>3061.6608050342056</v>
      </c>
      <c r="D107" s="9">
        <f t="shared" si="6"/>
        <v>-40340.711397083673</v>
      </c>
      <c r="E107" s="9">
        <f t="shared" si="6"/>
        <v>16136.284558833469</v>
      </c>
      <c r="F107" s="9">
        <f t="shared" si="6"/>
        <v>0</v>
      </c>
      <c r="G107" s="9">
        <f t="shared" si="6"/>
        <v>0</v>
      </c>
      <c r="H107" s="9">
        <f t="shared" si="6"/>
        <v>-23997.431704834595</v>
      </c>
      <c r="I107" s="9">
        <f t="shared" si="6"/>
        <v>-19197.945363867675</v>
      </c>
      <c r="J107" s="89" t="s">
        <v>178</v>
      </c>
    </row>
    <row r="108" spans="1:10" ht="19.95" customHeight="1" x14ac:dyDescent="0.3">
      <c r="B108" s="36">
        <f t="shared" si="6"/>
        <v>3061.6608050342056</v>
      </c>
      <c r="C108" s="35">
        <f t="shared" si="6"/>
        <v>21812.870114627527</v>
      </c>
      <c r="D108" s="9">
        <f t="shared" si="6"/>
        <v>16136.284558833469</v>
      </c>
      <c r="E108" s="9">
        <f t="shared" si="6"/>
        <v>-6454.5138235333889</v>
      </c>
      <c r="F108" s="9">
        <f t="shared" si="6"/>
        <v>0</v>
      </c>
      <c r="G108" s="9">
        <f t="shared" si="6"/>
        <v>0</v>
      </c>
      <c r="H108" s="9">
        <f t="shared" si="6"/>
        <v>-19197.945363867675</v>
      </c>
      <c r="I108" s="9">
        <f t="shared" si="6"/>
        <v>-15358.35629109414</v>
      </c>
      <c r="J108" s="89" t="s">
        <v>179</v>
      </c>
    </row>
    <row r="109" spans="1:10" ht="19.95" customHeight="1" x14ac:dyDescent="0.3">
      <c r="B109" s="9">
        <f t="shared" si="6"/>
        <v>-40340.711397083673</v>
      </c>
      <c r="C109" s="9">
        <f t="shared" si="6"/>
        <v>16136.284558833469</v>
      </c>
      <c r="D109" s="35">
        <f t="shared" si="6"/>
        <v>80681.422794167345</v>
      </c>
      <c r="E109" s="36">
        <f t="shared" si="6"/>
        <v>0</v>
      </c>
      <c r="F109" s="9">
        <f t="shared" si="6"/>
        <v>-40340.711397083673</v>
      </c>
      <c r="G109" s="9">
        <f t="shared" si="6"/>
        <v>-16136.284558833469</v>
      </c>
      <c r="H109" s="9">
        <f t="shared" si="6"/>
        <v>0</v>
      </c>
      <c r="I109" s="9">
        <f t="shared" si="6"/>
        <v>0</v>
      </c>
      <c r="J109" s="89" t="s">
        <v>180</v>
      </c>
    </row>
    <row r="110" spans="1:10" ht="19.95" customHeight="1" x14ac:dyDescent="0.3">
      <c r="A110" s="28" t="s">
        <v>205</v>
      </c>
      <c r="B110" s="9">
        <f t="shared" si="6"/>
        <v>16136.284558833469</v>
      </c>
      <c r="C110" s="9">
        <f t="shared" si="6"/>
        <v>-6454.5138235333889</v>
      </c>
      <c r="D110" s="36">
        <f t="shared" si="6"/>
        <v>0</v>
      </c>
      <c r="E110" s="35">
        <f t="shared" si="6"/>
        <v>54909.027647066774</v>
      </c>
      <c r="F110" s="9">
        <f t="shared" si="6"/>
        <v>-16136.284558833469</v>
      </c>
      <c r="G110" s="9">
        <f t="shared" si="6"/>
        <v>-6454.5138235333889</v>
      </c>
      <c r="H110" s="9">
        <f t="shared" si="6"/>
        <v>0</v>
      </c>
      <c r="I110" s="9">
        <f t="shared" si="6"/>
        <v>-42000</v>
      </c>
      <c r="J110" s="89" t="s">
        <v>181</v>
      </c>
    </row>
    <row r="111" spans="1:10" ht="19.95" customHeight="1" x14ac:dyDescent="0.3">
      <c r="B111" s="9">
        <f t="shared" si="6"/>
        <v>0</v>
      </c>
      <c r="C111" s="9">
        <f t="shared" si="6"/>
        <v>0</v>
      </c>
      <c r="D111" s="9">
        <f t="shared" si="6"/>
        <v>-40340.711397083673</v>
      </c>
      <c r="E111" s="9">
        <f t="shared" si="6"/>
        <v>-16136.284558833469</v>
      </c>
      <c r="F111" s="35">
        <f t="shared" si="6"/>
        <v>64338.143101918264</v>
      </c>
      <c r="G111" s="36">
        <f t="shared" si="6"/>
        <v>-3061.6608050342056</v>
      </c>
      <c r="H111" s="9">
        <f t="shared" si="6"/>
        <v>-23997.431704834595</v>
      </c>
      <c r="I111" s="9">
        <f t="shared" si="6"/>
        <v>19197.945363867675</v>
      </c>
      <c r="J111" s="89" t="s">
        <v>182</v>
      </c>
    </row>
    <row r="112" spans="1:10" ht="19.95" customHeight="1" x14ac:dyDescent="0.3">
      <c r="B112" s="9">
        <f t="shared" si="6"/>
        <v>0</v>
      </c>
      <c r="C112" s="9">
        <f t="shared" si="6"/>
        <v>0</v>
      </c>
      <c r="D112" s="9">
        <f t="shared" si="6"/>
        <v>-16136.284558833469</v>
      </c>
      <c r="E112" s="9">
        <f t="shared" si="6"/>
        <v>-6454.5138235333889</v>
      </c>
      <c r="F112" s="36">
        <f t="shared" si="6"/>
        <v>-3061.6608050342056</v>
      </c>
      <c r="G112" s="35">
        <f t="shared" si="6"/>
        <v>21812.870114627527</v>
      </c>
      <c r="H112" s="9">
        <f t="shared" si="6"/>
        <v>19197.945363867675</v>
      </c>
      <c r="I112" s="9">
        <f t="shared" si="6"/>
        <v>-15358.35629109414</v>
      </c>
      <c r="J112" s="89" t="s">
        <v>183</v>
      </c>
    </row>
    <row r="113" spans="1:17" ht="19.95" customHeight="1" x14ac:dyDescent="0.3">
      <c r="B113" s="9">
        <f t="shared" si="6"/>
        <v>-23997.431704834595</v>
      </c>
      <c r="C113" s="9">
        <f t="shared" si="6"/>
        <v>-19197.945363867675</v>
      </c>
      <c r="D113" s="9">
        <f t="shared" si="6"/>
        <v>0</v>
      </c>
      <c r="E113" s="9">
        <f t="shared" si="6"/>
        <v>0</v>
      </c>
      <c r="F113" s="9">
        <f t="shared" si="6"/>
        <v>-23997.431704834595</v>
      </c>
      <c r="G113" s="9">
        <f t="shared" si="6"/>
        <v>19197.945363867675</v>
      </c>
      <c r="H113" s="35">
        <f t="shared" si="6"/>
        <v>47994.863409669189</v>
      </c>
      <c r="I113" s="36">
        <f t="shared" si="6"/>
        <v>0</v>
      </c>
      <c r="J113" s="89" t="s">
        <v>184</v>
      </c>
    </row>
    <row r="114" spans="1:17" ht="19.95" customHeight="1" x14ac:dyDescent="0.3">
      <c r="B114" s="9">
        <f t="shared" si="6"/>
        <v>-19197.945363867675</v>
      </c>
      <c r="C114" s="9">
        <f t="shared" si="6"/>
        <v>-15358.35629109414</v>
      </c>
      <c r="D114" s="9">
        <f t="shared" si="6"/>
        <v>0</v>
      </c>
      <c r="E114" s="9">
        <f t="shared" si="6"/>
        <v>-42000</v>
      </c>
      <c r="F114" s="9">
        <f t="shared" si="6"/>
        <v>19197.945363867675</v>
      </c>
      <c r="G114" s="9">
        <f t="shared" si="6"/>
        <v>-15358.35629109414</v>
      </c>
      <c r="H114" s="36">
        <f t="shared" si="6"/>
        <v>0</v>
      </c>
      <c r="I114" s="35">
        <f t="shared" si="6"/>
        <v>72716.71258218828</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IF(GRAFICA_15!F14=1, B118, GRAFICA_15!H14)</f>
        <v>C1X</v>
      </c>
      <c r="L118" s="215" t="s">
        <v>376</v>
      </c>
      <c r="M118" s="172"/>
      <c r="N118" s="172"/>
      <c r="O118" s="172"/>
      <c r="P118" s="172"/>
      <c r="Q118" s="173"/>
    </row>
    <row r="119" spans="1:17" ht="16.95" customHeight="1" x14ac:dyDescent="0.3">
      <c r="B119" s="12" t="s">
        <v>210</v>
      </c>
      <c r="C119" s="12" t="s">
        <v>179</v>
      </c>
      <c r="E119" s="37" t="str">
        <f>IF(GRAFICA_15!G14=1, B119, GRAFICA_15!I14)</f>
        <v>C1Y</v>
      </c>
      <c r="L119" s="215" t="s">
        <v>211</v>
      </c>
      <c r="M119" s="172"/>
      <c r="N119" s="172"/>
      <c r="O119" s="172"/>
      <c r="P119" s="172"/>
      <c r="Q119" s="173"/>
    </row>
    <row r="120" spans="1:17" ht="16.95" customHeight="1" x14ac:dyDescent="0.3">
      <c r="B120" s="12" t="s">
        <v>212</v>
      </c>
      <c r="C120" s="12" t="s">
        <v>180</v>
      </c>
      <c r="E120" s="37">
        <f>IF(GRAFICA_15!F15=1, B120, GRAFICA_15!H15)</f>
        <v>0</v>
      </c>
      <c r="L120" s="215" t="s">
        <v>377</v>
      </c>
      <c r="M120" s="172"/>
      <c r="N120" s="172"/>
      <c r="O120" s="172"/>
      <c r="P120" s="172"/>
      <c r="Q120" s="173"/>
    </row>
    <row r="121" spans="1:17" ht="16.95" customHeight="1" x14ac:dyDescent="0.3">
      <c r="A121" s="38" t="s">
        <v>218</v>
      </c>
      <c r="B121" s="12" t="s">
        <v>214</v>
      </c>
      <c r="C121" s="12" t="s">
        <v>181</v>
      </c>
      <c r="D121" s="13" t="s">
        <v>220</v>
      </c>
      <c r="E121" s="37">
        <f>IF(GRAFICA_15!G15=1, B121, GRAFICA_15!I15)</f>
        <v>-5000</v>
      </c>
      <c r="L121" s="215" t="s">
        <v>215</v>
      </c>
      <c r="M121" s="172"/>
      <c r="N121" s="172"/>
      <c r="O121" s="172"/>
      <c r="P121" s="172"/>
      <c r="Q121" s="173"/>
    </row>
    <row r="122" spans="1:17" ht="16.95" customHeight="1" x14ac:dyDescent="0.3">
      <c r="B122" s="12" t="s">
        <v>216</v>
      </c>
      <c r="C122" s="12" t="s">
        <v>182</v>
      </c>
      <c r="E122" s="37">
        <f>IF(GRAFICA_15!F16=1, B122, GRAFICA_15!H16)</f>
        <v>0</v>
      </c>
      <c r="L122" s="215" t="s">
        <v>378</v>
      </c>
      <c r="M122" s="172"/>
      <c r="N122" s="172"/>
      <c r="O122" s="172"/>
      <c r="P122" s="172"/>
      <c r="Q122" s="173"/>
    </row>
    <row r="123" spans="1:17" ht="16.95" customHeight="1" x14ac:dyDescent="0.3">
      <c r="B123" s="12" t="s">
        <v>219</v>
      </c>
      <c r="C123" s="12" t="s">
        <v>183</v>
      </c>
      <c r="E123" s="37" t="str">
        <f>IF(GRAFICA_15!G16=1, B123, GRAFICA_15!I16)</f>
        <v>C3Y</v>
      </c>
      <c r="L123" s="215" t="s">
        <v>379</v>
      </c>
      <c r="M123" s="172"/>
      <c r="N123" s="172"/>
      <c r="O123" s="172"/>
      <c r="P123" s="172"/>
      <c r="Q123" s="173"/>
    </row>
    <row r="124" spans="1:17" ht="16.95" customHeight="1" x14ac:dyDescent="0.3">
      <c r="B124" s="12" t="s">
        <v>221</v>
      </c>
      <c r="C124" s="12" t="s">
        <v>184</v>
      </c>
      <c r="E124" s="37">
        <f>IF(GRAFICA_15!F17=1, B124, GRAFICA_15!H17)</f>
        <v>0</v>
      </c>
      <c r="L124" s="215"/>
      <c r="M124" s="172"/>
      <c r="N124" s="172"/>
      <c r="O124" s="172"/>
      <c r="P124" s="172"/>
      <c r="Q124" s="173"/>
    </row>
    <row r="125" spans="1:17" ht="16.95" customHeight="1" x14ac:dyDescent="0.3">
      <c r="B125" s="12" t="s">
        <v>222</v>
      </c>
      <c r="C125" s="12" t="s">
        <v>185</v>
      </c>
      <c r="E125" s="37">
        <f>IF(GRAFICA_15!G17=1, B125, GRAFICA_15!I17)</f>
        <v>-7000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IF(GRAFICA_15!F14=1,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IF(GRAFICA_15!G14=1,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t="str">
        <f>IF(GRAFICA_15!F15=1, 0, B130)</f>
        <v>D2X</v>
      </c>
      <c r="F130" s="14">
        <f>IF(E130&lt;&gt;0, COUNTIF(E$128:E130, "&lt;&gt;0"), "")</f>
        <v>1</v>
      </c>
      <c r="G130" s="14" t="str">
        <f>IF(E130=0, COUNTIF(E$128:E130, 0), "")</f>
        <v/>
      </c>
      <c r="L130" s="215"/>
      <c r="M130" s="172"/>
      <c r="N130" s="172"/>
      <c r="O130" s="172"/>
      <c r="P130" s="172"/>
      <c r="Q130" s="173"/>
    </row>
    <row r="131" spans="1:17" ht="16.95" customHeight="1" x14ac:dyDescent="0.3">
      <c r="A131" s="38" t="s">
        <v>233</v>
      </c>
      <c r="B131" s="12" t="s">
        <v>231</v>
      </c>
      <c r="C131" s="12" t="s">
        <v>181</v>
      </c>
      <c r="D131" s="13" t="s">
        <v>220</v>
      </c>
      <c r="E131" s="39" t="str">
        <f>IF(GRAFICA_15!G15=1, 0, B131)</f>
        <v>D2Y</v>
      </c>
      <c r="F131" s="14">
        <f>IF(E131&lt;&gt;0, COUNTIF(E$128:E131, "&lt;&gt;0"), "")</f>
        <v>2</v>
      </c>
      <c r="G131" s="14" t="str">
        <f>IF(E131=0, COUNTIF(E$128:E131, 0), "")</f>
        <v/>
      </c>
      <c r="L131" s="215"/>
      <c r="M131" s="172"/>
      <c r="N131" s="172"/>
      <c r="O131" s="172"/>
      <c r="P131" s="172"/>
      <c r="Q131" s="173"/>
    </row>
    <row r="132" spans="1:17" ht="16.95" customHeight="1" x14ac:dyDescent="0.3">
      <c r="B132" s="12" t="s">
        <v>232</v>
      </c>
      <c r="C132" s="12" t="s">
        <v>182</v>
      </c>
      <c r="E132" s="39" t="str">
        <f>IF(GRAFICA_15!F16=1, 0, B132)</f>
        <v>D3X</v>
      </c>
      <c r="F132" s="14">
        <f>IF(E132&lt;&gt;0, COUNTIF(E$128:E132, "&lt;&gt;0"), "")</f>
        <v>3</v>
      </c>
      <c r="G132" s="14" t="str">
        <f>IF(E132=0, COUNTIF(E$128:E132, 0), "")</f>
        <v/>
      </c>
      <c r="L132" s="215"/>
      <c r="M132" s="172"/>
      <c r="N132" s="172"/>
      <c r="O132" s="172"/>
      <c r="P132" s="172"/>
      <c r="Q132" s="173"/>
    </row>
    <row r="133" spans="1:17" ht="16.95" customHeight="1" x14ac:dyDescent="0.3">
      <c r="B133" s="12" t="s">
        <v>234</v>
      </c>
      <c r="C133" s="12" t="s">
        <v>183</v>
      </c>
      <c r="E133" s="39">
        <f>IF(GRAFICA_15!G16=1, 0, B133)</f>
        <v>0</v>
      </c>
      <c r="F133" s="14" t="str">
        <f>IF(E133&lt;&gt;0, COUNTIF(E$128:E133, "&lt;&gt;0"), "")</f>
        <v/>
      </c>
      <c r="G133" s="14">
        <f>IF(E133=0, COUNTIF(E$128:E133, 0), "")</f>
        <v>3</v>
      </c>
      <c r="L133" s="215"/>
      <c r="M133" s="172"/>
      <c r="N133" s="172"/>
      <c r="O133" s="172"/>
      <c r="P133" s="172"/>
      <c r="Q133" s="173"/>
    </row>
    <row r="134" spans="1:17" ht="16.95" customHeight="1" x14ac:dyDescent="0.3">
      <c r="B134" s="12" t="s">
        <v>235</v>
      </c>
      <c r="C134" s="12" t="s">
        <v>184</v>
      </c>
      <c r="E134" s="39" t="str">
        <f>IF(GRAFICA_15!F17=1, 0, B134)</f>
        <v>D4X</v>
      </c>
      <c r="F134" s="14">
        <f>IF(E134&lt;&gt;0, COUNTIF(E$128:E134, "&lt;&gt;0"), "")</f>
        <v>4</v>
      </c>
      <c r="G134" s="14" t="str">
        <f>IF(E134=0, COUNTIF(E$128:E134, 0), "")</f>
        <v/>
      </c>
      <c r="L134" s="215"/>
      <c r="M134" s="172"/>
      <c r="N134" s="172"/>
      <c r="O134" s="172"/>
      <c r="P134" s="172"/>
      <c r="Q134" s="173"/>
    </row>
    <row r="135" spans="1:17" ht="16.95" customHeight="1" x14ac:dyDescent="0.3">
      <c r="B135" s="12" t="s">
        <v>236</v>
      </c>
      <c r="C135" s="12" t="s">
        <v>185</v>
      </c>
      <c r="E135" s="39" t="str">
        <f>IF(GRAFICA_15!G17=1, 0, B135)</f>
        <v>D4Y</v>
      </c>
      <c r="F135" s="14">
        <f>IF(E135&lt;&gt;0, COUNTIF(E$128:E135, "&lt;&gt;0"), "")</f>
        <v>5</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64338.143101918264</v>
      </c>
      <c r="D140" s="9">
        <f t="shared" si="8"/>
        <v>3061.6608050342056</v>
      </c>
      <c r="E140" s="9">
        <f t="shared" si="8"/>
        <v>-40340.711397083673</v>
      </c>
      <c r="F140" s="9">
        <f t="shared" si="8"/>
        <v>16136.284558833469</v>
      </c>
      <c r="G140" s="9">
        <f t="shared" si="8"/>
        <v>0</v>
      </c>
      <c r="H140" s="9">
        <f t="shared" si="8"/>
        <v>0</v>
      </c>
      <c r="I140" s="9">
        <f t="shared" si="8"/>
        <v>-23997.431704834595</v>
      </c>
      <c r="J140" s="9">
        <f t="shared" si="8"/>
        <v>-19197.945363867675</v>
      </c>
      <c r="K140" s="13" t="s">
        <v>251</v>
      </c>
      <c r="L140" s="219" t="s">
        <v>380</v>
      </c>
      <c r="M140" s="172"/>
      <c r="N140" s="172"/>
      <c r="O140" s="172"/>
      <c r="P140" s="172"/>
      <c r="Q140" s="173"/>
    </row>
    <row r="141" spans="1:17" ht="16.95" customHeight="1" x14ac:dyDescent="0.3">
      <c r="A141" s="12" t="str">
        <f t="shared" si="7"/>
        <v>C1Y</v>
      </c>
      <c r="C141" s="9">
        <f t="shared" si="8"/>
        <v>3061.6608050342056</v>
      </c>
      <c r="D141" s="9">
        <f t="shared" si="8"/>
        <v>21812.870114627527</v>
      </c>
      <c r="E141" s="9">
        <f t="shared" si="8"/>
        <v>16136.284558833469</v>
      </c>
      <c r="F141" s="9">
        <f t="shared" si="8"/>
        <v>-6454.5138235333889</v>
      </c>
      <c r="G141" s="9">
        <f t="shared" si="8"/>
        <v>0</v>
      </c>
      <c r="H141" s="9">
        <f t="shared" si="8"/>
        <v>0</v>
      </c>
      <c r="I141" s="9">
        <f t="shared" si="8"/>
        <v>-19197.945363867675</v>
      </c>
      <c r="J141" s="9">
        <f t="shared" si="8"/>
        <v>-15358.35629109414</v>
      </c>
      <c r="K141" s="13" t="s">
        <v>251</v>
      </c>
      <c r="L141" s="219" t="s">
        <v>253</v>
      </c>
      <c r="M141" s="172"/>
      <c r="N141" s="172"/>
      <c r="O141" s="172"/>
      <c r="P141" s="172"/>
      <c r="Q141" s="173"/>
    </row>
    <row r="142" spans="1:17" ht="16.95" customHeight="1" x14ac:dyDescent="0.3">
      <c r="A142" s="41">
        <f t="shared" si="7"/>
        <v>0</v>
      </c>
      <c r="C142" s="9">
        <f t="shared" si="8"/>
        <v>-40340.711397083673</v>
      </c>
      <c r="D142" s="9">
        <f t="shared" si="8"/>
        <v>16136.284558833469</v>
      </c>
      <c r="E142" s="41">
        <f t="shared" si="8"/>
        <v>80681.422794167345</v>
      </c>
      <c r="F142" s="41">
        <f t="shared" si="8"/>
        <v>0</v>
      </c>
      <c r="G142" s="41">
        <f t="shared" si="8"/>
        <v>-40340.711397083673</v>
      </c>
      <c r="H142" s="9">
        <f t="shared" si="8"/>
        <v>-16136.284558833469</v>
      </c>
      <c r="I142" s="41">
        <f t="shared" si="8"/>
        <v>0</v>
      </c>
      <c r="J142" s="41">
        <f t="shared" si="8"/>
        <v>0</v>
      </c>
      <c r="K142" s="13" t="s">
        <v>251</v>
      </c>
      <c r="L142" s="215" t="s">
        <v>254</v>
      </c>
      <c r="M142" s="172"/>
      <c r="N142" s="172"/>
      <c r="O142" s="172"/>
      <c r="P142" s="172"/>
      <c r="Q142" s="173"/>
    </row>
    <row r="143" spans="1:17" ht="16.95" customHeight="1" x14ac:dyDescent="0.3">
      <c r="A143" s="41">
        <f t="shared" si="7"/>
        <v>-5000</v>
      </c>
      <c r="C143" s="9">
        <f t="shared" si="8"/>
        <v>16136.284558833469</v>
      </c>
      <c r="D143" s="9">
        <f t="shared" si="8"/>
        <v>-6454.5138235333889</v>
      </c>
      <c r="E143" s="41">
        <f t="shared" si="8"/>
        <v>0</v>
      </c>
      <c r="F143" s="41">
        <f t="shared" si="8"/>
        <v>54909.027647066774</v>
      </c>
      <c r="G143" s="41">
        <f t="shared" si="8"/>
        <v>-16136.284558833469</v>
      </c>
      <c r="H143" s="9">
        <f t="shared" si="8"/>
        <v>-6454.5138235333889</v>
      </c>
      <c r="I143" s="41">
        <f t="shared" si="8"/>
        <v>0</v>
      </c>
      <c r="J143" s="41">
        <f t="shared" si="8"/>
        <v>-42000</v>
      </c>
      <c r="K143" s="13" t="s">
        <v>251</v>
      </c>
      <c r="L143" s="215" t="s">
        <v>381</v>
      </c>
      <c r="M143" s="172"/>
      <c r="N143" s="172"/>
      <c r="O143" s="172"/>
      <c r="P143" s="172"/>
      <c r="Q143" s="173"/>
    </row>
    <row r="144" spans="1:17" ht="16.95" customHeight="1" x14ac:dyDescent="0.3">
      <c r="A144" s="41">
        <f t="shared" si="7"/>
        <v>0</v>
      </c>
      <c r="B144" s="13" t="s">
        <v>220</v>
      </c>
      <c r="C144" s="9">
        <f t="shared" si="8"/>
        <v>0</v>
      </c>
      <c r="D144" s="9">
        <f t="shared" si="8"/>
        <v>0</v>
      </c>
      <c r="E144" s="41">
        <f t="shared" si="8"/>
        <v>-40340.711397083673</v>
      </c>
      <c r="F144" s="41">
        <f t="shared" si="8"/>
        <v>-16136.284558833469</v>
      </c>
      <c r="G144" s="41">
        <f t="shared" si="8"/>
        <v>64338.143101918264</v>
      </c>
      <c r="H144" s="9">
        <f t="shared" si="8"/>
        <v>-3061.6608050342056</v>
      </c>
      <c r="I144" s="41">
        <f t="shared" si="8"/>
        <v>-23997.431704834595</v>
      </c>
      <c r="J144" s="41">
        <f t="shared" si="8"/>
        <v>19197.945363867675</v>
      </c>
      <c r="K144" s="13" t="s">
        <v>251</v>
      </c>
      <c r="L144" s="215" t="s">
        <v>382</v>
      </c>
      <c r="M144" s="172"/>
      <c r="N144" s="172"/>
      <c r="O144" s="172"/>
      <c r="P144" s="172"/>
      <c r="Q144" s="173"/>
    </row>
    <row r="145" spans="1:17" ht="16.95" customHeight="1" x14ac:dyDescent="0.3">
      <c r="A145" s="12" t="str">
        <f t="shared" si="7"/>
        <v>C3Y</v>
      </c>
      <c r="C145" s="9">
        <f t="shared" si="8"/>
        <v>0</v>
      </c>
      <c r="D145" s="9">
        <f t="shared" si="8"/>
        <v>0</v>
      </c>
      <c r="E145" s="9">
        <f t="shared" si="8"/>
        <v>-16136.284558833469</v>
      </c>
      <c r="F145" s="9">
        <f t="shared" si="8"/>
        <v>-6454.5138235333889</v>
      </c>
      <c r="G145" s="9">
        <f t="shared" si="8"/>
        <v>-3061.6608050342056</v>
      </c>
      <c r="H145" s="9">
        <f t="shared" si="8"/>
        <v>21812.870114627527</v>
      </c>
      <c r="I145" s="9">
        <f t="shared" si="8"/>
        <v>19197.945363867675</v>
      </c>
      <c r="J145" s="9">
        <f t="shared" si="8"/>
        <v>-15358.35629109414</v>
      </c>
      <c r="K145" s="13" t="s">
        <v>251</v>
      </c>
      <c r="L145" s="219">
        <f>E133</f>
        <v>0</v>
      </c>
      <c r="M145" s="172"/>
      <c r="N145" s="172"/>
      <c r="O145" s="172"/>
      <c r="P145" s="172"/>
      <c r="Q145" s="173"/>
    </row>
    <row r="146" spans="1:17" ht="16.95" customHeight="1" x14ac:dyDescent="0.3">
      <c r="A146" s="41">
        <f t="shared" si="7"/>
        <v>0</v>
      </c>
      <c r="C146" s="9">
        <f t="shared" si="8"/>
        <v>-23997.431704834595</v>
      </c>
      <c r="D146" s="9">
        <f t="shared" si="8"/>
        <v>-19197.945363867675</v>
      </c>
      <c r="E146" s="41">
        <f t="shared" si="8"/>
        <v>0</v>
      </c>
      <c r="F146" s="41">
        <f t="shared" si="8"/>
        <v>0</v>
      </c>
      <c r="G146" s="41">
        <f t="shared" si="8"/>
        <v>-23997.431704834595</v>
      </c>
      <c r="H146" s="9">
        <f t="shared" si="8"/>
        <v>19197.945363867675</v>
      </c>
      <c r="I146" s="41">
        <f t="shared" si="8"/>
        <v>47994.863409669189</v>
      </c>
      <c r="J146" s="41">
        <f t="shared" si="8"/>
        <v>0</v>
      </c>
      <c r="K146" s="13" t="s">
        <v>251</v>
      </c>
      <c r="L146" s="215" t="str">
        <f>E134</f>
        <v>D4X</v>
      </c>
      <c r="M146" s="172"/>
      <c r="N146" s="172"/>
      <c r="O146" s="172"/>
      <c r="P146" s="172"/>
      <c r="Q146" s="173"/>
    </row>
    <row r="147" spans="1:17" ht="16.95" customHeight="1" x14ac:dyDescent="0.3">
      <c r="A147" s="41">
        <f t="shared" si="7"/>
        <v>-7000</v>
      </c>
      <c r="C147" s="9">
        <f t="shared" si="8"/>
        <v>-19197.945363867675</v>
      </c>
      <c r="D147" s="9">
        <f t="shared" si="8"/>
        <v>-15358.35629109414</v>
      </c>
      <c r="E147" s="41">
        <f t="shared" si="8"/>
        <v>0</v>
      </c>
      <c r="F147" s="41">
        <f t="shared" si="8"/>
        <v>-42000</v>
      </c>
      <c r="G147" s="41">
        <f t="shared" si="8"/>
        <v>19197.945363867675</v>
      </c>
      <c r="H147" s="9">
        <f t="shared" si="8"/>
        <v>-15358.35629109414</v>
      </c>
      <c r="I147" s="41">
        <f t="shared" si="8"/>
        <v>0</v>
      </c>
      <c r="J147" s="41">
        <f t="shared" si="8"/>
        <v>72716.71258218828</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215" t="s">
        <v>383</v>
      </c>
      <c r="M151" s="172"/>
      <c r="N151" s="172"/>
      <c r="O151" s="172"/>
      <c r="P151" s="172"/>
      <c r="Q151" s="173"/>
    </row>
    <row r="152" spans="1:17" ht="16.95" customHeight="1" x14ac:dyDescent="0.3">
      <c r="A152" s="41">
        <f>INDEX(E$118:E$125, MATCH(J152, C$118:C$125, 0))</f>
        <v>0</v>
      </c>
      <c r="C152" s="41">
        <f t="shared" ref="C152:G156" si="9">INDEX($B$107:$I$114, MATCH($J152, $J$107:$J$114, 0), MATCH(C$151, $B$106:$I$106, 0))</f>
        <v>80681.422794167345</v>
      </c>
      <c r="D152" s="41">
        <f t="shared" si="9"/>
        <v>0</v>
      </c>
      <c r="E152" s="41">
        <f t="shared" si="9"/>
        <v>-40340.711397083673</v>
      </c>
      <c r="F152" s="41">
        <f t="shared" si="9"/>
        <v>0</v>
      </c>
      <c r="G152" s="41">
        <f t="shared" si="9"/>
        <v>0</v>
      </c>
      <c r="H152" s="13" t="s">
        <v>251</v>
      </c>
      <c r="I152" s="38" t="str">
        <f>INDEX(B$128:B$135, MATCH(1, F$128:F$135, 0))</f>
        <v>D2X</v>
      </c>
      <c r="J152" s="14" t="str">
        <f>INDEX(C$128:C$135, MATCH(1, F$128:F$135, 0))</f>
        <v>U2X</v>
      </c>
      <c r="L152" s="215" t="s">
        <v>384</v>
      </c>
      <c r="M152" s="172"/>
      <c r="N152" s="172"/>
      <c r="O152" s="172"/>
      <c r="P152" s="172"/>
      <c r="Q152" s="173"/>
    </row>
    <row r="153" spans="1:17" ht="16.95" customHeight="1" x14ac:dyDescent="0.3">
      <c r="A153" s="41">
        <f>INDEX(E$118:E$125, MATCH(J153, C$118:C$125, 0))</f>
        <v>-5000</v>
      </c>
      <c r="C153" s="41">
        <f t="shared" si="9"/>
        <v>0</v>
      </c>
      <c r="D153" s="41">
        <f t="shared" si="9"/>
        <v>54909.027647066774</v>
      </c>
      <c r="E153" s="41">
        <f t="shared" si="9"/>
        <v>-16136.284558833469</v>
      </c>
      <c r="F153" s="41">
        <f t="shared" si="9"/>
        <v>0</v>
      </c>
      <c r="G153" s="41">
        <f t="shared" si="9"/>
        <v>-42000</v>
      </c>
      <c r="H153" s="13" t="s">
        <v>251</v>
      </c>
      <c r="I153" s="38" t="str">
        <f>INDEX(B$128:B$135, MATCH(2, F$128:F$135, 0))</f>
        <v>D2Y</v>
      </c>
      <c r="J153" s="14" t="str">
        <f>INDEX(C$128:C$135, MATCH(2, F$128:F$135, 0))</f>
        <v>U2Y</v>
      </c>
      <c r="L153" s="215" t="s">
        <v>385</v>
      </c>
      <c r="M153" s="172"/>
      <c r="N153" s="172"/>
      <c r="O153" s="172"/>
      <c r="P153" s="172"/>
      <c r="Q153" s="173"/>
    </row>
    <row r="154" spans="1:17" ht="16.95" customHeight="1" x14ac:dyDescent="0.3">
      <c r="A154" s="41">
        <f>INDEX(E$118:E$125, MATCH(J154, C$118:C$125, 0))</f>
        <v>0</v>
      </c>
      <c r="B154" s="13" t="s">
        <v>220</v>
      </c>
      <c r="C154" s="41">
        <f t="shared" si="9"/>
        <v>-40340.711397083673</v>
      </c>
      <c r="D154" s="41">
        <f t="shared" si="9"/>
        <v>-16136.284558833469</v>
      </c>
      <c r="E154" s="41">
        <f t="shared" si="9"/>
        <v>64338.143101918264</v>
      </c>
      <c r="F154" s="41">
        <f t="shared" si="9"/>
        <v>-23997.431704834595</v>
      </c>
      <c r="G154" s="41">
        <f t="shared" si="9"/>
        <v>19197.945363867675</v>
      </c>
      <c r="H154" s="13" t="s">
        <v>251</v>
      </c>
      <c r="I154" s="38" t="str">
        <f>INDEX(B$128:B$135, MATCH(3, F$128:F$135, 0))</f>
        <v>D3X</v>
      </c>
      <c r="J154" s="14" t="str">
        <f>INDEX(C$128:C$135, MATCH(3, F$128:F$135, 0))</f>
        <v>U3X</v>
      </c>
      <c r="L154" s="215" t="s">
        <v>386</v>
      </c>
      <c r="M154" s="172"/>
      <c r="N154" s="172"/>
      <c r="O154" s="172"/>
      <c r="P154" s="172"/>
      <c r="Q154" s="173"/>
    </row>
    <row r="155" spans="1:17" ht="16.95" customHeight="1" x14ac:dyDescent="0.3">
      <c r="A155" s="41">
        <f>INDEX(E$118:E$125, MATCH(J155, C$118:C$125, 0))</f>
        <v>0</v>
      </c>
      <c r="C155" s="41">
        <f t="shared" si="9"/>
        <v>0</v>
      </c>
      <c r="D155" s="41">
        <f t="shared" si="9"/>
        <v>0</v>
      </c>
      <c r="E155" s="41">
        <f t="shared" si="9"/>
        <v>-23997.431704834595</v>
      </c>
      <c r="F155" s="41">
        <f t="shared" si="9"/>
        <v>47994.863409669189</v>
      </c>
      <c r="G155" s="41">
        <f t="shared" si="9"/>
        <v>0</v>
      </c>
      <c r="H155" s="13" t="s">
        <v>251</v>
      </c>
      <c r="I155" s="38" t="str">
        <f>INDEX(B$128:B$135, MATCH(4, F$128:F$135, 0))</f>
        <v>D4X</v>
      </c>
      <c r="J155" s="14" t="str">
        <f>INDEX(C$128:C$135, MATCH(4, F$128:F$135, 0))</f>
        <v>U4X</v>
      </c>
      <c r="L155" s="215" t="s">
        <v>387</v>
      </c>
      <c r="M155" s="172"/>
      <c r="N155" s="172"/>
      <c r="O155" s="172"/>
      <c r="P155" s="172"/>
      <c r="Q155" s="173"/>
    </row>
    <row r="156" spans="1:17" ht="16.95" customHeight="1" x14ac:dyDescent="0.3">
      <c r="A156" s="41">
        <f>INDEX(E$118:E$125, MATCH(J156, C$118:C$125, 0))</f>
        <v>-7000</v>
      </c>
      <c r="C156" s="41">
        <f t="shared" si="9"/>
        <v>0</v>
      </c>
      <c r="D156" s="41">
        <f t="shared" si="9"/>
        <v>-42000</v>
      </c>
      <c r="E156" s="41">
        <f t="shared" si="9"/>
        <v>19197.945363867675</v>
      </c>
      <c r="F156" s="41">
        <f t="shared" si="9"/>
        <v>0</v>
      </c>
      <c r="G156" s="41">
        <f t="shared" si="9"/>
        <v>72716.71258218828</v>
      </c>
      <c r="H156" s="13" t="s">
        <v>251</v>
      </c>
      <c r="I156" s="38" t="str">
        <f>INDEX(B$128:B$135, MATCH(5, F$128:F$135, 0))</f>
        <v>D4Y</v>
      </c>
      <c r="J156" s="14" t="str">
        <f>INDEX(C$128:C$135, MATCH(5, F$128:F$135, 0))</f>
        <v>U4Y</v>
      </c>
      <c r="L156" s="215" t="s">
        <v>388</v>
      </c>
      <c r="M156" s="172"/>
      <c r="N156" s="172"/>
      <c r="O156" s="172"/>
      <c r="P156" s="172"/>
      <c r="Q156" s="173"/>
    </row>
    <row r="157" spans="1:17" ht="16.95" customHeight="1" x14ac:dyDescent="0.3">
      <c r="L157" s="215"/>
      <c r="M157" s="172"/>
      <c r="N157" s="172"/>
      <c r="O157" s="172"/>
      <c r="P157" s="172"/>
      <c r="Q157" s="173"/>
    </row>
    <row r="158" spans="1:17" ht="16.95" customHeight="1" x14ac:dyDescent="0.3">
      <c r="C158" s="218" t="s">
        <v>263</v>
      </c>
      <c r="D158" s="172"/>
      <c r="E158" s="172"/>
      <c r="F158" s="172"/>
      <c r="G158" s="173"/>
      <c r="L158" s="215"/>
      <c r="M158" s="172"/>
      <c r="N158" s="172"/>
      <c r="O158" s="172"/>
      <c r="P158" s="172"/>
      <c r="Q158" s="173"/>
    </row>
    <row r="159" spans="1:17" ht="16.95" customHeight="1" x14ac:dyDescent="0.3">
      <c r="A159" s="99" t="s">
        <v>249</v>
      </c>
      <c r="C159" s="193" t="s">
        <v>264</v>
      </c>
      <c r="D159" s="175"/>
      <c r="E159" s="175"/>
      <c r="F159" s="175"/>
      <c r="G159" s="175"/>
      <c r="I159" s="99" t="s">
        <v>247</v>
      </c>
      <c r="L159" s="215"/>
      <c r="M159" s="172"/>
      <c r="N159" s="172"/>
      <c r="O159" s="172"/>
      <c r="P159" s="172"/>
      <c r="Q159" s="173"/>
    </row>
    <row r="160" spans="1:17" ht="16.95" customHeight="1" x14ac:dyDescent="0.3">
      <c r="A160" s="12" t="str">
        <f>I152</f>
        <v>D2X</v>
      </c>
      <c r="C160" s="93">
        <f t="array" ref="C160:G164">MINVERSE(C152:G156)</f>
        <v>2.1911245379404364E-5</v>
      </c>
      <c r="D160" s="93">
        <v>3.134667877445888E-6</v>
      </c>
      <c r="E160" s="93">
        <v>1.9033636884697519E-5</v>
      </c>
      <c r="F160" s="93">
        <v>9.5168184423487614E-6</v>
      </c>
      <c r="G160" s="93">
        <v>-3.2145384717604617E-6</v>
      </c>
      <c r="I160" s="17">
        <f>A152</f>
        <v>0</v>
      </c>
      <c r="L160" s="215"/>
      <c r="M160" s="172"/>
      <c r="N160" s="172"/>
      <c r="O160" s="172"/>
      <c r="P160" s="172"/>
      <c r="Q160" s="173"/>
    </row>
    <row r="161" spans="1:17" ht="16.95" customHeight="1" x14ac:dyDescent="0.3">
      <c r="A161" s="12" t="str">
        <f>I153</f>
        <v>D2Y</v>
      </c>
      <c r="C161" s="93">
        <v>3.1346678774458884E-6</v>
      </c>
      <c r="D161" s="93">
        <v>3.3658392479147234E-5</v>
      </c>
      <c r="E161" s="93">
        <v>6.2693357548917768E-6</v>
      </c>
      <c r="F161" s="93">
        <v>3.1346678774458888E-6</v>
      </c>
      <c r="G161" s="93">
        <v>1.7785376606131361E-5</v>
      </c>
      <c r="I161" s="17">
        <f>A153</f>
        <v>-5000</v>
      </c>
      <c r="L161" s="215"/>
      <c r="M161" s="172"/>
      <c r="N161" s="172"/>
      <c r="O161" s="172"/>
      <c r="P161" s="172"/>
      <c r="Q161" s="173"/>
    </row>
    <row r="162" spans="1:17" ht="16.95" customHeight="1" x14ac:dyDescent="0.3">
      <c r="A162" s="12" t="str">
        <f>I154</f>
        <v>D3X</v>
      </c>
      <c r="B162" s="13" t="s">
        <v>220</v>
      </c>
      <c r="C162" s="93">
        <v>1.9033636884697519E-5</v>
      </c>
      <c r="D162" s="93">
        <v>6.2693357548917759E-6</v>
      </c>
      <c r="E162" s="93">
        <v>3.8067273769395039E-5</v>
      </c>
      <c r="F162" s="93">
        <v>1.9033636884697523E-5</v>
      </c>
      <c r="G162" s="93">
        <v>-6.4290769435209235E-6</v>
      </c>
      <c r="I162" s="17">
        <f>A154</f>
        <v>0</v>
      </c>
      <c r="L162" s="215"/>
      <c r="M162" s="172"/>
      <c r="N162" s="172"/>
      <c r="O162" s="172"/>
      <c r="P162" s="172"/>
      <c r="Q162" s="173"/>
    </row>
    <row r="163" spans="1:17" ht="16.95" customHeight="1" x14ac:dyDescent="0.3">
      <c r="A163" s="12" t="str">
        <f>I155</f>
        <v>D4X</v>
      </c>
      <c r="C163" s="93">
        <v>9.5168184423487597E-6</v>
      </c>
      <c r="D163" s="93">
        <v>3.1346678774458871E-6</v>
      </c>
      <c r="E163" s="93">
        <v>1.9033636884697519E-5</v>
      </c>
      <c r="F163" s="93">
        <v>3.0352381437169932E-5</v>
      </c>
      <c r="G163" s="93">
        <v>-3.2145384717604617E-6</v>
      </c>
      <c r="I163" s="17">
        <f>A155</f>
        <v>0</v>
      </c>
      <c r="L163" s="215"/>
      <c r="M163" s="172"/>
      <c r="N163" s="172"/>
      <c r="O163" s="172"/>
      <c r="P163" s="172"/>
      <c r="Q163" s="173"/>
    </row>
    <row r="164" spans="1:17" ht="16.95" customHeight="1" x14ac:dyDescent="0.3">
      <c r="A164" s="12" t="str">
        <f>I156</f>
        <v>D4Y</v>
      </c>
      <c r="C164" s="93">
        <v>-3.2145384717604609E-6</v>
      </c>
      <c r="D164" s="93">
        <v>1.7785376606131365E-5</v>
      </c>
      <c r="E164" s="93">
        <v>-6.4290769435209218E-6</v>
      </c>
      <c r="F164" s="93">
        <v>-3.2145384717604613E-6</v>
      </c>
      <c r="G164" s="93">
        <v>2.5721884542639299E-5</v>
      </c>
      <c r="I164" s="17">
        <f>A156</f>
        <v>-7000</v>
      </c>
      <c r="L164" s="215"/>
      <c r="M164" s="172"/>
      <c r="N164" s="172"/>
      <c r="O164" s="172"/>
      <c r="P164" s="172"/>
      <c r="Q164" s="173"/>
    </row>
    <row r="165" spans="1:17" ht="16.95" customHeight="1" x14ac:dyDescent="0.3">
      <c r="L165" s="215"/>
      <c r="M165" s="172"/>
      <c r="N165" s="172"/>
      <c r="O165" s="172"/>
      <c r="P165" s="172"/>
      <c r="Q165" s="173"/>
    </row>
    <row r="166" spans="1:17" ht="16.95" customHeight="1" x14ac:dyDescent="0.3">
      <c r="C166" s="218" t="s">
        <v>265</v>
      </c>
      <c r="D166" s="173"/>
      <c r="L166" s="215"/>
      <c r="M166" s="172"/>
      <c r="N166" s="172"/>
      <c r="O166" s="172"/>
      <c r="P166" s="172"/>
      <c r="Q166" s="173"/>
    </row>
    <row r="167" spans="1:17" ht="16.95" customHeight="1" x14ac:dyDescent="0.3">
      <c r="A167" s="99" t="s">
        <v>249</v>
      </c>
      <c r="C167" s="99" t="s">
        <v>266</v>
      </c>
      <c r="L167" s="215"/>
      <c r="M167" s="172"/>
      <c r="N167" s="172"/>
      <c r="O167" s="172"/>
      <c r="P167" s="172"/>
      <c r="Q167" s="173"/>
    </row>
    <row r="168" spans="1:17" ht="16.95" customHeight="1" x14ac:dyDescent="0.3">
      <c r="A168" s="12" t="str">
        <f>A160</f>
        <v>D2X</v>
      </c>
      <c r="C168" s="94">
        <f t="array" ref="C168:C172">MMULT(C160:G164, I160:I164)</f>
        <v>6.8284299150937929E-3</v>
      </c>
      <c r="D168" s="12" t="s">
        <v>267</v>
      </c>
      <c r="L168" s="215"/>
      <c r="M168" s="172"/>
      <c r="N168" s="172"/>
      <c r="O168" s="172"/>
      <c r="P168" s="172"/>
      <c r="Q168" s="173"/>
    </row>
    <row r="169" spans="1:17" ht="16.95" customHeight="1" x14ac:dyDescent="0.3">
      <c r="A169" s="12" t="str">
        <f>A161</f>
        <v>D2Y</v>
      </c>
      <c r="C169" s="94">
        <v>-0.29278959863865567</v>
      </c>
      <c r="D169" s="12" t="s">
        <v>267</v>
      </c>
      <c r="L169" s="215"/>
      <c r="M169" s="172"/>
      <c r="N169" s="172"/>
      <c r="O169" s="172"/>
      <c r="P169" s="172"/>
      <c r="Q169" s="173"/>
    </row>
    <row r="170" spans="1:17" ht="16.95" customHeight="1" x14ac:dyDescent="0.3">
      <c r="A170" s="12" t="str">
        <f>A162</f>
        <v>D3X</v>
      </c>
      <c r="B170" s="13" t="s">
        <v>220</v>
      </c>
      <c r="C170" s="94">
        <v>1.3656859830187586E-2</v>
      </c>
      <c r="D170" s="12" t="s">
        <v>267</v>
      </c>
      <c r="L170" s="215"/>
      <c r="M170" s="172"/>
      <c r="N170" s="172"/>
      <c r="O170" s="172"/>
      <c r="P170" s="172"/>
      <c r="Q170" s="173"/>
    </row>
    <row r="171" spans="1:17" ht="16.95" customHeight="1" x14ac:dyDescent="0.3">
      <c r="A171" s="12" t="str">
        <f>A163</f>
        <v>D4X</v>
      </c>
      <c r="C171" s="94">
        <v>6.8284299150937998E-3</v>
      </c>
      <c r="D171" s="12" t="s">
        <v>267</v>
      </c>
      <c r="L171" s="215"/>
      <c r="M171" s="172"/>
      <c r="N171" s="172"/>
      <c r="O171" s="172"/>
      <c r="P171" s="172"/>
      <c r="Q171" s="173"/>
    </row>
    <row r="172" spans="1:17" ht="16.95" customHeight="1" x14ac:dyDescent="0.3">
      <c r="A172" s="12" t="str">
        <f>A164</f>
        <v>D4Y</v>
      </c>
      <c r="C172" s="94">
        <v>-0.26898007482913189</v>
      </c>
      <c r="D172" s="12" t="s">
        <v>267</v>
      </c>
      <c r="L172" s="215"/>
      <c r="M172" s="172"/>
      <c r="N172" s="172"/>
      <c r="O172" s="172"/>
      <c r="P172" s="172"/>
      <c r="Q172" s="173"/>
    </row>
    <row r="175" spans="1:17" ht="19.95" customHeight="1" x14ac:dyDescent="0.35">
      <c r="A175" s="11" t="s">
        <v>268</v>
      </c>
      <c r="L175" s="216" t="s">
        <v>269</v>
      </c>
      <c r="M175" s="172"/>
      <c r="N175" s="172"/>
      <c r="O175" s="172"/>
      <c r="P175" s="172"/>
      <c r="Q175" s="173"/>
    </row>
    <row r="176" spans="1:17" ht="16.95" customHeight="1" x14ac:dyDescent="0.3">
      <c r="A176" s="99" t="s">
        <v>247</v>
      </c>
      <c r="I176" s="99" t="s">
        <v>249</v>
      </c>
      <c r="L176" s="215" t="s">
        <v>389</v>
      </c>
      <c r="M176" s="172"/>
      <c r="N176" s="172"/>
      <c r="O176" s="172"/>
      <c r="P176" s="172"/>
      <c r="Q176" s="173"/>
    </row>
    <row r="177" spans="1:17" ht="16.95" customHeight="1" x14ac:dyDescent="0.3">
      <c r="A177" s="18" t="str">
        <f>INDEX(B$118:B$125, MATCH(J177, C$118:C$125, 0))</f>
        <v>C1X</v>
      </c>
      <c r="C177" s="9">
        <f t="shared" ref="C177:G179" si="10">INDEX($B$107:$I$114, MATCH($J177, $J$107:$J$114, 0), MATCH(C$151, $B$106:$I$106, 0))</f>
        <v>-40340.711397083673</v>
      </c>
      <c r="D177" s="9">
        <f t="shared" si="10"/>
        <v>16136.284558833469</v>
      </c>
      <c r="E177" s="9">
        <f t="shared" si="10"/>
        <v>0</v>
      </c>
      <c r="F177" s="9">
        <f t="shared" si="10"/>
        <v>-23997.431704834595</v>
      </c>
      <c r="G177" s="9">
        <f t="shared" si="10"/>
        <v>-19197.945363867675</v>
      </c>
      <c r="I177" s="95">
        <f>C168</f>
        <v>6.8284299150937929E-3</v>
      </c>
      <c r="J177" s="14" t="str">
        <f>INDEX(C$128:C$135, MATCH(1, G$128:G$135, 0))</f>
        <v>U1X</v>
      </c>
      <c r="L177" s="215" t="s">
        <v>390</v>
      </c>
      <c r="M177" s="172"/>
      <c r="N177" s="172"/>
      <c r="O177" s="172"/>
      <c r="P177" s="172"/>
      <c r="Q177" s="173"/>
    </row>
    <row r="178" spans="1:17" ht="16.95" customHeight="1" x14ac:dyDescent="0.3">
      <c r="A178" s="18" t="str">
        <f>INDEX(B$118:B$125, MATCH(J178, C$118:C$125, 0))</f>
        <v>C1Y</v>
      </c>
      <c r="B178" s="13" t="s">
        <v>220</v>
      </c>
      <c r="C178" s="9">
        <f t="shared" si="10"/>
        <v>16136.284558833469</v>
      </c>
      <c r="D178" s="9">
        <f t="shared" si="10"/>
        <v>-6454.5138235333889</v>
      </c>
      <c r="E178" s="9">
        <f t="shared" si="10"/>
        <v>0</v>
      </c>
      <c r="F178" s="9">
        <f t="shared" si="10"/>
        <v>-19197.945363867675</v>
      </c>
      <c r="G178" s="9">
        <f t="shared" si="10"/>
        <v>-15358.35629109414</v>
      </c>
      <c r="I178" s="95">
        <f>C169</f>
        <v>-0.29278959863865567</v>
      </c>
      <c r="J178" s="14" t="str">
        <f>INDEX(C$128:C$135, MATCH(2, G$128:G$135, 0))</f>
        <v>U1Y</v>
      </c>
      <c r="L178" s="215" t="s">
        <v>391</v>
      </c>
      <c r="M178" s="172"/>
      <c r="N178" s="172"/>
      <c r="O178" s="172"/>
      <c r="P178" s="172"/>
      <c r="Q178" s="173"/>
    </row>
    <row r="179" spans="1:17" ht="16.95" customHeight="1" x14ac:dyDescent="0.3">
      <c r="A179" s="18" t="str">
        <f>INDEX(B$118:B$125, MATCH(J179, C$118:C$125, 0))</f>
        <v>C3Y</v>
      </c>
      <c r="C179" s="9">
        <f t="shared" si="10"/>
        <v>-16136.284558833469</v>
      </c>
      <c r="D179" s="9">
        <f t="shared" si="10"/>
        <v>-6454.5138235333889</v>
      </c>
      <c r="E179" s="9">
        <f t="shared" si="10"/>
        <v>-3061.6608050342056</v>
      </c>
      <c r="F179" s="9">
        <f t="shared" si="10"/>
        <v>19197.945363867675</v>
      </c>
      <c r="G179" s="9">
        <f t="shared" si="10"/>
        <v>-15358.35629109414</v>
      </c>
      <c r="I179" s="95">
        <f>C170</f>
        <v>1.3656859830187586E-2</v>
      </c>
      <c r="J179" s="14" t="str">
        <f>INDEX(C$128:C$135, MATCH(3, G$128:G$135, 0))</f>
        <v>U3Y</v>
      </c>
      <c r="L179" s="215" t="s">
        <v>392</v>
      </c>
      <c r="M179" s="172"/>
      <c r="N179" s="172"/>
      <c r="O179" s="172"/>
      <c r="P179" s="172"/>
      <c r="Q179" s="173"/>
    </row>
    <row r="180" spans="1:17" ht="16.95" customHeight="1" x14ac:dyDescent="0.3">
      <c r="I180" s="95">
        <f>C171</f>
        <v>6.8284299150937998E-3</v>
      </c>
      <c r="L180" s="215" t="s">
        <v>393</v>
      </c>
      <c r="M180" s="172"/>
      <c r="N180" s="172"/>
      <c r="O180" s="172"/>
      <c r="P180" s="172"/>
      <c r="Q180" s="173"/>
    </row>
    <row r="181" spans="1:17" ht="16.95" customHeight="1" x14ac:dyDescent="0.3">
      <c r="I181" s="95">
        <f>C172</f>
        <v>-0.26898007482913189</v>
      </c>
      <c r="L181" s="215" t="s">
        <v>394</v>
      </c>
      <c r="M181" s="172"/>
      <c r="N181" s="172"/>
      <c r="O181" s="172"/>
      <c r="P181" s="172"/>
      <c r="Q181" s="173"/>
    </row>
    <row r="182" spans="1:17" ht="16.95" customHeight="1" x14ac:dyDescent="0.3">
      <c r="L182" s="215"/>
      <c r="M182" s="172"/>
      <c r="N182" s="172"/>
      <c r="O182" s="172"/>
      <c r="P182" s="172"/>
      <c r="Q182" s="173"/>
    </row>
    <row r="183" spans="1:17" ht="16.95" customHeight="1" x14ac:dyDescent="0.3">
      <c r="A183" s="12" t="str">
        <f>A177</f>
        <v>C1X</v>
      </c>
      <c r="C183" s="17">
        <f t="array" ref="C183:C185">MMULT(C177:G179, I177:I181)</f>
        <v>0</v>
      </c>
      <c r="D183" s="12" t="s">
        <v>273</v>
      </c>
      <c r="L183" s="215"/>
      <c r="M183" s="172"/>
      <c r="N183" s="172"/>
      <c r="O183" s="172"/>
      <c r="P183" s="172"/>
      <c r="Q183" s="173"/>
    </row>
    <row r="184" spans="1:17" ht="16.95" customHeight="1" x14ac:dyDescent="0.3">
      <c r="A184" s="12" t="str">
        <f>A178</f>
        <v>C1Y</v>
      </c>
      <c r="B184" s="13" t="s">
        <v>220</v>
      </c>
      <c r="C184" s="17">
        <v>6000</v>
      </c>
      <c r="D184" s="12" t="s">
        <v>273</v>
      </c>
      <c r="L184" s="215"/>
      <c r="M184" s="172"/>
      <c r="N184" s="172"/>
      <c r="O184" s="172"/>
      <c r="P184" s="172"/>
      <c r="Q184" s="173"/>
    </row>
    <row r="185" spans="1:17" ht="16.95" customHeight="1" x14ac:dyDescent="0.3">
      <c r="A185" s="12" t="str">
        <f>A179</f>
        <v>C3Y</v>
      </c>
      <c r="C185" s="17">
        <v>6000</v>
      </c>
      <c r="D185" s="12" t="s">
        <v>273</v>
      </c>
      <c r="L185" s="215"/>
      <c r="M185" s="172"/>
      <c r="N185" s="172"/>
      <c r="O185" s="172"/>
      <c r="P185" s="172"/>
      <c r="Q185" s="173"/>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6.8284299150937929E-3</v>
      </c>
    </row>
    <row r="193" spans="1:17" ht="19.05" customHeight="1" x14ac:dyDescent="0.3">
      <c r="A193" s="12" t="s">
        <v>231</v>
      </c>
      <c r="B193" s="12" t="s">
        <v>181</v>
      </c>
      <c r="D193" s="94">
        <f t="shared" si="11"/>
        <v>-0.29278959863865567</v>
      </c>
    </row>
    <row r="194" spans="1:17" ht="19.05" customHeight="1" x14ac:dyDescent="0.3">
      <c r="A194" s="12" t="s">
        <v>232</v>
      </c>
      <c r="B194" s="12" t="s">
        <v>182</v>
      </c>
      <c r="D194" s="94">
        <f t="shared" si="11"/>
        <v>1.3656859830187586E-2</v>
      </c>
    </row>
    <row r="195" spans="1:17" ht="19.05" customHeight="1" x14ac:dyDescent="0.3">
      <c r="A195" s="12" t="s">
        <v>234</v>
      </c>
      <c r="B195" s="12" t="s">
        <v>183</v>
      </c>
      <c r="D195" s="94">
        <f t="shared" si="11"/>
        <v>0</v>
      </c>
    </row>
    <row r="196" spans="1:17" ht="19.05" customHeight="1" x14ac:dyDescent="0.3">
      <c r="A196" s="12" t="s">
        <v>235</v>
      </c>
      <c r="B196" s="12" t="s">
        <v>184</v>
      </c>
      <c r="D196" s="94">
        <f t="shared" si="11"/>
        <v>6.8284299150937998E-3</v>
      </c>
    </row>
    <row r="197" spans="1:17" ht="19.05" customHeight="1" x14ac:dyDescent="0.3">
      <c r="A197" s="12" t="s">
        <v>236</v>
      </c>
      <c r="B197" s="12" t="s">
        <v>185</v>
      </c>
      <c r="D197" s="94">
        <f t="shared" si="11"/>
        <v>-0.26898007482913189</v>
      </c>
    </row>
    <row r="200" spans="1:17" ht="19.95" customHeight="1" x14ac:dyDescent="0.35">
      <c r="A200" s="11" t="s">
        <v>275</v>
      </c>
      <c r="L200" s="216" t="s">
        <v>276</v>
      </c>
      <c r="M200" s="172"/>
      <c r="N200" s="172"/>
      <c r="O200" s="172"/>
      <c r="P200" s="172"/>
      <c r="Q200" s="173"/>
    </row>
    <row r="201" spans="1:17" ht="16.95" customHeight="1" x14ac:dyDescent="0.3">
      <c r="L201" s="215" t="s">
        <v>395</v>
      </c>
      <c r="M201" s="172"/>
      <c r="N201" s="172"/>
      <c r="O201" s="172"/>
      <c r="P201" s="172"/>
      <c r="Q201" s="173"/>
    </row>
    <row r="202" spans="1:17" ht="16.95" customHeight="1" x14ac:dyDescent="0.3">
      <c r="A202" s="19" t="s">
        <v>278</v>
      </c>
      <c r="C202" s="19" t="s">
        <v>279</v>
      </c>
      <c r="D202" s="19" t="s">
        <v>280</v>
      </c>
      <c r="E202" s="19" t="s">
        <v>279</v>
      </c>
      <c r="F202" s="19" t="s">
        <v>280</v>
      </c>
      <c r="G202" s="19" t="s">
        <v>249</v>
      </c>
      <c r="L202" s="215" t="s">
        <v>396</v>
      </c>
      <c r="M202" s="172"/>
      <c r="N202" s="172"/>
      <c r="O202" s="172"/>
      <c r="P202" s="172"/>
      <c r="Q202" s="173"/>
    </row>
    <row r="203" spans="1:17" ht="16.95" customHeight="1" x14ac:dyDescent="0.3">
      <c r="C203" s="19" t="s">
        <v>282</v>
      </c>
      <c r="D203" s="19" t="s">
        <v>282</v>
      </c>
      <c r="E203" s="19" t="s">
        <v>283</v>
      </c>
      <c r="F203" s="19" t="s">
        <v>283</v>
      </c>
      <c r="L203" s="215" t="s">
        <v>397</v>
      </c>
      <c r="M203" s="172"/>
      <c r="N203" s="172"/>
      <c r="O203" s="172"/>
      <c r="P203" s="172"/>
      <c r="Q203" s="173"/>
    </row>
    <row r="204" spans="1:17" ht="16.95" customHeight="1" x14ac:dyDescent="0.3">
      <c r="A204" s="17">
        <f>N6</f>
        <v>46795.225220617067</v>
      </c>
      <c r="C204" s="92">
        <f>-J6</f>
        <v>-0.9284766908852593</v>
      </c>
      <c r="D204" s="92">
        <f>-K6</f>
        <v>0.37139067635410372</v>
      </c>
      <c r="E204" s="92">
        <f>J6</f>
        <v>0.9284766908852593</v>
      </c>
      <c r="F204" s="92">
        <f>K6</f>
        <v>-0.37139067635410372</v>
      </c>
      <c r="G204" s="96">
        <f>IFERROR(VLOOKUP(H204, A$190:D$197, 4, FALSE), 0)</f>
        <v>0</v>
      </c>
      <c r="H204" s="12" t="str">
        <f>"D" &amp; C14 &amp; "X"</f>
        <v>D1X</v>
      </c>
      <c r="L204" s="215" t="s">
        <v>398</v>
      </c>
      <c r="M204" s="172"/>
      <c r="N204" s="172"/>
      <c r="O204" s="172"/>
      <c r="P204" s="172"/>
      <c r="Q204" s="173"/>
    </row>
    <row r="205" spans="1:17" ht="16.95" customHeight="1" x14ac:dyDescent="0.3">
      <c r="A205" s="99" t="s">
        <v>285</v>
      </c>
      <c r="B205" s="97">
        <f>(MMULT(C204:F204, G204:G207)*A204)</f>
        <v>5385.1648071345044</v>
      </c>
      <c r="G205" s="96">
        <f>IFERROR(VLOOKUP(H205, A$190:D$197, 4, FALSE), 0)</f>
        <v>0</v>
      </c>
      <c r="H205" s="12" t="str">
        <f>"D" &amp; D14 &amp; "Y"</f>
        <v>D1Y</v>
      </c>
      <c r="L205" s="215" t="s">
        <v>399</v>
      </c>
      <c r="M205" s="172"/>
      <c r="N205" s="172"/>
      <c r="O205" s="172"/>
      <c r="P205" s="172"/>
      <c r="Q205" s="173"/>
    </row>
    <row r="206" spans="1:17" ht="16.95" customHeight="1" x14ac:dyDescent="0.3">
      <c r="G206" s="96">
        <f>IFERROR(VLOOKUP(H206, A$190:D$197, 4, FALSE), 0)</f>
        <v>6.8284299150937929E-3</v>
      </c>
      <c r="H206" s="12" t="str">
        <f>"D" &amp; E14 &amp; "X"</f>
        <v>D2X</v>
      </c>
      <c r="L206" s="215" t="s">
        <v>400</v>
      </c>
      <c r="M206" s="172"/>
      <c r="N206" s="172"/>
      <c r="O206" s="172"/>
      <c r="P206" s="172"/>
      <c r="Q206" s="173"/>
    </row>
    <row r="207" spans="1:17" ht="16.95" customHeight="1" x14ac:dyDescent="0.3">
      <c r="G207" s="96">
        <f>IFERROR(VLOOKUP(H207, A$190:D$197, 4, FALSE), 0)</f>
        <v>-0.29278959863865567</v>
      </c>
      <c r="H207" s="12" t="str">
        <f>"D" &amp; F14 &amp; "Y"</f>
        <v>D2Y</v>
      </c>
      <c r="L207" s="215" t="s">
        <v>401</v>
      </c>
      <c r="M207" s="172"/>
      <c r="N207" s="172"/>
      <c r="O207" s="172"/>
      <c r="P207" s="172"/>
      <c r="Q207" s="173"/>
    </row>
    <row r="208" spans="1:17" ht="16.95" customHeight="1" x14ac:dyDescent="0.3">
      <c r="B208" s="99" t="s">
        <v>273</v>
      </c>
      <c r="C208" s="178" t="str">
        <f>IF(B205&gt;0.001,"BARRA A TRACCIÓN (+)",IF(B205&lt;-0.001,"BARRA A COMPRESIÓN (-)","BARRA DE FUERZA NULA"))</f>
        <v>BARRA A TRACCIÓN (+)</v>
      </c>
      <c r="D208" s="172"/>
      <c r="E208" s="172"/>
      <c r="F208" s="173"/>
      <c r="L208" s="215" t="s">
        <v>402</v>
      </c>
      <c r="M208" s="172"/>
      <c r="N208" s="172"/>
      <c r="O208" s="172"/>
      <c r="P208" s="172"/>
      <c r="Q208" s="173"/>
    </row>
    <row r="209" spans="1:17" ht="16.95" customHeight="1" x14ac:dyDescent="0.3">
      <c r="L209" s="215" t="s">
        <v>403</v>
      </c>
      <c r="M209" s="172"/>
      <c r="N209" s="172"/>
      <c r="O209" s="172"/>
      <c r="P209" s="172"/>
      <c r="Q209" s="173"/>
    </row>
    <row r="210" spans="1:17" ht="16.95" customHeight="1" x14ac:dyDescent="0.3">
      <c r="A210" s="19" t="s">
        <v>278</v>
      </c>
      <c r="C210" s="19" t="s">
        <v>279</v>
      </c>
      <c r="D210" s="19" t="s">
        <v>280</v>
      </c>
      <c r="E210" s="19" t="s">
        <v>279</v>
      </c>
      <c r="F210" s="19" t="s">
        <v>280</v>
      </c>
      <c r="G210" s="19" t="s">
        <v>249</v>
      </c>
      <c r="L210" s="215"/>
      <c r="M210" s="172"/>
      <c r="N210" s="172"/>
      <c r="O210" s="172"/>
      <c r="P210" s="172"/>
      <c r="Q210" s="173"/>
    </row>
    <row r="211" spans="1:17" ht="16.95" customHeight="1" x14ac:dyDescent="0.3">
      <c r="C211" s="19" t="s">
        <v>282</v>
      </c>
      <c r="D211" s="19" t="s">
        <v>282</v>
      </c>
      <c r="E211" s="19" t="s">
        <v>283</v>
      </c>
      <c r="F211" s="19" t="s">
        <v>283</v>
      </c>
      <c r="L211" s="215"/>
      <c r="M211" s="172"/>
      <c r="N211" s="172"/>
      <c r="O211" s="172"/>
      <c r="P211" s="172"/>
      <c r="Q211" s="173"/>
    </row>
    <row r="212" spans="1:17" ht="16.95" customHeight="1" x14ac:dyDescent="0.3">
      <c r="A212" s="17">
        <f>N7</f>
        <v>46795.225220617067</v>
      </c>
      <c r="C212" s="92">
        <f>-J7</f>
        <v>-0.9284766908852593</v>
      </c>
      <c r="D212" s="92">
        <f>-K7</f>
        <v>-0.37139067635410372</v>
      </c>
      <c r="E212" s="92">
        <f>J7</f>
        <v>0.9284766908852593</v>
      </c>
      <c r="F212" s="92">
        <f>K7</f>
        <v>0.37139067635410372</v>
      </c>
      <c r="G212" s="96">
        <f>IFERROR(VLOOKUP(H212, A$190:D$197, 4, FALSE), 0)</f>
        <v>6.8284299150937929E-3</v>
      </c>
      <c r="H212" s="12" t="str">
        <f>"D" &amp; C15 &amp; "X"</f>
        <v>D2X</v>
      </c>
      <c r="L212" s="215"/>
      <c r="M212" s="172"/>
      <c r="N212" s="172"/>
      <c r="O212" s="172"/>
      <c r="P212" s="172"/>
      <c r="Q212" s="173"/>
    </row>
    <row r="213" spans="1:17" ht="16.95" customHeight="1" x14ac:dyDescent="0.3">
      <c r="A213" s="99" t="s">
        <v>286</v>
      </c>
      <c r="B213" s="97">
        <f>(MMULT(C212:F212, G212:G215)*A212)</f>
        <v>5385.1648071345044</v>
      </c>
      <c r="G213" s="96">
        <f>IFERROR(VLOOKUP(H213, A$190:D$197, 4, FALSE), 0)</f>
        <v>-0.29278959863865567</v>
      </c>
      <c r="H213" s="12" t="str">
        <f>"D" &amp; D15 &amp; "Y"</f>
        <v>D2Y</v>
      </c>
      <c r="L213" s="215"/>
      <c r="M213" s="172"/>
      <c r="N213" s="172"/>
      <c r="O213" s="172"/>
      <c r="P213" s="172"/>
      <c r="Q213" s="173"/>
    </row>
    <row r="214" spans="1:17" ht="16.95" customHeight="1" x14ac:dyDescent="0.3">
      <c r="G214" s="96">
        <f>IFERROR(VLOOKUP(H214, A$190:D$197, 4, FALSE), 0)</f>
        <v>1.3656859830187586E-2</v>
      </c>
      <c r="H214" s="12" t="str">
        <f>"D" &amp; E15 &amp; "X"</f>
        <v>D3X</v>
      </c>
      <c r="L214" s="215"/>
      <c r="M214" s="172"/>
      <c r="N214" s="172"/>
      <c r="O214" s="172"/>
      <c r="P214" s="172"/>
      <c r="Q214" s="173"/>
    </row>
    <row r="215" spans="1:17" ht="16.95" customHeight="1" x14ac:dyDescent="0.3">
      <c r="G215" s="96">
        <f>IFERROR(VLOOKUP(H215, A$190:D$197, 4, FALSE), 0)</f>
        <v>0</v>
      </c>
      <c r="H215" s="12" t="str">
        <f>"D" &amp; F15 &amp; "Y"</f>
        <v>D3Y</v>
      </c>
      <c r="L215" s="215"/>
      <c r="M215" s="172"/>
      <c r="N215" s="172"/>
      <c r="O215" s="172"/>
      <c r="P215" s="172"/>
      <c r="Q215" s="173"/>
    </row>
    <row r="216" spans="1:17" ht="16.95" customHeight="1" x14ac:dyDescent="0.3">
      <c r="B216" s="99" t="s">
        <v>273</v>
      </c>
      <c r="C216" s="178" t="str">
        <f>IF(B213&gt;0.001,"BARRA A TRACCIÓN (+)",IF(B213&lt;-0.001,"BARRA A COMPRESIÓN (-)","BARRA DE FUERZA NULA"))</f>
        <v>BARRA A TRACCIÓN (+)</v>
      </c>
      <c r="D216" s="172"/>
      <c r="E216" s="172"/>
      <c r="F216" s="173"/>
      <c r="L216" s="215"/>
      <c r="M216" s="172"/>
      <c r="N216" s="172"/>
      <c r="O216" s="172"/>
      <c r="P216" s="172"/>
      <c r="Q216" s="173"/>
    </row>
    <row r="217" spans="1:17" ht="16.95" customHeight="1" x14ac:dyDescent="0.3">
      <c r="L217" s="215"/>
      <c r="M217" s="172"/>
      <c r="N217" s="172"/>
      <c r="O217" s="172"/>
      <c r="P217" s="172"/>
      <c r="Q217" s="173"/>
    </row>
    <row r="218" spans="1:17" ht="16.95" customHeight="1" x14ac:dyDescent="0.3">
      <c r="A218" s="19" t="s">
        <v>278</v>
      </c>
      <c r="C218" s="19" t="s">
        <v>279</v>
      </c>
      <c r="D218" s="19" t="s">
        <v>280</v>
      </c>
      <c r="E218" s="19" t="s">
        <v>279</v>
      </c>
      <c r="F218" s="19" t="s">
        <v>280</v>
      </c>
      <c r="G218" s="19" t="s">
        <v>249</v>
      </c>
      <c r="L218" s="215"/>
      <c r="M218" s="172"/>
      <c r="N218" s="172"/>
      <c r="O218" s="172"/>
      <c r="P218" s="172"/>
      <c r="Q218" s="173"/>
    </row>
    <row r="219" spans="1:17" ht="16.95" customHeight="1" x14ac:dyDescent="0.3">
      <c r="C219" s="19" t="s">
        <v>282</v>
      </c>
      <c r="D219" s="19" t="s">
        <v>282</v>
      </c>
      <c r="E219" s="19" t="s">
        <v>283</v>
      </c>
      <c r="F219" s="19" t="s">
        <v>283</v>
      </c>
      <c r="L219" s="215"/>
      <c r="M219" s="172"/>
      <c r="N219" s="172"/>
      <c r="O219" s="172"/>
      <c r="P219" s="172"/>
      <c r="Q219" s="173"/>
    </row>
    <row r="220" spans="1:17" ht="16.95" customHeight="1" x14ac:dyDescent="0.3">
      <c r="A220" s="17">
        <f>N8</f>
        <v>39355.787995928731</v>
      </c>
      <c r="C220" s="92">
        <f>-J8</f>
        <v>0.78086880944303039</v>
      </c>
      <c r="D220" s="92">
        <f>-K8</f>
        <v>-0.62469504755442429</v>
      </c>
      <c r="E220" s="92">
        <f>J8</f>
        <v>-0.78086880944303039</v>
      </c>
      <c r="F220" s="92">
        <f>K8</f>
        <v>0.62469504755442429</v>
      </c>
      <c r="G220" s="96">
        <f>IFERROR(VLOOKUP(H220, A$190:D$197, 4, FALSE), 0)</f>
        <v>1.3656859830187586E-2</v>
      </c>
      <c r="H220" s="12" t="str">
        <f>"D" &amp; C16 &amp; "X"</f>
        <v>D3X</v>
      </c>
      <c r="L220" s="215"/>
      <c r="M220" s="172"/>
      <c r="N220" s="172"/>
      <c r="O220" s="172"/>
      <c r="P220" s="172"/>
      <c r="Q220" s="173"/>
    </row>
    <row r="221" spans="1:17" ht="16.95" customHeight="1" x14ac:dyDescent="0.3">
      <c r="A221" s="99" t="s">
        <v>287</v>
      </c>
      <c r="B221" s="97">
        <f>(MMULT(C220:F220, G220:G223)*A220)</f>
        <v>-6403.1242374328485</v>
      </c>
      <c r="G221" s="96">
        <f>IFERROR(VLOOKUP(H221, A$190:D$197, 4, FALSE), 0)</f>
        <v>0</v>
      </c>
      <c r="H221" s="12" t="str">
        <f>"D" &amp; D16 &amp; "Y"</f>
        <v>D3Y</v>
      </c>
      <c r="L221" s="215"/>
      <c r="M221" s="172"/>
      <c r="N221" s="172"/>
      <c r="O221" s="172"/>
      <c r="P221" s="172"/>
      <c r="Q221" s="173"/>
    </row>
    <row r="222" spans="1:17" ht="16.95" customHeight="1" x14ac:dyDescent="0.3">
      <c r="G222" s="96">
        <f>IFERROR(VLOOKUP(H222, A$190:D$197, 4, FALSE), 0)</f>
        <v>6.8284299150937998E-3</v>
      </c>
      <c r="H222" s="12" t="str">
        <f>"D" &amp; E16 &amp; "X"</f>
        <v>D4X</v>
      </c>
      <c r="L222" s="215"/>
      <c r="M222" s="172"/>
      <c r="N222" s="172"/>
      <c r="O222" s="172"/>
      <c r="P222" s="172"/>
      <c r="Q222" s="173"/>
    </row>
    <row r="223" spans="1:17" ht="16.95" customHeight="1" x14ac:dyDescent="0.3">
      <c r="G223" s="96">
        <f>IFERROR(VLOOKUP(H223, A$190:D$197, 4, FALSE), 0)</f>
        <v>-0.26898007482913189</v>
      </c>
      <c r="H223" s="12" t="str">
        <f>"D" &amp; F16 &amp; "Y"</f>
        <v>D4Y</v>
      </c>
      <c r="L223" s="215"/>
      <c r="M223" s="172"/>
      <c r="N223" s="172"/>
      <c r="O223" s="172"/>
      <c r="P223" s="172"/>
      <c r="Q223" s="173"/>
    </row>
    <row r="224" spans="1:17" ht="16.95" customHeight="1" x14ac:dyDescent="0.3">
      <c r="B224" s="99" t="s">
        <v>273</v>
      </c>
      <c r="C224" s="178" t="str">
        <f>IF(B221&gt;0.001,"BARRA A TRACCIÓN (+)",IF(B221&lt;-0.001,"BARRA A COMPRESIÓN (-)","BARRA DE FUERZA NULA"))</f>
        <v>BARRA A COMPRESIÓN (-)</v>
      </c>
      <c r="D224" s="172"/>
      <c r="E224" s="172"/>
      <c r="F224" s="173"/>
      <c r="L224" s="215"/>
      <c r="M224" s="172"/>
      <c r="N224" s="172"/>
      <c r="O224" s="172"/>
      <c r="P224" s="172"/>
      <c r="Q224" s="173"/>
    </row>
    <row r="225" spans="1:17" ht="16.95" customHeight="1" x14ac:dyDescent="0.3">
      <c r="L225" s="215"/>
      <c r="M225" s="172"/>
      <c r="N225" s="172"/>
      <c r="O225" s="172"/>
      <c r="P225" s="172"/>
      <c r="Q225" s="173"/>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39355.787995928731</v>
      </c>
      <c r="C228" s="92">
        <f>-J9</f>
        <v>0.78086880944303039</v>
      </c>
      <c r="D228" s="92">
        <f>-K9</f>
        <v>0.62469504755442429</v>
      </c>
      <c r="E228" s="92">
        <f>J9</f>
        <v>-0.78086880944303039</v>
      </c>
      <c r="F228" s="92">
        <f>K9</f>
        <v>-0.62469504755442429</v>
      </c>
      <c r="G228" s="96">
        <f>IFERROR(VLOOKUP(H228, A$190:D$197, 4, FALSE), 0)</f>
        <v>6.8284299150937998E-3</v>
      </c>
      <c r="H228" s="12" t="str">
        <f>"D" &amp; C17 &amp; "X"</f>
        <v>D4X</v>
      </c>
    </row>
    <row r="229" spans="1:17" ht="19.95" customHeight="1" x14ac:dyDescent="0.3">
      <c r="A229" s="99" t="s">
        <v>288</v>
      </c>
      <c r="B229" s="97">
        <f>(MMULT(C228:F228, G228:G231)*A228)</f>
        <v>-6403.1242374328485</v>
      </c>
      <c r="G229" s="96">
        <f>IFERROR(VLOOKUP(H229, A$190:D$197, 4, FALSE), 0)</f>
        <v>-0.26898007482913189</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78" t="str">
        <f>IF(B229&gt;0.001,"BARRA A TRACCIÓN (+)",IF(B229&lt;-0.001,"BARRA A COMPRESIÓN (-)","BARRA DE FUERZA NULA"))</f>
        <v>BARRA A COMPRESIÓN (-)</v>
      </c>
      <c r="D232" s="172"/>
      <c r="E232" s="172"/>
      <c r="F232" s="173"/>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42000</v>
      </c>
      <c r="C236" s="92">
        <f>-J10</f>
        <v>0</v>
      </c>
      <c r="D236" s="92">
        <f>-K10</f>
        <v>-1</v>
      </c>
      <c r="E236" s="92">
        <f>J10</f>
        <v>0</v>
      </c>
      <c r="F236" s="92">
        <f>K10</f>
        <v>1</v>
      </c>
      <c r="G236" s="96">
        <f>IFERROR(VLOOKUP(H236, A$190:D$197, 4, FALSE), 0)</f>
        <v>6.8284299150937929E-3</v>
      </c>
      <c r="H236" s="12" t="str">
        <f>"D" &amp; C18 &amp; "X"</f>
        <v>D2X</v>
      </c>
    </row>
    <row r="237" spans="1:17" ht="19.95" customHeight="1" x14ac:dyDescent="0.3">
      <c r="A237" s="99" t="s">
        <v>289</v>
      </c>
      <c r="B237" s="97">
        <f>(MMULT(C236:F236, G236:G239)*A236)</f>
        <v>999.99999999999875</v>
      </c>
      <c r="G237" s="96">
        <f>IFERROR(VLOOKUP(H237, A$190:D$197, 4, FALSE), 0)</f>
        <v>-0.29278959863865567</v>
      </c>
      <c r="H237" s="12" t="str">
        <f>"D" &amp; D18 &amp; "Y"</f>
        <v>D2Y</v>
      </c>
    </row>
    <row r="238" spans="1:17" ht="19.95" customHeight="1" x14ac:dyDescent="0.3">
      <c r="G238" s="96">
        <f>IFERROR(VLOOKUP(H238, A$190:D$197, 4, FALSE), 0)</f>
        <v>6.8284299150937998E-3</v>
      </c>
      <c r="H238" s="12" t="str">
        <f>"D" &amp; E18 &amp; "X"</f>
        <v>D4X</v>
      </c>
    </row>
    <row r="239" spans="1:17" ht="19.95" customHeight="1" x14ac:dyDescent="0.3">
      <c r="G239" s="96">
        <f>IFERROR(VLOOKUP(H239, A$190:D$197, 4, FALSE), 0)</f>
        <v>-0.26898007482913189</v>
      </c>
      <c r="H239" s="12" t="str">
        <f>"D" &amp; F18 &amp; "Y"</f>
        <v>D4Y</v>
      </c>
    </row>
    <row r="240" spans="1:17" ht="19.95" customHeight="1" x14ac:dyDescent="0.3">
      <c r="B240" s="99" t="s">
        <v>273</v>
      </c>
      <c r="C240" s="178" t="str">
        <f>IF(B237&gt;0.001,"BARRA A TRACCIÓN (+)",IF(B237&lt;-0.001,"BARRA A COMPRESIÓN (-)","BARRA DE FUERZA NULA"))</f>
        <v>BARRA A TRACCIÓN (+)</v>
      </c>
      <c r="D240" s="172"/>
      <c r="E240" s="172"/>
      <c r="F240" s="173"/>
    </row>
    <row r="243" spans="2:8" ht="22.05" customHeight="1" x14ac:dyDescent="0.3">
      <c r="B243" s="217" t="s">
        <v>404</v>
      </c>
      <c r="C243" s="175"/>
      <c r="D243" s="175"/>
      <c r="E243" s="175"/>
      <c r="F243" s="175"/>
      <c r="G243" s="175"/>
      <c r="H243" s="17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538.51648071345039</v>
      </c>
      <c r="F245" s="9">
        <f>L6</f>
        <v>12</v>
      </c>
      <c r="G245" s="97">
        <f>B205</f>
        <v>5385.1648071345044</v>
      </c>
      <c r="H245" s="84" t="str">
        <f>C208</f>
        <v>BARRA A TRACCIÓN (+)</v>
      </c>
    </row>
    <row r="246" spans="2:8" ht="19.95" customHeight="1" x14ac:dyDescent="0.3">
      <c r="B246" s="25">
        <v>2</v>
      </c>
      <c r="C246" s="86">
        <f>C15</f>
        <v>2</v>
      </c>
      <c r="D246" s="86">
        <f>E15</f>
        <v>3</v>
      </c>
      <c r="E246" s="9">
        <f>I7</f>
        <v>538.51648071345039</v>
      </c>
      <c r="F246" s="9">
        <f>L7</f>
        <v>12</v>
      </c>
      <c r="G246" s="97">
        <f>B213</f>
        <v>5385.1648071345044</v>
      </c>
      <c r="H246" s="84" t="str">
        <f>C216</f>
        <v>BARRA A TRACCIÓN (+)</v>
      </c>
    </row>
    <row r="247" spans="2:8" ht="19.95" customHeight="1" x14ac:dyDescent="0.3">
      <c r="B247" s="26">
        <v>3</v>
      </c>
      <c r="C247" s="86">
        <f>C16</f>
        <v>3</v>
      </c>
      <c r="D247" s="86">
        <f>E16</f>
        <v>4</v>
      </c>
      <c r="E247" s="9">
        <f>I8</f>
        <v>640.31242374328485</v>
      </c>
      <c r="F247" s="9">
        <f>L8</f>
        <v>12</v>
      </c>
      <c r="G247" s="97">
        <f>B221</f>
        <v>-6403.1242374328485</v>
      </c>
      <c r="H247" s="84" t="str">
        <f>C224</f>
        <v>BARRA A COMPRESIÓN (-)</v>
      </c>
    </row>
    <row r="248" spans="2:8" ht="19.95" customHeight="1" x14ac:dyDescent="0.3">
      <c r="B248" s="43">
        <v>4</v>
      </c>
      <c r="C248" s="86">
        <f>C17</f>
        <v>4</v>
      </c>
      <c r="D248" s="86">
        <f>E17</f>
        <v>1</v>
      </c>
      <c r="E248" s="9">
        <f>I9</f>
        <v>640.31242374328485</v>
      </c>
      <c r="F248" s="9">
        <f>L9</f>
        <v>12</v>
      </c>
      <c r="G248" s="97">
        <f>B229</f>
        <v>-6403.1242374328485</v>
      </c>
      <c r="H248" s="84" t="str">
        <f>C232</f>
        <v>BARRA A COMPRESIÓN (-)</v>
      </c>
    </row>
    <row r="249" spans="2:8" ht="19.95" customHeight="1" x14ac:dyDescent="0.3">
      <c r="B249" s="44">
        <v>5</v>
      </c>
      <c r="C249" s="86">
        <f>C18</f>
        <v>2</v>
      </c>
      <c r="D249" s="86">
        <f>E18</f>
        <v>4</v>
      </c>
      <c r="E249" s="9">
        <f>I10</f>
        <v>600</v>
      </c>
      <c r="F249" s="9">
        <f>L10</f>
        <v>12</v>
      </c>
      <c r="G249" s="97">
        <f>B237</f>
        <v>999.99999999999875</v>
      </c>
      <c r="H249" s="84" t="str">
        <f>C240</f>
        <v>BARRA A TRACCIÓN (+)</v>
      </c>
    </row>
  </sheetData>
  <mergeCells count="1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L184:Q184"/>
    <mergeCell ref="L126:Q126"/>
    <mergeCell ref="L157:Q157"/>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475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200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-12000</v>
      </c>
      <c r="J15" s="205" t="s">
        <v>476</v>
      </c>
      <c r="K15" s="172"/>
      <c r="L15" s="172"/>
      <c r="M15" s="172"/>
      <c r="N15" s="172"/>
      <c r="O15" s="173"/>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200</v>
      </c>
      <c r="D17" s="21">
        <v>300</v>
      </c>
      <c r="E17" s="21" t="s">
        <v>326</v>
      </c>
      <c r="F17" s="88">
        <f t="shared" si="0"/>
        <v>0</v>
      </c>
      <c r="G17" s="88">
        <f t="shared" si="1"/>
        <v>0</v>
      </c>
      <c r="H17" s="22">
        <v>0</v>
      </c>
      <c r="I17" s="22">
        <v>0</v>
      </c>
      <c r="J17" s="205" t="s">
        <v>477</v>
      </c>
      <c r="K17" s="172"/>
      <c r="L17" s="172"/>
      <c r="M17" s="172"/>
      <c r="N17" s="172"/>
      <c r="O17" s="173"/>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205" t="s">
        <v>478</v>
      </c>
      <c r="K18" s="172"/>
      <c r="L18" s="172"/>
      <c r="M18" s="172"/>
      <c r="N18" s="172"/>
      <c r="O18" s="173"/>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300</v>
      </c>
      <c r="AC23" t="s">
        <v>338</v>
      </c>
    </row>
    <row r="24" spans="2:29" x14ac:dyDescent="0.3">
      <c r="AA24" s="20">
        <f>IF(G34="","",G34)</f>
        <v>800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100-000000000000}">
      <formula1>"Fijo (articulado),Rodillo Y (despl. X libre),Rodillo X (despl. Y libre),Libre (0 reac.)"</formula1>
    </dataValidation>
  </dataValidations>
  <pageMargins left="0.75" right="0.75" top="1" bottom="1" header="0.5" footer="0.5"/>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479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GRAFICA_16!E28</f>
        <v>0</v>
      </c>
      <c r="D6" s="22">
        <f>GRAFICA_16!F28</f>
        <v>0</v>
      </c>
      <c r="E6" s="22">
        <f>GRAFICA_16!G28</f>
        <v>400</v>
      </c>
      <c r="F6" s="22">
        <f>GRAFICA_16!H28</f>
        <v>0</v>
      </c>
      <c r="G6" s="9">
        <f t="shared" ref="G6:H12" si="0">E6-C6</f>
        <v>400</v>
      </c>
      <c r="H6" s="9">
        <f t="shared" si="0"/>
        <v>0</v>
      </c>
      <c r="I6" s="9">
        <f t="shared" ref="I6:I12" si="1">SQRT(G6*G6+H6*H6)</f>
        <v>400</v>
      </c>
      <c r="J6" s="92">
        <f t="shared" ref="J6:J12" si="2">G6/I6</f>
        <v>1</v>
      </c>
      <c r="K6" s="92">
        <f t="shared" ref="K6:K12" si="3">H6/I6</f>
        <v>0</v>
      </c>
      <c r="L6" s="22">
        <f>GRAFICA_16!N28</f>
        <v>12</v>
      </c>
      <c r="M6" s="22">
        <f>GRAFICA_16!O28</f>
        <v>2100000</v>
      </c>
      <c r="N6" s="6">
        <f t="shared" ref="N6:N12" si="4">L6*M6/I6</f>
        <v>63000</v>
      </c>
    </row>
    <row r="7" spans="2:14" ht="19.05" customHeight="1" x14ac:dyDescent="0.3">
      <c r="B7" s="25">
        <v>2</v>
      </c>
      <c r="C7" s="22">
        <f>GRAFICA_16!E29</f>
        <v>400</v>
      </c>
      <c r="D7" s="22">
        <f>GRAFICA_16!F29</f>
        <v>0</v>
      </c>
      <c r="E7" s="22">
        <f>GRAFICA_16!G29</f>
        <v>800</v>
      </c>
      <c r="F7" s="22">
        <f>GRAFICA_16!H29</f>
        <v>0</v>
      </c>
      <c r="G7" s="9">
        <f t="shared" si="0"/>
        <v>400</v>
      </c>
      <c r="H7" s="9">
        <f t="shared" si="0"/>
        <v>0</v>
      </c>
      <c r="I7" s="9">
        <f t="shared" si="1"/>
        <v>400</v>
      </c>
      <c r="J7" s="92">
        <f t="shared" si="2"/>
        <v>1</v>
      </c>
      <c r="K7" s="92">
        <f t="shared" si="3"/>
        <v>0</v>
      </c>
      <c r="L7" s="22">
        <f>GRAFICA_16!N29</f>
        <v>12</v>
      </c>
      <c r="M7" s="22">
        <f>GRAFICA_16!O29</f>
        <v>2100000</v>
      </c>
      <c r="N7" s="6">
        <f t="shared" si="4"/>
        <v>63000</v>
      </c>
    </row>
    <row r="8" spans="2:14" ht="19.05" customHeight="1" x14ac:dyDescent="0.3">
      <c r="B8" s="26">
        <v>3</v>
      </c>
      <c r="C8" s="22">
        <f>GRAFICA_16!E30</f>
        <v>0</v>
      </c>
      <c r="D8" s="22">
        <f>GRAFICA_16!F30</f>
        <v>0</v>
      </c>
      <c r="E8" s="22">
        <f>GRAFICA_16!G30</f>
        <v>200</v>
      </c>
      <c r="F8" s="22">
        <f>GRAFICA_16!H30</f>
        <v>300</v>
      </c>
      <c r="G8" s="9">
        <f t="shared" si="0"/>
        <v>200</v>
      </c>
      <c r="H8" s="9">
        <f t="shared" si="0"/>
        <v>300</v>
      </c>
      <c r="I8" s="9">
        <f t="shared" si="1"/>
        <v>360.55512754639892</v>
      </c>
      <c r="J8" s="92">
        <f t="shared" si="2"/>
        <v>0.55470019622522915</v>
      </c>
      <c r="K8" s="92">
        <f t="shared" si="3"/>
        <v>0.83205029433784372</v>
      </c>
      <c r="L8" s="22">
        <f>GRAFICA_16!N30</f>
        <v>12</v>
      </c>
      <c r="M8" s="22">
        <f>GRAFICA_16!O30</f>
        <v>2100000</v>
      </c>
      <c r="N8" s="6">
        <f t="shared" si="4"/>
        <v>69892.224724378873</v>
      </c>
    </row>
    <row r="9" spans="2:14" ht="19.05" customHeight="1" x14ac:dyDescent="0.3">
      <c r="B9" s="43">
        <v>4</v>
      </c>
      <c r="C9" s="22">
        <f>GRAFICA_16!E31</f>
        <v>200</v>
      </c>
      <c r="D9" s="22">
        <f>GRAFICA_16!F31</f>
        <v>300</v>
      </c>
      <c r="E9" s="22">
        <f>GRAFICA_16!G31</f>
        <v>400</v>
      </c>
      <c r="F9" s="22">
        <f>GRAFICA_16!H31</f>
        <v>0</v>
      </c>
      <c r="G9" s="9">
        <f t="shared" si="0"/>
        <v>200</v>
      </c>
      <c r="H9" s="9">
        <f t="shared" si="0"/>
        <v>-300</v>
      </c>
      <c r="I9" s="9">
        <f t="shared" si="1"/>
        <v>360.55512754639892</v>
      </c>
      <c r="J9" s="92">
        <f t="shared" si="2"/>
        <v>0.55470019622522915</v>
      </c>
      <c r="K9" s="92">
        <f t="shared" si="3"/>
        <v>-0.83205029433784372</v>
      </c>
      <c r="L9" s="22">
        <f>GRAFICA_16!N31</f>
        <v>12</v>
      </c>
      <c r="M9" s="22">
        <f>GRAFICA_16!O31</f>
        <v>2100000</v>
      </c>
      <c r="N9" s="6">
        <f t="shared" si="4"/>
        <v>69892.224724378873</v>
      </c>
    </row>
    <row r="10" spans="2:14" ht="19.05" customHeight="1" x14ac:dyDescent="0.3">
      <c r="B10" s="44">
        <v>5</v>
      </c>
      <c r="C10" s="22">
        <f>GRAFICA_16!E32</f>
        <v>200</v>
      </c>
      <c r="D10" s="22">
        <f>GRAFICA_16!F32</f>
        <v>300</v>
      </c>
      <c r="E10" s="22">
        <f>GRAFICA_16!G32</f>
        <v>600</v>
      </c>
      <c r="F10" s="22">
        <f>GRAFICA_16!H32</f>
        <v>300</v>
      </c>
      <c r="G10" s="9">
        <f t="shared" si="0"/>
        <v>400</v>
      </c>
      <c r="H10" s="9">
        <f t="shared" si="0"/>
        <v>0</v>
      </c>
      <c r="I10" s="9">
        <f t="shared" si="1"/>
        <v>400</v>
      </c>
      <c r="J10" s="92">
        <f t="shared" si="2"/>
        <v>1</v>
      </c>
      <c r="K10" s="92">
        <f t="shared" si="3"/>
        <v>0</v>
      </c>
      <c r="L10" s="22">
        <f>GRAFICA_16!N32</f>
        <v>12</v>
      </c>
      <c r="M10" s="22">
        <f>GRAFICA_16!O32</f>
        <v>2100000</v>
      </c>
      <c r="N10" s="6">
        <f t="shared" si="4"/>
        <v>63000</v>
      </c>
    </row>
    <row r="11" spans="2:14" ht="19.05" customHeight="1" x14ac:dyDescent="0.3">
      <c r="B11" s="51">
        <v>6</v>
      </c>
      <c r="C11" s="22">
        <f>GRAFICA_16!E33</f>
        <v>400</v>
      </c>
      <c r="D11" s="22">
        <f>GRAFICA_16!F33</f>
        <v>0</v>
      </c>
      <c r="E11" s="22">
        <f>GRAFICA_16!G33</f>
        <v>600</v>
      </c>
      <c r="F11" s="22">
        <f>GRAFICA_16!H33</f>
        <v>300</v>
      </c>
      <c r="G11" s="9">
        <f t="shared" si="0"/>
        <v>200</v>
      </c>
      <c r="H11" s="9">
        <f t="shared" si="0"/>
        <v>300</v>
      </c>
      <c r="I11" s="9">
        <f t="shared" si="1"/>
        <v>360.55512754639892</v>
      </c>
      <c r="J11" s="92">
        <f t="shared" si="2"/>
        <v>0.55470019622522915</v>
      </c>
      <c r="K11" s="92">
        <f t="shared" si="3"/>
        <v>0.83205029433784372</v>
      </c>
      <c r="L11" s="22">
        <f>GRAFICA_16!N33</f>
        <v>12</v>
      </c>
      <c r="M11" s="22">
        <f>GRAFICA_16!O33</f>
        <v>2100000</v>
      </c>
      <c r="N11" s="6">
        <f t="shared" si="4"/>
        <v>69892.224724378873</v>
      </c>
    </row>
    <row r="12" spans="2:14" ht="19.05" customHeight="1" x14ac:dyDescent="0.3">
      <c r="B12" s="52">
        <v>7</v>
      </c>
      <c r="C12" s="22">
        <f>GRAFICA_16!E34</f>
        <v>600</v>
      </c>
      <c r="D12" s="22">
        <f>GRAFICA_16!F34</f>
        <v>300</v>
      </c>
      <c r="E12" s="22">
        <f>GRAFICA_16!G34</f>
        <v>800</v>
      </c>
      <c r="F12" s="22">
        <f>GRAFICA_16!H34</f>
        <v>0</v>
      </c>
      <c r="G12" s="9">
        <f t="shared" si="0"/>
        <v>200</v>
      </c>
      <c r="H12" s="9">
        <f t="shared" si="0"/>
        <v>-300</v>
      </c>
      <c r="I12" s="9">
        <f t="shared" si="1"/>
        <v>360.55512754639892</v>
      </c>
      <c r="J12" s="92">
        <f t="shared" si="2"/>
        <v>0.55470019622522915</v>
      </c>
      <c r="K12" s="92">
        <f t="shared" si="3"/>
        <v>-0.83205029433784372</v>
      </c>
      <c r="L12" s="22">
        <f>GRAFICA_16!N34</f>
        <v>12</v>
      </c>
      <c r="M12" s="22">
        <f>GRAFICA_16!O34</f>
        <v>2100000</v>
      </c>
      <c r="N12" s="6">
        <f t="shared" si="4"/>
        <v>69892.224724378873</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GRAFICA_16!C28</f>
        <v>1</v>
      </c>
      <c r="D16" s="23">
        <f>GRAFICA_16!C28</f>
        <v>1</v>
      </c>
      <c r="E16" s="23">
        <f>GRAFICA_16!D28</f>
        <v>2</v>
      </c>
      <c r="F16" s="23">
        <f>GRAFICA_16!D28</f>
        <v>2</v>
      </c>
    </row>
    <row r="17" spans="1:12" ht="19.05" customHeight="1" x14ac:dyDescent="0.3">
      <c r="B17" s="25">
        <v>2</v>
      </c>
      <c r="C17" s="23">
        <f>GRAFICA_16!C29</f>
        <v>2</v>
      </c>
      <c r="D17" s="23">
        <f>GRAFICA_16!C29</f>
        <v>2</v>
      </c>
      <c r="E17" s="23">
        <f>GRAFICA_16!D29</f>
        <v>3</v>
      </c>
      <c r="F17" s="23">
        <f>GRAFICA_16!D29</f>
        <v>3</v>
      </c>
    </row>
    <row r="18" spans="1:12" ht="19.05" customHeight="1" x14ac:dyDescent="0.3">
      <c r="B18" s="26">
        <v>3</v>
      </c>
      <c r="C18" s="23">
        <f>GRAFICA_16!C30</f>
        <v>1</v>
      </c>
      <c r="D18" s="23">
        <f>GRAFICA_16!C30</f>
        <v>1</v>
      </c>
      <c r="E18" s="23">
        <f>GRAFICA_16!D30</f>
        <v>4</v>
      </c>
      <c r="F18" s="23">
        <f>GRAFICA_16!D30</f>
        <v>4</v>
      </c>
    </row>
    <row r="19" spans="1:12" ht="19.05" customHeight="1" x14ac:dyDescent="0.3">
      <c r="B19" s="43">
        <v>4</v>
      </c>
      <c r="C19" s="23">
        <f>GRAFICA_16!C31</f>
        <v>4</v>
      </c>
      <c r="D19" s="23">
        <f>GRAFICA_16!C31</f>
        <v>4</v>
      </c>
      <c r="E19" s="23">
        <f>GRAFICA_16!D31</f>
        <v>2</v>
      </c>
      <c r="F19" s="23">
        <f>GRAFICA_16!D31</f>
        <v>2</v>
      </c>
    </row>
    <row r="20" spans="1:12" ht="19.05" customHeight="1" x14ac:dyDescent="0.3">
      <c r="B20" s="44">
        <v>5</v>
      </c>
      <c r="C20" s="23">
        <f>GRAFICA_16!C32</f>
        <v>4</v>
      </c>
      <c r="D20" s="23">
        <f>GRAFICA_16!C32</f>
        <v>4</v>
      </c>
      <c r="E20" s="23">
        <f>GRAFICA_16!D32</f>
        <v>5</v>
      </c>
      <c r="F20" s="23">
        <f>GRAFICA_16!D32</f>
        <v>5</v>
      </c>
    </row>
    <row r="21" spans="1:12" ht="19.05" customHeight="1" x14ac:dyDescent="0.3">
      <c r="B21" s="51">
        <v>6</v>
      </c>
      <c r="C21" s="23">
        <f>GRAFICA_16!C33</f>
        <v>2</v>
      </c>
      <c r="D21" s="23">
        <f>GRAFICA_16!C33</f>
        <v>2</v>
      </c>
      <c r="E21" s="23">
        <f>GRAFICA_16!D33</f>
        <v>5</v>
      </c>
      <c r="F21" s="23">
        <f>GRAFICA_16!D33</f>
        <v>5</v>
      </c>
    </row>
    <row r="22" spans="1:12" ht="19.05" customHeight="1" x14ac:dyDescent="0.3">
      <c r="B22" s="52">
        <v>7</v>
      </c>
      <c r="C22" s="23">
        <f>GRAFICA_16!C34</f>
        <v>5</v>
      </c>
      <c r="D22" s="23">
        <f>GRAFICA_16!C34</f>
        <v>5</v>
      </c>
      <c r="E22" s="23">
        <f>GRAFICA_16!D34</f>
        <v>3</v>
      </c>
      <c r="F22" s="23">
        <f>GRAFICA_16!D34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IF(GRAFICA_16!F14=1, B172, GRAFICA_16!H14)</f>
        <v>C1X</v>
      </c>
      <c r="N172" s="215" t="s">
        <v>376</v>
      </c>
      <c r="O172" s="172"/>
      <c r="P172" s="172"/>
      <c r="Q172" s="172"/>
      <c r="R172" s="172"/>
      <c r="S172" s="173"/>
    </row>
    <row r="173" spans="1:19" ht="16.95" customHeight="1" x14ac:dyDescent="0.3">
      <c r="B173" s="12" t="s">
        <v>210</v>
      </c>
      <c r="C173" s="12" t="s">
        <v>179</v>
      </c>
      <c r="E173" s="37" t="str">
        <f>IF(GRAFICA_16!G14=1, B173, GRAFICA_16!I14)</f>
        <v>C1Y</v>
      </c>
      <c r="N173" s="215" t="s">
        <v>211</v>
      </c>
      <c r="O173" s="172"/>
      <c r="P173" s="172"/>
      <c r="Q173" s="172"/>
      <c r="R173" s="172"/>
      <c r="S173" s="173"/>
    </row>
    <row r="174" spans="1:19" ht="16.95" customHeight="1" x14ac:dyDescent="0.3">
      <c r="B174" s="12" t="s">
        <v>212</v>
      </c>
      <c r="C174" s="12" t="s">
        <v>180</v>
      </c>
      <c r="E174" s="37">
        <f>IF(GRAFICA_16!F15=1, B174, GRAFICA_16!H15)</f>
        <v>0</v>
      </c>
      <c r="N174" s="215" t="s">
        <v>377</v>
      </c>
      <c r="O174" s="172"/>
      <c r="P174" s="172"/>
      <c r="Q174" s="172"/>
      <c r="R174" s="172"/>
      <c r="S174" s="173"/>
    </row>
    <row r="175" spans="1:19" ht="16.95" customHeight="1" x14ac:dyDescent="0.3">
      <c r="B175" s="12" t="s">
        <v>214</v>
      </c>
      <c r="C175" s="12" t="s">
        <v>181</v>
      </c>
      <c r="E175" s="37">
        <f>IF(GRAFICA_16!G15=1, B175, GRAFICA_16!I15)</f>
        <v>-12000</v>
      </c>
      <c r="N175" s="215" t="s">
        <v>215</v>
      </c>
      <c r="O175" s="172"/>
      <c r="P175" s="172"/>
      <c r="Q175" s="172"/>
      <c r="R175" s="172"/>
      <c r="S175" s="173"/>
    </row>
    <row r="176" spans="1:19" ht="16.95" customHeight="1" x14ac:dyDescent="0.3">
      <c r="A176" s="38" t="s">
        <v>218</v>
      </c>
      <c r="B176" s="12" t="s">
        <v>216</v>
      </c>
      <c r="C176" s="12" t="s">
        <v>182</v>
      </c>
      <c r="D176" s="13" t="s">
        <v>220</v>
      </c>
      <c r="E176" s="37">
        <f>IF(GRAFICA_16!F16=1, B176, GRAFICA_16!H16)</f>
        <v>0</v>
      </c>
      <c r="N176" s="215" t="s">
        <v>378</v>
      </c>
      <c r="O176" s="172"/>
      <c r="P176" s="172"/>
      <c r="Q176" s="172"/>
      <c r="R176" s="172"/>
      <c r="S176" s="173"/>
    </row>
    <row r="177" spans="1:19" ht="16.95" customHeight="1" x14ac:dyDescent="0.3">
      <c r="B177" s="12" t="s">
        <v>219</v>
      </c>
      <c r="C177" s="12" t="s">
        <v>183</v>
      </c>
      <c r="E177" s="37" t="str">
        <f>IF(GRAFICA_16!G16=1, B177, GRAFICA_16!I16)</f>
        <v>C3Y</v>
      </c>
      <c r="N177" s="215" t="s">
        <v>379</v>
      </c>
      <c r="O177" s="172"/>
      <c r="P177" s="172"/>
      <c r="Q177" s="172"/>
      <c r="R177" s="172"/>
      <c r="S177" s="173"/>
    </row>
    <row r="178" spans="1:19" ht="16.95" customHeight="1" x14ac:dyDescent="0.3">
      <c r="B178" s="12" t="s">
        <v>221</v>
      </c>
      <c r="C178" s="12" t="s">
        <v>184</v>
      </c>
      <c r="E178" s="37">
        <f>IF(GRAFICA_16!F17=1, B178, GRAFICA_16!H17)</f>
        <v>0</v>
      </c>
      <c r="N178" s="215"/>
      <c r="O178" s="172"/>
      <c r="P178" s="172"/>
      <c r="Q178" s="172"/>
      <c r="R178" s="172"/>
      <c r="S178" s="173"/>
    </row>
    <row r="179" spans="1:19" ht="16.95" customHeight="1" x14ac:dyDescent="0.3">
      <c r="B179" s="12" t="s">
        <v>222</v>
      </c>
      <c r="C179" s="12" t="s">
        <v>185</v>
      </c>
      <c r="E179" s="37">
        <f>IF(GRAFICA_16!G17=1, B179, GRAFICA_16!I17)</f>
        <v>0</v>
      </c>
      <c r="N179" s="215"/>
      <c r="O179" s="172"/>
      <c r="P179" s="172"/>
      <c r="Q179" s="172"/>
      <c r="R179" s="172"/>
      <c r="S179" s="173"/>
    </row>
    <row r="180" spans="1:19" ht="16.95" customHeight="1" x14ac:dyDescent="0.3">
      <c r="B180" s="12" t="s">
        <v>223</v>
      </c>
      <c r="C180" s="12" t="s">
        <v>186</v>
      </c>
      <c r="E180" s="37">
        <f>IF(GRAFICA_16!F18=1, B180, GRAFICA_16!H18)</f>
        <v>0</v>
      </c>
      <c r="N180" s="215"/>
      <c r="O180" s="172"/>
      <c r="P180" s="172"/>
      <c r="Q180" s="172"/>
      <c r="R180" s="172"/>
      <c r="S180" s="173"/>
    </row>
    <row r="181" spans="1:19" ht="16.95" customHeight="1" x14ac:dyDescent="0.3">
      <c r="B181" s="12" t="s">
        <v>224</v>
      </c>
      <c r="C181" s="12" t="s">
        <v>187</v>
      </c>
      <c r="E181" s="37">
        <f>IF(GRAFICA_16!G18=1, B181, GRAFICA_16!I18)</f>
        <v>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IF(GRAFICA_16!F14=1,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IF(GRAFICA_16!G14=1,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IF(GRAFICA_16!F15=1,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IF(GRAFICA_16!G15=1,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IF(GRAFICA_16!F16=1,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IF(GRAFICA_16!G16=1,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IF(GRAFICA_16!F17=1,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IF(GRAFICA_16!G17=1,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IF(GRAFICA_16!F18=1,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IF(GRAFICA_16!G18=1,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-63000</v>
      </c>
      <c r="D200" s="9">
        <f t="shared" si="25"/>
        <v>0</v>
      </c>
      <c r="E200" s="41">
        <f t="shared" si="25"/>
        <v>169010.59983038699</v>
      </c>
      <c r="F200" s="41">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215" t="s">
        <v>254</v>
      </c>
      <c r="O200" s="172"/>
      <c r="P200" s="172"/>
      <c r="Q200" s="172"/>
      <c r="R200" s="172"/>
      <c r="S200" s="173"/>
    </row>
    <row r="201" spans="1:19" ht="16.95" customHeight="1" x14ac:dyDescent="0.3">
      <c r="A201" s="41">
        <f t="shared" si="22"/>
        <v>-12000</v>
      </c>
      <c r="C201" s="9">
        <f t="shared" ref="C201:L201" si="26">B162</f>
        <v>0</v>
      </c>
      <c r="D201" s="9">
        <f t="shared" si="26"/>
        <v>0</v>
      </c>
      <c r="E201" s="41">
        <f t="shared" si="26"/>
        <v>0</v>
      </c>
      <c r="F201" s="41">
        <f t="shared" si="26"/>
        <v>96773.849618370761</v>
      </c>
      <c r="G201" s="41">
        <f t="shared" si="26"/>
        <v>0</v>
      </c>
      <c r="H201" s="9">
        <f t="shared" si="26"/>
        <v>0</v>
      </c>
      <c r="I201" s="41">
        <f t="shared" si="26"/>
        <v>32257.94987279025</v>
      </c>
      <c r="J201" s="41">
        <f t="shared" si="26"/>
        <v>-48386.924809185381</v>
      </c>
      <c r="K201" s="41">
        <f t="shared" si="26"/>
        <v>-32257.94987279025</v>
      </c>
      <c r="L201" s="41">
        <f t="shared" si="26"/>
        <v>-48386.924809185381</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-63000</v>
      </c>
      <c r="F202" s="41">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219">
        <f>E189</f>
        <v>0</v>
      </c>
      <c r="O203" s="172"/>
      <c r="P203" s="172"/>
      <c r="Q203" s="172"/>
      <c r="R203" s="172"/>
      <c r="S203" s="173"/>
    </row>
    <row r="204" spans="1:19" ht="16.95" customHeight="1" x14ac:dyDescent="0.3">
      <c r="A204" s="41">
        <f t="shared" si="22"/>
        <v>0</v>
      </c>
      <c r="C204" s="9">
        <f t="shared" ref="C204:L204" si="29">B165</f>
        <v>-21505.2999151935</v>
      </c>
      <c r="D204" s="9">
        <f t="shared" si="29"/>
        <v>-32257.94987279025</v>
      </c>
      <c r="E204" s="41">
        <f t="shared" si="29"/>
        <v>-21505.2999151935</v>
      </c>
      <c r="F204" s="41">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215" t="str">
        <f>E190</f>
        <v>D4X</v>
      </c>
      <c r="O204" s="172"/>
      <c r="P204" s="172"/>
      <c r="Q204" s="172"/>
      <c r="R204" s="172"/>
      <c r="S204" s="173"/>
    </row>
    <row r="205" spans="1:19" ht="16.95" customHeight="1" x14ac:dyDescent="0.3">
      <c r="A205" s="41">
        <f t="shared" si="22"/>
        <v>0</v>
      </c>
      <c r="C205" s="9">
        <f t="shared" ref="C205:L205" si="30">B166</f>
        <v>-32257.94987279025</v>
      </c>
      <c r="D205" s="9">
        <f t="shared" si="30"/>
        <v>-48386.924809185381</v>
      </c>
      <c r="E205" s="41">
        <f t="shared" si="30"/>
        <v>32257.94987279025</v>
      </c>
      <c r="F205" s="41">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-21505.2999151935</v>
      </c>
      <c r="F206" s="41">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215" t="str">
        <f>E192</f>
        <v>D5X</v>
      </c>
      <c r="O206" s="172"/>
      <c r="P206" s="172"/>
      <c r="Q206" s="172"/>
      <c r="R206" s="172"/>
      <c r="S206" s="173"/>
    </row>
    <row r="207" spans="1:19" ht="16.95" customHeight="1" x14ac:dyDescent="0.3">
      <c r="A207" s="41">
        <f t="shared" si="22"/>
        <v>0</v>
      </c>
      <c r="C207" s="9">
        <f t="shared" ref="C207:L207" si="32">B168</f>
        <v>0</v>
      </c>
      <c r="D207" s="9">
        <f t="shared" si="32"/>
        <v>0</v>
      </c>
      <c r="E207" s="41">
        <f t="shared" si="32"/>
        <v>-32257.94987279025</v>
      </c>
      <c r="F207" s="41">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169010.59983038699</v>
      </c>
      <c r="D212" s="41">
        <f t="shared" si="34"/>
        <v>0</v>
      </c>
      <c r="E212" s="41">
        <f t="shared" si="34"/>
        <v>-63000</v>
      </c>
      <c r="F212" s="41">
        <f t="shared" si="34"/>
        <v>-21505.2999151935</v>
      </c>
      <c r="G212" s="41">
        <f t="shared" si="34"/>
        <v>32257.94987279025</v>
      </c>
      <c r="H212" s="41">
        <f t="shared" si="34"/>
        <v>-21505.2999151935</v>
      </c>
      <c r="I212" s="41">
        <f t="shared" si="34"/>
        <v>-32257.94987279025</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-12000</v>
      </c>
      <c r="C213" s="41">
        <f t="shared" si="34"/>
        <v>0</v>
      </c>
      <c r="D213" s="41">
        <f t="shared" si="34"/>
        <v>96773.849618370761</v>
      </c>
      <c r="E213" s="41">
        <f t="shared" si="34"/>
        <v>0</v>
      </c>
      <c r="F213" s="41">
        <f t="shared" si="34"/>
        <v>32257.94987279025</v>
      </c>
      <c r="G213" s="41">
        <f t="shared" si="34"/>
        <v>-48386.924809185381</v>
      </c>
      <c r="H213" s="41">
        <f t="shared" si="34"/>
        <v>-32257.94987279025</v>
      </c>
      <c r="I213" s="41">
        <f t="shared" si="34"/>
        <v>-48386.924809185381</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-63000</v>
      </c>
      <c r="D214" s="41">
        <f t="shared" si="34"/>
        <v>0</v>
      </c>
      <c r="E214" s="41">
        <f t="shared" si="34"/>
        <v>84505.299915193493</v>
      </c>
      <c r="F214" s="41">
        <f t="shared" si="34"/>
        <v>0</v>
      </c>
      <c r="G214" s="41">
        <f t="shared" si="34"/>
        <v>0</v>
      </c>
      <c r="H214" s="41">
        <f t="shared" si="34"/>
        <v>-21505.2999151935</v>
      </c>
      <c r="I214" s="41">
        <f t="shared" si="34"/>
        <v>32257.94987279025</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0</v>
      </c>
      <c r="B215" s="13" t="s">
        <v>220</v>
      </c>
      <c r="C215" s="41">
        <f t="shared" si="34"/>
        <v>-21505.2999151935</v>
      </c>
      <c r="D215" s="41">
        <f t="shared" si="34"/>
        <v>32257.94987279025</v>
      </c>
      <c r="E215" s="41">
        <f t="shared" si="34"/>
        <v>0</v>
      </c>
      <c r="F215" s="41">
        <f t="shared" si="34"/>
        <v>106010.599830387</v>
      </c>
      <c r="G215" s="41">
        <f t="shared" si="34"/>
        <v>0</v>
      </c>
      <c r="H215" s="41">
        <f t="shared" si="34"/>
        <v>-63000</v>
      </c>
      <c r="I215" s="41">
        <f t="shared" si="34"/>
        <v>0</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0</v>
      </c>
      <c r="C216" s="41">
        <f t="shared" si="34"/>
        <v>32257.94987279025</v>
      </c>
      <c r="D216" s="41">
        <f t="shared" si="34"/>
        <v>-48386.924809185381</v>
      </c>
      <c r="E216" s="41">
        <f t="shared" si="34"/>
        <v>0</v>
      </c>
      <c r="F216" s="41">
        <f t="shared" si="34"/>
        <v>0</v>
      </c>
      <c r="G216" s="41">
        <f t="shared" si="34"/>
        <v>96773.849618370761</v>
      </c>
      <c r="H216" s="41">
        <f t="shared" si="34"/>
        <v>0</v>
      </c>
      <c r="I216" s="41">
        <f t="shared" si="34"/>
        <v>0</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0</v>
      </c>
      <c r="C217" s="41">
        <f t="shared" si="34"/>
        <v>-21505.2999151935</v>
      </c>
      <c r="D217" s="41">
        <f t="shared" si="34"/>
        <v>-32257.94987279025</v>
      </c>
      <c r="E217" s="41">
        <f t="shared" si="34"/>
        <v>-21505.2999151935</v>
      </c>
      <c r="F217" s="41">
        <f t="shared" si="34"/>
        <v>-63000</v>
      </c>
      <c r="G217" s="41">
        <f t="shared" si="34"/>
        <v>0</v>
      </c>
      <c r="H217" s="41">
        <f t="shared" si="34"/>
        <v>106010.59983038699</v>
      </c>
      <c r="I217" s="41">
        <f t="shared" si="34"/>
        <v>0</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0</v>
      </c>
      <c r="C218" s="41">
        <f t="shared" si="34"/>
        <v>-32257.94987279025</v>
      </c>
      <c r="D218" s="41">
        <f t="shared" si="34"/>
        <v>-48386.924809185381</v>
      </c>
      <c r="E218" s="41">
        <f t="shared" si="34"/>
        <v>32257.94987279025</v>
      </c>
      <c r="F218" s="41">
        <f t="shared" si="34"/>
        <v>0</v>
      </c>
      <c r="G218" s="41">
        <f t="shared" si="34"/>
        <v>0</v>
      </c>
      <c r="H218" s="41">
        <f t="shared" si="34"/>
        <v>0</v>
      </c>
      <c r="I218" s="41">
        <f t="shared" si="34"/>
        <v>96773.849618370761</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1.5873015873015879E-5</v>
      </c>
      <c r="D222" s="93">
        <v>-5.2910052910052919E-6</v>
      </c>
      <c r="E222" s="93">
        <v>1.5873015873015882E-5</v>
      </c>
      <c r="F222" s="93">
        <v>1.190476190476191E-5</v>
      </c>
      <c r="G222" s="93">
        <v>-7.9365079365079396E-6</v>
      </c>
      <c r="H222" s="93">
        <v>1.1904761904761914E-5</v>
      </c>
      <c r="I222" s="93">
        <v>-2.6455026455026464E-6</v>
      </c>
      <c r="K222" s="17">
        <f t="shared" ref="K222:K228" si="36">A212</f>
        <v>0</v>
      </c>
      <c r="N222" s="215"/>
      <c r="O222" s="172"/>
      <c r="P222" s="172"/>
      <c r="Q222" s="172"/>
      <c r="R222" s="172"/>
      <c r="S222" s="173"/>
    </row>
    <row r="223" spans="1:19" ht="16.95" customHeight="1" x14ac:dyDescent="0.3">
      <c r="A223" s="12" t="str">
        <f t="shared" si="35"/>
        <v>D2Y</v>
      </c>
      <c r="C223" s="93">
        <v>-5.2910052910052902E-6</v>
      </c>
      <c r="D223" s="93">
        <v>3.1248750697103983E-5</v>
      </c>
      <c r="E223" s="93">
        <v>-1.058201058201058E-5</v>
      </c>
      <c r="F223" s="93">
        <v>-1.058201058201058E-5</v>
      </c>
      <c r="G223" s="93">
        <v>1.7388043778887091E-5</v>
      </c>
      <c r="H223" s="93">
        <v>-1.1472345359860531E-21</v>
      </c>
      <c r="I223" s="93">
        <v>1.7388043778887088E-5</v>
      </c>
      <c r="K223" s="17">
        <f t="shared" si="36"/>
        <v>-12000</v>
      </c>
      <c r="N223" s="215"/>
      <c r="O223" s="172"/>
      <c r="P223" s="172"/>
      <c r="Q223" s="172"/>
      <c r="R223" s="172"/>
      <c r="S223" s="173"/>
    </row>
    <row r="224" spans="1:19" ht="16.95" customHeight="1" x14ac:dyDescent="0.3">
      <c r="A224" s="12" t="str">
        <f t="shared" si="35"/>
        <v>D3X</v>
      </c>
      <c r="C224" s="93">
        <v>1.5873015873015879E-5</v>
      </c>
      <c r="D224" s="93">
        <v>-1.0582010582010582E-5</v>
      </c>
      <c r="E224" s="93">
        <v>3.1746031746031758E-5</v>
      </c>
      <c r="F224" s="93">
        <v>1.5873015873015879E-5</v>
      </c>
      <c r="G224" s="93">
        <v>-1.0582010582010584E-5</v>
      </c>
      <c r="H224" s="93">
        <v>1.5873015873015882E-5</v>
      </c>
      <c r="I224" s="93">
        <v>-1.0582010582010582E-5</v>
      </c>
      <c r="K224" s="17">
        <f t="shared" si="36"/>
        <v>0</v>
      </c>
      <c r="N224" s="215"/>
      <c r="O224" s="172"/>
      <c r="P224" s="172"/>
      <c r="Q224" s="172"/>
      <c r="R224" s="172"/>
      <c r="S224" s="173"/>
    </row>
    <row r="225" spans="1:19" ht="16.95" customHeight="1" x14ac:dyDescent="0.3">
      <c r="A225" s="12" t="str">
        <f t="shared" si="35"/>
        <v>D4X</v>
      </c>
      <c r="B225" s="13" t="s">
        <v>220</v>
      </c>
      <c r="C225" s="93">
        <v>1.1904761904761907E-5</v>
      </c>
      <c r="D225" s="93">
        <v>-1.0582010582010582E-5</v>
      </c>
      <c r="E225" s="93">
        <v>1.5873015873015879E-5</v>
      </c>
      <c r="F225" s="93">
        <v>2.5513930203628938E-5</v>
      </c>
      <c r="G225" s="93">
        <v>-9.2592592592592625E-6</v>
      </c>
      <c r="H225" s="93">
        <v>1.7577422267121004E-5</v>
      </c>
      <c r="I225" s="93">
        <v>-6.6137566137566132E-6</v>
      </c>
      <c r="K225" s="17">
        <f t="shared" si="36"/>
        <v>0</v>
      </c>
      <c r="N225" s="215"/>
      <c r="O225" s="172"/>
      <c r="P225" s="172"/>
      <c r="Q225" s="172"/>
      <c r="R225" s="172"/>
      <c r="S225" s="173"/>
    </row>
    <row r="226" spans="1:19" ht="16.95" customHeight="1" x14ac:dyDescent="0.3">
      <c r="A226" s="12" t="str">
        <f t="shared" si="35"/>
        <v>D4Y</v>
      </c>
      <c r="C226" s="93">
        <v>-7.9365079365079362E-6</v>
      </c>
      <c r="D226" s="93">
        <v>1.7388043778887088E-5</v>
      </c>
      <c r="E226" s="93">
        <v>-1.0582010582010582E-5</v>
      </c>
      <c r="F226" s="93">
        <v>-9.2592592592592591E-6</v>
      </c>
      <c r="G226" s="93">
        <v>2.1672894592492896E-5</v>
      </c>
      <c r="H226" s="93">
        <v>-3.9682539682539698E-6</v>
      </c>
      <c r="I226" s="93">
        <v>9.575856104611092E-6</v>
      </c>
      <c r="K226" s="17">
        <f t="shared" si="36"/>
        <v>0</v>
      </c>
      <c r="N226" s="215"/>
      <c r="O226" s="172"/>
      <c r="P226" s="172"/>
      <c r="Q226" s="172"/>
      <c r="R226" s="172"/>
      <c r="S226" s="173"/>
    </row>
    <row r="227" spans="1:19" ht="16.95" customHeight="1" x14ac:dyDescent="0.3">
      <c r="A227" s="12" t="str">
        <f t="shared" si="35"/>
        <v>D5X</v>
      </c>
      <c r="C227" s="93">
        <v>1.190476190476191E-5</v>
      </c>
      <c r="D227" s="93">
        <v>-2.2942175359578706E-21</v>
      </c>
      <c r="E227" s="93">
        <v>1.5873015873015882E-5</v>
      </c>
      <c r="F227" s="93">
        <v>1.7577422267121004E-5</v>
      </c>
      <c r="G227" s="93">
        <v>-3.9682539682539715E-6</v>
      </c>
      <c r="H227" s="93">
        <v>2.5513930203628942E-5</v>
      </c>
      <c r="I227" s="93">
        <v>-1.3227513227513238E-6</v>
      </c>
      <c r="K227" s="17">
        <f t="shared" si="36"/>
        <v>0</v>
      </c>
      <c r="N227" s="215"/>
      <c r="O227" s="172"/>
      <c r="P227" s="172"/>
      <c r="Q227" s="172"/>
      <c r="R227" s="172"/>
      <c r="S227" s="173"/>
    </row>
    <row r="228" spans="1:19" ht="16.95" customHeight="1" x14ac:dyDescent="0.3">
      <c r="A228" s="12" t="str">
        <f t="shared" si="35"/>
        <v>D5Y</v>
      </c>
      <c r="C228" s="93">
        <v>-2.645502645502646E-6</v>
      </c>
      <c r="D228" s="93">
        <v>1.7388043778887091E-5</v>
      </c>
      <c r="E228" s="93">
        <v>-1.058201058201058E-5</v>
      </c>
      <c r="F228" s="93">
        <v>-6.613756613756614E-6</v>
      </c>
      <c r="G228" s="93">
        <v>9.5758561046110937E-6</v>
      </c>
      <c r="H228" s="93">
        <v>-1.3227513227513236E-6</v>
      </c>
      <c r="I228" s="93">
        <v>2.1672894592492893E-5</v>
      </c>
      <c r="K228" s="17">
        <f t="shared" si="36"/>
        <v>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6.3492063492063502E-2</v>
      </c>
      <c r="D232" s="12" t="s">
        <v>267</v>
      </c>
      <c r="N232" s="215"/>
      <c r="O232" s="172"/>
      <c r="P232" s="172"/>
      <c r="Q232" s="172"/>
      <c r="R232" s="172"/>
      <c r="S232" s="173"/>
    </row>
    <row r="233" spans="1:19" ht="16.95" customHeight="1" x14ac:dyDescent="0.3">
      <c r="A233" s="12" t="str">
        <f t="shared" si="37"/>
        <v>D2Y</v>
      </c>
      <c r="C233" s="94">
        <v>-0.37498500836524779</v>
      </c>
      <c r="D233" s="12" t="s">
        <v>267</v>
      </c>
      <c r="N233" s="215"/>
      <c r="O233" s="172"/>
      <c r="P233" s="172"/>
      <c r="Q233" s="172"/>
      <c r="R233" s="172"/>
      <c r="S233" s="173"/>
    </row>
    <row r="234" spans="1:19" ht="16.95" customHeight="1" x14ac:dyDescent="0.3">
      <c r="A234" s="12" t="str">
        <f t="shared" si="37"/>
        <v>D3X</v>
      </c>
      <c r="C234" s="94">
        <v>0.12698412698412698</v>
      </c>
      <c r="D234" s="12" t="s">
        <v>267</v>
      </c>
      <c r="N234" s="215"/>
      <c r="O234" s="172"/>
      <c r="P234" s="172"/>
      <c r="Q234" s="172"/>
      <c r="R234" s="172"/>
      <c r="S234" s="173"/>
    </row>
    <row r="235" spans="1:19" ht="16.95" customHeight="1" x14ac:dyDescent="0.3">
      <c r="A235" s="12" t="str">
        <f t="shared" si="37"/>
        <v>D4X</v>
      </c>
      <c r="B235" s="13" t="s">
        <v>220</v>
      </c>
      <c r="C235" s="94">
        <v>0.12698412698412698</v>
      </c>
      <c r="D235" s="12" t="s">
        <v>267</v>
      </c>
      <c r="N235" s="215"/>
      <c r="O235" s="172"/>
      <c r="P235" s="172"/>
      <c r="Q235" s="172"/>
      <c r="R235" s="172"/>
      <c r="S235" s="173"/>
    </row>
    <row r="236" spans="1:19" ht="16.95" customHeight="1" x14ac:dyDescent="0.3">
      <c r="A236" s="12" t="str">
        <f t="shared" si="37"/>
        <v>D4Y</v>
      </c>
      <c r="C236" s="94">
        <v>-0.20865652534664506</v>
      </c>
      <c r="D236" s="12" t="s">
        <v>267</v>
      </c>
      <c r="N236" s="215"/>
      <c r="O236" s="172"/>
      <c r="P236" s="172"/>
      <c r="Q236" s="172"/>
      <c r="R236" s="172"/>
      <c r="S236" s="173"/>
    </row>
    <row r="237" spans="1:19" ht="16.95" customHeight="1" x14ac:dyDescent="0.3">
      <c r="A237" s="12" t="str">
        <f t="shared" si="37"/>
        <v>D5X</v>
      </c>
      <c r="C237" s="94">
        <v>2.7530610431494446E-17</v>
      </c>
      <c r="D237" s="12" t="s">
        <v>267</v>
      </c>
      <c r="N237" s="215"/>
      <c r="O237" s="172"/>
      <c r="P237" s="172"/>
      <c r="Q237" s="172"/>
      <c r="R237" s="172"/>
      <c r="S237" s="173"/>
    </row>
    <row r="238" spans="1:19" ht="16.95" customHeight="1" x14ac:dyDescent="0.3">
      <c r="A238" s="12" t="str">
        <f t="shared" si="37"/>
        <v>D5Y</v>
      </c>
      <c r="C238" s="94">
        <v>-0.20865652534664508</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-63000</v>
      </c>
      <c r="D243" s="9">
        <f t="shared" si="38"/>
        <v>0</v>
      </c>
      <c r="E243" s="9">
        <f t="shared" si="38"/>
        <v>0</v>
      </c>
      <c r="F243" s="9">
        <f t="shared" si="38"/>
        <v>-21505.2999151935</v>
      </c>
      <c r="G243" s="9">
        <f t="shared" si="38"/>
        <v>-32257.94987279025</v>
      </c>
      <c r="H243" s="9">
        <f t="shared" si="38"/>
        <v>0</v>
      </c>
      <c r="I243" s="9">
        <f t="shared" si="38"/>
        <v>0</v>
      </c>
      <c r="K243" s="95">
        <f t="shared" ref="K243:K249" si="39">C232</f>
        <v>6.3492063492063502E-2</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0</v>
      </c>
      <c r="D244" s="9">
        <f t="shared" si="38"/>
        <v>0</v>
      </c>
      <c r="E244" s="9">
        <f t="shared" si="38"/>
        <v>0</v>
      </c>
      <c r="F244" s="9">
        <f t="shared" si="38"/>
        <v>-32257.94987279025</v>
      </c>
      <c r="G244" s="9">
        <f t="shared" si="38"/>
        <v>-48386.924809185381</v>
      </c>
      <c r="H244" s="9">
        <f t="shared" si="38"/>
        <v>0</v>
      </c>
      <c r="I244" s="9">
        <f t="shared" si="38"/>
        <v>0</v>
      </c>
      <c r="K244" s="95">
        <f t="shared" si="39"/>
        <v>-0.37498500836524779</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0</v>
      </c>
      <c r="D245" s="9">
        <f t="shared" si="38"/>
        <v>0</v>
      </c>
      <c r="E245" s="9">
        <f t="shared" si="38"/>
        <v>-32257.94987279025</v>
      </c>
      <c r="F245" s="9">
        <f t="shared" si="38"/>
        <v>0</v>
      </c>
      <c r="G245" s="9">
        <f t="shared" si="38"/>
        <v>0</v>
      </c>
      <c r="H245" s="9">
        <f t="shared" si="38"/>
        <v>32257.94987279025</v>
      </c>
      <c r="I245" s="9">
        <f t="shared" si="38"/>
        <v>-48386.924809185381</v>
      </c>
      <c r="K245" s="95">
        <f t="shared" si="39"/>
        <v>0.12698412698412698</v>
      </c>
      <c r="L245" s="14" t="str">
        <f>INDEX(C$184:C$193, MATCH(3, G$184:G$193, 0))</f>
        <v>U3Y</v>
      </c>
      <c r="N245" s="215" t="s">
        <v>392</v>
      </c>
      <c r="O245" s="172"/>
      <c r="P245" s="172"/>
      <c r="Q245" s="172"/>
      <c r="R245" s="172"/>
      <c r="S245" s="173"/>
    </row>
    <row r="246" spans="1:19" ht="16.95" customHeight="1" x14ac:dyDescent="0.3">
      <c r="K246" s="95">
        <f t="shared" si="39"/>
        <v>0.12698412698412698</v>
      </c>
      <c r="N246" s="215" t="s">
        <v>393</v>
      </c>
      <c r="O246" s="172"/>
      <c r="P246" s="172"/>
      <c r="Q246" s="172"/>
      <c r="R246" s="172"/>
      <c r="S246" s="173"/>
    </row>
    <row r="247" spans="1:19" ht="16.95" customHeight="1" x14ac:dyDescent="0.3">
      <c r="K247" s="95">
        <f t="shared" si="39"/>
        <v>-0.20865652534664506</v>
      </c>
      <c r="N247" s="215" t="s">
        <v>394</v>
      </c>
      <c r="O247" s="172"/>
      <c r="P247" s="172"/>
      <c r="Q247" s="172"/>
      <c r="R247" s="172"/>
      <c r="S247" s="173"/>
    </row>
    <row r="248" spans="1:19" ht="16.95" customHeight="1" x14ac:dyDescent="0.3">
      <c r="K248" s="95">
        <f t="shared" si="39"/>
        <v>2.7530610431494446E-17</v>
      </c>
      <c r="N248" s="215"/>
      <c r="O248" s="172"/>
      <c r="P248" s="172"/>
      <c r="Q248" s="172"/>
      <c r="R248" s="172"/>
      <c r="S248" s="173"/>
    </row>
    <row r="249" spans="1:19" ht="16.95" customHeight="1" x14ac:dyDescent="0.3">
      <c r="K249" s="95">
        <f t="shared" si="39"/>
        <v>-0.20865652534664508</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-2.7284841053187847E-12</v>
      </c>
      <c r="D251" s="12" t="s">
        <v>273</v>
      </c>
      <c r="N251" s="215"/>
      <c r="O251" s="172"/>
      <c r="P251" s="172"/>
      <c r="Q251" s="172"/>
      <c r="R251" s="172"/>
      <c r="S251" s="173"/>
    </row>
    <row r="252" spans="1:19" ht="16.95" customHeight="1" x14ac:dyDescent="0.3">
      <c r="A252" s="12" t="str">
        <f>A244</f>
        <v>C1Y</v>
      </c>
      <c r="B252" s="13" t="s">
        <v>220</v>
      </c>
      <c r="C252" s="17">
        <v>5999.9999999999982</v>
      </c>
      <c r="D252" s="12" t="s">
        <v>273</v>
      </c>
      <c r="N252" s="215"/>
      <c r="O252" s="172"/>
      <c r="P252" s="172"/>
      <c r="Q252" s="172"/>
      <c r="R252" s="172"/>
      <c r="S252" s="173"/>
    </row>
    <row r="253" spans="1:19" ht="16.95" customHeight="1" x14ac:dyDescent="0.3">
      <c r="A253" s="12" t="str">
        <f>A245</f>
        <v>C3Y</v>
      </c>
      <c r="C253" s="17">
        <v>6000.0000000000009</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6.3492063492063502E-2</v>
      </c>
    </row>
    <row r="261" spans="1:19" ht="19.05" customHeight="1" x14ac:dyDescent="0.3">
      <c r="A261" s="12" t="s">
        <v>231</v>
      </c>
      <c r="B261" s="12" t="s">
        <v>181</v>
      </c>
      <c r="D261" s="94">
        <f t="shared" si="40"/>
        <v>-0.37498500836524779</v>
      </c>
    </row>
    <row r="262" spans="1:19" ht="19.05" customHeight="1" x14ac:dyDescent="0.3">
      <c r="A262" s="12" t="s">
        <v>232</v>
      </c>
      <c r="B262" s="12" t="s">
        <v>182</v>
      </c>
      <c r="D262" s="94">
        <f t="shared" si="40"/>
        <v>0.12698412698412698</v>
      </c>
    </row>
    <row r="263" spans="1:19" ht="19.05" customHeight="1" x14ac:dyDescent="0.3">
      <c r="A263" s="12" t="s">
        <v>234</v>
      </c>
      <c r="B263" s="12" t="s">
        <v>183</v>
      </c>
      <c r="D263" s="94">
        <f t="shared" si="40"/>
        <v>0</v>
      </c>
    </row>
    <row r="264" spans="1:19" ht="19.05" customHeight="1" x14ac:dyDescent="0.3">
      <c r="A264" s="12" t="s">
        <v>235</v>
      </c>
      <c r="B264" s="12" t="s">
        <v>184</v>
      </c>
      <c r="D264" s="94">
        <f t="shared" si="40"/>
        <v>0.12698412698412698</v>
      </c>
    </row>
    <row r="265" spans="1:19" ht="19.05" customHeight="1" x14ac:dyDescent="0.3">
      <c r="A265" s="12" t="s">
        <v>236</v>
      </c>
      <c r="B265" s="12" t="s">
        <v>185</v>
      </c>
      <c r="D265" s="94">
        <f t="shared" si="40"/>
        <v>-0.20865652534664506</v>
      </c>
    </row>
    <row r="266" spans="1:19" ht="19.05" customHeight="1" x14ac:dyDescent="0.3">
      <c r="A266" s="12" t="s">
        <v>237</v>
      </c>
      <c r="B266" s="12" t="s">
        <v>186</v>
      </c>
      <c r="D266" s="94">
        <f t="shared" si="40"/>
        <v>2.7530610431494446E-17</v>
      </c>
    </row>
    <row r="267" spans="1:19" ht="19.05" customHeight="1" x14ac:dyDescent="0.3">
      <c r="A267" s="12" t="s">
        <v>238</v>
      </c>
      <c r="B267" s="12" t="s">
        <v>187</v>
      </c>
      <c r="D267" s="94">
        <f t="shared" si="40"/>
        <v>-0.20865652534664508</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63000</v>
      </c>
      <c r="C274" s="92">
        <f>-J6</f>
        <v>-1</v>
      </c>
      <c r="D274" s="92">
        <f>-K6</f>
        <v>0</v>
      </c>
      <c r="E274" s="92">
        <f>J6</f>
        <v>1</v>
      </c>
      <c r="F274" s="92">
        <f>K6</f>
        <v>0</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4000.0000000000005</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6.3492063492063502E-2</v>
      </c>
      <c r="H276" s="12" t="str">
        <f>"D" &amp; E16 &amp; "X"</f>
        <v>D2X</v>
      </c>
      <c r="N276" s="215" t="s">
        <v>400</v>
      </c>
      <c r="O276" s="172"/>
      <c r="P276" s="172"/>
      <c r="Q276" s="172"/>
      <c r="R276" s="172"/>
      <c r="S276" s="173"/>
    </row>
    <row r="277" spans="1:19" ht="16.95" customHeight="1" x14ac:dyDescent="0.3">
      <c r="G277" s="96">
        <f>IFERROR(VLOOKUP(H277, A$258:D$267, 4, FALSE), 0)</f>
        <v>-0.37498500836524779</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63000</v>
      </c>
      <c r="C282" s="92">
        <f>-J7</f>
        <v>-1</v>
      </c>
      <c r="D282" s="92">
        <f>-K7</f>
        <v>0</v>
      </c>
      <c r="E282" s="92">
        <f>J7</f>
        <v>1</v>
      </c>
      <c r="F282" s="92">
        <f>K7</f>
        <v>0</v>
      </c>
      <c r="G282" s="96">
        <f>IFERROR(VLOOKUP(H282, A$258:D$267, 4, FALSE), 0)</f>
        <v>6.3492063492063502E-2</v>
      </c>
      <c r="H282" s="12" t="str">
        <f>"D" &amp; C17 &amp; "X"</f>
        <v>D2X</v>
      </c>
      <c r="N282" s="215"/>
      <c r="O282" s="172"/>
      <c r="P282" s="172"/>
      <c r="Q282" s="172"/>
      <c r="R282" s="172"/>
      <c r="S282" s="173"/>
    </row>
    <row r="283" spans="1:19" ht="16.95" customHeight="1" x14ac:dyDescent="0.3">
      <c r="A283" s="99" t="s">
        <v>286</v>
      </c>
      <c r="B283" s="97">
        <f>(MMULT(C282:F282, G282:G285)*A282)</f>
        <v>3999.9999999999991</v>
      </c>
      <c r="G283" s="96">
        <f>IFERROR(VLOOKUP(H283, A$258:D$267, 4, FALSE), 0)</f>
        <v>-0.37498500836524779</v>
      </c>
      <c r="H283" s="12" t="str">
        <f>"D" &amp; D17 &amp; "Y"</f>
        <v>D2Y</v>
      </c>
      <c r="N283" s="215"/>
      <c r="O283" s="172"/>
      <c r="P283" s="172"/>
      <c r="Q283" s="172"/>
      <c r="R283" s="172"/>
      <c r="S283" s="173"/>
    </row>
    <row r="284" spans="1:19" ht="16.95" customHeight="1" x14ac:dyDescent="0.3">
      <c r="G284" s="96">
        <f>IFERROR(VLOOKUP(H284, A$258:D$267, 4, FALSE), 0)</f>
        <v>0.12698412698412698</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69892.224724378873</v>
      </c>
      <c r="C290" s="92">
        <f>-J8</f>
        <v>-0.55470019622522915</v>
      </c>
      <c r="D290" s="92">
        <f>-K8</f>
        <v>-0.83205029433784372</v>
      </c>
      <c r="E290" s="92">
        <f>J8</f>
        <v>0.55470019622522915</v>
      </c>
      <c r="F290" s="92">
        <f>K8</f>
        <v>0.83205029433784372</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-7211.1025509279743</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0.12698412698412698</v>
      </c>
      <c r="H292" s="12" t="str">
        <f>"D" &amp; E18 &amp; "X"</f>
        <v>D4X</v>
      </c>
      <c r="N292" s="215"/>
      <c r="O292" s="172"/>
      <c r="P292" s="172"/>
      <c r="Q292" s="172"/>
      <c r="R292" s="172"/>
      <c r="S292" s="173"/>
    </row>
    <row r="293" spans="1:19" ht="16.95" customHeight="1" x14ac:dyDescent="0.3">
      <c r="G293" s="96">
        <f>IFERROR(VLOOKUP(H293, A$258:D$267, 4, FALSE), 0)</f>
        <v>-0.20865652534664506</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69892.224724378873</v>
      </c>
      <c r="C298" s="92">
        <f>-J9</f>
        <v>-0.55470019622522915</v>
      </c>
      <c r="D298" s="92">
        <f>-K9</f>
        <v>0.83205029433784372</v>
      </c>
      <c r="E298" s="92">
        <f>J9</f>
        <v>0.55470019622522915</v>
      </c>
      <c r="F298" s="92">
        <f>K9</f>
        <v>-0.83205029433784372</v>
      </c>
      <c r="G298" s="96">
        <f>IFERROR(VLOOKUP(H298, A$258:D$267, 4, FALSE), 0)</f>
        <v>0.12698412698412698</v>
      </c>
      <c r="H298" s="12" t="str">
        <f>"D" &amp; C19 &amp; "X"</f>
        <v>D4X</v>
      </c>
    </row>
    <row r="299" spans="1:19" ht="19.95" customHeight="1" x14ac:dyDescent="0.3">
      <c r="A299" s="99" t="s">
        <v>288</v>
      </c>
      <c r="B299" s="97">
        <f>(MMULT(C298:F298, G298:G301)*A298)</f>
        <v>7211.1025509279771</v>
      </c>
      <c r="G299" s="96">
        <f>IFERROR(VLOOKUP(H299, A$258:D$267, 4, FALSE), 0)</f>
        <v>-0.20865652534664506</v>
      </c>
      <c r="H299" s="12" t="str">
        <f>"D" &amp; D19 &amp; "Y"</f>
        <v>D4Y</v>
      </c>
    </row>
    <row r="300" spans="1:19" ht="19.95" customHeight="1" x14ac:dyDescent="0.3">
      <c r="G300" s="96">
        <f>IFERROR(VLOOKUP(H300, A$258:D$267, 4, FALSE), 0)</f>
        <v>6.3492063492063502E-2</v>
      </c>
      <c r="H300" s="12" t="str">
        <f>"D" &amp; E19 &amp; "X"</f>
        <v>D2X</v>
      </c>
    </row>
    <row r="301" spans="1:19" ht="19.95" customHeight="1" x14ac:dyDescent="0.3">
      <c r="G301" s="96">
        <f>IFERROR(VLOOKUP(H301, A$258:D$267, 4, FALSE), 0)</f>
        <v>-0.37498500836524779</v>
      </c>
      <c r="H301" s="12" t="str">
        <f>"D" &amp; F19 &amp; "Y"</f>
        <v>D2Y</v>
      </c>
    </row>
    <row r="302" spans="1:19" ht="19.95" customHeight="1" x14ac:dyDescent="0.3">
      <c r="B302" s="99" t="s">
        <v>273</v>
      </c>
      <c r="C302" s="178" t="str">
        <f>IF(B299&gt;0.001,"BARRA A TRACCIÓN (+)",IF(B299&lt;-0.001,"BARRA A COMPRESIÓN (-)","BARRA DE FUERZA NULA"))</f>
        <v>BARRA A TRACCIÓN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63000</v>
      </c>
      <c r="C306" s="92">
        <f>-J10</f>
        <v>-1</v>
      </c>
      <c r="D306" s="92">
        <f>-K10</f>
        <v>0</v>
      </c>
      <c r="E306" s="92">
        <f>J10</f>
        <v>1</v>
      </c>
      <c r="F306" s="92">
        <f>K10</f>
        <v>0</v>
      </c>
      <c r="G306" s="96">
        <f>IFERROR(VLOOKUP(H306, A$258:D$267, 4, FALSE), 0)</f>
        <v>0.12698412698412698</v>
      </c>
      <c r="H306" s="12" t="str">
        <f>"D" &amp; C20 &amp; "X"</f>
        <v>D4X</v>
      </c>
    </row>
    <row r="307" spans="1:8" ht="19.95" customHeight="1" x14ac:dyDescent="0.3">
      <c r="A307" s="99" t="s">
        <v>289</v>
      </c>
      <c r="B307" s="97">
        <f>(MMULT(C306:F306, G306:G309)*A306)</f>
        <v>-7999.9999999999982</v>
      </c>
      <c r="G307" s="96">
        <f>IFERROR(VLOOKUP(H307, A$258:D$267, 4, FALSE), 0)</f>
        <v>-0.20865652534664506</v>
      </c>
      <c r="H307" s="12" t="str">
        <f>"D" &amp; D20 &amp; "Y"</f>
        <v>D4Y</v>
      </c>
    </row>
    <row r="308" spans="1:8" ht="19.95" customHeight="1" x14ac:dyDescent="0.3">
      <c r="G308" s="96">
        <f>IFERROR(VLOOKUP(H308, A$258:D$267, 4, FALSE), 0)</f>
        <v>2.7530610431494446E-17</v>
      </c>
      <c r="H308" s="12" t="str">
        <f>"D" &amp; E20 &amp; "X"</f>
        <v>D5X</v>
      </c>
    </row>
    <row r="309" spans="1:8" ht="19.95" customHeight="1" x14ac:dyDescent="0.3">
      <c r="G309" s="96">
        <f>IFERROR(VLOOKUP(H309, A$258:D$267, 4, FALSE), 0)</f>
        <v>-0.20865652534664508</v>
      </c>
      <c r="H309" s="12" t="str">
        <f>"D" &amp; F20 &amp; "Y"</f>
        <v>D5Y</v>
      </c>
    </row>
    <row r="310" spans="1:8" ht="19.95" customHeight="1" x14ac:dyDescent="0.3">
      <c r="B310" s="99" t="s">
        <v>273</v>
      </c>
      <c r="C310" s="178" t="str">
        <f>IF(B307&gt;0.001,"BARRA A TRACCIÓN (+)",IF(B307&lt;-0.001,"BARRA A COMPRESIÓN (-)","BARRA DE FUERZA NULA"))</f>
        <v>BARRA A COMPRESIÓN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69892.224724378873</v>
      </c>
      <c r="C314" s="92">
        <f>-J11</f>
        <v>-0.55470019622522915</v>
      </c>
      <c r="D314" s="92">
        <f>-K11</f>
        <v>-0.83205029433784372</v>
      </c>
      <c r="E314" s="92">
        <f>J11</f>
        <v>0.55470019622522915</v>
      </c>
      <c r="F314" s="92">
        <f>K11</f>
        <v>0.83205029433784372</v>
      </c>
      <c r="G314" s="96">
        <f>IFERROR(VLOOKUP(H314, A$258:D$267, 4, FALSE), 0)</f>
        <v>6.3492063492063502E-2</v>
      </c>
      <c r="H314" s="12" t="str">
        <f>"D" &amp; C21 &amp; "X"</f>
        <v>D2X</v>
      </c>
    </row>
    <row r="315" spans="1:8" ht="19.95" customHeight="1" x14ac:dyDescent="0.3">
      <c r="A315" s="99" t="s">
        <v>290</v>
      </c>
      <c r="B315" s="97">
        <f>(MMULT(C314:F314, G314:G317)*A314)</f>
        <v>7211.1025509279725</v>
      </c>
      <c r="G315" s="96">
        <f>IFERROR(VLOOKUP(H315, A$258:D$267, 4, FALSE), 0)</f>
        <v>-0.37498500836524779</v>
      </c>
      <c r="H315" s="12" t="str">
        <f>"D" &amp; D21 &amp; "Y"</f>
        <v>D2Y</v>
      </c>
    </row>
    <row r="316" spans="1:8" ht="19.95" customHeight="1" x14ac:dyDescent="0.3">
      <c r="G316" s="96">
        <f>IFERROR(VLOOKUP(H316, A$258:D$267, 4, FALSE), 0)</f>
        <v>2.7530610431494446E-17</v>
      </c>
      <c r="H316" s="12" t="str">
        <f>"D" &amp; E21 &amp; "X"</f>
        <v>D5X</v>
      </c>
    </row>
    <row r="317" spans="1:8" ht="19.95" customHeight="1" x14ac:dyDescent="0.3">
      <c r="G317" s="96">
        <f>IFERROR(VLOOKUP(H317, A$258:D$267, 4, FALSE), 0)</f>
        <v>-0.20865652534664508</v>
      </c>
      <c r="H317" s="12" t="str">
        <f>"D" &amp; F21 &amp; "Y"</f>
        <v>D5Y</v>
      </c>
    </row>
    <row r="318" spans="1:8" ht="19.95" customHeight="1" x14ac:dyDescent="0.3">
      <c r="B318" s="99" t="s">
        <v>273</v>
      </c>
      <c r="C318" s="178" t="str">
        <f>IF(B315&gt;0.001,"BARRA A TRACCIÓN (+)",IF(B315&lt;-0.001,"BARRA A COMPRESIÓN (-)","BARRA DE FUERZA NULA"))</f>
        <v>BARRA A TRACCIÓN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69892.224724378873</v>
      </c>
      <c r="C322" s="92">
        <f>-J12</f>
        <v>-0.55470019622522915</v>
      </c>
      <c r="D322" s="92">
        <f>-K12</f>
        <v>0.83205029433784372</v>
      </c>
      <c r="E322" s="92">
        <f>J12</f>
        <v>0.55470019622522915</v>
      </c>
      <c r="F322" s="92">
        <f>K12</f>
        <v>-0.83205029433784372</v>
      </c>
      <c r="G322" s="96">
        <f>IFERROR(VLOOKUP(H322, A$258:D$267, 4, FALSE), 0)</f>
        <v>2.7530610431494446E-17</v>
      </c>
      <c r="H322" s="12" t="str">
        <f>"D" &amp; C22 &amp; "X"</f>
        <v>D5X</v>
      </c>
    </row>
    <row r="323" spans="1:8" ht="19.95" customHeight="1" x14ac:dyDescent="0.3">
      <c r="A323" s="99" t="s">
        <v>291</v>
      </c>
      <c r="B323" s="97">
        <f>(MMULT(C322:F322, G322:G325)*A322)</f>
        <v>-7211.1025509279789</v>
      </c>
      <c r="G323" s="96">
        <f>IFERROR(VLOOKUP(H323, A$258:D$267, 4, FALSE), 0)</f>
        <v>-0.20865652534664508</v>
      </c>
      <c r="H323" s="12" t="str">
        <f>"D" &amp; D22 &amp; "Y"</f>
        <v>D5Y</v>
      </c>
    </row>
    <row r="324" spans="1:8" ht="19.95" customHeight="1" x14ac:dyDescent="0.3">
      <c r="G324" s="96">
        <f>IFERROR(VLOOKUP(H324, A$258:D$267, 4, FALSE), 0)</f>
        <v>0.12698412698412698</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78" t="str">
        <f>IF(B323&gt;0.001,"BARRA A TRACCIÓN (+)",IF(B323&lt;-0.001,"BARRA A COMPRESIÓN (-)","BARRA DE FUERZA NULA"))</f>
        <v>BARRA A COMPRESIÓN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4000.0000000000005</v>
      </c>
      <c r="H331" s="84" t="str">
        <f>C278</f>
        <v>BARRA A TRACCIÓN (+)</v>
      </c>
    </row>
    <row r="332" spans="1:8" ht="19.95" customHeight="1" x14ac:dyDescent="0.3">
      <c r="B332" s="25">
        <v>2</v>
      </c>
      <c r="C332" s="86">
        <f t="shared" si="41"/>
        <v>2</v>
      </c>
      <c r="D332" s="86">
        <f t="shared" si="42"/>
        <v>3</v>
      </c>
      <c r="E332" s="9">
        <f t="shared" si="43"/>
        <v>400</v>
      </c>
      <c r="F332" s="9">
        <f t="shared" si="44"/>
        <v>12</v>
      </c>
      <c r="G332" s="97">
        <f>B283</f>
        <v>3999.9999999999991</v>
      </c>
      <c r="H332" s="84" t="str">
        <f>C286</f>
        <v>BARRA A TRACCIÓN (+)</v>
      </c>
    </row>
    <row r="333" spans="1:8" ht="19.95" customHeight="1" x14ac:dyDescent="0.3">
      <c r="B333" s="26">
        <v>3</v>
      </c>
      <c r="C333" s="86">
        <f t="shared" si="41"/>
        <v>1</v>
      </c>
      <c r="D333" s="86">
        <f t="shared" si="42"/>
        <v>4</v>
      </c>
      <c r="E333" s="9">
        <f t="shared" si="43"/>
        <v>360.55512754639892</v>
      </c>
      <c r="F333" s="9">
        <f t="shared" si="44"/>
        <v>12</v>
      </c>
      <c r="G333" s="97">
        <f>B291</f>
        <v>-7211.1025509279743</v>
      </c>
      <c r="H333" s="84" t="str">
        <f>C294</f>
        <v>BARRA A COMPRESIÓN (-)</v>
      </c>
    </row>
    <row r="334" spans="1:8" ht="19.95" customHeight="1" x14ac:dyDescent="0.3">
      <c r="B334" s="43">
        <v>4</v>
      </c>
      <c r="C334" s="86">
        <f t="shared" si="41"/>
        <v>4</v>
      </c>
      <c r="D334" s="86">
        <f t="shared" si="42"/>
        <v>2</v>
      </c>
      <c r="E334" s="9">
        <f t="shared" si="43"/>
        <v>360.55512754639892</v>
      </c>
      <c r="F334" s="9">
        <f t="shared" si="44"/>
        <v>12</v>
      </c>
      <c r="G334" s="97">
        <f>B299</f>
        <v>7211.1025509279771</v>
      </c>
      <c r="H334" s="84" t="str">
        <f>C302</f>
        <v>BARRA A TRACCIÓN (+)</v>
      </c>
    </row>
    <row r="335" spans="1:8" ht="19.95" customHeight="1" x14ac:dyDescent="0.3">
      <c r="B335" s="44">
        <v>5</v>
      </c>
      <c r="C335" s="86">
        <f t="shared" si="41"/>
        <v>4</v>
      </c>
      <c r="D335" s="86">
        <f t="shared" si="42"/>
        <v>5</v>
      </c>
      <c r="E335" s="9">
        <f t="shared" si="43"/>
        <v>400</v>
      </c>
      <c r="F335" s="9">
        <f t="shared" si="44"/>
        <v>12</v>
      </c>
      <c r="G335" s="97">
        <f>B307</f>
        <v>-7999.9999999999982</v>
      </c>
      <c r="H335" s="84" t="str">
        <f>C310</f>
        <v>BARRA A COMPRESIÓN (-)</v>
      </c>
    </row>
    <row r="336" spans="1:8" ht="19.95" customHeight="1" x14ac:dyDescent="0.3">
      <c r="B336" s="51">
        <v>6</v>
      </c>
      <c r="C336" s="86">
        <f t="shared" si="41"/>
        <v>2</v>
      </c>
      <c r="D336" s="86">
        <f t="shared" si="42"/>
        <v>5</v>
      </c>
      <c r="E336" s="9">
        <f t="shared" si="43"/>
        <v>360.55512754639892</v>
      </c>
      <c r="F336" s="9">
        <f t="shared" si="44"/>
        <v>12</v>
      </c>
      <c r="G336" s="97">
        <f>B315</f>
        <v>7211.1025509279725</v>
      </c>
      <c r="H336" s="84" t="str">
        <f>C318</f>
        <v>BARRA A TRACCIÓN (+)</v>
      </c>
    </row>
    <row r="337" spans="2:8" ht="19.95" customHeight="1" x14ac:dyDescent="0.3">
      <c r="B337" s="52">
        <v>7</v>
      </c>
      <c r="C337" s="86">
        <f t="shared" si="41"/>
        <v>5</v>
      </c>
      <c r="D337" s="86">
        <f t="shared" si="42"/>
        <v>3</v>
      </c>
      <c r="E337" s="9">
        <f t="shared" si="43"/>
        <v>360.55512754639892</v>
      </c>
      <c r="F337" s="9">
        <f t="shared" si="44"/>
        <v>12</v>
      </c>
      <c r="G337" s="97">
        <f>B323</f>
        <v>-7211.1025509279789</v>
      </c>
      <c r="H337" s="84" t="str">
        <f>C326</f>
        <v>BARRA A COMPRESIÓN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480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250</v>
      </c>
      <c r="AB14" s="20">
        <f>IF(F31="","",F31)</f>
        <v>250</v>
      </c>
      <c r="AC14" t="s">
        <v>328</v>
      </c>
    </row>
    <row r="15" spans="2:29" ht="19.05" customHeight="1" x14ac:dyDescent="0.3">
      <c r="B15" s="89">
        <v>2</v>
      </c>
      <c r="C15" s="21">
        <v>500</v>
      </c>
      <c r="D15" s="21">
        <v>0</v>
      </c>
      <c r="E15" s="21" t="s">
        <v>326</v>
      </c>
      <c r="F15" s="88">
        <f t="shared" si="0"/>
        <v>0</v>
      </c>
      <c r="G15" s="88">
        <f t="shared" si="1"/>
        <v>0</v>
      </c>
      <c r="H15" s="22">
        <v>0</v>
      </c>
      <c r="I15" s="22">
        <v>-4000</v>
      </c>
      <c r="J15" s="205" t="s">
        <v>481</v>
      </c>
      <c r="K15" s="172"/>
      <c r="L15" s="172"/>
      <c r="M15" s="172"/>
      <c r="N15" s="172"/>
      <c r="O15" s="173"/>
      <c r="AA15" s="20">
        <f>IF(G31="","",G31)</f>
        <v>500</v>
      </c>
      <c r="AB15" s="20">
        <f>IF(H31="","",H31)</f>
        <v>500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250</v>
      </c>
      <c r="D17" s="21">
        <v>250</v>
      </c>
      <c r="E17" s="21" t="s">
        <v>326</v>
      </c>
      <c r="F17" s="88">
        <f t="shared" si="0"/>
        <v>0</v>
      </c>
      <c r="G17" s="88">
        <f t="shared" si="1"/>
        <v>0</v>
      </c>
      <c r="H17" s="22">
        <v>1500</v>
      </c>
      <c r="I17" s="22">
        <v>-5000</v>
      </c>
      <c r="J17" s="205" t="s">
        <v>482</v>
      </c>
      <c r="K17" s="172"/>
      <c r="L17" s="172"/>
      <c r="M17" s="172"/>
      <c r="N17" s="172"/>
      <c r="O17" s="173"/>
      <c r="AA17" s="20">
        <f>IF(E32="","",E32)</f>
        <v>500</v>
      </c>
      <c r="AB17" s="20">
        <f>IF(F32="","",F32)</f>
        <v>500</v>
      </c>
      <c r="AC17" t="s">
        <v>334</v>
      </c>
    </row>
    <row r="18" spans="2:29" ht="19.05" customHeight="1" x14ac:dyDescent="0.3">
      <c r="B18" s="89">
        <v>5</v>
      </c>
      <c r="C18" s="21">
        <v>500</v>
      </c>
      <c r="D18" s="21">
        <v>500</v>
      </c>
      <c r="E18" s="21" t="s">
        <v>326</v>
      </c>
      <c r="F18" s="88">
        <f t="shared" si="0"/>
        <v>0</v>
      </c>
      <c r="G18" s="88">
        <f t="shared" si="1"/>
        <v>0</v>
      </c>
      <c r="H18" s="22">
        <v>0</v>
      </c>
      <c r="I18" s="22">
        <v>-8000</v>
      </c>
      <c r="J18" s="205" t="s">
        <v>436</v>
      </c>
      <c r="K18" s="172"/>
      <c r="L18" s="172"/>
      <c r="M18" s="172"/>
      <c r="N18" s="172"/>
      <c r="O18" s="173"/>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250</v>
      </c>
      <c r="AB20" s="20">
        <f>IF(F33="","",F33)</f>
        <v>250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500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500</v>
      </c>
      <c r="AB23" s="20">
        <f>IF(F34="","",F34)</f>
        <v>0</v>
      </c>
      <c r="AC23" t="s">
        <v>338</v>
      </c>
    </row>
    <row r="24" spans="2:29" x14ac:dyDescent="0.3">
      <c r="AA24" s="20">
        <f>IF(G34="","",G34)</f>
        <v>500</v>
      </c>
      <c r="AB24" s="20">
        <f>IF(H34="","",H34)</f>
        <v>500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250</v>
      </c>
      <c r="I30" s="9">
        <f t="shared" si="6"/>
        <v>250</v>
      </c>
      <c r="J30" s="9">
        <f t="shared" si="7"/>
        <v>250</v>
      </c>
      <c r="K30" s="9">
        <f t="shared" si="8"/>
        <v>353.55339059327378</v>
      </c>
      <c r="L30" s="92">
        <f t="shared" si="9"/>
        <v>0.70710678118654746</v>
      </c>
      <c r="M30" s="92">
        <f t="shared" si="10"/>
        <v>0.70710678118654746</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250</v>
      </c>
      <c r="G31" s="5">
        <f t="shared" si="4"/>
        <v>500</v>
      </c>
      <c r="H31" s="5">
        <f t="shared" si="5"/>
        <v>500</v>
      </c>
      <c r="I31" s="9">
        <f t="shared" si="6"/>
        <v>250</v>
      </c>
      <c r="J31" s="9">
        <f t="shared" si="7"/>
        <v>250</v>
      </c>
      <c r="K31" s="9">
        <f t="shared" si="8"/>
        <v>353.55339059327378</v>
      </c>
      <c r="L31" s="92">
        <f t="shared" si="9"/>
        <v>0.70710678118654746</v>
      </c>
      <c r="M31" s="92">
        <f t="shared" si="10"/>
        <v>0.70710678118654746</v>
      </c>
      <c r="N31" s="22">
        <v>12</v>
      </c>
      <c r="O31" s="24">
        <v>2100000</v>
      </c>
    </row>
    <row r="32" spans="2:29" ht="19.05" customHeight="1" x14ac:dyDescent="0.3">
      <c r="B32" s="89">
        <v>5</v>
      </c>
      <c r="C32" s="23">
        <v>5</v>
      </c>
      <c r="D32" s="23">
        <v>3</v>
      </c>
      <c r="E32" s="5">
        <f t="shared" si="2"/>
        <v>500</v>
      </c>
      <c r="F32" s="5">
        <f t="shared" si="3"/>
        <v>500</v>
      </c>
      <c r="G32" s="5">
        <f t="shared" si="4"/>
        <v>1000</v>
      </c>
      <c r="H32" s="5">
        <f t="shared" si="5"/>
        <v>0</v>
      </c>
      <c r="I32" s="9">
        <f t="shared" si="6"/>
        <v>500</v>
      </c>
      <c r="J32" s="9">
        <f t="shared" si="7"/>
        <v>-500</v>
      </c>
      <c r="K32" s="9">
        <f t="shared" si="8"/>
        <v>707.10678118654755</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4</v>
      </c>
      <c r="D33" s="23">
        <v>2</v>
      </c>
      <c r="E33" s="5">
        <f t="shared" si="2"/>
        <v>250</v>
      </c>
      <c r="F33" s="5">
        <f t="shared" si="3"/>
        <v>250</v>
      </c>
      <c r="G33" s="5">
        <f t="shared" si="4"/>
        <v>500</v>
      </c>
      <c r="H33" s="5">
        <f t="shared" si="5"/>
        <v>0</v>
      </c>
      <c r="I33" s="9">
        <f t="shared" si="6"/>
        <v>250</v>
      </c>
      <c r="J33" s="9">
        <f t="shared" si="7"/>
        <v>-250</v>
      </c>
      <c r="K33" s="9">
        <f t="shared" si="8"/>
        <v>353.55339059327378</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500</v>
      </c>
      <c r="H34" s="5">
        <f t="shared" si="5"/>
        <v>500</v>
      </c>
      <c r="I34" s="9">
        <f t="shared" si="6"/>
        <v>0</v>
      </c>
      <c r="J34" s="9">
        <f t="shared" si="7"/>
        <v>500</v>
      </c>
      <c r="K34" s="9">
        <f t="shared" si="8"/>
        <v>500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300-000000000000}">
      <formula1>"Fijo (articulado),Rodillo Y (despl. X libre),Rodillo X (despl. Y libre),Libre (0 reac.)"</formula1>
    </dataValidation>
  </dataValidations>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483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GRAFICA_17!E28</f>
        <v>0</v>
      </c>
      <c r="D6" s="22">
        <f>GRAFICA_17!F28</f>
        <v>0</v>
      </c>
      <c r="E6" s="22">
        <f>GRAFICA_17!G28</f>
        <v>500</v>
      </c>
      <c r="F6" s="22">
        <f>GRAFICA_17!H28</f>
        <v>0</v>
      </c>
      <c r="G6" s="9">
        <f t="shared" ref="G6:H12" si="0">E6-C6</f>
        <v>500</v>
      </c>
      <c r="H6" s="9">
        <f t="shared" si="0"/>
        <v>0</v>
      </c>
      <c r="I6" s="9">
        <f t="shared" ref="I6:I12" si="1">SQRT(G6*G6+H6*H6)</f>
        <v>500</v>
      </c>
      <c r="J6" s="92">
        <f t="shared" ref="J6:J12" si="2">G6/I6</f>
        <v>1</v>
      </c>
      <c r="K6" s="92">
        <f t="shared" ref="K6:K12" si="3">H6/I6</f>
        <v>0</v>
      </c>
      <c r="L6" s="22">
        <f>GRAFICA_17!N28</f>
        <v>12</v>
      </c>
      <c r="M6" s="22">
        <f>GRAFICA_17!O28</f>
        <v>2100000</v>
      </c>
      <c r="N6" s="6">
        <f t="shared" ref="N6:N12" si="4">L6*M6/I6</f>
        <v>50400</v>
      </c>
    </row>
    <row r="7" spans="2:14" ht="19.05" customHeight="1" x14ac:dyDescent="0.3">
      <c r="B7" s="25">
        <v>2</v>
      </c>
      <c r="C7" s="22">
        <f>GRAFICA_17!E29</f>
        <v>500</v>
      </c>
      <c r="D7" s="22">
        <f>GRAFICA_17!F29</f>
        <v>0</v>
      </c>
      <c r="E7" s="22">
        <f>GRAFICA_17!G29</f>
        <v>1000</v>
      </c>
      <c r="F7" s="22">
        <f>GRAFICA_17!H29</f>
        <v>0</v>
      </c>
      <c r="G7" s="9">
        <f t="shared" si="0"/>
        <v>500</v>
      </c>
      <c r="H7" s="9">
        <f t="shared" si="0"/>
        <v>0</v>
      </c>
      <c r="I7" s="9">
        <f t="shared" si="1"/>
        <v>500</v>
      </c>
      <c r="J7" s="92">
        <f t="shared" si="2"/>
        <v>1</v>
      </c>
      <c r="K7" s="92">
        <f t="shared" si="3"/>
        <v>0</v>
      </c>
      <c r="L7" s="22">
        <f>GRAFICA_17!N29</f>
        <v>12</v>
      </c>
      <c r="M7" s="22">
        <f>GRAFICA_17!O29</f>
        <v>2100000</v>
      </c>
      <c r="N7" s="6">
        <f t="shared" si="4"/>
        <v>50400</v>
      </c>
    </row>
    <row r="8" spans="2:14" ht="19.05" customHeight="1" x14ac:dyDescent="0.3">
      <c r="B8" s="26">
        <v>3</v>
      </c>
      <c r="C8" s="22">
        <f>GRAFICA_17!E30</f>
        <v>0</v>
      </c>
      <c r="D8" s="22">
        <f>GRAFICA_17!F30</f>
        <v>0</v>
      </c>
      <c r="E8" s="22">
        <f>GRAFICA_17!G30</f>
        <v>250</v>
      </c>
      <c r="F8" s="22">
        <f>GRAFICA_17!H30</f>
        <v>250</v>
      </c>
      <c r="G8" s="9">
        <f t="shared" si="0"/>
        <v>250</v>
      </c>
      <c r="H8" s="9">
        <f t="shared" si="0"/>
        <v>250</v>
      </c>
      <c r="I8" s="9">
        <f t="shared" si="1"/>
        <v>353.55339059327378</v>
      </c>
      <c r="J8" s="92">
        <f t="shared" si="2"/>
        <v>0.70710678118654746</v>
      </c>
      <c r="K8" s="92">
        <f t="shared" si="3"/>
        <v>0.70710678118654746</v>
      </c>
      <c r="L8" s="22">
        <f>GRAFICA_17!N30</f>
        <v>12</v>
      </c>
      <c r="M8" s="22">
        <f>GRAFICA_17!O30</f>
        <v>2100000</v>
      </c>
      <c r="N8" s="6">
        <f t="shared" si="4"/>
        <v>71276.363543603991</v>
      </c>
    </row>
    <row r="9" spans="2:14" ht="19.05" customHeight="1" x14ac:dyDescent="0.3">
      <c r="B9" s="43">
        <v>4</v>
      </c>
      <c r="C9" s="22">
        <f>GRAFICA_17!E31</f>
        <v>250</v>
      </c>
      <c r="D9" s="22">
        <f>GRAFICA_17!F31</f>
        <v>250</v>
      </c>
      <c r="E9" s="22">
        <f>GRAFICA_17!G31</f>
        <v>500</v>
      </c>
      <c r="F9" s="22">
        <f>GRAFICA_17!H31</f>
        <v>500</v>
      </c>
      <c r="G9" s="9">
        <f t="shared" si="0"/>
        <v>250</v>
      </c>
      <c r="H9" s="9">
        <f t="shared" si="0"/>
        <v>250</v>
      </c>
      <c r="I9" s="9">
        <f t="shared" si="1"/>
        <v>353.55339059327378</v>
      </c>
      <c r="J9" s="92">
        <f t="shared" si="2"/>
        <v>0.70710678118654746</v>
      </c>
      <c r="K9" s="92">
        <f t="shared" si="3"/>
        <v>0.70710678118654746</v>
      </c>
      <c r="L9" s="22">
        <f>GRAFICA_17!N31</f>
        <v>12</v>
      </c>
      <c r="M9" s="22">
        <f>GRAFICA_17!O31</f>
        <v>2100000</v>
      </c>
      <c r="N9" s="6">
        <f t="shared" si="4"/>
        <v>71276.363543603991</v>
      </c>
    </row>
    <row r="10" spans="2:14" ht="19.05" customHeight="1" x14ac:dyDescent="0.3">
      <c r="B10" s="44">
        <v>5</v>
      </c>
      <c r="C10" s="22">
        <f>GRAFICA_17!E32</f>
        <v>500</v>
      </c>
      <c r="D10" s="22">
        <f>GRAFICA_17!F32</f>
        <v>500</v>
      </c>
      <c r="E10" s="22">
        <f>GRAFICA_17!G32</f>
        <v>1000</v>
      </c>
      <c r="F10" s="22">
        <f>GRAFICA_17!H32</f>
        <v>0</v>
      </c>
      <c r="G10" s="9">
        <f t="shared" si="0"/>
        <v>500</v>
      </c>
      <c r="H10" s="9">
        <f t="shared" si="0"/>
        <v>-500</v>
      </c>
      <c r="I10" s="9">
        <f t="shared" si="1"/>
        <v>707.10678118654755</v>
      </c>
      <c r="J10" s="92">
        <f t="shared" si="2"/>
        <v>0.70710678118654746</v>
      </c>
      <c r="K10" s="92">
        <f t="shared" si="3"/>
        <v>-0.70710678118654746</v>
      </c>
      <c r="L10" s="22">
        <f>GRAFICA_17!N32</f>
        <v>12</v>
      </c>
      <c r="M10" s="22">
        <f>GRAFICA_17!O32</f>
        <v>2100000</v>
      </c>
      <c r="N10" s="6">
        <f t="shared" si="4"/>
        <v>35638.181771801996</v>
      </c>
    </row>
    <row r="11" spans="2:14" ht="19.05" customHeight="1" x14ac:dyDescent="0.3">
      <c r="B11" s="51">
        <v>6</v>
      </c>
      <c r="C11" s="22">
        <f>GRAFICA_17!E33</f>
        <v>250</v>
      </c>
      <c r="D11" s="22">
        <f>GRAFICA_17!F33</f>
        <v>250</v>
      </c>
      <c r="E11" s="22">
        <f>GRAFICA_17!G33</f>
        <v>500</v>
      </c>
      <c r="F11" s="22">
        <f>GRAFICA_17!H33</f>
        <v>0</v>
      </c>
      <c r="G11" s="9">
        <f t="shared" si="0"/>
        <v>250</v>
      </c>
      <c r="H11" s="9">
        <f t="shared" si="0"/>
        <v>-250</v>
      </c>
      <c r="I11" s="9">
        <f t="shared" si="1"/>
        <v>353.55339059327378</v>
      </c>
      <c r="J11" s="92">
        <f t="shared" si="2"/>
        <v>0.70710678118654746</v>
      </c>
      <c r="K11" s="92">
        <f t="shared" si="3"/>
        <v>-0.70710678118654746</v>
      </c>
      <c r="L11" s="22">
        <f>GRAFICA_17!N33</f>
        <v>12</v>
      </c>
      <c r="M11" s="22">
        <f>GRAFICA_17!O33</f>
        <v>2100000</v>
      </c>
      <c r="N11" s="6">
        <f t="shared" si="4"/>
        <v>71276.363543603991</v>
      </c>
    </row>
    <row r="12" spans="2:14" ht="19.05" customHeight="1" x14ac:dyDescent="0.3">
      <c r="B12" s="52">
        <v>7</v>
      </c>
      <c r="C12" s="22">
        <f>GRAFICA_17!E34</f>
        <v>500</v>
      </c>
      <c r="D12" s="22">
        <f>GRAFICA_17!F34</f>
        <v>0</v>
      </c>
      <c r="E12" s="22">
        <f>GRAFICA_17!G34</f>
        <v>500</v>
      </c>
      <c r="F12" s="22">
        <f>GRAFICA_17!H34</f>
        <v>500</v>
      </c>
      <c r="G12" s="9">
        <f t="shared" si="0"/>
        <v>0</v>
      </c>
      <c r="H12" s="9">
        <f t="shared" si="0"/>
        <v>500</v>
      </c>
      <c r="I12" s="9">
        <f t="shared" si="1"/>
        <v>500</v>
      </c>
      <c r="J12" s="92">
        <f t="shared" si="2"/>
        <v>0</v>
      </c>
      <c r="K12" s="92">
        <f t="shared" si="3"/>
        <v>1</v>
      </c>
      <c r="L12" s="22">
        <f>GRAFICA_17!N34</f>
        <v>12</v>
      </c>
      <c r="M12" s="22">
        <f>GRAFICA_17!O34</f>
        <v>2100000</v>
      </c>
      <c r="N12" s="6">
        <f t="shared" si="4"/>
        <v>50400</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GRAFICA_17!C28</f>
        <v>1</v>
      </c>
      <c r="D16" s="23">
        <f>GRAFICA_17!C28</f>
        <v>1</v>
      </c>
      <c r="E16" s="23">
        <f>GRAFICA_17!D28</f>
        <v>2</v>
      </c>
      <c r="F16" s="23">
        <f>GRAFICA_17!D28</f>
        <v>2</v>
      </c>
    </row>
    <row r="17" spans="1:12" ht="19.05" customHeight="1" x14ac:dyDescent="0.3">
      <c r="B17" s="25">
        <v>2</v>
      </c>
      <c r="C17" s="23">
        <f>GRAFICA_17!C29</f>
        <v>2</v>
      </c>
      <c r="D17" s="23">
        <f>GRAFICA_17!C29</f>
        <v>2</v>
      </c>
      <c r="E17" s="23">
        <f>GRAFICA_17!D29</f>
        <v>3</v>
      </c>
      <c r="F17" s="23">
        <f>GRAFICA_17!D29</f>
        <v>3</v>
      </c>
    </row>
    <row r="18" spans="1:12" ht="19.05" customHeight="1" x14ac:dyDescent="0.3">
      <c r="B18" s="26">
        <v>3</v>
      </c>
      <c r="C18" s="23">
        <f>GRAFICA_17!C30</f>
        <v>1</v>
      </c>
      <c r="D18" s="23">
        <f>GRAFICA_17!C30</f>
        <v>1</v>
      </c>
      <c r="E18" s="23">
        <f>GRAFICA_17!D30</f>
        <v>4</v>
      </c>
      <c r="F18" s="23">
        <f>GRAFICA_17!D30</f>
        <v>4</v>
      </c>
    </row>
    <row r="19" spans="1:12" ht="19.05" customHeight="1" x14ac:dyDescent="0.3">
      <c r="B19" s="43">
        <v>4</v>
      </c>
      <c r="C19" s="23">
        <f>GRAFICA_17!C31</f>
        <v>4</v>
      </c>
      <c r="D19" s="23">
        <f>GRAFICA_17!C31</f>
        <v>4</v>
      </c>
      <c r="E19" s="23">
        <f>GRAFICA_17!D31</f>
        <v>5</v>
      </c>
      <c r="F19" s="23">
        <f>GRAFICA_17!D31</f>
        <v>5</v>
      </c>
    </row>
    <row r="20" spans="1:12" ht="19.05" customHeight="1" x14ac:dyDescent="0.3">
      <c r="B20" s="44">
        <v>5</v>
      </c>
      <c r="C20" s="23">
        <f>GRAFICA_17!C32</f>
        <v>5</v>
      </c>
      <c r="D20" s="23">
        <f>GRAFICA_17!C32</f>
        <v>5</v>
      </c>
      <c r="E20" s="23">
        <f>GRAFICA_17!D32</f>
        <v>3</v>
      </c>
      <c r="F20" s="23">
        <f>GRAFICA_17!D32</f>
        <v>3</v>
      </c>
    </row>
    <row r="21" spans="1:12" ht="19.05" customHeight="1" x14ac:dyDescent="0.3">
      <c r="B21" s="51">
        <v>6</v>
      </c>
      <c r="C21" s="23">
        <f>GRAFICA_17!C33</f>
        <v>4</v>
      </c>
      <c r="D21" s="23">
        <f>GRAFICA_17!C33</f>
        <v>4</v>
      </c>
      <c r="E21" s="23">
        <f>GRAFICA_17!D33</f>
        <v>2</v>
      </c>
      <c r="F21" s="23">
        <f>GRAFICA_17!D33</f>
        <v>2</v>
      </c>
    </row>
    <row r="22" spans="1:12" ht="19.05" customHeight="1" x14ac:dyDescent="0.3">
      <c r="B22" s="52">
        <v>7</v>
      </c>
      <c r="C22" s="23">
        <f>GRAFICA_17!C34</f>
        <v>2</v>
      </c>
      <c r="D22" s="23">
        <f>GRAFICA_17!C34</f>
        <v>2</v>
      </c>
      <c r="E22" s="23">
        <f>GRAFICA_17!D34</f>
        <v>5</v>
      </c>
      <c r="F22" s="23">
        <f>GRAFICA_17!D34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50400</v>
      </c>
      <c r="C26" s="7">
        <f>J6*K6*N6</f>
        <v>0</v>
      </c>
      <c r="D26" s="7">
        <f>-B26</f>
        <v>-50400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-50400</v>
      </c>
      <c r="C28" s="7">
        <f>E26</f>
        <v>0</v>
      </c>
      <c r="D28" s="7">
        <f>B26</f>
        <v>50400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50400</v>
      </c>
      <c r="C32" s="8">
        <f t="shared" si="5"/>
        <v>0</v>
      </c>
      <c r="D32" s="8">
        <f t="shared" si="5"/>
        <v>-50400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50400</v>
      </c>
      <c r="C45" s="30">
        <f>J7*K7*N7</f>
        <v>0</v>
      </c>
      <c r="D45" s="30">
        <f>-B45</f>
        <v>-50400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-50400</v>
      </c>
      <c r="C47" s="30">
        <f>E45</f>
        <v>0</v>
      </c>
      <c r="D47" s="30">
        <f>B45</f>
        <v>50400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50400</v>
      </c>
      <c r="E53" s="31">
        <f t="shared" si="6"/>
        <v>0</v>
      </c>
      <c r="F53" s="31">
        <f t="shared" si="6"/>
        <v>-50400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35638.181771801988</v>
      </c>
      <c r="C64" s="33">
        <f>J8*K8*N8</f>
        <v>35638.181771801988</v>
      </c>
      <c r="D64" s="33">
        <f>-B64</f>
        <v>-35638.181771801988</v>
      </c>
      <c r="E64" s="33">
        <f>-C64</f>
        <v>-35638.181771801988</v>
      </c>
      <c r="F64" s="32" t="str">
        <f>B63</f>
        <v>U1X</v>
      </c>
    </row>
    <row r="65" spans="1:12" ht="16.8" customHeight="1" x14ac:dyDescent="0.3">
      <c r="A65" s="28" t="s">
        <v>193</v>
      </c>
      <c r="B65" s="33">
        <f>C64</f>
        <v>35638.181771801988</v>
      </c>
      <c r="C65" s="33">
        <f>K8*K8*N8</f>
        <v>35638.181771801988</v>
      </c>
      <c r="D65" s="33">
        <f>-B65</f>
        <v>-35638.181771801988</v>
      </c>
      <c r="E65" s="33">
        <f>-C65</f>
        <v>-35638.181771801988</v>
      </c>
      <c r="F65" s="32" t="str">
        <f>C63</f>
        <v>U1Y</v>
      </c>
    </row>
    <row r="66" spans="1:12" x14ac:dyDescent="0.3">
      <c r="B66" s="33">
        <f>D64</f>
        <v>-35638.181771801988</v>
      </c>
      <c r="C66" s="33">
        <f>E64</f>
        <v>-35638.181771801988</v>
      </c>
      <c r="D66" s="33">
        <f>B64</f>
        <v>35638.181771801988</v>
      </c>
      <c r="E66" s="33">
        <f>C64</f>
        <v>35638.181771801988</v>
      </c>
      <c r="F66" s="32" t="str">
        <f>D63</f>
        <v>U4X</v>
      </c>
    </row>
    <row r="67" spans="1:12" x14ac:dyDescent="0.3">
      <c r="B67" s="33">
        <f>D65</f>
        <v>-35638.181771801988</v>
      </c>
      <c r="C67" s="33">
        <f>E65</f>
        <v>-35638.181771801988</v>
      </c>
      <c r="D67" s="33">
        <f>B65</f>
        <v>35638.181771801988</v>
      </c>
      <c r="E67" s="33">
        <f>C65</f>
        <v>35638.181771801988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35638.181771801988</v>
      </c>
      <c r="C70" s="34">
        <f t="shared" si="7"/>
        <v>35638.181771801988</v>
      </c>
      <c r="D70" s="9">
        <f t="shared" si="7"/>
        <v>0</v>
      </c>
      <c r="E70" s="9">
        <f t="shared" si="7"/>
        <v>0</v>
      </c>
      <c r="F70" s="9">
        <f t="shared" si="7"/>
        <v>0</v>
      </c>
      <c r="G70" s="9">
        <f t="shared" si="7"/>
        <v>0</v>
      </c>
      <c r="H70" s="34">
        <f t="shared" si="7"/>
        <v>-35638.181771801988</v>
      </c>
      <c r="I70" s="34">
        <f t="shared" si="7"/>
        <v>-35638.181771801988</v>
      </c>
      <c r="J70" s="9">
        <f t="shared" si="7"/>
        <v>0</v>
      </c>
      <c r="K70" s="9">
        <f t="shared" si="7"/>
        <v>0</v>
      </c>
      <c r="L70" s="32" t="s">
        <v>178</v>
      </c>
    </row>
    <row r="71" spans="1:12" ht="19.05" customHeight="1" x14ac:dyDescent="0.3">
      <c r="B71" s="34">
        <f t="shared" si="7"/>
        <v>35638.181771801988</v>
      </c>
      <c r="C71" s="34">
        <f t="shared" si="7"/>
        <v>35638.181771801988</v>
      </c>
      <c r="D71" s="9">
        <f t="shared" si="7"/>
        <v>0</v>
      </c>
      <c r="E71" s="9">
        <f t="shared" si="7"/>
        <v>0</v>
      </c>
      <c r="F71" s="9">
        <f t="shared" si="7"/>
        <v>0</v>
      </c>
      <c r="G71" s="9">
        <f t="shared" si="7"/>
        <v>0</v>
      </c>
      <c r="H71" s="34">
        <f t="shared" si="7"/>
        <v>-35638.181771801988</v>
      </c>
      <c r="I71" s="34">
        <f t="shared" si="7"/>
        <v>-35638.181771801988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-35638.181771801988</v>
      </c>
      <c r="C76" s="34">
        <f t="shared" si="7"/>
        <v>-35638.181771801988</v>
      </c>
      <c r="D76" s="9">
        <f t="shared" si="7"/>
        <v>0</v>
      </c>
      <c r="E76" s="9">
        <f t="shared" si="7"/>
        <v>0</v>
      </c>
      <c r="F76" s="9">
        <f t="shared" si="7"/>
        <v>0</v>
      </c>
      <c r="G76" s="9">
        <f t="shared" si="7"/>
        <v>0</v>
      </c>
      <c r="H76" s="34">
        <f t="shared" si="7"/>
        <v>35638.181771801988</v>
      </c>
      <c r="I76" s="34">
        <f t="shared" si="7"/>
        <v>35638.181771801988</v>
      </c>
      <c r="J76" s="9">
        <f t="shared" si="7"/>
        <v>0</v>
      </c>
      <c r="K76" s="9">
        <f t="shared" si="7"/>
        <v>0</v>
      </c>
      <c r="L76" s="32" t="s">
        <v>184</v>
      </c>
    </row>
    <row r="77" spans="1:12" ht="19.05" customHeight="1" x14ac:dyDescent="0.3">
      <c r="B77" s="34">
        <f t="shared" si="7"/>
        <v>-35638.181771801988</v>
      </c>
      <c r="C77" s="34">
        <f t="shared" si="7"/>
        <v>-35638.181771801988</v>
      </c>
      <c r="D77" s="9">
        <f t="shared" si="7"/>
        <v>0</v>
      </c>
      <c r="E77" s="9">
        <f t="shared" si="7"/>
        <v>0</v>
      </c>
      <c r="F77" s="9">
        <f t="shared" si="7"/>
        <v>0</v>
      </c>
      <c r="G77" s="9">
        <f t="shared" si="7"/>
        <v>0</v>
      </c>
      <c r="H77" s="34">
        <f t="shared" si="7"/>
        <v>35638.181771801988</v>
      </c>
      <c r="I77" s="34">
        <f t="shared" si="7"/>
        <v>35638.181771801988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35638.181771801988</v>
      </c>
      <c r="C83" s="46">
        <f>J9*K9*N9</f>
        <v>35638.181771801988</v>
      </c>
      <c r="D83" s="46">
        <f>-B83</f>
        <v>-35638.181771801988</v>
      </c>
      <c r="E83" s="46">
        <f>-C83</f>
        <v>-35638.181771801988</v>
      </c>
      <c r="F83" s="45" t="str">
        <f>B82</f>
        <v>U4X</v>
      </c>
    </row>
    <row r="84" spans="1:12" ht="16.8" customHeight="1" x14ac:dyDescent="0.3">
      <c r="A84" s="28" t="s">
        <v>195</v>
      </c>
      <c r="B84" s="46">
        <f>C83</f>
        <v>35638.181771801988</v>
      </c>
      <c r="C84" s="46">
        <f>K9*K9*N9</f>
        <v>35638.181771801988</v>
      </c>
      <c r="D84" s="46">
        <f>-B84</f>
        <v>-35638.181771801988</v>
      </c>
      <c r="E84" s="46">
        <f>-C84</f>
        <v>-35638.181771801988</v>
      </c>
      <c r="F84" s="45" t="str">
        <f>C82</f>
        <v>U4Y</v>
      </c>
    </row>
    <row r="85" spans="1:12" x14ac:dyDescent="0.3">
      <c r="B85" s="46">
        <f>D83</f>
        <v>-35638.181771801988</v>
      </c>
      <c r="C85" s="46">
        <f>E83</f>
        <v>-35638.181771801988</v>
      </c>
      <c r="D85" s="46">
        <f>B83</f>
        <v>35638.181771801988</v>
      </c>
      <c r="E85" s="46">
        <f>C83</f>
        <v>35638.181771801988</v>
      </c>
      <c r="F85" s="45" t="str">
        <f>D82</f>
        <v>U5X</v>
      </c>
    </row>
    <row r="86" spans="1:12" x14ac:dyDescent="0.3">
      <c r="B86" s="46">
        <f>D84</f>
        <v>-35638.181771801988</v>
      </c>
      <c r="C86" s="46">
        <f>E84</f>
        <v>-35638.181771801988</v>
      </c>
      <c r="D86" s="46">
        <f>B84</f>
        <v>35638.181771801988</v>
      </c>
      <c r="E86" s="46">
        <f>C84</f>
        <v>35638.181771801988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35638.181771801988</v>
      </c>
      <c r="I95" s="47">
        <f t="shared" si="8"/>
        <v>35638.181771801988</v>
      </c>
      <c r="J95" s="47">
        <f t="shared" si="8"/>
        <v>-35638.181771801988</v>
      </c>
      <c r="K95" s="47">
        <f t="shared" si="8"/>
        <v>-35638.181771801988</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35638.181771801988</v>
      </c>
      <c r="I96" s="47">
        <f t="shared" si="8"/>
        <v>35638.181771801988</v>
      </c>
      <c r="J96" s="47">
        <f t="shared" si="8"/>
        <v>-35638.181771801988</v>
      </c>
      <c r="K96" s="47">
        <f t="shared" si="8"/>
        <v>-35638.181771801988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-35638.181771801988</v>
      </c>
      <c r="I97" s="47">
        <f t="shared" si="8"/>
        <v>-35638.181771801988</v>
      </c>
      <c r="J97" s="47">
        <f t="shared" si="8"/>
        <v>35638.181771801988</v>
      </c>
      <c r="K97" s="47">
        <f t="shared" si="8"/>
        <v>35638.181771801988</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-35638.181771801988</v>
      </c>
      <c r="I98" s="47">
        <f t="shared" si="8"/>
        <v>-35638.181771801988</v>
      </c>
      <c r="J98" s="47">
        <f t="shared" si="8"/>
        <v>35638.181771801988</v>
      </c>
      <c r="K98" s="47">
        <f t="shared" si="8"/>
        <v>35638.181771801988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17819.090885900994</v>
      </c>
      <c r="C102" s="49">
        <f>J10*K10*N10</f>
        <v>-17819.090885900994</v>
      </c>
      <c r="D102" s="49">
        <f>-B102</f>
        <v>-17819.090885900994</v>
      </c>
      <c r="E102" s="49">
        <f>-C102</f>
        <v>17819.090885900994</v>
      </c>
      <c r="F102" s="48" t="str">
        <f>B101</f>
        <v>U5X</v>
      </c>
    </row>
    <row r="103" spans="1:12" ht="16.8" customHeight="1" x14ac:dyDescent="0.3">
      <c r="A103" s="28" t="s">
        <v>197</v>
      </c>
      <c r="B103" s="49">
        <f>C102</f>
        <v>-17819.090885900994</v>
      </c>
      <c r="C103" s="49">
        <f>K10*K10*N10</f>
        <v>17819.090885900994</v>
      </c>
      <c r="D103" s="49">
        <f>-B103</f>
        <v>17819.090885900994</v>
      </c>
      <c r="E103" s="49">
        <f>-C103</f>
        <v>-17819.090885900994</v>
      </c>
      <c r="F103" s="48" t="str">
        <f>C101</f>
        <v>U5Y</v>
      </c>
    </row>
    <row r="104" spans="1:12" x14ac:dyDescent="0.3">
      <c r="B104" s="49">
        <f>D102</f>
        <v>-17819.090885900994</v>
      </c>
      <c r="C104" s="49">
        <f>E102</f>
        <v>17819.090885900994</v>
      </c>
      <c r="D104" s="49">
        <f>B102</f>
        <v>17819.090885900994</v>
      </c>
      <c r="E104" s="49">
        <f>C102</f>
        <v>-17819.090885900994</v>
      </c>
      <c r="F104" s="48" t="str">
        <f>D101</f>
        <v>U3X</v>
      </c>
    </row>
    <row r="105" spans="1:12" x14ac:dyDescent="0.3">
      <c r="B105" s="49">
        <f>D103</f>
        <v>17819.090885900994</v>
      </c>
      <c r="C105" s="49">
        <f>E103</f>
        <v>-17819.090885900994</v>
      </c>
      <c r="D105" s="49">
        <f>B103</f>
        <v>-17819.090885900994</v>
      </c>
      <c r="E105" s="49">
        <f>C103</f>
        <v>17819.090885900994</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17819.090885900994</v>
      </c>
      <c r="G112" s="50">
        <f t="shared" si="9"/>
        <v>-17819.090885900994</v>
      </c>
      <c r="H112" s="9">
        <f t="shared" si="9"/>
        <v>0</v>
      </c>
      <c r="I112" s="9">
        <f t="shared" si="9"/>
        <v>0</v>
      </c>
      <c r="J112" s="50">
        <f t="shared" si="9"/>
        <v>-17819.090885900994</v>
      </c>
      <c r="K112" s="50">
        <f t="shared" si="9"/>
        <v>17819.090885900994</v>
      </c>
      <c r="L112" s="48" t="s">
        <v>182</v>
      </c>
    </row>
    <row r="113" spans="1:12" ht="19.05" customHeight="1" x14ac:dyDescent="0.3">
      <c r="B113" s="9">
        <f t="shared" si="9"/>
        <v>0</v>
      </c>
      <c r="C113" s="9">
        <f t="shared" si="9"/>
        <v>0</v>
      </c>
      <c r="D113" s="9">
        <f t="shared" si="9"/>
        <v>0</v>
      </c>
      <c r="E113" s="9">
        <f t="shared" si="9"/>
        <v>0</v>
      </c>
      <c r="F113" s="50">
        <f t="shared" si="9"/>
        <v>-17819.090885900994</v>
      </c>
      <c r="G113" s="50">
        <f t="shared" si="9"/>
        <v>17819.090885900994</v>
      </c>
      <c r="H113" s="9">
        <f t="shared" si="9"/>
        <v>0</v>
      </c>
      <c r="I113" s="9">
        <f t="shared" si="9"/>
        <v>0</v>
      </c>
      <c r="J113" s="50">
        <f t="shared" si="9"/>
        <v>17819.090885900994</v>
      </c>
      <c r="K113" s="50">
        <f t="shared" si="9"/>
        <v>-17819.090885900994</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-17819.090885900994</v>
      </c>
      <c r="G116" s="50">
        <f t="shared" si="9"/>
        <v>17819.090885900994</v>
      </c>
      <c r="H116" s="9">
        <f t="shared" si="9"/>
        <v>0</v>
      </c>
      <c r="I116" s="9">
        <f t="shared" si="9"/>
        <v>0</v>
      </c>
      <c r="J116" s="50">
        <f t="shared" si="9"/>
        <v>17819.090885900994</v>
      </c>
      <c r="K116" s="50">
        <f t="shared" si="9"/>
        <v>-17819.090885900994</v>
      </c>
      <c r="L116" s="48" t="s">
        <v>186</v>
      </c>
    </row>
    <row r="117" spans="1:12" ht="19.05" customHeight="1" x14ac:dyDescent="0.3">
      <c r="B117" s="9">
        <f t="shared" si="9"/>
        <v>0</v>
      </c>
      <c r="C117" s="9">
        <f t="shared" si="9"/>
        <v>0</v>
      </c>
      <c r="D117" s="9">
        <f t="shared" si="9"/>
        <v>0</v>
      </c>
      <c r="E117" s="9">
        <f t="shared" si="9"/>
        <v>0</v>
      </c>
      <c r="F117" s="50">
        <f t="shared" si="9"/>
        <v>17819.090885900994</v>
      </c>
      <c r="G117" s="50">
        <f t="shared" si="9"/>
        <v>-17819.090885900994</v>
      </c>
      <c r="H117" s="9">
        <f t="shared" si="9"/>
        <v>0</v>
      </c>
      <c r="I117" s="9">
        <f t="shared" si="9"/>
        <v>0</v>
      </c>
      <c r="J117" s="50">
        <f t="shared" si="9"/>
        <v>-17819.090885900994</v>
      </c>
      <c r="K117" s="50">
        <f t="shared" si="9"/>
        <v>17819.090885900994</v>
      </c>
      <c r="L117" s="48" t="s">
        <v>187</v>
      </c>
    </row>
    <row r="120" spans="1:12" ht="18" customHeight="1" x14ac:dyDescent="0.3">
      <c r="B120" s="53" t="str">
        <f>CONCATENATE("U",C21,C$15)</f>
        <v>U4X</v>
      </c>
      <c r="C120" s="53" t="str">
        <f>CONCATENATE("U",D21,D$15)</f>
        <v>U4Y</v>
      </c>
      <c r="D120" s="53" t="str">
        <f>CONCATENATE("U",E21,E$15)</f>
        <v>U2X</v>
      </c>
      <c r="E120" s="53" t="str">
        <f>CONCATENATE("U",F21,F$15)</f>
        <v>U2Y</v>
      </c>
    </row>
    <row r="121" spans="1:12" x14ac:dyDescent="0.3">
      <c r="B121" s="54">
        <f>J11*J11*N11</f>
        <v>35638.181771801988</v>
      </c>
      <c r="C121" s="54">
        <f>J11*K11*N11</f>
        <v>-35638.181771801988</v>
      </c>
      <c r="D121" s="54">
        <f>-B121</f>
        <v>-35638.181771801988</v>
      </c>
      <c r="E121" s="54">
        <f>-C121</f>
        <v>35638.181771801988</v>
      </c>
      <c r="F121" s="53" t="str">
        <f>B120</f>
        <v>U4X</v>
      </c>
    </row>
    <row r="122" spans="1:12" ht="16.8" customHeight="1" x14ac:dyDescent="0.3">
      <c r="A122" s="28" t="s">
        <v>199</v>
      </c>
      <c r="B122" s="54">
        <f>C121</f>
        <v>-35638.181771801988</v>
      </c>
      <c r="C122" s="54">
        <f>K11*K11*N11</f>
        <v>35638.181771801988</v>
      </c>
      <c r="D122" s="54">
        <f>-B122</f>
        <v>35638.181771801988</v>
      </c>
      <c r="E122" s="54">
        <f>-C122</f>
        <v>-35638.181771801988</v>
      </c>
      <c r="F122" s="53" t="str">
        <f>C120</f>
        <v>U4Y</v>
      </c>
    </row>
    <row r="123" spans="1:12" x14ac:dyDescent="0.3">
      <c r="B123" s="54">
        <f>D121</f>
        <v>-35638.181771801988</v>
      </c>
      <c r="C123" s="54">
        <f>E121</f>
        <v>35638.181771801988</v>
      </c>
      <c r="D123" s="54">
        <f>B121</f>
        <v>35638.181771801988</v>
      </c>
      <c r="E123" s="54">
        <f>C121</f>
        <v>-35638.181771801988</v>
      </c>
      <c r="F123" s="53" t="str">
        <f>D120</f>
        <v>U2X</v>
      </c>
    </row>
    <row r="124" spans="1:12" x14ac:dyDescent="0.3">
      <c r="B124" s="54">
        <f>D122</f>
        <v>35638.181771801988</v>
      </c>
      <c r="C124" s="54">
        <f>E122</f>
        <v>-35638.181771801988</v>
      </c>
      <c r="D124" s="54">
        <f>B122</f>
        <v>-35638.181771801988</v>
      </c>
      <c r="E124" s="54">
        <f>C122</f>
        <v>35638.181771801988</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35638.181771801988</v>
      </c>
      <c r="E129" s="55">
        <f t="shared" si="10"/>
        <v>-35638.181771801988</v>
      </c>
      <c r="F129" s="9">
        <f t="shared" si="10"/>
        <v>0</v>
      </c>
      <c r="G129" s="9">
        <f t="shared" si="10"/>
        <v>0</v>
      </c>
      <c r="H129" s="55">
        <f t="shared" si="10"/>
        <v>-35638.181771801988</v>
      </c>
      <c r="I129" s="55">
        <f t="shared" si="10"/>
        <v>35638.181771801988</v>
      </c>
      <c r="J129" s="9">
        <f t="shared" si="10"/>
        <v>0</v>
      </c>
      <c r="K129" s="9">
        <f t="shared" si="10"/>
        <v>0</v>
      </c>
      <c r="L129" s="53" t="s">
        <v>180</v>
      </c>
    </row>
    <row r="130" spans="1:12" ht="19.05" customHeight="1" x14ac:dyDescent="0.3">
      <c r="B130" s="9">
        <f t="shared" si="10"/>
        <v>0</v>
      </c>
      <c r="C130" s="9">
        <f t="shared" si="10"/>
        <v>0</v>
      </c>
      <c r="D130" s="55">
        <f t="shared" si="10"/>
        <v>-35638.181771801988</v>
      </c>
      <c r="E130" s="55">
        <f t="shared" si="10"/>
        <v>35638.181771801988</v>
      </c>
      <c r="F130" s="9">
        <f t="shared" si="10"/>
        <v>0</v>
      </c>
      <c r="G130" s="9">
        <f t="shared" si="10"/>
        <v>0</v>
      </c>
      <c r="H130" s="55">
        <f t="shared" si="10"/>
        <v>35638.181771801988</v>
      </c>
      <c r="I130" s="55">
        <f t="shared" si="10"/>
        <v>-35638.181771801988</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-35638.181771801988</v>
      </c>
      <c r="E133" s="55">
        <f t="shared" si="10"/>
        <v>35638.181771801988</v>
      </c>
      <c r="F133" s="9">
        <f t="shared" si="10"/>
        <v>0</v>
      </c>
      <c r="G133" s="9">
        <f t="shared" si="10"/>
        <v>0</v>
      </c>
      <c r="H133" s="55">
        <f t="shared" si="10"/>
        <v>35638.181771801988</v>
      </c>
      <c r="I133" s="55">
        <f t="shared" si="10"/>
        <v>-35638.181771801988</v>
      </c>
      <c r="J133" s="9">
        <f t="shared" si="10"/>
        <v>0</v>
      </c>
      <c r="K133" s="9">
        <f t="shared" si="10"/>
        <v>0</v>
      </c>
      <c r="L133" s="53" t="s">
        <v>184</v>
      </c>
    </row>
    <row r="134" spans="1:12" ht="19.05" customHeight="1" x14ac:dyDescent="0.3">
      <c r="B134" s="9">
        <f t="shared" si="10"/>
        <v>0</v>
      </c>
      <c r="C134" s="9">
        <f t="shared" si="10"/>
        <v>0</v>
      </c>
      <c r="D134" s="55">
        <f t="shared" si="10"/>
        <v>35638.181771801988</v>
      </c>
      <c r="E134" s="55">
        <f t="shared" si="10"/>
        <v>-35638.181771801988</v>
      </c>
      <c r="F134" s="9">
        <f t="shared" si="10"/>
        <v>0</v>
      </c>
      <c r="G134" s="9">
        <f t="shared" si="10"/>
        <v>0</v>
      </c>
      <c r="H134" s="55">
        <f t="shared" si="10"/>
        <v>-35638.181771801988</v>
      </c>
      <c r="I134" s="55">
        <f t="shared" si="10"/>
        <v>35638.181771801988</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50400</v>
      </c>
      <c r="D141" s="57">
        <f>-B141</f>
        <v>0</v>
      </c>
      <c r="E141" s="57">
        <f>-C141</f>
        <v>-50400</v>
      </c>
      <c r="F141" s="56" t="str">
        <f>C139</f>
        <v>U2Y</v>
      </c>
    </row>
    <row r="142" spans="1:12" x14ac:dyDescent="0.3">
      <c r="B142" s="57">
        <f>D140</f>
        <v>0</v>
      </c>
      <c r="C142" s="57">
        <f>E140</f>
        <v>0</v>
      </c>
      <c r="D142" s="57">
        <f>B140</f>
        <v>0</v>
      </c>
      <c r="E142" s="57">
        <f>C140</f>
        <v>0</v>
      </c>
      <c r="F142" s="56" t="str">
        <f>D139</f>
        <v>U5X</v>
      </c>
    </row>
    <row r="143" spans="1:12" x14ac:dyDescent="0.3">
      <c r="B143" s="57">
        <f>D141</f>
        <v>0</v>
      </c>
      <c r="C143" s="57">
        <f>E141</f>
        <v>-50400</v>
      </c>
      <c r="D143" s="57">
        <f>B141</f>
        <v>0</v>
      </c>
      <c r="E143" s="57">
        <f>C141</f>
        <v>50400</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9">
        <f t="shared" si="11"/>
        <v>0</v>
      </c>
      <c r="I148" s="9">
        <f t="shared" si="11"/>
        <v>0</v>
      </c>
      <c r="J148" s="58">
        <f t="shared" si="11"/>
        <v>0</v>
      </c>
      <c r="K148" s="58">
        <f t="shared" si="11"/>
        <v>0</v>
      </c>
      <c r="L148" s="56" t="s">
        <v>180</v>
      </c>
    </row>
    <row r="149" spans="1:12" ht="19.05" customHeight="1" x14ac:dyDescent="0.3">
      <c r="B149" s="9">
        <f t="shared" si="11"/>
        <v>0</v>
      </c>
      <c r="C149" s="9">
        <f t="shared" si="11"/>
        <v>0</v>
      </c>
      <c r="D149" s="58">
        <f t="shared" si="11"/>
        <v>0</v>
      </c>
      <c r="E149" s="58">
        <f t="shared" si="11"/>
        <v>50400</v>
      </c>
      <c r="F149" s="9">
        <f t="shared" si="11"/>
        <v>0</v>
      </c>
      <c r="G149" s="9">
        <f t="shared" si="11"/>
        <v>0</v>
      </c>
      <c r="H149" s="9">
        <f t="shared" si="11"/>
        <v>0</v>
      </c>
      <c r="I149" s="9">
        <f t="shared" si="11"/>
        <v>0</v>
      </c>
      <c r="J149" s="58">
        <f t="shared" si="11"/>
        <v>0</v>
      </c>
      <c r="K149" s="58">
        <f t="shared" si="11"/>
        <v>-50400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0</v>
      </c>
      <c r="E154" s="58">
        <f t="shared" si="11"/>
        <v>0</v>
      </c>
      <c r="F154" s="9">
        <f t="shared" si="11"/>
        <v>0</v>
      </c>
      <c r="G154" s="9">
        <f t="shared" si="11"/>
        <v>0</v>
      </c>
      <c r="H154" s="9">
        <f t="shared" si="11"/>
        <v>0</v>
      </c>
      <c r="I154" s="9">
        <f t="shared" si="11"/>
        <v>0</v>
      </c>
      <c r="J154" s="58">
        <f t="shared" si="11"/>
        <v>0</v>
      </c>
      <c r="K154" s="58">
        <f t="shared" si="11"/>
        <v>0</v>
      </c>
      <c r="L154" s="56" t="s">
        <v>186</v>
      </c>
    </row>
    <row r="155" spans="1:12" ht="19.05" customHeight="1" x14ac:dyDescent="0.3">
      <c r="B155" s="9">
        <f t="shared" si="11"/>
        <v>0</v>
      </c>
      <c r="C155" s="9">
        <f t="shared" si="11"/>
        <v>0</v>
      </c>
      <c r="D155" s="58">
        <f t="shared" si="11"/>
        <v>0</v>
      </c>
      <c r="E155" s="58">
        <f t="shared" si="11"/>
        <v>-50400</v>
      </c>
      <c r="F155" s="9">
        <f t="shared" si="11"/>
        <v>0</v>
      </c>
      <c r="G155" s="9">
        <f t="shared" si="11"/>
        <v>0</v>
      </c>
      <c r="H155" s="9">
        <f t="shared" si="11"/>
        <v>0</v>
      </c>
      <c r="I155" s="9">
        <f t="shared" si="11"/>
        <v>0</v>
      </c>
      <c r="J155" s="58">
        <f t="shared" si="11"/>
        <v>0</v>
      </c>
      <c r="K155" s="58">
        <f t="shared" si="11"/>
        <v>50400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86038.181771801988</v>
      </c>
      <c r="C159" s="36">
        <f t="shared" si="12"/>
        <v>35638.181771801988</v>
      </c>
      <c r="D159" s="9">
        <f t="shared" si="12"/>
        <v>-50400</v>
      </c>
      <c r="E159" s="9">
        <f t="shared" si="12"/>
        <v>0</v>
      </c>
      <c r="F159" s="9">
        <f t="shared" si="12"/>
        <v>0</v>
      </c>
      <c r="G159" s="9">
        <f t="shared" si="12"/>
        <v>0</v>
      </c>
      <c r="H159" s="9">
        <f t="shared" si="12"/>
        <v>-35638.181771801988</v>
      </c>
      <c r="I159" s="9">
        <f t="shared" si="12"/>
        <v>-35638.181771801988</v>
      </c>
      <c r="J159" s="9">
        <f t="shared" si="12"/>
        <v>0</v>
      </c>
      <c r="K159" s="9">
        <f t="shared" si="12"/>
        <v>0</v>
      </c>
      <c r="L159" s="89" t="s">
        <v>178</v>
      </c>
    </row>
    <row r="160" spans="1:12" ht="19.95" customHeight="1" x14ac:dyDescent="0.3">
      <c r="B160" s="36">
        <f t="shared" ref="B160:K160" si="13">B33+B52+B71+B90+B109+B128+B147</f>
        <v>35638.181771801988</v>
      </c>
      <c r="C160" s="35">
        <f t="shared" si="13"/>
        <v>35638.181771801988</v>
      </c>
      <c r="D160" s="9">
        <f t="shared" si="13"/>
        <v>0</v>
      </c>
      <c r="E160" s="9">
        <f t="shared" si="13"/>
        <v>0</v>
      </c>
      <c r="F160" s="9">
        <f t="shared" si="13"/>
        <v>0</v>
      </c>
      <c r="G160" s="9">
        <f t="shared" si="13"/>
        <v>0</v>
      </c>
      <c r="H160" s="9">
        <f t="shared" si="13"/>
        <v>-35638.181771801988</v>
      </c>
      <c r="I160" s="9">
        <f t="shared" si="13"/>
        <v>-35638.181771801988</v>
      </c>
      <c r="J160" s="9">
        <f t="shared" si="13"/>
        <v>0</v>
      </c>
      <c r="K160" s="9">
        <f t="shared" si="13"/>
        <v>0</v>
      </c>
      <c r="L160" s="89" t="s">
        <v>179</v>
      </c>
    </row>
    <row r="161" spans="1:19" ht="19.95" customHeight="1" x14ac:dyDescent="0.3">
      <c r="B161" s="9">
        <f t="shared" ref="B161:K161" si="14">B34+B53+B72+B91+B110+B129+B148</f>
        <v>-50400</v>
      </c>
      <c r="C161" s="9">
        <f t="shared" si="14"/>
        <v>0</v>
      </c>
      <c r="D161" s="35">
        <f t="shared" si="14"/>
        <v>136438.18177180199</v>
      </c>
      <c r="E161" s="36">
        <f t="shared" si="14"/>
        <v>-35638.181771801988</v>
      </c>
      <c r="F161" s="9">
        <f t="shared" si="14"/>
        <v>-50400</v>
      </c>
      <c r="G161" s="9">
        <f t="shared" si="14"/>
        <v>0</v>
      </c>
      <c r="H161" s="9">
        <f t="shared" si="14"/>
        <v>-35638.181771801988</v>
      </c>
      <c r="I161" s="9">
        <f t="shared" si="14"/>
        <v>35638.181771801988</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-35638.181771801988</v>
      </c>
      <c r="E162" s="35">
        <f t="shared" si="15"/>
        <v>86038.181771801988</v>
      </c>
      <c r="F162" s="9">
        <f t="shared" si="15"/>
        <v>0</v>
      </c>
      <c r="G162" s="9">
        <f t="shared" si="15"/>
        <v>0</v>
      </c>
      <c r="H162" s="9">
        <f t="shared" si="15"/>
        <v>35638.181771801988</v>
      </c>
      <c r="I162" s="9">
        <f t="shared" si="15"/>
        <v>-35638.181771801988</v>
      </c>
      <c r="J162" s="9">
        <f t="shared" si="15"/>
        <v>0</v>
      </c>
      <c r="K162" s="9">
        <f t="shared" si="15"/>
        <v>-50400</v>
      </c>
      <c r="L162" s="89" t="s">
        <v>181</v>
      </c>
    </row>
    <row r="163" spans="1:19" ht="19.95" customHeight="1" x14ac:dyDescent="0.3">
      <c r="A163" s="28" t="s">
        <v>205</v>
      </c>
      <c r="B163" s="9">
        <f t="shared" ref="B163:K163" si="16">B36+B55+B74+B93+B112+B131+B150</f>
        <v>0</v>
      </c>
      <c r="C163" s="9">
        <f t="shared" si="16"/>
        <v>0</v>
      </c>
      <c r="D163" s="9">
        <f t="shared" si="16"/>
        <v>-50400</v>
      </c>
      <c r="E163" s="9">
        <f t="shared" si="16"/>
        <v>0</v>
      </c>
      <c r="F163" s="35">
        <f t="shared" si="16"/>
        <v>68219.090885900994</v>
      </c>
      <c r="G163" s="36">
        <f t="shared" si="16"/>
        <v>-17819.090885900994</v>
      </c>
      <c r="H163" s="9">
        <f t="shared" si="16"/>
        <v>0</v>
      </c>
      <c r="I163" s="9">
        <f t="shared" si="16"/>
        <v>0</v>
      </c>
      <c r="J163" s="9">
        <f t="shared" si="16"/>
        <v>-17819.090885900994</v>
      </c>
      <c r="K163" s="9">
        <f t="shared" si="16"/>
        <v>17819.090885900994</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-17819.090885900994</v>
      </c>
      <c r="G164" s="35">
        <f t="shared" si="17"/>
        <v>17819.090885900994</v>
      </c>
      <c r="H164" s="9">
        <f t="shared" si="17"/>
        <v>0</v>
      </c>
      <c r="I164" s="9">
        <f t="shared" si="17"/>
        <v>0</v>
      </c>
      <c r="J164" s="9">
        <f t="shared" si="17"/>
        <v>17819.090885900994</v>
      </c>
      <c r="K164" s="9">
        <f t="shared" si="17"/>
        <v>-17819.090885900994</v>
      </c>
      <c r="L164" s="89" t="s">
        <v>183</v>
      </c>
    </row>
    <row r="165" spans="1:19" ht="19.95" customHeight="1" x14ac:dyDescent="0.3">
      <c r="B165" s="9">
        <f t="shared" ref="B165:K165" si="18">B38+B57+B76+B95+B114+B133+B152</f>
        <v>-35638.181771801988</v>
      </c>
      <c r="C165" s="9">
        <f t="shared" si="18"/>
        <v>-35638.181771801988</v>
      </c>
      <c r="D165" s="9">
        <f t="shared" si="18"/>
        <v>-35638.181771801988</v>
      </c>
      <c r="E165" s="9">
        <f t="shared" si="18"/>
        <v>35638.181771801988</v>
      </c>
      <c r="F165" s="9">
        <f t="shared" si="18"/>
        <v>0</v>
      </c>
      <c r="G165" s="9">
        <f t="shared" si="18"/>
        <v>0</v>
      </c>
      <c r="H165" s="35">
        <f t="shared" si="18"/>
        <v>106914.54531540597</v>
      </c>
      <c r="I165" s="36">
        <f t="shared" si="18"/>
        <v>35638.181771801988</v>
      </c>
      <c r="J165" s="9">
        <f t="shared" si="18"/>
        <v>-35638.181771801988</v>
      </c>
      <c r="K165" s="9">
        <f t="shared" si="18"/>
        <v>-35638.181771801988</v>
      </c>
      <c r="L165" s="89" t="s">
        <v>184</v>
      </c>
    </row>
    <row r="166" spans="1:19" ht="19.95" customHeight="1" x14ac:dyDescent="0.3">
      <c r="B166" s="9">
        <f t="shared" ref="B166:K166" si="19">B39+B58+B77+B96+B115+B134+B153</f>
        <v>-35638.181771801988</v>
      </c>
      <c r="C166" s="9">
        <f t="shared" si="19"/>
        <v>-35638.181771801988</v>
      </c>
      <c r="D166" s="9">
        <f t="shared" si="19"/>
        <v>35638.181771801988</v>
      </c>
      <c r="E166" s="9">
        <f t="shared" si="19"/>
        <v>-35638.181771801988</v>
      </c>
      <c r="F166" s="9">
        <f t="shared" si="19"/>
        <v>0</v>
      </c>
      <c r="G166" s="9">
        <f t="shared" si="19"/>
        <v>0</v>
      </c>
      <c r="H166" s="36">
        <f t="shared" si="19"/>
        <v>35638.181771801988</v>
      </c>
      <c r="I166" s="35">
        <f t="shared" si="19"/>
        <v>106914.54531540597</v>
      </c>
      <c r="J166" s="9">
        <f t="shared" si="19"/>
        <v>-35638.181771801988</v>
      </c>
      <c r="K166" s="9">
        <f t="shared" si="19"/>
        <v>-35638.181771801988</v>
      </c>
      <c r="L166" s="89" t="s">
        <v>185</v>
      </c>
    </row>
    <row r="167" spans="1:19" ht="19.95" customHeight="1" x14ac:dyDescent="0.3">
      <c r="B167" s="9">
        <f t="shared" ref="B167:K167" si="20">B40+B59+B78+B97+B116+B135+B154</f>
        <v>0</v>
      </c>
      <c r="C167" s="9">
        <f t="shared" si="20"/>
        <v>0</v>
      </c>
      <c r="D167" s="9">
        <f t="shared" si="20"/>
        <v>0</v>
      </c>
      <c r="E167" s="9">
        <f t="shared" si="20"/>
        <v>0</v>
      </c>
      <c r="F167" s="9">
        <f t="shared" si="20"/>
        <v>-17819.090885900994</v>
      </c>
      <c r="G167" s="9">
        <f t="shared" si="20"/>
        <v>17819.090885900994</v>
      </c>
      <c r="H167" s="9">
        <f t="shared" si="20"/>
        <v>-35638.181771801988</v>
      </c>
      <c r="I167" s="9">
        <f t="shared" si="20"/>
        <v>-35638.181771801988</v>
      </c>
      <c r="J167" s="35">
        <f t="shared" si="20"/>
        <v>53457.272657702983</v>
      </c>
      <c r="K167" s="36">
        <f t="shared" si="20"/>
        <v>17819.090885900994</v>
      </c>
      <c r="L167" s="89" t="s">
        <v>186</v>
      </c>
    </row>
    <row r="168" spans="1:19" ht="19.95" customHeight="1" x14ac:dyDescent="0.3">
      <c r="B168" s="9">
        <f t="shared" ref="B168:K168" si="21">B41+B60+B79+B98+B117+B136+B155</f>
        <v>0</v>
      </c>
      <c r="C168" s="9">
        <f t="shared" si="21"/>
        <v>0</v>
      </c>
      <c r="D168" s="9">
        <f t="shared" si="21"/>
        <v>0</v>
      </c>
      <c r="E168" s="9">
        <f t="shared" si="21"/>
        <v>-50400</v>
      </c>
      <c r="F168" s="9">
        <f t="shared" si="21"/>
        <v>17819.090885900994</v>
      </c>
      <c r="G168" s="9">
        <f t="shared" si="21"/>
        <v>-17819.090885900994</v>
      </c>
      <c r="H168" s="9">
        <f t="shared" si="21"/>
        <v>-35638.181771801988</v>
      </c>
      <c r="I168" s="9">
        <f t="shared" si="21"/>
        <v>-35638.181771801988</v>
      </c>
      <c r="J168" s="36">
        <f t="shared" si="21"/>
        <v>17819.090885900994</v>
      </c>
      <c r="K168" s="35">
        <f t="shared" si="21"/>
        <v>103857.27265770298</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IF(GRAFICA_17!F14=1, B172, GRAFICA_17!H14)</f>
        <v>C1X</v>
      </c>
      <c r="N172" s="215" t="s">
        <v>376</v>
      </c>
      <c r="O172" s="172"/>
      <c r="P172" s="172"/>
      <c r="Q172" s="172"/>
      <c r="R172" s="172"/>
      <c r="S172" s="173"/>
    </row>
    <row r="173" spans="1:19" ht="16.95" customHeight="1" x14ac:dyDescent="0.3">
      <c r="B173" s="12" t="s">
        <v>210</v>
      </c>
      <c r="C173" s="12" t="s">
        <v>179</v>
      </c>
      <c r="E173" s="37" t="str">
        <f>IF(GRAFICA_17!G14=1, B173, GRAFICA_17!I14)</f>
        <v>C1Y</v>
      </c>
      <c r="N173" s="215" t="s">
        <v>211</v>
      </c>
      <c r="O173" s="172"/>
      <c r="P173" s="172"/>
      <c r="Q173" s="172"/>
      <c r="R173" s="172"/>
      <c r="S173" s="173"/>
    </row>
    <row r="174" spans="1:19" ht="16.95" customHeight="1" x14ac:dyDescent="0.3">
      <c r="B174" s="12" t="s">
        <v>212</v>
      </c>
      <c r="C174" s="12" t="s">
        <v>180</v>
      </c>
      <c r="E174" s="37">
        <f>IF(GRAFICA_17!F15=1, B174, GRAFICA_17!H15)</f>
        <v>0</v>
      </c>
      <c r="N174" s="215" t="s">
        <v>377</v>
      </c>
      <c r="O174" s="172"/>
      <c r="P174" s="172"/>
      <c r="Q174" s="172"/>
      <c r="R174" s="172"/>
      <c r="S174" s="173"/>
    </row>
    <row r="175" spans="1:19" ht="16.95" customHeight="1" x14ac:dyDescent="0.3">
      <c r="B175" s="12" t="s">
        <v>214</v>
      </c>
      <c r="C175" s="12" t="s">
        <v>181</v>
      </c>
      <c r="E175" s="37">
        <f>IF(GRAFICA_17!G15=1, B175, GRAFICA_17!I15)</f>
        <v>-4000</v>
      </c>
      <c r="N175" s="215" t="s">
        <v>215</v>
      </c>
      <c r="O175" s="172"/>
      <c r="P175" s="172"/>
      <c r="Q175" s="172"/>
      <c r="R175" s="172"/>
      <c r="S175" s="173"/>
    </row>
    <row r="176" spans="1:19" ht="16.95" customHeight="1" x14ac:dyDescent="0.3">
      <c r="A176" s="38" t="s">
        <v>218</v>
      </c>
      <c r="B176" s="12" t="s">
        <v>216</v>
      </c>
      <c r="C176" s="12" t="s">
        <v>182</v>
      </c>
      <c r="D176" s="13" t="s">
        <v>220</v>
      </c>
      <c r="E176" s="37">
        <f>IF(GRAFICA_17!F16=1, B176, GRAFICA_17!H16)</f>
        <v>0</v>
      </c>
      <c r="N176" s="215" t="s">
        <v>378</v>
      </c>
      <c r="O176" s="172"/>
      <c r="P176" s="172"/>
      <c r="Q176" s="172"/>
      <c r="R176" s="172"/>
      <c r="S176" s="173"/>
    </row>
    <row r="177" spans="1:19" ht="16.95" customHeight="1" x14ac:dyDescent="0.3">
      <c r="B177" s="12" t="s">
        <v>219</v>
      </c>
      <c r="C177" s="12" t="s">
        <v>183</v>
      </c>
      <c r="E177" s="37" t="str">
        <f>IF(GRAFICA_17!G16=1, B177, GRAFICA_17!I16)</f>
        <v>C3Y</v>
      </c>
      <c r="N177" s="215" t="s">
        <v>379</v>
      </c>
      <c r="O177" s="172"/>
      <c r="P177" s="172"/>
      <c r="Q177" s="172"/>
      <c r="R177" s="172"/>
      <c r="S177" s="173"/>
    </row>
    <row r="178" spans="1:19" ht="16.95" customHeight="1" x14ac:dyDescent="0.3">
      <c r="B178" s="12" t="s">
        <v>221</v>
      </c>
      <c r="C178" s="12" t="s">
        <v>184</v>
      </c>
      <c r="E178" s="37">
        <f>IF(GRAFICA_17!F17=1, B178, GRAFICA_17!H17)</f>
        <v>1500</v>
      </c>
      <c r="N178" s="215"/>
      <c r="O178" s="172"/>
      <c r="P178" s="172"/>
      <c r="Q178" s="172"/>
      <c r="R178" s="172"/>
      <c r="S178" s="173"/>
    </row>
    <row r="179" spans="1:19" ht="16.95" customHeight="1" x14ac:dyDescent="0.3">
      <c r="B179" s="12" t="s">
        <v>222</v>
      </c>
      <c r="C179" s="12" t="s">
        <v>185</v>
      </c>
      <c r="E179" s="37">
        <f>IF(GRAFICA_17!G17=1, B179, GRAFICA_17!I17)</f>
        <v>-5000</v>
      </c>
      <c r="N179" s="215"/>
      <c r="O179" s="172"/>
      <c r="P179" s="172"/>
      <c r="Q179" s="172"/>
      <c r="R179" s="172"/>
      <c r="S179" s="173"/>
    </row>
    <row r="180" spans="1:19" ht="16.95" customHeight="1" x14ac:dyDescent="0.3">
      <c r="B180" s="12" t="s">
        <v>223</v>
      </c>
      <c r="C180" s="12" t="s">
        <v>186</v>
      </c>
      <c r="E180" s="37">
        <f>IF(GRAFICA_17!F18=1, B180, GRAFICA_17!H18)</f>
        <v>0</v>
      </c>
      <c r="N180" s="215"/>
      <c r="O180" s="172"/>
      <c r="P180" s="172"/>
      <c r="Q180" s="172"/>
      <c r="R180" s="172"/>
      <c r="S180" s="173"/>
    </row>
    <row r="181" spans="1:19" ht="16.95" customHeight="1" x14ac:dyDescent="0.3">
      <c r="B181" s="12" t="s">
        <v>224</v>
      </c>
      <c r="C181" s="12" t="s">
        <v>187</v>
      </c>
      <c r="E181" s="37">
        <f>IF(GRAFICA_17!G18=1, B181, GRAFICA_17!I18)</f>
        <v>-8000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IF(GRAFICA_17!F14=1,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IF(GRAFICA_17!G14=1,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IF(GRAFICA_17!F15=1,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IF(GRAFICA_17!G15=1,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IF(GRAFICA_17!F16=1,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IF(GRAFICA_17!G16=1,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IF(GRAFICA_17!F17=1,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IF(GRAFICA_17!G17=1,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IF(GRAFICA_17!F18=1,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IF(GRAFICA_17!G18=1,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86038.181771801988</v>
      </c>
      <c r="D198" s="9">
        <f t="shared" si="23"/>
        <v>35638.181771801988</v>
      </c>
      <c r="E198" s="9">
        <f t="shared" si="23"/>
        <v>-50400</v>
      </c>
      <c r="F198" s="9">
        <f t="shared" si="23"/>
        <v>0</v>
      </c>
      <c r="G198" s="9">
        <f t="shared" si="23"/>
        <v>0</v>
      </c>
      <c r="H198" s="9">
        <f t="shared" si="23"/>
        <v>0</v>
      </c>
      <c r="I198" s="9">
        <f t="shared" si="23"/>
        <v>-35638.181771801988</v>
      </c>
      <c r="J198" s="9">
        <f t="shared" si="23"/>
        <v>-35638.181771801988</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35638.181771801988</v>
      </c>
      <c r="D199" s="9">
        <f t="shared" si="24"/>
        <v>35638.181771801988</v>
      </c>
      <c r="E199" s="9">
        <f t="shared" si="24"/>
        <v>0</v>
      </c>
      <c r="F199" s="9">
        <f t="shared" si="24"/>
        <v>0</v>
      </c>
      <c r="G199" s="9">
        <f t="shared" si="24"/>
        <v>0</v>
      </c>
      <c r="H199" s="9">
        <f t="shared" si="24"/>
        <v>0</v>
      </c>
      <c r="I199" s="9">
        <f t="shared" si="24"/>
        <v>-35638.181771801988</v>
      </c>
      <c r="J199" s="9">
        <f t="shared" si="24"/>
        <v>-35638.181771801988</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-50400</v>
      </c>
      <c r="D200" s="9">
        <f t="shared" si="25"/>
        <v>0</v>
      </c>
      <c r="E200" s="41">
        <f t="shared" si="25"/>
        <v>136438.18177180199</v>
      </c>
      <c r="F200" s="41">
        <f t="shared" si="25"/>
        <v>-35638.181771801988</v>
      </c>
      <c r="G200" s="41">
        <f t="shared" si="25"/>
        <v>-50400</v>
      </c>
      <c r="H200" s="9">
        <f t="shared" si="25"/>
        <v>0</v>
      </c>
      <c r="I200" s="41">
        <f t="shared" si="25"/>
        <v>-35638.181771801988</v>
      </c>
      <c r="J200" s="41">
        <f t="shared" si="25"/>
        <v>35638.181771801988</v>
      </c>
      <c r="K200" s="41">
        <f t="shared" si="25"/>
        <v>0</v>
      </c>
      <c r="L200" s="41">
        <f t="shared" si="25"/>
        <v>0</v>
      </c>
      <c r="M200" s="13" t="s">
        <v>251</v>
      </c>
      <c r="N200" s="215" t="s">
        <v>254</v>
      </c>
      <c r="O200" s="172"/>
      <c r="P200" s="172"/>
      <c r="Q200" s="172"/>
      <c r="R200" s="172"/>
      <c r="S200" s="173"/>
    </row>
    <row r="201" spans="1:19" ht="16.95" customHeight="1" x14ac:dyDescent="0.3">
      <c r="A201" s="41">
        <f t="shared" si="22"/>
        <v>-4000</v>
      </c>
      <c r="C201" s="9">
        <f t="shared" ref="C201:L201" si="26">B162</f>
        <v>0</v>
      </c>
      <c r="D201" s="9">
        <f t="shared" si="26"/>
        <v>0</v>
      </c>
      <c r="E201" s="41">
        <f t="shared" si="26"/>
        <v>-35638.181771801988</v>
      </c>
      <c r="F201" s="41">
        <f t="shared" si="26"/>
        <v>86038.181771801988</v>
      </c>
      <c r="G201" s="41">
        <f t="shared" si="26"/>
        <v>0</v>
      </c>
      <c r="H201" s="9">
        <f t="shared" si="26"/>
        <v>0</v>
      </c>
      <c r="I201" s="41">
        <f t="shared" si="26"/>
        <v>35638.181771801988</v>
      </c>
      <c r="J201" s="41">
        <f t="shared" si="26"/>
        <v>-35638.181771801988</v>
      </c>
      <c r="K201" s="41">
        <f t="shared" si="26"/>
        <v>0</v>
      </c>
      <c r="L201" s="41">
        <f t="shared" si="26"/>
        <v>-50400</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-50400</v>
      </c>
      <c r="F202" s="41">
        <f t="shared" si="27"/>
        <v>0</v>
      </c>
      <c r="G202" s="41">
        <f t="shared" si="27"/>
        <v>68219.090885900994</v>
      </c>
      <c r="H202" s="9">
        <f t="shared" si="27"/>
        <v>-17819.090885900994</v>
      </c>
      <c r="I202" s="41">
        <f t="shared" si="27"/>
        <v>0</v>
      </c>
      <c r="J202" s="41">
        <f t="shared" si="27"/>
        <v>0</v>
      </c>
      <c r="K202" s="41">
        <f t="shared" si="27"/>
        <v>-17819.090885900994</v>
      </c>
      <c r="L202" s="41">
        <f t="shared" si="27"/>
        <v>17819.090885900994</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-17819.090885900994</v>
      </c>
      <c r="H203" s="9">
        <f t="shared" si="28"/>
        <v>17819.090885900994</v>
      </c>
      <c r="I203" s="9">
        <f t="shared" si="28"/>
        <v>0</v>
      </c>
      <c r="J203" s="9">
        <f t="shared" si="28"/>
        <v>0</v>
      </c>
      <c r="K203" s="9">
        <f t="shared" si="28"/>
        <v>17819.090885900994</v>
      </c>
      <c r="L203" s="9">
        <f t="shared" si="28"/>
        <v>-17819.090885900994</v>
      </c>
      <c r="M203" s="13" t="s">
        <v>251</v>
      </c>
      <c r="N203" s="219">
        <f>E189</f>
        <v>0</v>
      </c>
      <c r="O203" s="172"/>
      <c r="P203" s="172"/>
      <c r="Q203" s="172"/>
      <c r="R203" s="172"/>
      <c r="S203" s="173"/>
    </row>
    <row r="204" spans="1:19" ht="16.95" customHeight="1" x14ac:dyDescent="0.3">
      <c r="A204" s="41">
        <f t="shared" si="22"/>
        <v>1500</v>
      </c>
      <c r="C204" s="9">
        <f t="shared" ref="C204:L204" si="29">B165</f>
        <v>-35638.181771801988</v>
      </c>
      <c r="D204" s="9">
        <f t="shared" si="29"/>
        <v>-35638.181771801988</v>
      </c>
      <c r="E204" s="41">
        <f t="shared" si="29"/>
        <v>-35638.181771801988</v>
      </c>
      <c r="F204" s="41">
        <f t="shared" si="29"/>
        <v>35638.181771801988</v>
      </c>
      <c r="G204" s="41">
        <f t="shared" si="29"/>
        <v>0</v>
      </c>
      <c r="H204" s="9">
        <f t="shared" si="29"/>
        <v>0</v>
      </c>
      <c r="I204" s="41">
        <f t="shared" si="29"/>
        <v>106914.54531540597</v>
      </c>
      <c r="J204" s="41">
        <f t="shared" si="29"/>
        <v>35638.181771801988</v>
      </c>
      <c r="K204" s="41">
        <f t="shared" si="29"/>
        <v>-35638.181771801988</v>
      </c>
      <c r="L204" s="41">
        <f t="shared" si="29"/>
        <v>-35638.181771801988</v>
      </c>
      <c r="M204" s="13" t="s">
        <v>251</v>
      </c>
      <c r="N204" s="215" t="str">
        <f>E190</f>
        <v>D4X</v>
      </c>
      <c r="O204" s="172"/>
      <c r="P204" s="172"/>
      <c r="Q204" s="172"/>
      <c r="R204" s="172"/>
      <c r="S204" s="173"/>
    </row>
    <row r="205" spans="1:19" ht="16.95" customHeight="1" x14ac:dyDescent="0.3">
      <c r="A205" s="41">
        <f t="shared" si="22"/>
        <v>-5000</v>
      </c>
      <c r="C205" s="9">
        <f t="shared" ref="C205:L205" si="30">B166</f>
        <v>-35638.181771801988</v>
      </c>
      <c r="D205" s="9">
        <f t="shared" si="30"/>
        <v>-35638.181771801988</v>
      </c>
      <c r="E205" s="41">
        <f t="shared" si="30"/>
        <v>35638.181771801988</v>
      </c>
      <c r="F205" s="41">
        <f t="shared" si="30"/>
        <v>-35638.181771801988</v>
      </c>
      <c r="G205" s="41">
        <f t="shared" si="30"/>
        <v>0</v>
      </c>
      <c r="H205" s="9">
        <f t="shared" si="30"/>
        <v>0</v>
      </c>
      <c r="I205" s="41">
        <f t="shared" si="30"/>
        <v>35638.181771801988</v>
      </c>
      <c r="J205" s="41">
        <f t="shared" si="30"/>
        <v>106914.54531540597</v>
      </c>
      <c r="K205" s="41">
        <f t="shared" si="30"/>
        <v>-35638.181771801988</v>
      </c>
      <c r="L205" s="41">
        <f t="shared" si="30"/>
        <v>-35638.181771801988</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0</v>
      </c>
      <c r="F206" s="41">
        <f t="shared" si="31"/>
        <v>0</v>
      </c>
      <c r="G206" s="41">
        <f t="shared" si="31"/>
        <v>-17819.090885900994</v>
      </c>
      <c r="H206" s="9">
        <f t="shared" si="31"/>
        <v>17819.090885900994</v>
      </c>
      <c r="I206" s="41">
        <f t="shared" si="31"/>
        <v>-35638.181771801988</v>
      </c>
      <c r="J206" s="41">
        <f t="shared" si="31"/>
        <v>-35638.181771801988</v>
      </c>
      <c r="K206" s="41">
        <f t="shared" si="31"/>
        <v>53457.272657702983</v>
      </c>
      <c r="L206" s="41">
        <f t="shared" si="31"/>
        <v>17819.090885900994</v>
      </c>
      <c r="M206" s="13" t="s">
        <v>251</v>
      </c>
      <c r="N206" s="215" t="str">
        <f>E192</f>
        <v>D5X</v>
      </c>
      <c r="O206" s="172"/>
      <c r="P206" s="172"/>
      <c r="Q206" s="172"/>
      <c r="R206" s="172"/>
      <c r="S206" s="173"/>
    </row>
    <row r="207" spans="1:19" ht="16.95" customHeight="1" x14ac:dyDescent="0.3">
      <c r="A207" s="41">
        <f t="shared" si="22"/>
        <v>-8000</v>
      </c>
      <c r="C207" s="9">
        <f t="shared" ref="C207:L207" si="32">B168</f>
        <v>0</v>
      </c>
      <c r="D207" s="9">
        <f t="shared" si="32"/>
        <v>0</v>
      </c>
      <c r="E207" s="41">
        <f t="shared" si="32"/>
        <v>0</v>
      </c>
      <c r="F207" s="41">
        <f t="shared" si="32"/>
        <v>-50400</v>
      </c>
      <c r="G207" s="41">
        <f t="shared" si="32"/>
        <v>17819.090885900994</v>
      </c>
      <c r="H207" s="9">
        <f t="shared" si="32"/>
        <v>-17819.090885900994</v>
      </c>
      <c r="I207" s="41">
        <f t="shared" si="32"/>
        <v>-35638.181771801988</v>
      </c>
      <c r="J207" s="41">
        <f t="shared" si="32"/>
        <v>-35638.181771801988</v>
      </c>
      <c r="K207" s="41">
        <f t="shared" si="32"/>
        <v>17819.090885900994</v>
      </c>
      <c r="L207" s="41">
        <f t="shared" si="32"/>
        <v>103857.27265770298</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136438.18177180199</v>
      </c>
      <c r="D212" s="41">
        <f t="shared" si="34"/>
        <v>-35638.181771801988</v>
      </c>
      <c r="E212" s="41">
        <f t="shared" si="34"/>
        <v>-50400</v>
      </c>
      <c r="F212" s="41">
        <f t="shared" si="34"/>
        <v>-35638.181771801988</v>
      </c>
      <c r="G212" s="41">
        <f t="shared" si="34"/>
        <v>35638.181771801988</v>
      </c>
      <c r="H212" s="41">
        <f t="shared" si="34"/>
        <v>0</v>
      </c>
      <c r="I212" s="41">
        <f t="shared" si="34"/>
        <v>0</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-4000</v>
      </c>
      <c r="C213" s="41">
        <f t="shared" si="34"/>
        <v>-35638.181771801988</v>
      </c>
      <c r="D213" s="41">
        <f t="shared" si="34"/>
        <v>86038.181771801988</v>
      </c>
      <c r="E213" s="41">
        <f t="shared" si="34"/>
        <v>0</v>
      </c>
      <c r="F213" s="41">
        <f t="shared" si="34"/>
        <v>35638.181771801988</v>
      </c>
      <c r="G213" s="41">
        <f t="shared" si="34"/>
        <v>-35638.181771801988</v>
      </c>
      <c r="H213" s="41">
        <f t="shared" si="34"/>
        <v>0</v>
      </c>
      <c r="I213" s="41">
        <f t="shared" si="34"/>
        <v>-50400</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-50400</v>
      </c>
      <c r="D214" s="41">
        <f t="shared" si="34"/>
        <v>0</v>
      </c>
      <c r="E214" s="41">
        <f t="shared" si="34"/>
        <v>68219.090885900994</v>
      </c>
      <c r="F214" s="41">
        <f t="shared" si="34"/>
        <v>0</v>
      </c>
      <c r="G214" s="41">
        <f t="shared" si="34"/>
        <v>0</v>
      </c>
      <c r="H214" s="41">
        <f t="shared" si="34"/>
        <v>-17819.090885900994</v>
      </c>
      <c r="I214" s="41">
        <f t="shared" si="34"/>
        <v>17819.090885900994</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1500</v>
      </c>
      <c r="B215" s="13" t="s">
        <v>220</v>
      </c>
      <c r="C215" s="41">
        <f t="shared" si="34"/>
        <v>-35638.181771801988</v>
      </c>
      <c r="D215" s="41">
        <f t="shared" si="34"/>
        <v>35638.181771801988</v>
      </c>
      <c r="E215" s="41">
        <f t="shared" si="34"/>
        <v>0</v>
      </c>
      <c r="F215" s="41">
        <f t="shared" si="34"/>
        <v>106914.54531540597</v>
      </c>
      <c r="G215" s="41">
        <f t="shared" si="34"/>
        <v>35638.181771801988</v>
      </c>
      <c r="H215" s="41">
        <f t="shared" si="34"/>
        <v>-35638.181771801988</v>
      </c>
      <c r="I215" s="41">
        <f t="shared" si="34"/>
        <v>-35638.181771801988</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-5000</v>
      </c>
      <c r="C216" s="41">
        <f t="shared" si="34"/>
        <v>35638.181771801988</v>
      </c>
      <c r="D216" s="41">
        <f t="shared" si="34"/>
        <v>-35638.181771801988</v>
      </c>
      <c r="E216" s="41">
        <f t="shared" si="34"/>
        <v>0</v>
      </c>
      <c r="F216" s="41">
        <f t="shared" si="34"/>
        <v>35638.181771801988</v>
      </c>
      <c r="G216" s="41">
        <f t="shared" si="34"/>
        <v>106914.54531540597</v>
      </c>
      <c r="H216" s="41">
        <f t="shared" si="34"/>
        <v>-35638.181771801988</v>
      </c>
      <c r="I216" s="41">
        <f t="shared" si="34"/>
        <v>-35638.181771801988</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0</v>
      </c>
      <c r="C217" s="41">
        <f t="shared" si="34"/>
        <v>0</v>
      </c>
      <c r="D217" s="41">
        <f t="shared" si="34"/>
        <v>0</v>
      </c>
      <c r="E217" s="41">
        <f t="shared" si="34"/>
        <v>-17819.090885900994</v>
      </c>
      <c r="F217" s="41">
        <f t="shared" si="34"/>
        <v>-35638.181771801988</v>
      </c>
      <c r="G217" s="41">
        <f t="shared" si="34"/>
        <v>-35638.181771801988</v>
      </c>
      <c r="H217" s="41">
        <f t="shared" si="34"/>
        <v>53457.272657702983</v>
      </c>
      <c r="I217" s="41">
        <f t="shared" si="34"/>
        <v>17819.090885900994</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-8000</v>
      </c>
      <c r="C218" s="41">
        <f t="shared" si="34"/>
        <v>0</v>
      </c>
      <c r="D218" s="41">
        <f t="shared" si="34"/>
        <v>-50400</v>
      </c>
      <c r="E218" s="41">
        <f t="shared" si="34"/>
        <v>17819.090885900994</v>
      </c>
      <c r="F218" s="41">
        <f t="shared" si="34"/>
        <v>-35638.181771801988</v>
      </c>
      <c r="G218" s="41">
        <f t="shared" si="34"/>
        <v>-35638.181771801988</v>
      </c>
      <c r="H218" s="41">
        <f t="shared" si="34"/>
        <v>17819.090885900994</v>
      </c>
      <c r="I218" s="41">
        <f t="shared" si="34"/>
        <v>103857.27265770298</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1.9841269841269848E-5</v>
      </c>
      <c r="D222" s="93">
        <v>-9.9206349206349291E-6</v>
      </c>
      <c r="E222" s="93">
        <v>1.9841269841269845E-5</v>
      </c>
      <c r="F222" s="93">
        <v>1.4880952380952388E-5</v>
      </c>
      <c r="G222" s="93">
        <v>-1.4880952380952391E-5</v>
      </c>
      <c r="H222" s="93">
        <v>9.9206349206349257E-6</v>
      </c>
      <c r="I222" s="93">
        <v>-9.9206349206349291E-6</v>
      </c>
      <c r="K222" s="17">
        <f t="shared" ref="K222:K228" si="36">A212</f>
        <v>0</v>
      </c>
      <c r="N222" s="215"/>
      <c r="O222" s="172"/>
      <c r="P222" s="172"/>
      <c r="Q222" s="172"/>
      <c r="R222" s="172"/>
      <c r="S222" s="173"/>
    </row>
    <row r="223" spans="1:19" ht="16.95" customHeight="1" x14ac:dyDescent="0.3">
      <c r="A223" s="12" t="str">
        <f t="shared" si="35"/>
        <v>D2Y</v>
      </c>
      <c r="C223" s="93">
        <v>-9.9206349206349308E-6</v>
      </c>
      <c r="D223" s="93">
        <v>5.7821697666132853E-5</v>
      </c>
      <c r="E223" s="93">
        <v>-1.9841269841269851E-5</v>
      </c>
      <c r="F223" s="93">
        <v>-2.6856218067326876E-5</v>
      </c>
      <c r="G223" s="93">
        <v>4.0886114519440922E-5</v>
      </c>
      <c r="H223" s="93">
        <v>-9.9206349206349291E-6</v>
      </c>
      <c r="I223" s="93">
        <v>3.7980427824863019E-5</v>
      </c>
      <c r="K223" s="17">
        <f t="shared" si="36"/>
        <v>-4000</v>
      </c>
      <c r="N223" s="215"/>
      <c r="O223" s="172"/>
      <c r="P223" s="172"/>
      <c r="Q223" s="172"/>
      <c r="R223" s="172"/>
      <c r="S223" s="173"/>
    </row>
    <row r="224" spans="1:19" ht="16.95" customHeight="1" x14ac:dyDescent="0.3">
      <c r="A224" s="12" t="str">
        <f t="shared" si="35"/>
        <v>D3X</v>
      </c>
      <c r="C224" s="93">
        <v>1.9841269841269851E-5</v>
      </c>
      <c r="D224" s="93">
        <v>-1.9841269841269851E-5</v>
      </c>
      <c r="E224" s="93">
        <v>3.9682539682539689E-5</v>
      </c>
      <c r="F224" s="93">
        <v>1.9841269841269851E-5</v>
      </c>
      <c r="G224" s="93">
        <v>-1.9841269841269855E-5</v>
      </c>
      <c r="H224" s="93">
        <v>1.9841269841269851E-5</v>
      </c>
      <c r="I224" s="93">
        <v>-1.9841269841269855E-5</v>
      </c>
      <c r="K224" s="17">
        <f t="shared" si="36"/>
        <v>0</v>
      </c>
      <c r="N224" s="215"/>
      <c r="O224" s="172"/>
      <c r="P224" s="172"/>
      <c r="Q224" s="172"/>
      <c r="R224" s="172"/>
      <c r="S224" s="173"/>
    </row>
    <row r="225" spans="1:19" ht="16.95" customHeight="1" x14ac:dyDescent="0.3">
      <c r="A225" s="12" t="str">
        <f t="shared" si="35"/>
        <v>D4X</v>
      </c>
      <c r="B225" s="13" t="s">
        <v>220</v>
      </c>
      <c r="C225" s="93">
        <v>1.4880952380952389E-5</v>
      </c>
      <c r="D225" s="93">
        <v>-2.6856218067326873E-5</v>
      </c>
      <c r="E225" s="93">
        <v>1.9841269841269848E-5</v>
      </c>
      <c r="F225" s="93">
        <v>3.1391007563225164E-5</v>
      </c>
      <c r="G225" s="93">
        <v>-2.4376059337168146E-5</v>
      </c>
      <c r="H225" s="93">
        <v>1.6935583146691952E-5</v>
      </c>
      <c r="I225" s="93">
        <v>-1.6935583146691952E-5</v>
      </c>
      <c r="K225" s="17">
        <f t="shared" si="36"/>
        <v>1500</v>
      </c>
      <c r="N225" s="215"/>
      <c r="O225" s="172"/>
      <c r="P225" s="172"/>
      <c r="Q225" s="172"/>
      <c r="R225" s="172"/>
      <c r="S225" s="173"/>
    </row>
    <row r="226" spans="1:19" ht="16.95" customHeight="1" x14ac:dyDescent="0.3">
      <c r="A226" s="12" t="str">
        <f t="shared" si="35"/>
        <v>D4Y</v>
      </c>
      <c r="C226" s="93">
        <v>-1.4880952380952391E-5</v>
      </c>
      <c r="D226" s="93">
        <v>4.0886114519440922E-5</v>
      </c>
      <c r="E226" s="93">
        <v>-1.9841269841269855E-5</v>
      </c>
      <c r="F226" s="93">
        <v>-2.4376059337168149E-5</v>
      </c>
      <c r="G226" s="93">
        <v>4.542090401533922E-5</v>
      </c>
      <c r="H226" s="93">
        <v>-2.9056866945779075E-6</v>
      </c>
      <c r="I226" s="93">
        <v>3.0965479598806001E-5</v>
      </c>
      <c r="K226" s="17">
        <f t="shared" si="36"/>
        <v>-5000</v>
      </c>
      <c r="N226" s="215"/>
      <c r="O226" s="172"/>
      <c r="P226" s="172"/>
      <c r="Q226" s="172"/>
      <c r="R226" s="172"/>
      <c r="S226" s="173"/>
    </row>
    <row r="227" spans="1:19" ht="16.95" customHeight="1" x14ac:dyDescent="0.3">
      <c r="A227" s="12" t="str">
        <f t="shared" si="35"/>
        <v>D5X</v>
      </c>
      <c r="C227" s="93">
        <v>9.9206349206349257E-6</v>
      </c>
      <c r="D227" s="93">
        <v>-9.9206349206349274E-6</v>
      </c>
      <c r="E227" s="93">
        <v>1.9841269841269848E-5</v>
      </c>
      <c r="F227" s="93">
        <v>1.6935583146691945E-5</v>
      </c>
      <c r="G227" s="93">
        <v>-2.9056866945779071E-6</v>
      </c>
      <c r="H227" s="93">
        <v>3.7980427824863012E-5</v>
      </c>
      <c r="I227" s="93">
        <v>-9.9206349206349274E-6</v>
      </c>
      <c r="K227" s="17">
        <f t="shared" si="36"/>
        <v>0</v>
      </c>
      <c r="N227" s="215"/>
      <c r="O227" s="172"/>
      <c r="P227" s="172"/>
      <c r="Q227" s="172"/>
      <c r="R227" s="172"/>
      <c r="S227" s="173"/>
    </row>
    <row r="228" spans="1:19" ht="16.95" customHeight="1" x14ac:dyDescent="0.3">
      <c r="A228" s="12" t="str">
        <f t="shared" si="35"/>
        <v>D5Y</v>
      </c>
      <c r="C228" s="93">
        <v>-9.9206349206349291E-6</v>
      </c>
      <c r="D228" s="93">
        <v>3.7980427824863019E-5</v>
      </c>
      <c r="E228" s="93">
        <v>-1.9841269841269851E-5</v>
      </c>
      <c r="F228" s="93">
        <v>-1.6935583146691952E-5</v>
      </c>
      <c r="G228" s="93">
        <v>3.0965479598806001E-5</v>
      </c>
      <c r="H228" s="93">
        <v>-9.9206349206349257E-6</v>
      </c>
      <c r="I228" s="93">
        <v>3.7980427824863019E-5</v>
      </c>
      <c r="K228" s="17">
        <f t="shared" si="36"/>
        <v>-8000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0.2157738095238097</v>
      </c>
      <c r="D232" s="12" t="s">
        <v>267</v>
      </c>
      <c r="N232" s="215"/>
      <c r="O232" s="172"/>
      <c r="P232" s="172"/>
      <c r="Q232" s="172"/>
      <c r="R232" s="172"/>
      <c r="S232" s="173"/>
    </row>
    <row r="233" spans="1:19" ht="16.95" customHeight="1" x14ac:dyDescent="0.3">
      <c r="A233" s="12" t="str">
        <f t="shared" si="37"/>
        <v>D2Y</v>
      </c>
      <c r="C233" s="94">
        <v>-0.7798451129616305</v>
      </c>
      <c r="D233" s="12" t="s">
        <v>267</v>
      </c>
      <c r="N233" s="215"/>
      <c r="O233" s="172"/>
      <c r="P233" s="172"/>
      <c r="Q233" s="172"/>
      <c r="R233" s="172"/>
      <c r="S233" s="173"/>
    </row>
    <row r="234" spans="1:19" ht="16.95" customHeight="1" x14ac:dyDescent="0.3">
      <c r="A234" s="12" t="str">
        <f t="shared" si="37"/>
        <v>D3X</v>
      </c>
      <c r="C234" s="94">
        <v>0.36706349206349231</v>
      </c>
      <c r="D234" s="12" t="s">
        <v>267</v>
      </c>
      <c r="N234" s="215"/>
      <c r="O234" s="172"/>
      <c r="P234" s="172"/>
      <c r="Q234" s="172"/>
      <c r="R234" s="172"/>
      <c r="S234" s="173"/>
    </row>
    <row r="235" spans="1:19" ht="16.95" customHeight="1" x14ac:dyDescent="0.3">
      <c r="A235" s="12" t="str">
        <f t="shared" si="37"/>
        <v>D4X</v>
      </c>
      <c r="B235" s="13" t="s">
        <v>220</v>
      </c>
      <c r="C235" s="94">
        <v>0.41187634547352159</v>
      </c>
      <c r="D235" s="12" t="s">
        <v>267</v>
      </c>
      <c r="N235" s="215"/>
      <c r="O235" s="172"/>
      <c r="P235" s="172"/>
      <c r="Q235" s="172"/>
      <c r="R235" s="172"/>
      <c r="S235" s="173"/>
    </row>
    <row r="236" spans="1:19" ht="16.95" customHeight="1" x14ac:dyDescent="0.3">
      <c r="A236" s="12" t="str">
        <f t="shared" si="37"/>
        <v>D4Y</v>
      </c>
      <c r="C236" s="94">
        <v>-0.67493690395066008</v>
      </c>
      <c r="D236" s="12" t="s">
        <v>267</v>
      </c>
      <c r="N236" s="215"/>
      <c r="O236" s="172"/>
      <c r="P236" s="172"/>
      <c r="Q236" s="172"/>
      <c r="R236" s="172"/>
      <c r="S236" s="173"/>
    </row>
    <row r="237" spans="1:19" ht="16.95" customHeight="1" x14ac:dyDescent="0.3">
      <c r="A237" s="12" t="str">
        <f t="shared" si="37"/>
        <v>D5X</v>
      </c>
      <c r="C237" s="94">
        <v>0.15897942724054659</v>
      </c>
      <c r="D237" s="12" t="s">
        <v>267</v>
      </c>
      <c r="N237" s="215"/>
      <c r="O237" s="172"/>
      <c r="P237" s="172"/>
      <c r="Q237" s="172"/>
      <c r="R237" s="172"/>
      <c r="S237" s="173"/>
    </row>
    <row r="238" spans="1:19" ht="16.95" customHeight="1" x14ac:dyDescent="0.3">
      <c r="A238" s="12" t="str">
        <f t="shared" si="37"/>
        <v>D5Y</v>
      </c>
      <c r="C238" s="94">
        <v>-0.63599590661242422</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-50400</v>
      </c>
      <c r="D243" s="9">
        <f t="shared" si="38"/>
        <v>0</v>
      </c>
      <c r="E243" s="9">
        <f t="shared" si="38"/>
        <v>0</v>
      </c>
      <c r="F243" s="9">
        <f t="shared" si="38"/>
        <v>-35638.181771801988</v>
      </c>
      <c r="G243" s="9">
        <f t="shared" si="38"/>
        <v>-35638.181771801988</v>
      </c>
      <c r="H243" s="9">
        <f t="shared" si="38"/>
        <v>0</v>
      </c>
      <c r="I243" s="9">
        <f t="shared" si="38"/>
        <v>0</v>
      </c>
      <c r="K243" s="95">
        <f t="shared" ref="K243:K249" si="39">C232</f>
        <v>0.2157738095238097</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0</v>
      </c>
      <c r="D244" s="9">
        <f t="shared" si="38"/>
        <v>0</v>
      </c>
      <c r="E244" s="9">
        <f t="shared" si="38"/>
        <v>0</v>
      </c>
      <c r="F244" s="9">
        <f t="shared" si="38"/>
        <v>-35638.181771801988</v>
      </c>
      <c r="G244" s="9">
        <f t="shared" si="38"/>
        <v>-35638.181771801988</v>
      </c>
      <c r="H244" s="9">
        <f t="shared" si="38"/>
        <v>0</v>
      </c>
      <c r="I244" s="9">
        <f t="shared" si="38"/>
        <v>0</v>
      </c>
      <c r="K244" s="95">
        <f t="shared" si="39"/>
        <v>-0.7798451129616305</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0</v>
      </c>
      <c r="D245" s="9">
        <f t="shared" si="38"/>
        <v>0</v>
      </c>
      <c r="E245" s="9">
        <f t="shared" si="38"/>
        <v>-17819.090885900994</v>
      </c>
      <c r="F245" s="9">
        <f t="shared" si="38"/>
        <v>0</v>
      </c>
      <c r="G245" s="9">
        <f t="shared" si="38"/>
        <v>0</v>
      </c>
      <c r="H245" s="9">
        <f t="shared" si="38"/>
        <v>17819.090885900994</v>
      </c>
      <c r="I245" s="9">
        <f t="shared" si="38"/>
        <v>-17819.090885900994</v>
      </c>
      <c r="K245" s="95">
        <f t="shared" si="39"/>
        <v>0.36706349206349231</v>
      </c>
      <c r="L245" s="14" t="str">
        <f>INDEX(C$184:C$193, MATCH(3, G$184:G$193, 0))</f>
        <v>U3Y</v>
      </c>
      <c r="N245" s="215" t="s">
        <v>392</v>
      </c>
      <c r="O245" s="172"/>
      <c r="P245" s="172"/>
      <c r="Q245" s="172"/>
      <c r="R245" s="172"/>
      <c r="S245" s="173"/>
    </row>
    <row r="246" spans="1:19" ht="16.95" customHeight="1" x14ac:dyDescent="0.3">
      <c r="K246" s="95">
        <f t="shared" si="39"/>
        <v>0.41187634547352159</v>
      </c>
      <c r="N246" s="215" t="s">
        <v>393</v>
      </c>
      <c r="O246" s="172"/>
      <c r="P246" s="172"/>
      <c r="Q246" s="172"/>
      <c r="R246" s="172"/>
      <c r="S246" s="173"/>
    </row>
    <row r="247" spans="1:19" ht="16.95" customHeight="1" x14ac:dyDescent="0.3">
      <c r="K247" s="95">
        <f t="shared" si="39"/>
        <v>-0.67493690395066008</v>
      </c>
      <c r="N247" s="215" t="s">
        <v>394</v>
      </c>
      <c r="O247" s="172"/>
      <c r="P247" s="172"/>
      <c r="Q247" s="172"/>
      <c r="R247" s="172"/>
      <c r="S247" s="173"/>
    </row>
    <row r="248" spans="1:19" ht="16.95" customHeight="1" x14ac:dyDescent="0.3">
      <c r="K248" s="95">
        <f t="shared" si="39"/>
        <v>0.15897942724054659</v>
      </c>
      <c r="N248" s="215"/>
      <c r="O248" s="172"/>
      <c r="P248" s="172"/>
      <c r="Q248" s="172"/>
      <c r="R248" s="172"/>
      <c r="S248" s="173"/>
    </row>
    <row r="249" spans="1:19" ht="16.95" customHeight="1" x14ac:dyDescent="0.3">
      <c r="K249" s="95">
        <f t="shared" si="39"/>
        <v>-0.63599590661242422</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-1500.0000000000036</v>
      </c>
      <c r="D251" s="12" t="s">
        <v>273</v>
      </c>
      <c r="N251" s="215"/>
      <c r="O251" s="172"/>
      <c r="P251" s="172"/>
      <c r="Q251" s="172"/>
      <c r="R251" s="172"/>
      <c r="S251" s="173"/>
    </row>
    <row r="252" spans="1:19" ht="16.95" customHeight="1" x14ac:dyDescent="0.3">
      <c r="A252" s="12" t="str">
        <f>A244</f>
        <v>C1Y</v>
      </c>
      <c r="B252" s="13" t="s">
        <v>220</v>
      </c>
      <c r="C252" s="17">
        <v>9375.0000000000073</v>
      </c>
      <c r="D252" s="12" t="s">
        <v>273</v>
      </c>
      <c r="N252" s="215"/>
      <c r="O252" s="172"/>
      <c r="P252" s="172"/>
      <c r="Q252" s="172"/>
      <c r="R252" s="172"/>
      <c r="S252" s="173"/>
    </row>
    <row r="253" spans="1:19" ht="16.95" customHeight="1" x14ac:dyDescent="0.3">
      <c r="A253" s="12" t="str">
        <f>A245</f>
        <v>C3Y</v>
      </c>
      <c r="C253" s="17">
        <v>7625.0000000000055</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0.2157738095238097</v>
      </c>
    </row>
    <row r="261" spans="1:19" ht="19.05" customHeight="1" x14ac:dyDescent="0.3">
      <c r="A261" s="12" t="s">
        <v>231</v>
      </c>
      <c r="B261" s="12" t="s">
        <v>181</v>
      </c>
      <c r="D261" s="94">
        <f t="shared" si="40"/>
        <v>-0.7798451129616305</v>
      </c>
    </row>
    <row r="262" spans="1:19" ht="19.05" customHeight="1" x14ac:dyDescent="0.3">
      <c r="A262" s="12" t="s">
        <v>232</v>
      </c>
      <c r="B262" s="12" t="s">
        <v>182</v>
      </c>
      <c r="D262" s="94">
        <f t="shared" si="40"/>
        <v>0.36706349206349231</v>
      </c>
    </row>
    <row r="263" spans="1:19" ht="19.05" customHeight="1" x14ac:dyDescent="0.3">
      <c r="A263" s="12" t="s">
        <v>234</v>
      </c>
      <c r="B263" s="12" t="s">
        <v>183</v>
      </c>
      <c r="D263" s="94">
        <f t="shared" si="40"/>
        <v>0</v>
      </c>
    </row>
    <row r="264" spans="1:19" ht="19.05" customHeight="1" x14ac:dyDescent="0.3">
      <c r="A264" s="12" t="s">
        <v>235</v>
      </c>
      <c r="B264" s="12" t="s">
        <v>184</v>
      </c>
      <c r="D264" s="94">
        <f t="shared" si="40"/>
        <v>0.41187634547352159</v>
      </c>
    </row>
    <row r="265" spans="1:19" ht="19.05" customHeight="1" x14ac:dyDescent="0.3">
      <c r="A265" s="12" t="s">
        <v>236</v>
      </c>
      <c r="B265" s="12" t="s">
        <v>185</v>
      </c>
      <c r="D265" s="94">
        <f t="shared" si="40"/>
        <v>-0.67493690395066008</v>
      </c>
    </row>
    <row r="266" spans="1:19" ht="19.05" customHeight="1" x14ac:dyDescent="0.3">
      <c r="A266" s="12" t="s">
        <v>237</v>
      </c>
      <c r="B266" s="12" t="s">
        <v>186</v>
      </c>
      <c r="D266" s="94">
        <f t="shared" si="40"/>
        <v>0.15897942724054659</v>
      </c>
    </row>
    <row r="267" spans="1:19" ht="19.05" customHeight="1" x14ac:dyDescent="0.3">
      <c r="A267" s="12" t="s">
        <v>238</v>
      </c>
      <c r="B267" s="12" t="s">
        <v>187</v>
      </c>
      <c r="D267" s="94">
        <f t="shared" si="40"/>
        <v>-0.63599590661242422</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50400</v>
      </c>
      <c r="C274" s="92">
        <f>-J6</f>
        <v>-1</v>
      </c>
      <c r="D274" s="92">
        <f>-K6</f>
        <v>0</v>
      </c>
      <c r="E274" s="92">
        <f>J6</f>
        <v>1</v>
      </c>
      <c r="F274" s="92">
        <f>K6</f>
        <v>0</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10875.000000000009</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0.2157738095238097</v>
      </c>
      <c r="H276" s="12" t="str">
        <f>"D" &amp; E16 &amp; "X"</f>
        <v>D2X</v>
      </c>
      <c r="N276" s="215" t="s">
        <v>400</v>
      </c>
      <c r="O276" s="172"/>
      <c r="P276" s="172"/>
      <c r="Q276" s="172"/>
      <c r="R276" s="172"/>
      <c r="S276" s="173"/>
    </row>
    <row r="277" spans="1:19" ht="16.95" customHeight="1" x14ac:dyDescent="0.3">
      <c r="G277" s="96">
        <f>IFERROR(VLOOKUP(H277, A$258:D$267, 4, FALSE), 0)</f>
        <v>-0.7798451129616305</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50400</v>
      </c>
      <c r="C282" s="92">
        <f>-J7</f>
        <v>-1</v>
      </c>
      <c r="D282" s="92">
        <f>-K7</f>
        <v>0</v>
      </c>
      <c r="E282" s="92">
        <f>J7</f>
        <v>1</v>
      </c>
      <c r="F282" s="92">
        <f>K7</f>
        <v>0</v>
      </c>
      <c r="G282" s="96">
        <f>IFERROR(VLOOKUP(H282, A$258:D$267, 4, FALSE), 0)</f>
        <v>0.2157738095238097</v>
      </c>
      <c r="H282" s="12" t="str">
        <f>"D" &amp; C17 &amp; "X"</f>
        <v>D2X</v>
      </c>
      <c r="N282" s="215"/>
      <c r="O282" s="172"/>
      <c r="P282" s="172"/>
      <c r="Q282" s="172"/>
      <c r="R282" s="172"/>
      <c r="S282" s="173"/>
    </row>
    <row r="283" spans="1:19" ht="16.95" customHeight="1" x14ac:dyDescent="0.3">
      <c r="A283" s="99" t="s">
        <v>286</v>
      </c>
      <c r="B283" s="97">
        <f>(MMULT(C282:F282, G282:G285)*A282)</f>
        <v>7625.0000000000036</v>
      </c>
      <c r="G283" s="96">
        <f>IFERROR(VLOOKUP(H283, A$258:D$267, 4, FALSE), 0)</f>
        <v>-0.7798451129616305</v>
      </c>
      <c r="H283" s="12" t="str">
        <f>"D" &amp; D17 &amp; "Y"</f>
        <v>D2Y</v>
      </c>
      <c r="N283" s="215"/>
      <c r="O283" s="172"/>
      <c r="P283" s="172"/>
      <c r="Q283" s="172"/>
      <c r="R283" s="172"/>
      <c r="S283" s="173"/>
    </row>
    <row r="284" spans="1:19" ht="16.95" customHeight="1" x14ac:dyDescent="0.3">
      <c r="G284" s="96">
        <f>IFERROR(VLOOKUP(H284, A$258:D$267, 4, FALSE), 0)</f>
        <v>0.36706349206349231</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71276.363543603991</v>
      </c>
      <c r="C290" s="92">
        <f>-J8</f>
        <v>-0.70710678118654746</v>
      </c>
      <c r="D290" s="92">
        <f>-K8</f>
        <v>-0.70710678118654746</v>
      </c>
      <c r="E290" s="92">
        <f>J8</f>
        <v>0.70710678118654746</v>
      </c>
      <c r="F290" s="92">
        <f>K8</f>
        <v>0.70710678118654746</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-13258.252147247778</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0.41187634547352159</v>
      </c>
      <c r="H292" s="12" t="str">
        <f>"D" &amp; E18 &amp; "X"</f>
        <v>D4X</v>
      </c>
      <c r="N292" s="215"/>
      <c r="O292" s="172"/>
      <c r="P292" s="172"/>
      <c r="Q292" s="172"/>
      <c r="R292" s="172"/>
      <c r="S292" s="173"/>
    </row>
    <row r="293" spans="1:19" ht="16.95" customHeight="1" x14ac:dyDescent="0.3">
      <c r="G293" s="96">
        <f>IFERROR(VLOOKUP(H293, A$258:D$267, 4, FALSE), 0)</f>
        <v>-0.67493690395066008</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71276.363543603991</v>
      </c>
      <c r="C298" s="92">
        <f>-J9</f>
        <v>-0.70710678118654746</v>
      </c>
      <c r="D298" s="92">
        <f>-K9</f>
        <v>-0.70710678118654746</v>
      </c>
      <c r="E298" s="92">
        <f>J9</f>
        <v>0.70710678118654746</v>
      </c>
      <c r="F298" s="92">
        <f>K9</f>
        <v>0.70710678118654746</v>
      </c>
      <c r="G298" s="96">
        <f>IFERROR(VLOOKUP(H298, A$258:D$267, 4, FALSE), 0)</f>
        <v>0.41187634547352159</v>
      </c>
      <c r="H298" s="12" t="str">
        <f>"D" &amp; C19 &amp; "X"</f>
        <v>D4X</v>
      </c>
    </row>
    <row r="299" spans="1:19" ht="19.95" customHeight="1" x14ac:dyDescent="0.3">
      <c r="A299" s="99" t="s">
        <v>288</v>
      </c>
      <c r="B299" s="97">
        <f>(MMULT(C298:F298, G298:G301)*A298)</f>
        <v>-10783.378413094852</v>
      </c>
      <c r="G299" s="96">
        <f>IFERROR(VLOOKUP(H299, A$258:D$267, 4, FALSE), 0)</f>
        <v>-0.67493690395066008</v>
      </c>
      <c r="H299" s="12" t="str">
        <f>"D" &amp; D19 &amp; "Y"</f>
        <v>D4Y</v>
      </c>
    </row>
    <row r="300" spans="1:19" ht="19.95" customHeight="1" x14ac:dyDescent="0.3">
      <c r="G300" s="96">
        <f>IFERROR(VLOOKUP(H300, A$258:D$267, 4, FALSE), 0)</f>
        <v>0.15897942724054659</v>
      </c>
      <c r="H300" s="12" t="str">
        <f>"D" &amp; E19 &amp; "X"</f>
        <v>D5X</v>
      </c>
    </row>
    <row r="301" spans="1:19" ht="19.95" customHeight="1" x14ac:dyDescent="0.3">
      <c r="G301" s="96">
        <f>IFERROR(VLOOKUP(H301, A$258:D$267, 4, FALSE), 0)</f>
        <v>-0.63599590661242422</v>
      </c>
      <c r="H301" s="12" t="str">
        <f>"D" &amp; F19 &amp; "Y"</f>
        <v>D5Y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35638.181771801996</v>
      </c>
      <c r="C306" s="92">
        <f>-J10</f>
        <v>-0.70710678118654746</v>
      </c>
      <c r="D306" s="92">
        <f>-K10</f>
        <v>0.70710678118654746</v>
      </c>
      <c r="E306" s="92">
        <f>J10</f>
        <v>0.70710678118654746</v>
      </c>
      <c r="F306" s="92">
        <f>K10</f>
        <v>-0.70710678118654746</v>
      </c>
      <c r="G306" s="96">
        <f>IFERROR(VLOOKUP(H306, A$258:D$267, 4, FALSE), 0)</f>
        <v>0.15897942724054659</v>
      </c>
      <c r="H306" s="12" t="str">
        <f>"D" &amp; C20 &amp; "X"</f>
        <v>D5X</v>
      </c>
    </row>
    <row r="307" spans="1:8" ht="19.95" customHeight="1" x14ac:dyDescent="0.3">
      <c r="A307" s="99" t="s">
        <v>289</v>
      </c>
      <c r="B307" s="97">
        <f>(MMULT(C306:F306, G306:G309)*A306)</f>
        <v>-10783.378413094859</v>
      </c>
      <c r="G307" s="96">
        <f>IFERROR(VLOOKUP(H307, A$258:D$267, 4, FALSE), 0)</f>
        <v>-0.63599590661242422</v>
      </c>
      <c r="H307" s="12" t="str">
        <f>"D" &amp; D20 &amp; "Y"</f>
        <v>D5Y</v>
      </c>
    </row>
    <row r="308" spans="1:8" ht="19.95" customHeight="1" x14ac:dyDescent="0.3">
      <c r="G308" s="96">
        <f>IFERROR(VLOOKUP(H308, A$258:D$267, 4, FALSE), 0)</f>
        <v>0.36706349206349231</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78" t="str">
        <f>IF(B307&gt;0.001,"BARRA A TRACCIÓN (+)",IF(B307&lt;-0.001,"BARRA A COMPRESIÓN (-)","BARRA DE FUERZA NULA"))</f>
        <v>BARRA A COMPRESIÓN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71276.363543603991</v>
      </c>
      <c r="C314" s="92">
        <f>-J11</f>
        <v>-0.70710678118654746</v>
      </c>
      <c r="D314" s="92">
        <f>-K11</f>
        <v>0.70710678118654746</v>
      </c>
      <c r="E314" s="92">
        <f>J11</f>
        <v>0.70710678118654746</v>
      </c>
      <c r="F314" s="92">
        <f>K11</f>
        <v>-0.70710678118654746</v>
      </c>
      <c r="G314" s="96">
        <f>IFERROR(VLOOKUP(H314, A$258:D$267, 4, FALSE), 0)</f>
        <v>0.41187634547352159</v>
      </c>
      <c r="H314" s="12" t="str">
        <f>"D" &amp; C21 &amp; "X"</f>
        <v>D4X</v>
      </c>
    </row>
    <row r="315" spans="1:8" ht="19.95" customHeight="1" x14ac:dyDescent="0.3">
      <c r="A315" s="99" t="s">
        <v>290</v>
      </c>
      <c r="B315" s="97">
        <f>(MMULT(C314:F314, G314:G317)*A314)</f>
        <v>-4596.1940777125747</v>
      </c>
      <c r="G315" s="96">
        <f>IFERROR(VLOOKUP(H315, A$258:D$267, 4, FALSE), 0)</f>
        <v>-0.67493690395066008</v>
      </c>
      <c r="H315" s="12" t="str">
        <f>"D" &amp; D21 &amp; "Y"</f>
        <v>D4Y</v>
      </c>
    </row>
    <row r="316" spans="1:8" ht="19.95" customHeight="1" x14ac:dyDescent="0.3">
      <c r="G316" s="96">
        <f>IFERROR(VLOOKUP(H316, A$258:D$267, 4, FALSE), 0)</f>
        <v>0.2157738095238097</v>
      </c>
      <c r="H316" s="12" t="str">
        <f>"D" &amp; E21 &amp; "X"</f>
        <v>D2X</v>
      </c>
    </row>
    <row r="317" spans="1:8" ht="19.95" customHeight="1" x14ac:dyDescent="0.3">
      <c r="G317" s="96">
        <f>IFERROR(VLOOKUP(H317, A$258:D$267, 4, FALSE), 0)</f>
        <v>-0.7798451129616305</v>
      </c>
      <c r="H317" s="12" t="str">
        <f>"D" &amp; F21 &amp; "Y"</f>
        <v>D2Y</v>
      </c>
    </row>
    <row r="318" spans="1:8" ht="19.95" customHeight="1" x14ac:dyDescent="0.3">
      <c r="B318" s="99" t="s">
        <v>273</v>
      </c>
      <c r="C318" s="178" t="str">
        <f>IF(B315&gt;0.001,"BARRA A TRACCIÓN (+)",IF(B315&lt;-0.001,"BARRA A COMPRESIÓN (-)","BARRA DE FUERZA NULA"))</f>
        <v>BARRA A COMPRESIÓN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50400</v>
      </c>
      <c r="C322" s="92">
        <f>-J12</f>
        <v>0</v>
      </c>
      <c r="D322" s="92">
        <f>-K12</f>
        <v>-1</v>
      </c>
      <c r="E322" s="92">
        <f>J12</f>
        <v>0</v>
      </c>
      <c r="F322" s="92">
        <f>K12</f>
        <v>1</v>
      </c>
      <c r="G322" s="96">
        <f>IFERROR(VLOOKUP(H322, A$258:D$267, 4, FALSE), 0)</f>
        <v>0.2157738095238097</v>
      </c>
      <c r="H322" s="12" t="str">
        <f>"D" &amp; C22 &amp; "X"</f>
        <v>D2X</v>
      </c>
    </row>
    <row r="323" spans="1:8" ht="19.95" customHeight="1" x14ac:dyDescent="0.3">
      <c r="A323" s="99" t="s">
        <v>291</v>
      </c>
      <c r="B323" s="97">
        <f>(MMULT(C322:F322, G322:G325)*A322)</f>
        <v>7249.9999999999964</v>
      </c>
      <c r="G323" s="96">
        <f>IFERROR(VLOOKUP(H323, A$258:D$267, 4, FALSE), 0)</f>
        <v>-0.7798451129616305</v>
      </c>
      <c r="H323" s="12" t="str">
        <f>"D" &amp; D22 &amp; "Y"</f>
        <v>D2Y</v>
      </c>
    </row>
    <row r="324" spans="1:8" ht="19.95" customHeight="1" x14ac:dyDescent="0.3">
      <c r="G324" s="96">
        <f>IFERROR(VLOOKUP(H324, A$258:D$267, 4, FALSE), 0)</f>
        <v>0.15897942724054659</v>
      </c>
      <c r="H324" s="12" t="str">
        <f>"D" &amp; E22 &amp; "X"</f>
        <v>D5X</v>
      </c>
    </row>
    <row r="325" spans="1:8" ht="19.95" customHeight="1" x14ac:dyDescent="0.3">
      <c r="G325" s="96">
        <f>IFERROR(VLOOKUP(H325, A$258:D$267, 4, FALSE), 0)</f>
        <v>-0.63599590661242422</v>
      </c>
      <c r="H325" s="12" t="str">
        <f>"D" &amp; F22 &amp; "Y"</f>
        <v>D5Y</v>
      </c>
    </row>
    <row r="326" spans="1:8" ht="19.95" customHeight="1" x14ac:dyDescent="0.3">
      <c r="B326" s="99" t="s">
        <v>273</v>
      </c>
      <c r="C326" s="178" t="str">
        <f>IF(B323&gt;0.001,"BARRA A TRACCIÓN (+)",IF(B323&lt;-0.001,"BARRA A COMPRESIÓN (-)","BARRA DE FUERZA NULA"))</f>
        <v>BARRA A TRACCIÓN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500</v>
      </c>
      <c r="F331" s="9">
        <f t="shared" ref="F331:F337" si="44">L6</f>
        <v>12</v>
      </c>
      <c r="G331" s="97">
        <f>B275</f>
        <v>10875.000000000009</v>
      </c>
      <c r="H331" s="84" t="str">
        <f>C278</f>
        <v>BARRA A TRACCIÓN (+)</v>
      </c>
    </row>
    <row r="332" spans="1:8" ht="19.95" customHeight="1" x14ac:dyDescent="0.3">
      <c r="B332" s="25">
        <v>2</v>
      </c>
      <c r="C332" s="86">
        <f t="shared" si="41"/>
        <v>2</v>
      </c>
      <c r="D332" s="86">
        <f t="shared" si="42"/>
        <v>3</v>
      </c>
      <c r="E332" s="9">
        <f t="shared" si="43"/>
        <v>500</v>
      </c>
      <c r="F332" s="9">
        <f t="shared" si="44"/>
        <v>12</v>
      </c>
      <c r="G332" s="97">
        <f>B283</f>
        <v>7625.0000000000036</v>
      </c>
      <c r="H332" s="84" t="str">
        <f>C286</f>
        <v>BARRA A TRACCIÓN (+)</v>
      </c>
    </row>
    <row r="333" spans="1:8" ht="19.95" customHeight="1" x14ac:dyDescent="0.3">
      <c r="B333" s="26">
        <v>3</v>
      </c>
      <c r="C333" s="86">
        <f t="shared" si="41"/>
        <v>1</v>
      </c>
      <c r="D333" s="86">
        <f t="shared" si="42"/>
        <v>4</v>
      </c>
      <c r="E333" s="9">
        <f t="shared" si="43"/>
        <v>353.55339059327378</v>
      </c>
      <c r="F333" s="9">
        <f t="shared" si="44"/>
        <v>12</v>
      </c>
      <c r="G333" s="97">
        <f>B291</f>
        <v>-13258.252147247778</v>
      </c>
      <c r="H333" s="84" t="str">
        <f>C294</f>
        <v>BARRA A COMPRESIÓN (-)</v>
      </c>
    </row>
    <row r="334" spans="1:8" ht="19.95" customHeight="1" x14ac:dyDescent="0.3">
      <c r="B334" s="43">
        <v>4</v>
      </c>
      <c r="C334" s="86">
        <f t="shared" si="41"/>
        <v>4</v>
      </c>
      <c r="D334" s="86">
        <f t="shared" si="42"/>
        <v>5</v>
      </c>
      <c r="E334" s="9">
        <f t="shared" si="43"/>
        <v>353.55339059327378</v>
      </c>
      <c r="F334" s="9">
        <f t="shared" si="44"/>
        <v>12</v>
      </c>
      <c r="G334" s="97">
        <f>B299</f>
        <v>-10783.378413094852</v>
      </c>
      <c r="H334" s="84" t="str">
        <f>C302</f>
        <v>BARRA A COMPRESIÓN (-)</v>
      </c>
    </row>
    <row r="335" spans="1:8" ht="19.95" customHeight="1" x14ac:dyDescent="0.3">
      <c r="B335" s="44">
        <v>5</v>
      </c>
      <c r="C335" s="86">
        <f t="shared" si="41"/>
        <v>5</v>
      </c>
      <c r="D335" s="86">
        <f t="shared" si="42"/>
        <v>3</v>
      </c>
      <c r="E335" s="9">
        <f t="shared" si="43"/>
        <v>707.10678118654755</v>
      </c>
      <c r="F335" s="9">
        <f t="shared" si="44"/>
        <v>12</v>
      </c>
      <c r="G335" s="97">
        <f>B307</f>
        <v>-10783.378413094859</v>
      </c>
      <c r="H335" s="84" t="str">
        <f>C310</f>
        <v>BARRA A COMPRESIÓN (-)</v>
      </c>
    </row>
    <row r="336" spans="1:8" ht="19.95" customHeight="1" x14ac:dyDescent="0.3">
      <c r="B336" s="51">
        <v>6</v>
      </c>
      <c r="C336" s="86">
        <f t="shared" si="41"/>
        <v>4</v>
      </c>
      <c r="D336" s="86">
        <f t="shared" si="42"/>
        <v>2</v>
      </c>
      <c r="E336" s="9">
        <f t="shared" si="43"/>
        <v>353.55339059327378</v>
      </c>
      <c r="F336" s="9">
        <f t="shared" si="44"/>
        <v>12</v>
      </c>
      <c r="G336" s="97">
        <f>B315</f>
        <v>-4596.1940777125747</v>
      </c>
      <c r="H336" s="84" t="str">
        <f>C318</f>
        <v>BARRA A COMPRESIÓN (-)</v>
      </c>
    </row>
    <row r="337" spans="2:8" ht="19.95" customHeight="1" x14ac:dyDescent="0.3">
      <c r="B337" s="52">
        <v>7</v>
      </c>
      <c r="C337" s="86">
        <f t="shared" si="41"/>
        <v>2</v>
      </c>
      <c r="D337" s="86">
        <f t="shared" si="42"/>
        <v>5</v>
      </c>
      <c r="E337" s="9">
        <f t="shared" si="43"/>
        <v>500</v>
      </c>
      <c r="F337" s="9">
        <f t="shared" si="44"/>
        <v>12</v>
      </c>
      <c r="G337" s="97">
        <f>B323</f>
        <v>7249.9999999999964</v>
      </c>
      <c r="H337" s="84" t="str">
        <f>C326</f>
        <v>BARRA A TRACCIÓN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484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416</v>
      </c>
      <c r="K14" s="172"/>
      <c r="L14" s="172"/>
      <c r="M14" s="172"/>
      <c r="N14" s="172"/>
      <c r="O14" s="173"/>
      <c r="AA14" s="20">
        <f>IF(E31="","",E31)</f>
        <v>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-7500</v>
      </c>
      <c r="J15" s="205" t="s">
        <v>485</v>
      </c>
      <c r="K15" s="172"/>
      <c r="L15" s="172"/>
      <c r="M15" s="172"/>
      <c r="N15" s="172"/>
      <c r="O15" s="173"/>
      <c r="AA15" s="20">
        <f>IF(G31="","",G31)</f>
        <v>400</v>
      </c>
      <c r="AB15" s="20">
        <f>IF(H31="","",H31)</f>
        <v>300</v>
      </c>
      <c r="AC15" t="s">
        <v>331</v>
      </c>
    </row>
    <row r="16" spans="2:29" ht="19.05" customHeight="1" x14ac:dyDescent="0.3">
      <c r="B16" s="89">
        <v>3</v>
      </c>
      <c r="C16" s="21">
        <v>800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0</v>
      </c>
      <c r="D17" s="21">
        <v>300</v>
      </c>
      <c r="E17" s="21" t="s">
        <v>326</v>
      </c>
      <c r="F17" s="88">
        <f t="shared" si="0"/>
        <v>0</v>
      </c>
      <c r="G17" s="88">
        <f t="shared" si="1"/>
        <v>0</v>
      </c>
      <c r="H17" s="22">
        <v>2500</v>
      </c>
      <c r="I17" s="22">
        <v>0</v>
      </c>
      <c r="J17" s="205" t="s">
        <v>486</v>
      </c>
      <c r="K17" s="172"/>
      <c r="L17" s="172"/>
      <c r="M17" s="172"/>
      <c r="N17" s="172"/>
      <c r="O17" s="173"/>
      <c r="AA17" s="20">
        <f>IF(E32="","",E32)</f>
        <v>400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-8500</v>
      </c>
      <c r="J18" s="205" t="s">
        <v>487</v>
      </c>
      <c r="K18" s="172"/>
      <c r="L18" s="172"/>
      <c r="M18" s="172"/>
      <c r="N18" s="172"/>
      <c r="O18" s="173"/>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400</v>
      </c>
      <c r="AB23" s="20">
        <f>IF(F34="","",F34)</f>
        <v>300</v>
      </c>
      <c r="AC23" t="s">
        <v>338</v>
      </c>
    </row>
    <row r="24" spans="2:29" x14ac:dyDescent="0.3">
      <c r="AA24" s="20">
        <f>IF(G34="","",G34)</f>
        <v>800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0</v>
      </c>
      <c r="H30" s="5">
        <f t="shared" si="5"/>
        <v>300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5</v>
      </c>
      <c r="E31" s="5">
        <f t="shared" si="2"/>
        <v>0</v>
      </c>
      <c r="F31" s="5">
        <f t="shared" si="3"/>
        <v>300</v>
      </c>
      <c r="G31" s="5">
        <f t="shared" si="4"/>
        <v>400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2</v>
      </c>
      <c r="D32" s="23">
        <v>5</v>
      </c>
      <c r="E32" s="5">
        <f t="shared" si="2"/>
        <v>400</v>
      </c>
      <c r="F32" s="5">
        <f t="shared" si="3"/>
        <v>0</v>
      </c>
      <c r="G32" s="5">
        <f t="shared" si="4"/>
        <v>400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4</v>
      </c>
      <c r="D33" s="23">
        <v>2</v>
      </c>
      <c r="E33" s="5">
        <f t="shared" si="2"/>
        <v>0</v>
      </c>
      <c r="F33" s="5">
        <f t="shared" si="3"/>
        <v>300</v>
      </c>
      <c r="G33" s="5">
        <f t="shared" si="4"/>
        <v>400</v>
      </c>
      <c r="H33" s="5">
        <f t="shared" si="5"/>
        <v>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v>5</v>
      </c>
      <c r="D34" s="23">
        <v>3</v>
      </c>
      <c r="E34" s="5">
        <f t="shared" si="2"/>
        <v>400</v>
      </c>
      <c r="F34" s="5">
        <f t="shared" si="3"/>
        <v>300</v>
      </c>
      <c r="G34" s="5">
        <f t="shared" si="4"/>
        <v>800</v>
      </c>
      <c r="H34" s="5">
        <f t="shared" si="5"/>
        <v>0</v>
      </c>
      <c r="I34" s="9">
        <f t="shared" si="6"/>
        <v>400</v>
      </c>
      <c r="J34" s="9">
        <f t="shared" si="7"/>
        <v>-300</v>
      </c>
      <c r="K34" s="9">
        <f t="shared" si="8"/>
        <v>500</v>
      </c>
      <c r="L34" s="92">
        <f t="shared" si="9"/>
        <v>0.8</v>
      </c>
      <c r="M34" s="92">
        <f t="shared" si="10"/>
        <v>-0.6</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500-000000000000}">
      <formula1>"Fijo (articulado),Rodillo Y (despl. X libre),Rodillo X (despl. Y libre),Libre (0 reac.)"</formula1>
    </dataValidation>
  </dataValidations>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488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GRAFICA_18!E28</f>
        <v>0</v>
      </c>
      <c r="D6" s="22">
        <f>GRAFICA_18!F28</f>
        <v>0</v>
      </c>
      <c r="E6" s="22">
        <f>GRAFICA_18!G28</f>
        <v>400</v>
      </c>
      <c r="F6" s="22">
        <f>GRAFICA_18!H28</f>
        <v>0</v>
      </c>
      <c r="G6" s="9">
        <f t="shared" ref="G6:H12" si="0">E6-C6</f>
        <v>400</v>
      </c>
      <c r="H6" s="9">
        <f t="shared" si="0"/>
        <v>0</v>
      </c>
      <c r="I6" s="9">
        <f t="shared" ref="I6:I12" si="1">SQRT(G6*G6+H6*H6)</f>
        <v>400</v>
      </c>
      <c r="J6" s="92">
        <f t="shared" ref="J6:J12" si="2">G6/I6</f>
        <v>1</v>
      </c>
      <c r="K6" s="92">
        <f t="shared" ref="K6:K12" si="3">H6/I6</f>
        <v>0</v>
      </c>
      <c r="L6" s="22">
        <f>GRAFICA_18!N28</f>
        <v>12</v>
      </c>
      <c r="M6" s="22">
        <f>GRAFICA_18!O28</f>
        <v>2100000</v>
      </c>
      <c r="N6" s="6">
        <f t="shared" ref="N6:N12" si="4">L6*M6/I6</f>
        <v>63000</v>
      </c>
    </row>
    <row r="7" spans="2:14" ht="19.05" customHeight="1" x14ac:dyDescent="0.3">
      <c r="B7" s="25">
        <v>2</v>
      </c>
      <c r="C7" s="22">
        <f>GRAFICA_18!E29</f>
        <v>400</v>
      </c>
      <c r="D7" s="22">
        <f>GRAFICA_18!F29</f>
        <v>0</v>
      </c>
      <c r="E7" s="22">
        <f>GRAFICA_18!G29</f>
        <v>800</v>
      </c>
      <c r="F7" s="22">
        <f>GRAFICA_18!H29</f>
        <v>0</v>
      </c>
      <c r="G7" s="9">
        <f t="shared" si="0"/>
        <v>400</v>
      </c>
      <c r="H7" s="9">
        <f t="shared" si="0"/>
        <v>0</v>
      </c>
      <c r="I7" s="9">
        <f t="shared" si="1"/>
        <v>400</v>
      </c>
      <c r="J7" s="92">
        <f t="shared" si="2"/>
        <v>1</v>
      </c>
      <c r="K7" s="92">
        <f t="shared" si="3"/>
        <v>0</v>
      </c>
      <c r="L7" s="22">
        <f>GRAFICA_18!N29</f>
        <v>12</v>
      </c>
      <c r="M7" s="22">
        <f>GRAFICA_18!O29</f>
        <v>2100000</v>
      </c>
      <c r="N7" s="6">
        <f t="shared" si="4"/>
        <v>63000</v>
      </c>
    </row>
    <row r="8" spans="2:14" ht="19.05" customHeight="1" x14ac:dyDescent="0.3">
      <c r="B8" s="26">
        <v>3</v>
      </c>
      <c r="C8" s="22">
        <f>GRAFICA_18!E30</f>
        <v>0</v>
      </c>
      <c r="D8" s="22">
        <f>GRAFICA_18!F30</f>
        <v>0</v>
      </c>
      <c r="E8" s="22">
        <f>GRAFICA_18!G30</f>
        <v>0</v>
      </c>
      <c r="F8" s="22">
        <f>GRAFICA_18!H30</f>
        <v>300</v>
      </c>
      <c r="G8" s="9">
        <f t="shared" si="0"/>
        <v>0</v>
      </c>
      <c r="H8" s="9">
        <f t="shared" si="0"/>
        <v>300</v>
      </c>
      <c r="I8" s="9">
        <f t="shared" si="1"/>
        <v>300</v>
      </c>
      <c r="J8" s="92">
        <f t="shared" si="2"/>
        <v>0</v>
      </c>
      <c r="K8" s="92">
        <f t="shared" si="3"/>
        <v>1</v>
      </c>
      <c r="L8" s="22">
        <f>GRAFICA_18!N30</f>
        <v>12</v>
      </c>
      <c r="M8" s="22">
        <f>GRAFICA_18!O30</f>
        <v>2100000</v>
      </c>
      <c r="N8" s="6">
        <f t="shared" si="4"/>
        <v>84000</v>
      </c>
    </row>
    <row r="9" spans="2:14" ht="19.05" customHeight="1" x14ac:dyDescent="0.3">
      <c r="B9" s="43">
        <v>4</v>
      </c>
      <c r="C9" s="22">
        <f>GRAFICA_18!E31</f>
        <v>0</v>
      </c>
      <c r="D9" s="22">
        <f>GRAFICA_18!F31</f>
        <v>300</v>
      </c>
      <c r="E9" s="22">
        <f>GRAFICA_18!G31</f>
        <v>400</v>
      </c>
      <c r="F9" s="22">
        <f>GRAFICA_18!H31</f>
        <v>300</v>
      </c>
      <c r="G9" s="9">
        <f t="shared" si="0"/>
        <v>400</v>
      </c>
      <c r="H9" s="9">
        <f t="shared" si="0"/>
        <v>0</v>
      </c>
      <c r="I9" s="9">
        <f t="shared" si="1"/>
        <v>400</v>
      </c>
      <c r="J9" s="92">
        <f t="shared" si="2"/>
        <v>1</v>
      </c>
      <c r="K9" s="92">
        <f t="shared" si="3"/>
        <v>0</v>
      </c>
      <c r="L9" s="22">
        <f>GRAFICA_18!N31</f>
        <v>12</v>
      </c>
      <c r="M9" s="22">
        <f>GRAFICA_18!O31</f>
        <v>2100000</v>
      </c>
      <c r="N9" s="6">
        <f t="shared" si="4"/>
        <v>63000</v>
      </c>
    </row>
    <row r="10" spans="2:14" ht="19.05" customHeight="1" x14ac:dyDescent="0.3">
      <c r="B10" s="44">
        <v>5</v>
      </c>
      <c r="C10" s="22">
        <f>GRAFICA_18!E32</f>
        <v>400</v>
      </c>
      <c r="D10" s="22">
        <f>GRAFICA_18!F32</f>
        <v>0</v>
      </c>
      <c r="E10" s="22">
        <f>GRAFICA_18!G32</f>
        <v>400</v>
      </c>
      <c r="F10" s="22">
        <f>GRAFICA_18!H32</f>
        <v>300</v>
      </c>
      <c r="G10" s="9">
        <f t="shared" si="0"/>
        <v>0</v>
      </c>
      <c r="H10" s="9">
        <f t="shared" si="0"/>
        <v>300</v>
      </c>
      <c r="I10" s="9">
        <f t="shared" si="1"/>
        <v>300</v>
      </c>
      <c r="J10" s="92">
        <f t="shared" si="2"/>
        <v>0</v>
      </c>
      <c r="K10" s="92">
        <f t="shared" si="3"/>
        <v>1</v>
      </c>
      <c r="L10" s="22">
        <f>GRAFICA_18!N32</f>
        <v>12</v>
      </c>
      <c r="M10" s="22">
        <f>GRAFICA_18!O32</f>
        <v>2100000</v>
      </c>
      <c r="N10" s="6">
        <f t="shared" si="4"/>
        <v>84000</v>
      </c>
    </row>
    <row r="11" spans="2:14" ht="19.05" customHeight="1" x14ac:dyDescent="0.3">
      <c r="B11" s="51">
        <v>6</v>
      </c>
      <c r="C11" s="22">
        <f>GRAFICA_18!E33</f>
        <v>0</v>
      </c>
      <c r="D11" s="22">
        <f>GRAFICA_18!F33</f>
        <v>300</v>
      </c>
      <c r="E11" s="22">
        <f>GRAFICA_18!G33</f>
        <v>400</v>
      </c>
      <c r="F11" s="22">
        <f>GRAFICA_18!H33</f>
        <v>0</v>
      </c>
      <c r="G11" s="9">
        <f t="shared" si="0"/>
        <v>400</v>
      </c>
      <c r="H11" s="9">
        <f t="shared" si="0"/>
        <v>-300</v>
      </c>
      <c r="I11" s="9">
        <f t="shared" si="1"/>
        <v>500</v>
      </c>
      <c r="J11" s="92">
        <f t="shared" si="2"/>
        <v>0.8</v>
      </c>
      <c r="K11" s="92">
        <f t="shared" si="3"/>
        <v>-0.6</v>
      </c>
      <c r="L11" s="22">
        <f>GRAFICA_18!N33</f>
        <v>12</v>
      </c>
      <c r="M11" s="22">
        <f>GRAFICA_18!O33</f>
        <v>2100000</v>
      </c>
      <c r="N11" s="6">
        <f t="shared" si="4"/>
        <v>50400</v>
      </c>
    </row>
    <row r="12" spans="2:14" ht="19.05" customHeight="1" x14ac:dyDescent="0.3">
      <c r="B12" s="52">
        <v>7</v>
      </c>
      <c r="C12" s="22">
        <f>GRAFICA_18!E34</f>
        <v>400</v>
      </c>
      <c r="D12" s="22">
        <f>GRAFICA_18!F34</f>
        <v>300</v>
      </c>
      <c r="E12" s="22">
        <f>GRAFICA_18!G34</f>
        <v>800</v>
      </c>
      <c r="F12" s="22">
        <f>GRAFICA_18!H34</f>
        <v>0</v>
      </c>
      <c r="G12" s="9">
        <f t="shared" si="0"/>
        <v>400</v>
      </c>
      <c r="H12" s="9">
        <f t="shared" si="0"/>
        <v>-300</v>
      </c>
      <c r="I12" s="9">
        <f t="shared" si="1"/>
        <v>500</v>
      </c>
      <c r="J12" s="92">
        <f t="shared" si="2"/>
        <v>0.8</v>
      </c>
      <c r="K12" s="92">
        <f t="shared" si="3"/>
        <v>-0.6</v>
      </c>
      <c r="L12" s="22">
        <f>GRAFICA_18!N34</f>
        <v>12</v>
      </c>
      <c r="M12" s="22">
        <f>GRAFICA_18!O34</f>
        <v>2100000</v>
      </c>
      <c r="N12" s="6">
        <f t="shared" si="4"/>
        <v>50400</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GRAFICA_18!C28</f>
        <v>1</v>
      </c>
      <c r="D16" s="23">
        <f>GRAFICA_18!C28</f>
        <v>1</v>
      </c>
      <c r="E16" s="23">
        <f>GRAFICA_18!D28</f>
        <v>2</v>
      </c>
      <c r="F16" s="23">
        <f>GRAFICA_18!D28</f>
        <v>2</v>
      </c>
    </row>
    <row r="17" spans="1:12" ht="19.05" customHeight="1" x14ac:dyDescent="0.3">
      <c r="B17" s="25">
        <v>2</v>
      </c>
      <c r="C17" s="23">
        <f>GRAFICA_18!C29</f>
        <v>2</v>
      </c>
      <c r="D17" s="23">
        <f>GRAFICA_18!C29</f>
        <v>2</v>
      </c>
      <c r="E17" s="23">
        <f>GRAFICA_18!D29</f>
        <v>3</v>
      </c>
      <c r="F17" s="23">
        <f>GRAFICA_18!D29</f>
        <v>3</v>
      </c>
    </row>
    <row r="18" spans="1:12" ht="19.05" customHeight="1" x14ac:dyDescent="0.3">
      <c r="B18" s="26">
        <v>3</v>
      </c>
      <c r="C18" s="23">
        <f>GRAFICA_18!C30</f>
        <v>1</v>
      </c>
      <c r="D18" s="23">
        <f>GRAFICA_18!C30</f>
        <v>1</v>
      </c>
      <c r="E18" s="23">
        <f>GRAFICA_18!D30</f>
        <v>4</v>
      </c>
      <c r="F18" s="23">
        <f>GRAFICA_18!D30</f>
        <v>4</v>
      </c>
    </row>
    <row r="19" spans="1:12" ht="19.05" customHeight="1" x14ac:dyDescent="0.3">
      <c r="B19" s="43">
        <v>4</v>
      </c>
      <c r="C19" s="23">
        <f>GRAFICA_18!C31</f>
        <v>4</v>
      </c>
      <c r="D19" s="23">
        <f>GRAFICA_18!C31</f>
        <v>4</v>
      </c>
      <c r="E19" s="23">
        <f>GRAFICA_18!D31</f>
        <v>5</v>
      </c>
      <c r="F19" s="23">
        <f>GRAFICA_18!D31</f>
        <v>5</v>
      </c>
    </row>
    <row r="20" spans="1:12" ht="19.05" customHeight="1" x14ac:dyDescent="0.3">
      <c r="B20" s="44">
        <v>5</v>
      </c>
      <c r="C20" s="23">
        <f>GRAFICA_18!C32</f>
        <v>2</v>
      </c>
      <c r="D20" s="23">
        <f>GRAFICA_18!C32</f>
        <v>2</v>
      </c>
      <c r="E20" s="23">
        <f>GRAFICA_18!D32</f>
        <v>5</v>
      </c>
      <c r="F20" s="23">
        <f>GRAFICA_18!D32</f>
        <v>5</v>
      </c>
    </row>
    <row r="21" spans="1:12" ht="19.05" customHeight="1" x14ac:dyDescent="0.3">
      <c r="B21" s="51">
        <v>6</v>
      </c>
      <c r="C21" s="23">
        <f>GRAFICA_18!C33</f>
        <v>4</v>
      </c>
      <c r="D21" s="23">
        <f>GRAFICA_18!C33</f>
        <v>4</v>
      </c>
      <c r="E21" s="23">
        <f>GRAFICA_18!D33</f>
        <v>2</v>
      </c>
      <c r="F21" s="23">
        <f>GRAFICA_18!D33</f>
        <v>2</v>
      </c>
    </row>
    <row r="22" spans="1:12" ht="19.05" customHeight="1" x14ac:dyDescent="0.3">
      <c r="B22" s="52">
        <v>7</v>
      </c>
      <c r="C22" s="23">
        <f>GRAFICA_18!C34</f>
        <v>5</v>
      </c>
      <c r="D22" s="23">
        <f>GRAFICA_18!C34</f>
        <v>5</v>
      </c>
      <c r="E22" s="23">
        <f>GRAFICA_18!D34</f>
        <v>3</v>
      </c>
      <c r="F22" s="23">
        <f>GRAFICA_18!D34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0</v>
      </c>
      <c r="C64" s="33">
        <f>J8*K8*N8</f>
        <v>0</v>
      </c>
      <c r="D64" s="33">
        <f>-B64</f>
        <v>0</v>
      </c>
      <c r="E64" s="33">
        <f>-C64</f>
        <v>0</v>
      </c>
      <c r="F64" s="32" t="str">
        <f>B63</f>
        <v>U1X</v>
      </c>
    </row>
    <row r="65" spans="1:12" ht="16.8" customHeight="1" x14ac:dyDescent="0.3">
      <c r="A65" s="28" t="s">
        <v>193</v>
      </c>
      <c r="B65" s="33">
        <f>C64</f>
        <v>0</v>
      </c>
      <c r="C65" s="33">
        <f>K8*K8*N8</f>
        <v>84000</v>
      </c>
      <c r="D65" s="33">
        <f>-B65</f>
        <v>0</v>
      </c>
      <c r="E65" s="33">
        <f>-C65</f>
        <v>-84000</v>
      </c>
      <c r="F65" s="32" t="str">
        <f>C63</f>
        <v>U1Y</v>
      </c>
    </row>
    <row r="66" spans="1:12" x14ac:dyDescent="0.3">
      <c r="B66" s="33">
        <f>D64</f>
        <v>0</v>
      </c>
      <c r="C66" s="33">
        <f>E64</f>
        <v>0</v>
      </c>
      <c r="D66" s="33">
        <f>B64</f>
        <v>0</v>
      </c>
      <c r="E66" s="33">
        <f>C64</f>
        <v>0</v>
      </c>
      <c r="F66" s="32" t="str">
        <f>D63</f>
        <v>U4X</v>
      </c>
    </row>
    <row r="67" spans="1:12" x14ac:dyDescent="0.3">
      <c r="B67" s="33">
        <f>D65</f>
        <v>0</v>
      </c>
      <c r="C67" s="33">
        <f>E65</f>
        <v>-84000</v>
      </c>
      <c r="D67" s="33">
        <f>B65</f>
        <v>0</v>
      </c>
      <c r="E67" s="33">
        <f>C65</f>
        <v>84000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0</v>
      </c>
      <c r="C70" s="34">
        <f t="shared" si="7"/>
        <v>0</v>
      </c>
      <c r="D70" s="9">
        <f t="shared" si="7"/>
        <v>0</v>
      </c>
      <c r="E70" s="9">
        <f t="shared" si="7"/>
        <v>0</v>
      </c>
      <c r="F70" s="9">
        <f t="shared" si="7"/>
        <v>0</v>
      </c>
      <c r="G70" s="9">
        <f t="shared" si="7"/>
        <v>0</v>
      </c>
      <c r="H70" s="34">
        <f t="shared" si="7"/>
        <v>0</v>
      </c>
      <c r="I70" s="34">
        <f t="shared" si="7"/>
        <v>0</v>
      </c>
      <c r="J70" s="9">
        <f t="shared" si="7"/>
        <v>0</v>
      </c>
      <c r="K70" s="9">
        <f t="shared" si="7"/>
        <v>0</v>
      </c>
      <c r="L70" s="32" t="s">
        <v>178</v>
      </c>
    </row>
    <row r="71" spans="1:12" ht="19.05" customHeight="1" x14ac:dyDescent="0.3">
      <c r="B71" s="34">
        <f t="shared" si="7"/>
        <v>0</v>
      </c>
      <c r="C71" s="34">
        <f t="shared" si="7"/>
        <v>84000</v>
      </c>
      <c r="D71" s="9">
        <f t="shared" si="7"/>
        <v>0</v>
      </c>
      <c r="E71" s="9">
        <f t="shared" si="7"/>
        <v>0</v>
      </c>
      <c r="F71" s="9">
        <f t="shared" si="7"/>
        <v>0</v>
      </c>
      <c r="G71" s="9">
        <f t="shared" si="7"/>
        <v>0</v>
      </c>
      <c r="H71" s="34">
        <f t="shared" si="7"/>
        <v>0</v>
      </c>
      <c r="I71" s="34">
        <f t="shared" si="7"/>
        <v>-84000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0</v>
      </c>
      <c r="C76" s="34">
        <f t="shared" si="7"/>
        <v>0</v>
      </c>
      <c r="D76" s="9">
        <f t="shared" si="7"/>
        <v>0</v>
      </c>
      <c r="E76" s="9">
        <f t="shared" si="7"/>
        <v>0</v>
      </c>
      <c r="F76" s="9">
        <f t="shared" si="7"/>
        <v>0</v>
      </c>
      <c r="G76" s="9">
        <f t="shared" si="7"/>
        <v>0</v>
      </c>
      <c r="H76" s="34">
        <f t="shared" si="7"/>
        <v>0</v>
      </c>
      <c r="I76" s="34">
        <f t="shared" si="7"/>
        <v>0</v>
      </c>
      <c r="J76" s="9">
        <f t="shared" si="7"/>
        <v>0</v>
      </c>
      <c r="K76" s="9">
        <f t="shared" si="7"/>
        <v>0</v>
      </c>
      <c r="L76" s="32" t="s">
        <v>184</v>
      </c>
    </row>
    <row r="77" spans="1:12" ht="19.05" customHeight="1" x14ac:dyDescent="0.3">
      <c r="B77" s="34">
        <f t="shared" si="7"/>
        <v>0</v>
      </c>
      <c r="C77" s="34">
        <f t="shared" si="7"/>
        <v>-84000</v>
      </c>
      <c r="D77" s="9">
        <f t="shared" si="7"/>
        <v>0</v>
      </c>
      <c r="E77" s="9">
        <f t="shared" si="7"/>
        <v>0</v>
      </c>
      <c r="F77" s="9">
        <f t="shared" si="7"/>
        <v>0</v>
      </c>
      <c r="G77" s="9">
        <f t="shared" si="7"/>
        <v>0</v>
      </c>
      <c r="H77" s="34">
        <f t="shared" si="7"/>
        <v>0</v>
      </c>
      <c r="I77" s="34">
        <f t="shared" si="7"/>
        <v>84000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63000</v>
      </c>
      <c r="C83" s="46">
        <f>J9*K9*N9</f>
        <v>0</v>
      </c>
      <c r="D83" s="46">
        <f>-B83</f>
        <v>-63000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-63000</v>
      </c>
      <c r="C85" s="46">
        <f>E83</f>
        <v>0</v>
      </c>
      <c r="D85" s="46">
        <f>B83</f>
        <v>63000</v>
      </c>
      <c r="E85" s="46">
        <f>C83</f>
        <v>0</v>
      </c>
      <c r="F85" s="45" t="str">
        <f>D82</f>
        <v>U5X</v>
      </c>
    </row>
    <row r="86" spans="1:12" x14ac:dyDescent="0.3">
      <c r="B86" s="46">
        <f>D84</f>
        <v>0</v>
      </c>
      <c r="C86" s="46">
        <f>E84</f>
        <v>0</v>
      </c>
      <c r="D86" s="46">
        <f>B84</f>
        <v>0</v>
      </c>
      <c r="E86" s="46">
        <f>C84</f>
        <v>0</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63000</v>
      </c>
      <c r="I95" s="47">
        <f t="shared" si="8"/>
        <v>0</v>
      </c>
      <c r="J95" s="47">
        <f t="shared" si="8"/>
        <v>-63000</v>
      </c>
      <c r="K95" s="47">
        <f t="shared" si="8"/>
        <v>0</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0</v>
      </c>
      <c r="I96" s="47">
        <f t="shared" si="8"/>
        <v>0</v>
      </c>
      <c r="J96" s="47">
        <f t="shared" si="8"/>
        <v>0</v>
      </c>
      <c r="K96" s="47">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-63000</v>
      </c>
      <c r="I97" s="47">
        <f t="shared" si="8"/>
        <v>0</v>
      </c>
      <c r="J97" s="47">
        <f t="shared" si="8"/>
        <v>63000</v>
      </c>
      <c r="K97" s="47">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0</v>
      </c>
      <c r="I98" s="47">
        <f t="shared" si="8"/>
        <v>0</v>
      </c>
      <c r="J98" s="47">
        <f t="shared" si="8"/>
        <v>0</v>
      </c>
      <c r="K98" s="47">
        <f t="shared" si="8"/>
        <v>0</v>
      </c>
      <c r="L98" s="45" t="s">
        <v>187</v>
      </c>
    </row>
    <row r="101" spans="1:12" ht="18" customHeight="1" x14ac:dyDescent="0.3">
      <c r="B101" s="48" t="str">
        <f>CONCATENATE("U",C20,C$15)</f>
        <v>U2X</v>
      </c>
      <c r="C101" s="48" t="str">
        <f>CONCATENATE("U",D20,D$15)</f>
        <v>U2Y</v>
      </c>
      <c r="D101" s="48" t="str">
        <f>CONCATENATE("U",E20,E$15)</f>
        <v>U5X</v>
      </c>
      <c r="E101" s="48" t="str">
        <f>CONCATENATE("U",F20,F$15)</f>
        <v>U5Y</v>
      </c>
    </row>
    <row r="102" spans="1:12" x14ac:dyDescent="0.3">
      <c r="B102" s="49">
        <f>J10*J10*N10</f>
        <v>0</v>
      </c>
      <c r="C102" s="49">
        <f>J10*K10*N10</f>
        <v>0</v>
      </c>
      <c r="D102" s="49">
        <f>-B102</f>
        <v>0</v>
      </c>
      <c r="E102" s="49">
        <f>-C102</f>
        <v>0</v>
      </c>
      <c r="F102" s="48" t="str">
        <f>B101</f>
        <v>U2X</v>
      </c>
    </row>
    <row r="103" spans="1:12" ht="16.8" customHeight="1" x14ac:dyDescent="0.3">
      <c r="A103" s="28" t="s">
        <v>197</v>
      </c>
      <c r="B103" s="49">
        <f>C102</f>
        <v>0</v>
      </c>
      <c r="C103" s="49">
        <f>K10*K10*N10</f>
        <v>84000</v>
      </c>
      <c r="D103" s="49">
        <f>-B103</f>
        <v>0</v>
      </c>
      <c r="E103" s="49">
        <f>-C103</f>
        <v>-84000</v>
      </c>
      <c r="F103" s="48" t="str">
        <f>C101</f>
        <v>U2Y</v>
      </c>
    </row>
    <row r="104" spans="1:12" x14ac:dyDescent="0.3">
      <c r="B104" s="49">
        <f>D102</f>
        <v>0</v>
      </c>
      <c r="C104" s="49">
        <f>E102</f>
        <v>0</v>
      </c>
      <c r="D104" s="49">
        <f>B102</f>
        <v>0</v>
      </c>
      <c r="E104" s="49">
        <f>C102</f>
        <v>0</v>
      </c>
      <c r="F104" s="48" t="str">
        <f>D101</f>
        <v>U5X</v>
      </c>
    </row>
    <row r="105" spans="1:12" x14ac:dyDescent="0.3">
      <c r="B105" s="49">
        <f>D103</f>
        <v>0</v>
      </c>
      <c r="C105" s="49">
        <f>E103</f>
        <v>-84000</v>
      </c>
      <c r="D105" s="49">
        <f>B103</f>
        <v>0</v>
      </c>
      <c r="E105" s="49">
        <f>C103</f>
        <v>84000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50">
        <f t="shared" si="9"/>
        <v>0</v>
      </c>
      <c r="E110" s="50">
        <f t="shared" si="9"/>
        <v>0</v>
      </c>
      <c r="F110" s="9">
        <f t="shared" si="9"/>
        <v>0</v>
      </c>
      <c r="G110" s="9">
        <f t="shared" si="9"/>
        <v>0</v>
      </c>
      <c r="H110" s="9">
        <f t="shared" si="9"/>
        <v>0</v>
      </c>
      <c r="I110" s="9">
        <f t="shared" si="9"/>
        <v>0</v>
      </c>
      <c r="J110" s="50">
        <f t="shared" si="9"/>
        <v>0</v>
      </c>
      <c r="K110" s="50">
        <f t="shared" si="9"/>
        <v>0</v>
      </c>
      <c r="L110" s="48" t="s">
        <v>180</v>
      </c>
    </row>
    <row r="111" spans="1:12" ht="19.05" customHeight="1" x14ac:dyDescent="0.3">
      <c r="B111" s="9">
        <f t="shared" si="9"/>
        <v>0</v>
      </c>
      <c r="C111" s="9">
        <f t="shared" si="9"/>
        <v>0</v>
      </c>
      <c r="D111" s="50">
        <f t="shared" si="9"/>
        <v>0</v>
      </c>
      <c r="E111" s="50">
        <f t="shared" si="9"/>
        <v>84000</v>
      </c>
      <c r="F111" s="9">
        <f t="shared" si="9"/>
        <v>0</v>
      </c>
      <c r="G111" s="9">
        <f t="shared" si="9"/>
        <v>0</v>
      </c>
      <c r="H111" s="9">
        <f t="shared" si="9"/>
        <v>0</v>
      </c>
      <c r="I111" s="9">
        <f t="shared" si="9"/>
        <v>0</v>
      </c>
      <c r="J111" s="50">
        <f t="shared" si="9"/>
        <v>0</v>
      </c>
      <c r="K111" s="50">
        <f t="shared" si="9"/>
        <v>-84000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50">
        <f t="shared" si="9"/>
        <v>0</v>
      </c>
      <c r="E116" s="50">
        <f t="shared" si="9"/>
        <v>0</v>
      </c>
      <c r="F116" s="9">
        <f t="shared" si="9"/>
        <v>0</v>
      </c>
      <c r="G116" s="9">
        <f t="shared" si="9"/>
        <v>0</v>
      </c>
      <c r="H116" s="9">
        <f t="shared" si="9"/>
        <v>0</v>
      </c>
      <c r="I116" s="9">
        <f t="shared" si="9"/>
        <v>0</v>
      </c>
      <c r="J116" s="50">
        <f t="shared" si="9"/>
        <v>0</v>
      </c>
      <c r="K116" s="50">
        <f t="shared" si="9"/>
        <v>0</v>
      </c>
      <c r="L116" s="48" t="s">
        <v>186</v>
      </c>
    </row>
    <row r="117" spans="1:12" ht="19.05" customHeight="1" x14ac:dyDescent="0.3">
      <c r="B117" s="9">
        <f t="shared" si="9"/>
        <v>0</v>
      </c>
      <c r="C117" s="9">
        <f t="shared" si="9"/>
        <v>0</v>
      </c>
      <c r="D117" s="50">
        <f t="shared" si="9"/>
        <v>0</v>
      </c>
      <c r="E117" s="50">
        <f t="shared" si="9"/>
        <v>-84000</v>
      </c>
      <c r="F117" s="9">
        <f t="shared" si="9"/>
        <v>0</v>
      </c>
      <c r="G117" s="9">
        <f t="shared" si="9"/>
        <v>0</v>
      </c>
      <c r="H117" s="9">
        <f t="shared" si="9"/>
        <v>0</v>
      </c>
      <c r="I117" s="9">
        <f t="shared" si="9"/>
        <v>0</v>
      </c>
      <c r="J117" s="50">
        <f t="shared" si="9"/>
        <v>0</v>
      </c>
      <c r="K117" s="50">
        <f t="shared" si="9"/>
        <v>84000</v>
      </c>
      <c r="L117" s="48" t="s">
        <v>187</v>
      </c>
    </row>
    <row r="120" spans="1:12" ht="18" customHeight="1" x14ac:dyDescent="0.3">
      <c r="B120" s="53" t="str">
        <f>CONCATENATE("U",C21,C$15)</f>
        <v>U4X</v>
      </c>
      <c r="C120" s="53" t="str">
        <f>CONCATENATE("U",D21,D$15)</f>
        <v>U4Y</v>
      </c>
      <c r="D120" s="53" t="str">
        <f>CONCATENATE("U",E21,E$15)</f>
        <v>U2X</v>
      </c>
      <c r="E120" s="53" t="str">
        <f>CONCATENATE("U",F21,F$15)</f>
        <v>U2Y</v>
      </c>
    </row>
    <row r="121" spans="1:12" x14ac:dyDescent="0.3">
      <c r="B121" s="54">
        <f>J11*J11*N11</f>
        <v>32256.000000000007</v>
      </c>
      <c r="C121" s="54">
        <f>J11*K11*N11</f>
        <v>-24192</v>
      </c>
      <c r="D121" s="54">
        <f>-B121</f>
        <v>-32256.000000000007</v>
      </c>
      <c r="E121" s="54">
        <f>-C121</f>
        <v>24192</v>
      </c>
      <c r="F121" s="53" t="str">
        <f>B120</f>
        <v>U4X</v>
      </c>
    </row>
    <row r="122" spans="1:12" ht="16.8" customHeight="1" x14ac:dyDescent="0.3">
      <c r="A122" s="28" t="s">
        <v>199</v>
      </c>
      <c r="B122" s="54">
        <f>C121</f>
        <v>-24192</v>
      </c>
      <c r="C122" s="54">
        <f>K11*K11*N11</f>
        <v>18144</v>
      </c>
      <c r="D122" s="54">
        <f>-B122</f>
        <v>24192</v>
      </c>
      <c r="E122" s="54">
        <f>-C122</f>
        <v>-18144</v>
      </c>
      <c r="F122" s="53" t="str">
        <f>C120</f>
        <v>U4Y</v>
      </c>
    </row>
    <row r="123" spans="1:12" x14ac:dyDescent="0.3">
      <c r="B123" s="54">
        <f>D121</f>
        <v>-32256.000000000007</v>
      </c>
      <c r="C123" s="54">
        <f>E121</f>
        <v>24192</v>
      </c>
      <c r="D123" s="54">
        <f>B121</f>
        <v>32256.000000000007</v>
      </c>
      <c r="E123" s="54">
        <f>C121</f>
        <v>-24192</v>
      </c>
      <c r="F123" s="53" t="str">
        <f>D120</f>
        <v>U2X</v>
      </c>
    </row>
    <row r="124" spans="1:12" x14ac:dyDescent="0.3">
      <c r="B124" s="54">
        <f>D122</f>
        <v>24192</v>
      </c>
      <c r="C124" s="54">
        <f>E122</f>
        <v>-18144</v>
      </c>
      <c r="D124" s="54">
        <f>B122</f>
        <v>-24192</v>
      </c>
      <c r="E124" s="54">
        <f>C122</f>
        <v>18144</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32256.000000000007</v>
      </c>
      <c r="E129" s="55">
        <f t="shared" si="10"/>
        <v>-24192</v>
      </c>
      <c r="F129" s="9">
        <f t="shared" si="10"/>
        <v>0</v>
      </c>
      <c r="G129" s="9">
        <f t="shared" si="10"/>
        <v>0</v>
      </c>
      <c r="H129" s="55">
        <f t="shared" si="10"/>
        <v>-32256.000000000007</v>
      </c>
      <c r="I129" s="55">
        <f t="shared" si="10"/>
        <v>24192</v>
      </c>
      <c r="J129" s="9">
        <f t="shared" si="10"/>
        <v>0</v>
      </c>
      <c r="K129" s="9">
        <f t="shared" si="10"/>
        <v>0</v>
      </c>
      <c r="L129" s="53" t="s">
        <v>180</v>
      </c>
    </row>
    <row r="130" spans="1:12" ht="19.05" customHeight="1" x14ac:dyDescent="0.3">
      <c r="B130" s="9">
        <f t="shared" si="10"/>
        <v>0</v>
      </c>
      <c r="C130" s="9">
        <f t="shared" si="10"/>
        <v>0</v>
      </c>
      <c r="D130" s="55">
        <f t="shared" si="10"/>
        <v>-24192</v>
      </c>
      <c r="E130" s="55">
        <f t="shared" si="10"/>
        <v>18144</v>
      </c>
      <c r="F130" s="9">
        <f t="shared" si="10"/>
        <v>0</v>
      </c>
      <c r="G130" s="9">
        <f t="shared" si="10"/>
        <v>0</v>
      </c>
      <c r="H130" s="55">
        <f t="shared" si="10"/>
        <v>24192</v>
      </c>
      <c r="I130" s="55">
        <f t="shared" si="10"/>
        <v>-18144</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-32256.000000000007</v>
      </c>
      <c r="E133" s="55">
        <f t="shared" si="10"/>
        <v>24192</v>
      </c>
      <c r="F133" s="9">
        <f t="shared" si="10"/>
        <v>0</v>
      </c>
      <c r="G133" s="9">
        <f t="shared" si="10"/>
        <v>0</v>
      </c>
      <c r="H133" s="55">
        <f t="shared" si="10"/>
        <v>32256.000000000007</v>
      </c>
      <c r="I133" s="55">
        <f t="shared" si="10"/>
        <v>-24192</v>
      </c>
      <c r="J133" s="9">
        <f t="shared" si="10"/>
        <v>0</v>
      </c>
      <c r="K133" s="9">
        <f t="shared" si="10"/>
        <v>0</v>
      </c>
      <c r="L133" s="53" t="s">
        <v>184</v>
      </c>
    </row>
    <row r="134" spans="1:12" ht="19.05" customHeight="1" x14ac:dyDescent="0.3">
      <c r="B134" s="9">
        <f t="shared" si="10"/>
        <v>0</v>
      </c>
      <c r="C134" s="9">
        <f t="shared" si="10"/>
        <v>0</v>
      </c>
      <c r="D134" s="55">
        <f t="shared" si="10"/>
        <v>24192</v>
      </c>
      <c r="E134" s="55">
        <f t="shared" si="10"/>
        <v>-18144</v>
      </c>
      <c r="F134" s="9">
        <f t="shared" si="10"/>
        <v>0</v>
      </c>
      <c r="G134" s="9">
        <f t="shared" si="10"/>
        <v>0</v>
      </c>
      <c r="H134" s="55">
        <f t="shared" si="10"/>
        <v>-24192</v>
      </c>
      <c r="I134" s="55">
        <f t="shared" si="10"/>
        <v>18144</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32256.000000000007</v>
      </c>
      <c r="C140" s="57">
        <f>J12*K12*N12</f>
        <v>-24192</v>
      </c>
      <c r="D140" s="57">
        <f>-B140</f>
        <v>-32256.000000000007</v>
      </c>
      <c r="E140" s="57">
        <f>-C140</f>
        <v>24192</v>
      </c>
      <c r="F140" s="56" t="str">
        <f>B139</f>
        <v>U5X</v>
      </c>
    </row>
    <row r="141" spans="1:12" ht="16.8" customHeight="1" x14ac:dyDescent="0.3">
      <c r="A141" s="28" t="s">
        <v>201</v>
      </c>
      <c r="B141" s="57">
        <f>C140</f>
        <v>-24192</v>
      </c>
      <c r="C141" s="57">
        <f>K12*K12*N12</f>
        <v>18144</v>
      </c>
      <c r="D141" s="57">
        <f>-B141</f>
        <v>24192</v>
      </c>
      <c r="E141" s="57">
        <f>-C141</f>
        <v>-18144</v>
      </c>
      <c r="F141" s="56" t="str">
        <f>C139</f>
        <v>U5Y</v>
      </c>
    </row>
    <row r="142" spans="1:12" x14ac:dyDescent="0.3">
      <c r="B142" s="57">
        <f>D140</f>
        <v>-32256.000000000007</v>
      </c>
      <c r="C142" s="57">
        <f>E140</f>
        <v>24192</v>
      </c>
      <c r="D142" s="57">
        <f>B140</f>
        <v>32256.000000000007</v>
      </c>
      <c r="E142" s="57">
        <f>C140</f>
        <v>-24192</v>
      </c>
      <c r="F142" s="56" t="str">
        <f>D139</f>
        <v>U3X</v>
      </c>
    </row>
    <row r="143" spans="1:12" x14ac:dyDescent="0.3">
      <c r="B143" s="57">
        <f>D141</f>
        <v>24192</v>
      </c>
      <c r="C143" s="57">
        <f>E141</f>
        <v>-18144</v>
      </c>
      <c r="D143" s="57">
        <f>B141</f>
        <v>-24192</v>
      </c>
      <c r="E143" s="57">
        <f>C141</f>
        <v>18144</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32256.000000000007</v>
      </c>
      <c r="G150" s="58">
        <f t="shared" si="11"/>
        <v>-24192</v>
      </c>
      <c r="H150" s="9">
        <f t="shared" si="11"/>
        <v>0</v>
      </c>
      <c r="I150" s="9">
        <f t="shared" si="11"/>
        <v>0</v>
      </c>
      <c r="J150" s="58">
        <f t="shared" si="11"/>
        <v>-32256.000000000007</v>
      </c>
      <c r="K150" s="58">
        <f t="shared" si="11"/>
        <v>24192</v>
      </c>
      <c r="L150" s="56" t="s">
        <v>182</v>
      </c>
    </row>
    <row r="151" spans="1:12" ht="19.05" customHeight="1" x14ac:dyDescent="0.3">
      <c r="B151" s="9">
        <f t="shared" si="11"/>
        <v>0</v>
      </c>
      <c r="C151" s="9">
        <f t="shared" si="11"/>
        <v>0</v>
      </c>
      <c r="D151" s="9">
        <f t="shared" si="11"/>
        <v>0</v>
      </c>
      <c r="E151" s="9">
        <f t="shared" si="11"/>
        <v>0</v>
      </c>
      <c r="F151" s="58">
        <f t="shared" si="11"/>
        <v>-24192</v>
      </c>
      <c r="G151" s="58">
        <f t="shared" si="11"/>
        <v>18144</v>
      </c>
      <c r="H151" s="9">
        <f t="shared" si="11"/>
        <v>0</v>
      </c>
      <c r="I151" s="9">
        <f t="shared" si="11"/>
        <v>0</v>
      </c>
      <c r="J151" s="58">
        <f t="shared" si="11"/>
        <v>24192</v>
      </c>
      <c r="K151" s="58">
        <f t="shared" si="11"/>
        <v>-18144</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-32256.000000000007</v>
      </c>
      <c r="G154" s="58">
        <f t="shared" si="11"/>
        <v>24192</v>
      </c>
      <c r="H154" s="9">
        <f t="shared" si="11"/>
        <v>0</v>
      </c>
      <c r="I154" s="9">
        <f t="shared" si="11"/>
        <v>0</v>
      </c>
      <c r="J154" s="58">
        <f t="shared" si="11"/>
        <v>32256.000000000007</v>
      </c>
      <c r="K154" s="58">
        <f t="shared" si="11"/>
        <v>-24192</v>
      </c>
      <c r="L154" s="56" t="s">
        <v>186</v>
      </c>
    </row>
    <row r="155" spans="1:12" ht="19.05" customHeight="1" x14ac:dyDescent="0.3">
      <c r="B155" s="9">
        <f t="shared" si="11"/>
        <v>0</v>
      </c>
      <c r="C155" s="9">
        <f t="shared" si="11"/>
        <v>0</v>
      </c>
      <c r="D155" s="9">
        <f t="shared" si="11"/>
        <v>0</v>
      </c>
      <c r="E155" s="9">
        <f t="shared" si="11"/>
        <v>0</v>
      </c>
      <c r="F155" s="58">
        <f t="shared" si="11"/>
        <v>24192</v>
      </c>
      <c r="G155" s="58">
        <f t="shared" si="11"/>
        <v>-18144</v>
      </c>
      <c r="H155" s="9">
        <f t="shared" si="11"/>
        <v>0</v>
      </c>
      <c r="I155" s="9">
        <f t="shared" si="11"/>
        <v>0</v>
      </c>
      <c r="J155" s="58">
        <f t="shared" si="11"/>
        <v>-24192</v>
      </c>
      <c r="K155" s="58">
        <f t="shared" si="11"/>
        <v>18144</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63000</v>
      </c>
      <c r="C159" s="36">
        <f t="shared" si="12"/>
        <v>0</v>
      </c>
      <c r="D159" s="9">
        <f t="shared" si="12"/>
        <v>-63000</v>
      </c>
      <c r="E159" s="9">
        <f t="shared" si="12"/>
        <v>0</v>
      </c>
      <c r="F159" s="9">
        <f t="shared" si="12"/>
        <v>0</v>
      </c>
      <c r="G159" s="9">
        <f t="shared" si="12"/>
        <v>0</v>
      </c>
      <c r="H159" s="9">
        <f t="shared" si="12"/>
        <v>0</v>
      </c>
      <c r="I159" s="9">
        <f t="shared" si="12"/>
        <v>0</v>
      </c>
      <c r="J159" s="9">
        <f t="shared" si="12"/>
        <v>0</v>
      </c>
      <c r="K159" s="9">
        <f t="shared" si="12"/>
        <v>0</v>
      </c>
      <c r="L159" s="89" t="s">
        <v>178</v>
      </c>
    </row>
    <row r="160" spans="1:12" ht="19.95" customHeight="1" x14ac:dyDescent="0.3">
      <c r="B160" s="36">
        <f t="shared" ref="B160:K160" si="13">B33+B52+B71+B90+B109+B128+B147</f>
        <v>0</v>
      </c>
      <c r="C160" s="35">
        <f t="shared" si="13"/>
        <v>84000</v>
      </c>
      <c r="D160" s="9">
        <f t="shared" si="13"/>
        <v>0</v>
      </c>
      <c r="E160" s="9">
        <f t="shared" si="13"/>
        <v>0</v>
      </c>
      <c r="F160" s="9">
        <f t="shared" si="13"/>
        <v>0</v>
      </c>
      <c r="G160" s="9">
        <f t="shared" si="13"/>
        <v>0</v>
      </c>
      <c r="H160" s="9">
        <f t="shared" si="13"/>
        <v>0</v>
      </c>
      <c r="I160" s="9">
        <f t="shared" si="13"/>
        <v>-84000</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158256</v>
      </c>
      <c r="E161" s="36">
        <f t="shared" si="14"/>
        <v>-24192</v>
      </c>
      <c r="F161" s="9">
        <f t="shared" si="14"/>
        <v>-63000</v>
      </c>
      <c r="G161" s="9">
        <f t="shared" si="14"/>
        <v>0</v>
      </c>
      <c r="H161" s="9">
        <f t="shared" si="14"/>
        <v>-32256.000000000007</v>
      </c>
      <c r="I161" s="9">
        <f t="shared" si="14"/>
        <v>24192</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-24192</v>
      </c>
      <c r="E162" s="35">
        <f t="shared" si="15"/>
        <v>102144</v>
      </c>
      <c r="F162" s="9">
        <f t="shared" si="15"/>
        <v>0</v>
      </c>
      <c r="G162" s="9">
        <f t="shared" si="15"/>
        <v>0</v>
      </c>
      <c r="H162" s="9">
        <f t="shared" si="15"/>
        <v>24192</v>
      </c>
      <c r="I162" s="9">
        <f t="shared" si="15"/>
        <v>-18144</v>
      </c>
      <c r="J162" s="9">
        <f t="shared" si="15"/>
        <v>0</v>
      </c>
      <c r="K162" s="9">
        <f t="shared" si="15"/>
        <v>-84000</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95256</v>
      </c>
      <c r="G163" s="36">
        <f t="shared" si="16"/>
        <v>-24192</v>
      </c>
      <c r="H163" s="9">
        <f t="shared" si="16"/>
        <v>0</v>
      </c>
      <c r="I163" s="9">
        <f t="shared" si="16"/>
        <v>0</v>
      </c>
      <c r="J163" s="9">
        <f t="shared" si="16"/>
        <v>-32256.000000000007</v>
      </c>
      <c r="K163" s="9">
        <f t="shared" si="16"/>
        <v>24192</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-24192</v>
      </c>
      <c r="G164" s="35">
        <f t="shared" si="17"/>
        <v>18144</v>
      </c>
      <c r="H164" s="9">
        <f t="shared" si="17"/>
        <v>0</v>
      </c>
      <c r="I164" s="9">
        <f t="shared" si="17"/>
        <v>0</v>
      </c>
      <c r="J164" s="9">
        <f t="shared" si="17"/>
        <v>24192</v>
      </c>
      <c r="K164" s="9">
        <f t="shared" si="17"/>
        <v>-18144</v>
      </c>
      <c r="L164" s="89" t="s">
        <v>183</v>
      </c>
    </row>
    <row r="165" spans="1:19" ht="19.95" customHeight="1" x14ac:dyDescent="0.3">
      <c r="B165" s="9">
        <f t="shared" ref="B165:K165" si="18">B38+B57+B76+B95+B114+B133+B152</f>
        <v>0</v>
      </c>
      <c r="C165" s="9">
        <f t="shared" si="18"/>
        <v>0</v>
      </c>
      <c r="D165" s="9">
        <f t="shared" si="18"/>
        <v>-32256.000000000007</v>
      </c>
      <c r="E165" s="9">
        <f t="shared" si="18"/>
        <v>24192</v>
      </c>
      <c r="F165" s="9">
        <f t="shared" si="18"/>
        <v>0</v>
      </c>
      <c r="G165" s="9">
        <f t="shared" si="18"/>
        <v>0</v>
      </c>
      <c r="H165" s="35">
        <f t="shared" si="18"/>
        <v>95256</v>
      </c>
      <c r="I165" s="36">
        <f t="shared" si="18"/>
        <v>-24192</v>
      </c>
      <c r="J165" s="9">
        <f t="shared" si="18"/>
        <v>-63000</v>
      </c>
      <c r="K165" s="9">
        <f t="shared" si="18"/>
        <v>0</v>
      </c>
      <c r="L165" s="89" t="s">
        <v>184</v>
      </c>
    </row>
    <row r="166" spans="1:19" ht="19.95" customHeight="1" x14ac:dyDescent="0.3">
      <c r="B166" s="9">
        <f t="shared" ref="B166:K166" si="19">B39+B58+B77+B96+B115+B134+B153</f>
        <v>0</v>
      </c>
      <c r="C166" s="9">
        <f t="shared" si="19"/>
        <v>-84000</v>
      </c>
      <c r="D166" s="9">
        <f t="shared" si="19"/>
        <v>24192</v>
      </c>
      <c r="E166" s="9">
        <f t="shared" si="19"/>
        <v>-18144</v>
      </c>
      <c r="F166" s="9">
        <f t="shared" si="19"/>
        <v>0</v>
      </c>
      <c r="G166" s="9">
        <f t="shared" si="19"/>
        <v>0</v>
      </c>
      <c r="H166" s="36">
        <f t="shared" si="19"/>
        <v>-24192</v>
      </c>
      <c r="I166" s="35">
        <f t="shared" si="19"/>
        <v>102144</v>
      </c>
      <c r="J166" s="9">
        <f t="shared" si="19"/>
        <v>0</v>
      </c>
      <c r="K166" s="9">
        <f t="shared" si="19"/>
        <v>0</v>
      </c>
      <c r="L166" s="89" t="s">
        <v>185</v>
      </c>
    </row>
    <row r="167" spans="1:19" ht="19.95" customHeight="1" x14ac:dyDescent="0.3">
      <c r="B167" s="9">
        <f t="shared" ref="B167:K167" si="20">B40+B59+B78+B97+B116+B135+B154</f>
        <v>0</v>
      </c>
      <c r="C167" s="9">
        <f t="shared" si="20"/>
        <v>0</v>
      </c>
      <c r="D167" s="9">
        <f t="shared" si="20"/>
        <v>0</v>
      </c>
      <c r="E167" s="9">
        <f t="shared" si="20"/>
        <v>0</v>
      </c>
      <c r="F167" s="9">
        <f t="shared" si="20"/>
        <v>-32256.000000000007</v>
      </c>
      <c r="G167" s="9">
        <f t="shared" si="20"/>
        <v>24192</v>
      </c>
      <c r="H167" s="9">
        <f t="shared" si="20"/>
        <v>-63000</v>
      </c>
      <c r="I167" s="9">
        <f t="shared" si="20"/>
        <v>0</v>
      </c>
      <c r="J167" s="35">
        <f t="shared" si="20"/>
        <v>95256</v>
      </c>
      <c r="K167" s="36">
        <f t="shared" si="20"/>
        <v>-24192</v>
      </c>
      <c r="L167" s="89" t="s">
        <v>186</v>
      </c>
    </row>
    <row r="168" spans="1:19" ht="19.95" customHeight="1" x14ac:dyDescent="0.3">
      <c r="B168" s="9">
        <f t="shared" ref="B168:K168" si="21">B41+B60+B79+B98+B117+B136+B155</f>
        <v>0</v>
      </c>
      <c r="C168" s="9">
        <f t="shared" si="21"/>
        <v>0</v>
      </c>
      <c r="D168" s="9">
        <f t="shared" si="21"/>
        <v>0</v>
      </c>
      <c r="E168" s="9">
        <f t="shared" si="21"/>
        <v>-84000</v>
      </c>
      <c r="F168" s="9">
        <f t="shared" si="21"/>
        <v>24192</v>
      </c>
      <c r="G168" s="9">
        <f t="shared" si="21"/>
        <v>-18144</v>
      </c>
      <c r="H168" s="9">
        <f t="shared" si="21"/>
        <v>0</v>
      </c>
      <c r="I168" s="9">
        <f t="shared" si="21"/>
        <v>0</v>
      </c>
      <c r="J168" s="36">
        <f t="shared" si="21"/>
        <v>-24192</v>
      </c>
      <c r="K168" s="35">
        <f t="shared" si="21"/>
        <v>102144</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IF(GRAFICA_18!F14=1, B172, GRAFICA_18!H14)</f>
        <v>C1X</v>
      </c>
      <c r="N172" s="215" t="s">
        <v>376</v>
      </c>
      <c r="O172" s="172"/>
      <c r="P172" s="172"/>
      <c r="Q172" s="172"/>
      <c r="R172" s="172"/>
      <c r="S172" s="173"/>
    </row>
    <row r="173" spans="1:19" ht="16.95" customHeight="1" x14ac:dyDescent="0.3">
      <c r="B173" s="12" t="s">
        <v>210</v>
      </c>
      <c r="C173" s="12" t="s">
        <v>179</v>
      </c>
      <c r="E173" s="37" t="str">
        <f>IF(GRAFICA_18!G14=1, B173, GRAFICA_18!I14)</f>
        <v>C1Y</v>
      </c>
      <c r="N173" s="215" t="s">
        <v>211</v>
      </c>
      <c r="O173" s="172"/>
      <c r="P173" s="172"/>
      <c r="Q173" s="172"/>
      <c r="R173" s="172"/>
      <c r="S173" s="173"/>
    </row>
    <row r="174" spans="1:19" ht="16.95" customHeight="1" x14ac:dyDescent="0.3">
      <c r="B174" s="12" t="s">
        <v>212</v>
      </c>
      <c r="C174" s="12" t="s">
        <v>180</v>
      </c>
      <c r="E174" s="37">
        <f>IF(GRAFICA_18!F15=1, B174, GRAFICA_18!H15)</f>
        <v>0</v>
      </c>
      <c r="N174" s="215" t="s">
        <v>377</v>
      </c>
      <c r="O174" s="172"/>
      <c r="P174" s="172"/>
      <c r="Q174" s="172"/>
      <c r="R174" s="172"/>
      <c r="S174" s="173"/>
    </row>
    <row r="175" spans="1:19" ht="16.95" customHeight="1" x14ac:dyDescent="0.3">
      <c r="B175" s="12" t="s">
        <v>214</v>
      </c>
      <c r="C175" s="12" t="s">
        <v>181</v>
      </c>
      <c r="E175" s="37">
        <f>IF(GRAFICA_18!G15=1, B175, GRAFICA_18!I15)</f>
        <v>-7500</v>
      </c>
      <c r="N175" s="215" t="s">
        <v>215</v>
      </c>
      <c r="O175" s="172"/>
      <c r="P175" s="172"/>
      <c r="Q175" s="172"/>
      <c r="R175" s="172"/>
      <c r="S175" s="173"/>
    </row>
    <row r="176" spans="1:19" ht="16.95" customHeight="1" x14ac:dyDescent="0.3">
      <c r="A176" s="38" t="s">
        <v>218</v>
      </c>
      <c r="B176" s="12" t="s">
        <v>216</v>
      </c>
      <c r="C176" s="12" t="s">
        <v>182</v>
      </c>
      <c r="D176" s="13" t="s">
        <v>220</v>
      </c>
      <c r="E176" s="37">
        <f>IF(GRAFICA_18!F16=1, B176, GRAFICA_18!H16)</f>
        <v>0</v>
      </c>
      <c r="N176" s="215" t="s">
        <v>378</v>
      </c>
      <c r="O176" s="172"/>
      <c r="P176" s="172"/>
      <c r="Q176" s="172"/>
      <c r="R176" s="172"/>
      <c r="S176" s="173"/>
    </row>
    <row r="177" spans="1:19" ht="16.95" customHeight="1" x14ac:dyDescent="0.3">
      <c r="B177" s="12" t="s">
        <v>219</v>
      </c>
      <c r="C177" s="12" t="s">
        <v>183</v>
      </c>
      <c r="E177" s="37" t="str">
        <f>IF(GRAFICA_18!G16=1, B177, GRAFICA_18!I16)</f>
        <v>C3Y</v>
      </c>
      <c r="N177" s="215" t="s">
        <v>379</v>
      </c>
      <c r="O177" s="172"/>
      <c r="P177" s="172"/>
      <c r="Q177" s="172"/>
      <c r="R177" s="172"/>
      <c r="S177" s="173"/>
    </row>
    <row r="178" spans="1:19" ht="16.95" customHeight="1" x14ac:dyDescent="0.3">
      <c r="B178" s="12" t="s">
        <v>221</v>
      </c>
      <c r="C178" s="12" t="s">
        <v>184</v>
      </c>
      <c r="E178" s="37">
        <f>IF(GRAFICA_18!F17=1, B178, GRAFICA_18!H17)</f>
        <v>2500</v>
      </c>
      <c r="N178" s="215"/>
      <c r="O178" s="172"/>
      <c r="P178" s="172"/>
      <c r="Q178" s="172"/>
      <c r="R178" s="172"/>
      <c r="S178" s="173"/>
    </row>
    <row r="179" spans="1:19" ht="16.95" customHeight="1" x14ac:dyDescent="0.3">
      <c r="B179" s="12" t="s">
        <v>222</v>
      </c>
      <c r="C179" s="12" t="s">
        <v>185</v>
      </c>
      <c r="E179" s="37">
        <f>IF(GRAFICA_18!G17=1, B179, GRAFICA_18!I17)</f>
        <v>0</v>
      </c>
      <c r="N179" s="215"/>
      <c r="O179" s="172"/>
      <c r="P179" s="172"/>
      <c r="Q179" s="172"/>
      <c r="R179" s="172"/>
      <c r="S179" s="173"/>
    </row>
    <row r="180" spans="1:19" ht="16.95" customHeight="1" x14ac:dyDescent="0.3">
      <c r="B180" s="12" t="s">
        <v>223</v>
      </c>
      <c r="C180" s="12" t="s">
        <v>186</v>
      </c>
      <c r="E180" s="37">
        <f>IF(GRAFICA_18!F18=1, B180, GRAFICA_18!H18)</f>
        <v>0</v>
      </c>
      <c r="N180" s="215"/>
      <c r="O180" s="172"/>
      <c r="P180" s="172"/>
      <c r="Q180" s="172"/>
      <c r="R180" s="172"/>
      <c r="S180" s="173"/>
    </row>
    <row r="181" spans="1:19" ht="16.95" customHeight="1" x14ac:dyDescent="0.3">
      <c r="B181" s="12" t="s">
        <v>224</v>
      </c>
      <c r="C181" s="12" t="s">
        <v>187</v>
      </c>
      <c r="E181" s="37">
        <f>IF(GRAFICA_18!G18=1, B181, GRAFICA_18!I18)</f>
        <v>-8500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IF(GRAFICA_18!F14=1,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IF(GRAFICA_18!G14=1,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IF(GRAFICA_18!F15=1,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IF(GRAFICA_18!G15=1,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IF(GRAFICA_18!F16=1,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IF(GRAFICA_18!G16=1,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IF(GRAFICA_18!F17=1,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IF(GRAFICA_18!G17=1,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IF(GRAFICA_18!F18=1,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IF(GRAFICA_18!G18=1,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63000</v>
      </c>
      <c r="D198" s="9">
        <f t="shared" si="23"/>
        <v>0</v>
      </c>
      <c r="E198" s="9">
        <f t="shared" si="23"/>
        <v>-63000</v>
      </c>
      <c r="F198" s="9">
        <f t="shared" si="23"/>
        <v>0</v>
      </c>
      <c r="G198" s="9">
        <f t="shared" si="23"/>
        <v>0</v>
      </c>
      <c r="H198" s="9">
        <f t="shared" si="23"/>
        <v>0</v>
      </c>
      <c r="I198" s="9">
        <f t="shared" si="23"/>
        <v>0</v>
      </c>
      <c r="J198" s="9">
        <f t="shared" si="23"/>
        <v>0</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0</v>
      </c>
      <c r="D199" s="9">
        <f t="shared" si="24"/>
        <v>84000</v>
      </c>
      <c r="E199" s="9">
        <f t="shared" si="24"/>
        <v>0</v>
      </c>
      <c r="F199" s="9">
        <f t="shared" si="24"/>
        <v>0</v>
      </c>
      <c r="G199" s="9">
        <f t="shared" si="24"/>
        <v>0</v>
      </c>
      <c r="H199" s="9">
        <f t="shared" si="24"/>
        <v>0</v>
      </c>
      <c r="I199" s="9">
        <f t="shared" si="24"/>
        <v>0</v>
      </c>
      <c r="J199" s="9">
        <f t="shared" si="24"/>
        <v>-84000</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-63000</v>
      </c>
      <c r="D200" s="9">
        <f t="shared" si="25"/>
        <v>0</v>
      </c>
      <c r="E200" s="41">
        <f t="shared" si="25"/>
        <v>158256</v>
      </c>
      <c r="F200" s="41">
        <f t="shared" si="25"/>
        <v>-24192</v>
      </c>
      <c r="G200" s="41">
        <f t="shared" si="25"/>
        <v>-63000</v>
      </c>
      <c r="H200" s="9">
        <f t="shared" si="25"/>
        <v>0</v>
      </c>
      <c r="I200" s="41">
        <f t="shared" si="25"/>
        <v>-32256.000000000007</v>
      </c>
      <c r="J200" s="41">
        <f t="shared" si="25"/>
        <v>24192</v>
      </c>
      <c r="K200" s="41">
        <f t="shared" si="25"/>
        <v>0</v>
      </c>
      <c r="L200" s="41">
        <f t="shared" si="25"/>
        <v>0</v>
      </c>
      <c r="M200" s="13" t="s">
        <v>251</v>
      </c>
      <c r="N200" s="215" t="s">
        <v>254</v>
      </c>
      <c r="O200" s="172"/>
      <c r="P200" s="172"/>
      <c r="Q200" s="172"/>
      <c r="R200" s="172"/>
      <c r="S200" s="173"/>
    </row>
    <row r="201" spans="1:19" ht="16.95" customHeight="1" x14ac:dyDescent="0.3">
      <c r="A201" s="41">
        <f t="shared" si="22"/>
        <v>-7500</v>
      </c>
      <c r="C201" s="9">
        <f t="shared" ref="C201:L201" si="26">B162</f>
        <v>0</v>
      </c>
      <c r="D201" s="9">
        <f t="shared" si="26"/>
        <v>0</v>
      </c>
      <c r="E201" s="41">
        <f t="shared" si="26"/>
        <v>-24192</v>
      </c>
      <c r="F201" s="41">
        <f t="shared" si="26"/>
        <v>102144</v>
      </c>
      <c r="G201" s="41">
        <f t="shared" si="26"/>
        <v>0</v>
      </c>
      <c r="H201" s="9">
        <f t="shared" si="26"/>
        <v>0</v>
      </c>
      <c r="I201" s="41">
        <f t="shared" si="26"/>
        <v>24192</v>
      </c>
      <c r="J201" s="41">
        <f t="shared" si="26"/>
        <v>-18144</v>
      </c>
      <c r="K201" s="41">
        <f t="shared" si="26"/>
        <v>0</v>
      </c>
      <c r="L201" s="41">
        <f t="shared" si="26"/>
        <v>-84000</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-63000</v>
      </c>
      <c r="F202" s="41">
        <f t="shared" si="27"/>
        <v>0</v>
      </c>
      <c r="G202" s="41">
        <f t="shared" si="27"/>
        <v>95256</v>
      </c>
      <c r="H202" s="9">
        <f t="shared" si="27"/>
        <v>-24192</v>
      </c>
      <c r="I202" s="41">
        <f t="shared" si="27"/>
        <v>0</v>
      </c>
      <c r="J202" s="41">
        <f t="shared" si="27"/>
        <v>0</v>
      </c>
      <c r="K202" s="41">
        <f t="shared" si="27"/>
        <v>-32256.000000000007</v>
      </c>
      <c r="L202" s="41">
        <f t="shared" si="27"/>
        <v>24192</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-24192</v>
      </c>
      <c r="H203" s="9">
        <f t="shared" si="28"/>
        <v>18144</v>
      </c>
      <c r="I203" s="9">
        <f t="shared" si="28"/>
        <v>0</v>
      </c>
      <c r="J203" s="9">
        <f t="shared" si="28"/>
        <v>0</v>
      </c>
      <c r="K203" s="9">
        <f t="shared" si="28"/>
        <v>24192</v>
      </c>
      <c r="L203" s="9">
        <f t="shared" si="28"/>
        <v>-18144</v>
      </c>
      <c r="M203" s="13" t="s">
        <v>251</v>
      </c>
      <c r="N203" s="219">
        <f>E189</f>
        <v>0</v>
      </c>
      <c r="O203" s="172"/>
      <c r="P203" s="172"/>
      <c r="Q203" s="172"/>
      <c r="R203" s="172"/>
      <c r="S203" s="173"/>
    </row>
    <row r="204" spans="1:19" ht="16.95" customHeight="1" x14ac:dyDescent="0.3">
      <c r="A204" s="41">
        <f t="shared" si="22"/>
        <v>2500</v>
      </c>
      <c r="C204" s="9">
        <f t="shared" ref="C204:L204" si="29">B165</f>
        <v>0</v>
      </c>
      <c r="D204" s="9">
        <f t="shared" si="29"/>
        <v>0</v>
      </c>
      <c r="E204" s="41">
        <f t="shared" si="29"/>
        <v>-32256.000000000007</v>
      </c>
      <c r="F204" s="41">
        <f t="shared" si="29"/>
        <v>24192</v>
      </c>
      <c r="G204" s="41">
        <f t="shared" si="29"/>
        <v>0</v>
      </c>
      <c r="H204" s="9">
        <f t="shared" si="29"/>
        <v>0</v>
      </c>
      <c r="I204" s="41">
        <f t="shared" si="29"/>
        <v>95256</v>
      </c>
      <c r="J204" s="41">
        <f t="shared" si="29"/>
        <v>-24192</v>
      </c>
      <c r="K204" s="41">
        <f t="shared" si="29"/>
        <v>-63000</v>
      </c>
      <c r="L204" s="41">
        <f t="shared" si="29"/>
        <v>0</v>
      </c>
      <c r="M204" s="13" t="s">
        <v>251</v>
      </c>
      <c r="N204" s="215" t="str">
        <f>E190</f>
        <v>D4X</v>
      </c>
      <c r="O204" s="172"/>
      <c r="P204" s="172"/>
      <c r="Q204" s="172"/>
      <c r="R204" s="172"/>
      <c r="S204" s="173"/>
    </row>
    <row r="205" spans="1:19" ht="16.95" customHeight="1" x14ac:dyDescent="0.3">
      <c r="A205" s="41">
        <f t="shared" si="22"/>
        <v>0</v>
      </c>
      <c r="C205" s="9">
        <f t="shared" ref="C205:L205" si="30">B166</f>
        <v>0</v>
      </c>
      <c r="D205" s="9">
        <f t="shared" si="30"/>
        <v>-84000</v>
      </c>
      <c r="E205" s="41">
        <f t="shared" si="30"/>
        <v>24192</v>
      </c>
      <c r="F205" s="41">
        <f t="shared" si="30"/>
        <v>-18144</v>
      </c>
      <c r="G205" s="41">
        <f t="shared" si="30"/>
        <v>0</v>
      </c>
      <c r="H205" s="9">
        <f t="shared" si="30"/>
        <v>0</v>
      </c>
      <c r="I205" s="41">
        <f t="shared" si="30"/>
        <v>-24192</v>
      </c>
      <c r="J205" s="41">
        <f t="shared" si="30"/>
        <v>102144</v>
      </c>
      <c r="K205" s="41">
        <f t="shared" si="30"/>
        <v>0</v>
      </c>
      <c r="L205" s="41">
        <f t="shared" si="30"/>
        <v>0</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0</v>
      </c>
      <c r="F206" s="41">
        <f t="shared" si="31"/>
        <v>0</v>
      </c>
      <c r="G206" s="41">
        <f t="shared" si="31"/>
        <v>-32256.000000000007</v>
      </c>
      <c r="H206" s="9">
        <f t="shared" si="31"/>
        <v>24192</v>
      </c>
      <c r="I206" s="41">
        <f t="shared" si="31"/>
        <v>-63000</v>
      </c>
      <c r="J206" s="41">
        <f t="shared" si="31"/>
        <v>0</v>
      </c>
      <c r="K206" s="41">
        <f t="shared" si="31"/>
        <v>95256</v>
      </c>
      <c r="L206" s="41">
        <f t="shared" si="31"/>
        <v>-24192</v>
      </c>
      <c r="M206" s="13" t="s">
        <v>251</v>
      </c>
      <c r="N206" s="215" t="str">
        <f>E192</f>
        <v>D5X</v>
      </c>
      <c r="O206" s="172"/>
      <c r="P206" s="172"/>
      <c r="Q206" s="172"/>
      <c r="R206" s="172"/>
      <c r="S206" s="173"/>
    </row>
    <row r="207" spans="1:19" ht="16.95" customHeight="1" x14ac:dyDescent="0.3">
      <c r="A207" s="41">
        <f t="shared" si="22"/>
        <v>-8500</v>
      </c>
      <c r="C207" s="9">
        <f t="shared" ref="C207:L207" si="32">B168</f>
        <v>0</v>
      </c>
      <c r="D207" s="9">
        <f t="shared" si="32"/>
        <v>0</v>
      </c>
      <c r="E207" s="41">
        <f t="shared" si="32"/>
        <v>0</v>
      </c>
      <c r="F207" s="41">
        <f t="shared" si="32"/>
        <v>-84000</v>
      </c>
      <c r="G207" s="41">
        <f t="shared" si="32"/>
        <v>24192</v>
      </c>
      <c r="H207" s="9">
        <f t="shared" si="32"/>
        <v>-18144</v>
      </c>
      <c r="I207" s="41">
        <f t="shared" si="32"/>
        <v>0</v>
      </c>
      <c r="J207" s="41">
        <f t="shared" si="32"/>
        <v>0</v>
      </c>
      <c r="K207" s="41">
        <f t="shared" si="32"/>
        <v>-24192</v>
      </c>
      <c r="L207" s="41">
        <f t="shared" si="32"/>
        <v>102144</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158256</v>
      </c>
      <c r="D212" s="41">
        <f t="shared" si="34"/>
        <v>-24192</v>
      </c>
      <c r="E212" s="41">
        <f t="shared" si="34"/>
        <v>-63000</v>
      </c>
      <c r="F212" s="41">
        <f t="shared" si="34"/>
        <v>-32256.000000000007</v>
      </c>
      <c r="G212" s="41">
        <f t="shared" si="34"/>
        <v>24192</v>
      </c>
      <c r="H212" s="41">
        <f t="shared" si="34"/>
        <v>0</v>
      </c>
      <c r="I212" s="41">
        <f t="shared" si="34"/>
        <v>0</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-7500</v>
      </c>
      <c r="C213" s="41">
        <f t="shared" si="34"/>
        <v>-24192</v>
      </c>
      <c r="D213" s="41">
        <f t="shared" si="34"/>
        <v>102144</v>
      </c>
      <c r="E213" s="41">
        <f t="shared" si="34"/>
        <v>0</v>
      </c>
      <c r="F213" s="41">
        <f t="shared" si="34"/>
        <v>24192</v>
      </c>
      <c r="G213" s="41">
        <f t="shared" si="34"/>
        <v>-18144</v>
      </c>
      <c r="H213" s="41">
        <f t="shared" si="34"/>
        <v>0</v>
      </c>
      <c r="I213" s="41">
        <f t="shared" si="34"/>
        <v>-84000</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-63000</v>
      </c>
      <c r="D214" s="41">
        <f t="shared" si="34"/>
        <v>0</v>
      </c>
      <c r="E214" s="41">
        <f t="shared" si="34"/>
        <v>95256</v>
      </c>
      <c r="F214" s="41">
        <f t="shared" si="34"/>
        <v>0</v>
      </c>
      <c r="G214" s="41">
        <f t="shared" si="34"/>
        <v>0</v>
      </c>
      <c r="H214" s="41">
        <f t="shared" si="34"/>
        <v>-32256.000000000007</v>
      </c>
      <c r="I214" s="41">
        <f t="shared" si="34"/>
        <v>24192</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2500</v>
      </c>
      <c r="B215" s="13" t="s">
        <v>220</v>
      </c>
      <c r="C215" s="41">
        <f t="shared" si="34"/>
        <v>-32256.000000000007</v>
      </c>
      <c r="D215" s="41">
        <f t="shared" si="34"/>
        <v>24192</v>
      </c>
      <c r="E215" s="41">
        <f t="shared" si="34"/>
        <v>0</v>
      </c>
      <c r="F215" s="41">
        <f t="shared" si="34"/>
        <v>95256</v>
      </c>
      <c r="G215" s="41">
        <f t="shared" si="34"/>
        <v>-24192</v>
      </c>
      <c r="H215" s="41">
        <f t="shared" si="34"/>
        <v>-63000</v>
      </c>
      <c r="I215" s="41">
        <f t="shared" si="34"/>
        <v>0</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0</v>
      </c>
      <c r="C216" s="41">
        <f t="shared" si="34"/>
        <v>24192</v>
      </c>
      <c r="D216" s="41">
        <f t="shared" si="34"/>
        <v>-18144</v>
      </c>
      <c r="E216" s="41">
        <f t="shared" si="34"/>
        <v>0</v>
      </c>
      <c r="F216" s="41">
        <f t="shared" si="34"/>
        <v>-24192</v>
      </c>
      <c r="G216" s="41">
        <f t="shared" si="34"/>
        <v>102144</v>
      </c>
      <c r="H216" s="41">
        <f t="shared" si="34"/>
        <v>0</v>
      </c>
      <c r="I216" s="41">
        <f t="shared" si="34"/>
        <v>0</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0</v>
      </c>
      <c r="C217" s="41">
        <f t="shared" si="34"/>
        <v>0</v>
      </c>
      <c r="D217" s="41">
        <f t="shared" si="34"/>
        <v>0</v>
      </c>
      <c r="E217" s="41">
        <f t="shared" si="34"/>
        <v>-32256.000000000007</v>
      </c>
      <c r="F217" s="41">
        <f t="shared" si="34"/>
        <v>-63000</v>
      </c>
      <c r="G217" s="41">
        <f t="shared" si="34"/>
        <v>0</v>
      </c>
      <c r="H217" s="41">
        <f t="shared" si="34"/>
        <v>95256</v>
      </c>
      <c r="I217" s="41">
        <f t="shared" si="34"/>
        <v>-24192</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-8500</v>
      </c>
      <c r="C218" s="41">
        <f t="shared" si="34"/>
        <v>0</v>
      </c>
      <c r="D218" s="41">
        <f t="shared" si="34"/>
        <v>-84000</v>
      </c>
      <c r="E218" s="41">
        <f t="shared" si="34"/>
        <v>24192</v>
      </c>
      <c r="F218" s="41">
        <f t="shared" si="34"/>
        <v>0</v>
      </c>
      <c r="G218" s="41">
        <f t="shared" si="34"/>
        <v>0</v>
      </c>
      <c r="H218" s="41">
        <f t="shared" si="34"/>
        <v>-24192</v>
      </c>
      <c r="I218" s="41">
        <f t="shared" si="34"/>
        <v>102144</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1.5873015873015886E-5</v>
      </c>
      <c r="D222" s="93">
        <v>-6.6645932754138781E-21</v>
      </c>
      <c r="E222" s="93">
        <v>1.5873015873015893E-5</v>
      </c>
      <c r="F222" s="93">
        <v>1.5873015873015896E-5</v>
      </c>
      <c r="G222" s="93">
        <v>1.0523042013811387E-21</v>
      </c>
      <c r="H222" s="93">
        <v>1.5873015873015889E-5</v>
      </c>
      <c r="I222" s="93">
        <v>-5.4369050404692168E-21</v>
      </c>
      <c r="K222" s="17">
        <f t="shared" ref="K222:K228" si="36">A212</f>
        <v>0</v>
      </c>
      <c r="N222" s="215"/>
      <c r="O222" s="172"/>
      <c r="P222" s="172"/>
      <c r="Q222" s="172"/>
      <c r="R222" s="172"/>
      <c r="S222" s="173"/>
    </row>
    <row r="223" spans="1:19" ht="16.95" customHeight="1" x14ac:dyDescent="0.3">
      <c r="A223" s="12" t="str">
        <f t="shared" si="35"/>
        <v>D2Y</v>
      </c>
      <c r="C223" s="93">
        <v>-7.7871347037014432E-21</v>
      </c>
      <c r="D223" s="93">
        <v>4.7619047619047607E-5</v>
      </c>
      <c r="E223" s="93">
        <v>-1.0582010582010589E-5</v>
      </c>
      <c r="F223" s="93">
        <v>-1.0582010582010589E-5</v>
      </c>
      <c r="G223" s="93">
        <v>5.9523809523809483E-6</v>
      </c>
      <c r="H223" s="93">
        <v>-9.5858736177683179E-21</v>
      </c>
      <c r="I223" s="93">
        <v>4.1666666666666665E-5</v>
      </c>
      <c r="K223" s="17">
        <f t="shared" si="36"/>
        <v>-7500</v>
      </c>
      <c r="N223" s="215"/>
      <c r="O223" s="172"/>
      <c r="P223" s="172"/>
      <c r="Q223" s="172"/>
      <c r="R223" s="172"/>
      <c r="S223" s="173"/>
    </row>
    <row r="224" spans="1:19" ht="16.95" customHeight="1" x14ac:dyDescent="0.3">
      <c r="A224" s="12" t="str">
        <f t="shared" si="35"/>
        <v>D3X</v>
      </c>
      <c r="C224" s="93">
        <v>1.5873015873015893E-5</v>
      </c>
      <c r="D224" s="93">
        <v>-1.0582010582010589E-5</v>
      </c>
      <c r="E224" s="93">
        <v>3.1746031746031779E-5</v>
      </c>
      <c r="F224" s="93">
        <v>2.3809523809523847E-5</v>
      </c>
      <c r="G224" s="93">
        <v>2.6058087316260382E-21</v>
      </c>
      <c r="H224" s="93">
        <v>2.3809523809523841E-5</v>
      </c>
      <c r="I224" s="93">
        <v>-1.0582010582010591E-5</v>
      </c>
      <c r="K224" s="17">
        <f t="shared" si="36"/>
        <v>0</v>
      </c>
      <c r="N224" s="215"/>
      <c r="O224" s="172"/>
      <c r="P224" s="172"/>
      <c r="Q224" s="172"/>
      <c r="R224" s="172"/>
      <c r="S224" s="173"/>
    </row>
    <row r="225" spans="1:19" ht="16.95" customHeight="1" x14ac:dyDescent="0.3">
      <c r="A225" s="12" t="str">
        <f t="shared" si="35"/>
        <v>D4X</v>
      </c>
      <c r="B225" s="13" t="s">
        <v>220</v>
      </c>
      <c r="C225" s="93">
        <v>1.5873015873015893E-5</v>
      </c>
      <c r="D225" s="93">
        <v>-1.0582010582010592E-5</v>
      </c>
      <c r="E225" s="93">
        <v>2.3809523809523834E-5</v>
      </c>
      <c r="F225" s="93">
        <v>4.2658730158730194E-5</v>
      </c>
      <c r="G225" s="93">
        <v>4.4642857142857163E-6</v>
      </c>
      <c r="H225" s="93">
        <v>3.4722222222222243E-5</v>
      </c>
      <c r="I225" s="93">
        <v>-6.1177248677248794E-6</v>
      </c>
      <c r="K225" s="17">
        <f t="shared" si="36"/>
        <v>2500</v>
      </c>
      <c r="N225" s="215"/>
      <c r="O225" s="172"/>
      <c r="P225" s="172"/>
      <c r="Q225" s="172"/>
      <c r="R225" s="172"/>
      <c r="S225" s="173"/>
    </row>
    <row r="226" spans="1:19" ht="16.95" customHeight="1" x14ac:dyDescent="0.3">
      <c r="A226" s="12" t="str">
        <f t="shared" si="35"/>
        <v>D4Y</v>
      </c>
      <c r="C226" s="93">
        <v>7.2996315074742743E-22</v>
      </c>
      <c r="D226" s="93">
        <v>5.9523809523809483E-6</v>
      </c>
      <c r="E226" s="93">
        <v>1.3488554964974052E-21</v>
      </c>
      <c r="F226" s="93">
        <v>4.4642857142857163E-6</v>
      </c>
      <c r="G226" s="93">
        <v>1.1904761904761903E-5</v>
      </c>
      <c r="H226" s="93">
        <v>4.4642857142857146E-6</v>
      </c>
      <c r="I226" s="93">
        <v>5.95238095238095E-6</v>
      </c>
      <c r="K226" s="17">
        <f t="shared" si="36"/>
        <v>0</v>
      </c>
      <c r="N226" s="215"/>
      <c r="O226" s="172"/>
      <c r="P226" s="172"/>
      <c r="Q226" s="172"/>
      <c r="R226" s="172"/>
      <c r="S226" s="173"/>
    </row>
    <row r="227" spans="1:19" ht="16.95" customHeight="1" x14ac:dyDescent="0.3">
      <c r="A227" s="12" t="str">
        <f t="shared" si="35"/>
        <v>D5X</v>
      </c>
      <c r="C227" s="93">
        <v>1.5873015873015893E-5</v>
      </c>
      <c r="D227" s="93">
        <v>-1.3482613325501793E-20</v>
      </c>
      <c r="E227" s="93">
        <v>2.3809523809523837E-5</v>
      </c>
      <c r="F227" s="93">
        <v>3.4722222222222256E-5</v>
      </c>
      <c r="G227" s="93">
        <v>4.4642857142857155E-6</v>
      </c>
      <c r="H227" s="93">
        <v>4.265873015873018E-5</v>
      </c>
      <c r="I227" s="93">
        <v>4.4642857142857019E-6</v>
      </c>
      <c r="K227" s="17">
        <f t="shared" si="36"/>
        <v>0</v>
      </c>
      <c r="N227" s="215"/>
      <c r="O227" s="172"/>
      <c r="P227" s="172"/>
      <c r="Q227" s="172"/>
      <c r="R227" s="172"/>
      <c r="S227" s="173"/>
    </row>
    <row r="228" spans="1:19" ht="16.95" customHeight="1" x14ac:dyDescent="0.3">
      <c r="A228" s="12" t="str">
        <f t="shared" si="35"/>
        <v>D5Y</v>
      </c>
      <c r="C228" s="93">
        <v>-6.6084703846735493E-21</v>
      </c>
      <c r="D228" s="93">
        <v>4.1666666666666652E-5</v>
      </c>
      <c r="E228" s="93">
        <v>-1.0582010582010589E-5</v>
      </c>
      <c r="F228" s="93">
        <v>-6.1177248677248743E-6</v>
      </c>
      <c r="G228" s="93">
        <v>5.9523809523809492E-6</v>
      </c>
      <c r="H228" s="93">
        <v>4.4642857142857045E-6</v>
      </c>
      <c r="I228" s="93">
        <v>4.7619047619047614E-5</v>
      </c>
      <c r="K228" s="17">
        <f t="shared" si="36"/>
        <v>-8500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3.968253968253984E-2</v>
      </c>
      <c r="D232" s="12" t="s">
        <v>267</v>
      </c>
      <c r="N232" s="215"/>
      <c r="O232" s="172"/>
      <c r="P232" s="172"/>
      <c r="Q232" s="172"/>
      <c r="R232" s="172"/>
      <c r="S232" s="173"/>
    </row>
    <row r="233" spans="1:19" ht="16.95" customHeight="1" x14ac:dyDescent="0.3">
      <c r="A233" s="12" t="str">
        <f t="shared" si="37"/>
        <v>D2Y</v>
      </c>
      <c r="C233" s="94">
        <v>-0.73776455026455012</v>
      </c>
      <c r="D233" s="12" t="s">
        <v>267</v>
      </c>
      <c r="N233" s="215"/>
      <c r="O233" s="172"/>
      <c r="P233" s="172"/>
      <c r="Q233" s="172"/>
      <c r="R233" s="172"/>
      <c r="S233" s="173"/>
    </row>
    <row r="234" spans="1:19" ht="16.95" customHeight="1" x14ac:dyDescent="0.3">
      <c r="A234" s="12" t="str">
        <f t="shared" si="37"/>
        <v>D3X</v>
      </c>
      <c r="C234" s="94">
        <v>0.22883597883597906</v>
      </c>
      <c r="D234" s="12" t="s">
        <v>267</v>
      </c>
      <c r="N234" s="215"/>
      <c r="O234" s="172"/>
      <c r="P234" s="172"/>
      <c r="Q234" s="172"/>
      <c r="R234" s="172"/>
      <c r="S234" s="173"/>
    </row>
    <row r="235" spans="1:19" ht="16.95" customHeight="1" x14ac:dyDescent="0.3">
      <c r="A235" s="12" t="str">
        <f t="shared" si="37"/>
        <v>D4X</v>
      </c>
      <c r="B235" s="13" t="s">
        <v>220</v>
      </c>
      <c r="C235" s="94">
        <v>0.23801256613756641</v>
      </c>
      <c r="D235" s="12" t="s">
        <v>267</v>
      </c>
      <c r="N235" s="215"/>
      <c r="O235" s="172"/>
      <c r="P235" s="172"/>
      <c r="Q235" s="172"/>
      <c r="R235" s="172"/>
      <c r="S235" s="173"/>
    </row>
    <row r="236" spans="1:19" ht="16.95" customHeight="1" x14ac:dyDescent="0.3">
      <c r="A236" s="12" t="str">
        <f t="shared" si="37"/>
        <v>D4Y</v>
      </c>
      <c r="C236" s="94">
        <v>-8.4077380952380903E-2</v>
      </c>
      <c r="D236" s="12" t="s">
        <v>267</v>
      </c>
      <c r="N236" s="215"/>
      <c r="O236" s="172"/>
      <c r="P236" s="172"/>
      <c r="Q236" s="172"/>
      <c r="R236" s="172"/>
      <c r="S236" s="173"/>
    </row>
    <row r="237" spans="1:19" ht="16.95" customHeight="1" x14ac:dyDescent="0.3">
      <c r="A237" s="12" t="str">
        <f t="shared" si="37"/>
        <v>D5X</v>
      </c>
      <c r="C237" s="94">
        <v>4.8859126984127269E-2</v>
      </c>
      <c r="D237" s="12" t="s">
        <v>267</v>
      </c>
      <c r="N237" s="215"/>
      <c r="O237" s="172"/>
      <c r="P237" s="172"/>
      <c r="Q237" s="172"/>
      <c r="R237" s="172"/>
      <c r="S237" s="173"/>
    </row>
    <row r="238" spans="1:19" ht="16.95" customHeight="1" x14ac:dyDescent="0.3">
      <c r="A238" s="12" t="str">
        <f t="shared" si="37"/>
        <v>D5Y</v>
      </c>
      <c r="C238" s="94">
        <v>-0.73255621693121675</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-63000</v>
      </c>
      <c r="D243" s="9">
        <f t="shared" si="38"/>
        <v>0</v>
      </c>
      <c r="E243" s="9">
        <f t="shared" si="38"/>
        <v>0</v>
      </c>
      <c r="F243" s="9">
        <f t="shared" si="38"/>
        <v>0</v>
      </c>
      <c r="G243" s="9">
        <f t="shared" si="38"/>
        <v>0</v>
      </c>
      <c r="H243" s="9">
        <f t="shared" si="38"/>
        <v>0</v>
      </c>
      <c r="I243" s="9">
        <f t="shared" si="38"/>
        <v>0</v>
      </c>
      <c r="K243" s="95">
        <f t="shared" ref="K243:K249" si="39">C232</f>
        <v>3.968253968253984E-2</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0</v>
      </c>
      <c r="D244" s="9">
        <f t="shared" si="38"/>
        <v>0</v>
      </c>
      <c r="E244" s="9">
        <f t="shared" si="38"/>
        <v>0</v>
      </c>
      <c r="F244" s="9">
        <f t="shared" si="38"/>
        <v>0</v>
      </c>
      <c r="G244" s="9">
        <f t="shared" si="38"/>
        <v>-84000</v>
      </c>
      <c r="H244" s="9">
        <f t="shared" si="38"/>
        <v>0</v>
      </c>
      <c r="I244" s="9">
        <f t="shared" si="38"/>
        <v>0</v>
      </c>
      <c r="K244" s="95">
        <f t="shared" si="39"/>
        <v>-0.73776455026455012</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0</v>
      </c>
      <c r="D245" s="9">
        <f t="shared" si="38"/>
        <v>0</v>
      </c>
      <c r="E245" s="9">
        <f t="shared" si="38"/>
        <v>-24192</v>
      </c>
      <c r="F245" s="9">
        <f t="shared" si="38"/>
        <v>0</v>
      </c>
      <c r="G245" s="9">
        <f t="shared" si="38"/>
        <v>0</v>
      </c>
      <c r="H245" s="9">
        <f t="shared" si="38"/>
        <v>24192</v>
      </c>
      <c r="I245" s="9">
        <f t="shared" si="38"/>
        <v>-18144</v>
      </c>
      <c r="K245" s="95">
        <f t="shared" si="39"/>
        <v>0.22883597883597906</v>
      </c>
      <c r="L245" s="14" t="str">
        <f>INDEX(C$184:C$193, MATCH(3, G$184:G$193, 0))</f>
        <v>U3Y</v>
      </c>
      <c r="N245" s="215" t="s">
        <v>392</v>
      </c>
      <c r="O245" s="172"/>
      <c r="P245" s="172"/>
      <c r="Q245" s="172"/>
      <c r="R245" s="172"/>
      <c r="S245" s="173"/>
    </row>
    <row r="246" spans="1:19" ht="16.95" customHeight="1" x14ac:dyDescent="0.3">
      <c r="K246" s="95">
        <f t="shared" si="39"/>
        <v>0.23801256613756641</v>
      </c>
      <c r="N246" s="215" t="s">
        <v>393</v>
      </c>
      <c r="O246" s="172"/>
      <c r="P246" s="172"/>
      <c r="Q246" s="172"/>
      <c r="R246" s="172"/>
      <c r="S246" s="173"/>
    </row>
    <row r="247" spans="1:19" ht="16.95" customHeight="1" x14ac:dyDescent="0.3">
      <c r="K247" s="95">
        <f t="shared" si="39"/>
        <v>-8.4077380952380903E-2</v>
      </c>
      <c r="N247" s="215" t="s">
        <v>394</v>
      </c>
      <c r="O247" s="172"/>
      <c r="P247" s="172"/>
      <c r="Q247" s="172"/>
      <c r="R247" s="172"/>
      <c r="S247" s="173"/>
    </row>
    <row r="248" spans="1:19" ht="16.95" customHeight="1" x14ac:dyDescent="0.3">
      <c r="K248" s="95">
        <f t="shared" si="39"/>
        <v>4.8859126984127269E-2</v>
      </c>
      <c r="N248" s="215"/>
      <c r="O248" s="172"/>
      <c r="P248" s="172"/>
      <c r="Q248" s="172"/>
      <c r="R248" s="172"/>
      <c r="S248" s="173"/>
    </row>
    <row r="249" spans="1:19" ht="16.95" customHeight="1" x14ac:dyDescent="0.3">
      <c r="K249" s="95">
        <f t="shared" si="39"/>
        <v>-0.73255621693121675</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-2500.00000000001</v>
      </c>
      <c r="D251" s="12" t="s">
        <v>273</v>
      </c>
      <c r="N251" s="215"/>
      <c r="O251" s="172"/>
      <c r="P251" s="172"/>
      <c r="Q251" s="172"/>
      <c r="R251" s="172"/>
      <c r="S251" s="173"/>
    </row>
    <row r="252" spans="1:19" ht="16.95" customHeight="1" x14ac:dyDescent="0.3">
      <c r="A252" s="12" t="str">
        <f>A244</f>
        <v>C1Y</v>
      </c>
      <c r="B252" s="13" t="s">
        <v>220</v>
      </c>
      <c r="C252" s="17">
        <v>7062.4999999999955</v>
      </c>
      <c r="D252" s="12" t="s">
        <v>273</v>
      </c>
      <c r="N252" s="215"/>
      <c r="O252" s="172"/>
      <c r="P252" s="172"/>
      <c r="Q252" s="172"/>
      <c r="R252" s="172"/>
      <c r="S252" s="173"/>
    </row>
    <row r="253" spans="1:19" ht="16.95" customHeight="1" x14ac:dyDescent="0.3">
      <c r="A253" s="12" t="str">
        <f>A245</f>
        <v>C3Y</v>
      </c>
      <c r="C253" s="17">
        <v>8937.4999999999982</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3.968253968253984E-2</v>
      </c>
    </row>
    <row r="261" spans="1:19" ht="19.05" customHeight="1" x14ac:dyDescent="0.3">
      <c r="A261" s="12" t="s">
        <v>231</v>
      </c>
      <c r="B261" s="12" t="s">
        <v>181</v>
      </c>
      <c r="D261" s="94">
        <f t="shared" si="40"/>
        <v>-0.73776455026455012</v>
      </c>
    </row>
    <row r="262" spans="1:19" ht="19.05" customHeight="1" x14ac:dyDescent="0.3">
      <c r="A262" s="12" t="s">
        <v>232</v>
      </c>
      <c r="B262" s="12" t="s">
        <v>182</v>
      </c>
      <c r="D262" s="94">
        <f t="shared" si="40"/>
        <v>0.22883597883597906</v>
      </c>
    </row>
    <row r="263" spans="1:19" ht="19.05" customHeight="1" x14ac:dyDescent="0.3">
      <c r="A263" s="12" t="s">
        <v>234</v>
      </c>
      <c r="B263" s="12" t="s">
        <v>183</v>
      </c>
      <c r="D263" s="94">
        <f t="shared" si="40"/>
        <v>0</v>
      </c>
    </row>
    <row r="264" spans="1:19" ht="19.05" customHeight="1" x14ac:dyDescent="0.3">
      <c r="A264" s="12" t="s">
        <v>235</v>
      </c>
      <c r="B264" s="12" t="s">
        <v>184</v>
      </c>
      <c r="D264" s="94">
        <f t="shared" si="40"/>
        <v>0.23801256613756641</v>
      </c>
    </row>
    <row r="265" spans="1:19" ht="19.05" customHeight="1" x14ac:dyDescent="0.3">
      <c r="A265" s="12" t="s">
        <v>236</v>
      </c>
      <c r="B265" s="12" t="s">
        <v>185</v>
      </c>
      <c r="D265" s="94">
        <f t="shared" si="40"/>
        <v>-8.4077380952380903E-2</v>
      </c>
    </row>
    <row r="266" spans="1:19" ht="19.05" customHeight="1" x14ac:dyDescent="0.3">
      <c r="A266" s="12" t="s">
        <v>237</v>
      </c>
      <c r="B266" s="12" t="s">
        <v>186</v>
      </c>
      <c r="D266" s="94">
        <f t="shared" si="40"/>
        <v>4.8859126984127269E-2</v>
      </c>
    </row>
    <row r="267" spans="1:19" ht="19.05" customHeight="1" x14ac:dyDescent="0.3">
      <c r="A267" s="12" t="s">
        <v>238</v>
      </c>
      <c r="B267" s="12" t="s">
        <v>187</v>
      </c>
      <c r="D267" s="94">
        <f t="shared" si="40"/>
        <v>-0.73255621693121675</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63000</v>
      </c>
      <c r="C274" s="92">
        <f>-J6</f>
        <v>-1</v>
      </c>
      <c r="D274" s="92">
        <f>-K6</f>
        <v>0</v>
      </c>
      <c r="E274" s="92">
        <f>J6</f>
        <v>1</v>
      </c>
      <c r="F274" s="92">
        <f>K6</f>
        <v>0</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2500.00000000001</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3.968253968253984E-2</v>
      </c>
      <c r="H276" s="12" t="str">
        <f>"D" &amp; E16 &amp; "X"</f>
        <v>D2X</v>
      </c>
      <c r="N276" s="215" t="s">
        <v>400</v>
      </c>
      <c r="O276" s="172"/>
      <c r="P276" s="172"/>
      <c r="Q276" s="172"/>
      <c r="R276" s="172"/>
      <c r="S276" s="173"/>
    </row>
    <row r="277" spans="1:19" ht="16.95" customHeight="1" x14ac:dyDescent="0.3">
      <c r="G277" s="96">
        <f>IFERROR(VLOOKUP(H277, A$258:D$267, 4, FALSE), 0)</f>
        <v>-0.73776455026455012</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63000</v>
      </c>
      <c r="C282" s="92">
        <f>-J7</f>
        <v>-1</v>
      </c>
      <c r="D282" s="92">
        <f>-K7</f>
        <v>0</v>
      </c>
      <c r="E282" s="92">
        <f>J7</f>
        <v>1</v>
      </c>
      <c r="F282" s="92">
        <f>K7</f>
        <v>0</v>
      </c>
      <c r="G282" s="96">
        <f>IFERROR(VLOOKUP(H282, A$258:D$267, 4, FALSE), 0)</f>
        <v>3.968253968253984E-2</v>
      </c>
      <c r="H282" s="12" t="str">
        <f>"D" &amp; C17 &amp; "X"</f>
        <v>D2X</v>
      </c>
      <c r="N282" s="215"/>
      <c r="O282" s="172"/>
      <c r="P282" s="172"/>
      <c r="Q282" s="172"/>
      <c r="R282" s="172"/>
      <c r="S282" s="173"/>
    </row>
    <row r="283" spans="1:19" ht="16.95" customHeight="1" x14ac:dyDescent="0.3">
      <c r="A283" s="99" t="s">
        <v>286</v>
      </c>
      <c r="B283" s="97">
        <f>(MMULT(C282:F282, G282:G285)*A282)</f>
        <v>11916.66666666667</v>
      </c>
      <c r="G283" s="96">
        <f>IFERROR(VLOOKUP(H283, A$258:D$267, 4, FALSE), 0)</f>
        <v>-0.73776455026455012</v>
      </c>
      <c r="H283" s="12" t="str">
        <f>"D" &amp; D17 &amp; "Y"</f>
        <v>D2Y</v>
      </c>
      <c r="N283" s="215"/>
      <c r="O283" s="172"/>
      <c r="P283" s="172"/>
      <c r="Q283" s="172"/>
      <c r="R283" s="172"/>
      <c r="S283" s="173"/>
    </row>
    <row r="284" spans="1:19" ht="16.95" customHeight="1" x14ac:dyDescent="0.3">
      <c r="G284" s="96">
        <f>IFERROR(VLOOKUP(H284, A$258:D$267, 4, FALSE), 0)</f>
        <v>0.22883597883597906</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84000</v>
      </c>
      <c r="C290" s="92">
        <f>-J8</f>
        <v>0</v>
      </c>
      <c r="D290" s="92">
        <f>-K8</f>
        <v>-1</v>
      </c>
      <c r="E290" s="92">
        <f>J8</f>
        <v>0</v>
      </c>
      <c r="F290" s="92">
        <f>K8</f>
        <v>1</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-7062.4999999999955</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0.23801256613756641</v>
      </c>
      <c r="H292" s="12" t="str">
        <f>"D" &amp; E18 &amp; "X"</f>
        <v>D4X</v>
      </c>
      <c r="N292" s="215"/>
      <c r="O292" s="172"/>
      <c r="P292" s="172"/>
      <c r="Q292" s="172"/>
      <c r="R292" s="172"/>
      <c r="S292" s="173"/>
    </row>
    <row r="293" spans="1:19" ht="16.95" customHeight="1" x14ac:dyDescent="0.3">
      <c r="G293" s="96">
        <f>IFERROR(VLOOKUP(H293, A$258:D$267, 4, FALSE), 0)</f>
        <v>-8.4077380952380903E-2</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63000</v>
      </c>
      <c r="C298" s="92">
        <f>-J9</f>
        <v>-1</v>
      </c>
      <c r="D298" s="92">
        <f>-K9</f>
        <v>0</v>
      </c>
      <c r="E298" s="92">
        <f>J9</f>
        <v>1</v>
      </c>
      <c r="F298" s="92">
        <f>K9</f>
        <v>0</v>
      </c>
      <c r="G298" s="96">
        <f>IFERROR(VLOOKUP(H298, A$258:D$267, 4, FALSE), 0)</f>
        <v>0.23801256613756641</v>
      </c>
      <c r="H298" s="12" t="str">
        <f>"D" &amp; C19 &amp; "X"</f>
        <v>D4X</v>
      </c>
    </row>
    <row r="299" spans="1:19" ht="19.95" customHeight="1" x14ac:dyDescent="0.3">
      <c r="A299" s="99" t="s">
        <v>288</v>
      </c>
      <c r="B299" s="97">
        <f>(MMULT(C298:F298, G298:G301)*A298)</f>
        <v>-11916.666666666664</v>
      </c>
      <c r="G299" s="96">
        <f>IFERROR(VLOOKUP(H299, A$258:D$267, 4, FALSE), 0)</f>
        <v>-8.4077380952380903E-2</v>
      </c>
      <c r="H299" s="12" t="str">
        <f>"D" &amp; D19 &amp; "Y"</f>
        <v>D4Y</v>
      </c>
    </row>
    <row r="300" spans="1:19" ht="19.95" customHeight="1" x14ac:dyDescent="0.3">
      <c r="G300" s="96">
        <f>IFERROR(VLOOKUP(H300, A$258:D$267, 4, FALSE), 0)</f>
        <v>4.8859126984127269E-2</v>
      </c>
      <c r="H300" s="12" t="str">
        <f>"D" &amp; E19 &amp; "X"</f>
        <v>D5X</v>
      </c>
    </row>
    <row r="301" spans="1:19" ht="19.95" customHeight="1" x14ac:dyDescent="0.3">
      <c r="G301" s="96">
        <f>IFERROR(VLOOKUP(H301, A$258:D$267, 4, FALSE), 0)</f>
        <v>-0.73255621693121675</v>
      </c>
      <c r="H301" s="12" t="str">
        <f>"D" &amp; F19 &amp; "Y"</f>
        <v>D5Y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84000</v>
      </c>
      <c r="C306" s="92">
        <f>-J10</f>
        <v>0</v>
      </c>
      <c r="D306" s="92">
        <f>-K10</f>
        <v>-1</v>
      </c>
      <c r="E306" s="92">
        <f>J10</f>
        <v>0</v>
      </c>
      <c r="F306" s="92">
        <f>K10</f>
        <v>1</v>
      </c>
      <c r="G306" s="96">
        <f>IFERROR(VLOOKUP(H306, A$258:D$267, 4, FALSE), 0)</f>
        <v>3.968253968253984E-2</v>
      </c>
      <c r="H306" s="12" t="str">
        <f>"D" &amp; C20 &amp; "X"</f>
        <v>D2X</v>
      </c>
    </row>
    <row r="307" spans="1:8" ht="19.95" customHeight="1" x14ac:dyDescent="0.3">
      <c r="A307" s="99" t="s">
        <v>289</v>
      </c>
      <c r="B307" s="97">
        <f>(MMULT(C306:F306, G306:G309)*A306)</f>
        <v>437.50000000000313</v>
      </c>
      <c r="G307" s="96">
        <f>IFERROR(VLOOKUP(H307, A$258:D$267, 4, FALSE), 0)</f>
        <v>-0.73776455026455012</v>
      </c>
      <c r="H307" s="12" t="str">
        <f>"D" &amp; D20 &amp; "Y"</f>
        <v>D2Y</v>
      </c>
    </row>
    <row r="308" spans="1:8" ht="19.95" customHeight="1" x14ac:dyDescent="0.3">
      <c r="G308" s="96">
        <f>IFERROR(VLOOKUP(H308, A$258:D$267, 4, FALSE), 0)</f>
        <v>4.8859126984127269E-2</v>
      </c>
      <c r="H308" s="12" t="str">
        <f>"D" &amp; E20 &amp; "X"</f>
        <v>D5X</v>
      </c>
    </row>
    <row r="309" spans="1:8" ht="19.95" customHeight="1" x14ac:dyDescent="0.3">
      <c r="G309" s="96">
        <f>IFERROR(VLOOKUP(H309, A$258:D$267, 4, FALSE), 0)</f>
        <v>-0.73255621693121675</v>
      </c>
      <c r="H309" s="12" t="str">
        <f>"D" &amp; F20 &amp; "Y"</f>
        <v>D5Y</v>
      </c>
    </row>
    <row r="310" spans="1:8" ht="19.95" customHeight="1" x14ac:dyDescent="0.3">
      <c r="B310" s="99" t="s">
        <v>273</v>
      </c>
      <c r="C310" s="178" t="str">
        <f>IF(B307&gt;0.001,"BARRA A TRACCIÓN (+)",IF(B307&lt;-0.001,"BARRA A COMPRESIÓN (-)","BARRA DE FUERZA NULA"))</f>
        <v>BARRA A TRACCIÓN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50400</v>
      </c>
      <c r="C314" s="92">
        <f>-J11</f>
        <v>-0.8</v>
      </c>
      <c r="D314" s="92">
        <f>-K11</f>
        <v>0.6</v>
      </c>
      <c r="E314" s="92">
        <f>J11</f>
        <v>0.8</v>
      </c>
      <c r="F314" s="92">
        <f>K11</f>
        <v>-0.6</v>
      </c>
      <c r="G314" s="96">
        <f>IFERROR(VLOOKUP(H314, A$258:D$267, 4, FALSE), 0)</f>
        <v>0.23801256613756641</v>
      </c>
      <c r="H314" s="12" t="str">
        <f>"D" &amp; C21 &amp; "X"</f>
        <v>D4X</v>
      </c>
    </row>
    <row r="315" spans="1:8" ht="19.95" customHeight="1" x14ac:dyDescent="0.3">
      <c r="A315" s="99" t="s">
        <v>290</v>
      </c>
      <c r="B315" s="97">
        <f>(MMULT(C314:F314, G314:G317)*A314)</f>
        <v>11770.833333333327</v>
      </c>
      <c r="G315" s="96">
        <f>IFERROR(VLOOKUP(H315, A$258:D$267, 4, FALSE), 0)</f>
        <v>-8.4077380952380903E-2</v>
      </c>
      <c r="H315" s="12" t="str">
        <f>"D" &amp; D21 &amp; "Y"</f>
        <v>D4Y</v>
      </c>
    </row>
    <row r="316" spans="1:8" ht="19.95" customHeight="1" x14ac:dyDescent="0.3">
      <c r="G316" s="96">
        <f>IFERROR(VLOOKUP(H316, A$258:D$267, 4, FALSE), 0)</f>
        <v>3.968253968253984E-2</v>
      </c>
      <c r="H316" s="12" t="str">
        <f>"D" &amp; E21 &amp; "X"</f>
        <v>D2X</v>
      </c>
    </row>
    <row r="317" spans="1:8" ht="19.95" customHeight="1" x14ac:dyDescent="0.3">
      <c r="G317" s="96">
        <f>IFERROR(VLOOKUP(H317, A$258:D$267, 4, FALSE), 0)</f>
        <v>-0.73776455026455012</v>
      </c>
      <c r="H317" s="12" t="str">
        <f>"D" &amp; F21 &amp; "Y"</f>
        <v>D2Y</v>
      </c>
    </row>
    <row r="318" spans="1:8" ht="19.95" customHeight="1" x14ac:dyDescent="0.3">
      <c r="B318" s="99" t="s">
        <v>273</v>
      </c>
      <c r="C318" s="178" t="str">
        <f>IF(B315&gt;0.001,"BARRA A TRACCIÓN (+)",IF(B315&lt;-0.001,"BARRA A COMPRESIÓN (-)","BARRA DE FUERZA NULA"))</f>
        <v>BARRA A TRACCIÓN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50400</v>
      </c>
      <c r="C322" s="92">
        <f>-J12</f>
        <v>-0.8</v>
      </c>
      <c r="D322" s="92">
        <f>-K12</f>
        <v>0.6</v>
      </c>
      <c r="E322" s="92">
        <f>J12</f>
        <v>0.8</v>
      </c>
      <c r="F322" s="92">
        <f>K12</f>
        <v>-0.6</v>
      </c>
      <c r="G322" s="96">
        <f>IFERROR(VLOOKUP(H322, A$258:D$267, 4, FALSE), 0)</f>
        <v>4.8859126984127269E-2</v>
      </c>
      <c r="H322" s="12" t="str">
        <f>"D" &amp; C22 &amp; "X"</f>
        <v>D5X</v>
      </c>
    </row>
    <row r="323" spans="1:8" ht="19.95" customHeight="1" x14ac:dyDescent="0.3">
      <c r="A323" s="99" t="s">
        <v>291</v>
      </c>
      <c r="B323" s="97">
        <f>(MMULT(C322:F322, G322:G325)*A322)</f>
        <v>-14895.83333333333</v>
      </c>
      <c r="G323" s="96">
        <f>IFERROR(VLOOKUP(H323, A$258:D$267, 4, FALSE), 0)</f>
        <v>-0.73255621693121675</v>
      </c>
      <c r="H323" s="12" t="str">
        <f>"D" &amp; D22 &amp; "Y"</f>
        <v>D5Y</v>
      </c>
    </row>
    <row r="324" spans="1:8" ht="19.95" customHeight="1" x14ac:dyDescent="0.3">
      <c r="G324" s="96">
        <f>IFERROR(VLOOKUP(H324, A$258:D$267, 4, FALSE), 0)</f>
        <v>0.22883597883597906</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78" t="str">
        <f>IF(B323&gt;0.001,"BARRA A TRACCIÓN (+)",IF(B323&lt;-0.001,"BARRA A COMPRESIÓN (-)","BARRA DE FUERZA NULA"))</f>
        <v>BARRA A COMPRESIÓN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2500.00000000001</v>
      </c>
      <c r="H331" s="84" t="str">
        <f>C278</f>
        <v>BARRA A TRACCIÓN (+)</v>
      </c>
    </row>
    <row r="332" spans="1:8" ht="19.95" customHeight="1" x14ac:dyDescent="0.3">
      <c r="B332" s="25">
        <v>2</v>
      </c>
      <c r="C332" s="86">
        <f t="shared" si="41"/>
        <v>2</v>
      </c>
      <c r="D332" s="86">
        <f t="shared" si="42"/>
        <v>3</v>
      </c>
      <c r="E332" s="9">
        <f t="shared" si="43"/>
        <v>400</v>
      </c>
      <c r="F332" s="9">
        <f t="shared" si="44"/>
        <v>12</v>
      </c>
      <c r="G332" s="97">
        <f>B283</f>
        <v>11916.66666666667</v>
      </c>
      <c r="H332" s="84" t="str">
        <f>C286</f>
        <v>BARRA A TRACCIÓN (+)</v>
      </c>
    </row>
    <row r="333" spans="1:8" ht="19.95" customHeight="1" x14ac:dyDescent="0.3">
      <c r="B333" s="26">
        <v>3</v>
      </c>
      <c r="C333" s="86">
        <f t="shared" si="41"/>
        <v>1</v>
      </c>
      <c r="D333" s="86">
        <f t="shared" si="42"/>
        <v>4</v>
      </c>
      <c r="E333" s="9">
        <f t="shared" si="43"/>
        <v>300</v>
      </c>
      <c r="F333" s="9">
        <f t="shared" si="44"/>
        <v>12</v>
      </c>
      <c r="G333" s="97">
        <f>B291</f>
        <v>-7062.4999999999955</v>
      </c>
      <c r="H333" s="84" t="str">
        <f>C294</f>
        <v>BARRA A COMPRESIÓN (-)</v>
      </c>
    </row>
    <row r="334" spans="1:8" ht="19.95" customHeight="1" x14ac:dyDescent="0.3">
      <c r="B334" s="43">
        <v>4</v>
      </c>
      <c r="C334" s="86">
        <f t="shared" si="41"/>
        <v>4</v>
      </c>
      <c r="D334" s="86">
        <f t="shared" si="42"/>
        <v>5</v>
      </c>
      <c r="E334" s="9">
        <f t="shared" si="43"/>
        <v>400</v>
      </c>
      <c r="F334" s="9">
        <f t="shared" si="44"/>
        <v>12</v>
      </c>
      <c r="G334" s="97">
        <f>B299</f>
        <v>-11916.666666666664</v>
      </c>
      <c r="H334" s="84" t="str">
        <f>C302</f>
        <v>BARRA A COMPRESIÓN (-)</v>
      </c>
    </row>
    <row r="335" spans="1:8" ht="19.95" customHeight="1" x14ac:dyDescent="0.3">
      <c r="B335" s="44">
        <v>5</v>
      </c>
      <c r="C335" s="86">
        <f t="shared" si="41"/>
        <v>2</v>
      </c>
      <c r="D335" s="86">
        <f t="shared" si="42"/>
        <v>5</v>
      </c>
      <c r="E335" s="9">
        <f t="shared" si="43"/>
        <v>300</v>
      </c>
      <c r="F335" s="9">
        <f t="shared" si="44"/>
        <v>12</v>
      </c>
      <c r="G335" s="97">
        <f>B307</f>
        <v>437.50000000000313</v>
      </c>
      <c r="H335" s="84" t="str">
        <f>C310</f>
        <v>BARRA A TRACCIÓN (+)</v>
      </c>
    </row>
    <row r="336" spans="1:8" ht="19.95" customHeight="1" x14ac:dyDescent="0.3">
      <c r="B336" s="51">
        <v>6</v>
      </c>
      <c r="C336" s="86">
        <f t="shared" si="41"/>
        <v>4</v>
      </c>
      <c r="D336" s="86">
        <f t="shared" si="42"/>
        <v>2</v>
      </c>
      <c r="E336" s="9">
        <f t="shared" si="43"/>
        <v>500</v>
      </c>
      <c r="F336" s="9">
        <f t="shared" si="44"/>
        <v>12</v>
      </c>
      <c r="G336" s="97">
        <f>B315</f>
        <v>11770.833333333327</v>
      </c>
      <c r="H336" s="84" t="str">
        <f>C318</f>
        <v>BARRA A TRACCIÓN (+)</v>
      </c>
    </row>
    <row r="337" spans="2:8" ht="19.95" customHeight="1" x14ac:dyDescent="0.3">
      <c r="B337" s="52">
        <v>7</v>
      </c>
      <c r="C337" s="86">
        <f t="shared" si="41"/>
        <v>5</v>
      </c>
      <c r="D337" s="86">
        <f t="shared" si="42"/>
        <v>3</v>
      </c>
      <c r="E337" s="9">
        <f t="shared" si="43"/>
        <v>500</v>
      </c>
      <c r="F337" s="9">
        <f t="shared" si="44"/>
        <v>12</v>
      </c>
      <c r="G337" s="97">
        <f>B323</f>
        <v>-14895.83333333333</v>
      </c>
      <c r="H337" s="84" t="str">
        <f>C326</f>
        <v>BARRA A COMPRESIÓN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489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HYPERLINK("#'AUTOMATIZADA_19'!A1",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500</v>
      </c>
      <c r="AB14" s="20">
        <f>IF(F31="","",F31)</f>
        <v>400</v>
      </c>
      <c r="AC14" t="s">
        <v>328</v>
      </c>
    </row>
    <row r="15" spans="2:29" ht="19.05" customHeight="1" x14ac:dyDescent="0.3">
      <c r="B15" s="89">
        <v>2</v>
      </c>
      <c r="C15" s="21">
        <v>500</v>
      </c>
      <c r="D15" s="21">
        <v>0</v>
      </c>
      <c r="E15" s="21" t="s">
        <v>326</v>
      </c>
      <c r="F15" s="88">
        <f t="shared" si="0"/>
        <v>0</v>
      </c>
      <c r="G15" s="88">
        <f t="shared" si="1"/>
        <v>0</v>
      </c>
      <c r="H15" s="22">
        <v>0</v>
      </c>
      <c r="I15" s="22">
        <v>-4500</v>
      </c>
      <c r="J15" s="205" t="s">
        <v>490</v>
      </c>
      <c r="K15" s="172"/>
      <c r="L15" s="172"/>
      <c r="M15" s="172"/>
      <c r="N15" s="172"/>
      <c r="O15" s="173"/>
      <c r="AA15" s="20">
        <f>IF(G31="","",G31)</f>
        <v>750</v>
      </c>
      <c r="AB15" s="20">
        <f>IF(H31="","",H31)</f>
        <v>200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500</v>
      </c>
      <c r="D17" s="21">
        <v>400</v>
      </c>
      <c r="E17" s="21" t="s">
        <v>326</v>
      </c>
      <c r="F17" s="88">
        <f t="shared" si="0"/>
        <v>0</v>
      </c>
      <c r="G17" s="88">
        <f t="shared" si="1"/>
        <v>0</v>
      </c>
      <c r="H17" s="22">
        <v>0</v>
      </c>
      <c r="I17" s="22">
        <v>-9000</v>
      </c>
      <c r="J17" s="205" t="s">
        <v>436</v>
      </c>
      <c r="K17" s="172"/>
      <c r="L17" s="172"/>
      <c r="M17" s="172"/>
      <c r="N17" s="172"/>
      <c r="O17" s="173"/>
      <c r="AA17" s="20">
        <f>IF(E32="","",E32)</f>
        <v>750</v>
      </c>
      <c r="AB17" s="20">
        <f>IF(F32="","",F32)</f>
        <v>200</v>
      </c>
      <c r="AC17" t="s">
        <v>334</v>
      </c>
    </row>
    <row r="18" spans="2:29" ht="19.05" customHeight="1" x14ac:dyDescent="0.3">
      <c r="B18" s="89">
        <v>5</v>
      </c>
      <c r="C18" s="21">
        <v>750</v>
      </c>
      <c r="D18" s="21">
        <v>200</v>
      </c>
      <c r="E18" s="21" t="s">
        <v>326</v>
      </c>
      <c r="F18" s="88">
        <f t="shared" si="0"/>
        <v>0</v>
      </c>
      <c r="G18" s="88">
        <f t="shared" si="1"/>
        <v>0</v>
      </c>
      <c r="H18" s="22">
        <v>-1500</v>
      </c>
      <c r="I18" s="22">
        <v>-4000</v>
      </c>
      <c r="J18" s="205" t="s">
        <v>491</v>
      </c>
      <c r="K18" s="172"/>
      <c r="L18" s="172"/>
      <c r="M18" s="172"/>
      <c r="N18" s="172"/>
      <c r="O18" s="173"/>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500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500</v>
      </c>
      <c r="AB21" s="20">
        <f>IF(H33="","",H33)</f>
        <v>400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500</v>
      </c>
      <c r="AB23" s="20">
        <f>IF(F34="","",F34)</f>
        <v>0</v>
      </c>
      <c r="AC23" t="s">
        <v>338</v>
      </c>
    </row>
    <row r="24" spans="2:29" x14ac:dyDescent="0.3">
      <c r="AA24" s="20">
        <f>IF(G34="","",G34)</f>
        <v>750</v>
      </c>
      <c r="AB24" s="20">
        <f>IF(H34="","",H34)</f>
        <v>200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5</v>
      </c>
      <c r="E31" s="5">
        <f t="shared" si="2"/>
        <v>500</v>
      </c>
      <c r="F31" s="5">
        <f t="shared" si="3"/>
        <v>400</v>
      </c>
      <c r="G31" s="5">
        <f t="shared" si="4"/>
        <v>750</v>
      </c>
      <c r="H31" s="5">
        <f t="shared" si="5"/>
        <v>200</v>
      </c>
      <c r="I31" s="9">
        <f t="shared" si="6"/>
        <v>250</v>
      </c>
      <c r="J31" s="9">
        <f t="shared" si="7"/>
        <v>-200</v>
      </c>
      <c r="K31" s="9">
        <f t="shared" si="8"/>
        <v>320.15621187164243</v>
      </c>
      <c r="L31" s="92">
        <f t="shared" si="9"/>
        <v>0.78086880944303039</v>
      </c>
      <c r="M31" s="92">
        <f t="shared" si="10"/>
        <v>-0.62469504755442429</v>
      </c>
      <c r="N31" s="22">
        <v>12</v>
      </c>
      <c r="O31" s="24">
        <v>2100000</v>
      </c>
    </row>
    <row r="32" spans="2:29" ht="19.05" customHeight="1" x14ac:dyDescent="0.3">
      <c r="B32" s="89">
        <v>5</v>
      </c>
      <c r="C32" s="23">
        <v>5</v>
      </c>
      <c r="D32" s="23">
        <v>3</v>
      </c>
      <c r="E32" s="5">
        <f t="shared" si="2"/>
        <v>750</v>
      </c>
      <c r="F32" s="5">
        <f t="shared" si="3"/>
        <v>200</v>
      </c>
      <c r="G32" s="5">
        <f t="shared" si="4"/>
        <v>1000</v>
      </c>
      <c r="H32" s="5">
        <f t="shared" si="5"/>
        <v>0</v>
      </c>
      <c r="I32" s="9">
        <f t="shared" si="6"/>
        <v>250</v>
      </c>
      <c r="J32" s="9">
        <f t="shared" si="7"/>
        <v>-200</v>
      </c>
      <c r="K32" s="9">
        <f t="shared" si="8"/>
        <v>320.15621187164243</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0</v>
      </c>
      <c r="G33" s="5">
        <f t="shared" si="4"/>
        <v>500</v>
      </c>
      <c r="H33" s="5">
        <f t="shared" si="5"/>
        <v>400</v>
      </c>
      <c r="I33" s="9">
        <f t="shared" si="6"/>
        <v>0</v>
      </c>
      <c r="J33" s="9">
        <f t="shared" si="7"/>
        <v>400</v>
      </c>
      <c r="K33" s="9">
        <f t="shared" si="8"/>
        <v>400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750</v>
      </c>
      <c r="H34" s="5">
        <f t="shared" si="5"/>
        <v>200</v>
      </c>
      <c r="I34" s="9">
        <f t="shared" si="6"/>
        <v>250</v>
      </c>
      <c r="J34" s="9">
        <f t="shared" si="7"/>
        <v>200</v>
      </c>
      <c r="K34" s="9">
        <f t="shared" si="8"/>
        <v>320.15621187164243</v>
      </c>
      <c r="L34" s="92">
        <f t="shared" si="9"/>
        <v>0.78086880944303039</v>
      </c>
      <c r="M34" s="92">
        <f t="shared" si="10"/>
        <v>0.62469504755442429</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700-000000000000}">
      <formula1>"Fijo (articulado),Rodillo Y (despl. X libre),Rodillo X (despl. Y libre),Libre (0 reac.)"</formula1>
    </dataValidation>
  </dataValidations>
  <pageMargins left="0.75" right="0.75" top="1" bottom="1" header="0.5" footer="0.5"/>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492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HYPERLINK("#'GRAFICA_19'!A1",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GRAFICA_19!E28</f>
        <v>0</v>
      </c>
      <c r="D6" s="22">
        <f>GRAFICA_19!F28</f>
        <v>0</v>
      </c>
      <c r="E6" s="22">
        <f>GRAFICA_19!G28</f>
        <v>500</v>
      </c>
      <c r="F6" s="22">
        <f>GRAFICA_19!H28</f>
        <v>0</v>
      </c>
      <c r="G6" s="9">
        <f t="shared" ref="G6:H12" si="0">E6-C6</f>
        <v>500</v>
      </c>
      <c r="H6" s="9">
        <f t="shared" si="0"/>
        <v>0</v>
      </c>
      <c r="I6" s="9">
        <f t="shared" ref="I6:I12" si="1">SQRT(G6*G6+H6*H6)</f>
        <v>500</v>
      </c>
      <c r="J6" s="92">
        <f t="shared" ref="J6:J12" si="2">G6/I6</f>
        <v>1</v>
      </c>
      <c r="K6" s="92">
        <f t="shared" ref="K6:K12" si="3">H6/I6</f>
        <v>0</v>
      </c>
      <c r="L6" s="22">
        <f>GRAFICA_19!N28</f>
        <v>12</v>
      </c>
      <c r="M6" s="22">
        <f>GRAFICA_19!O28</f>
        <v>2100000</v>
      </c>
      <c r="N6" s="6">
        <f t="shared" ref="N6:N12" si="4">L6*M6/I6</f>
        <v>50400</v>
      </c>
    </row>
    <row r="7" spans="2:14" ht="19.05" customHeight="1" x14ac:dyDescent="0.3">
      <c r="B7" s="25">
        <v>2</v>
      </c>
      <c r="C7" s="22">
        <f>GRAFICA_19!E29</f>
        <v>500</v>
      </c>
      <c r="D7" s="22">
        <f>GRAFICA_19!F29</f>
        <v>0</v>
      </c>
      <c r="E7" s="22">
        <f>GRAFICA_19!G29</f>
        <v>1000</v>
      </c>
      <c r="F7" s="22">
        <f>GRAFICA_19!H29</f>
        <v>0</v>
      </c>
      <c r="G7" s="9">
        <f t="shared" si="0"/>
        <v>500</v>
      </c>
      <c r="H7" s="9">
        <f t="shared" si="0"/>
        <v>0</v>
      </c>
      <c r="I7" s="9">
        <f t="shared" si="1"/>
        <v>500</v>
      </c>
      <c r="J7" s="92">
        <f t="shared" si="2"/>
        <v>1</v>
      </c>
      <c r="K7" s="92">
        <f t="shared" si="3"/>
        <v>0</v>
      </c>
      <c r="L7" s="22">
        <f>GRAFICA_19!N29</f>
        <v>12</v>
      </c>
      <c r="M7" s="22">
        <f>GRAFICA_19!O29</f>
        <v>2100000</v>
      </c>
      <c r="N7" s="6">
        <f t="shared" si="4"/>
        <v>50400</v>
      </c>
    </row>
    <row r="8" spans="2:14" ht="19.05" customHeight="1" x14ac:dyDescent="0.3">
      <c r="B8" s="26">
        <v>3</v>
      </c>
      <c r="C8" s="22">
        <f>GRAFICA_19!E30</f>
        <v>0</v>
      </c>
      <c r="D8" s="22">
        <f>GRAFICA_19!F30</f>
        <v>0</v>
      </c>
      <c r="E8" s="22">
        <f>GRAFICA_19!G30</f>
        <v>500</v>
      </c>
      <c r="F8" s="22">
        <f>GRAFICA_19!H30</f>
        <v>400</v>
      </c>
      <c r="G8" s="9">
        <f t="shared" si="0"/>
        <v>500</v>
      </c>
      <c r="H8" s="9">
        <f t="shared" si="0"/>
        <v>400</v>
      </c>
      <c r="I8" s="9">
        <f t="shared" si="1"/>
        <v>640.31242374328485</v>
      </c>
      <c r="J8" s="92">
        <f t="shared" si="2"/>
        <v>0.78086880944303039</v>
      </c>
      <c r="K8" s="92">
        <f t="shared" si="3"/>
        <v>0.62469504755442429</v>
      </c>
      <c r="L8" s="22">
        <f>GRAFICA_19!N30</f>
        <v>12</v>
      </c>
      <c r="M8" s="22">
        <f>GRAFICA_19!O30</f>
        <v>2100000</v>
      </c>
      <c r="N8" s="6">
        <f t="shared" si="4"/>
        <v>39355.787995928731</v>
      </c>
    </row>
    <row r="9" spans="2:14" ht="19.05" customHeight="1" x14ac:dyDescent="0.3">
      <c r="B9" s="43">
        <v>4</v>
      </c>
      <c r="C9" s="22">
        <f>GRAFICA_19!E31</f>
        <v>500</v>
      </c>
      <c r="D9" s="22">
        <f>GRAFICA_19!F31</f>
        <v>400</v>
      </c>
      <c r="E9" s="22">
        <f>GRAFICA_19!G31</f>
        <v>750</v>
      </c>
      <c r="F9" s="22">
        <f>GRAFICA_19!H31</f>
        <v>200</v>
      </c>
      <c r="G9" s="9">
        <f t="shared" si="0"/>
        <v>250</v>
      </c>
      <c r="H9" s="9">
        <f t="shared" si="0"/>
        <v>-200</v>
      </c>
      <c r="I9" s="9">
        <f t="shared" si="1"/>
        <v>320.15621187164243</v>
      </c>
      <c r="J9" s="92">
        <f t="shared" si="2"/>
        <v>0.78086880944303039</v>
      </c>
      <c r="K9" s="92">
        <f t="shared" si="3"/>
        <v>-0.62469504755442429</v>
      </c>
      <c r="L9" s="22">
        <f>GRAFICA_19!N31</f>
        <v>12</v>
      </c>
      <c r="M9" s="22">
        <f>GRAFICA_19!O31</f>
        <v>2100000</v>
      </c>
      <c r="N9" s="6">
        <f t="shared" si="4"/>
        <v>78711.575991857462</v>
      </c>
    </row>
    <row r="10" spans="2:14" ht="19.05" customHeight="1" x14ac:dyDescent="0.3">
      <c r="B10" s="44">
        <v>5</v>
      </c>
      <c r="C10" s="22">
        <f>GRAFICA_19!E32</f>
        <v>750</v>
      </c>
      <c r="D10" s="22">
        <f>GRAFICA_19!F32</f>
        <v>200</v>
      </c>
      <c r="E10" s="22">
        <f>GRAFICA_19!G32</f>
        <v>1000</v>
      </c>
      <c r="F10" s="22">
        <f>GRAFICA_19!H32</f>
        <v>0</v>
      </c>
      <c r="G10" s="9">
        <f t="shared" si="0"/>
        <v>250</v>
      </c>
      <c r="H10" s="9">
        <f t="shared" si="0"/>
        <v>-200</v>
      </c>
      <c r="I10" s="9">
        <f t="shared" si="1"/>
        <v>320.15621187164243</v>
      </c>
      <c r="J10" s="92">
        <f t="shared" si="2"/>
        <v>0.78086880944303039</v>
      </c>
      <c r="K10" s="92">
        <f t="shared" si="3"/>
        <v>-0.62469504755442429</v>
      </c>
      <c r="L10" s="22">
        <f>GRAFICA_19!N32</f>
        <v>12</v>
      </c>
      <c r="M10" s="22">
        <f>GRAFICA_19!O32</f>
        <v>2100000</v>
      </c>
      <c r="N10" s="6">
        <f t="shared" si="4"/>
        <v>78711.575991857462</v>
      </c>
    </row>
    <row r="11" spans="2:14" ht="19.05" customHeight="1" x14ac:dyDescent="0.3">
      <c r="B11" s="51">
        <v>6</v>
      </c>
      <c r="C11" s="22">
        <f>GRAFICA_19!E33</f>
        <v>500</v>
      </c>
      <c r="D11" s="22">
        <f>GRAFICA_19!F33</f>
        <v>0</v>
      </c>
      <c r="E11" s="22">
        <f>GRAFICA_19!G33</f>
        <v>500</v>
      </c>
      <c r="F11" s="22">
        <f>GRAFICA_19!H33</f>
        <v>400</v>
      </c>
      <c r="G11" s="9">
        <f t="shared" si="0"/>
        <v>0</v>
      </c>
      <c r="H11" s="9">
        <f t="shared" si="0"/>
        <v>400</v>
      </c>
      <c r="I11" s="9">
        <f t="shared" si="1"/>
        <v>400</v>
      </c>
      <c r="J11" s="92">
        <f t="shared" si="2"/>
        <v>0</v>
      </c>
      <c r="K11" s="92">
        <f t="shared" si="3"/>
        <v>1</v>
      </c>
      <c r="L11" s="22">
        <f>GRAFICA_19!N33</f>
        <v>12</v>
      </c>
      <c r="M11" s="22">
        <f>GRAFICA_19!O33</f>
        <v>2100000</v>
      </c>
      <c r="N11" s="6">
        <f t="shared" si="4"/>
        <v>63000</v>
      </c>
    </row>
    <row r="12" spans="2:14" ht="19.05" customHeight="1" x14ac:dyDescent="0.3">
      <c r="B12" s="52">
        <v>7</v>
      </c>
      <c r="C12" s="22">
        <f>GRAFICA_19!E34</f>
        <v>500</v>
      </c>
      <c r="D12" s="22">
        <f>GRAFICA_19!F34</f>
        <v>0</v>
      </c>
      <c r="E12" s="22">
        <f>GRAFICA_19!G34</f>
        <v>750</v>
      </c>
      <c r="F12" s="22">
        <f>GRAFICA_19!H34</f>
        <v>200</v>
      </c>
      <c r="G12" s="9">
        <f t="shared" si="0"/>
        <v>250</v>
      </c>
      <c r="H12" s="9">
        <f t="shared" si="0"/>
        <v>200</v>
      </c>
      <c r="I12" s="9">
        <f t="shared" si="1"/>
        <v>320.15621187164243</v>
      </c>
      <c r="J12" s="92">
        <f t="shared" si="2"/>
        <v>0.78086880944303039</v>
      </c>
      <c r="K12" s="92">
        <f t="shared" si="3"/>
        <v>0.62469504755442429</v>
      </c>
      <c r="L12" s="22">
        <f>GRAFICA_19!N34</f>
        <v>12</v>
      </c>
      <c r="M12" s="22">
        <f>GRAFICA_19!O34</f>
        <v>2100000</v>
      </c>
      <c r="N12" s="6">
        <f t="shared" si="4"/>
        <v>78711.575991857462</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GRAFICA_19!C28</f>
        <v>1</v>
      </c>
      <c r="D16" s="23">
        <f>GRAFICA_19!C28</f>
        <v>1</v>
      </c>
      <c r="E16" s="23">
        <f>GRAFICA_19!D28</f>
        <v>2</v>
      </c>
      <c r="F16" s="23">
        <f>GRAFICA_19!D28</f>
        <v>2</v>
      </c>
    </row>
    <row r="17" spans="1:12" ht="19.05" customHeight="1" x14ac:dyDescent="0.3">
      <c r="B17" s="25">
        <v>2</v>
      </c>
      <c r="C17" s="23">
        <f>GRAFICA_19!C29</f>
        <v>2</v>
      </c>
      <c r="D17" s="23">
        <f>GRAFICA_19!C29</f>
        <v>2</v>
      </c>
      <c r="E17" s="23">
        <f>GRAFICA_19!D29</f>
        <v>3</v>
      </c>
      <c r="F17" s="23">
        <f>GRAFICA_19!D29</f>
        <v>3</v>
      </c>
    </row>
    <row r="18" spans="1:12" ht="19.05" customHeight="1" x14ac:dyDescent="0.3">
      <c r="B18" s="26">
        <v>3</v>
      </c>
      <c r="C18" s="23">
        <f>GRAFICA_19!C30</f>
        <v>1</v>
      </c>
      <c r="D18" s="23">
        <f>GRAFICA_19!C30</f>
        <v>1</v>
      </c>
      <c r="E18" s="23">
        <f>GRAFICA_19!D30</f>
        <v>4</v>
      </c>
      <c r="F18" s="23">
        <f>GRAFICA_19!D30</f>
        <v>4</v>
      </c>
    </row>
    <row r="19" spans="1:12" ht="19.05" customHeight="1" x14ac:dyDescent="0.3">
      <c r="B19" s="43">
        <v>4</v>
      </c>
      <c r="C19" s="23">
        <f>GRAFICA_19!C31</f>
        <v>4</v>
      </c>
      <c r="D19" s="23">
        <f>GRAFICA_19!C31</f>
        <v>4</v>
      </c>
      <c r="E19" s="23">
        <f>GRAFICA_19!D31</f>
        <v>5</v>
      </c>
      <c r="F19" s="23">
        <f>GRAFICA_19!D31</f>
        <v>5</v>
      </c>
    </row>
    <row r="20" spans="1:12" ht="19.05" customHeight="1" x14ac:dyDescent="0.3">
      <c r="B20" s="44">
        <v>5</v>
      </c>
      <c r="C20" s="23">
        <f>GRAFICA_19!C32</f>
        <v>5</v>
      </c>
      <c r="D20" s="23">
        <f>GRAFICA_19!C32</f>
        <v>5</v>
      </c>
      <c r="E20" s="23">
        <f>GRAFICA_19!D32</f>
        <v>3</v>
      </c>
      <c r="F20" s="23">
        <f>GRAFICA_19!D32</f>
        <v>3</v>
      </c>
    </row>
    <row r="21" spans="1:12" ht="19.05" customHeight="1" x14ac:dyDescent="0.3">
      <c r="B21" s="51">
        <v>6</v>
      </c>
      <c r="C21" s="23">
        <f>GRAFICA_19!C33</f>
        <v>2</v>
      </c>
      <c r="D21" s="23">
        <f>GRAFICA_19!C33</f>
        <v>2</v>
      </c>
      <c r="E21" s="23">
        <f>GRAFICA_19!D33</f>
        <v>4</v>
      </c>
      <c r="F21" s="23">
        <f>GRAFICA_19!D33</f>
        <v>4</v>
      </c>
    </row>
    <row r="22" spans="1:12" ht="19.05" customHeight="1" x14ac:dyDescent="0.3">
      <c r="B22" s="52">
        <v>7</v>
      </c>
      <c r="C22" s="23">
        <f>GRAFICA_19!C34</f>
        <v>2</v>
      </c>
      <c r="D22" s="23">
        <f>GRAFICA_19!C34</f>
        <v>2</v>
      </c>
      <c r="E22" s="23">
        <f>GRAFICA_19!D34</f>
        <v>5</v>
      </c>
      <c r="F22" s="23">
        <f>GRAFICA_19!D34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50400</v>
      </c>
      <c r="C26" s="7">
        <f>J6*K6*N6</f>
        <v>0</v>
      </c>
      <c r="D26" s="7">
        <f>-B26</f>
        <v>-50400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-50400</v>
      </c>
      <c r="C28" s="7">
        <f>E26</f>
        <v>0</v>
      </c>
      <c r="D28" s="7">
        <f>B26</f>
        <v>50400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50400</v>
      </c>
      <c r="C32" s="8">
        <f t="shared" si="5"/>
        <v>0</v>
      </c>
      <c r="D32" s="8">
        <f t="shared" si="5"/>
        <v>-50400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50400</v>
      </c>
      <c r="C45" s="30">
        <f>J7*K7*N7</f>
        <v>0</v>
      </c>
      <c r="D45" s="30">
        <f>-B45</f>
        <v>-50400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-50400</v>
      </c>
      <c r="C47" s="30">
        <f>E45</f>
        <v>0</v>
      </c>
      <c r="D47" s="30">
        <f>B45</f>
        <v>50400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50400</v>
      </c>
      <c r="E53" s="31">
        <f t="shared" si="6"/>
        <v>0</v>
      </c>
      <c r="F53" s="31">
        <f t="shared" si="6"/>
        <v>-50400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23997.431704834595</v>
      </c>
      <c r="C64" s="33">
        <f>J8*K8*N8</f>
        <v>19197.945363867675</v>
      </c>
      <c r="D64" s="33">
        <f>-B64</f>
        <v>-23997.431704834595</v>
      </c>
      <c r="E64" s="33">
        <f>-C64</f>
        <v>-19197.945363867675</v>
      </c>
      <c r="F64" s="32" t="str">
        <f>B63</f>
        <v>U1X</v>
      </c>
    </row>
    <row r="65" spans="1:12" ht="16.8" customHeight="1" x14ac:dyDescent="0.3">
      <c r="A65" s="28" t="s">
        <v>193</v>
      </c>
      <c r="B65" s="33">
        <f>C64</f>
        <v>19197.945363867675</v>
      </c>
      <c r="C65" s="33">
        <f>K8*K8*N8</f>
        <v>15358.35629109414</v>
      </c>
      <c r="D65" s="33">
        <f>-B65</f>
        <v>-19197.945363867675</v>
      </c>
      <c r="E65" s="33">
        <f>-C65</f>
        <v>-15358.35629109414</v>
      </c>
      <c r="F65" s="32" t="str">
        <f>C63</f>
        <v>U1Y</v>
      </c>
    </row>
    <row r="66" spans="1:12" x14ac:dyDescent="0.3">
      <c r="B66" s="33">
        <f>D64</f>
        <v>-23997.431704834595</v>
      </c>
      <c r="C66" s="33">
        <f>E64</f>
        <v>-19197.945363867675</v>
      </c>
      <c r="D66" s="33">
        <f>B64</f>
        <v>23997.431704834595</v>
      </c>
      <c r="E66" s="33">
        <f>C64</f>
        <v>19197.945363867675</v>
      </c>
      <c r="F66" s="32" t="str">
        <f>D63</f>
        <v>U4X</v>
      </c>
    </row>
    <row r="67" spans="1:12" x14ac:dyDescent="0.3">
      <c r="B67" s="33">
        <f>D65</f>
        <v>-19197.945363867675</v>
      </c>
      <c r="C67" s="33">
        <f>E65</f>
        <v>-15358.35629109414</v>
      </c>
      <c r="D67" s="33">
        <f>B65</f>
        <v>19197.945363867675</v>
      </c>
      <c r="E67" s="33">
        <f>C65</f>
        <v>15358.35629109414</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23997.431704834595</v>
      </c>
      <c r="C70" s="34">
        <f t="shared" si="7"/>
        <v>19197.945363867675</v>
      </c>
      <c r="D70" s="9">
        <f t="shared" si="7"/>
        <v>0</v>
      </c>
      <c r="E70" s="9">
        <f t="shared" si="7"/>
        <v>0</v>
      </c>
      <c r="F70" s="9">
        <f t="shared" si="7"/>
        <v>0</v>
      </c>
      <c r="G70" s="9">
        <f t="shared" si="7"/>
        <v>0</v>
      </c>
      <c r="H70" s="34">
        <f t="shared" si="7"/>
        <v>-23997.431704834595</v>
      </c>
      <c r="I70" s="34">
        <f t="shared" si="7"/>
        <v>-19197.945363867675</v>
      </c>
      <c r="J70" s="9">
        <f t="shared" si="7"/>
        <v>0</v>
      </c>
      <c r="K70" s="9">
        <f t="shared" si="7"/>
        <v>0</v>
      </c>
      <c r="L70" s="32" t="s">
        <v>178</v>
      </c>
    </row>
    <row r="71" spans="1:12" ht="19.05" customHeight="1" x14ac:dyDescent="0.3">
      <c r="B71" s="34">
        <f t="shared" si="7"/>
        <v>19197.945363867675</v>
      </c>
      <c r="C71" s="34">
        <f t="shared" si="7"/>
        <v>15358.35629109414</v>
      </c>
      <c r="D71" s="9">
        <f t="shared" si="7"/>
        <v>0</v>
      </c>
      <c r="E71" s="9">
        <f t="shared" si="7"/>
        <v>0</v>
      </c>
      <c r="F71" s="9">
        <f t="shared" si="7"/>
        <v>0</v>
      </c>
      <c r="G71" s="9">
        <f t="shared" si="7"/>
        <v>0</v>
      </c>
      <c r="H71" s="34">
        <f t="shared" si="7"/>
        <v>-19197.945363867675</v>
      </c>
      <c r="I71" s="34">
        <f t="shared" si="7"/>
        <v>-15358.35629109414</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-23997.431704834595</v>
      </c>
      <c r="C76" s="34">
        <f t="shared" si="7"/>
        <v>-19197.945363867675</v>
      </c>
      <c r="D76" s="9">
        <f t="shared" si="7"/>
        <v>0</v>
      </c>
      <c r="E76" s="9">
        <f t="shared" si="7"/>
        <v>0</v>
      </c>
      <c r="F76" s="9">
        <f t="shared" si="7"/>
        <v>0</v>
      </c>
      <c r="G76" s="9">
        <f t="shared" si="7"/>
        <v>0</v>
      </c>
      <c r="H76" s="34">
        <f t="shared" si="7"/>
        <v>23997.431704834595</v>
      </c>
      <c r="I76" s="34">
        <f t="shared" si="7"/>
        <v>19197.945363867675</v>
      </c>
      <c r="J76" s="9">
        <f t="shared" si="7"/>
        <v>0</v>
      </c>
      <c r="K76" s="9">
        <f t="shared" si="7"/>
        <v>0</v>
      </c>
      <c r="L76" s="32" t="s">
        <v>184</v>
      </c>
    </row>
    <row r="77" spans="1:12" ht="19.05" customHeight="1" x14ac:dyDescent="0.3">
      <c r="B77" s="34">
        <f t="shared" si="7"/>
        <v>-19197.945363867675</v>
      </c>
      <c r="C77" s="34">
        <f t="shared" si="7"/>
        <v>-15358.35629109414</v>
      </c>
      <c r="D77" s="9">
        <f t="shared" si="7"/>
        <v>0</v>
      </c>
      <c r="E77" s="9">
        <f t="shared" si="7"/>
        <v>0</v>
      </c>
      <c r="F77" s="9">
        <f t="shared" si="7"/>
        <v>0</v>
      </c>
      <c r="G77" s="9">
        <f t="shared" si="7"/>
        <v>0</v>
      </c>
      <c r="H77" s="34">
        <f t="shared" si="7"/>
        <v>19197.945363867675</v>
      </c>
      <c r="I77" s="34">
        <f t="shared" si="7"/>
        <v>15358.35629109414</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47994.863409669189</v>
      </c>
      <c r="C83" s="46">
        <f>J9*K9*N9</f>
        <v>-38395.89072773535</v>
      </c>
      <c r="D83" s="46">
        <f>-B83</f>
        <v>-47994.863409669189</v>
      </c>
      <c r="E83" s="46">
        <f>-C83</f>
        <v>38395.89072773535</v>
      </c>
      <c r="F83" s="45" t="str">
        <f>B82</f>
        <v>U4X</v>
      </c>
    </row>
    <row r="84" spans="1:12" ht="16.8" customHeight="1" x14ac:dyDescent="0.3">
      <c r="A84" s="28" t="s">
        <v>195</v>
      </c>
      <c r="B84" s="46">
        <f>C83</f>
        <v>-38395.89072773535</v>
      </c>
      <c r="C84" s="46">
        <f>K9*K9*N9</f>
        <v>30716.71258218828</v>
      </c>
      <c r="D84" s="46">
        <f>-B84</f>
        <v>38395.89072773535</v>
      </c>
      <c r="E84" s="46">
        <f>-C84</f>
        <v>-30716.71258218828</v>
      </c>
      <c r="F84" s="45" t="str">
        <f>C82</f>
        <v>U4Y</v>
      </c>
    </row>
    <row r="85" spans="1:12" x14ac:dyDescent="0.3">
      <c r="B85" s="46">
        <f>D83</f>
        <v>-47994.863409669189</v>
      </c>
      <c r="C85" s="46">
        <f>E83</f>
        <v>38395.89072773535</v>
      </c>
      <c r="D85" s="46">
        <f>B83</f>
        <v>47994.863409669189</v>
      </c>
      <c r="E85" s="46">
        <f>C83</f>
        <v>-38395.89072773535</v>
      </c>
      <c r="F85" s="45" t="str">
        <f>D82</f>
        <v>U5X</v>
      </c>
    </row>
    <row r="86" spans="1:12" x14ac:dyDescent="0.3">
      <c r="B86" s="46">
        <f>D84</f>
        <v>38395.89072773535</v>
      </c>
      <c r="C86" s="46">
        <f>E84</f>
        <v>-30716.71258218828</v>
      </c>
      <c r="D86" s="46">
        <f>B84</f>
        <v>-38395.89072773535</v>
      </c>
      <c r="E86" s="46">
        <f>C84</f>
        <v>30716.71258218828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47994.863409669189</v>
      </c>
      <c r="I95" s="47">
        <f t="shared" si="8"/>
        <v>-38395.89072773535</v>
      </c>
      <c r="J95" s="47">
        <f t="shared" si="8"/>
        <v>-47994.863409669189</v>
      </c>
      <c r="K95" s="47">
        <f t="shared" si="8"/>
        <v>38395.89072773535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-38395.89072773535</v>
      </c>
      <c r="I96" s="47">
        <f t="shared" si="8"/>
        <v>30716.71258218828</v>
      </c>
      <c r="J96" s="47">
        <f t="shared" si="8"/>
        <v>38395.89072773535</v>
      </c>
      <c r="K96" s="47">
        <f t="shared" si="8"/>
        <v>-30716.71258218828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-47994.863409669189</v>
      </c>
      <c r="I97" s="47">
        <f t="shared" si="8"/>
        <v>38395.89072773535</v>
      </c>
      <c r="J97" s="47">
        <f t="shared" si="8"/>
        <v>47994.863409669189</v>
      </c>
      <c r="K97" s="47">
        <f t="shared" si="8"/>
        <v>-38395.89072773535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38395.89072773535</v>
      </c>
      <c r="I98" s="47">
        <f t="shared" si="8"/>
        <v>-30716.71258218828</v>
      </c>
      <c r="J98" s="47">
        <f t="shared" si="8"/>
        <v>-38395.89072773535</v>
      </c>
      <c r="K98" s="47">
        <f t="shared" si="8"/>
        <v>30716.71258218828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47994.863409669189</v>
      </c>
      <c r="C102" s="49">
        <f>J10*K10*N10</f>
        <v>-38395.89072773535</v>
      </c>
      <c r="D102" s="49">
        <f>-B102</f>
        <v>-47994.863409669189</v>
      </c>
      <c r="E102" s="49">
        <f>-C102</f>
        <v>38395.89072773535</v>
      </c>
      <c r="F102" s="48" t="str">
        <f>B101</f>
        <v>U5X</v>
      </c>
    </row>
    <row r="103" spans="1:12" ht="16.8" customHeight="1" x14ac:dyDescent="0.3">
      <c r="A103" s="28" t="s">
        <v>197</v>
      </c>
      <c r="B103" s="49">
        <f>C102</f>
        <v>-38395.89072773535</v>
      </c>
      <c r="C103" s="49">
        <f>K10*K10*N10</f>
        <v>30716.71258218828</v>
      </c>
      <c r="D103" s="49">
        <f>-B103</f>
        <v>38395.89072773535</v>
      </c>
      <c r="E103" s="49">
        <f>-C103</f>
        <v>-30716.71258218828</v>
      </c>
      <c r="F103" s="48" t="str">
        <f>C101</f>
        <v>U5Y</v>
      </c>
    </row>
    <row r="104" spans="1:12" x14ac:dyDescent="0.3">
      <c r="B104" s="49">
        <f>D102</f>
        <v>-47994.863409669189</v>
      </c>
      <c r="C104" s="49">
        <f>E102</f>
        <v>38395.89072773535</v>
      </c>
      <c r="D104" s="49">
        <f>B102</f>
        <v>47994.863409669189</v>
      </c>
      <c r="E104" s="49">
        <f>C102</f>
        <v>-38395.89072773535</v>
      </c>
      <c r="F104" s="48" t="str">
        <f>D101</f>
        <v>U3X</v>
      </c>
    </row>
    <row r="105" spans="1:12" x14ac:dyDescent="0.3">
      <c r="B105" s="49">
        <f>D103</f>
        <v>38395.89072773535</v>
      </c>
      <c r="C105" s="49">
        <f>E103</f>
        <v>-30716.71258218828</v>
      </c>
      <c r="D105" s="49">
        <f>B103</f>
        <v>-38395.89072773535</v>
      </c>
      <c r="E105" s="49">
        <f>C103</f>
        <v>30716.71258218828</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47994.863409669189</v>
      </c>
      <c r="G112" s="50">
        <f t="shared" si="9"/>
        <v>-38395.89072773535</v>
      </c>
      <c r="H112" s="9">
        <f t="shared" si="9"/>
        <v>0</v>
      </c>
      <c r="I112" s="9">
        <f t="shared" si="9"/>
        <v>0</v>
      </c>
      <c r="J112" s="50">
        <f t="shared" si="9"/>
        <v>-47994.863409669189</v>
      </c>
      <c r="K112" s="50">
        <f t="shared" si="9"/>
        <v>38395.89072773535</v>
      </c>
      <c r="L112" s="48" t="s">
        <v>182</v>
      </c>
    </row>
    <row r="113" spans="1:12" ht="19.05" customHeight="1" x14ac:dyDescent="0.3">
      <c r="B113" s="9">
        <f t="shared" si="9"/>
        <v>0</v>
      </c>
      <c r="C113" s="9">
        <f t="shared" si="9"/>
        <v>0</v>
      </c>
      <c r="D113" s="9">
        <f t="shared" si="9"/>
        <v>0</v>
      </c>
      <c r="E113" s="9">
        <f t="shared" si="9"/>
        <v>0</v>
      </c>
      <c r="F113" s="50">
        <f t="shared" si="9"/>
        <v>-38395.89072773535</v>
      </c>
      <c r="G113" s="50">
        <f t="shared" si="9"/>
        <v>30716.71258218828</v>
      </c>
      <c r="H113" s="9">
        <f t="shared" si="9"/>
        <v>0</v>
      </c>
      <c r="I113" s="9">
        <f t="shared" si="9"/>
        <v>0</v>
      </c>
      <c r="J113" s="50">
        <f t="shared" si="9"/>
        <v>38395.89072773535</v>
      </c>
      <c r="K113" s="50">
        <f t="shared" si="9"/>
        <v>-30716.71258218828</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-47994.863409669189</v>
      </c>
      <c r="G116" s="50">
        <f t="shared" si="9"/>
        <v>38395.89072773535</v>
      </c>
      <c r="H116" s="9">
        <f t="shared" si="9"/>
        <v>0</v>
      </c>
      <c r="I116" s="9">
        <f t="shared" si="9"/>
        <v>0</v>
      </c>
      <c r="J116" s="50">
        <f t="shared" si="9"/>
        <v>47994.863409669189</v>
      </c>
      <c r="K116" s="50">
        <f t="shared" si="9"/>
        <v>-38395.89072773535</v>
      </c>
      <c r="L116" s="48" t="s">
        <v>186</v>
      </c>
    </row>
    <row r="117" spans="1:12" ht="19.05" customHeight="1" x14ac:dyDescent="0.3">
      <c r="B117" s="9">
        <f t="shared" si="9"/>
        <v>0</v>
      </c>
      <c r="C117" s="9">
        <f t="shared" si="9"/>
        <v>0</v>
      </c>
      <c r="D117" s="9">
        <f t="shared" si="9"/>
        <v>0</v>
      </c>
      <c r="E117" s="9">
        <f t="shared" si="9"/>
        <v>0</v>
      </c>
      <c r="F117" s="50">
        <f t="shared" si="9"/>
        <v>38395.89072773535</v>
      </c>
      <c r="G117" s="50">
        <f t="shared" si="9"/>
        <v>-30716.71258218828</v>
      </c>
      <c r="H117" s="9">
        <f t="shared" si="9"/>
        <v>0</v>
      </c>
      <c r="I117" s="9">
        <f t="shared" si="9"/>
        <v>0</v>
      </c>
      <c r="J117" s="50">
        <f t="shared" si="9"/>
        <v>-38395.89072773535</v>
      </c>
      <c r="K117" s="50">
        <f t="shared" si="9"/>
        <v>30716.71258218828</v>
      </c>
      <c r="L117" s="48" t="s">
        <v>187</v>
      </c>
    </row>
    <row r="120" spans="1:12" ht="18" customHeight="1" x14ac:dyDescent="0.3">
      <c r="B120" s="53" t="str">
        <f>CONCATENATE("U",C21,C$15)</f>
        <v>U2X</v>
      </c>
      <c r="C120" s="53" t="str">
        <f>CONCATENATE("U",D21,D$15)</f>
        <v>U2Y</v>
      </c>
      <c r="D120" s="53" t="str">
        <f>CONCATENATE("U",E21,E$15)</f>
        <v>U4X</v>
      </c>
      <c r="E120" s="53" t="str">
        <f>CONCATENATE("U",F21,F$15)</f>
        <v>U4Y</v>
      </c>
    </row>
    <row r="121" spans="1:12" x14ac:dyDescent="0.3">
      <c r="B121" s="54">
        <f>J11*J11*N11</f>
        <v>0</v>
      </c>
      <c r="C121" s="54">
        <f>J11*K11*N11</f>
        <v>0</v>
      </c>
      <c r="D121" s="54">
        <f>-B121</f>
        <v>0</v>
      </c>
      <c r="E121" s="54">
        <f>-C121</f>
        <v>0</v>
      </c>
      <c r="F121" s="53" t="str">
        <f>B120</f>
        <v>U2X</v>
      </c>
    </row>
    <row r="122" spans="1:12" ht="16.8" customHeight="1" x14ac:dyDescent="0.3">
      <c r="A122" s="28" t="s">
        <v>199</v>
      </c>
      <c r="B122" s="54">
        <f>C121</f>
        <v>0</v>
      </c>
      <c r="C122" s="54">
        <f>K11*K11*N11</f>
        <v>63000</v>
      </c>
      <c r="D122" s="54">
        <f>-B122</f>
        <v>0</v>
      </c>
      <c r="E122" s="54">
        <f>-C122</f>
        <v>-63000</v>
      </c>
      <c r="F122" s="53" t="str">
        <f>C120</f>
        <v>U2Y</v>
      </c>
    </row>
    <row r="123" spans="1:12" x14ac:dyDescent="0.3">
      <c r="B123" s="54">
        <f>D121</f>
        <v>0</v>
      </c>
      <c r="C123" s="54">
        <f>E121</f>
        <v>0</v>
      </c>
      <c r="D123" s="54">
        <f>B121</f>
        <v>0</v>
      </c>
      <c r="E123" s="54">
        <f>C121</f>
        <v>0</v>
      </c>
      <c r="F123" s="53" t="str">
        <f>D120</f>
        <v>U4X</v>
      </c>
    </row>
    <row r="124" spans="1:12" x14ac:dyDescent="0.3">
      <c r="B124" s="54">
        <f>D122</f>
        <v>0</v>
      </c>
      <c r="C124" s="54">
        <f>E122</f>
        <v>-63000</v>
      </c>
      <c r="D124" s="54">
        <f>B122</f>
        <v>0</v>
      </c>
      <c r="E124" s="54">
        <f>C122</f>
        <v>63000</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0</v>
      </c>
      <c r="E129" s="55">
        <f t="shared" si="10"/>
        <v>0</v>
      </c>
      <c r="F129" s="9">
        <f t="shared" si="10"/>
        <v>0</v>
      </c>
      <c r="G129" s="9">
        <f t="shared" si="10"/>
        <v>0</v>
      </c>
      <c r="H129" s="55">
        <f t="shared" si="10"/>
        <v>0</v>
      </c>
      <c r="I129" s="55">
        <f t="shared" si="10"/>
        <v>0</v>
      </c>
      <c r="J129" s="9">
        <f t="shared" si="10"/>
        <v>0</v>
      </c>
      <c r="K129" s="9">
        <f t="shared" si="10"/>
        <v>0</v>
      </c>
      <c r="L129" s="53" t="s">
        <v>180</v>
      </c>
    </row>
    <row r="130" spans="1:12" ht="19.05" customHeight="1" x14ac:dyDescent="0.3">
      <c r="B130" s="9">
        <f t="shared" si="10"/>
        <v>0</v>
      </c>
      <c r="C130" s="9">
        <f t="shared" si="10"/>
        <v>0</v>
      </c>
      <c r="D130" s="55">
        <f t="shared" si="10"/>
        <v>0</v>
      </c>
      <c r="E130" s="55">
        <f t="shared" si="10"/>
        <v>63000</v>
      </c>
      <c r="F130" s="9">
        <f t="shared" si="10"/>
        <v>0</v>
      </c>
      <c r="G130" s="9">
        <f t="shared" si="10"/>
        <v>0</v>
      </c>
      <c r="H130" s="55">
        <f t="shared" si="10"/>
        <v>0</v>
      </c>
      <c r="I130" s="55">
        <f t="shared" si="10"/>
        <v>-63000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0</v>
      </c>
      <c r="E133" s="55">
        <f t="shared" si="10"/>
        <v>0</v>
      </c>
      <c r="F133" s="9">
        <f t="shared" si="10"/>
        <v>0</v>
      </c>
      <c r="G133" s="9">
        <f t="shared" si="10"/>
        <v>0</v>
      </c>
      <c r="H133" s="55">
        <f t="shared" si="10"/>
        <v>0</v>
      </c>
      <c r="I133" s="55">
        <f t="shared" si="10"/>
        <v>0</v>
      </c>
      <c r="J133" s="9">
        <f t="shared" si="10"/>
        <v>0</v>
      </c>
      <c r="K133" s="9">
        <f t="shared" si="10"/>
        <v>0</v>
      </c>
      <c r="L133" s="53" t="s">
        <v>184</v>
      </c>
    </row>
    <row r="134" spans="1:12" ht="19.05" customHeight="1" x14ac:dyDescent="0.3">
      <c r="B134" s="9">
        <f t="shared" si="10"/>
        <v>0</v>
      </c>
      <c r="C134" s="9">
        <f t="shared" si="10"/>
        <v>0</v>
      </c>
      <c r="D134" s="55">
        <f t="shared" si="10"/>
        <v>0</v>
      </c>
      <c r="E134" s="55">
        <f t="shared" si="10"/>
        <v>-63000</v>
      </c>
      <c r="F134" s="9">
        <f t="shared" si="10"/>
        <v>0</v>
      </c>
      <c r="G134" s="9">
        <f t="shared" si="10"/>
        <v>0</v>
      </c>
      <c r="H134" s="55">
        <f t="shared" si="10"/>
        <v>0</v>
      </c>
      <c r="I134" s="55">
        <f t="shared" si="10"/>
        <v>63000</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47994.863409669189</v>
      </c>
      <c r="C140" s="57">
        <f>J12*K12*N12</f>
        <v>38395.89072773535</v>
      </c>
      <c r="D140" s="57">
        <f>-B140</f>
        <v>-47994.863409669189</v>
      </c>
      <c r="E140" s="57">
        <f>-C140</f>
        <v>-38395.89072773535</v>
      </c>
      <c r="F140" s="56" t="str">
        <f>B139</f>
        <v>U2X</v>
      </c>
    </row>
    <row r="141" spans="1:12" ht="16.8" customHeight="1" x14ac:dyDescent="0.3">
      <c r="A141" s="28" t="s">
        <v>201</v>
      </c>
      <c r="B141" s="57">
        <f>C140</f>
        <v>38395.89072773535</v>
      </c>
      <c r="C141" s="57">
        <f>K12*K12*N12</f>
        <v>30716.71258218828</v>
      </c>
      <c r="D141" s="57">
        <f>-B141</f>
        <v>-38395.89072773535</v>
      </c>
      <c r="E141" s="57">
        <f>-C141</f>
        <v>-30716.71258218828</v>
      </c>
      <c r="F141" s="56" t="str">
        <f>C139</f>
        <v>U2Y</v>
      </c>
    </row>
    <row r="142" spans="1:12" x14ac:dyDescent="0.3">
      <c r="B142" s="57">
        <f>D140</f>
        <v>-47994.863409669189</v>
      </c>
      <c r="C142" s="57">
        <f>E140</f>
        <v>-38395.89072773535</v>
      </c>
      <c r="D142" s="57">
        <f>B140</f>
        <v>47994.863409669189</v>
      </c>
      <c r="E142" s="57">
        <f>C140</f>
        <v>38395.89072773535</v>
      </c>
      <c r="F142" s="56" t="str">
        <f>D139</f>
        <v>U5X</v>
      </c>
    </row>
    <row r="143" spans="1:12" x14ac:dyDescent="0.3">
      <c r="B143" s="57">
        <f>D141</f>
        <v>-38395.89072773535</v>
      </c>
      <c r="C143" s="57">
        <f>E141</f>
        <v>-30716.71258218828</v>
      </c>
      <c r="D143" s="57">
        <f>B141</f>
        <v>38395.89072773535</v>
      </c>
      <c r="E143" s="57">
        <f>C141</f>
        <v>30716.71258218828</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47994.863409669189</v>
      </c>
      <c r="E148" s="58">
        <f t="shared" si="11"/>
        <v>38395.89072773535</v>
      </c>
      <c r="F148" s="9">
        <f t="shared" si="11"/>
        <v>0</v>
      </c>
      <c r="G148" s="9">
        <f t="shared" si="11"/>
        <v>0</v>
      </c>
      <c r="H148" s="9">
        <f t="shared" si="11"/>
        <v>0</v>
      </c>
      <c r="I148" s="9">
        <f t="shared" si="11"/>
        <v>0</v>
      </c>
      <c r="J148" s="58">
        <f t="shared" si="11"/>
        <v>-47994.863409669189</v>
      </c>
      <c r="K148" s="58">
        <f t="shared" si="11"/>
        <v>-38395.89072773535</v>
      </c>
      <c r="L148" s="56" t="s">
        <v>180</v>
      </c>
    </row>
    <row r="149" spans="1:12" ht="19.05" customHeight="1" x14ac:dyDescent="0.3">
      <c r="B149" s="9">
        <f t="shared" si="11"/>
        <v>0</v>
      </c>
      <c r="C149" s="9">
        <f t="shared" si="11"/>
        <v>0</v>
      </c>
      <c r="D149" s="58">
        <f t="shared" si="11"/>
        <v>38395.89072773535</v>
      </c>
      <c r="E149" s="58">
        <f t="shared" si="11"/>
        <v>30716.71258218828</v>
      </c>
      <c r="F149" s="9">
        <f t="shared" si="11"/>
        <v>0</v>
      </c>
      <c r="G149" s="9">
        <f t="shared" si="11"/>
        <v>0</v>
      </c>
      <c r="H149" s="9">
        <f t="shared" si="11"/>
        <v>0</v>
      </c>
      <c r="I149" s="9">
        <f t="shared" si="11"/>
        <v>0</v>
      </c>
      <c r="J149" s="58">
        <f t="shared" si="11"/>
        <v>-38395.89072773535</v>
      </c>
      <c r="K149" s="58">
        <f t="shared" si="11"/>
        <v>-30716.71258218828</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-47994.863409669189</v>
      </c>
      <c r="E154" s="58">
        <f t="shared" si="11"/>
        <v>-38395.89072773535</v>
      </c>
      <c r="F154" s="9">
        <f t="shared" si="11"/>
        <v>0</v>
      </c>
      <c r="G154" s="9">
        <f t="shared" si="11"/>
        <v>0</v>
      </c>
      <c r="H154" s="9">
        <f t="shared" si="11"/>
        <v>0</v>
      </c>
      <c r="I154" s="9">
        <f t="shared" si="11"/>
        <v>0</v>
      </c>
      <c r="J154" s="58">
        <f t="shared" si="11"/>
        <v>47994.863409669189</v>
      </c>
      <c r="K154" s="58">
        <f t="shared" si="11"/>
        <v>38395.89072773535</v>
      </c>
      <c r="L154" s="56" t="s">
        <v>186</v>
      </c>
    </row>
    <row r="155" spans="1:12" ht="19.05" customHeight="1" x14ac:dyDescent="0.3">
      <c r="B155" s="9">
        <f t="shared" si="11"/>
        <v>0</v>
      </c>
      <c r="C155" s="9">
        <f t="shared" si="11"/>
        <v>0</v>
      </c>
      <c r="D155" s="58">
        <f t="shared" si="11"/>
        <v>-38395.89072773535</v>
      </c>
      <c r="E155" s="58">
        <f t="shared" si="11"/>
        <v>-30716.71258218828</v>
      </c>
      <c r="F155" s="9">
        <f t="shared" si="11"/>
        <v>0</v>
      </c>
      <c r="G155" s="9">
        <f t="shared" si="11"/>
        <v>0</v>
      </c>
      <c r="H155" s="9">
        <f t="shared" si="11"/>
        <v>0</v>
      </c>
      <c r="I155" s="9">
        <f t="shared" si="11"/>
        <v>0</v>
      </c>
      <c r="J155" s="58">
        <f t="shared" si="11"/>
        <v>38395.89072773535</v>
      </c>
      <c r="K155" s="58">
        <f t="shared" si="11"/>
        <v>30716.71258218828</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74397.431704834598</v>
      </c>
      <c r="C159" s="36">
        <f t="shared" si="12"/>
        <v>19197.945363867675</v>
      </c>
      <c r="D159" s="9">
        <f t="shared" si="12"/>
        <v>-50400</v>
      </c>
      <c r="E159" s="9">
        <f t="shared" si="12"/>
        <v>0</v>
      </c>
      <c r="F159" s="9">
        <f t="shared" si="12"/>
        <v>0</v>
      </c>
      <c r="G159" s="9">
        <f t="shared" si="12"/>
        <v>0</v>
      </c>
      <c r="H159" s="9">
        <f t="shared" si="12"/>
        <v>-23997.431704834595</v>
      </c>
      <c r="I159" s="9">
        <f t="shared" si="12"/>
        <v>-19197.945363867675</v>
      </c>
      <c r="J159" s="9">
        <f t="shared" si="12"/>
        <v>0</v>
      </c>
      <c r="K159" s="9">
        <f t="shared" si="12"/>
        <v>0</v>
      </c>
      <c r="L159" s="89" t="s">
        <v>178</v>
      </c>
    </row>
    <row r="160" spans="1:12" ht="19.95" customHeight="1" x14ac:dyDescent="0.3">
      <c r="B160" s="36">
        <f t="shared" ref="B160:K160" si="13">B33+B52+B71+B90+B109+B128+B147</f>
        <v>19197.945363867675</v>
      </c>
      <c r="C160" s="35">
        <f t="shared" si="13"/>
        <v>15358.35629109414</v>
      </c>
      <c r="D160" s="9">
        <f t="shared" si="13"/>
        <v>0</v>
      </c>
      <c r="E160" s="9">
        <f t="shared" si="13"/>
        <v>0</v>
      </c>
      <c r="F160" s="9">
        <f t="shared" si="13"/>
        <v>0</v>
      </c>
      <c r="G160" s="9">
        <f t="shared" si="13"/>
        <v>0</v>
      </c>
      <c r="H160" s="9">
        <f t="shared" si="13"/>
        <v>-19197.945363867675</v>
      </c>
      <c r="I160" s="9">
        <f t="shared" si="13"/>
        <v>-15358.35629109414</v>
      </c>
      <c r="J160" s="9">
        <f t="shared" si="13"/>
        <v>0</v>
      </c>
      <c r="K160" s="9">
        <f t="shared" si="13"/>
        <v>0</v>
      </c>
      <c r="L160" s="89" t="s">
        <v>179</v>
      </c>
    </row>
    <row r="161" spans="1:19" ht="19.95" customHeight="1" x14ac:dyDescent="0.3">
      <c r="B161" s="9">
        <f t="shared" ref="B161:K161" si="14">B34+B53+B72+B91+B110+B129+B148</f>
        <v>-50400</v>
      </c>
      <c r="C161" s="9">
        <f t="shared" si="14"/>
        <v>0</v>
      </c>
      <c r="D161" s="35">
        <f t="shared" si="14"/>
        <v>148794.8634096692</v>
      </c>
      <c r="E161" s="36">
        <f t="shared" si="14"/>
        <v>38395.89072773535</v>
      </c>
      <c r="F161" s="9">
        <f t="shared" si="14"/>
        <v>-50400</v>
      </c>
      <c r="G161" s="9">
        <f t="shared" si="14"/>
        <v>0</v>
      </c>
      <c r="H161" s="9">
        <f t="shared" si="14"/>
        <v>0</v>
      </c>
      <c r="I161" s="9">
        <f t="shared" si="14"/>
        <v>0</v>
      </c>
      <c r="J161" s="9">
        <f t="shared" si="14"/>
        <v>-47994.863409669189</v>
      </c>
      <c r="K161" s="9">
        <f t="shared" si="14"/>
        <v>-38395.89072773535</v>
      </c>
      <c r="L161" s="89" t="s">
        <v>180</v>
      </c>
    </row>
    <row r="162" spans="1:19" ht="19.95" customHeight="1" x14ac:dyDescent="0.3">
      <c r="B162" s="9">
        <f t="shared" ref="B162:K162" si="15">B35+B54+B73+B92+B111+B130+B149</f>
        <v>0</v>
      </c>
      <c r="C162" s="9">
        <f t="shared" si="15"/>
        <v>0</v>
      </c>
      <c r="D162" s="36">
        <f t="shared" si="15"/>
        <v>38395.89072773535</v>
      </c>
      <c r="E162" s="35">
        <f t="shared" si="15"/>
        <v>93716.71258218828</v>
      </c>
      <c r="F162" s="9">
        <f t="shared" si="15"/>
        <v>0</v>
      </c>
      <c r="G162" s="9">
        <f t="shared" si="15"/>
        <v>0</v>
      </c>
      <c r="H162" s="9">
        <f t="shared" si="15"/>
        <v>0</v>
      </c>
      <c r="I162" s="9">
        <f t="shared" si="15"/>
        <v>-63000</v>
      </c>
      <c r="J162" s="9">
        <f t="shared" si="15"/>
        <v>-38395.89072773535</v>
      </c>
      <c r="K162" s="9">
        <f t="shared" si="15"/>
        <v>-30716.71258218828</v>
      </c>
      <c r="L162" s="89" t="s">
        <v>181</v>
      </c>
    </row>
    <row r="163" spans="1:19" ht="19.95" customHeight="1" x14ac:dyDescent="0.3">
      <c r="A163" s="28" t="s">
        <v>205</v>
      </c>
      <c r="B163" s="9">
        <f t="shared" ref="B163:K163" si="16">B36+B55+B74+B93+B112+B131+B150</f>
        <v>0</v>
      </c>
      <c r="C163" s="9">
        <f t="shared" si="16"/>
        <v>0</v>
      </c>
      <c r="D163" s="9">
        <f t="shared" si="16"/>
        <v>-50400</v>
      </c>
      <c r="E163" s="9">
        <f t="shared" si="16"/>
        <v>0</v>
      </c>
      <c r="F163" s="35">
        <f t="shared" si="16"/>
        <v>98394.863409669197</v>
      </c>
      <c r="G163" s="36">
        <f t="shared" si="16"/>
        <v>-38395.89072773535</v>
      </c>
      <c r="H163" s="9">
        <f t="shared" si="16"/>
        <v>0</v>
      </c>
      <c r="I163" s="9">
        <f t="shared" si="16"/>
        <v>0</v>
      </c>
      <c r="J163" s="9">
        <f t="shared" si="16"/>
        <v>-47994.863409669189</v>
      </c>
      <c r="K163" s="9">
        <f t="shared" si="16"/>
        <v>38395.89072773535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-38395.89072773535</v>
      </c>
      <c r="G164" s="35">
        <f t="shared" si="17"/>
        <v>30716.71258218828</v>
      </c>
      <c r="H164" s="9">
        <f t="shared" si="17"/>
        <v>0</v>
      </c>
      <c r="I164" s="9">
        <f t="shared" si="17"/>
        <v>0</v>
      </c>
      <c r="J164" s="9">
        <f t="shared" si="17"/>
        <v>38395.89072773535</v>
      </c>
      <c r="K164" s="9">
        <f t="shared" si="17"/>
        <v>-30716.71258218828</v>
      </c>
      <c r="L164" s="89" t="s">
        <v>183</v>
      </c>
    </row>
    <row r="165" spans="1:19" ht="19.95" customHeight="1" x14ac:dyDescent="0.3">
      <c r="B165" s="9">
        <f t="shared" ref="B165:K165" si="18">B38+B57+B76+B95+B114+B133+B152</f>
        <v>-23997.431704834595</v>
      </c>
      <c r="C165" s="9">
        <f t="shared" si="18"/>
        <v>-19197.945363867675</v>
      </c>
      <c r="D165" s="9">
        <f t="shared" si="18"/>
        <v>0</v>
      </c>
      <c r="E165" s="9">
        <f t="shared" si="18"/>
        <v>0</v>
      </c>
      <c r="F165" s="9">
        <f t="shared" si="18"/>
        <v>0</v>
      </c>
      <c r="G165" s="9">
        <f t="shared" si="18"/>
        <v>0</v>
      </c>
      <c r="H165" s="35">
        <f t="shared" si="18"/>
        <v>71992.29511450378</v>
      </c>
      <c r="I165" s="36">
        <f t="shared" si="18"/>
        <v>-19197.945363867675</v>
      </c>
      <c r="J165" s="9">
        <f t="shared" si="18"/>
        <v>-47994.863409669189</v>
      </c>
      <c r="K165" s="9">
        <f t="shared" si="18"/>
        <v>38395.89072773535</v>
      </c>
      <c r="L165" s="89" t="s">
        <v>184</v>
      </c>
    </row>
    <row r="166" spans="1:19" ht="19.95" customHeight="1" x14ac:dyDescent="0.3">
      <c r="B166" s="9">
        <f t="shared" ref="B166:K166" si="19">B39+B58+B77+B96+B115+B134+B153</f>
        <v>-19197.945363867675</v>
      </c>
      <c r="C166" s="9">
        <f t="shared" si="19"/>
        <v>-15358.35629109414</v>
      </c>
      <c r="D166" s="9">
        <f t="shared" si="19"/>
        <v>0</v>
      </c>
      <c r="E166" s="9">
        <f t="shared" si="19"/>
        <v>-63000</v>
      </c>
      <c r="F166" s="9">
        <f t="shared" si="19"/>
        <v>0</v>
      </c>
      <c r="G166" s="9">
        <f t="shared" si="19"/>
        <v>0</v>
      </c>
      <c r="H166" s="36">
        <f t="shared" si="19"/>
        <v>-19197.945363867675</v>
      </c>
      <c r="I166" s="35">
        <f t="shared" si="19"/>
        <v>109075.06887328242</v>
      </c>
      <c r="J166" s="9">
        <f t="shared" si="19"/>
        <v>38395.89072773535</v>
      </c>
      <c r="K166" s="9">
        <f t="shared" si="19"/>
        <v>-30716.71258218828</v>
      </c>
      <c r="L166" s="89" t="s">
        <v>185</v>
      </c>
    </row>
    <row r="167" spans="1:19" ht="19.95" customHeight="1" x14ac:dyDescent="0.3">
      <c r="B167" s="9">
        <f t="shared" ref="B167:K167" si="20">B40+B59+B78+B97+B116+B135+B154</f>
        <v>0</v>
      </c>
      <c r="C167" s="9">
        <f t="shared" si="20"/>
        <v>0</v>
      </c>
      <c r="D167" s="9">
        <f t="shared" si="20"/>
        <v>-47994.863409669189</v>
      </c>
      <c r="E167" s="9">
        <f t="shared" si="20"/>
        <v>-38395.89072773535</v>
      </c>
      <c r="F167" s="9">
        <f t="shared" si="20"/>
        <v>-47994.863409669189</v>
      </c>
      <c r="G167" s="9">
        <f t="shared" si="20"/>
        <v>38395.89072773535</v>
      </c>
      <c r="H167" s="9">
        <f t="shared" si="20"/>
        <v>-47994.863409669189</v>
      </c>
      <c r="I167" s="9">
        <f t="shared" si="20"/>
        <v>38395.89072773535</v>
      </c>
      <c r="J167" s="35">
        <f t="shared" si="20"/>
        <v>143984.59022900756</v>
      </c>
      <c r="K167" s="36">
        <f t="shared" si="20"/>
        <v>-38395.89072773535</v>
      </c>
      <c r="L167" s="89" t="s">
        <v>186</v>
      </c>
    </row>
    <row r="168" spans="1:19" ht="19.95" customHeight="1" x14ac:dyDescent="0.3">
      <c r="B168" s="9">
        <f t="shared" ref="B168:K168" si="21">B41+B60+B79+B98+B117+B136+B155</f>
        <v>0</v>
      </c>
      <c r="C168" s="9">
        <f t="shared" si="21"/>
        <v>0</v>
      </c>
      <c r="D168" s="9">
        <f t="shared" si="21"/>
        <v>-38395.89072773535</v>
      </c>
      <c r="E168" s="9">
        <f t="shared" si="21"/>
        <v>-30716.71258218828</v>
      </c>
      <c r="F168" s="9">
        <f t="shared" si="21"/>
        <v>38395.89072773535</v>
      </c>
      <c r="G168" s="9">
        <f t="shared" si="21"/>
        <v>-30716.71258218828</v>
      </c>
      <c r="H168" s="9">
        <f t="shared" si="21"/>
        <v>38395.89072773535</v>
      </c>
      <c r="I168" s="9">
        <f t="shared" si="21"/>
        <v>-30716.71258218828</v>
      </c>
      <c r="J168" s="36">
        <f t="shared" si="21"/>
        <v>-38395.89072773535</v>
      </c>
      <c r="K168" s="35">
        <f t="shared" si="21"/>
        <v>92150.13774656484</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IF(GRAFICA_19!F14=1, B172, GRAFICA_19!H14)</f>
        <v>C1X</v>
      </c>
      <c r="N172" s="215" t="s">
        <v>376</v>
      </c>
      <c r="O172" s="172"/>
      <c r="P172" s="172"/>
      <c r="Q172" s="172"/>
      <c r="R172" s="172"/>
      <c r="S172" s="173"/>
    </row>
    <row r="173" spans="1:19" ht="16.95" customHeight="1" x14ac:dyDescent="0.3">
      <c r="B173" s="12" t="s">
        <v>210</v>
      </c>
      <c r="C173" s="12" t="s">
        <v>179</v>
      </c>
      <c r="E173" s="37" t="str">
        <f>IF(GRAFICA_19!G14=1, B173, GRAFICA_19!I14)</f>
        <v>C1Y</v>
      </c>
      <c r="N173" s="215" t="s">
        <v>211</v>
      </c>
      <c r="O173" s="172"/>
      <c r="P173" s="172"/>
      <c r="Q173" s="172"/>
      <c r="R173" s="172"/>
      <c r="S173" s="173"/>
    </row>
    <row r="174" spans="1:19" ht="16.95" customHeight="1" x14ac:dyDescent="0.3">
      <c r="B174" s="12" t="s">
        <v>212</v>
      </c>
      <c r="C174" s="12" t="s">
        <v>180</v>
      </c>
      <c r="E174" s="37">
        <f>IF(GRAFICA_19!F15=1, B174, GRAFICA_19!H15)</f>
        <v>0</v>
      </c>
      <c r="N174" s="215" t="s">
        <v>377</v>
      </c>
      <c r="O174" s="172"/>
      <c r="P174" s="172"/>
      <c r="Q174" s="172"/>
      <c r="R174" s="172"/>
      <c r="S174" s="173"/>
    </row>
    <row r="175" spans="1:19" ht="16.95" customHeight="1" x14ac:dyDescent="0.3">
      <c r="B175" s="12" t="s">
        <v>214</v>
      </c>
      <c r="C175" s="12" t="s">
        <v>181</v>
      </c>
      <c r="E175" s="37">
        <f>IF(GRAFICA_19!G15=1, B175, GRAFICA_19!I15)</f>
        <v>-4500</v>
      </c>
      <c r="N175" s="215" t="s">
        <v>215</v>
      </c>
      <c r="O175" s="172"/>
      <c r="P175" s="172"/>
      <c r="Q175" s="172"/>
      <c r="R175" s="172"/>
      <c r="S175" s="173"/>
    </row>
    <row r="176" spans="1:19" ht="16.95" customHeight="1" x14ac:dyDescent="0.3">
      <c r="A176" s="38" t="s">
        <v>218</v>
      </c>
      <c r="B176" s="12" t="s">
        <v>216</v>
      </c>
      <c r="C176" s="12" t="s">
        <v>182</v>
      </c>
      <c r="D176" s="13" t="s">
        <v>220</v>
      </c>
      <c r="E176" s="37">
        <f>IF(GRAFICA_19!F16=1, B176, GRAFICA_19!H16)</f>
        <v>0</v>
      </c>
      <c r="N176" s="215" t="s">
        <v>378</v>
      </c>
      <c r="O176" s="172"/>
      <c r="P176" s="172"/>
      <c r="Q176" s="172"/>
      <c r="R176" s="172"/>
      <c r="S176" s="173"/>
    </row>
    <row r="177" spans="1:19" ht="16.95" customHeight="1" x14ac:dyDescent="0.3">
      <c r="B177" s="12" t="s">
        <v>219</v>
      </c>
      <c r="C177" s="12" t="s">
        <v>183</v>
      </c>
      <c r="E177" s="37" t="str">
        <f>IF(GRAFICA_19!G16=1, B177, GRAFICA_19!I16)</f>
        <v>C3Y</v>
      </c>
      <c r="N177" s="215" t="s">
        <v>379</v>
      </c>
      <c r="O177" s="172"/>
      <c r="P177" s="172"/>
      <c r="Q177" s="172"/>
      <c r="R177" s="172"/>
      <c r="S177" s="173"/>
    </row>
    <row r="178" spans="1:19" ht="16.95" customHeight="1" x14ac:dyDescent="0.3">
      <c r="B178" s="12" t="s">
        <v>221</v>
      </c>
      <c r="C178" s="12" t="s">
        <v>184</v>
      </c>
      <c r="E178" s="37">
        <f>IF(GRAFICA_19!F17=1, B178, GRAFICA_19!H17)</f>
        <v>0</v>
      </c>
      <c r="N178" s="215"/>
      <c r="O178" s="172"/>
      <c r="P178" s="172"/>
      <c r="Q178" s="172"/>
      <c r="R178" s="172"/>
      <c r="S178" s="173"/>
    </row>
    <row r="179" spans="1:19" ht="16.95" customHeight="1" x14ac:dyDescent="0.3">
      <c r="B179" s="12" t="s">
        <v>222</v>
      </c>
      <c r="C179" s="12" t="s">
        <v>185</v>
      </c>
      <c r="E179" s="37">
        <f>IF(GRAFICA_19!G17=1, B179, GRAFICA_19!I17)</f>
        <v>-9000</v>
      </c>
      <c r="N179" s="215"/>
      <c r="O179" s="172"/>
      <c r="P179" s="172"/>
      <c r="Q179" s="172"/>
      <c r="R179" s="172"/>
      <c r="S179" s="173"/>
    </row>
    <row r="180" spans="1:19" ht="16.95" customHeight="1" x14ac:dyDescent="0.3">
      <c r="B180" s="12" t="s">
        <v>223</v>
      </c>
      <c r="C180" s="12" t="s">
        <v>186</v>
      </c>
      <c r="E180" s="37">
        <f>IF(GRAFICA_19!F18=1, B180, GRAFICA_19!H18)</f>
        <v>-1500</v>
      </c>
      <c r="N180" s="215"/>
      <c r="O180" s="172"/>
      <c r="P180" s="172"/>
      <c r="Q180" s="172"/>
      <c r="R180" s="172"/>
      <c r="S180" s="173"/>
    </row>
    <row r="181" spans="1:19" ht="16.95" customHeight="1" x14ac:dyDescent="0.3">
      <c r="B181" s="12" t="s">
        <v>224</v>
      </c>
      <c r="C181" s="12" t="s">
        <v>187</v>
      </c>
      <c r="E181" s="37">
        <f>IF(GRAFICA_19!G18=1, B181, GRAFICA_19!I18)</f>
        <v>-4000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IF(GRAFICA_19!F14=1,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IF(GRAFICA_19!G14=1,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IF(GRAFICA_19!F15=1,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IF(GRAFICA_19!G15=1,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IF(GRAFICA_19!F16=1,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IF(GRAFICA_19!G16=1,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IF(GRAFICA_19!F17=1,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IF(GRAFICA_19!G17=1,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IF(GRAFICA_19!F18=1,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IF(GRAFICA_19!G18=1,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74397.431704834598</v>
      </c>
      <c r="D198" s="9">
        <f t="shared" si="23"/>
        <v>19197.945363867675</v>
      </c>
      <c r="E198" s="9">
        <f t="shared" si="23"/>
        <v>-50400</v>
      </c>
      <c r="F198" s="9">
        <f t="shared" si="23"/>
        <v>0</v>
      </c>
      <c r="G198" s="9">
        <f t="shared" si="23"/>
        <v>0</v>
      </c>
      <c r="H198" s="9">
        <f t="shared" si="23"/>
        <v>0</v>
      </c>
      <c r="I198" s="9">
        <f t="shared" si="23"/>
        <v>-23997.431704834595</v>
      </c>
      <c r="J198" s="9">
        <f t="shared" si="23"/>
        <v>-19197.945363867675</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19197.945363867675</v>
      </c>
      <c r="D199" s="9">
        <f t="shared" si="24"/>
        <v>15358.35629109414</v>
      </c>
      <c r="E199" s="9">
        <f t="shared" si="24"/>
        <v>0</v>
      </c>
      <c r="F199" s="9">
        <f t="shared" si="24"/>
        <v>0</v>
      </c>
      <c r="G199" s="9">
        <f t="shared" si="24"/>
        <v>0</v>
      </c>
      <c r="H199" s="9">
        <f t="shared" si="24"/>
        <v>0</v>
      </c>
      <c r="I199" s="9">
        <f t="shared" si="24"/>
        <v>-19197.945363867675</v>
      </c>
      <c r="J199" s="9">
        <f t="shared" si="24"/>
        <v>-15358.35629109414</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-50400</v>
      </c>
      <c r="D200" s="9">
        <f t="shared" si="25"/>
        <v>0</v>
      </c>
      <c r="E200" s="41">
        <f t="shared" si="25"/>
        <v>148794.8634096692</v>
      </c>
      <c r="F200" s="41">
        <f t="shared" si="25"/>
        <v>38395.89072773535</v>
      </c>
      <c r="G200" s="41">
        <f t="shared" si="25"/>
        <v>-50400</v>
      </c>
      <c r="H200" s="9">
        <f t="shared" si="25"/>
        <v>0</v>
      </c>
      <c r="I200" s="41">
        <f t="shared" si="25"/>
        <v>0</v>
      </c>
      <c r="J200" s="41">
        <f t="shared" si="25"/>
        <v>0</v>
      </c>
      <c r="K200" s="41">
        <f t="shared" si="25"/>
        <v>-47994.863409669189</v>
      </c>
      <c r="L200" s="41">
        <f t="shared" si="25"/>
        <v>-38395.89072773535</v>
      </c>
      <c r="M200" s="13" t="s">
        <v>251</v>
      </c>
      <c r="N200" s="215" t="s">
        <v>254</v>
      </c>
      <c r="O200" s="172"/>
      <c r="P200" s="172"/>
      <c r="Q200" s="172"/>
      <c r="R200" s="172"/>
      <c r="S200" s="173"/>
    </row>
    <row r="201" spans="1:19" ht="16.95" customHeight="1" x14ac:dyDescent="0.3">
      <c r="A201" s="41">
        <f t="shared" si="22"/>
        <v>-4500</v>
      </c>
      <c r="C201" s="9">
        <f t="shared" ref="C201:L201" si="26">B162</f>
        <v>0</v>
      </c>
      <c r="D201" s="9">
        <f t="shared" si="26"/>
        <v>0</v>
      </c>
      <c r="E201" s="41">
        <f t="shared" si="26"/>
        <v>38395.89072773535</v>
      </c>
      <c r="F201" s="41">
        <f t="shared" si="26"/>
        <v>93716.71258218828</v>
      </c>
      <c r="G201" s="41">
        <f t="shared" si="26"/>
        <v>0</v>
      </c>
      <c r="H201" s="9">
        <f t="shared" si="26"/>
        <v>0</v>
      </c>
      <c r="I201" s="41">
        <f t="shared" si="26"/>
        <v>0</v>
      </c>
      <c r="J201" s="41">
        <f t="shared" si="26"/>
        <v>-63000</v>
      </c>
      <c r="K201" s="41">
        <f t="shared" si="26"/>
        <v>-38395.89072773535</v>
      </c>
      <c r="L201" s="41">
        <f t="shared" si="26"/>
        <v>-30716.71258218828</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-50400</v>
      </c>
      <c r="F202" s="41">
        <f t="shared" si="27"/>
        <v>0</v>
      </c>
      <c r="G202" s="41">
        <f t="shared" si="27"/>
        <v>98394.863409669197</v>
      </c>
      <c r="H202" s="9">
        <f t="shared" si="27"/>
        <v>-38395.89072773535</v>
      </c>
      <c r="I202" s="41">
        <f t="shared" si="27"/>
        <v>0</v>
      </c>
      <c r="J202" s="41">
        <f t="shared" si="27"/>
        <v>0</v>
      </c>
      <c r="K202" s="41">
        <f t="shared" si="27"/>
        <v>-47994.863409669189</v>
      </c>
      <c r="L202" s="41">
        <f t="shared" si="27"/>
        <v>38395.89072773535</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-38395.89072773535</v>
      </c>
      <c r="H203" s="9">
        <f t="shared" si="28"/>
        <v>30716.71258218828</v>
      </c>
      <c r="I203" s="9">
        <f t="shared" si="28"/>
        <v>0</v>
      </c>
      <c r="J203" s="9">
        <f t="shared" si="28"/>
        <v>0</v>
      </c>
      <c r="K203" s="9">
        <f t="shared" si="28"/>
        <v>38395.89072773535</v>
      </c>
      <c r="L203" s="9">
        <f t="shared" si="28"/>
        <v>-30716.71258218828</v>
      </c>
      <c r="M203" s="13" t="s">
        <v>251</v>
      </c>
      <c r="N203" s="219">
        <f>E189</f>
        <v>0</v>
      </c>
      <c r="O203" s="172"/>
      <c r="P203" s="172"/>
      <c r="Q203" s="172"/>
      <c r="R203" s="172"/>
      <c r="S203" s="173"/>
    </row>
    <row r="204" spans="1:19" ht="16.95" customHeight="1" x14ac:dyDescent="0.3">
      <c r="A204" s="41">
        <f t="shared" si="22"/>
        <v>0</v>
      </c>
      <c r="C204" s="9">
        <f t="shared" ref="C204:L204" si="29">B165</f>
        <v>-23997.431704834595</v>
      </c>
      <c r="D204" s="9">
        <f t="shared" si="29"/>
        <v>-19197.945363867675</v>
      </c>
      <c r="E204" s="41">
        <f t="shared" si="29"/>
        <v>0</v>
      </c>
      <c r="F204" s="41">
        <f t="shared" si="29"/>
        <v>0</v>
      </c>
      <c r="G204" s="41">
        <f t="shared" si="29"/>
        <v>0</v>
      </c>
      <c r="H204" s="9">
        <f t="shared" si="29"/>
        <v>0</v>
      </c>
      <c r="I204" s="41">
        <f t="shared" si="29"/>
        <v>71992.29511450378</v>
      </c>
      <c r="J204" s="41">
        <f t="shared" si="29"/>
        <v>-19197.945363867675</v>
      </c>
      <c r="K204" s="41">
        <f t="shared" si="29"/>
        <v>-47994.863409669189</v>
      </c>
      <c r="L204" s="41">
        <f t="shared" si="29"/>
        <v>38395.89072773535</v>
      </c>
      <c r="M204" s="13" t="s">
        <v>251</v>
      </c>
      <c r="N204" s="215" t="str">
        <f>E190</f>
        <v>D4X</v>
      </c>
      <c r="O204" s="172"/>
      <c r="P204" s="172"/>
      <c r="Q204" s="172"/>
      <c r="R204" s="172"/>
      <c r="S204" s="173"/>
    </row>
    <row r="205" spans="1:19" ht="16.95" customHeight="1" x14ac:dyDescent="0.3">
      <c r="A205" s="41">
        <f t="shared" si="22"/>
        <v>-9000</v>
      </c>
      <c r="C205" s="9">
        <f t="shared" ref="C205:L205" si="30">B166</f>
        <v>-19197.945363867675</v>
      </c>
      <c r="D205" s="9">
        <f t="shared" si="30"/>
        <v>-15358.35629109414</v>
      </c>
      <c r="E205" s="41">
        <f t="shared" si="30"/>
        <v>0</v>
      </c>
      <c r="F205" s="41">
        <f t="shared" si="30"/>
        <v>-63000</v>
      </c>
      <c r="G205" s="41">
        <f t="shared" si="30"/>
        <v>0</v>
      </c>
      <c r="H205" s="9">
        <f t="shared" si="30"/>
        <v>0</v>
      </c>
      <c r="I205" s="41">
        <f t="shared" si="30"/>
        <v>-19197.945363867675</v>
      </c>
      <c r="J205" s="41">
        <f t="shared" si="30"/>
        <v>109075.06887328242</v>
      </c>
      <c r="K205" s="41">
        <f t="shared" si="30"/>
        <v>38395.89072773535</v>
      </c>
      <c r="L205" s="41">
        <f t="shared" si="30"/>
        <v>-30716.71258218828</v>
      </c>
      <c r="M205" s="13" t="s">
        <v>251</v>
      </c>
      <c r="N205" s="215" t="str">
        <f>E191</f>
        <v>D4Y</v>
      </c>
      <c r="O205" s="172"/>
      <c r="P205" s="172"/>
      <c r="Q205" s="172"/>
      <c r="R205" s="172"/>
      <c r="S205" s="173"/>
    </row>
    <row r="206" spans="1:19" ht="16.95" customHeight="1" x14ac:dyDescent="0.3">
      <c r="A206" s="41">
        <f t="shared" si="22"/>
        <v>-1500</v>
      </c>
      <c r="C206" s="9">
        <f t="shared" ref="C206:L206" si="31">B167</f>
        <v>0</v>
      </c>
      <c r="D206" s="9">
        <f t="shared" si="31"/>
        <v>0</v>
      </c>
      <c r="E206" s="41">
        <f t="shared" si="31"/>
        <v>-47994.863409669189</v>
      </c>
      <c r="F206" s="41">
        <f t="shared" si="31"/>
        <v>-38395.89072773535</v>
      </c>
      <c r="G206" s="41">
        <f t="shared" si="31"/>
        <v>-47994.863409669189</v>
      </c>
      <c r="H206" s="9">
        <f t="shared" si="31"/>
        <v>38395.89072773535</v>
      </c>
      <c r="I206" s="41">
        <f t="shared" si="31"/>
        <v>-47994.863409669189</v>
      </c>
      <c r="J206" s="41">
        <f t="shared" si="31"/>
        <v>38395.89072773535</v>
      </c>
      <c r="K206" s="41">
        <f t="shared" si="31"/>
        <v>143984.59022900756</v>
      </c>
      <c r="L206" s="41">
        <f t="shared" si="31"/>
        <v>-38395.89072773535</v>
      </c>
      <c r="M206" s="13" t="s">
        <v>251</v>
      </c>
      <c r="N206" s="215" t="str">
        <f>E192</f>
        <v>D5X</v>
      </c>
      <c r="O206" s="172"/>
      <c r="P206" s="172"/>
      <c r="Q206" s="172"/>
      <c r="R206" s="172"/>
      <c r="S206" s="173"/>
    </row>
    <row r="207" spans="1:19" ht="16.95" customHeight="1" x14ac:dyDescent="0.3">
      <c r="A207" s="41">
        <f t="shared" si="22"/>
        <v>-4000</v>
      </c>
      <c r="C207" s="9">
        <f t="shared" ref="C207:L207" si="32">B168</f>
        <v>0</v>
      </c>
      <c r="D207" s="9">
        <f t="shared" si="32"/>
        <v>0</v>
      </c>
      <c r="E207" s="41">
        <f t="shared" si="32"/>
        <v>-38395.89072773535</v>
      </c>
      <c r="F207" s="41">
        <f t="shared" si="32"/>
        <v>-30716.71258218828</v>
      </c>
      <c r="G207" s="41">
        <f t="shared" si="32"/>
        <v>38395.89072773535</v>
      </c>
      <c r="H207" s="9">
        <f t="shared" si="32"/>
        <v>-30716.71258218828</v>
      </c>
      <c r="I207" s="41">
        <f t="shared" si="32"/>
        <v>38395.89072773535</v>
      </c>
      <c r="J207" s="41">
        <f t="shared" si="32"/>
        <v>-30716.71258218828</v>
      </c>
      <c r="K207" s="41">
        <f t="shared" si="32"/>
        <v>-38395.89072773535</v>
      </c>
      <c r="L207" s="41">
        <f t="shared" si="32"/>
        <v>92150.13774656484</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148794.8634096692</v>
      </c>
      <c r="D212" s="41">
        <f t="shared" si="34"/>
        <v>38395.89072773535</v>
      </c>
      <c r="E212" s="41">
        <f t="shared" si="34"/>
        <v>-50400</v>
      </c>
      <c r="F212" s="41">
        <f t="shared" si="34"/>
        <v>0</v>
      </c>
      <c r="G212" s="41">
        <f t="shared" si="34"/>
        <v>0</v>
      </c>
      <c r="H212" s="41">
        <f t="shared" si="34"/>
        <v>-47994.863409669189</v>
      </c>
      <c r="I212" s="41">
        <f t="shared" si="34"/>
        <v>-38395.89072773535</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-4500</v>
      </c>
      <c r="C213" s="41">
        <f t="shared" si="34"/>
        <v>38395.89072773535</v>
      </c>
      <c r="D213" s="41">
        <f t="shared" si="34"/>
        <v>93716.71258218828</v>
      </c>
      <c r="E213" s="41">
        <f t="shared" si="34"/>
        <v>0</v>
      </c>
      <c r="F213" s="41">
        <f t="shared" si="34"/>
        <v>0</v>
      </c>
      <c r="G213" s="41">
        <f t="shared" si="34"/>
        <v>-63000</v>
      </c>
      <c r="H213" s="41">
        <f t="shared" si="34"/>
        <v>-38395.89072773535</v>
      </c>
      <c r="I213" s="41">
        <f t="shared" si="34"/>
        <v>-30716.71258218828</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-50400</v>
      </c>
      <c r="D214" s="41">
        <f t="shared" si="34"/>
        <v>0</v>
      </c>
      <c r="E214" s="41">
        <f t="shared" si="34"/>
        <v>98394.863409669197</v>
      </c>
      <c r="F214" s="41">
        <f t="shared" si="34"/>
        <v>0</v>
      </c>
      <c r="G214" s="41">
        <f t="shared" si="34"/>
        <v>0</v>
      </c>
      <c r="H214" s="41">
        <f t="shared" si="34"/>
        <v>-47994.863409669189</v>
      </c>
      <c r="I214" s="41">
        <f t="shared" si="34"/>
        <v>38395.89072773535</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0</v>
      </c>
      <c r="B215" s="13" t="s">
        <v>220</v>
      </c>
      <c r="C215" s="41">
        <f t="shared" si="34"/>
        <v>0</v>
      </c>
      <c r="D215" s="41">
        <f t="shared" si="34"/>
        <v>0</v>
      </c>
      <c r="E215" s="41">
        <f t="shared" si="34"/>
        <v>0</v>
      </c>
      <c r="F215" s="41">
        <f t="shared" si="34"/>
        <v>71992.29511450378</v>
      </c>
      <c r="G215" s="41">
        <f t="shared" si="34"/>
        <v>-19197.945363867675</v>
      </c>
      <c r="H215" s="41">
        <f t="shared" si="34"/>
        <v>-47994.863409669189</v>
      </c>
      <c r="I215" s="41">
        <f t="shared" si="34"/>
        <v>38395.89072773535</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-9000</v>
      </c>
      <c r="C216" s="41">
        <f t="shared" si="34"/>
        <v>0</v>
      </c>
      <c r="D216" s="41">
        <f t="shared" si="34"/>
        <v>-63000</v>
      </c>
      <c r="E216" s="41">
        <f t="shared" si="34"/>
        <v>0</v>
      </c>
      <c r="F216" s="41">
        <f t="shared" si="34"/>
        <v>-19197.945363867675</v>
      </c>
      <c r="G216" s="41">
        <f t="shared" si="34"/>
        <v>109075.06887328242</v>
      </c>
      <c r="H216" s="41">
        <f t="shared" si="34"/>
        <v>38395.89072773535</v>
      </c>
      <c r="I216" s="41">
        <f t="shared" si="34"/>
        <v>-30716.71258218828</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-1500</v>
      </c>
      <c r="C217" s="41">
        <f t="shared" si="34"/>
        <v>-47994.863409669189</v>
      </c>
      <c r="D217" s="41">
        <f t="shared" si="34"/>
        <v>-38395.89072773535</v>
      </c>
      <c r="E217" s="41">
        <f t="shared" si="34"/>
        <v>-47994.863409669189</v>
      </c>
      <c r="F217" s="41">
        <f t="shared" si="34"/>
        <v>-47994.863409669189</v>
      </c>
      <c r="G217" s="41">
        <f t="shared" si="34"/>
        <v>38395.89072773535</v>
      </c>
      <c r="H217" s="41">
        <f t="shared" si="34"/>
        <v>143984.59022900756</v>
      </c>
      <c r="I217" s="41">
        <f t="shared" si="34"/>
        <v>-38395.89072773535</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-4000</v>
      </c>
      <c r="C218" s="41">
        <f t="shared" si="34"/>
        <v>-38395.89072773535</v>
      </c>
      <c r="D218" s="41">
        <f t="shared" si="34"/>
        <v>-30716.71258218828</v>
      </c>
      <c r="E218" s="41">
        <f t="shared" si="34"/>
        <v>38395.89072773535</v>
      </c>
      <c r="F218" s="41">
        <f t="shared" si="34"/>
        <v>38395.89072773535</v>
      </c>
      <c r="G218" s="41">
        <f t="shared" si="34"/>
        <v>-30716.71258218828</v>
      </c>
      <c r="H218" s="41">
        <f t="shared" si="34"/>
        <v>-38395.89072773535</v>
      </c>
      <c r="I218" s="41">
        <f t="shared" si="34"/>
        <v>92150.13774656484</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1.9841269841269845E-5</v>
      </c>
      <c r="D222" s="93">
        <v>-1.2400793650793664E-5</v>
      </c>
      <c r="E222" s="93">
        <v>1.9841269841269848E-5</v>
      </c>
      <c r="F222" s="93">
        <v>9.9206349206349291E-6</v>
      </c>
      <c r="G222" s="93">
        <v>-1.2400793650793669E-5</v>
      </c>
      <c r="H222" s="93">
        <v>1.4880952380952386E-5</v>
      </c>
      <c r="I222" s="93">
        <v>-6.2003968253968432E-6</v>
      </c>
      <c r="K222" s="17">
        <f t="shared" ref="K222:K228" si="36">A212</f>
        <v>0</v>
      </c>
      <c r="N222" s="215"/>
      <c r="O222" s="172"/>
      <c r="P222" s="172"/>
      <c r="Q222" s="172"/>
      <c r="R222" s="172"/>
      <c r="S222" s="173"/>
    </row>
    <row r="223" spans="1:19" ht="16.95" customHeight="1" x14ac:dyDescent="0.3">
      <c r="A223" s="12" t="str">
        <f t="shared" si="35"/>
        <v>D2Y</v>
      </c>
      <c r="C223" s="93">
        <v>-1.2400793650793666E-5</v>
      </c>
      <c r="D223" s="93">
        <v>6.3929575115916076E-5</v>
      </c>
      <c r="E223" s="93">
        <v>-2.4801587301587332E-5</v>
      </c>
      <c r="F223" s="93">
        <v>-1.2400793650793669E-5</v>
      </c>
      <c r="G223" s="93">
        <v>4.8056559242900214E-5</v>
      </c>
      <c r="H223" s="93">
        <v>4.5952613429430625E-7</v>
      </c>
      <c r="I223" s="93">
        <v>4.7854175384556121E-5</v>
      </c>
      <c r="K223" s="17">
        <f t="shared" si="36"/>
        <v>-4500</v>
      </c>
      <c r="N223" s="215"/>
      <c r="O223" s="172"/>
      <c r="P223" s="172"/>
      <c r="Q223" s="172"/>
      <c r="R223" s="172"/>
      <c r="S223" s="173"/>
    </row>
    <row r="224" spans="1:19" ht="16.95" customHeight="1" x14ac:dyDescent="0.3">
      <c r="A224" s="12" t="str">
        <f t="shared" si="35"/>
        <v>D3X</v>
      </c>
      <c r="C224" s="93">
        <v>1.9841269841269851E-5</v>
      </c>
      <c r="D224" s="93">
        <v>-2.4801587301587335E-5</v>
      </c>
      <c r="E224" s="93">
        <v>3.9682539682539703E-5</v>
      </c>
      <c r="F224" s="93">
        <v>1.9841269841269855E-5</v>
      </c>
      <c r="G224" s="93">
        <v>-2.4801587301587335E-5</v>
      </c>
      <c r="H224" s="93">
        <v>1.9841269841269851E-5</v>
      </c>
      <c r="I224" s="93">
        <v>-2.4801587301587335E-5</v>
      </c>
      <c r="K224" s="17">
        <f t="shared" si="36"/>
        <v>0</v>
      </c>
      <c r="N224" s="215"/>
      <c r="O224" s="172"/>
      <c r="P224" s="172"/>
      <c r="Q224" s="172"/>
      <c r="R224" s="172"/>
      <c r="S224" s="173"/>
    </row>
    <row r="225" spans="1:19" ht="16.95" customHeight="1" x14ac:dyDescent="0.3">
      <c r="A225" s="12" t="str">
        <f t="shared" si="35"/>
        <v>D4X</v>
      </c>
      <c r="B225" s="13" t="s">
        <v>220</v>
      </c>
      <c r="C225" s="93">
        <v>9.9206349206349291E-6</v>
      </c>
      <c r="D225" s="93">
        <v>-1.2400793650793669E-5</v>
      </c>
      <c r="E225" s="93">
        <v>1.9841269841269858E-5</v>
      </c>
      <c r="F225" s="93">
        <v>3.0756197915456107E-5</v>
      </c>
      <c r="G225" s="93">
        <v>-1.2400793650793669E-5</v>
      </c>
      <c r="H225" s="93">
        <v>1.5129525669340222E-5</v>
      </c>
      <c r="I225" s="93">
        <v>-1.8911907086675286E-5</v>
      </c>
      <c r="K225" s="17">
        <f t="shared" si="36"/>
        <v>0</v>
      </c>
      <c r="N225" s="215"/>
      <c r="O225" s="172"/>
      <c r="P225" s="172"/>
      <c r="Q225" s="172"/>
      <c r="R225" s="172"/>
      <c r="S225" s="173"/>
    </row>
    <row r="226" spans="1:19" ht="16.95" customHeight="1" x14ac:dyDescent="0.3">
      <c r="A226" s="12" t="str">
        <f t="shared" si="35"/>
        <v>D4Y</v>
      </c>
      <c r="C226" s="93">
        <v>-1.2400793650793666E-5</v>
      </c>
      <c r="D226" s="93">
        <v>4.80565592429002E-5</v>
      </c>
      <c r="E226" s="93">
        <v>-2.4801587301587335E-5</v>
      </c>
      <c r="F226" s="93">
        <v>-1.2400793650793669E-5</v>
      </c>
      <c r="G226" s="93">
        <v>4.80565592429002E-5</v>
      </c>
      <c r="H226" s="93">
        <v>-5.8896802149120437E-6</v>
      </c>
      <c r="I226" s="93">
        <v>3.9917667448048176E-5</v>
      </c>
      <c r="K226" s="17">
        <f t="shared" si="36"/>
        <v>-9000</v>
      </c>
      <c r="N226" s="215"/>
      <c r="O226" s="172"/>
      <c r="P226" s="172"/>
      <c r="Q226" s="172"/>
      <c r="R226" s="172"/>
      <c r="S226" s="173"/>
    </row>
    <row r="227" spans="1:19" ht="16.95" customHeight="1" x14ac:dyDescent="0.3">
      <c r="A227" s="12" t="str">
        <f t="shared" si="35"/>
        <v>D5X</v>
      </c>
      <c r="C227" s="93">
        <v>1.4880952380952384E-5</v>
      </c>
      <c r="D227" s="93">
        <v>4.5952613429430625E-7</v>
      </c>
      <c r="E227" s="93">
        <v>1.9841269841269851E-5</v>
      </c>
      <c r="F227" s="93">
        <v>1.5129525669340221E-5</v>
      </c>
      <c r="G227" s="93">
        <v>-5.8896802149120429E-6</v>
      </c>
      <c r="H227" s="93">
        <v>2.5358257687886783E-5</v>
      </c>
      <c r="I227" s="93">
        <v>3.8512137238954267E-7</v>
      </c>
      <c r="K227" s="17">
        <f t="shared" si="36"/>
        <v>-1500</v>
      </c>
      <c r="N227" s="215"/>
      <c r="O227" s="172"/>
      <c r="P227" s="172"/>
      <c r="Q227" s="172"/>
      <c r="R227" s="172"/>
      <c r="S227" s="173"/>
    </row>
    <row r="228" spans="1:19" ht="16.95" customHeight="1" x14ac:dyDescent="0.3">
      <c r="A228" s="12" t="str">
        <f t="shared" si="35"/>
        <v>D5Y</v>
      </c>
      <c r="C228" s="93">
        <v>-6.2003968253968423E-6</v>
      </c>
      <c r="D228" s="93">
        <v>4.7854175384556114E-5</v>
      </c>
      <c r="E228" s="93">
        <v>-2.4801587301587335E-5</v>
      </c>
      <c r="F228" s="93">
        <v>-1.8911907086675282E-5</v>
      </c>
      <c r="G228" s="93">
        <v>3.9917667448048176E-5</v>
      </c>
      <c r="H228" s="93">
        <v>3.8512137238954261E-7</v>
      </c>
      <c r="I228" s="93">
        <v>5.5900061227027175E-5</v>
      </c>
      <c r="K228" s="17">
        <f t="shared" si="36"/>
        <v>-4000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0.16989087301587333</v>
      </c>
      <c r="D232" s="12" t="s">
        <v>267</v>
      </c>
      <c r="N232" s="215"/>
      <c r="O232" s="172"/>
      <c r="P232" s="172"/>
      <c r="Q232" s="172"/>
      <c r="R232" s="172"/>
      <c r="S232" s="173"/>
    </row>
    <row r="233" spans="1:19" ht="16.95" customHeight="1" x14ac:dyDescent="0.3">
      <c r="A233" s="12" t="str">
        <f t="shared" si="37"/>
        <v>D2Y</v>
      </c>
      <c r="C233" s="94">
        <v>-0.9122981119473903</v>
      </c>
      <c r="D233" s="12" t="s">
        <v>267</v>
      </c>
      <c r="N233" s="215"/>
      <c r="O233" s="172"/>
      <c r="P233" s="172"/>
      <c r="Q233" s="172"/>
      <c r="R233" s="172"/>
      <c r="S233" s="173"/>
    </row>
    <row r="234" spans="1:19" ht="16.95" customHeight="1" x14ac:dyDescent="0.3">
      <c r="A234" s="12" t="str">
        <f t="shared" si="37"/>
        <v>D3X</v>
      </c>
      <c r="C234" s="94">
        <v>0.40426587301587363</v>
      </c>
      <c r="D234" s="12" t="s">
        <v>267</v>
      </c>
      <c r="N234" s="215"/>
      <c r="O234" s="172"/>
      <c r="P234" s="172"/>
      <c r="Q234" s="172"/>
      <c r="R234" s="172"/>
      <c r="S234" s="173"/>
    </row>
    <row r="235" spans="1:19" ht="16.95" customHeight="1" x14ac:dyDescent="0.3">
      <c r="A235" s="12" t="str">
        <f t="shared" si="37"/>
        <v>D4X</v>
      </c>
      <c r="B235" s="13" t="s">
        <v>220</v>
      </c>
      <c r="C235" s="94">
        <v>0.22036405412840537</v>
      </c>
      <c r="D235" s="12" t="s">
        <v>267</v>
      </c>
      <c r="N235" s="215"/>
      <c r="O235" s="172"/>
      <c r="P235" s="172"/>
      <c r="Q235" s="172"/>
      <c r="R235" s="172"/>
      <c r="S235" s="173"/>
    </row>
    <row r="236" spans="1:19" ht="16.95" customHeight="1" x14ac:dyDescent="0.3">
      <c r="A236" s="12" t="str">
        <f t="shared" si="37"/>
        <v>D4Y</v>
      </c>
      <c r="C236" s="94">
        <v>-0.79959969924897722</v>
      </c>
      <c r="D236" s="12" t="s">
        <v>267</v>
      </c>
      <c r="N236" s="215"/>
      <c r="O236" s="172"/>
      <c r="P236" s="172"/>
      <c r="Q236" s="172"/>
      <c r="R236" s="172"/>
      <c r="S236" s="173"/>
    </row>
    <row r="237" spans="1:19" ht="16.95" customHeight="1" x14ac:dyDescent="0.3">
      <c r="A237" s="12" t="str">
        <f t="shared" si="37"/>
        <v>D5X</v>
      </c>
      <c r="C237" s="94">
        <v>1.1361382308495665E-2</v>
      </c>
      <c r="D237" s="12" t="s">
        <v>267</v>
      </c>
      <c r="N237" s="215"/>
      <c r="O237" s="172"/>
      <c r="P237" s="172"/>
      <c r="Q237" s="172"/>
      <c r="R237" s="172"/>
      <c r="S237" s="173"/>
    </row>
    <row r="238" spans="1:19" ht="16.95" customHeight="1" x14ac:dyDescent="0.3">
      <c r="A238" s="12" t="str">
        <f t="shared" si="37"/>
        <v>D5Y</v>
      </c>
      <c r="C238" s="94">
        <v>-0.79878072322962912</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-50400</v>
      </c>
      <c r="D243" s="9">
        <f t="shared" si="38"/>
        <v>0</v>
      </c>
      <c r="E243" s="9">
        <f t="shared" si="38"/>
        <v>0</v>
      </c>
      <c r="F243" s="9">
        <f t="shared" si="38"/>
        <v>-23997.431704834595</v>
      </c>
      <c r="G243" s="9">
        <f t="shared" si="38"/>
        <v>-19197.945363867675</v>
      </c>
      <c r="H243" s="9">
        <f t="shared" si="38"/>
        <v>0</v>
      </c>
      <c r="I243" s="9">
        <f t="shared" si="38"/>
        <v>0</v>
      </c>
      <c r="K243" s="95">
        <f t="shared" ref="K243:K249" si="39">C232</f>
        <v>0.16989087301587333</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0</v>
      </c>
      <c r="D244" s="9">
        <f t="shared" si="38"/>
        <v>0</v>
      </c>
      <c r="E244" s="9">
        <f t="shared" si="38"/>
        <v>0</v>
      </c>
      <c r="F244" s="9">
        <f t="shared" si="38"/>
        <v>-19197.945363867675</v>
      </c>
      <c r="G244" s="9">
        <f t="shared" si="38"/>
        <v>-15358.35629109414</v>
      </c>
      <c r="H244" s="9">
        <f t="shared" si="38"/>
        <v>0</v>
      </c>
      <c r="I244" s="9">
        <f t="shared" si="38"/>
        <v>0</v>
      </c>
      <c r="K244" s="95">
        <f t="shared" si="39"/>
        <v>-0.9122981119473903</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0</v>
      </c>
      <c r="D245" s="9">
        <f t="shared" si="38"/>
        <v>0</v>
      </c>
      <c r="E245" s="9">
        <f t="shared" si="38"/>
        <v>-38395.89072773535</v>
      </c>
      <c r="F245" s="9">
        <f t="shared" si="38"/>
        <v>0</v>
      </c>
      <c r="G245" s="9">
        <f t="shared" si="38"/>
        <v>0</v>
      </c>
      <c r="H245" s="9">
        <f t="shared" si="38"/>
        <v>38395.89072773535</v>
      </c>
      <c r="I245" s="9">
        <f t="shared" si="38"/>
        <v>-30716.71258218828</v>
      </c>
      <c r="K245" s="95">
        <f t="shared" si="39"/>
        <v>0.40426587301587363</v>
      </c>
      <c r="L245" s="14" t="str">
        <f>INDEX(C$184:C$193, MATCH(3, G$184:G$193, 0))</f>
        <v>U3Y</v>
      </c>
      <c r="N245" s="215" t="s">
        <v>392</v>
      </c>
      <c r="O245" s="172"/>
      <c r="P245" s="172"/>
      <c r="Q245" s="172"/>
      <c r="R245" s="172"/>
      <c r="S245" s="173"/>
    </row>
    <row r="246" spans="1:19" ht="16.95" customHeight="1" x14ac:dyDescent="0.3">
      <c r="K246" s="95">
        <f t="shared" si="39"/>
        <v>0.22036405412840537</v>
      </c>
      <c r="N246" s="215" t="s">
        <v>393</v>
      </c>
      <c r="O246" s="172"/>
      <c r="P246" s="172"/>
      <c r="Q246" s="172"/>
      <c r="R246" s="172"/>
      <c r="S246" s="173"/>
    </row>
    <row r="247" spans="1:19" ht="16.95" customHeight="1" x14ac:dyDescent="0.3">
      <c r="K247" s="95">
        <f t="shared" si="39"/>
        <v>-0.79959969924897722</v>
      </c>
      <c r="N247" s="215" t="s">
        <v>394</v>
      </c>
      <c r="O247" s="172"/>
      <c r="P247" s="172"/>
      <c r="Q247" s="172"/>
      <c r="R247" s="172"/>
      <c r="S247" s="173"/>
    </row>
    <row r="248" spans="1:19" ht="16.95" customHeight="1" x14ac:dyDescent="0.3">
      <c r="K248" s="95">
        <f t="shared" si="39"/>
        <v>1.1361382308495665E-2</v>
      </c>
      <c r="N248" s="215"/>
      <c r="O248" s="172"/>
      <c r="P248" s="172"/>
      <c r="Q248" s="172"/>
      <c r="R248" s="172"/>
      <c r="S248" s="173"/>
    </row>
    <row r="249" spans="1:19" ht="16.95" customHeight="1" x14ac:dyDescent="0.3">
      <c r="K249" s="95">
        <f t="shared" si="39"/>
        <v>-0.79878072322962912</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1499.9999999999909</v>
      </c>
      <c r="D251" s="12" t="s">
        <v>273</v>
      </c>
      <c r="N251" s="215"/>
      <c r="O251" s="172"/>
      <c r="P251" s="172"/>
      <c r="Q251" s="172"/>
      <c r="R251" s="172"/>
      <c r="S251" s="173"/>
    </row>
    <row r="252" spans="1:19" ht="16.95" customHeight="1" x14ac:dyDescent="0.3">
      <c r="A252" s="12" t="str">
        <f>A244</f>
        <v>C1Y</v>
      </c>
      <c r="B252" s="13" t="s">
        <v>220</v>
      </c>
      <c r="C252" s="17">
        <v>8050.0000000000073</v>
      </c>
      <c r="D252" s="12" t="s">
        <v>273</v>
      </c>
      <c r="N252" s="215"/>
      <c r="O252" s="172"/>
      <c r="P252" s="172"/>
      <c r="Q252" s="172"/>
      <c r="R252" s="172"/>
      <c r="S252" s="173"/>
    </row>
    <row r="253" spans="1:19" ht="16.95" customHeight="1" x14ac:dyDescent="0.3">
      <c r="A253" s="12" t="str">
        <f>A245</f>
        <v>C3Y</v>
      </c>
      <c r="C253" s="17">
        <v>9450.0000000000091</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0.16989087301587333</v>
      </c>
    </row>
    <row r="261" spans="1:19" ht="19.05" customHeight="1" x14ac:dyDescent="0.3">
      <c r="A261" s="12" t="s">
        <v>231</v>
      </c>
      <c r="B261" s="12" t="s">
        <v>181</v>
      </c>
      <c r="D261" s="94">
        <f t="shared" si="40"/>
        <v>-0.9122981119473903</v>
      </c>
    </row>
    <row r="262" spans="1:19" ht="19.05" customHeight="1" x14ac:dyDescent="0.3">
      <c r="A262" s="12" t="s">
        <v>232</v>
      </c>
      <c r="B262" s="12" t="s">
        <v>182</v>
      </c>
      <c r="D262" s="94">
        <f t="shared" si="40"/>
        <v>0.40426587301587363</v>
      </c>
    </row>
    <row r="263" spans="1:19" ht="19.05" customHeight="1" x14ac:dyDescent="0.3">
      <c r="A263" s="12" t="s">
        <v>234</v>
      </c>
      <c r="B263" s="12" t="s">
        <v>183</v>
      </c>
      <c r="D263" s="94">
        <f t="shared" si="40"/>
        <v>0</v>
      </c>
    </row>
    <row r="264" spans="1:19" ht="19.05" customHeight="1" x14ac:dyDescent="0.3">
      <c r="A264" s="12" t="s">
        <v>235</v>
      </c>
      <c r="B264" s="12" t="s">
        <v>184</v>
      </c>
      <c r="D264" s="94">
        <f t="shared" si="40"/>
        <v>0.22036405412840537</v>
      </c>
    </row>
    <row r="265" spans="1:19" ht="19.05" customHeight="1" x14ac:dyDescent="0.3">
      <c r="A265" s="12" t="s">
        <v>236</v>
      </c>
      <c r="B265" s="12" t="s">
        <v>185</v>
      </c>
      <c r="D265" s="94">
        <f t="shared" si="40"/>
        <v>-0.79959969924897722</v>
      </c>
    </row>
    <row r="266" spans="1:19" ht="19.05" customHeight="1" x14ac:dyDescent="0.3">
      <c r="A266" s="12" t="s">
        <v>237</v>
      </c>
      <c r="B266" s="12" t="s">
        <v>186</v>
      </c>
      <c r="D266" s="94">
        <f t="shared" si="40"/>
        <v>1.1361382308495665E-2</v>
      </c>
    </row>
    <row r="267" spans="1:19" ht="19.05" customHeight="1" x14ac:dyDescent="0.3">
      <c r="A267" s="12" t="s">
        <v>238</v>
      </c>
      <c r="B267" s="12" t="s">
        <v>187</v>
      </c>
      <c r="D267" s="94">
        <f t="shared" si="40"/>
        <v>-0.79878072322962912</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50400</v>
      </c>
      <c r="C274" s="92">
        <f>-J6</f>
        <v>-1</v>
      </c>
      <c r="D274" s="92">
        <f>-K6</f>
        <v>0</v>
      </c>
      <c r="E274" s="92">
        <f>J6</f>
        <v>1</v>
      </c>
      <c r="F274" s="92">
        <f>K6</f>
        <v>0</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8562.5000000000164</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0.16989087301587333</v>
      </c>
      <c r="H276" s="12" t="str">
        <f>"D" &amp; E16 &amp; "X"</f>
        <v>D2X</v>
      </c>
      <c r="N276" s="215" t="s">
        <v>400</v>
      </c>
      <c r="O276" s="172"/>
      <c r="P276" s="172"/>
      <c r="Q276" s="172"/>
      <c r="R276" s="172"/>
      <c r="S276" s="173"/>
    </row>
    <row r="277" spans="1:19" ht="16.95" customHeight="1" x14ac:dyDescent="0.3">
      <c r="G277" s="96">
        <f>IFERROR(VLOOKUP(H277, A$258:D$267, 4, FALSE), 0)</f>
        <v>-0.9122981119473903</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50400</v>
      </c>
      <c r="C282" s="92">
        <f>-J7</f>
        <v>-1</v>
      </c>
      <c r="D282" s="92">
        <f>-K7</f>
        <v>0</v>
      </c>
      <c r="E282" s="92">
        <f>J7</f>
        <v>1</v>
      </c>
      <c r="F282" s="92">
        <f>K7</f>
        <v>0</v>
      </c>
      <c r="G282" s="96">
        <f>IFERROR(VLOOKUP(H282, A$258:D$267, 4, FALSE), 0)</f>
        <v>0.16989087301587333</v>
      </c>
      <c r="H282" s="12" t="str">
        <f>"D" &amp; C17 &amp; "X"</f>
        <v>D2X</v>
      </c>
      <c r="N282" s="215"/>
      <c r="O282" s="172"/>
      <c r="P282" s="172"/>
      <c r="Q282" s="172"/>
      <c r="R282" s="172"/>
      <c r="S282" s="173"/>
    </row>
    <row r="283" spans="1:19" ht="16.95" customHeight="1" x14ac:dyDescent="0.3">
      <c r="A283" s="99" t="s">
        <v>286</v>
      </c>
      <c r="B283" s="97">
        <f>(MMULT(C282:F282, G282:G285)*A282)</f>
        <v>11812.500000000015</v>
      </c>
      <c r="G283" s="96">
        <f>IFERROR(VLOOKUP(H283, A$258:D$267, 4, FALSE), 0)</f>
        <v>-0.9122981119473903</v>
      </c>
      <c r="H283" s="12" t="str">
        <f>"D" &amp; D17 &amp; "Y"</f>
        <v>D2Y</v>
      </c>
      <c r="N283" s="215"/>
      <c r="O283" s="172"/>
      <c r="P283" s="172"/>
      <c r="Q283" s="172"/>
      <c r="R283" s="172"/>
      <c r="S283" s="173"/>
    </row>
    <row r="284" spans="1:19" ht="16.95" customHeight="1" x14ac:dyDescent="0.3">
      <c r="G284" s="96">
        <f>IFERROR(VLOOKUP(H284, A$258:D$267, 4, FALSE), 0)</f>
        <v>0.40426587301587363</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39355.787995928731</v>
      </c>
      <c r="C290" s="92">
        <f>-J8</f>
        <v>-0.78086880944303039</v>
      </c>
      <c r="D290" s="92">
        <f>-K8</f>
        <v>-0.62469504755442429</v>
      </c>
      <c r="E290" s="92">
        <f>J8</f>
        <v>0.78086880944303039</v>
      </c>
      <c r="F290" s="92">
        <f>K8</f>
        <v>0.62469504755442429</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-12886.287527833618</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0.22036405412840537</v>
      </c>
      <c r="H292" s="12" t="str">
        <f>"D" &amp; E18 &amp; "X"</f>
        <v>D4X</v>
      </c>
      <c r="N292" s="215"/>
      <c r="O292" s="172"/>
      <c r="P292" s="172"/>
      <c r="Q292" s="172"/>
      <c r="R292" s="172"/>
      <c r="S292" s="173"/>
    </row>
    <row r="293" spans="1:19" ht="16.95" customHeight="1" x14ac:dyDescent="0.3">
      <c r="G293" s="96">
        <f>IFERROR(VLOOKUP(H293, A$258:D$267, 4, FALSE), 0)</f>
        <v>-0.79959969924897722</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78711.575991857462</v>
      </c>
      <c r="C298" s="92">
        <f>-J9</f>
        <v>-0.78086880944303039</v>
      </c>
      <c r="D298" s="92">
        <f>-K9</f>
        <v>0.62469504755442429</v>
      </c>
      <c r="E298" s="92">
        <f>J9</f>
        <v>0.78086880944303039</v>
      </c>
      <c r="F298" s="92">
        <f>K9</f>
        <v>-0.62469504755442429</v>
      </c>
      <c r="G298" s="96">
        <f>IFERROR(VLOOKUP(H298, A$258:D$267, 4, FALSE), 0)</f>
        <v>0.22036405412840537</v>
      </c>
      <c r="H298" s="12" t="str">
        <f>"D" &amp; C19 &amp; "X"</f>
        <v>D4X</v>
      </c>
    </row>
    <row r="299" spans="1:19" ht="19.95" customHeight="1" x14ac:dyDescent="0.3">
      <c r="A299" s="99" t="s">
        <v>288</v>
      </c>
      <c r="B299" s="97">
        <f>(MMULT(C298:F298, G298:G301)*A298)</f>
        <v>-12886.287527833609</v>
      </c>
      <c r="G299" s="96">
        <f>IFERROR(VLOOKUP(H299, A$258:D$267, 4, FALSE), 0)</f>
        <v>-0.79959969924897722</v>
      </c>
      <c r="H299" s="12" t="str">
        <f>"D" &amp; D19 &amp; "Y"</f>
        <v>D4Y</v>
      </c>
    </row>
    <row r="300" spans="1:19" ht="19.95" customHeight="1" x14ac:dyDescent="0.3">
      <c r="G300" s="96">
        <f>IFERROR(VLOOKUP(H300, A$258:D$267, 4, FALSE), 0)</f>
        <v>1.1361382308495665E-2</v>
      </c>
      <c r="H300" s="12" t="str">
        <f>"D" &amp; E19 &amp; "X"</f>
        <v>D5X</v>
      </c>
    </row>
    <row r="301" spans="1:19" ht="19.95" customHeight="1" x14ac:dyDescent="0.3">
      <c r="G301" s="96">
        <f>IFERROR(VLOOKUP(H301, A$258:D$267, 4, FALSE), 0)</f>
        <v>-0.79878072322962912</v>
      </c>
      <c r="H301" s="12" t="str">
        <f>"D" &amp; F19 &amp; "Y"</f>
        <v>D5Y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78711.575991857462</v>
      </c>
      <c r="C306" s="92">
        <f>-J10</f>
        <v>-0.78086880944303039</v>
      </c>
      <c r="D306" s="92">
        <f>-K10</f>
        <v>0.62469504755442429</v>
      </c>
      <c r="E306" s="92">
        <f>J10</f>
        <v>0.78086880944303039</v>
      </c>
      <c r="F306" s="92">
        <f>K10</f>
        <v>-0.62469504755442429</v>
      </c>
      <c r="G306" s="96">
        <f>IFERROR(VLOOKUP(H306, A$258:D$267, 4, FALSE), 0)</f>
        <v>1.1361382308495665E-2</v>
      </c>
      <c r="H306" s="12" t="str">
        <f>"D" &amp; C20 &amp; "X"</f>
        <v>D5X</v>
      </c>
    </row>
    <row r="307" spans="1:8" ht="19.95" customHeight="1" x14ac:dyDescent="0.3">
      <c r="A307" s="99" t="s">
        <v>289</v>
      </c>
      <c r="B307" s="97">
        <f>(MMULT(C306:F306, G306:G309)*A306)</f>
        <v>-15127.38101093512</v>
      </c>
      <c r="G307" s="96">
        <f>IFERROR(VLOOKUP(H307, A$258:D$267, 4, FALSE), 0)</f>
        <v>-0.79878072322962912</v>
      </c>
      <c r="H307" s="12" t="str">
        <f>"D" &amp; D20 &amp; "Y"</f>
        <v>D5Y</v>
      </c>
    </row>
    <row r="308" spans="1:8" ht="19.95" customHeight="1" x14ac:dyDescent="0.3">
      <c r="G308" s="96">
        <f>IFERROR(VLOOKUP(H308, A$258:D$267, 4, FALSE), 0)</f>
        <v>0.40426587301587363</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78" t="str">
        <f>IF(B307&gt;0.001,"BARRA A TRACCIÓN (+)",IF(B307&lt;-0.001,"BARRA A COMPRESIÓN (-)","BARRA DE FUERZA NULA"))</f>
        <v>BARRA A COMPRESIÓN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63000</v>
      </c>
      <c r="C314" s="92">
        <f>-J11</f>
        <v>0</v>
      </c>
      <c r="D314" s="92">
        <f>-K11</f>
        <v>-1</v>
      </c>
      <c r="E314" s="92">
        <f>J11</f>
        <v>0</v>
      </c>
      <c r="F314" s="92">
        <f>K11</f>
        <v>1</v>
      </c>
      <c r="G314" s="96">
        <f>IFERROR(VLOOKUP(H314, A$258:D$267, 4, FALSE), 0)</f>
        <v>0.16989087301587333</v>
      </c>
      <c r="H314" s="12" t="str">
        <f>"D" &amp; C21 &amp; "X"</f>
        <v>D2X</v>
      </c>
    </row>
    <row r="315" spans="1:8" ht="19.95" customHeight="1" x14ac:dyDescent="0.3">
      <c r="A315" s="99" t="s">
        <v>290</v>
      </c>
      <c r="B315" s="97">
        <f>(MMULT(C314:F314, G314:G317)*A314)</f>
        <v>7100.0000000000236</v>
      </c>
      <c r="G315" s="96">
        <f>IFERROR(VLOOKUP(H315, A$258:D$267, 4, FALSE), 0)</f>
        <v>-0.9122981119473903</v>
      </c>
      <c r="H315" s="12" t="str">
        <f>"D" &amp; D21 &amp; "Y"</f>
        <v>D2Y</v>
      </c>
    </row>
    <row r="316" spans="1:8" ht="19.95" customHeight="1" x14ac:dyDescent="0.3">
      <c r="G316" s="96">
        <f>IFERROR(VLOOKUP(H316, A$258:D$267, 4, FALSE), 0)</f>
        <v>0.22036405412840537</v>
      </c>
      <c r="H316" s="12" t="str">
        <f>"D" &amp; E21 &amp; "X"</f>
        <v>D4X</v>
      </c>
    </row>
    <row r="317" spans="1:8" ht="19.95" customHeight="1" x14ac:dyDescent="0.3">
      <c r="G317" s="96">
        <f>IFERROR(VLOOKUP(H317, A$258:D$267, 4, FALSE), 0)</f>
        <v>-0.79959969924897722</v>
      </c>
      <c r="H317" s="12" t="str">
        <f>"D" &amp; F21 &amp; "Y"</f>
        <v>D4Y</v>
      </c>
    </row>
    <row r="318" spans="1:8" ht="19.95" customHeight="1" x14ac:dyDescent="0.3">
      <c r="B318" s="99" t="s">
        <v>273</v>
      </c>
      <c r="C318" s="178" t="str">
        <f>IF(B315&gt;0.001,"BARRA A TRACCIÓN (+)",IF(B315&lt;-0.001,"BARRA A COMPRESIÓN (-)","BARRA DE FUERZA NULA"))</f>
        <v>BARRA A TRACCIÓN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78711.575991857462</v>
      </c>
      <c r="C322" s="92">
        <f>-J12</f>
        <v>-0.78086880944303039</v>
      </c>
      <c r="D322" s="92">
        <f>-K12</f>
        <v>-0.62469504755442429</v>
      </c>
      <c r="E322" s="92">
        <f>J12</f>
        <v>0.78086880944303039</v>
      </c>
      <c r="F322" s="92">
        <f>K12</f>
        <v>0.62469504755442429</v>
      </c>
      <c r="G322" s="96">
        <f>IFERROR(VLOOKUP(H322, A$258:D$267, 4, FALSE), 0)</f>
        <v>0.16989087301587333</v>
      </c>
      <c r="H322" s="12" t="str">
        <f>"D" &amp; C22 &amp; "X"</f>
        <v>D2X</v>
      </c>
    </row>
    <row r="323" spans="1:8" ht="19.95" customHeight="1" x14ac:dyDescent="0.3">
      <c r="A323" s="99" t="s">
        <v>291</v>
      </c>
      <c r="B323" s="97">
        <f>(MMULT(C322:F322, G322:G325)*A322)</f>
        <v>-4162.0307543313456</v>
      </c>
      <c r="G323" s="96">
        <f>IFERROR(VLOOKUP(H323, A$258:D$267, 4, FALSE), 0)</f>
        <v>-0.9122981119473903</v>
      </c>
      <c r="H323" s="12" t="str">
        <f>"D" &amp; D22 &amp; "Y"</f>
        <v>D2Y</v>
      </c>
    </row>
    <row r="324" spans="1:8" ht="19.95" customHeight="1" x14ac:dyDescent="0.3">
      <c r="G324" s="96">
        <f>IFERROR(VLOOKUP(H324, A$258:D$267, 4, FALSE), 0)</f>
        <v>1.1361382308495665E-2</v>
      </c>
      <c r="H324" s="12" t="str">
        <f>"D" &amp; E22 &amp; "X"</f>
        <v>D5X</v>
      </c>
    </row>
    <row r="325" spans="1:8" ht="19.95" customHeight="1" x14ac:dyDescent="0.3">
      <c r="G325" s="96">
        <f>IFERROR(VLOOKUP(H325, A$258:D$267, 4, FALSE), 0)</f>
        <v>-0.79878072322962912</v>
      </c>
      <c r="H325" s="12" t="str">
        <f>"D" &amp; F22 &amp; "Y"</f>
        <v>D5Y</v>
      </c>
    </row>
    <row r="326" spans="1:8" ht="19.95" customHeight="1" x14ac:dyDescent="0.3">
      <c r="B326" s="99" t="s">
        <v>273</v>
      </c>
      <c r="C326" s="178" t="str">
        <f>IF(B323&gt;0.001,"BARRA A TRACCIÓN (+)",IF(B323&lt;-0.001,"BARRA A COMPRESIÓN (-)","BARRA DE FUERZA NULA"))</f>
        <v>BARRA A COMPRESIÓN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500</v>
      </c>
      <c r="F331" s="9">
        <f t="shared" ref="F331:F337" si="44">L6</f>
        <v>12</v>
      </c>
      <c r="G331" s="97">
        <f>B275</f>
        <v>8562.5000000000164</v>
      </c>
      <c r="H331" s="84" t="str">
        <f>C278</f>
        <v>BARRA A TRACCIÓN (+)</v>
      </c>
    </row>
    <row r="332" spans="1:8" ht="19.95" customHeight="1" x14ac:dyDescent="0.3">
      <c r="B332" s="25">
        <v>2</v>
      </c>
      <c r="C332" s="86">
        <f t="shared" si="41"/>
        <v>2</v>
      </c>
      <c r="D332" s="86">
        <f t="shared" si="42"/>
        <v>3</v>
      </c>
      <c r="E332" s="9">
        <f t="shared" si="43"/>
        <v>500</v>
      </c>
      <c r="F332" s="9">
        <f t="shared" si="44"/>
        <v>12</v>
      </c>
      <c r="G332" s="97">
        <f>B283</f>
        <v>11812.500000000015</v>
      </c>
      <c r="H332" s="84" t="str">
        <f>C286</f>
        <v>BARRA A TRACCIÓN (+)</v>
      </c>
    </row>
    <row r="333" spans="1:8" ht="19.95" customHeight="1" x14ac:dyDescent="0.3">
      <c r="B333" s="26">
        <v>3</v>
      </c>
      <c r="C333" s="86">
        <f t="shared" si="41"/>
        <v>1</v>
      </c>
      <c r="D333" s="86">
        <f t="shared" si="42"/>
        <v>4</v>
      </c>
      <c r="E333" s="9">
        <f t="shared" si="43"/>
        <v>640.31242374328485</v>
      </c>
      <c r="F333" s="9">
        <f t="shared" si="44"/>
        <v>12</v>
      </c>
      <c r="G333" s="97">
        <f>B291</f>
        <v>-12886.287527833618</v>
      </c>
      <c r="H333" s="84" t="str">
        <f>C294</f>
        <v>BARRA A COMPRESIÓN (-)</v>
      </c>
    </row>
    <row r="334" spans="1:8" ht="19.95" customHeight="1" x14ac:dyDescent="0.3">
      <c r="B334" s="43">
        <v>4</v>
      </c>
      <c r="C334" s="86">
        <f t="shared" si="41"/>
        <v>4</v>
      </c>
      <c r="D334" s="86">
        <f t="shared" si="42"/>
        <v>5</v>
      </c>
      <c r="E334" s="9">
        <f t="shared" si="43"/>
        <v>320.15621187164243</v>
      </c>
      <c r="F334" s="9">
        <f t="shared" si="44"/>
        <v>12</v>
      </c>
      <c r="G334" s="97">
        <f>B299</f>
        <v>-12886.287527833609</v>
      </c>
      <c r="H334" s="84" t="str">
        <f>C302</f>
        <v>BARRA A COMPRESIÓN (-)</v>
      </c>
    </row>
    <row r="335" spans="1:8" ht="19.95" customHeight="1" x14ac:dyDescent="0.3">
      <c r="B335" s="44">
        <v>5</v>
      </c>
      <c r="C335" s="86">
        <f t="shared" si="41"/>
        <v>5</v>
      </c>
      <c r="D335" s="86">
        <f t="shared" si="42"/>
        <v>3</v>
      </c>
      <c r="E335" s="9">
        <f t="shared" si="43"/>
        <v>320.15621187164243</v>
      </c>
      <c r="F335" s="9">
        <f t="shared" si="44"/>
        <v>12</v>
      </c>
      <c r="G335" s="97">
        <f>B307</f>
        <v>-15127.38101093512</v>
      </c>
      <c r="H335" s="84" t="str">
        <f>C310</f>
        <v>BARRA A COMPRESIÓN (-)</v>
      </c>
    </row>
    <row r="336" spans="1:8" ht="19.95" customHeight="1" x14ac:dyDescent="0.3">
      <c r="B336" s="51">
        <v>6</v>
      </c>
      <c r="C336" s="86">
        <f t="shared" si="41"/>
        <v>2</v>
      </c>
      <c r="D336" s="86">
        <f t="shared" si="42"/>
        <v>4</v>
      </c>
      <c r="E336" s="9">
        <f t="shared" si="43"/>
        <v>400</v>
      </c>
      <c r="F336" s="9">
        <f t="shared" si="44"/>
        <v>12</v>
      </c>
      <c r="G336" s="97">
        <f>B315</f>
        <v>7100.0000000000236</v>
      </c>
      <c r="H336" s="84" t="str">
        <f>C318</f>
        <v>BARRA A TRACCIÓN (+)</v>
      </c>
    </row>
    <row r="337" spans="2:8" ht="19.95" customHeight="1" x14ac:dyDescent="0.3">
      <c r="B337" s="52">
        <v>7</v>
      </c>
      <c r="C337" s="86">
        <f t="shared" si="41"/>
        <v>2</v>
      </c>
      <c r="D337" s="86">
        <f t="shared" si="42"/>
        <v>5</v>
      </c>
      <c r="E337" s="9">
        <f t="shared" si="43"/>
        <v>320.15621187164243</v>
      </c>
      <c r="F337" s="9">
        <f t="shared" si="44"/>
        <v>12</v>
      </c>
      <c r="G337" s="97">
        <f>B323</f>
        <v>-4162.0307543313456</v>
      </c>
      <c r="H337" s="84" t="str">
        <f>C326</f>
        <v>BARRA A COMPRESIÓN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493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300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300</v>
      </c>
      <c r="AC8" t="s">
        <v>316</v>
      </c>
    </row>
    <row r="9" spans="2:29" x14ac:dyDescent="0.3">
      <c r="AA9" s="20">
        <f>IF(G29="","",G29)</f>
        <v>350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350</v>
      </c>
      <c r="AB11" s="20">
        <f>IF(F30="","",F30)</f>
        <v>300</v>
      </c>
      <c r="AC11" t="s">
        <v>324</v>
      </c>
    </row>
    <row r="12" spans="2:29" x14ac:dyDescent="0.3">
      <c r="AA12" s="20">
        <f>IF(G30="","",G30)</f>
        <v>350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494</v>
      </c>
      <c r="K14" s="172"/>
      <c r="L14" s="172"/>
      <c r="M14" s="172"/>
      <c r="N14" s="172"/>
      <c r="O14" s="173"/>
      <c r="AA14" s="20">
        <f>IF(E31="","",E31)</f>
        <v>350</v>
      </c>
      <c r="AB14" s="20">
        <f>IF(F31="","",F31)</f>
        <v>0</v>
      </c>
      <c r="AC14" t="s">
        <v>328</v>
      </c>
    </row>
    <row r="15" spans="2:29" ht="19.05" customHeight="1" x14ac:dyDescent="0.3">
      <c r="B15" s="89">
        <v>2</v>
      </c>
      <c r="C15" s="21">
        <v>0</v>
      </c>
      <c r="D15" s="21">
        <v>300</v>
      </c>
      <c r="E15" s="21" t="s">
        <v>417</v>
      </c>
      <c r="F15" s="88">
        <f t="shared" si="0"/>
        <v>1</v>
      </c>
      <c r="G15" s="88">
        <f t="shared" si="1"/>
        <v>0</v>
      </c>
      <c r="H15" s="22">
        <v>0</v>
      </c>
      <c r="I15" s="22">
        <v>0</v>
      </c>
      <c r="J15" s="205" t="s">
        <v>495</v>
      </c>
      <c r="K15" s="172"/>
      <c r="L15" s="172"/>
      <c r="M15" s="172"/>
      <c r="N15" s="172"/>
      <c r="O15" s="173"/>
      <c r="AA15" s="20">
        <f>IF(G31="","",G31)</f>
        <v>0</v>
      </c>
      <c r="AB15" s="20">
        <f>IF(H31="","",H31)</f>
        <v>0</v>
      </c>
      <c r="AC15" t="s">
        <v>331</v>
      </c>
    </row>
    <row r="16" spans="2:29" ht="19.05" customHeight="1" x14ac:dyDescent="0.3">
      <c r="B16" s="89">
        <v>3</v>
      </c>
      <c r="C16" s="21">
        <v>350</v>
      </c>
      <c r="D16" s="21">
        <v>300</v>
      </c>
      <c r="E16" s="21" t="s">
        <v>326</v>
      </c>
      <c r="F16" s="88">
        <f t="shared" si="0"/>
        <v>0</v>
      </c>
      <c r="G16" s="88">
        <f t="shared" si="1"/>
        <v>0</v>
      </c>
      <c r="H16" s="22">
        <v>0</v>
      </c>
      <c r="I16" s="22">
        <v>-5000</v>
      </c>
      <c r="J16" s="205" t="s">
        <v>496</v>
      </c>
      <c r="K16" s="172"/>
      <c r="L16" s="172"/>
      <c r="M16" s="172"/>
      <c r="N16" s="172"/>
      <c r="O16" s="173"/>
    </row>
    <row r="17" spans="2:29" ht="19.05" customHeight="1" x14ac:dyDescent="0.3">
      <c r="B17" s="89">
        <v>4</v>
      </c>
      <c r="C17" s="21">
        <v>350</v>
      </c>
      <c r="D17" s="21">
        <v>0</v>
      </c>
      <c r="E17" s="21" t="s">
        <v>326</v>
      </c>
      <c r="F17" s="88">
        <f t="shared" si="0"/>
        <v>0</v>
      </c>
      <c r="G17" s="88">
        <f t="shared" si="1"/>
        <v>0</v>
      </c>
      <c r="H17" s="22">
        <v>0</v>
      </c>
      <c r="I17" s="22">
        <v>-4000</v>
      </c>
      <c r="J17" s="205" t="s">
        <v>497</v>
      </c>
      <c r="K17" s="172"/>
      <c r="L17" s="172"/>
      <c r="M17" s="172"/>
      <c r="N17" s="172"/>
      <c r="O17" s="173"/>
      <c r="AA17" s="20">
        <f>IF(E32="","",E32)</f>
        <v>0</v>
      </c>
      <c r="AB17" s="20">
        <f>IF(F32="","",F32)</f>
        <v>300</v>
      </c>
      <c r="AC17" t="s">
        <v>334</v>
      </c>
    </row>
    <row r="18" spans="2:29" ht="19.05" customHeight="1" x14ac:dyDescent="0.3">
      <c r="B18" s="89">
        <v>5</v>
      </c>
      <c r="C18" s="21">
        <v>700</v>
      </c>
      <c r="D18" s="21">
        <v>0</v>
      </c>
      <c r="E18" s="21" t="s">
        <v>326</v>
      </c>
      <c r="F18" s="88">
        <f t="shared" si="0"/>
        <v>0</v>
      </c>
      <c r="G18" s="88">
        <f t="shared" si="1"/>
        <v>0</v>
      </c>
      <c r="H18" s="22">
        <v>1500</v>
      </c>
      <c r="I18" s="22">
        <v>-6500</v>
      </c>
      <c r="J18" s="205" t="s">
        <v>415</v>
      </c>
      <c r="K18" s="172"/>
      <c r="L18" s="172"/>
      <c r="M18" s="172"/>
      <c r="N18" s="172"/>
      <c r="O18" s="173"/>
      <c r="AA18" s="20">
        <f>IF(G32="","",G32)</f>
        <v>350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350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700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350</v>
      </c>
      <c r="AB23" s="20">
        <f>IF(F34="","",F34)</f>
        <v>0</v>
      </c>
      <c r="AC23" t="s">
        <v>338</v>
      </c>
    </row>
    <row r="24" spans="2:29" x14ac:dyDescent="0.3">
      <c r="AA24" s="20">
        <f>IF(G34="","",G34)</f>
        <v>700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300</v>
      </c>
      <c r="I28" s="9">
        <f t="shared" ref="I28:I42" si="6">IF(G28="","",G28-E28)</f>
        <v>0</v>
      </c>
      <c r="J28" s="9">
        <f t="shared" ref="J28:J42" si="7">IF(H28="","",H28-F28)</f>
        <v>300</v>
      </c>
      <c r="K28" s="9">
        <f t="shared" ref="K28:K42" si="8">IF(I28="","",SQRT(I28^2+J28^2))</f>
        <v>300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300</v>
      </c>
      <c r="G29" s="5">
        <f t="shared" si="4"/>
        <v>350</v>
      </c>
      <c r="H29" s="5">
        <f t="shared" si="5"/>
        <v>300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300</v>
      </c>
      <c r="G30" s="5">
        <f t="shared" si="4"/>
        <v>350</v>
      </c>
      <c r="H30" s="5">
        <f t="shared" si="5"/>
        <v>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350</v>
      </c>
      <c r="F31" s="5">
        <f t="shared" si="3"/>
        <v>0</v>
      </c>
      <c r="G31" s="5">
        <f t="shared" si="4"/>
        <v>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2</v>
      </c>
      <c r="D32" s="23">
        <v>4</v>
      </c>
      <c r="E32" s="5">
        <f t="shared" si="2"/>
        <v>0</v>
      </c>
      <c r="F32" s="5">
        <f t="shared" si="3"/>
        <v>300</v>
      </c>
      <c r="G32" s="5">
        <f t="shared" si="4"/>
        <v>350</v>
      </c>
      <c r="H32" s="5">
        <f t="shared" si="5"/>
        <v>0</v>
      </c>
      <c r="I32" s="9">
        <f t="shared" si="6"/>
        <v>350</v>
      </c>
      <c r="J32" s="9">
        <f t="shared" si="7"/>
        <v>-300</v>
      </c>
      <c r="K32" s="9">
        <f t="shared" si="8"/>
        <v>460.97722286464438</v>
      </c>
      <c r="L32" s="92">
        <f t="shared" si="9"/>
        <v>0.75925660236529657</v>
      </c>
      <c r="M32" s="92">
        <f t="shared" si="10"/>
        <v>-0.65079137345596849</v>
      </c>
      <c r="N32" s="22">
        <v>12</v>
      </c>
      <c r="O32" s="24">
        <v>2100000</v>
      </c>
      <c r="AA32" s="20" t="str">
        <f>IF(E37="","",E37)</f>
        <v/>
      </c>
      <c r="AB32" s="20" t="str">
        <f>IF(F37="","",F37)</f>
        <v/>
      </c>
      <c r="AC32" t="s">
        <v>355</v>
      </c>
    </row>
    <row r="33" spans="2:29" ht="19.05" customHeight="1" x14ac:dyDescent="0.3">
      <c r="B33" s="89">
        <v>6</v>
      </c>
      <c r="C33" s="23">
        <v>3</v>
      </c>
      <c r="D33" s="23">
        <v>5</v>
      </c>
      <c r="E33" s="5">
        <f t="shared" si="2"/>
        <v>350</v>
      </c>
      <c r="F33" s="5">
        <f t="shared" si="3"/>
        <v>300</v>
      </c>
      <c r="G33" s="5">
        <f t="shared" si="4"/>
        <v>700</v>
      </c>
      <c r="H33" s="5">
        <f t="shared" si="5"/>
        <v>0</v>
      </c>
      <c r="I33" s="9">
        <f t="shared" si="6"/>
        <v>350</v>
      </c>
      <c r="J33" s="9">
        <f t="shared" si="7"/>
        <v>-300</v>
      </c>
      <c r="K33" s="9">
        <f t="shared" si="8"/>
        <v>460.97722286464438</v>
      </c>
      <c r="L33" s="92">
        <f t="shared" si="9"/>
        <v>0.75925660236529657</v>
      </c>
      <c r="M33" s="92">
        <f t="shared" si="10"/>
        <v>-0.65079137345596849</v>
      </c>
      <c r="N33" s="22">
        <v>12</v>
      </c>
      <c r="O33" s="24">
        <v>2100000</v>
      </c>
      <c r="AA33" s="20" t="str">
        <f>IF(G37="","",G37)</f>
        <v/>
      </c>
      <c r="AB33" s="20" t="str">
        <f>IF(H37="","",H37)</f>
        <v/>
      </c>
      <c r="AC33" t="s">
        <v>356</v>
      </c>
    </row>
    <row r="34" spans="2:29" ht="19.05" customHeight="1" x14ac:dyDescent="0.3">
      <c r="B34" s="89">
        <v>7</v>
      </c>
      <c r="C34" s="23">
        <v>4</v>
      </c>
      <c r="D34" s="23">
        <v>5</v>
      </c>
      <c r="E34" s="5">
        <f t="shared" si="2"/>
        <v>350</v>
      </c>
      <c r="F34" s="5">
        <f t="shared" si="3"/>
        <v>0</v>
      </c>
      <c r="G34" s="5">
        <f t="shared" si="4"/>
        <v>700</v>
      </c>
      <c r="H34" s="5">
        <f t="shared" si="5"/>
        <v>0</v>
      </c>
      <c r="I34" s="9">
        <f t="shared" si="6"/>
        <v>350</v>
      </c>
      <c r="J34" s="9">
        <f t="shared" si="7"/>
        <v>0</v>
      </c>
      <c r="K34" s="9">
        <f t="shared" si="8"/>
        <v>350</v>
      </c>
      <c r="L34" s="92">
        <f t="shared" si="9"/>
        <v>1</v>
      </c>
      <c r="M34" s="92">
        <f t="shared" si="10"/>
        <v>0</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900-000000000000}">
      <formula1>"Fijo (articulado),Rodillo Y (despl. X libre),Rodillo X (despl. Y libre),Libre (0 reac.)"</formula1>
    </dataValidation>
  </dataValidations>
  <pageMargins left="0.75" right="0.75" top="1" bottom="1" header="0.5" footer="0.5"/>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498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GRAFICA_20!E28</f>
        <v>0</v>
      </c>
      <c r="D6" s="22">
        <f>GRAFICA_20!F28</f>
        <v>0</v>
      </c>
      <c r="E6" s="22">
        <f>GRAFICA_20!G28</f>
        <v>0</v>
      </c>
      <c r="F6" s="22">
        <f>GRAFICA_20!H28</f>
        <v>300</v>
      </c>
      <c r="G6" s="9">
        <f t="shared" ref="G6:H12" si="0">E6-C6</f>
        <v>0</v>
      </c>
      <c r="H6" s="9">
        <f t="shared" si="0"/>
        <v>300</v>
      </c>
      <c r="I6" s="9">
        <f t="shared" ref="I6:I12" si="1">SQRT(G6*G6+H6*H6)</f>
        <v>300</v>
      </c>
      <c r="J6" s="92">
        <f t="shared" ref="J6:J12" si="2">G6/I6</f>
        <v>0</v>
      </c>
      <c r="K6" s="92">
        <f t="shared" ref="K6:K12" si="3">H6/I6</f>
        <v>1</v>
      </c>
      <c r="L6" s="22">
        <f>GRAFICA_20!N28</f>
        <v>12</v>
      </c>
      <c r="M6" s="22">
        <f>GRAFICA_20!O28</f>
        <v>2100000</v>
      </c>
      <c r="N6" s="6">
        <f t="shared" ref="N6:N12" si="4">L6*M6/I6</f>
        <v>84000</v>
      </c>
    </row>
    <row r="7" spans="2:14" ht="19.05" customHeight="1" x14ac:dyDescent="0.3">
      <c r="B7" s="25">
        <v>2</v>
      </c>
      <c r="C7" s="22">
        <f>GRAFICA_20!E29</f>
        <v>0</v>
      </c>
      <c r="D7" s="22">
        <f>GRAFICA_20!F29</f>
        <v>300</v>
      </c>
      <c r="E7" s="22">
        <f>GRAFICA_20!G29</f>
        <v>350</v>
      </c>
      <c r="F7" s="22">
        <f>GRAFICA_20!H29</f>
        <v>300</v>
      </c>
      <c r="G7" s="9">
        <f t="shared" si="0"/>
        <v>350</v>
      </c>
      <c r="H7" s="9">
        <f t="shared" si="0"/>
        <v>0</v>
      </c>
      <c r="I7" s="9">
        <f t="shared" si="1"/>
        <v>350</v>
      </c>
      <c r="J7" s="92">
        <f t="shared" si="2"/>
        <v>1</v>
      </c>
      <c r="K7" s="92">
        <f t="shared" si="3"/>
        <v>0</v>
      </c>
      <c r="L7" s="22">
        <f>GRAFICA_20!N29</f>
        <v>12</v>
      </c>
      <c r="M7" s="22">
        <f>GRAFICA_20!O29</f>
        <v>2100000</v>
      </c>
      <c r="N7" s="6">
        <f t="shared" si="4"/>
        <v>72000</v>
      </c>
    </row>
    <row r="8" spans="2:14" ht="19.05" customHeight="1" x14ac:dyDescent="0.3">
      <c r="B8" s="26">
        <v>3</v>
      </c>
      <c r="C8" s="22">
        <f>GRAFICA_20!E30</f>
        <v>350</v>
      </c>
      <c r="D8" s="22">
        <f>GRAFICA_20!F30</f>
        <v>300</v>
      </c>
      <c r="E8" s="22">
        <f>GRAFICA_20!G30</f>
        <v>350</v>
      </c>
      <c r="F8" s="22">
        <f>GRAFICA_20!H30</f>
        <v>0</v>
      </c>
      <c r="G8" s="9">
        <f t="shared" si="0"/>
        <v>0</v>
      </c>
      <c r="H8" s="9">
        <f t="shared" si="0"/>
        <v>-300</v>
      </c>
      <c r="I8" s="9">
        <f t="shared" si="1"/>
        <v>300</v>
      </c>
      <c r="J8" s="92">
        <f t="shared" si="2"/>
        <v>0</v>
      </c>
      <c r="K8" s="92">
        <f t="shared" si="3"/>
        <v>-1</v>
      </c>
      <c r="L8" s="22">
        <f>GRAFICA_20!N30</f>
        <v>12</v>
      </c>
      <c r="M8" s="22">
        <f>GRAFICA_20!O30</f>
        <v>2100000</v>
      </c>
      <c r="N8" s="6">
        <f t="shared" si="4"/>
        <v>84000</v>
      </c>
    </row>
    <row r="9" spans="2:14" ht="19.05" customHeight="1" x14ac:dyDescent="0.3">
      <c r="B9" s="43">
        <v>4</v>
      </c>
      <c r="C9" s="22">
        <f>GRAFICA_20!E31</f>
        <v>350</v>
      </c>
      <c r="D9" s="22">
        <f>GRAFICA_20!F31</f>
        <v>0</v>
      </c>
      <c r="E9" s="22">
        <f>GRAFICA_20!G31</f>
        <v>0</v>
      </c>
      <c r="F9" s="22">
        <f>GRAFICA_20!H31</f>
        <v>0</v>
      </c>
      <c r="G9" s="9">
        <f t="shared" si="0"/>
        <v>-350</v>
      </c>
      <c r="H9" s="9">
        <f t="shared" si="0"/>
        <v>0</v>
      </c>
      <c r="I9" s="9">
        <f t="shared" si="1"/>
        <v>350</v>
      </c>
      <c r="J9" s="92">
        <f t="shared" si="2"/>
        <v>-1</v>
      </c>
      <c r="K9" s="92">
        <f t="shared" si="3"/>
        <v>0</v>
      </c>
      <c r="L9" s="22">
        <f>GRAFICA_20!N31</f>
        <v>12</v>
      </c>
      <c r="M9" s="22">
        <f>GRAFICA_20!O31</f>
        <v>2100000</v>
      </c>
      <c r="N9" s="6">
        <f t="shared" si="4"/>
        <v>72000</v>
      </c>
    </row>
    <row r="10" spans="2:14" ht="19.05" customHeight="1" x14ac:dyDescent="0.3">
      <c r="B10" s="44">
        <v>5</v>
      </c>
      <c r="C10" s="22">
        <f>GRAFICA_20!E32</f>
        <v>0</v>
      </c>
      <c r="D10" s="22">
        <f>GRAFICA_20!F32</f>
        <v>300</v>
      </c>
      <c r="E10" s="22">
        <f>GRAFICA_20!G32</f>
        <v>350</v>
      </c>
      <c r="F10" s="22">
        <f>GRAFICA_20!H32</f>
        <v>0</v>
      </c>
      <c r="G10" s="9">
        <f t="shared" si="0"/>
        <v>350</v>
      </c>
      <c r="H10" s="9">
        <f t="shared" si="0"/>
        <v>-300</v>
      </c>
      <c r="I10" s="9">
        <f t="shared" si="1"/>
        <v>460.97722286464438</v>
      </c>
      <c r="J10" s="92">
        <f t="shared" si="2"/>
        <v>0.75925660236529657</v>
      </c>
      <c r="K10" s="92">
        <f t="shared" si="3"/>
        <v>-0.65079137345596849</v>
      </c>
      <c r="L10" s="22">
        <f>GRAFICA_20!N32</f>
        <v>12</v>
      </c>
      <c r="M10" s="22">
        <f>GRAFICA_20!O32</f>
        <v>2100000</v>
      </c>
      <c r="N10" s="6">
        <f t="shared" si="4"/>
        <v>54666.475370301356</v>
      </c>
    </row>
    <row r="11" spans="2:14" ht="19.05" customHeight="1" x14ac:dyDescent="0.3">
      <c r="B11" s="51">
        <v>6</v>
      </c>
      <c r="C11" s="22">
        <f>GRAFICA_20!E33</f>
        <v>350</v>
      </c>
      <c r="D11" s="22">
        <f>GRAFICA_20!F33</f>
        <v>300</v>
      </c>
      <c r="E11" s="22">
        <f>GRAFICA_20!G33</f>
        <v>700</v>
      </c>
      <c r="F11" s="22">
        <f>GRAFICA_20!H33</f>
        <v>0</v>
      </c>
      <c r="G11" s="9">
        <f t="shared" si="0"/>
        <v>350</v>
      </c>
      <c r="H11" s="9">
        <f t="shared" si="0"/>
        <v>-300</v>
      </c>
      <c r="I11" s="9">
        <f t="shared" si="1"/>
        <v>460.97722286464438</v>
      </c>
      <c r="J11" s="92">
        <f t="shared" si="2"/>
        <v>0.75925660236529657</v>
      </c>
      <c r="K11" s="92">
        <f t="shared" si="3"/>
        <v>-0.65079137345596849</v>
      </c>
      <c r="L11" s="22">
        <f>GRAFICA_20!N33</f>
        <v>12</v>
      </c>
      <c r="M11" s="22">
        <f>GRAFICA_20!O33</f>
        <v>2100000</v>
      </c>
      <c r="N11" s="6">
        <f t="shared" si="4"/>
        <v>54666.475370301356</v>
      </c>
    </row>
    <row r="12" spans="2:14" ht="19.05" customHeight="1" x14ac:dyDescent="0.3">
      <c r="B12" s="52">
        <v>7</v>
      </c>
      <c r="C12" s="22">
        <f>GRAFICA_20!E34</f>
        <v>350</v>
      </c>
      <c r="D12" s="22">
        <f>GRAFICA_20!F34</f>
        <v>0</v>
      </c>
      <c r="E12" s="22">
        <f>GRAFICA_20!G34</f>
        <v>700</v>
      </c>
      <c r="F12" s="22">
        <f>GRAFICA_20!H34</f>
        <v>0</v>
      </c>
      <c r="G12" s="9">
        <f t="shared" si="0"/>
        <v>350</v>
      </c>
      <c r="H12" s="9">
        <f t="shared" si="0"/>
        <v>0</v>
      </c>
      <c r="I12" s="9">
        <f t="shared" si="1"/>
        <v>350</v>
      </c>
      <c r="J12" s="92">
        <f t="shared" si="2"/>
        <v>1</v>
      </c>
      <c r="K12" s="92">
        <f t="shared" si="3"/>
        <v>0</v>
      </c>
      <c r="L12" s="22">
        <f>GRAFICA_20!N34</f>
        <v>12</v>
      </c>
      <c r="M12" s="22">
        <f>GRAFICA_20!O34</f>
        <v>2100000</v>
      </c>
      <c r="N12" s="6">
        <f t="shared" si="4"/>
        <v>72000</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GRAFICA_20!C28</f>
        <v>1</v>
      </c>
      <c r="D16" s="23">
        <f>GRAFICA_20!C28</f>
        <v>1</v>
      </c>
      <c r="E16" s="23">
        <f>GRAFICA_20!D28</f>
        <v>2</v>
      </c>
      <c r="F16" s="23">
        <f>GRAFICA_20!D28</f>
        <v>2</v>
      </c>
    </row>
    <row r="17" spans="1:12" ht="19.05" customHeight="1" x14ac:dyDescent="0.3">
      <c r="B17" s="25">
        <v>2</v>
      </c>
      <c r="C17" s="23">
        <f>GRAFICA_20!C29</f>
        <v>2</v>
      </c>
      <c r="D17" s="23">
        <f>GRAFICA_20!C29</f>
        <v>2</v>
      </c>
      <c r="E17" s="23">
        <f>GRAFICA_20!D29</f>
        <v>3</v>
      </c>
      <c r="F17" s="23">
        <f>GRAFICA_20!D29</f>
        <v>3</v>
      </c>
    </row>
    <row r="18" spans="1:12" ht="19.05" customHeight="1" x14ac:dyDescent="0.3">
      <c r="B18" s="26">
        <v>3</v>
      </c>
      <c r="C18" s="23">
        <f>GRAFICA_20!C30</f>
        <v>3</v>
      </c>
      <c r="D18" s="23">
        <f>GRAFICA_20!C30</f>
        <v>3</v>
      </c>
      <c r="E18" s="23">
        <f>GRAFICA_20!D30</f>
        <v>4</v>
      </c>
      <c r="F18" s="23">
        <f>GRAFICA_20!D30</f>
        <v>4</v>
      </c>
    </row>
    <row r="19" spans="1:12" ht="19.05" customHeight="1" x14ac:dyDescent="0.3">
      <c r="B19" s="43">
        <v>4</v>
      </c>
      <c r="C19" s="23">
        <f>GRAFICA_20!C31</f>
        <v>4</v>
      </c>
      <c r="D19" s="23">
        <f>GRAFICA_20!C31</f>
        <v>4</v>
      </c>
      <c r="E19" s="23">
        <f>GRAFICA_20!D31</f>
        <v>1</v>
      </c>
      <c r="F19" s="23">
        <f>GRAFICA_20!D31</f>
        <v>1</v>
      </c>
    </row>
    <row r="20" spans="1:12" ht="19.05" customHeight="1" x14ac:dyDescent="0.3">
      <c r="B20" s="44">
        <v>5</v>
      </c>
      <c r="C20" s="23">
        <f>GRAFICA_20!C32</f>
        <v>2</v>
      </c>
      <c r="D20" s="23">
        <f>GRAFICA_20!C32</f>
        <v>2</v>
      </c>
      <c r="E20" s="23">
        <f>GRAFICA_20!D32</f>
        <v>4</v>
      </c>
      <c r="F20" s="23">
        <f>GRAFICA_20!D32</f>
        <v>4</v>
      </c>
    </row>
    <row r="21" spans="1:12" ht="19.05" customHeight="1" x14ac:dyDescent="0.3">
      <c r="B21" s="51">
        <v>6</v>
      </c>
      <c r="C21" s="23">
        <f>GRAFICA_20!C33</f>
        <v>3</v>
      </c>
      <c r="D21" s="23">
        <f>GRAFICA_20!C33</f>
        <v>3</v>
      </c>
      <c r="E21" s="23">
        <f>GRAFICA_20!D33</f>
        <v>5</v>
      </c>
      <c r="F21" s="23">
        <f>GRAFICA_20!D33</f>
        <v>5</v>
      </c>
    </row>
    <row r="22" spans="1:12" ht="19.05" customHeight="1" x14ac:dyDescent="0.3">
      <c r="B22" s="52">
        <v>7</v>
      </c>
      <c r="C22" s="23">
        <f>GRAFICA_20!C34</f>
        <v>4</v>
      </c>
      <c r="D22" s="23">
        <f>GRAFICA_20!C34</f>
        <v>4</v>
      </c>
      <c r="E22" s="23">
        <f>GRAFICA_20!D34</f>
        <v>5</v>
      </c>
      <c r="F22" s="23">
        <f>GRAFICA_20!D34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0</v>
      </c>
      <c r="C26" s="7">
        <f>J6*K6*N6</f>
        <v>0</v>
      </c>
      <c r="D26" s="7">
        <f>-B26</f>
        <v>0</v>
      </c>
      <c r="E26" s="7">
        <f>-C26</f>
        <v>0</v>
      </c>
      <c r="F26" s="27" t="str">
        <f>B25</f>
        <v>U1X</v>
      </c>
    </row>
    <row r="27" spans="1:12" ht="16.8" customHeight="1" x14ac:dyDescent="0.3">
      <c r="A27" s="28" t="s">
        <v>177</v>
      </c>
      <c r="B27" s="7">
        <f>C26</f>
        <v>0</v>
      </c>
      <c r="C27" s="7">
        <f>K6*K6*N6</f>
        <v>84000</v>
      </c>
      <c r="D27" s="7">
        <f>-B27</f>
        <v>0</v>
      </c>
      <c r="E27" s="7">
        <f>-C27</f>
        <v>-84000</v>
      </c>
      <c r="F27" s="27" t="str">
        <f>C25</f>
        <v>U1Y</v>
      </c>
    </row>
    <row r="28" spans="1:12" x14ac:dyDescent="0.3">
      <c r="B28" s="7">
        <f>D26</f>
        <v>0</v>
      </c>
      <c r="C28" s="7">
        <f>E26</f>
        <v>0</v>
      </c>
      <c r="D28" s="7">
        <f>B26</f>
        <v>0</v>
      </c>
      <c r="E28" s="7">
        <f>C26</f>
        <v>0</v>
      </c>
      <c r="F28" s="27" t="str">
        <f>D25</f>
        <v>U2X</v>
      </c>
    </row>
    <row r="29" spans="1:12" x14ac:dyDescent="0.3">
      <c r="B29" s="7">
        <f>D27</f>
        <v>0</v>
      </c>
      <c r="C29" s="7">
        <f>E27</f>
        <v>-84000</v>
      </c>
      <c r="D29" s="7">
        <f>B27</f>
        <v>0</v>
      </c>
      <c r="E29" s="7">
        <f>C27</f>
        <v>84000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0</v>
      </c>
      <c r="C32" s="8">
        <f t="shared" si="5"/>
        <v>0</v>
      </c>
      <c r="D32" s="8">
        <f t="shared" si="5"/>
        <v>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84000</v>
      </c>
      <c r="D33" s="8">
        <f t="shared" si="5"/>
        <v>0</v>
      </c>
      <c r="E33" s="8">
        <f t="shared" si="5"/>
        <v>-84000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0</v>
      </c>
      <c r="C34" s="8">
        <f t="shared" si="5"/>
        <v>0</v>
      </c>
      <c r="D34" s="8">
        <f t="shared" si="5"/>
        <v>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-84000</v>
      </c>
      <c r="D35" s="8">
        <f t="shared" si="5"/>
        <v>0</v>
      </c>
      <c r="E35" s="8">
        <f t="shared" si="5"/>
        <v>84000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72000</v>
      </c>
      <c r="C45" s="30">
        <f>J7*K7*N7</f>
        <v>0</v>
      </c>
      <c r="D45" s="30">
        <f>-B45</f>
        <v>-72000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-72000</v>
      </c>
      <c r="C47" s="30">
        <f>E45</f>
        <v>0</v>
      </c>
      <c r="D47" s="30">
        <f>B45</f>
        <v>72000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72000</v>
      </c>
      <c r="E53" s="31">
        <f t="shared" si="6"/>
        <v>0</v>
      </c>
      <c r="F53" s="31">
        <f t="shared" si="6"/>
        <v>-72000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U3X</v>
      </c>
      <c r="C63" s="32" t="str">
        <f>CONCATENATE("U",D18,D$15)</f>
        <v>U3Y</v>
      </c>
      <c r="D63" s="32" t="str">
        <f>CONCATENATE("U",E18,E$15)</f>
        <v>U4X</v>
      </c>
      <c r="E63" s="32" t="str">
        <f>CONCATENATE("U",F18,F$15)</f>
        <v>U4Y</v>
      </c>
    </row>
    <row r="64" spans="1:12" x14ac:dyDescent="0.3">
      <c r="B64" s="33">
        <f>J8*J8*N8</f>
        <v>0</v>
      </c>
      <c r="C64" s="33">
        <f>J8*K8*N8</f>
        <v>0</v>
      </c>
      <c r="D64" s="33">
        <f>-B64</f>
        <v>0</v>
      </c>
      <c r="E64" s="33">
        <f>-C64</f>
        <v>0</v>
      </c>
      <c r="F64" s="32" t="str">
        <f>B63</f>
        <v>U3X</v>
      </c>
    </row>
    <row r="65" spans="1:12" ht="16.8" customHeight="1" x14ac:dyDescent="0.3">
      <c r="A65" s="28" t="s">
        <v>193</v>
      </c>
      <c r="B65" s="33">
        <f>C64</f>
        <v>0</v>
      </c>
      <c r="C65" s="33">
        <f>K8*K8*N8</f>
        <v>84000</v>
      </c>
      <c r="D65" s="33">
        <f>-B65</f>
        <v>0</v>
      </c>
      <c r="E65" s="33">
        <f>-C65</f>
        <v>-84000</v>
      </c>
      <c r="F65" s="32" t="str">
        <f>C63</f>
        <v>U3Y</v>
      </c>
    </row>
    <row r="66" spans="1:12" x14ac:dyDescent="0.3">
      <c r="B66" s="33">
        <f>D64</f>
        <v>0</v>
      </c>
      <c r="C66" s="33">
        <f>E64</f>
        <v>0</v>
      </c>
      <c r="D66" s="33">
        <f>B64</f>
        <v>0</v>
      </c>
      <c r="E66" s="33">
        <f>C64</f>
        <v>0</v>
      </c>
      <c r="F66" s="32" t="str">
        <f>D63</f>
        <v>U4X</v>
      </c>
    </row>
    <row r="67" spans="1:12" x14ac:dyDescent="0.3">
      <c r="B67" s="33">
        <f>D65</f>
        <v>0</v>
      </c>
      <c r="C67" s="33">
        <f>E65</f>
        <v>-84000</v>
      </c>
      <c r="D67" s="33">
        <f>B65</f>
        <v>0</v>
      </c>
      <c r="E67" s="33">
        <f>C65</f>
        <v>84000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34">
        <f t="shared" si="7"/>
        <v>0</v>
      </c>
      <c r="G74" s="34">
        <f t="shared" si="7"/>
        <v>0</v>
      </c>
      <c r="H74" s="34">
        <f t="shared" si="7"/>
        <v>0</v>
      </c>
      <c r="I74" s="34">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34">
        <f t="shared" si="7"/>
        <v>0</v>
      </c>
      <c r="G75" s="34">
        <f t="shared" si="7"/>
        <v>84000</v>
      </c>
      <c r="H75" s="34">
        <f t="shared" si="7"/>
        <v>0</v>
      </c>
      <c r="I75" s="34">
        <f t="shared" si="7"/>
        <v>-84000</v>
      </c>
      <c r="J75" s="9">
        <f t="shared" si="7"/>
        <v>0</v>
      </c>
      <c r="K75" s="9">
        <f t="shared" si="7"/>
        <v>0</v>
      </c>
      <c r="L75" s="32" t="s">
        <v>183</v>
      </c>
    </row>
    <row r="76" spans="1:12" ht="19.05" customHeight="1" x14ac:dyDescent="0.3">
      <c r="B76" s="9">
        <f t="shared" si="7"/>
        <v>0</v>
      </c>
      <c r="C76" s="9">
        <f t="shared" si="7"/>
        <v>0</v>
      </c>
      <c r="D76" s="9">
        <f t="shared" si="7"/>
        <v>0</v>
      </c>
      <c r="E76" s="9">
        <f t="shared" si="7"/>
        <v>0</v>
      </c>
      <c r="F76" s="34">
        <f t="shared" si="7"/>
        <v>0</v>
      </c>
      <c r="G76" s="34">
        <f t="shared" si="7"/>
        <v>0</v>
      </c>
      <c r="H76" s="34">
        <f t="shared" si="7"/>
        <v>0</v>
      </c>
      <c r="I76" s="34">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34">
        <f t="shared" si="7"/>
        <v>0</v>
      </c>
      <c r="G77" s="34">
        <f t="shared" si="7"/>
        <v>-84000</v>
      </c>
      <c r="H77" s="34">
        <f t="shared" si="7"/>
        <v>0</v>
      </c>
      <c r="I77" s="34">
        <f t="shared" si="7"/>
        <v>84000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U1X</v>
      </c>
      <c r="E82" s="45" t="str">
        <f>CONCATENATE("U",F19,F$15)</f>
        <v>U1Y</v>
      </c>
    </row>
    <row r="83" spans="1:12" x14ac:dyDescent="0.3">
      <c r="B83" s="46">
        <f>J9*J9*N9</f>
        <v>72000</v>
      </c>
      <c r="C83" s="46">
        <f>J9*K9*N9</f>
        <v>0</v>
      </c>
      <c r="D83" s="46">
        <f>-B83</f>
        <v>-72000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-72000</v>
      </c>
      <c r="C85" s="46">
        <f>E83</f>
        <v>0</v>
      </c>
      <c r="D85" s="46">
        <f>B83</f>
        <v>72000</v>
      </c>
      <c r="E85" s="46">
        <f>C83</f>
        <v>0</v>
      </c>
      <c r="F85" s="45" t="str">
        <f>D82</f>
        <v>U1X</v>
      </c>
    </row>
    <row r="86" spans="1:12" x14ac:dyDescent="0.3">
      <c r="B86" s="46">
        <f>D84</f>
        <v>0</v>
      </c>
      <c r="C86" s="46">
        <f>E84</f>
        <v>0</v>
      </c>
      <c r="D86" s="46">
        <f>B84</f>
        <v>0</v>
      </c>
      <c r="E86" s="46">
        <f>C84</f>
        <v>0</v>
      </c>
      <c r="F86" s="45" t="str">
        <f>E82</f>
        <v>U1Y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47">
        <f t="shared" ref="B89:K98" si="8">IFERROR(INDEX($B$83:$E$86, MATCH($L89, $B$82:$E$82, 0), MATCH(B$88, $B$82:$E$82, 0)), 0)</f>
        <v>72000</v>
      </c>
      <c r="C89" s="47">
        <f t="shared" si="8"/>
        <v>0</v>
      </c>
      <c r="D89" s="9">
        <f t="shared" si="8"/>
        <v>0</v>
      </c>
      <c r="E89" s="9">
        <f t="shared" si="8"/>
        <v>0</v>
      </c>
      <c r="F89" s="9">
        <f t="shared" si="8"/>
        <v>0</v>
      </c>
      <c r="G89" s="9">
        <f t="shared" si="8"/>
        <v>0</v>
      </c>
      <c r="H89" s="47">
        <f t="shared" si="8"/>
        <v>-72000</v>
      </c>
      <c r="I89" s="47">
        <f t="shared" si="8"/>
        <v>0</v>
      </c>
      <c r="J89" s="9">
        <f t="shared" si="8"/>
        <v>0</v>
      </c>
      <c r="K89" s="9">
        <f t="shared" si="8"/>
        <v>0</v>
      </c>
      <c r="L89" s="45" t="s">
        <v>178</v>
      </c>
    </row>
    <row r="90" spans="1:12" ht="19.05" customHeight="1" x14ac:dyDescent="0.3">
      <c r="B90" s="47">
        <f t="shared" si="8"/>
        <v>0</v>
      </c>
      <c r="C90" s="47">
        <f t="shared" si="8"/>
        <v>0</v>
      </c>
      <c r="D90" s="9">
        <f t="shared" si="8"/>
        <v>0</v>
      </c>
      <c r="E90" s="9">
        <f t="shared" si="8"/>
        <v>0</v>
      </c>
      <c r="F90" s="9">
        <f t="shared" si="8"/>
        <v>0</v>
      </c>
      <c r="G90" s="9">
        <f t="shared" si="8"/>
        <v>0</v>
      </c>
      <c r="H90" s="47">
        <f t="shared" si="8"/>
        <v>0</v>
      </c>
      <c r="I90" s="47">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47">
        <f t="shared" si="8"/>
        <v>-72000</v>
      </c>
      <c r="C95" s="47">
        <f t="shared" si="8"/>
        <v>0</v>
      </c>
      <c r="D95" s="9">
        <f t="shared" si="8"/>
        <v>0</v>
      </c>
      <c r="E95" s="9">
        <f t="shared" si="8"/>
        <v>0</v>
      </c>
      <c r="F95" s="9">
        <f t="shared" si="8"/>
        <v>0</v>
      </c>
      <c r="G95" s="9">
        <f t="shared" si="8"/>
        <v>0</v>
      </c>
      <c r="H95" s="47">
        <f t="shared" si="8"/>
        <v>72000</v>
      </c>
      <c r="I95" s="47">
        <f t="shared" si="8"/>
        <v>0</v>
      </c>
      <c r="J95" s="9">
        <f t="shared" si="8"/>
        <v>0</v>
      </c>
      <c r="K95" s="9">
        <f t="shared" si="8"/>
        <v>0</v>
      </c>
      <c r="L95" s="45" t="s">
        <v>184</v>
      </c>
    </row>
    <row r="96" spans="1:12" ht="19.05" customHeight="1" x14ac:dyDescent="0.3">
      <c r="B96" s="47">
        <f t="shared" si="8"/>
        <v>0</v>
      </c>
      <c r="C96" s="47">
        <f t="shared" si="8"/>
        <v>0</v>
      </c>
      <c r="D96" s="9">
        <f t="shared" si="8"/>
        <v>0</v>
      </c>
      <c r="E96" s="9">
        <f t="shared" si="8"/>
        <v>0</v>
      </c>
      <c r="F96" s="9">
        <f t="shared" si="8"/>
        <v>0</v>
      </c>
      <c r="G96" s="9">
        <f t="shared" si="8"/>
        <v>0</v>
      </c>
      <c r="H96" s="47">
        <f t="shared" si="8"/>
        <v>0</v>
      </c>
      <c r="I96" s="47">
        <f t="shared" si="8"/>
        <v>0</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U2X</v>
      </c>
      <c r="C101" s="48" t="str">
        <f>CONCATENATE("U",D20,D$15)</f>
        <v>U2Y</v>
      </c>
      <c r="D101" s="48" t="str">
        <f>CONCATENATE("U",E20,E$15)</f>
        <v>U4X</v>
      </c>
      <c r="E101" s="48" t="str">
        <f>CONCATENATE("U",F20,F$15)</f>
        <v>U4Y</v>
      </c>
    </row>
    <row r="102" spans="1:12" x14ac:dyDescent="0.3">
      <c r="B102" s="49">
        <f>J10*J10*N10</f>
        <v>31513.615213467838</v>
      </c>
      <c r="C102" s="49">
        <f>J10*K10*N10</f>
        <v>-27011.670182972433</v>
      </c>
      <c r="D102" s="49">
        <f>-B102</f>
        <v>-31513.615213467838</v>
      </c>
      <c r="E102" s="49">
        <f>-C102</f>
        <v>27011.670182972433</v>
      </c>
      <c r="F102" s="48" t="str">
        <f>B101</f>
        <v>U2X</v>
      </c>
    </row>
    <row r="103" spans="1:12" ht="16.8" customHeight="1" x14ac:dyDescent="0.3">
      <c r="A103" s="28" t="s">
        <v>197</v>
      </c>
      <c r="B103" s="49">
        <f>C102</f>
        <v>-27011.670182972433</v>
      </c>
      <c r="C103" s="49">
        <f>K10*K10*N10</f>
        <v>23152.860156833514</v>
      </c>
      <c r="D103" s="49">
        <f>-B103</f>
        <v>27011.670182972433</v>
      </c>
      <c r="E103" s="49">
        <f>-C103</f>
        <v>-23152.860156833514</v>
      </c>
      <c r="F103" s="48" t="str">
        <f>C101</f>
        <v>U2Y</v>
      </c>
    </row>
    <row r="104" spans="1:12" x14ac:dyDescent="0.3">
      <c r="B104" s="49">
        <f>D102</f>
        <v>-31513.615213467838</v>
      </c>
      <c r="C104" s="49">
        <f>E102</f>
        <v>27011.670182972433</v>
      </c>
      <c r="D104" s="49">
        <f>B102</f>
        <v>31513.615213467838</v>
      </c>
      <c r="E104" s="49">
        <f>C102</f>
        <v>-27011.670182972433</v>
      </c>
      <c r="F104" s="48" t="str">
        <f>D101</f>
        <v>U4X</v>
      </c>
    </row>
    <row r="105" spans="1:12" x14ac:dyDescent="0.3">
      <c r="B105" s="49">
        <f>D103</f>
        <v>27011.670182972433</v>
      </c>
      <c r="C105" s="49">
        <f>E103</f>
        <v>-23152.860156833514</v>
      </c>
      <c r="D105" s="49">
        <f>B103</f>
        <v>-27011.670182972433</v>
      </c>
      <c r="E105" s="49">
        <f>C103</f>
        <v>23152.860156833514</v>
      </c>
      <c r="F105" s="48" t="str">
        <f>E101</f>
        <v>U4Y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50">
        <f t="shared" si="9"/>
        <v>31513.615213467838</v>
      </c>
      <c r="E110" s="50">
        <f t="shared" si="9"/>
        <v>-27011.670182972433</v>
      </c>
      <c r="F110" s="9">
        <f t="shared" si="9"/>
        <v>0</v>
      </c>
      <c r="G110" s="9">
        <f t="shared" si="9"/>
        <v>0</v>
      </c>
      <c r="H110" s="50">
        <f t="shared" si="9"/>
        <v>-31513.615213467838</v>
      </c>
      <c r="I110" s="50">
        <f t="shared" si="9"/>
        <v>27011.670182972433</v>
      </c>
      <c r="J110" s="9">
        <f t="shared" si="9"/>
        <v>0</v>
      </c>
      <c r="K110" s="9">
        <f t="shared" si="9"/>
        <v>0</v>
      </c>
      <c r="L110" s="48" t="s">
        <v>180</v>
      </c>
    </row>
    <row r="111" spans="1:12" ht="19.05" customHeight="1" x14ac:dyDescent="0.3">
      <c r="B111" s="9">
        <f t="shared" si="9"/>
        <v>0</v>
      </c>
      <c r="C111" s="9">
        <f t="shared" si="9"/>
        <v>0</v>
      </c>
      <c r="D111" s="50">
        <f t="shared" si="9"/>
        <v>-27011.670182972433</v>
      </c>
      <c r="E111" s="50">
        <f t="shared" si="9"/>
        <v>23152.860156833514</v>
      </c>
      <c r="F111" s="9">
        <f t="shared" si="9"/>
        <v>0</v>
      </c>
      <c r="G111" s="9">
        <f t="shared" si="9"/>
        <v>0</v>
      </c>
      <c r="H111" s="50">
        <f t="shared" si="9"/>
        <v>27011.670182972433</v>
      </c>
      <c r="I111" s="50">
        <f t="shared" si="9"/>
        <v>-23152.860156833514</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50">
        <f t="shared" si="9"/>
        <v>-31513.615213467838</v>
      </c>
      <c r="E114" s="50">
        <f t="shared" si="9"/>
        <v>27011.670182972433</v>
      </c>
      <c r="F114" s="9">
        <f t="shared" si="9"/>
        <v>0</v>
      </c>
      <c r="G114" s="9">
        <f t="shared" si="9"/>
        <v>0</v>
      </c>
      <c r="H114" s="50">
        <f t="shared" si="9"/>
        <v>31513.615213467838</v>
      </c>
      <c r="I114" s="50">
        <f t="shared" si="9"/>
        <v>-27011.670182972433</v>
      </c>
      <c r="J114" s="9">
        <f t="shared" si="9"/>
        <v>0</v>
      </c>
      <c r="K114" s="9">
        <f t="shared" si="9"/>
        <v>0</v>
      </c>
      <c r="L114" s="48" t="s">
        <v>184</v>
      </c>
    </row>
    <row r="115" spans="1:12" ht="19.05" customHeight="1" x14ac:dyDescent="0.3">
      <c r="B115" s="9">
        <f t="shared" si="9"/>
        <v>0</v>
      </c>
      <c r="C115" s="9">
        <f t="shared" si="9"/>
        <v>0</v>
      </c>
      <c r="D115" s="50">
        <f t="shared" si="9"/>
        <v>27011.670182972433</v>
      </c>
      <c r="E115" s="50">
        <f t="shared" si="9"/>
        <v>-23152.860156833514</v>
      </c>
      <c r="F115" s="9">
        <f t="shared" si="9"/>
        <v>0</v>
      </c>
      <c r="G115" s="9">
        <f t="shared" si="9"/>
        <v>0</v>
      </c>
      <c r="H115" s="50">
        <f t="shared" si="9"/>
        <v>-27011.670182972433</v>
      </c>
      <c r="I115" s="50">
        <f t="shared" si="9"/>
        <v>23152.860156833514</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U3X</v>
      </c>
      <c r="C120" s="53" t="str">
        <f>CONCATENATE("U",D21,D$15)</f>
        <v>U3Y</v>
      </c>
      <c r="D120" s="53" t="str">
        <f>CONCATENATE("U",E21,E$15)</f>
        <v>U5X</v>
      </c>
      <c r="E120" s="53" t="str">
        <f>CONCATENATE("U",F21,F$15)</f>
        <v>U5Y</v>
      </c>
    </row>
    <row r="121" spans="1:12" x14ac:dyDescent="0.3">
      <c r="B121" s="54">
        <f>J11*J11*N11</f>
        <v>31513.615213467838</v>
      </c>
      <c r="C121" s="54">
        <f>J11*K11*N11</f>
        <v>-27011.670182972433</v>
      </c>
      <c r="D121" s="54">
        <f>-B121</f>
        <v>-31513.615213467838</v>
      </c>
      <c r="E121" s="54">
        <f>-C121</f>
        <v>27011.670182972433</v>
      </c>
      <c r="F121" s="53" t="str">
        <f>B120</f>
        <v>U3X</v>
      </c>
    </row>
    <row r="122" spans="1:12" ht="16.8" customHeight="1" x14ac:dyDescent="0.3">
      <c r="A122" s="28" t="s">
        <v>199</v>
      </c>
      <c r="B122" s="54">
        <f>C121</f>
        <v>-27011.670182972433</v>
      </c>
      <c r="C122" s="54">
        <f>K11*K11*N11</f>
        <v>23152.860156833514</v>
      </c>
      <c r="D122" s="54">
        <f>-B122</f>
        <v>27011.670182972433</v>
      </c>
      <c r="E122" s="54">
        <f>-C122</f>
        <v>-23152.860156833514</v>
      </c>
      <c r="F122" s="53" t="str">
        <f>C120</f>
        <v>U3Y</v>
      </c>
    </row>
    <row r="123" spans="1:12" x14ac:dyDescent="0.3">
      <c r="B123" s="54">
        <f>D121</f>
        <v>-31513.615213467838</v>
      </c>
      <c r="C123" s="54">
        <f>E121</f>
        <v>27011.670182972433</v>
      </c>
      <c r="D123" s="54">
        <f>B121</f>
        <v>31513.615213467838</v>
      </c>
      <c r="E123" s="54">
        <f>C121</f>
        <v>-27011.670182972433</v>
      </c>
      <c r="F123" s="53" t="str">
        <f>D120</f>
        <v>U5X</v>
      </c>
    </row>
    <row r="124" spans="1:12" x14ac:dyDescent="0.3">
      <c r="B124" s="54">
        <f>D122</f>
        <v>27011.670182972433</v>
      </c>
      <c r="C124" s="54">
        <f>E122</f>
        <v>-23152.860156833514</v>
      </c>
      <c r="D124" s="54">
        <f>B122</f>
        <v>-27011.670182972433</v>
      </c>
      <c r="E124" s="54">
        <f>C122</f>
        <v>23152.860156833514</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55">
        <f t="shared" si="10"/>
        <v>31513.615213467838</v>
      </c>
      <c r="G131" s="55">
        <f t="shared" si="10"/>
        <v>-27011.670182972433</v>
      </c>
      <c r="H131" s="9">
        <f t="shared" si="10"/>
        <v>0</v>
      </c>
      <c r="I131" s="9">
        <f t="shared" si="10"/>
        <v>0</v>
      </c>
      <c r="J131" s="55">
        <f t="shared" si="10"/>
        <v>-31513.615213467838</v>
      </c>
      <c r="K131" s="55">
        <f t="shared" si="10"/>
        <v>27011.670182972433</v>
      </c>
      <c r="L131" s="53" t="s">
        <v>182</v>
      </c>
    </row>
    <row r="132" spans="1:12" ht="19.05" customHeight="1" x14ac:dyDescent="0.3">
      <c r="B132" s="9">
        <f t="shared" si="10"/>
        <v>0</v>
      </c>
      <c r="C132" s="9">
        <f t="shared" si="10"/>
        <v>0</v>
      </c>
      <c r="D132" s="9">
        <f t="shared" si="10"/>
        <v>0</v>
      </c>
      <c r="E132" s="9">
        <f t="shared" si="10"/>
        <v>0</v>
      </c>
      <c r="F132" s="55">
        <f t="shared" si="10"/>
        <v>-27011.670182972433</v>
      </c>
      <c r="G132" s="55">
        <f t="shared" si="10"/>
        <v>23152.860156833514</v>
      </c>
      <c r="H132" s="9">
        <f t="shared" si="10"/>
        <v>0</v>
      </c>
      <c r="I132" s="9">
        <f t="shared" si="10"/>
        <v>0</v>
      </c>
      <c r="J132" s="55">
        <f t="shared" si="10"/>
        <v>27011.670182972433</v>
      </c>
      <c r="K132" s="55">
        <f t="shared" si="10"/>
        <v>-23152.860156833514</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55">
        <f t="shared" si="10"/>
        <v>-31513.615213467838</v>
      </c>
      <c r="G135" s="55">
        <f t="shared" si="10"/>
        <v>27011.670182972433</v>
      </c>
      <c r="H135" s="9">
        <f t="shared" si="10"/>
        <v>0</v>
      </c>
      <c r="I135" s="9">
        <f t="shared" si="10"/>
        <v>0</v>
      </c>
      <c r="J135" s="55">
        <f t="shared" si="10"/>
        <v>31513.615213467838</v>
      </c>
      <c r="K135" s="55">
        <f t="shared" si="10"/>
        <v>-27011.670182972433</v>
      </c>
      <c r="L135" s="53" t="s">
        <v>186</v>
      </c>
    </row>
    <row r="136" spans="1:12" ht="19.05" customHeight="1" x14ac:dyDescent="0.3">
      <c r="B136" s="9">
        <f t="shared" si="10"/>
        <v>0</v>
      </c>
      <c r="C136" s="9">
        <f t="shared" si="10"/>
        <v>0</v>
      </c>
      <c r="D136" s="9">
        <f t="shared" si="10"/>
        <v>0</v>
      </c>
      <c r="E136" s="9">
        <f t="shared" si="10"/>
        <v>0</v>
      </c>
      <c r="F136" s="55">
        <f t="shared" si="10"/>
        <v>27011.670182972433</v>
      </c>
      <c r="G136" s="55">
        <f t="shared" si="10"/>
        <v>-23152.860156833514</v>
      </c>
      <c r="H136" s="9">
        <f t="shared" si="10"/>
        <v>0</v>
      </c>
      <c r="I136" s="9">
        <f t="shared" si="10"/>
        <v>0</v>
      </c>
      <c r="J136" s="55">
        <f t="shared" si="10"/>
        <v>-27011.670182972433</v>
      </c>
      <c r="K136" s="55">
        <f t="shared" si="10"/>
        <v>23152.860156833514</v>
      </c>
      <c r="L136" s="53" t="s">
        <v>187</v>
      </c>
    </row>
    <row r="139" spans="1:12" ht="18" customHeight="1" x14ac:dyDescent="0.3">
      <c r="B139" s="56" t="str">
        <f>CONCATENATE("U",C22,C$15)</f>
        <v>U4X</v>
      </c>
      <c r="C139" s="56" t="str">
        <f>CONCATENATE("U",D22,D$15)</f>
        <v>U4Y</v>
      </c>
      <c r="D139" s="56" t="str">
        <f>CONCATENATE("U",E22,E$15)</f>
        <v>U5X</v>
      </c>
      <c r="E139" s="56" t="str">
        <f>CONCATENATE("U",F22,F$15)</f>
        <v>U5Y</v>
      </c>
    </row>
    <row r="140" spans="1:12" x14ac:dyDescent="0.3">
      <c r="B140" s="57">
        <f>J12*J12*N12</f>
        <v>72000</v>
      </c>
      <c r="C140" s="57">
        <f>J12*K12*N12</f>
        <v>0</v>
      </c>
      <c r="D140" s="57">
        <f>-B140</f>
        <v>-72000</v>
      </c>
      <c r="E140" s="57">
        <f>-C140</f>
        <v>0</v>
      </c>
      <c r="F140" s="56" t="str">
        <f>B139</f>
        <v>U4X</v>
      </c>
    </row>
    <row r="141" spans="1:12" ht="16.8" customHeight="1" x14ac:dyDescent="0.3">
      <c r="A141" s="28" t="s">
        <v>201</v>
      </c>
      <c r="B141" s="57">
        <f>C140</f>
        <v>0</v>
      </c>
      <c r="C141" s="57">
        <f>K12*K12*N12</f>
        <v>0</v>
      </c>
      <c r="D141" s="57">
        <f>-B141</f>
        <v>0</v>
      </c>
      <c r="E141" s="57">
        <f>-C141</f>
        <v>0</v>
      </c>
      <c r="F141" s="56" t="str">
        <f>C139</f>
        <v>U4Y</v>
      </c>
    </row>
    <row r="142" spans="1:12" x14ac:dyDescent="0.3">
      <c r="B142" s="57">
        <f>D140</f>
        <v>-72000</v>
      </c>
      <c r="C142" s="57">
        <f>E140</f>
        <v>0</v>
      </c>
      <c r="D142" s="57">
        <f>B140</f>
        <v>72000</v>
      </c>
      <c r="E142" s="57">
        <f>C140</f>
        <v>0</v>
      </c>
      <c r="F142" s="56" t="str">
        <f>D139</f>
        <v>U5X</v>
      </c>
    </row>
    <row r="143" spans="1:12" x14ac:dyDescent="0.3">
      <c r="B143" s="57">
        <f>D141</f>
        <v>0</v>
      </c>
      <c r="C143" s="57">
        <f>E141</f>
        <v>0</v>
      </c>
      <c r="D143" s="57">
        <f>B141</f>
        <v>0</v>
      </c>
      <c r="E143" s="57">
        <f>C141</f>
        <v>0</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58">
        <f t="shared" si="11"/>
        <v>72000</v>
      </c>
      <c r="I152" s="58">
        <f t="shared" si="11"/>
        <v>0</v>
      </c>
      <c r="J152" s="58">
        <f t="shared" si="11"/>
        <v>-72000</v>
      </c>
      <c r="K152" s="58">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58">
        <f t="shared" si="11"/>
        <v>0</v>
      </c>
      <c r="I153" s="58">
        <f t="shared" si="11"/>
        <v>0</v>
      </c>
      <c r="J153" s="58">
        <f t="shared" si="11"/>
        <v>0</v>
      </c>
      <c r="K153" s="58">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58">
        <f t="shared" si="11"/>
        <v>-72000</v>
      </c>
      <c r="I154" s="58">
        <f t="shared" si="11"/>
        <v>0</v>
      </c>
      <c r="J154" s="58">
        <f t="shared" si="11"/>
        <v>72000</v>
      </c>
      <c r="K154" s="58">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58">
        <f t="shared" si="11"/>
        <v>0</v>
      </c>
      <c r="I155" s="58">
        <f t="shared" si="11"/>
        <v>0</v>
      </c>
      <c r="J155" s="58">
        <f t="shared" si="11"/>
        <v>0</v>
      </c>
      <c r="K155" s="58">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72000</v>
      </c>
      <c r="C159" s="36">
        <f t="shared" si="12"/>
        <v>0</v>
      </c>
      <c r="D159" s="9">
        <f t="shared" si="12"/>
        <v>0</v>
      </c>
      <c r="E159" s="9">
        <f t="shared" si="12"/>
        <v>0</v>
      </c>
      <c r="F159" s="9">
        <f t="shared" si="12"/>
        <v>0</v>
      </c>
      <c r="G159" s="9">
        <f t="shared" si="12"/>
        <v>0</v>
      </c>
      <c r="H159" s="9">
        <f t="shared" si="12"/>
        <v>-72000</v>
      </c>
      <c r="I159" s="9">
        <f t="shared" si="12"/>
        <v>0</v>
      </c>
      <c r="J159" s="9">
        <f t="shared" si="12"/>
        <v>0</v>
      </c>
      <c r="K159" s="9">
        <f t="shared" si="12"/>
        <v>0</v>
      </c>
      <c r="L159" s="89" t="s">
        <v>178</v>
      </c>
    </row>
    <row r="160" spans="1:12" ht="19.95" customHeight="1" x14ac:dyDescent="0.3">
      <c r="B160" s="36">
        <f t="shared" ref="B160:K160" si="13">B33+B52+B71+B90+B109+B128+B147</f>
        <v>0</v>
      </c>
      <c r="C160" s="35">
        <f t="shared" si="13"/>
        <v>84000</v>
      </c>
      <c r="D160" s="9">
        <f t="shared" si="13"/>
        <v>0</v>
      </c>
      <c r="E160" s="9">
        <f t="shared" si="13"/>
        <v>-84000</v>
      </c>
      <c r="F160" s="9">
        <f t="shared" si="13"/>
        <v>0</v>
      </c>
      <c r="G160" s="9">
        <f t="shared" si="13"/>
        <v>0</v>
      </c>
      <c r="H160" s="9">
        <f t="shared" si="13"/>
        <v>0</v>
      </c>
      <c r="I160" s="9">
        <f t="shared" si="13"/>
        <v>0</v>
      </c>
      <c r="J160" s="9">
        <f t="shared" si="13"/>
        <v>0</v>
      </c>
      <c r="K160" s="9">
        <f t="shared" si="13"/>
        <v>0</v>
      </c>
      <c r="L160" s="89" t="s">
        <v>179</v>
      </c>
    </row>
    <row r="161" spans="1:19" ht="19.95" customHeight="1" x14ac:dyDescent="0.3">
      <c r="B161" s="9">
        <f t="shared" ref="B161:K161" si="14">B34+B53+B72+B91+B110+B129+B148</f>
        <v>0</v>
      </c>
      <c r="C161" s="9">
        <f t="shared" si="14"/>
        <v>0</v>
      </c>
      <c r="D161" s="35">
        <f t="shared" si="14"/>
        <v>103513.61521346784</v>
      </c>
      <c r="E161" s="36">
        <f t="shared" si="14"/>
        <v>-27011.670182972433</v>
      </c>
      <c r="F161" s="9">
        <f t="shared" si="14"/>
        <v>-72000</v>
      </c>
      <c r="G161" s="9">
        <f t="shared" si="14"/>
        <v>0</v>
      </c>
      <c r="H161" s="9">
        <f t="shared" si="14"/>
        <v>-31513.615213467838</v>
      </c>
      <c r="I161" s="9">
        <f t="shared" si="14"/>
        <v>27011.670182972433</v>
      </c>
      <c r="J161" s="9">
        <f t="shared" si="14"/>
        <v>0</v>
      </c>
      <c r="K161" s="9">
        <f t="shared" si="14"/>
        <v>0</v>
      </c>
      <c r="L161" s="89" t="s">
        <v>180</v>
      </c>
    </row>
    <row r="162" spans="1:19" ht="19.95" customHeight="1" x14ac:dyDescent="0.3">
      <c r="B162" s="9">
        <f t="shared" ref="B162:K162" si="15">B35+B54+B73+B92+B111+B130+B149</f>
        <v>0</v>
      </c>
      <c r="C162" s="9">
        <f t="shared" si="15"/>
        <v>-84000</v>
      </c>
      <c r="D162" s="36">
        <f t="shared" si="15"/>
        <v>-27011.670182972433</v>
      </c>
      <c r="E162" s="35">
        <f t="shared" si="15"/>
        <v>107152.86015683351</v>
      </c>
      <c r="F162" s="9">
        <f t="shared" si="15"/>
        <v>0</v>
      </c>
      <c r="G162" s="9">
        <f t="shared" si="15"/>
        <v>0</v>
      </c>
      <c r="H162" s="9">
        <f t="shared" si="15"/>
        <v>27011.670182972433</v>
      </c>
      <c r="I162" s="9">
        <f t="shared" si="15"/>
        <v>-23152.860156833514</v>
      </c>
      <c r="J162" s="9">
        <f t="shared" si="15"/>
        <v>0</v>
      </c>
      <c r="K162" s="9">
        <f t="shared" si="15"/>
        <v>0</v>
      </c>
      <c r="L162" s="89" t="s">
        <v>181</v>
      </c>
    </row>
    <row r="163" spans="1:19" ht="19.95" customHeight="1" x14ac:dyDescent="0.3">
      <c r="A163" s="28" t="s">
        <v>205</v>
      </c>
      <c r="B163" s="9">
        <f t="shared" ref="B163:K163" si="16">B36+B55+B74+B93+B112+B131+B150</f>
        <v>0</v>
      </c>
      <c r="C163" s="9">
        <f t="shared" si="16"/>
        <v>0</v>
      </c>
      <c r="D163" s="9">
        <f t="shared" si="16"/>
        <v>-72000</v>
      </c>
      <c r="E163" s="9">
        <f t="shared" si="16"/>
        <v>0</v>
      </c>
      <c r="F163" s="35">
        <f t="shared" si="16"/>
        <v>103513.61521346784</v>
      </c>
      <c r="G163" s="36">
        <f t="shared" si="16"/>
        <v>-27011.670182972433</v>
      </c>
      <c r="H163" s="9">
        <f t="shared" si="16"/>
        <v>0</v>
      </c>
      <c r="I163" s="9">
        <f t="shared" si="16"/>
        <v>0</v>
      </c>
      <c r="J163" s="9">
        <f t="shared" si="16"/>
        <v>-31513.615213467838</v>
      </c>
      <c r="K163" s="9">
        <f t="shared" si="16"/>
        <v>27011.670182972433</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-27011.670182972433</v>
      </c>
      <c r="G164" s="35">
        <f t="shared" si="17"/>
        <v>107152.86015683351</v>
      </c>
      <c r="H164" s="9">
        <f t="shared" si="17"/>
        <v>0</v>
      </c>
      <c r="I164" s="9">
        <f t="shared" si="17"/>
        <v>-84000</v>
      </c>
      <c r="J164" s="9">
        <f t="shared" si="17"/>
        <v>27011.670182972433</v>
      </c>
      <c r="K164" s="9">
        <f t="shared" si="17"/>
        <v>-23152.860156833514</v>
      </c>
      <c r="L164" s="89" t="s">
        <v>183</v>
      </c>
    </row>
    <row r="165" spans="1:19" ht="19.95" customHeight="1" x14ac:dyDescent="0.3">
      <c r="B165" s="9">
        <f t="shared" ref="B165:K165" si="18">B38+B57+B76+B95+B114+B133+B152</f>
        <v>-72000</v>
      </c>
      <c r="C165" s="9">
        <f t="shared" si="18"/>
        <v>0</v>
      </c>
      <c r="D165" s="9">
        <f t="shared" si="18"/>
        <v>-31513.615213467838</v>
      </c>
      <c r="E165" s="9">
        <f t="shared" si="18"/>
        <v>27011.670182972433</v>
      </c>
      <c r="F165" s="9">
        <f t="shared" si="18"/>
        <v>0</v>
      </c>
      <c r="G165" s="9">
        <f t="shared" si="18"/>
        <v>0</v>
      </c>
      <c r="H165" s="35">
        <f t="shared" si="18"/>
        <v>175513.61521346786</v>
      </c>
      <c r="I165" s="36">
        <f t="shared" si="18"/>
        <v>-27011.670182972433</v>
      </c>
      <c r="J165" s="9">
        <f t="shared" si="18"/>
        <v>-72000</v>
      </c>
      <c r="K165" s="9">
        <f t="shared" si="18"/>
        <v>0</v>
      </c>
      <c r="L165" s="89" t="s">
        <v>184</v>
      </c>
    </row>
    <row r="166" spans="1:19" ht="19.95" customHeight="1" x14ac:dyDescent="0.3">
      <c r="B166" s="9">
        <f t="shared" ref="B166:K166" si="19">B39+B58+B77+B96+B115+B134+B153</f>
        <v>0</v>
      </c>
      <c r="C166" s="9">
        <f t="shared" si="19"/>
        <v>0</v>
      </c>
      <c r="D166" s="9">
        <f t="shared" si="19"/>
        <v>27011.670182972433</v>
      </c>
      <c r="E166" s="9">
        <f t="shared" si="19"/>
        <v>-23152.860156833514</v>
      </c>
      <c r="F166" s="9">
        <f t="shared" si="19"/>
        <v>0</v>
      </c>
      <c r="G166" s="9">
        <f t="shared" si="19"/>
        <v>-84000</v>
      </c>
      <c r="H166" s="36">
        <f t="shared" si="19"/>
        <v>-27011.670182972433</v>
      </c>
      <c r="I166" s="35">
        <f t="shared" si="19"/>
        <v>107152.86015683351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0</v>
      </c>
      <c r="E167" s="9">
        <f t="shared" si="20"/>
        <v>0</v>
      </c>
      <c r="F167" s="9">
        <f t="shared" si="20"/>
        <v>-31513.615213467838</v>
      </c>
      <c r="G167" s="9">
        <f t="shared" si="20"/>
        <v>27011.670182972433</v>
      </c>
      <c r="H167" s="9">
        <f t="shared" si="20"/>
        <v>-72000</v>
      </c>
      <c r="I167" s="9">
        <f t="shared" si="20"/>
        <v>0</v>
      </c>
      <c r="J167" s="35">
        <f t="shared" si="20"/>
        <v>103513.61521346784</v>
      </c>
      <c r="K167" s="36">
        <f t="shared" si="20"/>
        <v>-27011.670182972433</v>
      </c>
      <c r="L167" s="89" t="s">
        <v>186</v>
      </c>
    </row>
    <row r="168" spans="1:19" ht="19.95" customHeight="1" x14ac:dyDescent="0.3">
      <c r="B168" s="9">
        <f t="shared" ref="B168:K168" si="21">B41+B60+B79+B98+B117+B136+B155</f>
        <v>0</v>
      </c>
      <c r="C168" s="9">
        <f t="shared" si="21"/>
        <v>0</v>
      </c>
      <c r="D168" s="9">
        <f t="shared" si="21"/>
        <v>0</v>
      </c>
      <c r="E168" s="9">
        <f t="shared" si="21"/>
        <v>0</v>
      </c>
      <c r="F168" s="9">
        <f t="shared" si="21"/>
        <v>27011.670182972433</v>
      </c>
      <c r="G168" s="9">
        <f t="shared" si="21"/>
        <v>-23152.860156833514</v>
      </c>
      <c r="H168" s="9">
        <f t="shared" si="21"/>
        <v>0</v>
      </c>
      <c r="I168" s="9">
        <f t="shared" si="21"/>
        <v>0</v>
      </c>
      <c r="J168" s="36">
        <f t="shared" si="21"/>
        <v>-27011.670182972433</v>
      </c>
      <c r="K168" s="35">
        <f t="shared" si="21"/>
        <v>23152.860156833514</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IF(GRAFICA_20!F14=1, B172, GRAFICA_20!H14)</f>
        <v>C1X</v>
      </c>
      <c r="N172" s="215" t="s">
        <v>376</v>
      </c>
      <c r="O172" s="172"/>
      <c r="P172" s="172"/>
      <c r="Q172" s="172"/>
      <c r="R172" s="172"/>
      <c r="S172" s="173"/>
    </row>
    <row r="173" spans="1:19" ht="16.95" customHeight="1" x14ac:dyDescent="0.3">
      <c r="B173" s="12" t="s">
        <v>210</v>
      </c>
      <c r="C173" s="12" t="s">
        <v>179</v>
      </c>
      <c r="E173" s="37" t="str">
        <f>IF(GRAFICA_20!G14=1, B173, GRAFICA_20!I14)</f>
        <v>C1Y</v>
      </c>
      <c r="N173" s="215" t="s">
        <v>211</v>
      </c>
      <c r="O173" s="172"/>
      <c r="P173" s="172"/>
      <c r="Q173" s="172"/>
      <c r="R173" s="172"/>
      <c r="S173" s="173"/>
    </row>
    <row r="174" spans="1:19" ht="16.95" customHeight="1" x14ac:dyDescent="0.3">
      <c r="B174" s="12" t="s">
        <v>212</v>
      </c>
      <c r="C174" s="12" t="s">
        <v>180</v>
      </c>
      <c r="E174" s="37" t="str">
        <f>IF(GRAFICA_20!F15=1, B174, GRAFICA_20!H15)</f>
        <v>C2X</v>
      </c>
      <c r="N174" s="215" t="s">
        <v>377</v>
      </c>
      <c r="O174" s="172"/>
      <c r="P174" s="172"/>
      <c r="Q174" s="172"/>
      <c r="R174" s="172"/>
      <c r="S174" s="173"/>
    </row>
    <row r="175" spans="1:19" ht="16.95" customHeight="1" x14ac:dyDescent="0.3">
      <c r="B175" s="12" t="s">
        <v>214</v>
      </c>
      <c r="C175" s="12" t="s">
        <v>181</v>
      </c>
      <c r="E175" s="37">
        <f>IF(GRAFICA_20!G15=1, B175, GRAFICA_20!I15)</f>
        <v>0</v>
      </c>
      <c r="N175" s="215" t="s">
        <v>215</v>
      </c>
      <c r="O175" s="172"/>
      <c r="P175" s="172"/>
      <c r="Q175" s="172"/>
      <c r="R175" s="172"/>
      <c r="S175" s="173"/>
    </row>
    <row r="176" spans="1:19" ht="16.95" customHeight="1" x14ac:dyDescent="0.3">
      <c r="A176" s="38" t="s">
        <v>218</v>
      </c>
      <c r="B176" s="12" t="s">
        <v>216</v>
      </c>
      <c r="C176" s="12" t="s">
        <v>182</v>
      </c>
      <c r="D176" s="13" t="s">
        <v>220</v>
      </c>
      <c r="E176" s="37">
        <f>IF(GRAFICA_20!F16=1, B176, GRAFICA_20!H16)</f>
        <v>0</v>
      </c>
      <c r="N176" s="215" t="s">
        <v>378</v>
      </c>
      <c r="O176" s="172"/>
      <c r="P176" s="172"/>
      <c r="Q176" s="172"/>
      <c r="R176" s="172"/>
      <c r="S176" s="173"/>
    </row>
    <row r="177" spans="1:19" ht="16.95" customHeight="1" x14ac:dyDescent="0.3">
      <c r="B177" s="12" t="s">
        <v>219</v>
      </c>
      <c r="C177" s="12" t="s">
        <v>183</v>
      </c>
      <c r="E177" s="37">
        <f>IF(GRAFICA_20!G16=1, B177, GRAFICA_20!I16)</f>
        <v>-5000</v>
      </c>
      <c r="N177" s="215" t="s">
        <v>379</v>
      </c>
      <c r="O177" s="172"/>
      <c r="P177" s="172"/>
      <c r="Q177" s="172"/>
      <c r="R177" s="172"/>
      <c r="S177" s="173"/>
    </row>
    <row r="178" spans="1:19" ht="16.95" customHeight="1" x14ac:dyDescent="0.3">
      <c r="B178" s="12" t="s">
        <v>221</v>
      </c>
      <c r="C178" s="12" t="s">
        <v>184</v>
      </c>
      <c r="E178" s="37">
        <f>IF(GRAFICA_20!F17=1, B178, GRAFICA_20!H17)</f>
        <v>0</v>
      </c>
      <c r="N178" s="215"/>
      <c r="O178" s="172"/>
      <c r="P178" s="172"/>
      <c r="Q178" s="172"/>
      <c r="R178" s="172"/>
      <c r="S178" s="173"/>
    </row>
    <row r="179" spans="1:19" ht="16.95" customHeight="1" x14ac:dyDescent="0.3">
      <c r="B179" s="12" t="s">
        <v>222</v>
      </c>
      <c r="C179" s="12" t="s">
        <v>185</v>
      </c>
      <c r="E179" s="37">
        <f>IF(GRAFICA_20!G17=1, B179, GRAFICA_20!I17)</f>
        <v>-4000</v>
      </c>
      <c r="N179" s="215"/>
      <c r="O179" s="172"/>
      <c r="P179" s="172"/>
      <c r="Q179" s="172"/>
      <c r="R179" s="172"/>
      <c r="S179" s="173"/>
    </row>
    <row r="180" spans="1:19" ht="16.95" customHeight="1" x14ac:dyDescent="0.3">
      <c r="B180" s="12" t="s">
        <v>223</v>
      </c>
      <c r="C180" s="12" t="s">
        <v>186</v>
      </c>
      <c r="E180" s="37">
        <f>IF(GRAFICA_20!F18=1, B180, GRAFICA_20!H18)</f>
        <v>1500</v>
      </c>
      <c r="N180" s="215"/>
      <c r="O180" s="172"/>
      <c r="P180" s="172"/>
      <c r="Q180" s="172"/>
      <c r="R180" s="172"/>
      <c r="S180" s="173"/>
    </row>
    <row r="181" spans="1:19" ht="16.95" customHeight="1" x14ac:dyDescent="0.3">
      <c r="B181" s="12" t="s">
        <v>224</v>
      </c>
      <c r="C181" s="12" t="s">
        <v>187</v>
      </c>
      <c r="E181" s="37">
        <f>IF(GRAFICA_20!G18=1, B181, GRAFICA_20!I18)</f>
        <v>-6500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IF(GRAFICA_20!F14=1,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IF(GRAFICA_20!G14=1,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f>IF(GRAFICA_20!F15=1, 0, B186)</f>
        <v>0</v>
      </c>
      <c r="F186" s="14" t="str">
        <f>IF(E186&lt;&gt;0, COUNTIF(E$184:E186, "&lt;&gt;0"), "")</f>
        <v/>
      </c>
      <c r="G186" s="14">
        <f>IF(E186=0, COUNTIF(E$184:E186, 0), "")</f>
        <v>3</v>
      </c>
      <c r="N186" s="215"/>
      <c r="O186" s="172"/>
      <c r="P186" s="172"/>
      <c r="Q186" s="172"/>
      <c r="R186" s="172"/>
      <c r="S186" s="173"/>
    </row>
    <row r="187" spans="1:19" ht="16.95" customHeight="1" x14ac:dyDescent="0.3">
      <c r="B187" s="12" t="s">
        <v>231</v>
      </c>
      <c r="C187" s="12" t="s">
        <v>181</v>
      </c>
      <c r="E187" s="39" t="str">
        <f>IF(GRAFICA_20!G15=1, 0, B187)</f>
        <v>D2Y</v>
      </c>
      <c r="F187" s="14">
        <f>IF(E187&lt;&gt;0, COUNTIF(E$184:E187, "&lt;&gt;0"), "")</f>
        <v>1</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IF(GRAFICA_20!F16=1, 0, B188)</f>
        <v>D3X</v>
      </c>
      <c r="F188" s="14">
        <f>IF(E188&lt;&gt;0, COUNTIF(E$184:E188, "&lt;&gt;0"), "")</f>
        <v>2</v>
      </c>
      <c r="G188" s="14" t="str">
        <f>IF(E188=0, COUNTIF(E$184:E188, 0), "")</f>
        <v/>
      </c>
      <c r="N188" s="215"/>
      <c r="O188" s="172"/>
      <c r="P188" s="172"/>
      <c r="Q188" s="172"/>
      <c r="R188" s="172"/>
      <c r="S188" s="173"/>
    </row>
    <row r="189" spans="1:19" ht="16.95" customHeight="1" x14ac:dyDescent="0.3">
      <c r="B189" s="12" t="s">
        <v>234</v>
      </c>
      <c r="C189" s="12" t="s">
        <v>183</v>
      </c>
      <c r="E189" s="39" t="str">
        <f>IF(GRAFICA_20!G16=1, 0, B189)</f>
        <v>D3Y</v>
      </c>
      <c r="F189" s="14">
        <f>IF(E189&lt;&gt;0, COUNTIF(E$184:E189, "&lt;&gt;0"), "")</f>
        <v>3</v>
      </c>
      <c r="G189" s="14" t="str">
        <f>IF(E189=0, COUNTIF(E$184:E189, 0), "")</f>
        <v/>
      </c>
      <c r="N189" s="215"/>
      <c r="O189" s="172"/>
      <c r="P189" s="172"/>
      <c r="Q189" s="172"/>
      <c r="R189" s="172"/>
      <c r="S189" s="173"/>
    </row>
    <row r="190" spans="1:19" ht="16.95" customHeight="1" x14ac:dyDescent="0.3">
      <c r="B190" s="12" t="s">
        <v>235</v>
      </c>
      <c r="C190" s="12" t="s">
        <v>184</v>
      </c>
      <c r="E190" s="39" t="str">
        <f>IF(GRAFICA_20!F17=1,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IF(GRAFICA_20!G17=1,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IF(GRAFICA_20!F18=1,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IF(GRAFICA_20!G18=1,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72000</v>
      </c>
      <c r="D198" s="9">
        <f t="shared" si="23"/>
        <v>0</v>
      </c>
      <c r="E198" s="9">
        <f t="shared" si="23"/>
        <v>0</v>
      </c>
      <c r="F198" s="9">
        <f t="shared" si="23"/>
        <v>0</v>
      </c>
      <c r="G198" s="9">
        <f t="shared" si="23"/>
        <v>0</v>
      </c>
      <c r="H198" s="9">
        <f t="shared" si="23"/>
        <v>0</v>
      </c>
      <c r="I198" s="9">
        <f t="shared" si="23"/>
        <v>-72000</v>
      </c>
      <c r="J198" s="9">
        <f t="shared" si="23"/>
        <v>0</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0</v>
      </c>
      <c r="D199" s="9">
        <f t="shared" si="24"/>
        <v>84000</v>
      </c>
      <c r="E199" s="9">
        <f t="shared" si="24"/>
        <v>0</v>
      </c>
      <c r="F199" s="9">
        <f t="shared" si="24"/>
        <v>-84000</v>
      </c>
      <c r="G199" s="9">
        <f t="shared" si="24"/>
        <v>0</v>
      </c>
      <c r="H199" s="9">
        <f t="shared" si="24"/>
        <v>0</v>
      </c>
      <c r="I199" s="9">
        <f t="shared" si="24"/>
        <v>0</v>
      </c>
      <c r="J199" s="9">
        <f t="shared" si="24"/>
        <v>0</v>
      </c>
      <c r="K199" s="9">
        <f t="shared" si="24"/>
        <v>0</v>
      </c>
      <c r="L199" s="9">
        <f t="shared" si="24"/>
        <v>0</v>
      </c>
      <c r="M199" s="13" t="s">
        <v>251</v>
      </c>
      <c r="N199" s="219" t="s">
        <v>253</v>
      </c>
      <c r="O199" s="172"/>
      <c r="P199" s="172"/>
      <c r="Q199" s="172"/>
      <c r="R199" s="172"/>
      <c r="S199" s="173"/>
    </row>
    <row r="200" spans="1:19" ht="16.95" customHeight="1" x14ac:dyDescent="0.3">
      <c r="A200" s="12" t="str">
        <f t="shared" si="22"/>
        <v>C2X</v>
      </c>
      <c r="C200" s="9">
        <f t="shared" ref="C200:L200" si="25">B161</f>
        <v>0</v>
      </c>
      <c r="D200" s="9">
        <f t="shared" si="25"/>
        <v>0</v>
      </c>
      <c r="E200" s="9">
        <f t="shared" si="25"/>
        <v>103513.61521346784</v>
      </c>
      <c r="F200" s="9">
        <f t="shared" si="25"/>
        <v>-27011.670182972433</v>
      </c>
      <c r="G200" s="9">
        <f t="shared" si="25"/>
        <v>-72000</v>
      </c>
      <c r="H200" s="9">
        <f t="shared" si="25"/>
        <v>0</v>
      </c>
      <c r="I200" s="9">
        <f t="shared" si="25"/>
        <v>-31513.615213467838</v>
      </c>
      <c r="J200" s="9">
        <f t="shared" si="25"/>
        <v>27011.670182972433</v>
      </c>
      <c r="K200" s="9">
        <f t="shared" si="25"/>
        <v>0</v>
      </c>
      <c r="L200" s="9">
        <f t="shared" si="25"/>
        <v>0</v>
      </c>
      <c r="M200" s="13" t="s">
        <v>251</v>
      </c>
      <c r="N200" s="219" t="s">
        <v>254</v>
      </c>
      <c r="O200" s="172"/>
      <c r="P200" s="172"/>
      <c r="Q200" s="172"/>
      <c r="R200" s="172"/>
      <c r="S200" s="173"/>
    </row>
    <row r="201" spans="1:19" ht="16.95" customHeight="1" x14ac:dyDescent="0.3">
      <c r="A201" s="41">
        <f t="shared" si="22"/>
        <v>0</v>
      </c>
      <c r="C201" s="9">
        <f t="shared" ref="C201:L201" si="26">B162</f>
        <v>0</v>
      </c>
      <c r="D201" s="9">
        <f t="shared" si="26"/>
        <v>-84000</v>
      </c>
      <c r="E201" s="9">
        <f t="shared" si="26"/>
        <v>-27011.670182972433</v>
      </c>
      <c r="F201" s="41">
        <f t="shared" si="26"/>
        <v>107152.86015683351</v>
      </c>
      <c r="G201" s="41">
        <f t="shared" si="26"/>
        <v>0</v>
      </c>
      <c r="H201" s="41">
        <f t="shared" si="26"/>
        <v>0</v>
      </c>
      <c r="I201" s="41">
        <f t="shared" si="26"/>
        <v>27011.670182972433</v>
      </c>
      <c r="J201" s="41">
        <f t="shared" si="26"/>
        <v>-23152.860156833514</v>
      </c>
      <c r="K201" s="41">
        <f t="shared" si="26"/>
        <v>0</v>
      </c>
      <c r="L201" s="41">
        <f t="shared" si="26"/>
        <v>0</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9">
        <f t="shared" si="27"/>
        <v>-72000</v>
      </c>
      <c r="F202" s="41">
        <f t="shared" si="27"/>
        <v>0</v>
      </c>
      <c r="G202" s="41">
        <f t="shared" si="27"/>
        <v>103513.61521346784</v>
      </c>
      <c r="H202" s="41">
        <f t="shared" si="27"/>
        <v>-27011.670182972433</v>
      </c>
      <c r="I202" s="41">
        <f t="shared" si="27"/>
        <v>0</v>
      </c>
      <c r="J202" s="41">
        <f t="shared" si="27"/>
        <v>0</v>
      </c>
      <c r="K202" s="41">
        <f t="shared" si="27"/>
        <v>-31513.615213467838</v>
      </c>
      <c r="L202" s="41">
        <f t="shared" si="27"/>
        <v>27011.670182972433</v>
      </c>
      <c r="M202" s="13" t="s">
        <v>251</v>
      </c>
      <c r="N202" s="215" t="s">
        <v>382</v>
      </c>
      <c r="O202" s="172"/>
      <c r="P202" s="172"/>
      <c r="Q202" s="172"/>
      <c r="R202" s="172"/>
      <c r="S202" s="173"/>
    </row>
    <row r="203" spans="1:19" ht="16.95" customHeight="1" x14ac:dyDescent="0.3">
      <c r="A203" s="41">
        <f t="shared" si="22"/>
        <v>-5000</v>
      </c>
      <c r="B203" s="13" t="s">
        <v>220</v>
      </c>
      <c r="C203" s="9">
        <f t="shared" ref="C203:L203" si="28">B164</f>
        <v>0</v>
      </c>
      <c r="D203" s="9">
        <f t="shared" si="28"/>
        <v>0</v>
      </c>
      <c r="E203" s="9">
        <f t="shared" si="28"/>
        <v>0</v>
      </c>
      <c r="F203" s="41">
        <f t="shared" si="28"/>
        <v>0</v>
      </c>
      <c r="G203" s="41">
        <f t="shared" si="28"/>
        <v>-27011.670182972433</v>
      </c>
      <c r="H203" s="41">
        <f t="shared" si="28"/>
        <v>107152.86015683351</v>
      </c>
      <c r="I203" s="41">
        <f t="shared" si="28"/>
        <v>0</v>
      </c>
      <c r="J203" s="41">
        <f t="shared" si="28"/>
        <v>-84000</v>
      </c>
      <c r="K203" s="41">
        <f t="shared" si="28"/>
        <v>27011.670182972433</v>
      </c>
      <c r="L203" s="41">
        <f t="shared" si="28"/>
        <v>-23152.860156833514</v>
      </c>
      <c r="M203" s="13" t="s">
        <v>251</v>
      </c>
      <c r="N203" s="215" t="str">
        <f>E189</f>
        <v>D3Y</v>
      </c>
      <c r="O203" s="172"/>
      <c r="P203" s="172"/>
      <c r="Q203" s="172"/>
      <c r="R203" s="172"/>
      <c r="S203" s="173"/>
    </row>
    <row r="204" spans="1:19" ht="16.95" customHeight="1" x14ac:dyDescent="0.3">
      <c r="A204" s="41">
        <f t="shared" si="22"/>
        <v>0</v>
      </c>
      <c r="C204" s="9">
        <f t="shared" ref="C204:L204" si="29">B165</f>
        <v>-72000</v>
      </c>
      <c r="D204" s="9">
        <f t="shared" si="29"/>
        <v>0</v>
      </c>
      <c r="E204" s="9">
        <f t="shared" si="29"/>
        <v>-31513.615213467838</v>
      </c>
      <c r="F204" s="41">
        <f t="shared" si="29"/>
        <v>27011.670182972433</v>
      </c>
      <c r="G204" s="41">
        <f t="shared" si="29"/>
        <v>0</v>
      </c>
      <c r="H204" s="41">
        <f t="shared" si="29"/>
        <v>0</v>
      </c>
      <c r="I204" s="41">
        <f t="shared" si="29"/>
        <v>175513.61521346786</v>
      </c>
      <c r="J204" s="41">
        <f t="shared" si="29"/>
        <v>-27011.670182972433</v>
      </c>
      <c r="K204" s="41">
        <f t="shared" si="29"/>
        <v>-72000</v>
      </c>
      <c r="L204" s="41">
        <f t="shared" si="29"/>
        <v>0</v>
      </c>
      <c r="M204" s="13" t="s">
        <v>251</v>
      </c>
      <c r="N204" s="215" t="str">
        <f>E190</f>
        <v>D4X</v>
      </c>
      <c r="O204" s="172"/>
      <c r="P204" s="172"/>
      <c r="Q204" s="172"/>
      <c r="R204" s="172"/>
      <c r="S204" s="173"/>
    </row>
    <row r="205" spans="1:19" ht="16.95" customHeight="1" x14ac:dyDescent="0.3">
      <c r="A205" s="41">
        <f t="shared" si="22"/>
        <v>-4000</v>
      </c>
      <c r="C205" s="9">
        <f t="shared" ref="C205:L205" si="30">B166</f>
        <v>0</v>
      </c>
      <c r="D205" s="9">
        <f t="shared" si="30"/>
        <v>0</v>
      </c>
      <c r="E205" s="9">
        <f t="shared" si="30"/>
        <v>27011.670182972433</v>
      </c>
      <c r="F205" s="41">
        <f t="shared" si="30"/>
        <v>-23152.860156833514</v>
      </c>
      <c r="G205" s="41">
        <f t="shared" si="30"/>
        <v>0</v>
      </c>
      <c r="H205" s="41">
        <f t="shared" si="30"/>
        <v>-84000</v>
      </c>
      <c r="I205" s="41">
        <f t="shared" si="30"/>
        <v>-27011.670182972433</v>
      </c>
      <c r="J205" s="41">
        <f t="shared" si="30"/>
        <v>107152.86015683351</v>
      </c>
      <c r="K205" s="41">
        <f t="shared" si="30"/>
        <v>0</v>
      </c>
      <c r="L205" s="41">
        <f t="shared" si="30"/>
        <v>0</v>
      </c>
      <c r="M205" s="13" t="s">
        <v>251</v>
      </c>
      <c r="N205" s="215" t="str">
        <f>E191</f>
        <v>D4Y</v>
      </c>
      <c r="O205" s="172"/>
      <c r="P205" s="172"/>
      <c r="Q205" s="172"/>
      <c r="R205" s="172"/>
      <c r="S205" s="173"/>
    </row>
    <row r="206" spans="1:19" ht="16.95" customHeight="1" x14ac:dyDescent="0.3">
      <c r="A206" s="41">
        <f t="shared" si="22"/>
        <v>1500</v>
      </c>
      <c r="C206" s="9">
        <f t="shared" ref="C206:L206" si="31">B167</f>
        <v>0</v>
      </c>
      <c r="D206" s="9">
        <f t="shared" si="31"/>
        <v>0</v>
      </c>
      <c r="E206" s="9">
        <f t="shared" si="31"/>
        <v>0</v>
      </c>
      <c r="F206" s="41">
        <f t="shared" si="31"/>
        <v>0</v>
      </c>
      <c r="G206" s="41">
        <f t="shared" si="31"/>
        <v>-31513.615213467838</v>
      </c>
      <c r="H206" s="41">
        <f t="shared" si="31"/>
        <v>27011.670182972433</v>
      </c>
      <c r="I206" s="41">
        <f t="shared" si="31"/>
        <v>-72000</v>
      </c>
      <c r="J206" s="41">
        <f t="shared" si="31"/>
        <v>0</v>
      </c>
      <c r="K206" s="41">
        <f t="shared" si="31"/>
        <v>103513.61521346784</v>
      </c>
      <c r="L206" s="41">
        <f t="shared" si="31"/>
        <v>-27011.670182972433</v>
      </c>
      <c r="M206" s="13" t="s">
        <v>251</v>
      </c>
      <c r="N206" s="215" t="str">
        <f>E192</f>
        <v>D5X</v>
      </c>
      <c r="O206" s="172"/>
      <c r="P206" s="172"/>
      <c r="Q206" s="172"/>
      <c r="R206" s="172"/>
      <c r="S206" s="173"/>
    </row>
    <row r="207" spans="1:19" ht="16.95" customHeight="1" x14ac:dyDescent="0.3">
      <c r="A207" s="41">
        <f t="shared" si="22"/>
        <v>-6500</v>
      </c>
      <c r="C207" s="9">
        <f t="shared" ref="C207:L207" si="32">B168</f>
        <v>0</v>
      </c>
      <c r="D207" s="9">
        <f t="shared" si="32"/>
        <v>0</v>
      </c>
      <c r="E207" s="9">
        <f t="shared" si="32"/>
        <v>0</v>
      </c>
      <c r="F207" s="41">
        <f t="shared" si="32"/>
        <v>0</v>
      </c>
      <c r="G207" s="41">
        <f t="shared" si="32"/>
        <v>27011.670182972433</v>
      </c>
      <c r="H207" s="41">
        <f t="shared" si="32"/>
        <v>-23152.860156833514</v>
      </c>
      <c r="I207" s="41">
        <f t="shared" si="32"/>
        <v>0</v>
      </c>
      <c r="J207" s="41">
        <f t="shared" si="32"/>
        <v>0</v>
      </c>
      <c r="K207" s="41">
        <f t="shared" si="32"/>
        <v>-27011.670182972433</v>
      </c>
      <c r="L207" s="41">
        <f t="shared" si="32"/>
        <v>23152.860156833514</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U2Y</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107152.86015683351</v>
      </c>
      <c r="D212" s="41">
        <f t="shared" si="34"/>
        <v>0</v>
      </c>
      <c r="E212" s="41">
        <f t="shared" si="34"/>
        <v>0</v>
      </c>
      <c r="F212" s="41">
        <f t="shared" si="34"/>
        <v>27011.670182972433</v>
      </c>
      <c r="G212" s="41">
        <f t="shared" si="34"/>
        <v>-23152.860156833514</v>
      </c>
      <c r="H212" s="41">
        <f t="shared" si="34"/>
        <v>0</v>
      </c>
      <c r="I212" s="41">
        <f t="shared" si="34"/>
        <v>0</v>
      </c>
      <c r="J212" s="13" t="s">
        <v>251</v>
      </c>
      <c r="K212" s="38" t="str">
        <f>INDEX(B$184:B$193, MATCH(1, F$184:F$193, 0))</f>
        <v>D2Y</v>
      </c>
      <c r="L212" s="14" t="str">
        <f>INDEX(C$184:C$193, MATCH(1, F$184:F$193, 0))</f>
        <v>U2Y</v>
      </c>
      <c r="N212" s="215" t="s">
        <v>384</v>
      </c>
      <c r="O212" s="172"/>
      <c r="P212" s="172"/>
      <c r="Q212" s="172"/>
      <c r="R212" s="172"/>
      <c r="S212" s="173"/>
    </row>
    <row r="213" spans="1:19" ht="16.95" customHeight="1" x14ac:dyDescent="0.3">
      <c r="A213" s="41">
        <f t="shared" si="33"/>
        <v>0</v>
      </c>
      <c r="C213" s="41">
        <f t="shared" si="34"/>
        <v>0</v>
      </c>
      <c r="D213" s="41">
        <f t="shared" si="34"/>
        <v>103513.61521346784</v>
      </c>
      <c r="E213" s="41">
        <f t="shared" si="34"/>
        <v>-27011.670182972433</v>
      </c>
      <c r="F213" s="41">
        <f t="shared" si="34"/>
        <v>0</v>
      </c>
      <c r="G213" s="41">
        <f t="shared" si="34"/>
        <v>0</v>
      </c>
      <c r="H213" s="41">
        <f t="shared" si="34"/>
        <v>-31513.615213467838</v>
      </c>
      <c r="I213" s="41">
        <f t="shared" si="34"/>
        <v>27011.670182972433</v>
      </c>
      <c r="J213" s="13" t="s">
        <v>251</v>
      </c>
      <c r="K213" s="38" t="str">
        <f>INDEX(B$184:B$193, MATCH(2, F$184:F$193, 0))</f>
        <v>D3X</v>
      </c>
      <c r="L213" s="14" t="str">
        <f>INDEX(C$184:C$193, MATCH(2, F$184:F$193, 0))</f>
        <v>U3X</v>
      </c>
      <c r="N213" s="215" t="s">
        <v>385</v>
      </c>
      <c r="O213" s="172"/>
      <c r="P213" s="172"/>
      <c r="Q213" s="172"/>
      <c r="R213" s="172"/>
      <c r="S213" s="173"/>
    </row>
    <row r="214" spans="1:19" ht="16.95" customHeight="1" x14ac:dyDescent="0.3">
      <c r="A214" s="41">
        <f t="shared" si="33"/>
        <v>-5000</v>
      </c>
      <c r="C214" s="41">
        <f t="shared" si="34"/>
        <v>0</v>
      </c>
      <c r="D214" s="41">
        <f t="shared" si="34"/>
        <v>-27011.670182972433</v>
      </c>
      <c r="E214" s="41">
        <f t="shared" si="34"/>
        <v>107152.86015683351</v>
      </c>
      <c r="F214" s="41">
        <f t="shared" si="34"/>
        <v>0</v>
      </c>
      <c r="G214" s="41">
        <f t="shared" si="34"/>
        <v>-84000</v>
      </c>
      <c r="H214" s="41">
        <f t="shared" si="34"/>
        <v>27011.670182972433</v>
      </c>
      <c r="I214" s="41">
        <f t="shared" si="34"/>
        <v>-23152.860156833514</v>
      </c>
      <c r="J214" s="13" t="s">
        <v>251</v>
      </c>
      <c r="K214" s="38" t="str">
        <f>INDEX(B$184:B$193, MATCH(3, F$184:F$193, 0))</f>
        <v>D3Y</v>
      </c>
      <c r="L214" s="14" t="str">
        <f>INDEX(C$184:C$193, MATCH(3, F$184:F$193, 0))</f>
        <v>U3Y</v>
      </c>
      <c r="N214" s="215" t="s">
        <v>386</v>
      </c>
      <c r="O214" s="172"/>
      <c r="P214" s="172"/>
      <c r="Q214" s="172"/>
      <c r="R214" s="172"/>
      <c r="S214" s="173"/>
    </row>
    <row r="215" spans="1:19" ht="16.95" customHeight="1" x14ac:dyDescent="0.3">
      <c r="A215" s="41">
        <f t="shared" si="33"/>
        <v>0</v>
      </c>
      <c r="B215" s="13" t="s">
        <v>220</v>
      </c>
      <c r="C215" s="41">
        <f t="shared" si="34"/>
        <v>27011.670182972433</v>
      </c>
      <c r="D215" s="41">
        <f t="shared" si="34"/>
        <v>0</v>
      </c>
      <c r="E215" s="41">
        <f t="shared" si="34"/>
        <v>0</v>
      </c>
      <c r="F215" s="41">
        <f t="shared" si="34"/>
        <v>175513.61521346786</v>
      </c>
      <c r="G215" s="41">
        <f t="shared" si="34"/>
        <v>-27011.670182972433</v>
      </c>
      <c r="H215" s="41">
        <f t="shared" si="34"/>
        <v>-72000</v>
      </c>
      <c r="I215" s="41">
        <f t="shared" si="34"/>
        <v>0</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-4000</v>
      </c>
      <c r="C216" s="41">
        <f t="shared" si="34"/>
        <v>-23152.860156833514</v>
      </c>
      <c r="D216" s="41">
        <f t="shared" si="34"/>
        <v>0</v>
      </c>
      <c r="E216" s="41">
        <f t="shared" si="34"/>
        <v>-84000</v>
      </c>
      <c r="F216" s="41">
        <f t="shared" si="34"/>
        <v>-27011.670182972433</v>
      </c>
      <c r="G216" s="41">
        <f t="shared" si="34"/>
        <v>107152.86015683351</v>
      </c>
      <c r="H216" s="41">
        <f t="shared" si="34"/>
        <v>0</v>
      </c>
      <c r="I216" s="41">
        <f t="shared" si="34"/>
        <v>0</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1500</v>
      </c>
      <c r="C217" s="41">
        <f t="shared" si="34"/>
        <v>0</v>
      </c>
      <c r="D217" s="41">
        <f t="shared" si="34"/>
        <v>-31513.615213467838</v>
      </c>
      <c r="E217" s="41">
        <f t="shared" si="34"/>
        <v>27011.670182972433</v>
      </c>
      <c r="F217" s="41">
        <f t="shared" si="34"/>
        <v>-72000</v>
      </c>
      <c r="G217" s="41">
        <f t="shared" si="34"/>
        <v>0</v>
      </c>
      <c r="H217" s="41">
        <f t="shared" si="34"/>
        <v>103513.61521346784</v>
      </c>
      <c r="I217" s="41">
        <f t="shared" si="34"/>
        <v>-27011.670182972433</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-6500</v>
      </c>
      <c r="C218" s="41">
        <f t="shared" si="34"/>
        <v>0</v>
      </c>
      <c r="D218" s="41">
        <f t="shared" si="34"/>
        <v>27011.670182972433</v>
      </c>
      <c r="E218" s="41">
        <f t="shared" si="34"/>
        <v>-23152.860156833514</v>
      </c>
      <c r="F218" s="41">
        <f t="shared" si="34"/>
        <v>0</v>
      </c>
      <c r="G218" s="41">
        <f t="shared" si="34"/>
        <v>0</v>
      </c>
      <c r="H218" s="41">
        <f t="shared" si="34"/>
        <v>-27011.670182972433</v>
      </c>
      <c r="I218" s="41">
        <f t="shared" si="34"/>
        <v>23152.860156833514</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D2Y</v>
      </c>
      <c r="C222" s="93">
        <f t="array" ref="C222:I228">MINVERSE(C212:I218)</f>
        <v>1.1904761904761907E-5</v>
      </c>
      <c r="D222" s="93">
        <v>-2.7248822708241851E-22</v>
      </c>
      <c r="E222" s="93">
        <v>1.190476190476191E-5</v>
      </c>
      <c r="F222" s="93">
        <v>1.0361114234376819E-21</v>
      </c>
      <c r="G222" s="93">
        <v>1.190476190476191E-5</v>
      </c>
      <c r="H222" s="93">
        <v>2.5902785585942051E-21</v>
      </c>
      <c r="I222" s="93">
        <v>1.1904761904761915E-5</v>
      </c>
      <c r="K222" s="17">
        <f t="shared" ref="K222:K228" si="36">A212</f>
        <v>0</v>
      </c>
      <c r="N222" s="215"/>
      <c r="O222" s="172"/>
      <c r="P222" s="172"/>
      <c r="Q222" s="172"/>
      <c r="R222" s="172"/>
      <c r="S222" s="173"/>
    </row>
    <row r="223" spans="1:19" ht="16.95" customHeight="1" x14ac:dyDescent="0.3">
      <c r="A223" s="12" t="str">
        <f t="shared" si="35"/>
        <v>D3X</v>
      </c>
      <c r="C223" s="93">
        <v>0</v>
      </c>
      <c r="D223" s="93">
        <v>1.3888888888888888E-5</v>
      </c>
      <c r="E223" s="93">
        <v>4.2901526425702839E-21</v>
      </c>
      <c r="F223" s="93">
        <v>-2.1450763212851419E-21</v>
      </c>
      <c r="G223" s="93">
        <v>0</v>
      </c>
      <c r="H223" s="93">
        <v>-2.1450763212851419E-21</v>
      </c>
      <c r="I223" s="93">
        <v>-1.6203703703703701E-5</v>
      </c>
      <c r="K223" s="17">
        <f t="shared" si="36"/>
        <v>0</v>
      </c>
      <c r="N223" s="215"/>
      <c r="O223" s="172"/>
      <c r="P223" s="172"/>
      <c r="Q223" s="172"/>
      <c r="R223" s="172"/>
      <c r="S223" s="173"/>
    </row>
    <row r="224" spans="1:19" ht="16.95" customHeight="1" x14ac:dyDescent="0.3">
      <c r="A224" s="12" t="str">
        <f t="shared" si="35"/>
        <v>D3Y</v>
      </c>
      <c r="C224" s="93">
        <v>1.1904761904761908E-5</v>
      </c>
      <c r="D224" s="93">
        <v>-2.7726679141432237E-21</v>
      </c>
      <c r="E224" s="93">
        <v>8.5905052847767651E-5</v>
      </c>
      <c r="F224" s="93">
        <v>1.6203703703703707E-5</v>
      </c>
      <c r="G224" s="93">
        <v>7.4000290943005727E-5</v>
      </c>
      <c r="H224" s="93">
        <v>1.6203703703703711E-5</v>
      </c>
      <c r="I224" s="93">
        <v>1.0480937383542196E-4</v>
      </c>
      <c r="K224" s="17">
        <f t="shared" si="36"/>
        <v>-5000</v>
      </c>
      <c r="N224" s="215"/>
      <c r="O224" s="172"/>
      <c r="P224" s="172"/>
      <c r="Q224" s="172"/>
      <c r="R224" s="172"/>
      <c r="S224" s="173"/>
    </row>
    <row r="225" spans="1:19" ht="16.95" customHeight="1" x14ac:dyDescent="0.3">
      <c r="A225" s="12" t="str">
        <f t="shared" si="35"/>
        <v>D4X</v>
      </c>
      <c r="B225" s="13" t="s">
        <v>220</v>
      </c>
      <c r="C225" s="93">
        <v>3.2904394785432276E-22</v>
      </c>
      <c r="D225" s="93">
        <v>-1.3796592237622849E-21</v>
      </c>
      <c r="E225" s="93">
        <v>1.6203703703703704E-5</v>
      </c>
      <c r="F225" s="93">
        <v>1.3888888888888888E-5</v>
      </c>
      <c r="G225" s="93">
        <v>1.6203703703703704E-5</v>
      </c>
      <c r="H225" s="93">
        <v>1.3888888888888884E-5</v>
      </c>
      <c r="I225" s="93">
        <v>3.2407407407407408E-5</v>
      </c>
      <c r="K225" s="17">
        <f t="shared" si="36"/>
        <v>0</v>
      </c>
      <c r="N225" s="215"/>
      <c r="O225" s="172"/>
      <c r="P225" s="172"/>
      <c r="Q225" s="172"/>
      <c r="R225" s="172"/>
      <c r="S225" s="173"/>
    </row>
    <row r="226" spans="1:19" ht="16.95" customHeight="1" x14ac:dyDescent="0.3">
      <c r="A226" s="12" t="str">
        <f t="shared" si="35"/>
        <v>D4Y</v>
      </c>
      <c r="C226" s="93">
        <v>1.1904761904761908E-5</v>
      </c>
      <c r="D226" s="93">
        <v>-2.8706946942143365E-21</v>
      </c>
      <c r="E226" s="93">
        <v>7.4000290943005727E-5</v>
      </c>
      <c r="F226" s="93">
        <v>1.6203703703703707E-5</v>
      </c>
      <c r="G226" s="93">
        <v>7.4000290943005727E-5</v>
      </c>
      <c r="H226" s="93">
        <v>1.6203703703703711E-5</v>
      </c>
      <c r="I226" s="93">
        <v>9.2904611930660065E-5</v>
      </c>
      <c r="K226" s="17">
        <f t="shared" si="36"/>
        <v>-4000</v>
      </c>
      <c r="N226" s="215"/>
      <c r="O226" s="172"/>
      <c r="P226" s="172"/>
      <c r="Q226" s="172"/>
      <c r="R226" s="172"/>
      <c r="S226" s="173"/>
    </row>
    <row r="227" spans="1:19" ht="16.95" customHeight="1" x14ac:dyDescent="0.3">
      <c r="A227" s="12" t="str">
        <f t="shared" si="35"/>
        <v>D5X</v>
      </c>
      <c r="C227" s="93">
        <v>0</v>
      </c>
      <c r="D227" s="93">
        <v>-2.3884316939957223E-21</v>
      </c>
      <c r="E227" s="93">
        <v>1.6203703703703701E-5</v>
      </c>
      <c r="F227" s="93">
        <v>1.3888888888888886E-5</v>
      </c>
      <c r="G227" s="93">
        <v>1.6203703703703701E-5</v>
      </c>
      <c r="H227" s="93">
        <v>2.7777777777777772E-5</v>
      </c>
      <c r="I227" s="93">
        <v>4.8611111111111108E-5</v>
      </c>
      <c r="K227" s="17">
        <f t="shared" si="36"/>
        <v>1500</v>
      </c>
      <c r="N227" s="215"/>
      <c r="O227" s="172"/>
      <c r="P227" s="172"/>
      <c r="Q227" s="172"/>
      <c r="R227" s="172"/>
      <c r="S227" s="173"/>
    </row>
    <row r="228" spans="1:19" ht="16.95" customHeight="1" x14ac:dyDescent="0.3">
      <c r="A228" s="12" t="str">
        <f t="shared" si="35"/>
        <v>D5Y</v>
      </c>
      <c r="C228" s="93">
        <v>1.1904761904761908E-5</v>
      </c>
      <c r="D228" s="93">
        <v>-1.6203703703703711E-5</v>
      </c>
      <c r="E228" s="93">
        <v>1.0480937383542195E-4</v>
      </c>
      <c r="F228" s="93">
        <v>3.2407407407407415E-5</v>
      </c>
      <c r="G228" s="93">
        <v>9.2904611930660037E-5</v>
      </c>
      <c r="H228" s="93">
        <v>4.8611111111111122E-5</v>
      </c>
      <c r="I228" s="93">
        <v>2.2361786583662872E-4</v>
      </c>
      <c r="K228" s="17">
        <f t="shared" si="36"/>
        <v>-6500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D2Y</v>
      </c>
      <c r="C232" s="94">
        <f t="array" ref="C232:C238">MMULT(C222:I228, K222:K228)</f>
        <v>-0.18452380952380965</v>
      </c>
      <c r="D232" s="12" t="s">
        <v>267</v>
      </c>
      <c r="N232" s="215"/>
      <c r="O232" s="172"/>
      <c r="P232" s="172"/>
      <c r="Q232" s="172"/>
      <c r="R232" s="172"/>
      <c r="S232" s="173"/>
    </row>
    <row r="233" spans="1:19" ht="16.95" customHeight="1" x14ac:dyDescent="0.3">
      <c r="A233" s="12" t="str">
        <f t="shared" si="37"/>
        <v>D3X</v>
      </c>
      <c r="C233" s="94">
        <v>0.10532407407407403</v>
      </c>
      <c r="D233" s="12" t="s">
        <v>267</v>
      </c>
      <c r="N233" s="215"/>
      <c r="O233" s="172"/>
      <c r="P233" s="172"/>
      <c r="Q233" s="172"/>
      <c r="R233" s="172"/>
      <c r="S233" s="173"/>
    </row>
    <row r="234" spans="1:19" ht="16.95" customHeight="1" x14ac:dyDescent="0.3">
      <c r="A234" s="12" t="str">
        <f t="shared" si="37"/>
        <v>D3Y</v>
      </c>
      <c r="C234" s="94">
        <v>-1.3824818023855483</v>
      </c>
      <c r="D234" s="12" t="s">
        <v>267</v>
      </c>
      <c r="N234" s="215"/>
      <c r="O234" s="172"/>
      <c r="P234" s="172"/>
      <c r="Q234" s="172"/>
      <c r="R234" s="172"/>
      <c r="S234" s="173"/>
    </row>
    <row r="235" spans="1:19" ht="16.95" customHeight="1" x14ac:dyDescent="0.3">
      <c r="A235" s="12" t="str">
        <f t="shared" si="37"/>
        <v>D4X</v>
      </c>
      <c r="B235" s="13" t="s">
        <v>220</v>
      </c>
      <c r="C235" s="94">
        <v>-0.33564814814814814</v>
      </c>
      <c r="D235" s="12" t="s">
        <v>267</v>
      </c>
      <c r="N235" s="215"/>
      <c r="O235" s="172"/>
      <c r="P235" s="172"/>
      <c r="Q235" s="172"/>
      <c r="R235" s="172"/>
      <c r="S235" s="173"/>
    </row>
    <row r="236" spans="1:19" ht="16.95" customHeight="1" x14ac:dyDescent="0.3">
      <c r="A236" s="12" t="str">
        <f t="shared" si="37"/>
        <v>D4Y</v>
      </c>
      <c r="C236" s="94">
        <v>-1.2455770404807864</v>
      </c>
      <c r="D236" s="12" t="s">
        <v>267</v>
      </c>
      <c r="N236" s="215"/>
      <c r="O236" s="172"/>
      <c r="P236" s="172"/>
      <c r="Q236" s="172"/>
      <c r="R236" s="172"/>
      <c r="S236" s="173"/>
    </row>
    <row r="237" spans="1:19" ht="16.95" customHeight="1" x14ac:dyDescent="0.3">
      <c r="A237" s="12" t="str">
        <f t="shared" si="37"/>
        <v>D5X</v>
      </c>
      <c r="C237" s="94">
        <v>-0.42013888888888884</v>
      </c>
      <c r="D237" s="12" t="s">
        <v>267</v>
      </c>
      <c r="N237" s="215"/>
      <c r="O237" s="172"/>
      <c r="P237" s="172"/>
      <c r="Q237" s="172"/>
      <c r="R237" s="172"/>
      <c r="S237" s="173"/>
    </row>
    <row r="238" spans="1:19" ht="16.95" customHeight="1" x14ac:dyDescent="0.3">
      <c r="A238" s="12" t="str">
        <f t="shared" si="37"/>
        <v>D5Y</v>
      </c>
      <c r="C238" s="94">
        <v>-2.2762647781711696</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0</v>
      </c>
      <c r="D243" s="9">
        <f t="shared" si="38"/>
        <v>0</v>
      </c>
      <c r="E243" s="9">
        <f t="shared" si="38"/>
        <v>0</v>
      </c>
      <c r="F243" s="9">
        <f t="shared" si="38"/>
        <v>-72000</v>
      </c>
      <c r="G243" s="9">
        <f t="shared" si="38"/>
        <v>0</v>
      </c>
      <c r="H243" s="9">
        <f t="shared" si="38"/>
        <v>0</v>
      </c>
      <c r="I243" s="9">
        <f t="shared" si="38"/>
        <v>0</v>
      </c>
      <c r="K243" s="95">
        <f t="shared" ref="K243:K249" si="39">C232</f>
        <v>-0.18452380952380965</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-84000</v>
      </c>
      <c r="D244" s="9">
        <f t="shared" si="38"/>
        <v>0</v>
      </c>
      <c r="E244" s="9">
        <f t="shared" si="38"/>
        <v>0</v>
      </c>
      <c r="F244" s="9">
        <f t="shared" si="38"/>
        <v>0</v>
      </c>
      <c r="G244" s="9">
        <f t="shared" si="38"/>
        <v>0</v>
      </c>
      <c r="H244" s="9">
        <f t="shared" si="38"/>
        <v>0</v>
      </c>
      <c r="I244" s="9">
        <f t="shared" si="38"/>
        <v>0</v>
      </c>
      <c r="K244" s="95">
        <f t="shared" si="39"/>
        <v>0.10532407407407403</v>
      </c>
      <c r="L244" s="14" t="str">
        <f>INDEX(C$184:C$193, MATCH(2, G$184:G$193, 0))</f>
        <v>U1Y</v>
      </c>
      <c r="N244" s="215" t="s">
        <v>391</v>
      </c>
      <c r="O244" s="172"/>
      <c r="P244" s="172"/>
      <c r="Q244" s="172"/>
      <c r="R244" s="172"/>
      <c r="S244" s="173"/>
    </row>
    <row r="245" spans="1:19" ht="16.95" customHeight="1" x14ac:dyDescent="0.3">
      <c r="A245" s="18" t="str">
        <f>INDEX(B$172:B$181, MATCH(L245, C$172:C$181, 0))</f>
        <v>C2X</v>
      </c>
      <c r="C245" s="9">
        <f t="shared" si="38"/>
        <v>-27011.670182972433</v>
      </c>
      <c r="D245" s="9">
        <f t="shared" si="38"/>
        <v>-72000</v>
      </c>
      <c r="E245" s="9">
        <f t="shared" si="38"/>
        <v>0</v>
      </c>
      <c r="F245" s="9">
        <f t="shared" si="38"/>
        <v>-31513.615213467838</v>
      </c>
      <c r="G245" s="9">
        <f t="shared" si="38"/>
        <v>27011.670182972433</v>
      </c>
      <c r="H245" s="9">
        <f t="shared" si="38"/>
        <v>0</v>
      </c>
      <c r="I245" s="9">
        <f t="shared" si="38"/>
        <v>0</v>
      </c>
      <c r="K245" s="95">
        <f t="shared" si="39"/>
        <v>-1.3824818023855483</v>
      </c>
      <c r="L245" s="14" t="str">
        <f>INDEX(C$184:C$193, MATCH(3, G$184:G$193, 0))</f>
        <v>U2X</v>
      </c>
      <c r="N245" s="215" t="s">
        <v>392</v>
      </c>
      <c r="O245" s="172"/>
      <c r="P245" s="172"/>
      <c r="Q245" s="172"/>
      <c r="R245" s="172"/>
      <c r="S245" s="173"/>
    </row>
    <row r="246" spans="1:19" ht="16.95" customHeight="1" x14ac:dyDescent="0.3">
      <c r="K246" s="95">
        <f t="shared" si="39"/>
        <v>-0.33564814814814814</v>
      </c>
      <c r="N246" s="215" t="s">
        <v>393</v>
      </c>
      <c r="O246" s="172"/>
      <c r="P246" s="172"/>
      <c r="Q246" s="172"/>
      <c r="R246" s="172"/>
      <c r="S246" s="173"/>
    </row>
    <row r="247" spans="1:19" ht="16.95" customHeight="1" x14ac:dyDescent="0.3">
      <c r="K247" s="95">
        <f t="shared" si="39"/>
        <v>-1.2455770404807864</v>
      </c>
      <c r="N247" s="215" t="s">
        <v>394</v>
      </c>
      <c r="O247" s="172"/>
      <c r="P247" s="172"/>
      <c r="Q247" s="172"/>
      <c r="R247" s="172"/>
      <c r="S247" s="173"/>
    </row>
    <row r="248" spans="1:19" ht="16.95" customHeight="1" x14ac:dyDescent="0.3">
      <c r="K248" s="95">
        <f t="shared" si="39"/>
        <v>-0.42013888888888884</v>
      </c>
      <c r="N248" s="215"/>
      <c r="O248" s="172"/>
      <c r="P248" s="172"/>
      <c r="Q248" s="172"/>
      <c r="R248" s="172"/>
      <c r="S248" s="173"/>
    </row>
    <row r="249" spans="1:19" ht="16.95" customHeight="1" x14ac:dyDescent="0.3">
      <c r="K249" s="95">
        <f t="shared" si="39"/>
        <v>-2.2762647781711696</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24166.666666666668</v>
      </c>
      <c r="D251" s="12" t="s">
        <v>273</v>
      </c>
      <c r="N251" s="215"/>
      <c r="O251" s="172"/>
      <c r="P251" s="172"/>
      <c r="Q251" s="172"/>
      <c r="R251" s="172"/>
      <c r="S251" s="173"/>
    </row>
    <row r="252" spans="1:19" ht="16.95" customHeight="1" x14ac:dyDescent="0.3">
      <c r="A252" s="12" t="str">
        <f>A244</f>
        <v>C1Y</v>
      </c>
      <c r="B252" s="13" t="s">
        <v>220</v>
      </c>
      <c r="C252" s="17">
        <v>15500.000000000011</v>
      </c>
      <c r="D252" s="12" t="s">
        <v>273</v>
      </c>
      <c r="N252" s="215"/>
      <c r="O252" s="172"/>
      <c r="P252" s="172"/>
      <c r="Q252" s="172"/>
      <c r="R252" s="172"/>
      <c r="S252" s="173"/>
    </row>
    <row r="253" spans="1:19" ht="16.95" customHeight="1" x14ac:dyDescent="0.3">
      <c r="A253" s="12" t="str">
        <f>A245</f>
        <v>C2X</v>
      </c>
      <c r="C253" s="17">
        <v>-25666.666666666672</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v>
      </c>
    </row>
    <row r="261" spans="1:19" ht="19.05" customHeight="1" x14ac:dyDescent="0.3">
      <c r="A261" s="12" t="s">
        <v>231</v>
      </c>
      <c r="B261" s="12" t="s">
        <v>181</v>
      </c>
      <c r="D261" s="94">
        <f t="shared" si="40"/>
        <v>-0.18452380952380965</v>
      </c>
    </row>
    <row r="262" spans="1:19" ht="19.05" customHeight="1" x14ac:dyDescent="0.3">
      <c r="A262" s="12" t="s">
        <v>232</v>
      </c>
      <c r="B262" s="12" t="s">
        <v>182</v>
      </c>
      <c r="D262" s="94">
        <f t="shared" si="40"/>
        <v>0.10532407407407403</v>
      </c>
    </row>
    <row r="263" spans="1:19" ht="19.05" customHeight="1" x14ac:dyDescent="0.3">
      <c r="A263" s="12" t="s">
        <v>234</v>
      </c>
      <c r="B263" s="12" t="s">
        <v>183</v>
      </c>
      <c r="D263" s="94">
        <f t="shared" si="40"/>
        <v>-1.3824818023855483</v>
      </c>
    </row>
    <row r="264" spans="1:19" ht="19.05" customHeight="1" x14ac:dyDescent="0.3">
      <c r="A264" s="12" t="s">
        <v>235</v>
      </c>
      <c r="B264" s="12" t="s">
        <v>184</v>
      </c>
      <c r="D264" s="94">
        <f t="shared" si="40"/>
        <v>-0.33564814814814814</v>
      </c>
    </row>
    <row r="265" spans="1:19" ht="19.05" customHeight="1" x14ac:dyDescent="0.3">
      <c r="A265" s="12" t="s">
        <v>236</v>
      </c>
      <c r="B265" s="12" t="s">
        <v>185</v>
      </c>
      <c r="D265" s="94">
        <f t="shared" si="40"/>
        <v>-1.2455770404807864</v>
      </c>
    </row>
    <row r="266" spans="1:19" ht="19.05" customHeight="1" x14ac:dyDescent="0.3">
      <c r="A266" s="12" t="s">
        <v>237</v>
      </c>
      <c r="B266" s="12" t="s">
        <v>186</v>
      </c>
      <c r="D266" s="94">
        <f t="shared" si="40"/>
        <v>-0.42013888888888884</v>
      </c>
    </row>
    <row r="267" spans="1:19" ht="19.05" customHeight="1" x14ac:dyDescent="0.3">
      <c r="A267" s="12" t="s">
        <v>238</v>
      </c>
      <c r="B267" s="12" t="s">
        <v>187</v>
      </c>
      <c r="D267" s="94">
        <f t="shared" si="40"/>
        <v>-2.2762647781711696</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84000</v>
      </c>
      <c r="C274" s="92">
        <f>-J6</f>
        <v>0</v>
      </c>
      <c r="D274" s="92">
        <f>-K6</f>
        <v>-1</v>
      </c>
      <c r="E274" s="92">
        <f>J6</f>
        <v>0</v>
      </c>
      <c r="F274" s="92">
        <f>K6</f>
        <v>1</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-15500.000000000011</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v>
      </c>
      <c r="H276" s="12" t="str">
        <f>"D" &amp; E16 &amp; "X"</f>
        <v>D2X</v>
      </c>
      <c r="N276" s="215" t="s">
        <v>400</v>
      </c>
      <c r="O276" s="172"/>
      <c r="P276" s="172"/>
      <c r="Q276" s="172"/>
      <c r="R276" s="172"/>
      <c r="S276" s="173"/>
    </row>
    <row r="277" spans="1:19" ht="16.95" customHeight="1" x14ac:dyDescent="0.3">
      <c r="G277" s="96">
        <f>IFERROR(VLOOKUP(H277, A$258:D$267, 4, FALSE), 0)</f>
        <v>-0.18452380952380965</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COMPRESIÓN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72000</v>
      </c>
      <c r="C282" s="92">
        <f>-J7</f>
        <v>-1</v>
      </c>
      <c r="D282" s="92">
        <f>-K7</f>
        <v>0</v>
      </c>
      <c r="E282" s="92">
        <f>J7</f>
        <v>1</v>
      </c>
      <c r="F282" s="92">
        <f>K7</f>
        <v>0</v>
      </c>
      <c r="G282" s="96">
        <f>IFERROR(VLOOKUP(H282, A$258:D$267, 4, FALSE), 0)</f>
        <v>0</v>
      </c>
      <c r="H282" s="12" t="str">
        <f>"D" &amp; C17 &amp; "X"</f>
        <v>D2X</v>
      </c>
      <c r="N282" s="215"/>
      <c r="O282" s="172"/>
      <c r="P282" s="172"/>
      <c r="Q282" s="172"/>
      <c r="R282" s="172"/>
      <c r="S282" s="173"/>
    </row>
    <row r="283" spans="1:19" ht="16.95" customHeight="1" x14ac:dyDescent="0.3">
      <c r="A283" s="99" t="s">
        <v>286</v>
      </c>
      <c r="B283" s="97">
        <f>(MMULT(C282:F282, G282:G285)*A282)</f>
        <v>7583.3333333333303</v>
      </c>
      <c r="G283" s="96">
        <f>IFERROR(VLOOKUP(H283, A$258:D$267, 4, FALSE), 0)</f>
        <v>-0.18452380952380965</v>
      </c>
      <c r="H283" s="12" t="str">
        <f>"D" &amp; D17 &amp; "Y"</f>
        <v>D2Y</v>
      </c>
      <c r="N283" s="215"/>
      <c r="O283" s="172"/>
      <c r="P283" s="172"/>
      <c r="Q283" s="172"/>
      <c r="R283" s="172"/>
      <c r="S283" s="173"/>
    </row>
    <row r="284" spans="1:19" ht="16.95" customHeight="1" x14ac:dyDescent="0.3">
      <c r="G284" s="96">
        <f>IFERROR(VLOOKUP(H284, A$258:D$267, 4, FALSE), 0)</f>
        <v>0.10532407407407403</v>
      </c>
      <c r="H284" s="12" t="str">
        <f>"D" &amp; E17 &amp; "X"</f>
        <v>D3X</v>
      </c>
      <c r="N284" s="215"/>
      <c r="O284" s="172"/>
      <c r="P284" s="172"/>
      <c r="Q284" s="172"/>
      <c r="R284" s="172"/>
      <c r="S284" s="173"/>
    </row>
    <row r="285" spans="1:19" ht="16.95" customHeight="1" x14ac:dyDescent="0.3">
      <c r="G285" s="96">
        <f>IFERROR(VLOOKUP(H285, A$258:D$267, 4, FALSE), 0)</f>
        <v>-1.3824818023855483</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84000</v>
      </c>
      <c r="C290" s="92">
        <f>-J8</f>
        <v>0</v>
      </c>
      <c r="D290" s="92">
        <f>-K8</f>
        <v>1</v>
      </c>
      <c r="E290" s="92">
        <f>J8</f>
        <v>0</v>
      </c>
      <c r="F290" s="92">
        <f>K8</f>
        <v>-1</v>
      </c>
      <c r="G290" s="96">
        <f>IFERROR(VLOOKUP(H290, A$258:D$267, 4, FALSE), 0)</f>
        <v>0.10532407407407403</v>
      </c>
      <c r="H290" s="12" t="str">
        <f>"D" &amp; C18 &amp; "X"</f>
        <v>D3X</v>
      </c>
      <c r="N290" s="215"/>
      <c r="O290" s="172"/>
      <c r="P290" s="172"/>
      <c r="Q290" s="172"/>
      <c r="R290" s="172"/>
      <c r="S290" s="173"/>
    </row>
    <row r="291" spans="1:19" ht="16.95" customHeight="1" x14ac:dyDescent="0.3">
      <c r="A291" s="99" t="s">
        <v>287</v>
      </c>
      <c r="B291" s="97">
        <f>(MMULT(C290:F290, G290:G293)*A290)</f>
        <v>-11499.999999999996</v>
      </c>
      <c r="G291" s="96">
        <f>IFERROR(VLOOKUP(H291, A$258:D$267, 4, FALSE), 0)</f>
        <v>-1.3824818023855483</v>
      </c>
      <c r="H291" s="12" t="str">
        <f>"D" &amp; D18 &amp; "Y"</f>
        <v>D3Y</v>
      </c>
      <c r="N291" s="215"/>
      <c r="O291" s="172"/>
      <c r="P291" s="172"/>
      <c r="Q291" s="172"/>
      <c r="R291" s="172"/>
      <c r="S291" s="173"/>
    </row>
    <row r="292" spans="1:19" ht="16.95" customHeight="1" x14ac:dyDescent="0.3">
      <c r="G292" s="96">
        <f>IFERROR(VLOOKUP(H292, A$258:D$267, 4, FALSE), 0)</f>
        <v>-0.33564814814814814</v>
      </c>
      <c r="H292" s="12" t="str">
        <f>"D" &amp; E18 &amp; "X"</f>
        <v>D4X</v>
      </c>
      <c r="N292" s="215"/>
      <c r="O292" s="172"/>
      <c r="P292" s="172"/>
      <c r="Q292" s="172"/>
      <c r="R292" s="172"/>
      <c r="S292" s="173"/>
    </row>
    <row r="293" spans="1:19" ht="16.95" customHeight="1" x14ac:dyDescent="0.3">
      <c r="G293" s="96">
        <f>IFERROR(VLOOKUP(H293, A$258:D$267, 4, FALSE), 0)</f>
        <v>-1.2455770404807864</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72000</v>
      </c>
      <c r="C298" s="92">
        <f>-J9</f>
        <v>1</v>
      </c>
      <c r="D298" s="92">
        <f>-K9</f>
        <v>0</v>
      </c>
      <c r="E298" s="92">
        <f>J9</f>
        <v>-1</v>
      </c>
      <c r="F298" s="92">
        <f>K9</f>
        <v>0</v>
      </c>
      <c r="G298" s="96">
        <f>IFERROR(VLOOKUP(H298, A$258:D$267, 4, FALSE), 0)</f>
        <v>-0.33564814814814814</v>
      </c>
      <c r="H298" s="12" t="str">
        <f>"D" &amp; C19 &amp; "X"</f>
        <v>D4X</v>
      </c>
    </row>
    <row r="299" spans="1:19" ht="19.95" customHeight="1" x14ac:dyDescent="0.3">
      <c r="A299" s="99" t="s">
        <v>288</v>
      </c>
      <c r="B299" s="97">
        <f>(MMULT(C298:F298, G298:G301)*A298)</f>
        <v>-24166.666666666668</v>
      </c>
      <c r="G299" s="96">
        <f>IFERROR(VLOOKUP(H299, A$258:D$267, 4, FALSE), 0)</f>
        <v>-1.2455770404807864</v>
      </c>
      <c r="H299" s="12" t="str">
        <f>"D" &amp; D19 &amp; "Y"</f>
        <v>D4Y</v>
      </c>
    </row>
    <row r="300" spans="1:19" ht="19.95" customHeight="1" x14ac:dyDescent="0.3">
      <c r="G300" s="96">
        <f>IFERROR(VLOOKUP(H300, A$258:D$267, 4, FALSE), 0)</f>
        <v>0</v>
      </c>
      <c r="H300" s="12" t="str">
        <f>"D" &amp; E19 &amp; "X"</f>
        <v>D1X</v>
      </c>
    </row>
    <row r="301" spans="1:19" ht="19.95" customHeight="1" x14ac:dyDescent="0.3">
      <c r="G301" s="96">
        <f>IFERROR(VLOOKUP(H301, A$258:D$267, 4, FALSE), 0)</f>
        <v>0</v>
      </c>
      <c r="H301" s="12" t="str">
        <f>"D" &amp; F19 &amp; "Y"</f>
        <v>D1Y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54666.475370301356</v>
      </c>
      <c r="C306" s="92">
        <f>-J10</f>
        <v>-0.75925660236529657</v>
      </c>
      <c r="D306" s="92">
        <f>-K10</f>
        <v>0.65079137345596849</v>
      </c>
      <c r="E306" s="92">
        <f>J10</f>
        <v>0.75925660236529657</v>
      </c>
      <c r="F306" s="92">
        <f>K10</f>
        <v>-0.65079137345596849</v>
      </c>
      <c r="G306" s="96">
        <f>IFERROR(VLOOKUP(H306, A$258:D$267, 4, FALSE), 0)</f>
        <v>0</v>
      </c>
      <c r="H306" s="12" t="str">
        <f>"D" &amp; C20 &amp; "X"</f>
        <v>D2X</v>
      </c>
    </row>
    <row r="307" spans="1:8" ht="19.95" customHeight="1" x14ac:dyDescent="0.3">
      <c r="A307" s="99" t="s">
        <v>289</v>
      </c>
      <c r="B307" s="97">
        <f>(MMULT(C306:F306, G306:G309)*A306)</f>
        <v>23817.156514673308</v>
      </c>
      <c r="G307" s="96">
        <f>IFERROR(VLOOKUP(H307, A$258:D$267, 4, FALSE), 0)</f>
        <v>-0.18452380952380965</v>
      </c>
      <c r="H307" s="12" t="str">
        <f>"D" &amp; D20 &amp; "Y"</f>
        <v>D2Y</v>
      </c>
    </row>
    <row r="308" spans="1:8" ht="19.95" customHeight="1" x14ac:dyDescent="0.3">
      <c r="G308" s="96">
        <f>IFERROR(VLOOKUP(H308, A$258:D$267, 4, FALSE), 0)</f>
        <v>-0.33564814814814814</v>
      </c>
      <c r="H308" s="12" t="str">
        <f>"D" &amp; E20 &amp; "X"</f>
        <v>D4X</v>
      </c>
    </row>
    <row r="309" spans="1:8" ht="19.95" customHeight="1" x14ac:dyDescent="0.3">
      <c r="G309" s="96">
        <f>IFERROR(VLOOKUP(H309, A$258:D$267, 4, FALSE), 0)</f>
        <v>-1.2455770404807864</v>
      </c>
      <c r="H309" s="12" t="str">
        <f>"D" &amp; F20 &amp; "Y"</f>
        <v>D4Y</v>
      </c>
    </row>
    <row r="310" spans="1:8" ht="19.95" customHeight="1" x14ac:dyDescent="0.3">
      <c r="B310" s="99" t="s">
        <v>273</v>
      </c>
      <c r="C310" s="178" t="str">
        <f>IF(B307&gt;0.001,"BARRA A TRACCIÓN (+)",IF(B307&lt;-0.001,"BARRA A COMPRESIÓN (-)","BARRA DE FUERZA NULA"))</f>
        <v>BARRA A TRACCIÓN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54666.475370301356</v>
      </c>
      <c r="C314" s="92">
        <f>-J11</f>
        <v>-0.75925660236529657</v>
      </c>
      <c r="D314" s="92">
        <f>-K11</f>
        <v>0.65079137345596849</v>
      </c>
      <c r="E314" s="92">
        <f>J11</f>
        <v>0.75925660236529657</v>
      </c>
      <c r="F314" s="92">
        <f>K11</f>
        <v>-0.65079137345596849</v>
      </c>
      <c r="G314" s="96">
        <f>IFERROR(VLOOKUP(H314, A$258:D$267, 4, FALSE), 0)</f>
        <v>0.10532407407407403</v>
      </c>
      <c r="H314" s="12" t="str">
        <f>"D" &amp; C21 &amp; "X"</f>
        <v>D3X</v>
      </c>
    </row>
    <row r="315" spans="1:8" ht="19.95" customHeight="1" x14ac:dyDescent="0.3">
      <c r="A315" s="99" t="s">
        <v>290</v>
      </c>
      <c r="B315" s="97">
        <f>(MMULT(C314:F314, G314:G317)*A314)</f>
        <v>9987.8398287339514</v>
      </c>
      <c r="G315" s="96">
        <f>IFERROR(VLOOKUP(H315, A$258:D$267, 4, FALSE), 0)</f>
        <v>-1.3824818023855483</v>
      </c>
      <c r="H315" s="12" t="str">
        <f>"D" &amp; D21 &amp; "Y"</f>
        <v>D3Y</v>
      </c>
    </row>
    <row r="316" spans="1:8" ht="19.95" customHeight="1" x14ac:dyDescent="0.3">
      <c r="G316" s="96">
        <f>IFERROR(VLOOKUP(H316, A$258:D$267, 4, FALSE), 0)</f>
        <v>-0.42013888888888884</v>
      </c>
      <c r="H316" s="12" t="str">
        <f>"D" &amp; E21 &amp; "X"</f>
        <v>D5X</v>
      </c>
    </row>
    <row r="317" spans="1:8" ht="19.95" customHeight="1" x14ac:dyDescent="0.3">
      <c r="G317" s="96">
        <f>IFERROR(VLOOKUP(H317, A$258:D$267, 4, FALSE), 0)</f>
        <v>-2.2762647781711696</v>
      </c>
      <c r="H317" s="12" t="str">
        <f>"D" &amp; F21 &amp; "Y"</f>
        <v>D5Y</v>
      </c>
    </row>
    <row r="318" spans="1:8" ht="19.95" customHeight="1" x14ac:dyDescent="0.3">
      <c r="B318" s="99" t="s">
        <v>273</v>
      </c>
      <c r="C318" s="178" t="str">
        <f>IF(B315&gt;0.001,"BARRA A TRACCIÓN (+)",IF(B315&lt;-0.001,"BARRA A COMPRESIÓN (-)","BARRA DE FUERZA NULA"))</f>
        <v>BARRA A TRACCIÓN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72000</v>
      </c>
      <c r="C322" s="92">
        <f>-J12</f>
        <v>-1</v>
      </c>
      <c r="D322" s="92">
        <f>-K12</f>
        <v>0</v>
      </c>
      <c r="E322" s="92">
        <f>J12</f>
        <v>1</v>
      </c>
      <c r="F322" s="92">
        <f>K12</f>
        <v>0</v>
      </c>
      <c r="G322" s="96">
        <f>IFERROR(VLOOKUP(H322, A$258:D$267, 4, FALSE), 0)</f>
        <v>-0.33564814814814814</v>
      </c>
      <c r="H322" s="12" t="str">
        <f>"D" &amp; C22 &amp; "X"</f>
        <v>D4X</v>
      </c>
    </row>
    <row r="323" spans="1:8" ht="19.95" customHeight="1" x14ac:dyDescent="0.3">
      <c r="A323" s="99" t="s">
        <v>291</v>
      </c>
      <c r="B323" s="97">
        <f>(MMULT(C322:F322, G322:G325)*A322)</f>
        <v>-6083.3333333333303</v>
      </c>
      <c r="G323" s="96">
        <f>IFERROR(VLOOKUP(H323, A$258:D$267, 4, FALSE), 0)</f>
        <v>-1.2455770404807864</v>
      </c>
      <c r="H323" s="12" t="str">
        <f>"D" &amp; D22 &amp; "Y"</f>
        <v>D4Y</v>
      </c>
    </row>
    <row r="324" spans="1:8" ht="19.95" customHeight="1" x14ac:dyDescent="0.3">
      <c r="G324" s="96">
        <f>IFERROR(VLOOKUP(H324, A$258:D$267, 4, FALSE), 0)</f>
        <v>-0.42013888888888884</v>
      </c>
      <c r="H324" s="12" t="str">
        <f>"D" &amp; E22 &amp; "X"</f>
        <v>D5X</v>
      </c>
    </row>
    <row r="325" spans="1:8" ht="19.95" customHeight="1" x14ac:dyDescent="0.3">
      <c r="G325" s="96">
        <f>IFERROR(VLOOKUP(H325, A$258:D$267, 4, FALSE), 0)</f>
        <v>-2.2762647781711696</v>
      </c>
      <c r="H325" s="12" t="str">
        <f>"D" &amp; F22 &amp; "Y"</f>
        <v>D5Y</v>
      </c>
    </row>
    <row r="326" spans="1:8" ht="19.95" customHeight="1" x14ac:dyDescent="0.3">
      <c r="B326" s="99" t="s">
        <v>273</v>
      </c>
      <c r="C326" s="178" t="str">
        <f>IF(B323&gt;0.001,"BARRA A TRACCIÓN (+)",IF(B323&lt;-0.001,"BARRA A COMPRESIÓN (-)","BARRA DE FUERZA NULA"))</f>
        <v>BARRA A COMPRESIÓN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300</v>
      </c>
      <c r="F331" s="9">
        <f t="shared" ref="F331:F337" si="44">L6</f>
        <v>12</v>
      </c>
      <c r="G331" s="97">
        <f>B275</f>
        <v>-15500.000000000011</v>
      </c>
      <c r="H331" s="84" t="str">
        <f>C278</f>
        <v>BARRA A COMPRESIÓN (-)</v>
      </c>
    </row>
    <row r="332" spans="1:8" ht="19.95" customHeight="1" x14ac:dyDescent="0.3">
      <c r="B332" s="25">
        <v>2</v>
      </c>
      <c r="C332" s="86">
        <f t="shared" si="41"/>
        <v>2</v>
      </c>
      <c r="D332" s="86">
        <f t="shared" si="42"/>
        <v>3</v>
      </c>
      <c r="E332" s="9">
        <f t="shared" si="43"/>
        <v>350</v>
      </c>
      <c r="F332" s="9">
        <f t="shared" si="44"/>
        <v>12</v>
      </c>
      <c r="G332" s="97">
        <f>B283</f>
        <v>7583.3333333333303</v>
      </c>
      <c r="H332" s="84" t="str">
        <f>C286</f>
        <v>BARRA A TRACCIÓN (+)</v>
      </c>
    </row>
    <row r="333" spans="1:8" ht="19.95" customHeight="1" x14ac:dyDescent="0.3">
      <c r="B333" s="26">
        <v>3</v>
      </c>
      <c r="C333" s="86">
        <f t="shared" si="41"/>
        <v>3</v>
      </c>
      <c r="D333" s="86">
        <f t="shared" si="42"/>
        <v>4</v>
      </c>
      <c r="E333" s="9">
        <f t="shared" si="43"/>
        <v>300</v>
      </c>
      <c r="F333" s="9">
        <f t="shared" si="44"/>
        <v>12</v>
      </c>
      <c r="G333" s="97">
        <f>B291</f>
        <v>-11499.999999999996</v>
      </c>
      <c r="H333" s="84" t="str">
        <f>C294</f>
        <v>BARRA A COMPRESIÓN (-)</v>
      </c>
    </row>
    <row r="334" spans="1:8" ht="19.95" customHeight="1" x14ac:dyDescent="0.3">
      <c r="B334" s="43">
        <v>4</v>
      </c>
      <c r="C334" s="86">
        <f t="shared" si="41"/>
        <v>4</v>
      </c>
      <c r="D334" s="86">
        <f t="shared" si="42"/>
        <v>1</v>
      </c>
      <c r="E334" s="9">
        <f t="shared" si="43"/>
        <v>350</v>
      </c>
      <c r="F334" s="9">
        <f t="shared" si="44"/>
        <v>12</v>
      </c>
      <c r="G334" s="97">
        <f>B299</f>
        <v>-24166.666666666668</v>
      </c>
      <c r="H334" s="84" t="str">
        <f>C302</f>
        <v>BARRA A COMPRESIÓN (-)</v>
      </c>
    </row>
    <row r="335" spans="1:8" ht="19.95" customHeight="1" x14ac:dyDescent="0.3">
      <c r="B335" s="44">
        <v>5</v>
      </c>
      <c r="C335" s="86">
        <f t="shared" si="41"/>
        <v>2</v>
      </c>
      <c r="D335" s="86">
        <f t="shared" si="42"/>
        <v>4</v>
      </c>
      <c r="E335" s="9">
        <f t="shared" si="43"/>
        <v>460.97722286464438</v>
      </c>
      <c r="F335" s="9">
        <f t="shared" si="44"/>
        <v>12</v>
      </c>
      <c r="G335" s="97">
        <f>B307</f>
        <v>23817.156514673308</v>
      </c>
      <c r="H335" s="84" t="str">
        <f>C310</f>
        <v>BARRA A TRACCIÓN (+)</v>
      </c>
    </row>
    <row r="336" spans="1:8" ht="19.95" customHeight="1" x14ac:dyDescent="0.3">
      <c r="B336" s="51">
        <v>6</v>
      </c>
      <c r="C336" s="86">
        <f t="shared" si="41"/>
        <v>3</v>
      </c>
      <c r="D336" s="86">
        <f t="shared" si="42"/>
        <v>5</v>
      </c>
      <c r="E336" s="9">
        <f t="shared" si="43"/>
        <v>460.97722286464438</v>
      </c>
      <c r="F336" s="9">
        <f t="shared" si="44"/>
        <v>12</v>
      </c>
      <c r="G336" s="97">
        <f>B315</f>
        <v>9987.8398287339514</v>
      </c>
      <c r="H336" s="84" t="str">
        <f>C318</f>
        <v>BARRA A TRACCIÓN (+)</v>
      </c>
    </row>
    <row r="337" spans="2:8" ht="19.95" customHeight="1" x14ac:dyDescent="0.3">
      <c r="B337" s="52">
        <v>7</v>
      </c>
      <c r="C337" s="86">
        <f t="shared" si="41"/>
        <v>4</v>
      </c>
      <c r="D337" s="86">
        <f t="shared" si="42"/>
        <v>5</v>
      </c>
      <c r="E337" s="9">
        <f t="shared" si="43"/>
        <v>350</v>
      </c>
      <c r="F337" s="9">
        <f t="shared" si="44"/>
        <v>12</v>
      </c>
      <c r="G337" s="97">
        <f>B323</f>
        <v>-6083.3333333333303</v>
      </c>
      <c r="H337" s="84" t="str">
        <f>C326</f>
        <v>BARRA A COMPRESIÓN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499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600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150</v>
      </c>
      <c r="AB9" s="20">
        <f>IF(H29="","",H29)</f>
        <v>400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450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456</v>
      </c>
      <c r="K14" s="172"/>
      <c r="L14" s="172"/>
      <c r="M14" s="172"/>
      <c r="N14" s="172"/>
      <c r="O14" s="173"/>
      <c r="AA14" s="20">
        <f>IF(E31="","",E31)</f>
        <v>150</v>
      </c>
      <c r="AB14" s="20">
        <f>IF(F31="","",F31)</f>
        <v>400</v>
      </c>
      <c r="AC14" t="s">
        <v>328</v>
      </c>
    </row>
    <row r="15" spans="2:29" ht="19.05" customHeight="1" x14ac:dyDescent="0.3">
      <c r="B15" s="89">
        <v>2</v>
      </c>
      <c r="C15" s="21">
        <v>600</v>
      </c>
      <c r="D15" s="21">
        <v>0</v>
      </c>
      <c r="E15" s="21" t="s">
        <v>329</v>
      </c>
      <c r="F15" s="88">
        <f t="shared" si="0"/>
        <v>0</v>
      </c>
      <c r="G15" s="88">
        <f t="shared" si="1"/>
        <v>1</v>
      </c>
      <c r="H15" s="22">
        <v>0</v>
      </c>
      <c r="I15" s="22">
        <v>0</v>
      </c>
      <c r="J15" s="205" t="s">
        <v>457</v>
      </c>
      <c r="K15" s="172"/>
      <c r="L15" s="172"/>
      <c r="M15" s="172"/>
      <c r="N15" s="172"/>
      <c r="O15" s="173"/>
      <c r="AA15" s="20">
        <f>IF(G31="","",G31)</f>
        <v>450</v>
      </c>
      <c r="AB15" s="20">
        <f>IF(H31="","",H31)</f>
        <v>400</v>
      </c>
      <c r="AC15" t="s">
        <v>331</v>
      </c>
    </row>
    <row r="16" spans="2:29" ht="19.05" customHeight="1" x14ac:dyDescent="0.3">
      <c r="B16" s="89">
        <v>3</v>
      </c>
      <c r="C16" s="21">
        <v>450</v>
      </c>
      <c r="D16" s="21">
        <v>400</v>
      </c>
      <c r="E16" s="21" t="s">
        <v>326</v>
      </c>
      <c r="F16" s="88">
        <f t="shared" si="0"/>
        <v>0</v>
      </c>
      <c r="G16" s="88">
        <f t="shared" si="1"/>
        <v>0</v>
      </c>
      <c r="H16" s="22">
        <v>2500</v>
      </c>
      <c r="I16" s="22">
        <v>-3000</v>
      </c>
      <c r="J16" s="205" t="s">
        <v>500</v>
      </c>
      <c r="K16" s="172"/>
      <c r="L16" s="172"/>
      <c r="M16" s="172"/>
      <c r="N16" s="172"/>
      <c r="O16" s="173"/>
    </row>
    <row r="17" spans="2:29" ht="19.05" customHeight="1" x14ac:dyDescent="0.3">
      <c r="B17" s="89">
        <v>4</v>
      </c>
      <c r="C17" s="21">
        <v>150</v>
      </c>
      <c r="D17" s="21">
        <v>400</v>
      </c>
      <c r="E17" s="21" t="s">
        <v>326</v>
      </c>
      <c r="F17" s="88">
        <f t="shared" si="0"/>
        <v>0</v>
      </c>
      <c r="G17" s="88">
        <f t="shared" si="1"/>
        <v>0</v>
      </c>
      <c r="H17" s="22">
        <v>3000</v>
      </c>
      <c r="I17" s="22">
        <v>-3000</v>
      </c>
      <c r="J17" s="205" t="s">
        <v>501</v>
      </c>
      <c r="K17" s="172"/>
      <c r="L17" s="172"/>
      <c r="M17" s="172"/>
      <c r="N17" s="172"/>
      <c r="O17" s="173"/>
      <c r="AA17" s="20">
        <f>IF(E32="","",E32)</f>
        <v>0</v>
      </c>
      <c r="AB17" s="20">
        <f>IF(F32="","",F32)</f>
        <v>0</v>
      </c>
      <c r="AC17" t="s">
        <v>334</v>
      </c>
    </row>
    <row r="18" spans="2:29" ht="19.05" customHeight="1" x14ac:dyDescent="0.3">
      <c r="B18" s="89">
        <v>5</v>
      </c>
      <c r="C18" s="21">
        <v>300</v>
      </c>
      <c r="D18" s="21">
        <v>750</v>
      </c>
      <c r="E18" s="21" t="s">
        <v>326</v>
      </c>
      <c r="F18" s="88">
        <f t="shared" si="0"/>
        <v>0</v>
      </c>
      <c r="G18" s="88">
        <f t="shared" si="1"/>
        <v>0</v>
      </c>
      <c r="H18" s="22">
        <v>4000</v>
      </c>
      <c r="I18" s="22">
        <v>-4000</v>
      </c>
      <c r="J18" s="205" t="s">
        <v>502</v>
      </c>
      <c r="K18" s="172"/>
      <c r="L18" s="172"/>
      <c r="M18" s="172"/>
      <c r="N18" s="172"/>
      <c r="O18" s="173"/>
      <c r="AA18" s="20">
        <f>IF(G32="","",G32)</f>
        <v>450</v>
      </c>
      <c r="AB18" s="20">
        <f>IF(H32="","",H32)</f>
        <v>400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150</v>
      </c>
      <c r="AB20" s="20">
        <f>IF(F33="","",F33)</f>
        <v>400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750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450</v>
      </c>
      <c r="AB23" s="20">
        <f>IF(F34="","",F34)</f>
        <v>400</v>
      </c>
      <c r="AC23" t="s">
        <v>338</v>
      </c>
    </row>
    <row r="24" spans="2:29" x14ac:dyDescent="0.3">
      <c r="AA24" s="20">
        <f>IF(G34="","",G34)</f>
        <v>300</v>
      </c>
      <c r="AB24" s="20">
        <f>IF(H34="","",H34)</f>
        <v>750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1</v>
      </c>
      <c r="D29" s="23">
        <v>4</v>
      </c>
      <c r="E29" s="5">
        <f t="shared" si="2"/>
        <v>0</v>
      </c>
      <c r="F29" s="5">
        <f t="shared" si="3"/>
        <v>0</v>
      </c>
      <c r="G29" s="5">
        <f t="shared" si="4"/>
        <v>150</v>
      </c>
      <c r="H29" s="5">
        <f t="shared" si="5"/>
        <v>400</v>
      </c>
      <c r="I29" s="9">
        <f t="shared" si="6"/>
        <v>150</v>
      </c>
      <c r="J29" s="9">
        <f t="shared" si="7"/>
        <v>400</v>
      </c>
      <c r="K29" s="9">
        <f t="shared" si="8"/>
        <v>427.20018726587654</v>
      </c>
      <c r="L29" s="92">
        <f t="shared" si="9"/>
        <v>0.3511234415883917</v>
      </c>
      <c r="M29" s="92">
        <f t="shared" si="10"/>
        <v>0.93632917756904455</v>
      </c>
      <c r="N29" s="22">
        <v>12</v>
      </c>
      <c r="O29" s="24">
        <v>2100000</v>
      </c>
      <c r="AA29" s="20" t="str">
        <f>IF(E36="","",E36)</f>
        <v/>
      </c>
      <c r="AB29" s="20" t="str">
        <f>IF(F36="","",F36)</f>
        <v/>
      </c>
      <c r="AC29" t="s">
        <v>353</v>
      </c>
    </row>
    <row r="30" spans="2:29" ht="19.05" customHeight="1" x14ac:dyDescent="0.3">
      <c r="B30" s="89">
        <v>3</v>
      </c>
      <c r="C30" s="23">
        <v>2</v>
      </c>
      <c r="D30" s="23">
        <v>3</v>
      </c>
      <c r="E30" s="5">
        <f t="shared" si="2"/>
        <v>600</v>
      </c>
      <c r="F30" s="5">
        <f t="shared" si="3"/>
        <v>0</v>
      </c>
      <c r="G30" s="5">
        <f t="shared" si="4"/>
        <v>450</v>
      </c>
      <c r="H30" s="5">
        <f t="shared" si="5"/>
        <v>400</v>
      </c>
      <c r="I30" s="9">
        <f t="shared" si="6"/>
        <v>-150</v>
      </c>
      <c r="J30" s="9">
        <f t="shared" si="7"/>
        <v>400</v>
      </c>
      <c r="K30" s="9">
        <f t="shared" si="8"/>
        <v>427.20018726587654</v>
      </c>
      <c r="L30" s="92">
        <f t="shared" si="9"/>
        <v>-0.3511234415883917</v>
      </c>
      <c r="M30" s="92">
        <f t="shared" si="10"/>
        <v>0.93632917756904455</v>
      </c>
      <c r="N30" s="22">
        <v>12</v>
      </c>
      <c r="O30" s="24">
        <v>2100000</v>
      </c>
      <c r="AA30" s="20" t="str">
        <f>IF(G36="","",G36)</f>
        <v/>
      </c>
      <c r="AB30" s="20" t="str">
        <f>IF(H36="","",H36)</f>
        <v/>
      </c>
      <c r="AC30" t="s">
        <v>354</v>
      </c>
    </row>
    <row r="31" spans="2:29" ht="19.05" customHeight="1" x14ac:dyDescent="0.3">
      <c r="B31" s="89">
        <v>4</v>
      </c>
      <c r="C31" s="23">
        <v>4</v>
      </c>
      <c r="D31" s="23">
        <v>3</v>
      </c>
      <c r="E31" s="5">
        <f t="shared" si="2"/>
        <v>150</v>
      </c>
      <c r="F31" s="5">
        <f t="shared" si="3"/>
        <v>400</v>
      </c>
      <c r="G31" s="5">
        <f t="shared" si="4"/>
        <v>450</v>
      </c>
      <c r="H31" s="5">
        <f t="shared" si="5"/>
        <v>400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450</v>
      </c>
      <c r="H32" s="5">
        <f t="shared" si="5"/>
        <v>400</v>
      </c>
      <c r="I32" s="9">
        <f t="shared" si="6"/>
        <v>450</v>
      </c>
      <c r="J32" s="9">
        <f t="shared" si="7"/>
        <v>400</v>
      </c>
      <c r="K32" s="9">
        <f t="shared" si="8"/>
        <v>602.07972893961482</v>
      </c>
      <c r="L32" s="92">
        <f t="shared" si="9"/>
        <v>0.74740931868365967</v>
      </c>
      <c r="M32" s="92">
        <f t="shared" si="10"/>
        <v>0.66436383882991967</v>
      </c>
      <c r="N32" s="22">
        <v>12</v>
      </c>
      <c r="O32" s="24">
        <v>2100000</v>
      </c>
      <c r="AA32" s="20" t="str">
        <f>IF(E37="","",E37)</f>
        <v/>
      </c>
      <c r="AB32" s="20" t="str">
        <f>IF(F37="","",F37)</f>
        <v/>
      </c>
      <c r="AC32" t="s">
        <v>355</v>
      </c>
    </row>
    <row r="33" spans="2:29" ht="19.05" customHeight="1" x14ac:dyDescent="0.3">
      <c r="B33" s="89">
        <v>6</v>
      </c>
      <c r="C33" s="23">
        <v>4</v>
      </c>
      <c r="D33" s="23">
        <v>5</v>
      </c>
      <c r="E33" s="5">
        <f t="shared" si="2"/>
        <v>150</v>
      </c>
      <c r="F33" s="5">
        <f t="shared" si="3"/>
        <v>400</v>
      </c>
      <c r="G33" s="5">
        <f t="shared" si="4"/>
        <v>300</v>
      </c>
      <c r="H33" s="5">
        <f t="shared" si="5"/>
        <v>750</v>
      </c>
      <c r="I33" s="9">
        <f t="shared" si="6"/>
        <v>150</v>
      </c>
      <c r="J33" s="9">
        <f t="shared" si="7"/>
        <v>350</v>
      </c>
      <c r="K33" s="9">
        <f t="shared" si="8"/>
        <v>380.7886552931954</v>
      </c>
      <c r="L33" s="92">
        <f t="shared" si="9"/>
        <v>0.39391929857916769</v>
      </c>
      <c r="M33" s="92">
        <f t="shared" si="10"/>
        <v>0.91914503001805792</v>
      </c>
      <c r="N33" s="22">
        <v>12</v>
      </c>
      <c r="O33" s="24">
        <v>2100000</v>
      </c>
      <c r="AA33" s="20" t="str">
        <f>IF(G37="","",G37)</f>
        <v/>
      </c>
      <c r="AB33" s="20" t="str">
        <f>IF(H37="","",H37)</f>
        <v/>
      </c>
      <c r="AC33" t="s">
        <v>356</v>
      </c>
    </row>
    <row r="34" spans="2:29" ht="19.05" customHeight="1" x14ac:dyDescent="0.3">
      <c r="B34" s="89">
        <v>7</v>
      </c>
      <c r="C34" s="23">
        <v>3</v>
      </c>
      <c r="D34" s="23">
        <v>5</v>
      </c>
      <c r="E34" s="5">
        <f t="shared" si="2"/>
        <v>450</v>
      </c>
      <c r="F34" s="5">
        <f t="shared" si="3"/>
        <v>400</v>
      </c>
      <c r="G34" s="5">
        <f t="shared" si="4"/>
        <v>300</v>
      </c>
      <c r="H34" s="5">
        <f t="shared" si="5"/>
        <v>750</v>
      </c>
      <c r="I34" s="9">
        <f t="shared" si="6"/>
        <v>-150</v>
      </c>
      <c r="J34" s="9">
        <f t="shared" si="7"/>
        <v>350</v>
      </c>
      <c r="K34" s="9">
        <f t="shared" si="8"/>
        <v>380.7886552931954</v>
      </c>
      <c r="L34" s="92">
        <f t="shared" si="9"/>
        <v>-0.39391929857916769</v>
      </c>
      <c r="M34" s="92">
        <f t="shared" si="10"/>
        <v>0.91914503001805792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B00-000000000000}">
      <formula1>"Fijo (articulado),Rodillo Y (despl. X libre),Rodillo X (despl. Y libre),Libre (0 reac.)"</formula1>
    </dataValidation>
  </dataValidations>
  <pageMargins left="0.75" right="0.75" top="1" bottom="1" header="0.5" footer="0.5"/>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503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GRAFICA_21!E28</f>
        <v>0</v>
      </c>
      <c r="D6" s="22">
        <f>GRAFICA_21!F28</f>
        <v>0</v>
      </c>
      <c r="E6" s="22">
        <f>GRAFICA_21!G28</f>
        <v>600</v>
      </c>
      <c r="F6" s="22">
        <f>GRAFICA_21!H28</f>
        <v>0</v>
      </c>
      <c r="G6" s="9">
        <f t="shared" ref="G6:H12" si="0">E6-C6</f>
        <v>600</v>
      </c>
      <c r="H6" s="9">
        <f t="shared" si="0"/>
        <v>0</v>
      </c>
      <c r="I6" s="9">
        <f t="shared" ref="I6:I12" si="1">SQRT(G6*G6+H6*H6)</f>
        <v>600</v>
      </c>
      <c r="J6" s="92">
        <f t="shared" ref="J6:J12" si="2">G6/I6</f>
        <v>1</v>
      </c>
      <c r="K6" s="92">
        <f t="shared" ref="K6:K12" si="3">H6/I6</f>
        <v>0</v>
      </c>
      <c r="L6" s="22">
        <f>GRAFICA_21!N28</f>
        <v>12</v>
      </c>
      <c r="M6" s="22">
        <f>GRAFICA_21!O28</f>
        <v>2100000</v>
      </c>
      <c r="N6" s="6">
        <f t="shared" ref="N6:N12" si="4">L6*M6/I6</f>
        <v>42000</v>
      </c>
    </row>
    <row r="7" spans="2:14" ht="19.05" customHeight="1" x14ac:dyDescent="0.3">
      <c r="B7" s="25">
        <v>2</v>
      </c>
      <c r="C7" s="22">
        <f>GRAFICA_21!E29</f>
        <v>0</v>
      </c>
      <c r="D7" s="22">
        <f>GRAFICA_21!F29</f>
        <v>0</v>
      </c>
      <c r="E7" s="22">
        <f>GRAFICA_21!G29</f>
        <v>150</v>
      </c>
      <c r="F7" s="22">
        <f>GRAFICA_21!H29</f>
        <v>400</v>
      </c>
      <c r="G7" s="9">
        <f t="shared" si="0"/>
        <v>150</v>
      </c>
      <c r="H7" s="9">
        <f t="shared" si="0"/>
        <v>400</v>
      </c>
      <c r="I7" s="9">
        <f t="shared" si="1"/>
        <v>427.20018726587654</v>
      </c>
      <c r="J7" s="92">
        <f t="shared" si="2"/>
        <v>0.3511234415883917</v>
      </c>
      <c r="K7" s="92">
        <f t="shared" si="3"/>
        <v>0.93632917756904455</v>
      </c>
      <c r="L7" s="22">
        <f>GRAFICA_21!N29</f>
        <v>12</v>
      </c>
      <c r="M7" s="22">
        <f>GRAFICA_21!O29</f>
        <v>2100000</v>
      </c>
      <c r="N7" s="6">
        <f t="shared" si="4"/>
        <v>58988.738186849805</v>
      </c>
    </row>
    <row r="8" spans="2:14" ht="19.05" customHeight="1" x14ac:dyDescent="0.3">
      <c r="B8" s="26">
        <v>3</v>
      </c>
      <c r="C8" s="22">
        <f>GRAFICA_21!E30</f>
        <v>600</v>
      </c>
      <c r="D8" s="22">
        <f>GRAFICA_21!F30</f>
        <v>0</v>
      </c>
      <c r="E8" s="22">
        <f>GRAFICA_21!G30</f>
        <v>450</v>
      </c>
      <c r="F8" s="22">
        <f>GRAFICA_21!H30</f>
        <v>400</v>
      </c>
      <c r="G8" s="9">
        <f t="shared" si="0"/>
        <v>-150</v>
      </c>
      <c r="H8" s="9">
        <f t="shared" si="0"/>
        <v>400</v>
      </c>
      <c r="I8" s="9">
        <f t="shared" si="1"/>
        <v>427.20018726587654</v>
      </c>
      <c r="J8" s="92">
        <f t="shared" si="2"/>
        <v>-0.3511234415883917</v>
      </c>
      <c r="K8" s="92">
        <f t="shared" si="3"/>
        <v>0.93632917756904455</v>
      </c>
      <c r="L8" s="22">
        <f>GRAFICA_21!N30</f>
        <v>12</v>
      </c>
      <c r="M8" s="22">
        <f>GRAFICA_21!O30</f>
        <v>2100000</v>
      </c>
      <c r="N8" s="6">
        <f t="shared" si="4"/>
        <v>58988.738186849805</v>
      </c>
    </row>
    <row r="9" spans="2:14" ht="19.05" customHeight="1" x14ac:dyDescent="0.3">
      <c r="B9" s="43">
        <v>4</v>
      </c>
      <c r="C9" s="22">
        <f>GRAFICA_21!E31</f>
        <v>150</v>
      </c>
      <c r="D9" s="22">
        <f>GRAFICA_21!F31</f>
        <v>400</v>
      </c>
      <c r="E9" s="22">
        <f>GRAFICA_21!G31</f>
        <v>450</v>
      </c>
      <c r="F9" s="22">
        <f>GRAFICA_21!H31</f>
        <v>400</v>
      </c>
      <c r="G9" s="9">
        <f t="shared" si="0"/>
        <v>300</v>
      </c>
      <c r="H9" s="9">
        <f t="shared" si="0"/>
        <v>0</v>
      </c>
      <c r="I9" s="9">
        <f t="shared" si="1"/>
        <v>300</v>
      </c>
      <c r="J9" s="92">
        <f t="shared" si="2"/>
        <v>1</v>
      </c>
      <c r="K9" s="92">
        <f t="shared" si="3"/>
        <v>0</v>
      </c>
      <c r="L9" s="22">
        <f>GRAFICA_21!N31</f>
        <v>12</v>
      </c>
      <c r="M9" s="22">
        <f>GRAFICA_21!O31</f>
        <v>2100000</v>
      </c>
      <c r="N9" s="6">
        <f t="shared" si="4"/>
        <v>84000</v>
      </c>
    </row>
    <row r="10" spans="2:14" ht="19.05" customHeight="1" x14ac:dyDescent="0.3">
      <c r="B10" s="44">
        <v>5</v>
      </c>
      <c r="C10" s="22">
        <f>GRAFICA_21!E32</f>
        <v>0</v>
      </c>
      <c r="D10" s="22">
        <f>GRAFICA_21!F32</f>
        <v>0</v>
      </c>
      <c r="E10" s="22">
        <f>GRAFICA_21!G32</f>
        <v>450</v>
      </c>
      <c r="F10" s="22">
        <f>GRAFICA_21!H32</f>
        <v>400</v>
      </c>
      <c r="G10" s="9">
        <f t="shared" si="0"/>
        <v>450</v>
      </c>
      <c r="H10" s="9">
        <f t="shared" si="0"/>
        <v>400</v>
      </c>
      <c r="I10" s="9">
        <f t="shared" si="1"/>
        <v>602.07972893961482</v>
      </c>
      <c r="J10" s="92">
        <f t="shared" si="2"/>
        <v>0.74740931868365967</v>
      </c>
      <c r="K10" s="92">
        <f t="shared" si="3"/>
        <v>0.66436383882991967</v>
      </c>
      <c r="L10" s="22">
        <f>GRAFICA_21!N32</f>
        <v>12</v>
      </c>
      <c r="M10" s="22">
        <f>GRAFICA_21!O32</f>
        <v>2100000</v>
      </c>
      <c r="N10" s="6">
        <f t="shared" si="4"/>
        <v>41854.921846284939</v>
      </c>
    </row>
    <row r="11" spans="2:14" ht="19.05" customHeight="1" x14ac:dyDescent="0.3">
      <c r="B11" s="51">
        <v>6</v>
      </c>
      <c r="C11" s="22">
        <f>GRAFICA_21!E33</f>
        <v>150</v>
      </c>
      <c r="D11" s="22">
        <f>GRAFICA_21!F33</f>
        <v>400</v>
      </c>
      <c r="E11" s="22">
        <f>GRAFICA_21!G33</f>
        <v>300</v>
      </c>
      <c r="F11" s="22">
        <f>GRAFICA_21!H33</f>
        <v>750</v>
      </c>
      <c r="G11" s="9">
        <f t="shared" si="0"/>
        <v>150</v>
      </c>
      <c r="H11" s="9">
        <f t="shared" si="0"/>
        <v>350</v>
      </c>
      <c r="I11" s="9">
        <f t="shared" si="1"/>
        <v>380.7886552931954</v>
      </c>
      <c r="J11" s="92">
        <f t="shared" si="2"/>
        <v>0.39391929857916769</v>
      </c>
      <c r="K11" s="92">
        <f t="shared" si="3"/>
        <v>0.91914503001805792</v>
      </c>
      <c r="L11" s="22">
        <f>GRAFICA_21!N33</f>
        <v>12</v>
      </c>
      <c r="M11" s="22">
        <f>GRAFICA_21!O33</f>
        <v>2100000</v>
      </c>
      <c r="N11" s="6">
        <f t="shared" si="4"/>
        <v>66178.442161300176</v>
      </c>
    </row>
    <row r="12" spans="2:14" ht="19.05" customHeight="1" x14ac:dyDescent="0.3">
      <c r="B12" s="52">
        <v>7</v>
      </c>
      <c r="C12" s="22">
        <f>GRAFICA_21!E34</f>
        <v>450</v>
      </c>
      <c r="D12" s="22">
        <f>GRAFICA_21!F34</f>
        <v>400</v>
      </c>
      <c r="E12" s="22">
        <f>GRAFICA_21!G34</f>
        <v>300</v>
      </c>
      <c r="F12" s="22">
        <f>GRAFICA_21!H34</f>
        <v>750</v>
      </c>
      <c r="G12" s="9">
        <f t="shared" si="0"/>
        <v>-150</v>
      </c>
      <c r="H12" s="9">
        <f t="shared" si="0"/>
        <v>350</v>
      </c>
      <c r="I12" s="9">
        <f t="shared" si="1"/>
        <v>380.7886552931954</v>
      </c>
      <c r="J12" s="92">
        <f t="shared" si="2"/>
        <v>-0.39391929857916769</v>
      </c>
      <c r="K12" s="92">
        <f t="shared" si="3"/>
        <v>0.91914503001805792</v>
      </c>
      <c r="L12" s="22">
        <f>GRAFICA_21!N34</f>
        <v>12</v>
      </c>
      <c r="M12" s="22">
        <f>GRAFICA_21!O34</f>
        <v>2100000</v>
      </c>
      <c r="N12" s="6">
        <f t="shared" si="4"/>
        <v>66178.442161300176</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GRAFICA_21!C28</f>
        <v>1</v>
      </c>
      <c r="D16" s="23">
        <f>GRAFICA_21!C28</f>
        <v>1</v>
      </c>
      <c r="E16" s="23">
        <f>GRAFICA_21!D28</f>
        <v>2</v>
      </c>
      <c r="F16" s="23">
        <f>GRAFICA_21!D28</f>
        <v>2</v>
      </c>
    </row>
    <row r="17" spans="1:12" ht="19.05" customHeight="1" x14ac:dyDescent="0.3">
      <c r="B17" s="25">
        <v>2</v>
      </c>
      <c r="C17" s="23">
        <f>GRAFICA_21!C29</f>
        <v>1</v>
      </c>
      <c r="D17" s="23">
        <f>GRAFICA_21!C29</f>
        <v>1</v>
      </c>
      <c r="E17" s="23">
        <f>GRAFICA_21!D29</f>
        <v>4</v>
      </c>
      <c r="F17" s="23">
        <f>GRAFICA_21!D29</f>
        <v>4</v>
      </c>
    </row>
    <row r="18" spans="1:12" ht="19.05" customHeight="1" x14ac:dyDescent="0.3">
      <c r="B18" s="26">
        <v>3</v>
      </c>
      <c r="C18" s="23">
        <f>GRAFICA_21!C30</f>
        <v>2</v>
      </c>
      <c r="D18" s="23">
        <f>GRAFICA_21!C30</f>
        <v>2</v>
      </c>
      <c r="E18" s="23">
        <f>GRAFICA_21!D30</f>
        <v>3</v>
      </c>
      <c r="F18" s="23">
        <f>GRAFICA_21!D30</f>
        <v>3</v>
      </c>
    </row>
    <row r="19" spans="1:12" ht="19.05" customHeight="1" x14ac:dyDescent="0.3">
      <c r="B19" s="43">
        <v>4</v>
      </c>
      <c r="C19" s="23">
        <f>GRAFICA_21!C31</f>
        <v>4</v>
      </c>
      <c r="D19" s="23">
        <f>GRAFICA_21!C31</f>
        <v>4</v>
      </c>
      <c r="E19" s="23">
        <f>GRAFICA_21!D31</f>
        <v>3</v>
      </c>
      <c r="F19" s="23">
        <f>GRAFICA_21!D31</f>
        <v>3</v>
      </c>
    </row>
    <row r="20" spans="1:12" ht="19.05" customHeight="1" x14ac:dyDescent="0.3">
      <c r="B20" s="44">
        <v>5</v>
      </c>
      <c r="C20" s="23">
        <f>GRAFICA_21!C32</f>
        <v>1</v>
      </c>
      <c r="D20" s="23">
        <f>GRAFICA_21!C32</f>
        <v>1</v>
      </c>
      <c r="E20" s="23">
        <f>GRAFICA_21!D32</f>
        <v>3</v>
      </c>
      <c r="F20" s="23">
        <f>GRAFICA_21!D32</f>
        <v>3</v>
      </c>
    </row>
    <row r="21" spans="1:12" ht="19.05" customHeight="1" x14ac:dyDescent="0.3">
      <c r="B21" s="51">
        <v>6</v>
      </c>
      <c r="C21" s="23">
        <f>GRAFICA_21!C33</f>
        <v>4</v>
      </c>
      <c r="D21" s="23">
        <f>GRAFICA_21!C33</f>
        <v>4</v>
      </c>
      <c r="E21" s="23">
        <f>GRAFICA_21!D33</f>
        <v>5</v>
      </c>
      <c r="F21" s="23">
        <f>GRAFICA_21!D33</f>
        <v>5</v>
      </c>
    </row>
    <row r="22" spans="1:12" ht="19.05" customHeight="1" x14ac:dyDescent="0.3">
      <c r="B22" s="52">
        <v>7</v>
      </c>
      <c r="C22" s="23">
        <f>GRAFICA_21!C34</f>
        <v>3</v>
      </c>
      <c r="D22" s="23">
        <f>GRAFICA_21!C34</f>
        <v>3</v>
      </c>
      <c r="E22" s="23">
        <f>GRAFICA_21!D34</f>
        <v>5</v>
      </c>
      <c r="F22" s="23">
        <f>GRAFICA_21!D34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42000</v>
      </c>
      <c r="C26" s="7">
        <f>J6*K6*N6</f>
        <v>0</v>
      </c>
      <c r="D26" s="7">
        <f>-B26</f>
        <v>-42000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-42000</v>
      </c>
      <c r="C28" s="7">
        <f>E26</f>
        <v>0</v>
      </c>
      <c r="D28" s="7">
        <f>B26</f>
        <v>42000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42000</v>
      </c>
      <c r="C32" s="8">
        <f t="shared" si="5"/>
        <v>0</v>
      </c>
      <c r="D32" s="8">
        <f t="shared" si="5"/>
        <v>-42000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-42000</v>
      </c>
      <c r="C34" s="8">
        <f t="shared" si="5"/>
        <v>0</v>
      </c>
      <c r="D34" s="8">
        <f t="shared" si="5"/>
        <v>42000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U1X</v>
      </c>
      <c r="C44" s="29" t="str">
        <f>CONCATENATE("U",D17,D$15)</f>
        <v>U1Y</v>
      </c>
      <c r="D44" s="29" t="str">
        <f>CONCATENATE("U",E17,E$15)</f>
        <v>U4X</v>
      </c>
      <c r="E44" s="29" t="str">
        <f>CONCATENATE("U",F17,F$15)</f>
        <v>U4Y</v>
      </c>
    </row>
    <row r="45" spans="1:12" x14ac:dyDescent="0.3">
      <c r="B45" s="30">
        <f>J7*J7*N7</f>
        <v>7272.5841600225795</v>
      </c>
      <c r="C45" s="30">
        <f>J7*K7*N7</f>
        <v>19393.557760060212</v>
      </c>
      <c r="D45" s="30">
        <f>-B45</f>
        <v>-7272.5841600225795</v>
      </c>
      <c r="E45" s="30">
        <f>-C45</f>
        <v>-19393.557760060212</v>
      </c>
      <c r="F45" s="29" t="str">
        <f>B44</f>
        <v>U1X</v>
      </c>
    </row>
    <row r="46" spans="1:12" ht="16.8" customHeight="1" x14ac:dyDescent="0.3">
      <c r="A46" s="28" t="s">
        <v>191</v>
      </c>
      <c r="B46" s="30">
        <f>C45</f>
        <v>19393.557760060212</v>
      </c>
      <c r="C46" s="30">
        <f>K7*K7*N7</f>
        <v>51716.154026827229</v>
      </c>
      <c r="D46" s="30">
        <f>-B46</f>
        <v>-19393.557760060212</v>
      </c>
      <c r="E46" s="30">
        <f>-C46</f>
        <v>-51716.154026827229</v>
      </c>
      <c r="F46" s="29" t="str">
        <f>C44</f>
        <v>U1Y</v>
      </c>
    </row>
    <row r="47" spans="1:12" x14ac:dyDescent="0.3">
      <c r="B47" s="30">
        <f>D45</f>
        <v>-7272.5841600225795</v>
      </c>
      <c r="C47" s="30">
        <f>E45</f>
        <v>-19393.557760060212</v>
      </c>
      <c r="D47" s="30">
        <f>B45</f>
        <v>7272.5841600225795</v>
      </c>
      <c r="E47" s="30">
        <f>C45</f>
        <v>19393.557760060212</v>
      </c>
      <c r="F47" s="29" t="str">
        <f>D44</f>
        <v>U4X</v>
      </c>
    </row>
    <row r="48" spans="1:12" x14ac:dyDescent="0.3">
      <c r="B48" s="30">
        <f>D46</f>
        <v>-19393.557760060212</v>
      </c>
      <c r="C48" s="30">
        <f>E46</f>
        <v>-51716.154026827229</v>
      </c>
      <c r="D48" s="30">
        <f>B46</f>
        <v>19393.557760060212</v>
      </c>
      <c r="E48" s="30">
        <f>C46</f>
        <v>51716.154026827229</v>
      </c>
      <c r="F48" s="29" t="str">
        <f>E44</f>
        <v>U4Y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31">
        <f t="shared" ref="B51:K60" si="6">IFERROR(INDEX($B$45:$E$48, MATCH($L51, $B$44:$E$44, 0), MATCH(B$50, $B$44:$E$44, 0)), 0)</f>
        <v>7272.5841600225795</v>
      </c>
      <c r="C51" s="31">
        <f t="shared" si="6"/>
        <v>19393.557760060212</v>
      </c>
      <c r="D51" s="9">
        <f t="shared" si="6"/>
        <v>0</v>
      </c>
      <c r="E51" s="9">
        <f t="shared" si="6"/>
        <v>0</v>
      </c>
      <c r="F51" s="9">
        <f t="shared" si="6"/>
        <v>0</v>
      </c>
      <c r="G51" s="9">
        <f t="shared" si="6"/>
        <v>0</v>
      </c>
      <c r="H51" s="31">
        <f t="shared" si="6"/>
        <v>-7272.5841600225795</v>
      </c>
      <c r="I51" s="31">
        <f t="shared" si="6"/>
        <v>-19393.557760060212</v>
      </c>
      <c r="J51" s="9">
        <f t="shared" si="6"/>
        <v>0</v>
      </c>
      <c r="K51" s="9">
        <f t="shared" si="6"/>
        <v>0</v>
      </c>
      <c r="L51" s="29" t="s">
        <v>178</v>
      </c>
    </row>
    <row r="52" spans="1:12" ht="19.05" customHeight="1" x14ac:dyDescent="0.3">
      <c r="B52" s="31">
        <f t="shared" si="6"/>
        <v>19393.557760060212</v>
      </c>
      <c r="C52" s="31">
        <f t="shared" si="6"/>
        <v>51716.154026827229</v>
      </c>
      <c r="D52" s="9">
        <f t="shared" si="6"/>
        <v>0</v>
      </c>
      <c r="E52" s="9">
        <f t="shared" si="6"/>
        <v>0</v>
      </c>
      <c r="F52" s="9">
        <f t="shared" si="6"/>
        <v>0</v>
      </c>
      <c r="G52" s="9">
        <f t="shared" si="6"/>
        <v>0</v>
      </c>
      <c r="H52" s="31">
        <f t="shared" si="6"/>
        <v>-19393.557760060212</v>
      </c>
      <c r="I52" s="31">
        <f t="shared" si="6"/>
        <v>-51716.154026827229</v>
      </c>
      <c r="J52" s="9">
        <f t="shared" si="6"/>
        <v>0</v>
      </c>
      <c r="K52" s="9">
        <f t="shared" si="6"/>
        <v>0</v>
      </c>
      <c r="L52" s="29" t="s">
        <v>179</v>
      </c>
    </row>
    <row r="53" spans="1:12"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9">
        <f t="shared" si="6"/>
        <v>0</v>
      </c>
      <c r="E55" s="9">
        <f t="shared" si="6"/>
        <v>0</v>
      </c>
      <c r="F55" s="9">
        <f t="shared" si="6"/>
        <v>0</v>
      </c>
      <c r="G55" s="9">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9">
        <f t="shared" si="6"/>
        <v>0</v>
      </c>
      <c r="E56" s="9">
        <f t="shared" si="6"/>
        <v>0</v>
      </c>
      <c r="F56" s="9">
        <f t="shared" si="6"/>
        <v>0</v>
      </c>
      <c r="G56" s="9">
        <f t="shared" si="6"/>
        <v>0</v>
      </c>
      <c r="H56" s="9">
        <f t="shared" si="6"/>
        <v>0</v>
      </c>
      <c r="I56" s="9">
        <f t="shared" si="6"/>
        <v>0</v>
      </c>
      <c r="J56" s="9">
        <f t="shared" si="6"/>
        <v>0</v>
      </c>
      <c r="K56" s="9">
        <f t="shared" si="6"/>
        <v>0</v>
      </c>
      <c r="L56" s="29" t="s">
        <v>183</v>
      </c>
    </row>
    <row r="57" spans="1:12" ht="19.05" customHeight="1" x14ac:dyDescent="0.3">
      <c r="B57" s="31">
        <f t="shared" si="6"/>
        <v>-7272.5841600225795</v>
      </c>
      <c r="C57" s="31">
        <f t="shared" si="6"/>
        <v>-19393.557760060212</v>
      </c>
      <c r="D57" s="9">
        <f t="shared" si="6"/>
        <v>0</v>
      </c>
      <c r="E57" s="9">
        <f t="shared" si="6"/>
        <v>0</v>
      </c>
      <c r="F57" s="9">
        <f t="shared" si="6"/>
        <v>0</v>
      </c>
      <c r="G57" s="9">
        <f t="shared" si="6"/>
        <v>0</v>
      </c>
      <c r="H57" s="31">
        <f t="shared" si="6"/>
        <v>7272.5841600225795</v>
      </c>
      <c r="I57" s="31">
        <f t="shared" si="6"/>
        <v>19393.557760060212</v>
      </c>
      <c r="J57" s="9">
        <f t="shared" si="6"/>
        <v>0</v>
      </c>
      <c r="K57" s="9">
        <f t="shared" si="6"/>
        <v>0</v>
      </c>
      <c r="L57" s="29" t="s">
        <v>184</v>
      </c>
    </row>
    <row r="58" spans="1:12" ht="19.05" customHeight="1" x14ac:dyDescent="0.3">
      <c r="B58" s="31">
        <f t="shared" si="6"/>
        <v>-19393.557760060212</v>
      </c>
      <c r="C58" s="31">
        <f t="shared" si="6"/>
        <v>-51716.154026827229</v>
      </c>
      <c r="D58" s="9">
        <f t="shared" si="6"/>
        <v>0</v>
      </c>
      <c r="E58" s="9">
        <f t="shared" si="6"/>
        <v>0</v>
      </c>
      <c r="F58" s="9">
        <f t="shared" si="6"/>
        <v>0</v>
      </c>
      <c r="G58" s="9">
        <f t="shared" si="6"/>
        <v>0</v>
      </c>
      <c r="H58" s="31">
        <f t="shared" si="6"/>
        <v>19393.557760060212</v>
      </c>
      <c r="I58" s="31">
        <f t="shared" si="6"/>
        <v>51716.154026827229</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U2X</v>
      </c>
      <c r="C63" s="32" t="str">
        <f>CONCATENATE("U",D18,D$15)</f>
        <v>U2Y</v>
      </c>
      <c r="D63" s="32" t="str">
        <f>CONCATENATE("U",E18,E$15)</f>
        <v>U3X</v>
      </c>
      <c r="E63" s="32" t="str">
        <f>CONCATENATE("U",F18,F$15)</f>
        <v>U3Y</v>
      </c>
    </row>
    <row r="64" spans="1:12" x14ac:dyDescent="0.3">
      <c r="B64" s="33">
        <f>J8*J8*N8</f>
        <v>7272.5841600225795</v>
      </c>
      <c r="C64" s="33">
        <f>J8*K8*N8</f>
        <v>-19393.557760060212</v>
      </c>
      <c r="D64" s="33">
        <f>-B64</f>
        <v>-7272.5841600225795</v>
      </c>
      <c r="E64" s="33">
        <f>-C64</f>
        <v>19393.557760060212</v>
      </c>
      <c r="F64" s="32" t="str">
        <f>B63</f>
        <v>U2X</v>
      </c>
    </row>
    <row r="65" spans="1:12" ht="16.8" customHeight="1" x14ac:dyDescent="0.3">
      <c r="A65" s="28" t="s">
        <v>193</v>
      </c>
      <c r="B65" s="33">
        <f>C64</f>
        <v>-19393.557760060212</v>
      </c>
      <c r="C65" s="33">
        <f>K8*K8*N8</f>
        <v>51716.154026827229</v>
      </c>
      <c r="D65" s="33">
        <f>-B65</f>
        <v>19393.557760060212</v>
      </c>
      <c r="E65" s="33">
        <f>-C65</f>
        <v>-51716.154026827229</v>
      </c>
      <c r="F65" s="32" t="str">
        <f>C63</f>
        <v>U2Y</v>
      </c>
    </row>
    <row r="66" spans="1:12" x14ac:dyDescent="0.3">
      <c r="B66" s="33">
        <f>D64</f>
        <v>-7272.5841600225795</v>
      </c>
      <c r="C66" s="33">
        <f>E64</f>
        <v>19393.557760060212</v>
      </c>
      <c r="D66" s="33">
        <f>B64</f>
        <v>7272.5841600225795</v>
      </c>
      <c r="E66" s="33">
        <f>C64</f>
        <v>-19393.557760060212</v>
      </c>
      <c r="F66" s="32" t="str">
        <f>D63</f>
        <v>U3X</v>
      </c>
    </row>
    <row r="67" spans="1:12" x14ac:dyDescent="0.3">
      <c r="B67" s="33">
        <f>D65</f>
        <v>19393.557760060212</v>
      </c>
      <c r="C67" s="33">
        <f>E65</f>
        <v>-51716.154026827229</v>
      </c>
      <c r="D67" s="33">
        <f>B65</f>
        <v>-19393.557760060212</v>
      </c>
      <c r="E67" s="33">
        <f>C65</f>
        <v>51716.154026827229</v>
      </c>
      <c r="F67" s="32" t="str">
        <f>E63</f>
        <v>U3Y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34">
        <f t="shared" si="7"/>
        <v>7272.5841600225795</v>
      </c>
      <c r="E72" s="34">
        <f t="shared" si="7"/>
        <v>-19393.557760060212</v>
      </c>
      <c r="F72" s="34">
        <f t="shared" si="7"/>
        <v>-7272.5841600225795</v>
      </c>
      <c r="G72" s="34">
        <f t="shared" si="7"/>
        <v>19393.557760060212</v>
      </c>
      <c r="H72" s="9">
        <f t="shared" si="7"/>
        <v>0</v>
      </c>
      <c r="I72" s="9">
        <f t="shared" si="7"/>
        <v>0</v>
      </c>
      <c r="J72" s="9">
        <f t="shared" si="7"/>
        <v>0</v>
      </c>
      <c r="K72" s="9">
        <f t="shared" si="7"/>
        <v>0</v>
      </c>
      <c r="L72" s="32" t="s">
        <v>180</v>
      </c>
    </row>
    <row r="73" spans="1:12" ht="19.05" customHeight="1" x14ac:dyDescent="0.3">
      <c r="B73" s="9">
        <f t="shared" si="7"/>
        <v>0</v>
      </c>
      <c r="C73" s="9">
        <f t="shared" si="7"/>
        <v>0</v>
      </c>
      <c r="D73" s="34">
        <f t="shared" si="7"/>
        <v>-19393.557760060212</v>
      </c>
      <c r="E73" s="34">
        <f t="shared" si="7"/>
        <v>51716.154026827229</v>
      </c>
      <c r="F73" s="34">
        <f t="shared" si="7"/>
        <v>19393.557760060212</v>
      </c>
      <c r="G73" s="34">
        <f t="shared" si="7"/>
        <v>-51716.154026827229</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34">
        <f t="shared" si="7"/>
        <v>-7272.5841600225795</v>
      </c>
      <c r="E74" s="34">
        <f t="shared" si="7"/>
        <v>19393.557760060212</v>
      </c>
      <c r="F74" s="34">
        <f t="shared" si="7"/>
        <v>7272.5841600225795</v>
      </c>
      <c r="G74" s="34">
        <f t="shared" si="7"/>
        <v>-19393.557760060212</v>
      </c>
      <c r="H74" s="9">
        <f t="shared" si="7"/>
        <v>0</v>
      </c>
      <c r="I74" s="9">
        <f t="shared" si="7"/>
        <v>0</v>
      </c>
      <c r="J74" s="9">
        <f t="shared" si="7"/>
        <v>0</v>
      </c>
      <c r="K74" s="9">
        <f t="shared" si="7"/>
        <v>0</v>
      </c>
      <c r="L74" s="32" t="s">
        <v>182</v>
      </c>
    </row>
    <row r="75" spans="1:12" ht="19.05" customHeight="1" x14ac:dyDescent="0.3">
      <c r="B75" s="9">
        <f t="shared" si="7"/>
        <v>0</v>
      </c>
      <c r="C75" s="9">
        <f t="shared" si="7"/>
        <v>0</v>
      </c>
      <c r="D75" s="34">
        <f t="shared" si="7"/>
        <v>19393.557760060212</v>
      </c>
      <c r="E75" s="34">
        <f t="shared" si="7"/>
        <v>-51716.154026827229</v>
      </c>
      <c r="F75" s="34">
        <f t="shared" si="7"/>
        <v>-19393.557760060212</v>
      </c>
      <c r="G75" s="34">
        <f t="shared" si="7"/>
        <v>51716.154026827229</v>
      </c>
      <c r="H75" s="9">
        <f t="shared" si="7"/>
        <v>0</v>
      </c>
      <c r="I75" s="9">
        <f t="shared" si="7"/>
        <v>0</v>
      </c>
      <c r="J75" s="9">
        <f t="shared" si="7"/>
        <v>0</v>
      </c>
      <c r="K75" s="9">
        <f t="shared" si="7"/>
        <v>0</v>
      </c>
      <c r="L75" s="32" t="s">
        <v>183</v>
      </c>
    </row>
    <row r="76" spans="1:12"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U3X</v>
      </c>
      <c r="E82" s="45" t="str">
        <f>CONCATENATE("U",F19,F$15)</f>
        <v>U3Y</v>
      </c>
    </row>
    <row r="83" spans="1:12" x14ac:dyDescent="0.3">
      <c r="B83" s="46">
        <f>J9*J9*N9</f>
        <v>84000</v>
      </c>
      <c r="C83" s="46">
        <f>J9*K9*N9</f>
        <v>0</v>
      </c>
      <c r="D83" s="46">
        <f>-B83</f>
        <v>-84000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-84000</v>
      </c>
      <c r="C85" s="46">
        <f>E83</f>
        <v>0</v>
      </c>
      <c r="D85" s="46">
        <f>B83</f>
        <v>84000</v>
      </c>
      <c r="E85" s="46">
        <f>C83</f>
        <v>0</v>
      </c>
      <c r="F85" s="45" t="str">
        <f>D82</f>
        <v>U3X</v>
      </c>
    </row>
    <row r="86" spans="1:12" x14ac:dyDescent="0.3">
      <c r="B86" s="46">
        <f>D84</f>
        <v>0</v>
      </c>
      <c r="C86" s="46">
        <f>E84</f>
        <v>0</v>
      </c>
      <c r="D86" s="46">
        <f>B84</f>
        <v>0</v>
      </c>
      <c r="E86" s="46">
        <f>C84</f>
        <v>0</v>
      </c>
      <c r="F86" s="45" t="str">
        <f>E82</f>
        <v>U3Y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47">
        <f t="shared" si="8"/>
        <v>84000</v>
      </c>
      <c r="G93" s="47">
        <f t="shared" si="8"/>
        <v>0</v>
      </c>
      <c r="H93" s="47">
        <f t="shared" si="8"/>
        <v>-84000</v>
      </c>
      <c r="I93" s="47">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47">
        <f t="shared" si="8"/>
        <v>0</v>
      </c>
      <c r="G94" s="47">
        <f t="shared" si="8"/>
        <v>0</v>
      </c>
      <c r="H94" s="47">
        <f t="shared" si="8"/>
        <v>0</v>
      </c>
      <c r="I94" s="47">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47">
        <f t="shared" si="8"/>
        <v>-84000</v>
      </c>
      <c r="G95" s="47">
        <f t="shared" si="8"/>
        <v>0</v>
      </c>
      <c r="H95" s="47">
        <f t="shared" si="8"/>
        <v>84000</v>
      </c>
      <c r="I95" s="47">
        <f t="shared" si="8"/>
        <v>0</v>
      </c>
      <c r="J95" s="9">
        <f t="shared" si="8"/>
        <v>0</v>
      </c>
      <c r="K95" s="9">
        <f t="shared" si="8"/>
        <v>0</v>
      </c>
      <c r="L95" s="45" t="s">
        <v>184</v>
      </c>
    </row>
    <row r="96" spans="1:12" ht="19.05" customHeight="1" x14ac:dyDescent="0.3">
      <c r="B96" s="9">
        <f t="shared" si="8"/>
        <v>0</v>
      </c>
      <c r="C96" s="9">
        <f t="shared" si="8"/>
        <v>0</v>
      </c>
      <c r="D96" s="9">
        <f t="shared" si="8"/>
        <v>0</v>
      </c>
      <c r="E96" s="9">
        <f t="shared" si="8"/>
        <v>0</v>
      </c>
      <c r="F96" s="47">
        <f t="shared" si="8"/>
        <v>0</v>
      </c>
      <c r="G96" s="47">
        <f t="shared" si="8"/>
        <v>0</v>
      </c>
      <c r="H96" s="47">
        <f t="shared" si="8"/>
        <v>0</v>
      </c>
      <c r="I96" s="47">
        <f t="shared" si="8"/>
        <v>0</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U1X</v>
      </c>
      <c r="C101" s="48" t="str">
        <f>CONCATENATE("U",D20,D$15)</f>
        <v>U1Y</v>
      </c>
      <c r="D101" s="48" t="str">
        <f>CONCATENATE("U",E20,E$15)</f>
        <v>U3X</v>
      </c>
      <c r="E101" s="48" t="str">
        <f>CONCATENATE("U",F20,F$15)</f>
        <v>U3Y</v>
      </c>
    </row>
    <row r="102" spans="1:12" x14ac:dyDescent="0.3">
      <c r="B102" s="49">
        <f>J10*J10*N10</f>
        <v>23381.025307235032</v>
      </c>
      <c r="C102" s="49">
        <f>J10*K10*N10</f>
        <v>20783.13360643114</v>
      </c>
      <c r="D102" s="49">
        <f>-B102</f>
        <v>-23381.025307235032</v>
      </c>
      <c r="E102" s="49">
        <f>-C102</f>
        <v>-20783.13360643114</v>
      </c>
      <c r="F102" s="48" t="str">
        <f>B101</f>
        <v>U1X</v>
      </c>
    </row>
    <row r="103" spans="1:12" ht="16.8" customHeight="1" x14ac:dyDescent="0.3">
      <c r="A103" s="28" t="s">
        <v>197</v>
      </c>
      <c r="B103" s="49">
        <f>C102</f>
        <v>20783.13360643114</v>
      </c>
      <c r="C103" s="49">
        <f>K10*K10*N10</f>
        <v>18473.8965390499</v>
      </c>
      <c r="D103" s="49">
        <f>-B103</f>
        <v>-20783.13360643114</v>
      </c>
      <c r="E103" s="49">
        <f>-C103</f>
        <v>-18473.8965390499</v>
      </c>
      <c r="F103" s="48" t="str">
        <f>C101</f>
        <v>U1Y</v>
      </c>
    </row>
    <row r="104" spans="1:12" x14ac:dyDescent="0.3">
      <c r="B104" s="49">
        <f>D102</f>
        <v>-23381.025307235032</v>
      </c>
      <c r="C104" s="49">
        <f>E102</f>
        <v>-20783.13360643114</v>
      </c>
      <c r="D104" s="49">
        <f>B102</f>
        <v>23381.025307235032</v>
      </c>
      <c r="E104" s="49">
        <f>C102</f>
        <v>20783.13360643114</v>
      </c>
      <c r="F104" s="48" t="str">
        <f>D101</f>
        <v>U3X</v>
      </c>
    </row>
    <row r="105" spans="1:12" x14ac:dyDescent="0.3">
      <c r="B105" s="49">
        <f>D103</f>
        <v>-20783.13360643114</v>
      </c>
      <c r="C105" s="49">
        <f>E103</f>
        <v>-18473.8965390499</v>
      </c>
      <c r="D105" s="49">
        <f>B103</f>
        <v>20783.13360643114</v>
      </c>
      <c r="E105" s="49">
        <f>C103</f>
        <v>18473.8965390499</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50">
        <f t="shared" ref="B108:K117" si="9">IFERROR(INDEX($B$102:$E$105, MATCH($L108, $B$101:$E$101, 0), MATCH(B$107, $B$101:$E$101, 0)), 0)</f>
        <v>23381.025307235032</v>
      </c>
      <c r="C108" s="50">
        <f t="shared" si="9"/>
        <v>20783.13360643114</v>
      </c>
      <c r="D108" s="9">
        <f t="shared" si="9"/>
        <v>0</v>
      </c>
      <c r="E108" s="9">
        <f t="shared" si="9"/>
        <v>0</v>
      </c>
      <c r="F108" s="50">
        <f t="shared" si="9"/>
        <v>-23381.025307235032</v>
      </c>
      <c r="G108" s="50">
        <f t="shared" si="9"/>
        <v>-20783.13360643114</v>
      </c>
      <c r="H108" s="9">
        <f t="shared" si="9"/>
        <v>0</v>
      </c>
      <c r="I108" s="9">
        <f t="shared" si="9"/>
        <v>0</v>
      </c>
      <c r="J108" s="9">
        <f t="shared" si="9"/>
        <v>0</v>
      </c>
      <c r="K108" s="9">
        <f t="shared" si="9"/>
        <v>0</v>
      </c>
      <c r="L108" s="48" t="s">
        <v>178</v>
      </c>
    </row>
    <row r="109" spans="1:12" ht="19.05" customHeight="1" x14ac:dyDescent="0.3">
      <c r="B109" s="50">
        <f t="shared" si="9"/>
        <v>20783.13360643114</v>
      </c>
      <c r="C109" s="50">
        <f t="shared" si="9"/>
        <v>18473.8965390499</v>
      </c>
      <c r="D109" s="9">
        <f t="shared" si="9"/>
        <v>0</v>
      </c>
      <c r="E109" s="9">
        <f t="shared" si="9"/>
        <v>0</v>
      </c>
      <c r="F109" s="50">
        <f t="shared" si="9"/>
        <v>-20783.13360643114</v>
      </c>
      <c r="G109" s="50">
        <f t="shared" si="9"/>
        <v>-18473.8965390499</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50">
        <f t="shared" si="9"/>
        <v>-23381.025307235032</v>
      </c>
      <c r="C112" s="50">
        <f t="shared" si="9"/>
        <v>-20783.13360643114</v>
      </c>
      <c r="D112" s="9">
        <f t="shared" si="9"/>
        <v>0</v>
      </c>
      <c r="E112" s="9">
        <f t="shared" si="9"/>
        <v>0</v>
      </c>
      <c r="F112" s="50">
        <f t="shared" si="9"/>
        <v>23381.025307235032</v>
      </c>
      <c r="G112" s="50">
        <f t="shared" si="9"/>
        <v>20783.13360643114</v>
      </c>
      <c r="H112" s="9">
        <f t="shared" si="9"/>
        <v>0</v>
      </c>
      <c r="I112" s="9">
        <f t="shared" si="9"/>
        <v>0</v>
      </c>
      <c r="J112" s="9">
        <f t="shared" si="9"/>
        <v>0</v>
      </c>
      <c r="K112" s="9">
        <f t="shared" si="9"/>
        <v>0</v>
      </c>
      <c r="L112" s="48" t="s">
        <v>182</v>
      </c>
    </row>
    <row r="113" spans="1:12" ht="19.05" customHeight="1" x14ac:dyDescent="0.3">
      <c r="B113" s="50">
        <f t="shared" si="9"/>
        <v>-20783.13360643114</v>
      </c>
      <c r="C113" s="50">
        <f t="shared" si="9"/>
        <v>-18473.8965390499</v>
      </c>
      <c r="D113" s="9">
        <f t="shared" si="9"/>
        <v>0</v>
      </c>
      <c r="E113" s="9">
        <f t="shared" si="9"/>
        <v>0</v>
      </c>
      <c r="F113" s="50">
        <f t="shared" si="9"/>
        <v>20783.13360643114</v>
      </c>
      <c r="G113" s="50">
        <f t="shared" si="9"/>
        <v>18473.8965390499</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U4X</v>
      </c>
      <c r="C120" s="53" t="str">
        <f>CONCATENATE("U",D21,D$15)</f>
        <v>U4Y</v>
      </c>
      <c r="D120" s="53" t="str">
        <f>CONCATENATE("U",E21,E$15)</f>
        <v>U5X</v>
      </c>
      <c r="E120" s="53" t="str">
        <f>CONCATENATE("U",F21,F$15)</f>
        <v>U5Y</v>
      </c>
    </row>
    <row r="121" spans="1:12" x14ac:dyDescent="0.3">
      <c r="B121" s="54">
        <f>J11*J11*N11</f>
        <v>10269.068611236235</v>
      </c>
      <c r="C121" s="54">
        <f>J11*K11*N11</f>
        <v>23961.160092884547</v>
      </c>
      <c r="D121" s="54">
        <f>-B121</f>
        <v>-10269.068611236235</v>
      </c>
      <c r="E121" s="54">
        <f>-C121</f>
        <v>-23961.160092884547</v>
      </c>
      <c r="F121" s="53" t="str">
        <f>B120</f>
        <v>U4X</v>
      </c>
    </row>
    <row r="122" spans="1:12" ht="16.8" customHeight="1" x14ac:dyDescent="0.3">
      <c r="A122" s="28" t="s">
        <v>199</v>
      </c>
      <c r="B122" s="54">
        <f>C121</f>
        <v>23961.160092884547</v>
      </c>
      <c r="C122" s="54">
        <f>K11*K11*N11</f>
        <v>55909.373550063945</v>
      </c>
      <c r="D122" s="54">
        <f>-B122</f>
        <v>-23961.160092884547</v>
      </c>
      <c r="E122" s="54">
        <f>-C122</f>
        <v>-55909.373550063945</v>
      </c>
      <c r="F122" s="53" t="str">
        <f>C120</f>
        <v>U4Y</v>
      </c>
    </row>
    <row r="123" spans="1:12" x14ac:dyDescent="0.3">
      <c r="B123" s="54">
        <f>D121</f>
        <v>-10269.068611236235</v>
      </c>
      <c r="C123" s="54">
        <f>E121</f>
        <v>-23961.160092884547</v>
      </c>
      <c r="D123" s="54">
        <f>B121</f>
        <v>10269.068611236235</v>
      </c>
      <c r="E123" s="54">
        <f>C121</f>
        <v>23961.160092884547</v>
      </c>
      <c r="F123" s="53" t="str">
        <f>D120</f>
        <v>U5X</v>
      </c>
    </row>
    <row r="124" spans="1:12" x14ac:dyDescent="0.3">
      <c r="B124" s="54">
        <f>D122</f>
        <v>-23961.160092884547</v>
      </c>
      <c r="C124" s="54">
        <f>E122</f>
        <v>-55909.373550063945</v>
      </c>
      <c r="D124" s="54">
        <f>B122</f>
        <v>23961.160092884547</v>
      </c>
      <c r="E124" s="54">
        <f>C122</f>
        <v>55909.373550063945</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55">
        <f t="shared" si="10"/>
        <v>10269.068611236235</v>
      </c>
      <c r="I133" s="55">
        <f t="shared" si="10"/>
        <v>23961.160092884547</v>
      </c>
      <c r="J133" s="55">
        <f t="shared" si="10"/>
        <v>-10269.068611236235</v>
      </c>
      <c r="K133" s="55">
        <f t="shared" si="10"/>
        <v>-23961.160092884547</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55">
        <f t="shared" si="10"/>
        <v>23961.160092884547</v>
      </c>
      <c r="I134" s="55">
        <f t="shared" si="10"/>
        <v>55909.373550063945</v>
      </c>
      <c r="J134" s="55">
        <f t="shared" si="10"/>
        <v>-23961.160092884547</v>
      </c>
      <c r="K134" s="55">
        <f t="shared" si="10"/>
        <v>-55909.373550063945</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55">
        <f t="shared" si="10"/>
        <v>-10269.068611236235</v>
      </c>
      <c r="I135" s="55">
        <f t="shared" si="10"/>
        <v>-23961.160092884547</v>
      </c>
      <c r="J135" s="55">
        <f t="shared" si="10"/>
        <v>10269.068611236235</v>
      </c>
      <c r="K135" s="55">
        <f t="shared" si="10"/>
        <v>23961.160092884547</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55">
        <f t="shared" si="10"/>
        <v>-23961.160092884547</v>
      </c>
      <c r="I136" s="55">
        <f t="shared" si="10"/>
        <v>-55909.373550063945</v>
      </c>
      <c r="J136" s="55">
        <f t="shared" si="10"/>
        <v>23961.160092884547</v>
      </c>
      <c r="K136" s="55">
        <f t="shared" si="10"/>
        <v>55909.373550063945</v>
      </c>
      <c r="L136" s="53" t="s">
        <v>187</v>
      </c>
    </row>
    <row r="139" spans="1:12" ht="18" customHeight="1" x14ac:dyDescent="0.3">
      <c r="B139" s="56" t="str">
        <f>CONCATENATE("U",C22,C$15)</f>
        <v>U3X</v>
      </c>
      <c r="C139" s="56" t="str">
        <f>CONCATENATE("U",D22,D$15)</f>
        <v>U3Y</v>
      </c>
      <c r="D139" s="56" t="str">
        <f>CONCATENATE("U",E22,E$15)</f>
        <v>U5X</v>
      </c>
      <c r="E139" s="56" t="str">
        <f>CONCATENATE("U",F22,F$15)</f>
        <v>U5Y</v>
      </c>
    </row>
    <row r="140" spans="1:12" x14ac:dyDescent="0.3">
      <c r="B140" s="57">
        <f>J12*J12*N12</f>
        <v>10269.068611236235</v>
      </c>
      <c r="C140" s="57">
        <f>J12*K12*N12</f>
        <v>-23961.160092884547</v>
      </c>
      <c r="D140" s="57">
        <f>-B140</f>
        <v>-10269.068611236235</v>
      </c>
      <c r="E140" s="57">
        <f>-C140</f>
        <v>23961.160092884547</v>
      </c>
      <c r="F140" s="56" t="str">
        <f>B139</f>
        <v>U3X</v>
      </c>
    </row>
    <row r="141" spans="1:12" ht="16.8" customHeight="1" x14ac:dyDescent="0.3">
      <c r="A141" s="28" t="s">
        <v>201</v>
      </c>
      <c r="B141" s="57">
        <f>C140</f>
        <v>-23961.160092884547</v>
      </c>
      <c r="C141" s="57">
        <f>K12*K12*N12</f>
        <v>55909.373550063945</v>
      </c>
      <c r="D141" s="57">
        <f>-B141</f>
        <v>23961.160092884547</v>
      </c>
      <c r="E141" s="57">
        <f>-C141</f>
        <v>-55909.373550063945</v>
      </c>
      <c r="F141" s="56" t="str">
        <f>C139</f>
        <v>U3Y</v>
      </c>
    </row>
    <row r="142" spans="1:12" x14ac:dyDescent="0.3">
      <c r="B142" s="57">
        <f>D140</f>
        <v>-10269.068611236235</v>
      </c>
      <c r="C142" s="57">
        <f>E140</f>
        <v>23961.160092884547</v>
      </c>
      <c r="D142" s="57">
        <f>B140</f>
        <v>10269.068611236235</v>
      </c>
      <c r="E142" s="57">
        <f>C140</f>
        <v>-23961.160092884547</v>
      </c>
      <c r="F142" s="56" t="str">
        <f>D139</f>
        <v>U5X</v>
      </c>
    </row>
    <row r="143" spans="1:12" x14ac:dyDescent="0.3">
      <c r="B143" s="57">
        <f>D141</f>
        <v>23961.160092884547</v>
      </c>
      <c r="C143" s="57">
        <f>E141</f>
        <v>-55909.373550063945</v>
      </c>
      <c r="D143" s="57">
        <f>B141</f>
        <v>-23961.160092884547</v>
      </c>
      <c r="E143" s="57">
        <f>C141</f>
        <v>55909.373550063945</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10269.068611236235</v>
      </c>
      <c r="G150" s="58">
        <f t="shared" si="11"/>
        <v>-23961.160092884547</v>
      </c>
      <c r="H150" s="9">
        <f t="shared" si="11"/>
        <v>0</v>
      </c>
      <c r="I150" s="9">
        <f t="shared" si="11"/>
        <v>0</v>
      </c>
      <c r="J150" s="58">
        <f t="shared" si="11"/>
        <v>-10269.068611236235</v>
      </c>
      <c r="K150" s="58">
        <f t="shared" si="11"/>
        <v>23961.160092884547</v>
      </c>
      <c r="L150" s="56" t="s">
        <v>182</v>
      </c>
    </row>
    <row r="151" spans="1:12" ht="19.05" customHeight="1" x14ac:dyDescent="0.3">
      <c r="B151" s="9">
        <f t="shared" si="11"/>
        <v>0</v>
      </c>
      <c r="C151" s="9">
        <f t="shared" si="11"/>
        <v>0</v>
      </c>
      <c r="D151" s="9">
        <f t="shared" si="11"/>
        <v>0</v>
      </c>
      <c r="E151" s="9">
        <f t="shared" si="11"/>
        <v>0</v>
      </c>
      <c r="F151" s="58">
        <f t="shared" si="11"/>
        <v>-23961.160092884547</v>
      </c>
      <c r="G151" s="58">
        <f t="shared" si="11"/>
        <v>55909.373550063945</v>
      </c>
      <c r="H151" s="9">
        <f t="shared" si="11"/>
        <v>0</v>
      </c>
      <c r="I151" s="9">
        <f t="shared" si="11"/>
        <v>0</v>
      </c>
      <c r="J151" s="58">
        <f t="shared" si="11"/>
        <v>23961.160092884547</v>
      </c>
      <c r="K151" s="58">
        <f t="shared" si="11"/>
        <v>-55909.373550063945</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-10269.068611236235</v>
      </c>
      <c r="G154" s="58">
        <f t="shared" si="11"/>
        <v>23961.160092884547</v>
      </c>
      <c r="H154" s="9">
        <f t="shared" si="11"/>
        <v>0</v>
      </c>
      <c r="I154" s="9">
        <f t="shared" si="11"/>
        <v>0</v>
      </c>
      <c r="J154" s="58">
        <f t="shared" si="11"/>
        <v>10269.068611236235</v>
      </c>
      <c r="K154" s="58">
        <f t="shared" si="11"/>
        <v>-23961.160092884547</v>
      </c>
      <c r="L154" s="56" t="s">
        <v>186</v>
      </c>
    </row>
    <row r="155" spans="1:12" ht="19.05" customHeight="1" x14ac:dyDescent="0.3">
      <c r="B155" s="9">
        <f t="shared" si="11"/>
        <v>0</v>
      </c>
      <c r="C155" s="9">
        <f t="shared" si="11"/>
        <v>0</v>
      </c>
      <c r="D155" s="9">
        <f t="shared" si="11"/>
        <v>0</v>
      </c>
      <c r="E155" s="9">
        <f t="shared" si="11"/>
        <v>0</v>
      </c>
      <c r="F155" s="58">
        <f t="shared" si="11"/>
        <v>23961.160092884547</v>
      </c>
      <c r="G155" s="58">
        <f t="shared" si="11"/>
        <v>-55909.373550063945</v>
      </c>
      <c r="H155" s="9">
        <f t="shared" si="11"/>
        <v>0</v>
      </c>
      <c r="I155" s="9">
        <f t="shared" si="11"/>
        <v>0</v>
      </c>
      <c r="J155" s="58">
        <f t="shared" si="11"/>
        <v>-23961.160092884547</v>
      </c>
      <c r="K155" s="58">
        <f t="shared" si="11"/>
        <v>55909.373550063945</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72653.609467257615</v>
      </c>
      <c r="C159" s="36">
        <f t="shared" si="12"/>
        <v>40176.691366491352</v>
      </c>
      <c r="D159" s="9">
        <f t="shared" si="12"/>
        <v>-42000</v>
      </c>
      <c r="E159" s="9">
        <f t="shared" si="12"/>
        <v>0</v>
      </c>
      <c r="F159" s="9">
        <f t="shared" si="12"/>
        <v>-23381.025307235032</v>
      </c>
      <c r="G159" s="9">
        <f t="shared" si="12"/>
        <v>-20783.13360643114</v>
      </c>
      <c r="H159" s="9">
        <f t="shared" si="12"/>
        <v>-7272.5841600225795</v>
      </c>
      <c r="I159" s="9">
        <f t="shared" si="12"/>
        <v>-19393.557760060212</v>
      </c>
      <c r="J159" s="9">
        <f t="shared" si="12"/>
        <v>0</v>
      </c>
      <c r="K159" s="9">
        <f t="shared" si="12"/>
        <v>0</v>
      </c>
      <c r="L159" s="89" t="s">
        <v>178</v>
      </c>
    </row>
    <row r="160" spans="1:12" ht="19.95" customHeight="1" x14ac:dyDescent="0.3">
      <c r="B160" s="36">
        <f t="shared" ref="B160:K160" si="13">B33+B52+B71+B90+B109+B128+B147</f>
        <v>40176.691366491352</v>
      </c>
      <c r="C160" s="35">
        <f t="shared" si="13"/>
        <v>70190.050565877129</v>
      </c>
      <c r="D160" s="9">
        <f t="shared" si="13"/>
        <v>0</v>
      </c>
      <c r="E160" s="9">
        <f t="shared" si="13"/>
        <v>0</v>
      </c>
      <c r="F160" s="9">
        <f t="shared" si="13"/>
        <v>-20783.13360643114</v>
      </c>
      <c r="G160" s="9">
        <f t="shared" si="13"/>
        <v>-18473.8965390499</v>
      </c>
      <c r="H160" s="9">
        <f t="shared" si="13"/>
        <v>-19393.557760060212</v>
      </c>
      <c r="I160" s="9">
        <f t="shared" si="13"/>
        <v>-51716.154026827229</v>
      </c>
      <c r="J160" s="9">
        <f t="shared" si="13"/>
        <v>0</v>
      </c>
      <c r="K160" s="9">
        <f t="shared" si="13"/>
        <v>0</v>
      </c>
      <c r="L160" s="89" t="s">
        <v>179</v>
      </c>
    </row>
    <row r="161" spans="1:19" ht="19.95" customHeight="1" x14ac:dyDescent="0.3">
      <c r="B161" s="9">
        <f t="shared" ref="B161:K161" si="14">B34+B53+B72+B91+B110+B129+B148</f>
        <v>-42000</v>
      </c>
      <c r="C161" s="9">
        <f t="shared" si="14"/>
        <v>0</v>
      </c>
      <c r="D161" s="35">
        <f t="shared" si="14"/>
        <v>49272.584160022583</v>
      </c>
      <c r="E161" s="36">
        <f t="shared" si="14"/>
        <v>-19393.557760060212</v>
      </c>
      <c r="F161" s="9">
        <f t="shared" si="14"/>
        <v>-7272.5841600225795</v>
      </c>
      <c r="G161" s="9">
        <f t="shared" si="14"/>
        <v>19393.557760060212</v>
      </c>
      <c r="H161" s="9">
        <f t="shared" si="14"/>
        <v>0</v>
      </c>
      <c r="I161" s="9">
        <f t="shared" si="14"/>
        <v>0</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-19393.557760060212</v>
      </c>
      <c r="E162" s="35">
        <f t="shared" si="15"/>
        <v>51716.154026827229</v>
      </c>
      <c r="F162" s="9">
        <f t="shared" si="15"/>
        <v>19393.557760060212</v>
      </c>
      <c r="G162" s="9">
        <f t="shared" si="15"/>
        <v>-51716.154026827229</v>
      </c>
      <c r="H162" s="9">
        <f t="shared" si="15"/>
        <v>0</v>
      </c>
      <c r="I162" s="9">
        <f t="shared" si="15"/>
        <v>0</v>
      </c>
      <c r="J162" s="9">
        <f t="shared" si="15"/>
        <v>0</v>
      </c>
      <c r="K162" s="9">
        <f t="shared" si="15"/>
        <v>0</v>
      </c>
      <c r="L162" s="89" t="s">
        <v>181</v>
      </c>
    </row>
    <row r="163" spans="1:19" ht="19.95" customHeight="1" x14ac:dyDescent="0.3">
      <c r="A163" s="28" t="s">
        <v>205</v>
      </c>
      <c r="B163" s="9">
        <f t="shared" ref="B163:K163" si="16">B36+B55+B74+B93+B112+B131+B150</f>
        <v>-23381.025307235032</v>
      </c>
      <c r="C163" s="9">
        <f t="shared" si="16"/>
        <v>-20783.13360643114</v>
      </c>
      <c r="D163" s="9">
        <f t="shared" si="16"/>
        <v>-7272.5841600225795</v>
      </c>
      <c r="E163" s="9">
        <f t="shared" si="16"/>
        <v>19393.557760060212</v>
      </c>
      <c r="F163" s="35">
        <f t="shared" si="16"/>
        <v>124922.67807849385</v>
      </c>
      <c r="G163" s="36">
        <f t="shared" si="16"/>
        <v>-22571.584246513619</v>
      </c>
      <c r="H163" s="9">
        <f t="shared" si="16"/>
        <v>-84000</v>
      </c>
      <c r="I163" s="9">
        <f t="shared" si="16"/>
        <v>0</v>
      </c>
      <c r="J163" s="9">
        <f t="shared" si="16"/>
        <v>-10269.068611236235</v>
      </c>
      <c r="K163" s="9">
        <f t="shared" si="16"/>
        <v>23961.160092884547</v>
      </c>
      <c r="L163" s="89" t="s">
        <v>182</v>
      </c>
    </row>
    <row r="164" spans="1:19" ht="19.95" customHeight="1" x14ac:dyDescent="0.3">
      <c r="B164" s="9">
        <f t="shared" ref="B164:K164" si="17">B37+B56+B75+B94+B113+B132+B151</f>
        <v>-20783.13360643114</v>
      </c>
      <c r="C164" s="9">
        <f t="shared" si="17"/>
        <v>-18473.8965390499</v>
      </c>
      <c r="D164" s="9">
        <f t="shared" si="17"/>
        <v>19393.557760060212</v>
      </c>
      <c r="E164" s="9">
        <f t="shared" si="17"/>
        <v>-51716.154026827229</v>
      </c>
      <c r="F164" s="36">
        <f t="shared" si="17"/>
        <v>-22571.584246513619</v>
      </c>
      <c r="G164" s="35">
        <f t="shared" si="17"/>
        <v>126099.42411594107</v>
      </c>
      <c r="H164" s="9">
        <f t="shared" si="17"/>
        <v>0</v>
      </c>
      <c r="I164" s="9">
        <f t="shared" si="17"/>
        <v>0</v>
      </c>
      <c r="J164" s="9">
        <f t="shared" si="17"/>
        <v>23961.160092884547</v>
      </c>
      <c r="K164" s="9">
        <f t="shared" si="17"/>
        <v>-55909.373550063945</v>
      </c>
      <c r="L164" s="89" t="s">
        <v>183</v>
      </c>
    </row>
    <row r="165" spans="1:19" ht="19.95" customHeight="1" x14ac:dyDescent="0.3">
      <c r="B165" s="9">
        <f t="shared" ref="B165:K165" si="18">B38+B57+B76+B95+B114+B133+B152</f>
        <v>-7272.5841600225795</v>
      </c>
      <c r="C165" s="9">
        <f t="shared" si="18"/>
        <v>-19393.557760060212</v>
      </c>
      <c r="D165" s="9">
        <f t="shared" si="18"/>
        <v>0</v>
      </c>
      <c r="E165" s="9">
        <f t="shared" si="18"/>
        <v>0</v>
      </c>
      <c r="F165" s="9">
        <f t="shared" si="18"/>
        <v>-84000</v>
      </c>
      <c r="G165" s="9">
        <f t="shared" si="18"/>
        <v>0</v>
      </c>
      <c r="H165" s="35">
        <f t="shared" si="18"/>
        <v>101541.65277125881</v>
      </c>
      <c r="I165" s="36">
        <f t="shared" si="18"/>
        <v>43354.717852944756</v>
      </c>
      <c r="J165" s="9">
        <f t="shared" si="18"/>
        <v>-10269.068611236235</v>
      </c>
      <c r="K165" s="9">
        <f t="shared" si="18"/>
        <v>-23961.160092884547</v>
      </c>
      <c r="L165" s="89" t="s">
        <v>184</v>
      </c>
    </row>
    <row r="166" spans="1:19" ht="19.95" customHeight="1" x14ac:dyDescent="0.3">
      <c r="B166" s="9">
        <f t="shared" ref="B166:K166" si="19">B39+B58+B77+B96+B115+B134+B153</f>
        <v>-19393.557760060212</v>
      </c>
      <c r="C166" s="9">
        <f t="shared" si="19"/>
        <v>-51716.154026827229</v>
      </c>
      <c r="D166" s="9">
        <f t="shared" si="19"/>
        <v>0</v>
      </c>
      <c r="E166" s="9">
        <f t="shared" si="19"/>
        <v>0</v>
      </c>
      <c r="F166" s="9">
        <f t="shared" si="19"/>
        <v>0</v>
      </c>
      <c r="G166" s="9">
        <f t="shared" si="19"/>
        <v>0</v>
      </c>
      <c r="H166" s="36">
        <f t="shared" si="19"/>
        <v>43354.717852944756</v>
      </c>
      <c r="I166" s="35">
        <f t="shared" si="19"/>
        <v>107625.52757689118</v>
      </c>
      <c r="J166" s="9">
        <f t="shared" si="19"/>
        <v>-23961.160092884547</v>
      </c>
      <c r="K166" s="9">
        <f t="shared" si="19"/>
        <v>-55909.373550063945</v>
      </c>
      <c r="L166" s="89" t="s">
        <v>185</v>
      </c>
    </row>
    <row r="167" spans="1:19" ht="19.95" customHeight="1" x14ac:dyDescent="0.3">
      <c r="B167" s="9">
        <f t="shared" ref="B167:K167" si="20">B40+B59+B78+B97+B116+B135+B154</f>
        <v>0</v>
      </c>
      <c r="C167" s="9">
        <f t="shared" si="20"/>
        <v>0</v>
      </c>
      <c r="D167" s="9">
        <f t="shared" si="20"/>
        <v>0</v>
      </c>
      <c r="E167" s="9">
        <f t="shared" si="20"/>
        <v>0</v>
      </c>
      <c r="F167" s="9">
        <f t="shared" si="20"/>
        <v>-10269.068611236235</v>
      </c>
      <c r="G167" s="9">
        <f t="shared" si="20"/>
        <v>23961.160092884547</v>
      </c>
      <c r="H167" s="9">
        <f t="shared" si="20"/>
        <v>-10269.068611236235</v>
      </c>
      <c r="I167" s="9">
        <f t="shared" si="20"/>
        <v>-23961.160092884547</v>
      </c>
      <c r="J167" s="35">
        <f t="shared" si="20"/>
        <v>20538.137222472469</v>
      </c>
      <c r="K167" s="36">
        <f t="shared" si="20"/>
        <v>0</v>
      </c>
      <c r="L167" s="89" t="s">
        <v>186</v>
      </c>
    </row>
    <row r="168" spans="1:19" ht="19.95" customHeight="1" x14ac:dyDescent="0.3">
      <c r="B168" s="9">
        <f t="shared" ref="B168:K168" si="21">B41+B60+B79+B98+B117+B136+B155</f>
        <v>0</v>
      </c>
      <c r="C168" s="9">
        <f t="shared" si="21"/>
        <v>0</v>
      </c>
      <c r="D168" s="9">
        <f t="shared" si="21"/>
        <v>0</v>
      </c>
      <c r="E168" s="9">
        <f t="shared" si="21"/>
        <v>0</v>
      </c>
      <c r="F168" s="9">
        <f t="shared" si="21"/>
        <v>23961.160092884547</v>
      </c>
      <c r="G168" s="9">
        <f t="shared" si="21"/>
        <v>-55909.373550063945</v>
      </c>
      <c r="H168" s="9">
        <f t="shared" si="21"/>
        <v>-23961.160092884547</v>
      </c>
      <c r="I168" s="9">
        <f t="shared" si="21"/>
        <v>-55909.373550063945</v>
      </c>
      <c r="J168" s="36">
        <f t="shared" si="21"/>
        <v>0</v>
      </c>
      <c r="K168" s="35">
        <f t="shared" si="21"/>
        <v>111818.74710012789</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IF(GRAFICA_21!F14=1, B172, GRAFICA_21!H14)</f>
        <v>C1X</v>
      </c>
      <c r="N172" s="215" t="s">
        <v>376</v>
      </c>
      <c r="O172" s="172"/>
      <c r="P172" s="172"/>
      <c r="Q172" s="172"/>
      <c r="R172" s="172"/>
      <c r="S172" s="173"/>
    </row>
    <row r="173" spans="1:19" ht="16.95" customHeight="1" x14ac:dyDescent="0.3">
      <c r="B173" s="12" t="s">
        <v>210</v>
      </c>
      <c r="C173" s="12" t="s">
        <v>179</v>
      </c>
      <c r="E173" s="37" t="str">
        <f>IF(GRAFICA_21!G14=1, B173, GRAFICA_21!I14)</f>
        <v>C1Y</v>
      </c>
      <c r="N173" s="215" t="s">
        <v>211</v>
      </c>
      <c r="O173" s="172"/>
      <c r="P173" s="172"/>
      <c r="Q173" s="172"/>
      <c r="R173" s="172"/>
      <c r="S173" s="173"/>
    </row>
    <row r="174" spans="1:19" ht="16.95" customHeight="1" x14ac:dyDescent="0.3">
      <c r="B174" s="12" t="s">
        <v>212</v>
      </c>
      <c r="C174" s="12" t="s">
        <v>180</v>
      </c>
      <c r="E174" s="37">
        <f>IF(GRAFICA_21!F15=1, B174, GRAFICA_21!H15)</f>
        <v>0</v>
      </c>
      <c r="N174" s="215" t="s">
        <v>377</v>
      </c>
      <c r="O174" s="172"/>
      <c r="P174" s="172"/>
      <c r="Q174" s="172"/>
      <c r="R174" s="172"/>
      <c r="S174" s="173"/>
    </row>
    <row r="175" spans="1:19" ht="16.95" customHeight="1" x14ac:dyDescent="0.3">
      <c r="B175" s="12" t="s">
        <v>214</v>
      </c>
      <c r="C175" s="12" t="s">
        <v>181</v>
      </c>
      <c r="E175" s="37" t="str">
        <f>IF(GRAFICA_21!G15=1, B175, GRAFICA_21!I15)</f>
        <v>C2Y</v>
      </c>
      <c r="N175" s="215" t="s">
        <v>215</v>
      </c>
      <c r="O175" s="172"/>
      <c r="P175" s="172"/>
      <c r="Q175" s="172"/>
      <c r="R175" s="172"/>
      <c r="S175" s="173"/>
    </row>
    <row r="176" spans="1:19" ht="16.95" customHeight="1" x14ac:dyDescent="0.3">
      <c r="A176" s="38" t="s">
        <v>218</v>
      </c>
      <c r="B176" s="12" t="s">
        <v>216</v>
      </c>
      <c r="C176" s="12" t="s">
        <v>182</v>
      </c>
      <c r="D176" s="13" t="s">
        <v>220</v>
      </c>
      <c r="E176" s="37">
        <f>IF(GRAFICA_21!F16=1, B176, GRAFICA_21!H16)</f>
        <v>2500</v>
      </c>
      <c r="N176" s="215" t="s">
        <v>378</v>
      </c>
      <c r="O176" s="172"/>
      <c r="P176" s="172"/>
      <c r="Q176" s="172"/>
      <c r="R176" s="172"/>
      <c r="S176" s="173"/>
    </row>
    <row r="177" spans="1:19" ht="16.95" customHeight="1" x14ac:dyDescent="0.3">
      <c r="B177" s="12" t="s">
        <v>219</v>
      </c>
      <c r="C177" s="12" t="s">
        <v>183</v>
      </c>
      <c r="E177" s="37">
        <f>IF(GRAFICA_21!G16=1, B177, GRAFICA_21!I16)</f>
        <v>-3000</v>
      </c>
      <c r="N177" s="215" t="s">
        <v>379</v>
      </c>
      <c r="O177" s="172"/>
      <c r="P177" s="172"/>
      <c r="Q177" s="172"/>
      <c r="R177" s="172"/>
      <c r="S177" s="173"/>
    </row>
    <row r="178" spans="1:19" ht="16.95" customHeight="1" x14ac:dyDescent="0.3">
      <c r="B178" s="12" t="s">
        <v>221</v>
      </c>
      <c r="C178" s="12" t="s">
        <v>184</v>
      </c>
      <c r="E178" s="37">
        <f>IF(GRAFICA_21!F17=1, B178, GRAFICA_21!H17)</f>
        <v>3000</v>
      </c>
      <c r="N178" s="215"/>
      <c r="O178" s="172"/>
      <c r="P178" s="172"/>
      <c r="Q178" s="172"/>
      <c r="R178" s="172"/>
      <c r="S178" s="173"/>
    </row>
    <row r="179" spans="1:19" ht="16.95" customHeight="1" x14ac:dyDescent="0.3">
      <c r="B179" s="12" t="s">
        <v>222</v>
      </c>
      <c r="C179" s="12" t="s">
        <v>185</v>
      </c>
      <c r="E179" s="37">
        <f>IF(GRAFICA_21!G17=1, B179, GRAFICA_21!I17)</f>
        <v>-3000</v>
      </c>
      <c r="N179" s="215"/>
      <c r="O179" s="172"/>
      <c r="P179" s="172"/>
      <c r="Q179" s="172"/>
      <c r="R179" s="172"/>
      <c r="S179" s="173"/>
    </row>
    <row r="180" spans="1:19" ht="16.95" customHeight="1" x14ac:dyDescent="0.3">
      <c r="B180" s="12" t="s">
        <v>223</v>
      </c>
      <c r="C180" s="12" t="s">
        <v>186</v>
      </c>
      <c r="E180" s="37">
        <f>IF(GRAFICA_21!F18=1, B180, GRAFICA_21!H18)</f>
        <v>4000</v>
      </c>
      <c r="N180" s="215"/>
      <c r="O180" s="172"/>
      <c r="P180" s="172"/>
      <c r="Q180" s="172"/>
      <c r="R180" s="172"/>
      <c r="S180" s="173"/>
    </row>
    <row r="181" spans="1:19" ht="16.95" customHeight="1" x14ac:dyDescent="0.3">
      <c r="B181" s="12" t="s">
        <v>224</v>
      </c>
      <c r="C181" s="12" t="s">
        <v>187</v>
      </c>
      <c r="E181" s="37">
        <f>IF(GRAFICA_21!G18=1, B181, GRAFICA_21!I18)</f>
        <v>-4000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IF(GRAFICA_21!F14=1,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IF(GRAFICA_21!G14=1,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IF(GRAFICA_21!F15=1,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f>IF(GRAFICA_21!G15=1, 0, B187)</f>
        <v>0</v>
      </c>
      <c r="F187" s="14" t="str">
        <f>IF(E187&lt;&gt;0, COUNTIF(E$184:E187, "&lt;&gt;0"), "")</f>
        <v/>
      </c>
      <c r="G187" s="14">
        <f>IF(E187=0, COUNTIF(E$184:E187, 0), "")</f>
        <v>3</v>
      </c>
      <c r="N187" s="215"/>
      <c r="O187" s="172"/>
      <c r="P187" s="172"/>
      <c r="Q187" s="172"/>
      <c r="R187" s="172"/>
      <c r="S187" s="173"/>
    </row>
    <row r="188" spans="1:19" ht="16.95" customHeight="1" x14ac:dyDescent="0.3">
      <c r="A188" s="38" t="s">
        <v>233</v>
      </c>
      <c r="B188" s="12" t="s">
        <v>232</v>
      </c>
      <c r="C188" s="12" t="s">
        <v>182</v>
      </c>
      <c r="D188" s="13" t="s">
        <v>220</v>
      </c>
      <c r="E188" s="39" t="str">
        <f>IF(GRAFICA_21!F16=1, 0, B188)</f>
        <v>D3X</v>
      </c>
      <c r="F188" s="14">
        <f>IF(E188&lt;&gt;0, COUNTIF(E$184:E188, "&lt;&gt;0"), "")</f>
        <v>2</v>
      </c>
      <c r="G188" s="14" t="str">
        <f>IF(E188=0, COUNTIF(E$184:E188, 0), "")</f>
        <v/>
      </c>
      <c r="N188" s="215"/>
      <c r="O188" s="172"/>
      <c r="P188" s="172"/>
      <c r="Q188" s="172"/>
      <c r="R188" s="172"/>
      <c r="S188" s="173"/>
    </row>
    <row r="189" spans="1:19" ht="16.95" customHeight="1" x14ac:dyDescent="0.3">
      <c r="B189" s="12" t="s">
        <v>234</v>
      </c>
      <c r="C189" s="12" t="s">
        <v>183</v>
      </c>
      <c r="E189" s="39" t="str">
        <f>IF(GRAFICA_21!G16=1, 0, B189)</f>
        <v>D3Y</v>
      </c>
      <c r="F189" s="14">
        <f>IF(E189&lt;&gt;0, COUNTIF(E$184:E189, "&lt;&gt;0"), "")</f>
        <v>3</v>
      </c>
      <c r="G189" s="14" t="str">
        <f>IF(E189=0, COUNTIF(E$184:E189, 0), "")</f>
        <v/>
      </c>
      <c r="N189" s="215"/>
      <c r="O189" s="172"/>
      <c r="P189" s="172"/>
      <c r="Q189" s="172"/>
      <c r="R189" s="172"/>
      <c r="S189" s="173"/>
    </row>
    <row r="190" spans="1:19" ht="16.95" customHeight="1" x14ac:dyDescent="0.3">
      <c r="B190" s="12" t="s">
        <v>235</v>
      </c>
      <c r="C190" s="12" t="s">
        <v>184</v>
      </c>
      <c r="E190" s="39" t="str">
        <f>IF(GRAFICA_21!F17=1,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IF(GRAFICA_21!G17=1,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IF(GRAFICA_21!F18=1,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IF(GRAFICA_21!G18=1,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72653.609467257615</v>
      </c>
      <c r="D198" s="9">
        <f t="shared" si="23"/>
        <v>40176.691366491352</v>
      </c>
      <c r="E198" s="9">
        <f t="shared" si="23"/>
        <v>-42000</v>
      </c>
      <c r="F198" s="9">
        <f t="shared" si="23"/>
        <v>0</v>
      </c>
      <c r="G198" s="9">
        <f t="shared" si="23"/>
        <v>-23381.025307235032</v>
      </c>
      <c r="H198" s="9">
        <f t="shared" si="23"/>
        <v>-20783.13360643114</v>
      </c>
      <c r="I198" s="9">
        <f t="shared" si="23"/>
        <v>-7272.5841600225795</v>
      </c>
      <c r="J198" s="9">
        <f t="shared" si="23"/>
        <v>-19393.557760060212</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40176.691366491352</v>
      </c>
      <c r="D199" s="9">
        <f t="shared" si="24"/>
        <v>70190.050565877129</v>
      </c>
      <c r="E199" s="9">
        <f t="shared" si="24"/>
        <v>0</v>
      </c>
      <c r="F199" s="9">
        <f t="shared" si="24"/>
        <v>0</v>
      </c>
      <c r="G199" s="9">
        <f t="shared" si="24"/>
        <v>-20783.13360643114</v>
      </c>
      <c r="H199" s="9">
        <f t="shared" si="24"/>
        <v>-18473.8965390499</v>
      </c>
      <c r="I199" s="9">
        <f t="shared" si="24"/>
        <v>-19393.557760060212</v>
      </c>
      <c r="J199" s="9">
        <f t="shared" si="24"/>
        <v>-51716.154026827229</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-42000</v>
      </c>
      <c r="D200" s="9">
        <f t="shared" si="25"/>
        <v>0</v>
      </c>
      <c r="E200" s="41">
        <f t="shared" si="25"/>
        <v>49272.584160022583</v>
      </c>
      <c r="F200" s="9">
        <f t="shared" si="25"/>
        <v>-19393.557760060212</v>
      </c>
      <c r="G200" s="41">
        <f t="shared" si="25"/>
        <v>-7272.5841600225795</v>
      </c>
      <c r="H200" s="41">
        <f t="shared" si="25"/>
        <v>19393.557760060212</v>
      </c>
      <c r="I200" s="41">
        <f t="shared" si="25"/>
        <v>0</v>
      </c>
      <c r="J200" s="41">
        <f t="shared" si="25"/>
        <v>0</v>
      </c>
      <c r="K200" s="41">
        <f t="shared" si="25"/>
        <v>0</v>
      </c>
      <c r="L200" s="41">
        <f t="shared" si="25"/>
        <v>0</v>
      </c>
      <c r="M200" s="13" t="s">
        <v>251</v>
      </c>
      <c r="N200" s="215" t="s">
        <v>254</v>
      </c>
      <c r="O200" s="172"/>
      <c r="P200" s="172"/>
      <c r="Q200" s="172"/>
      <c r="R200" s="172"/>
      <c r="S200" s="173"/>
    </row>
    <row r="201" spans="1:19" ht="16.95" customHeight="1" x14ac:dyDescent="0.3">
      <c r="A201" s="12" t="str">
        <f t="shared" si="22"/>
        <v>C2Y</v>
      </c>
      <c r="C201" s="9">
        <f t="shared" ref="C201:L201" si="26">B162</f>
        <v>0</v>
      </c>
      <c r="D201" s="9">
        <f t="shared" si="26"/>
        <v>0</v>
      </c>
      <c r="E201" s="9">
        <f t="shared" si="26"/>
        <v>-19393.557760060212</v>
      </c>
      <c r="F201" s="9">
        <f t="shared" si="26"/>
        <v>51716.154026827229</v>
      </c>
      <c r="G201" s="9">
        <f t="shared" si="26"/>
        <v>19393.557760060212</v>
      </c>
      <c r="H201" s="9">
        <f t="shared" si="26"/>
        <v>-51716.154026827229</v>
      </c>
      <c r="I201" s="9">
        <f t="shared" si="26"/>
        <v>0</v>
      </c>
      <c r="J201" s="9">
        <f t="shared" si="26"/>
        <v>0</v>
      </c>
      <c r="K201" s="9">
        <f t="shared" si="26"/>
        <v>0</v>
      </c>
      <c r="L201" s="9">
        <f t="shared" si="26"/>
        <v>0</v>
      </c>
      <c r="M201" s="13" t="s">
        <v>251</v>
      </c>
      <c r="N201" s="219" t="s">
        <v>381</v>
      </c>
      <c r="O201" s="172"/>
      <c r="P201" s="172"/>
      <c r="Q201" s="172"/>
      <c r="R201" s="172"/>
      <c r="S201" s="173"/>
    </row>
    <row r="202" spans="1:19" ht="16.95" customHeight="1" x14ac:dyDescent="0.3">
      <c r="A202" s="41">
        <f t="shared" si="22"/>
        <v>2500</v>
      </c>
      <c r="C202" s="9">
        <f t="shared" ref="C202:L202" si="27">B163</f>
        <v>-23381.025307235032</v>
      </c>
      <c r="D202" s="9">
        <f t="shared" si="27"/>
        <v>-20783.13360643114</v>
      </c>
      <c r="E202" s="41">
        <f t="shared" si="27"/>
        <v>-7272.5841600225795</v>
      </c>
      <c r="F202" s="9">
        <f t="shared" si="27"/>
        <v>19393.557760060212</v>
      </c>
      <c r="G202" s="41">
        <f t="shared" si="27"/>
        <v>124922.67807849385</v>
      </c>
      <c r="H202" s="41">
        <f t="shared" si="27"/>
        <v>-22571.584246513619</v>
      </c>
      <c r="I202" s="41">
        <f t="shared" si="27"/>
        <v>-84000</v>
      </c>
      <c r="J202" s="41">
        <f t="shared" si="27"/>
        <v>0</v>
      </c>
      <c r="K202" s="41">
        <f t="shared" si="27"/>
        <v>-10269.068611236235</v>
      </c>
      <c r="L202" s="41">
        <f t="shared" si="27"/>
        <v>23961.160092884547</v>
      </c>
      <c r="M202" s="13" t="s">
        <v>251</v>
      </c>
      <c r="N202" s="215" t="s">
        <v>382</v>
      </c>
      <c r="O202" s="172"/>
      <c r="P202" s="172"/>
      <c r="Q202" s="172"/>
      <c r="R202" s="172"/>
      <c r="S202" s="173"/>
    </row>
    <row r="203" spans="1:19" ht="16.95" customHeight="1" x14ac:dyDescent="0.3">
      <c r="A203" s="41">
        <f t="shared" si="22"/>
        <v>-3000</v>
      </c>
      <c r="B203" s="13" t="s">
        <v>220</v>
      </c>
      <c r="C203" s="9">
        <f t="shared" ref="C203:L203" si="28">B164</f>
        <v>-20783.13360643114</v>
      </c>
      <c r="D203" s="9">
        <f t="shared" si="28"/>
        <v>-18473.8965390499</v>
      </c>
      <c r="E203" s="41">
        <f t="shared" si="28"/>
        <v>19393.557760060212</v>
      </c>
      <c r="F203" s="9">
        <f t="shared" si="28"/>
        <v>-51716.154026827229</v>
      </c>
      <c r="G203" s="41">
        <f t="shared" si="28"/>
        <v>-22571.584246513619</v>
      </c>
      <c r="H203" s="41">
        <f t="shared" si="28"/>
        <v>126099.42411594107</v>
      </c>
      <c r="I203" s="41">
        <f t="shared" si="28"/>
        <v>0</v>
      </c>
      <c r="J203" s="41">
        <f t="shared" si="28"/>
        <v>0</v>
      </c>
      <c r="K203" s="41">
        <f t="shared" si="28"/>
        <v>23961.160092884547</v>
      </c>
      <c r="L203" s="41">
        <f t="shared" si="28"/>
        <v>-55909.373550063945</v>
      </c>
      <c r="M203" s="13" t="s">
        <v>251</v>
      </c>
      <c r="N203" s="215" t="str">
        <f>E189</f>
        <v>D3Y</v>
      </c>
      <c r="O203" s="172"/>
      <c r="P203" s="172"/>
      <c r="Q203" s="172"/>
      <c r="R203" s="172"/>
      <c r="S203" s="173"/>
    </row>
    <row r="204" spans="1:19" ht="16.95" customHeight="1" x14ac:dyDescent="0.3">
      <c r="A204" s="41">
        <f t="shared" si="22"/>
        <v>3000</v>
      </c>
      <c r="C204" s="9">
        <f t="shared" ref="C204:L204" si="29">B165</f>
        <v>-7272.5841600225795</v>
      </c>
      <c r="D204" s="9">
        <f t="shared" si="29"/>
        <v>-19393.557760060212</v>
      </c>
      <c r="E204" s="41">
        <f t="shared" si="29"/>
        <v>0</v>
      </c>
      <c r="F204" s="9">
        <f t="shared" si="29"/>
        <v>0</v>
      </c>
      <c r="G204" s="41">
        <f t="shared" si="29"/>
        <v>-84000</v>
      </c>
      <c r="H204" s="41">
        <f t="shared" si="29"/>
        <v>0</v>
      </c>
      <c r="I204" s="41">
        <f t="shared" si="29"/>
        <v>101541.65277125881</v>
      </c>
      <c r="J204" s="41">
        <f t="shared" si="29"/>
        <v>43354.717852944756</v>
      </c>
      <c r="K204" s="41">
        <f t="shared" si="29"/>
        <v>-10269.068611236235</v>
      </c>
      <c r="L204" s="41">
        <f t="shared" si="29"/>
        <v>-23961.160092884547</v>
      </c>
      <c r="M204" s="13" t="s">
        <v>251</v>
      </c>
      <c r="N204" s="215" t="str">
        <f>E190</f>
        <v>D4X</v>
      </c>
      <c r="O204" s="172"/>
      <c r="P204" s="172"/>
      <c r="Q204" s="172"/>
      <c r="R204" s="172"/>
      <c r="S204" s="173"/>
    </row>
    <row r="205" spans="1:19" ht="16.95" customHeight="1" x14ac:dyDescent="0.3">
      <c r="A205" s="41">
        <f t="shared" si="22"/>
        <v>-3000</v>
      </c>
      <c r="C205" s="9">
        <f t="shared" ref="C205:L205" si="30">B166</f>
        <v>-19393.557760060212</v>
      </c>
      <c r="D205" s="9">
        <f t="shared" si="30"/>
        <v>-51716.154026827229</v>
      </c>
      <c r="E205" s="41">
        <f t="shared" si="30"/>
        <v>0</v>
      </c>
      <c r="F205" s="9">
        <f t="shared" si="30"/>
        <v>0</v>
      </c>
      <c r="G205" s="41">
        <f t="shared" si="30"/>
        <v>0</v>
      </c>
      <c r="H205" s="41">
        <f t="shared" si="30"/>
        <v>0</v>
      </c>
      <c r="I205" s="41">
        <f t="shared" si="30"/>
        <v>43354.717852944756</v>
      </c>
      <c r="J205" s="41">
        <f t="shared" si="30"/>
        <v>107625.52757689118</v>
      </c>
      <c r="K205" s="41">
        <f t="shared" si="30"/>
        <v>-23961.160092884547</v>
      </c>
      <c r="L205" s="41">
        <f t="shared" si="30"/>
        <v>-55909.373550063945</v>
      </c>
      <c r="M205" s="13" t="s">
        <v>251</v>
      </c>
      <c r="N205" s="215" t="str">
        <f>E191</f>
        <v>D4Y</v>
      </c>
      <c r="O205" s="172"/>
      <c r="P205" s="172"/>
      <c r="Q205" s="172"/>
      <c r="R205" s="172"/>
      <c r="S205" s="173"/>
    </row>
    <row r="206" spans="1:19" ht="16.95" customHeight="1" x14ac:dyDescent="0.3">
      <c r="A206" s="41">
        <f t="shared" si="22"/>
        <v>4000</v>
      </c>
      <c r="C206" s="9">
        <f t="shared" ref="C206:L206" si="31">B167</f>
        <v>0</v>
      </c>
      <c r="D206" s="9">
        <f t="shared" si="31"/>
        <v>0</v>
      </c>
      <c r="E206" s="41">
        <f t="shared" si="31"/>
        <v>0</v>
      </c>
      <c r="F206" s="9">
        <f t="shared" si="31"/>
        <v>0</v>
      </c>
      <c r="G206" s="41">
        <f t="shared" si="31"/>
        <v>-10269.068611236235</v>
      </c>
      <c r="H206" s="41">
        <f t="shared" si="31"/>
        <v>23961.160092884547</v>
      </c>
      <c r="I206" s="41">
        <f t="shared" si="31"/>
        <v>-10269.068611236235</v>
      </c>
      <c r="J206" s="41">
        <f t="shared" si="31"/>
        <v>-23961.160092884547</v>
      </c>
      <c r="K206" s="41">
        <f t="shared" si="31"/>
        <v>20538.137222472469</v>
      </c>
      <c r="L206" s="41">
        <f t="shared" si="31"/>
        <v>0</v>
      </c>
      <c r="M206" s="13" t="s">
        <v>251</v>
      </c>
      <c r="N206" s="215" t="str">
        <f>E192</f>
        <v>D5X</v>
      </c>
      <c r="O206" s="172"/>
      <c r="P206" s="172"/>
      <c r="Q206" s="172"/>
      <c r="R206" s="172"/>
      <c r="S206" s="173"/>
    </row>
    <row r="207" spans="1:19" ht="16.95" customHeight="1" x14ac:dyDescent="0.3">
      <c r="A207" s="41">
        <f t="shared" si="22"/>
        <v>-4000</v>
      </c>
      <c r="C207" s="9">
        <f t="shared" ref="C207:L207" si="32">B168</f>
        <v>0</v>
      </c>
      <c r="D207" s="9">
        <f t="shared" si="32"/>
        <v>0</v>
      </c>
      <c r="E207" s="41">
        <f t="shared" si="32"/>
        <v>0</v>
      </c>
      <c r="F207" s="9">
        <f t="shared" si="32"/>
        <v>0</v>
      </c>
      <c r="G207" s="41">
        <f t="shared" si="32"/>
        <v>23961.160092884547</v>
      </c>
      <c r="H207" s="41">
        <f t="shared" si="32"/>
        <v>-55909.373550063945</v>
      </c>
      <c r="I207" s="41">
        <f t="shared" si="32"/>
        <v>-23961.160092884547</v>
      </c>
      <c r="J207" s="41">
        <f t="shared" si="32"/>
        <v>-55909.373550063945</v>
      </c>
      <c r="K207" s="41">
        <f t="shared" si="32"/>
        <v>0</v>
      </c>
      <c r="L207" s="41">
        <f t="shared" si="32"/>
        <v>111818.74710012789</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49272.584160022583</v>
      </c>
      <c r="D212" s="41">
        <f t="shared" si="34"/>
        <v>-7272.5841600225795</v>
      </c>
      <c r="E212" s="41">
        <f t="shared" si="34"/>
        <v>19393.557760060212</v>
      </c>
      <c r="F212" s="41">
        <f t="shared" si="34"/>
        <v>0</v>
      </c>
      <c r="G212" s="41">
        <f t="shared" si="34"/>
        <v>0</v>
      </c>
      <c r="H212" s="41">
        <f t="shared" si="34"/>
        <v>0</v>
      </c>
      <c r="I212" s="41">
        <f t="shared" si="34"/>
        <v>0</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2500</v>
      </c>
      <c r="C213" s="41">
        <f t="shared" si="34"/>
        <v>-7272.5841600225795</v>
      </c>
      <c r="D213" s="41">
        <f t="shared" si="34"/>
        <v>124922.67807849385</v>
      </c>
      <c r="E213" s="41">
        <f t="shared" si="34"/>
        <v>-22571.584246513619</v>
      </c>
      <c r="F213" s="41">
        <f t="shared" si="34"/>
        <v>-84000</v>
      </c>
      <c r="G213" s="41">
        <f t="shared" si="34"/>
        <v>0</v>
      </c>
      <c r="H213" s="41">
        <f t="shared" si="34"/>
        <v>-10269.068611236235</v>
      </c>
      <c r="I213" s="41">
        <f t="shared" si="34"/>
        <v>23961.160092884547</v>
      </c>
      <c r="J213" s="13" t="s">
        <v>251</v>
      </c>
      <c r="K213" s="38" t="str">
        <f>INDEX(B$184:B$193, MATCH(2, F$184:F$193, 0))</f>
        <v>D3X</v>
      </c>
      <c r="L213" s="14" t="str">
        <f>INDEX(C$184:C$193, MATCH(2, F$184:F$193, 0))</f>
        <v>U3X</v>
      </c>
      <c r="N213" s="215" t="s">
        <v>385</v>
      </c>
      <c r="O213" s="172"/>
      <c r="P213" s="172"/>
      <c r="Q213" s="172"/>
      <c r="R213" s="172"/>
      <c r="S213" s="173"/>
    </row>
    <row r="214" spans="1:19" ht="16.95" customHeight="1" x14ac:dyDescent="0.3">
      <c r="A214" s="41">
        <f t="shared" si="33"/>
        <v>-3000</v>
      </c>
      <c r="C214" s="41">
        <f t="shared" si="34"/>
        <v>19393.557760060212</v>
      </c>
      <c r="D214" s="41">
        <f t="shared" si="34"/>
        <v>-22571.584246513619</v>
      </c>
      <c r="E214" s="41">
        <f t="shared" si="34"/>
        <v>126099.42411594107</v>
      </c>
      <c r="F214" s="41">
        <f t="shared" si="34"/>
        <v>0</v>
      </c>
      <c r="G214" s="41">
        <f t="shared" si="34"/>
        <v>0</v>
      </c>
      <c r="H214" s="41">
        <f t="shared" si="34"/>
        <v>23961.160092884547</v>
      </c>
      <c r="I214" s="41">
        <f t="shared" si="34"/>
        <v>-55909.373550063945</v>
      </c>
      <c r="J214" s="13" t="s">
        <v>251</v>
      </c>
      <c r="K214" s="38" t="str">
        <f>INDEX(B$184:B$193, MATCH(3, F$184:F$193, 0))</f>
        <v>D3Y</v>
      </c>
      <c r="L214" s="14" t="str">
        <f>INDEX(C$184:C$193, MATCH(3, F$184:F$193, 0))</f>
        <v>U3Y</v>
      </c>
      <c r="N214" s="215" t="s">
        <v>386</v>
      </c>
      <c r="O214" s="172"/>
      <c r="P214" s="172"/>
      <c r="Q214" s="172"/>
      <c r="R214" s="172"/>
      <c r="S214" s="173"/>
    </row>
    <row r="215" spans="1:19" ht="16.95" customHeight="1" x14ac:dyDescent="0.3">
      <c r="A215" s="41">
        <f t="shared" si="33"/>
        <v>3000</v>
      </c>
      <c r="B215" s="13" t="s">
        <v>220</v>
      </c>
      <c r="C215" s="41">
        <f t="shared" si="34"/>
        <v>0</v>
      </c>
      <c r="D215" s="41">
        <f t="shared" si="34"/>
        <v>-84000</v>
      </c>
      <c r="E215" s="41">
        <f t="shared" si="34"/>
        <v>0</v>
      </c>
      <c r="F215" s="41">
        <f t="shared" si="34"/>
        <v>101541.65277125881</v>
      </c>
      <c r="G215" s="41">
        <f t="shared" si="34"/>
        <v>43354.717852944756</v>
      </c>
      <c r="H215" s="41">
        <f t="shared" si="34"/>
        <v>-10269.068611236235</v>
      </c>
      <c r="I215" s="41">
        <f t="shared" si="34"/>
        <v>-23961.160092884547</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-3000</v>
      </c>
      <c r="C216" s="41">
        <f t="shared" si="34"/>
        <v>0</v>
      </c>
      <c r="D216" s="41">
        <f t="shared" si="34"/>
        <v>0</v>
      </c>
      <c r="E216" s="41">
        <f t="shared" si="34"/>
        <v>0</v>
      </c>
      <c r="F216" s="41">
        <f t="shared" si="34"/>
        <v>43354.717852944756</v>
      </c>
      <c r="G216" s="41">
        <f t="shared" si="34"/>
        <v>107625.52757689118</v>
      </c>
      <c r="H216" s="41">
        <f t="shared" si="34"/>
        <v>-23961.160092884547</v>
      </c>
      <c r="I216" s="41">
        <f t="shared" si="34"/>
        <v>-55909.373550063945</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4000</v>
      </c>
      <c r="C217" s="41">
        <f t="shared" si="34"/>
        <v>0</v>
      </c>
      <c r="D217" s="41">
        <f t="shared" si="34"/>
        <v>-10269.068611236235</v>
      </c>
      <c r="E217" s="41">
        <f t="shared" si="34"/>
        <v>23961.160092884547</v>
      </c>
      <c r="F217" s="41">
        <f t="shared" si="34"/>
        <v>-10269.068611236235</v>
      </c>
      <c r="G217" s="41">
        <f t="shared" si="34"/>
        <v>-23961.160092884547</v>
      </c>
      <c r="H217" s="41">
        <f t="shared" si="34"/>
        <v>20538.137222472469</v>
      </c>
      <c r="I217" s="41">
        <f t="shared" si="34"/>
        <v>0</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-4000</v>
      </c>
      <c r="C218" s="41">
        <f t="shared" si="34"/>
        <v>0</v>
      </c>
      <c r="D218" s="41">
        <f t="shared" si="34"/>
        <v>23961.160092884547</v>
      </c>
      <c r="E218" s="41">
        <f t="shared" si="34"/>
        <v>-55909.373550063945</v>
      </c>
      <c r="F218" s="41">
        <f t="shared" si="34"/>
        <v>-23961.160092884547</v>
      </c>
      <c r="G218" s="41">
        <f t="shared" si="34"/>
        <v>-55909.373550063945</v>
      </c>
      <c r="H218" s="41">
        <f t="shared" si="34"/>
        <v>0</v>
      </c>
      <c r="I218" s="41">
        <f t="shared" si="34"/>
        <v>111818.74710012789</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2.380952380952381E-5</v>
      </c>
      <c r="D222" s="93">
        <v>5.9523809523809517E-6</v>
      </c>
      <c r="E222" s="93">
        <v>-6.6964285714285719E-6</v>
      </c>
      <c r="F222" s="93">
        <v>5.9523809523809517E-6</v>
      </c>
      <c r="G222" s="93">
        <v>-2.2321428571428586E-6</v>
      </c>
      <c r="H222" s="93">
        <v>1.1160714285714284E-5</v>
      </c>
      <c r="I222" s="93">
        <v>-4.4642857142857155E-6</v>
      </c>
      <c r="K222" s="17">
        <f t="shared" ref="K222:K228" si="36">A212</f>
        <v>0</v>
      </c>
      <c r="N222" s="215"/>
      <c r="O222" s="172"/>
      <c r="P222" s="172"/>
      <c r="Q222" s="172"/>
      <c r="R222" s="172"/>
      <c r="S222" s="173"/>
    </row>
    <row r="223" spans="1:19" ht="16.95" customHeight="1" x14ac:dyDescent="0.3">
      <c r="A223" s="12" t="str">
        <f t="shared" si="35"/>
        <v>D3X</v>
      </c>
      <c r="C223" s="93">
        <v>5.9523809523809517E-6</v>
      </c>
      <c r="D223" s="93">
        <v>3.413998411779462E-5</v>
      </c>
      <c r="E223" s="93">
        <v>-2.3205274796402509E-6</v>
      </c>
      <c r="F223" s="93">
        <v>3.413998411779462E-5</v>
      </c>
      <c r="G223" s="93">
        <v>-1.2802494044172987E-5</v>
      </c>
      <c r="H223" s="93">
        <v>2.1911023125839762E-5</v>
      </c>
      <c r="I223" s="93">
        <v>-7.5615107619066157E-6</v>
      </c>
      <c r="K223" s="17">
        <f t="shared" si="36"/>
        <v>2500</v>
      </c>
      <c r="N223" s="215"/>
      <c r="O223" s="172"/>
      <c r="P223" s="172"/>
      <c r="Q223" s="172"/>
      <c r="R223" s="172"/>
      <c r="S223" s="173"/>
    </row>
    <row r="224" spans="1:19" ht="16.95" customHeight="1" x14ac:dyDescent="0.3">
      <c r="A224" s="12" t="str">
        <f t="shared" si="35"/>
        <v>D3Y</v>
      </c>
      <c r="C224" s="93">
        <v>-6.6964285714285728E-6</v>
      </c>
      <c r="D224" s="93">
        <v>-2.3205274796402543E-6</v>
      </c>
      <c r="E224" s="93">
        <v>1.6143201409424801E-5</v>
      </c>
      <c r="F224" s="93">
        <v>-2.3205274796402547E-6</v>
      </c>
      <c r="G224" s="93">
        <v>8.701978048650986E-7</v>
      </c>
      <c r="H224" s="93">
        <v>-2.0139031684959908E-5</v>
      </c>
      <c r="I224" s="93">
        <v>8.5066996071449512E-6</v>
      </c>
      <c r="K224" s="17">
        <f t="shared" si="36"/>
        <v>-3000</v>
      </c>
      <c r="N224" s="215"/>
      <c r="O224" s="172"/>
      <c r="P224" s="172"/>
      <c r="Q224" s="172"/>
      <c r="R224" s="172"/>
      <c r="S224" s="173"/>
    </row>
    <row r="225" spans="1:19" ht="16.95" customHeight="1" x14ac:dyDescent="0.3">
      <c r="A225" s="12" t="str">
        <f t="shared" si="35"/>
        <v>D4X</v>
      </c>
      <c r="B225" s="13" t="s">
        <v>220</v>
      </c>
      <c r="C225" s="93">
        <v>5.9523809523809509E-6</v>
      </c>
      <c r="D225" s="93">
        <v>3.413998411779462E-5</v>
      </c>
      <c r="E225" s="93">
        <v>-2.3205274796402492E-6</v>
      </c>
      <c r="F225" s="93">
        <v>4.6044746022556524E-5</v>
      </c>
      <c r="G225" s="93">
        <v>-1.72667797584587E-5</v>
      </c>
      <c r="H225" s="93">
        <v>2.2655070744887374E-5</v>
      </c>
      <c r="I225" s="93">
        <v>-7.2426332108862047E-6</v>
      </c>
      <c r="K225" s="17">
        <f t="shared" si="36"/>
        <v>3000</v>
      </c>
      <c r="N225" s="215"/>
      <c r="O225" s="172"/>
      <c r="P225" s="172"/>
      <c r="Q225" s="172"/>
      <c r="R225" s="172"/>
      <c r="S225" s="173"/>
    </row>
    <row r="226" spans="1:19" ht="16.95" customHeight="1" x14ac:dyDescent="0.3">
      <c r="A226" s="12" t="str">
        <f t="shared" si="35"/>
        <v>D4Y</v>
      </c>
      <c r="C226" s="93">
        <v>-2.2321428571428565E-6</v>
      </c>
      <c r="D226" s="93">
        <v>-1.280249404417298E-5</v>
      </c>
      <c r="E226" s="93">
        <v>8.7019780486509404E-7</v>
      </c>
      <c r="F226" s="93">
        <v>-1.7266779758458693E-5</v>
      </c>
      <c r="G226" s="93">
        <v>2.581136040942758E-5</v>
      </c>
      <c r="H226" s="93">
        <v>1.4063386137340399E-5</v>
      </c>
      <c r="I226" s="93">
        <v>1.2384146454085113E-5</v>
      </c>
      <c r="K226" s="17">
        <f t="shared" si="36"/>
        <v>-3000</v>
      </c>
      <c r="N226" s="215"/>
      <c r="O226" s="172"/>
      <c r="P226" s="172"/>
      <c r="Q226" s="172"/>
      <c r="R226" s="172"/>
      <c r="S226" s="173"/>
    </row>
    <row r="227" spans="1:19" ht="16.95" customHeight="1" x14ac:dyDescent="0.3">
      <c r="A227" s="12" t="str">
        <f t="shared" si="35"/>
        <v>D5X</v>
      </c>
      <c r="C227" s="93">
        <v>1.1160714285714287E-5</v>
      </c>
      <c r="D227" s="93">
        <v>2.1911023125839779E-5</v>
      </c>
      <c r="E227" s="93">
        <v>-2.0139031684959908E-5</v>
      </c>
      <c r="F227" s="93">
        <v>2.2655070744887402E-5</v>
      </c>
      <c r="G227" s="93">
        <v>1.4063386137340382E-5</v>
      </c>
      <c r="H227" s="93">
        <v>1.1087577515089852E-4</v>
      </c>
      <c r="I227" s="93">
        <v>-2.8783839982995579E-6</v>
      </c>
      <c r="K227" s="17">
        <f t="shared" si="36"/>
        <v>4000</v>
      </c>
      <c r="N227" s="215"/>
      <c r="O227" s="172"/>
      <c r="P227" s="172"/>
      <c r="Q227" s="172"/>
      <c r="R227" s="172"/>
      <c r="S227" s="173"/>
    </row>
    <row r="228" spans="1:19" ht="16.95" customHeight="1" x14ac:dyDescent="0.3">
      <c r="A228" s="12" t="str">
        <f t="shared" si="35"/>
        <v>D5Y</v>
      </c>
      <c r="C228" s="93">
        <v>-4.4642857142857155E-6</v>
      </c>
      <c r="D228" s="93">
        <v>-7.5615107619066191E-6</v>
      </c>
      <c r="E228" s="93">
        <v>8.5066996071449478E-6</v>
      </c>
      <c r="F228" s="93">
        <v>-7.2426332108862107E-6</v>
      </c>
      <c r="G228" s="93">
        <v>1.2384146454085117E-5</v>
      </c>
      <c r="H228" s="93">
        <v>-2.8783839982995511E-6</v>
      </c>
      <c r="I228" s="93">
        <v>1.9456798154928822E-5</v>
      </c>
      <c r="K228" s="17">
        <f t="shared" si="36"/>
        <v>-4000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0.12202380952380952</v>
      </c>
      <c r="D232" s="12" t="s">
        <v>267</v>
      </c>
      <c r="N232" s="215"/>
      <c r="O232" s="172"/>
      <c r="P232" s="172"/>
      <c r="Q232" s="172"/>
      <c r="R232" s="172"/>
      <c r="S232" s="173"/>
    </row>
    <row r="233" spans="1:19" ht="16.95" customHeight="1" x14ac:dyDescent="0.3">
      <c r="A233" s="12" t="str">
        <f t="shared" si="37"/>
        <v>D3X</v>
      </c>
      <c r="C233" s="94">
        <v>0.35102911277029564</v>
      </c>
      <c r="D233" s="12" t="s">
        <v>267</v>
      </c>
      <c r="N233" s="215"/>
      <c r="O233" s="172"/>
      <c r="P233" s="172"/>
      <c r="Q233" s="172"/>
      <c r="R233" s="172"/>
      <c r="S233" s="173"/>
    </row>
    <row r="234" spans="1:19" ht="16.95" customHeight="1" x14ac:dyDescent="0.3">
      <c r="A234" s="12" t="str">
        <f t="shared" si="37"/>
        <v>D3Y</v>
      </c>
      <c r="C234" s="94">
        <v>-0.17838602394931052</v>
      </c>
      <c r="D234" s="12" t="s">
        <v>267</v>
      </c>
      <c r="N234" s="215"/>
      <c r="O234" s="172"/>
      <c r="P234" s="172"/>
      <c r="Q234" s="172"/>
      <c r="R234" s="172"/>
      <c r="S234" s="173"/>
    </row>
    <row r="235" spans="1:19" ht="16.95" customHeight="1" x14ac:dyDescent="0.3">
      <c r="A235" s="12" t="str">
        <f t="shared" si="37"/>
        <v>D4X</v>
      </c>
      <c r="B235" s="13" t="s">
        <v>220</v>
      </c>
      <c r="C235" s="94">
        <v>0.40183693589954728</v>
      </c>
      <c r="D235" s="12" t="s">
        <v>267</v>
      </c>
      <c r="N235" s="215"/>
      <c r="O235" s="172"/>
      <c r="P235" s="172"/>
      <c r="Q235" s="172"/>
      <c r="R235" s="172"/>
      <c r="S235" s="173"/>
    </row>
    <row r="236" spans="1:19" ht="16.95" customHeight="1" x14ac:dyDescent="0.3">
      <c r="A236" s="12" t="str">
        <f t="shared" si="37"/>
        <v>D4Y</v>
      </c>
      <c r="C236" s="94">
        <v>-0.15713429029566542</v>
      </c>
      <c r="D236" s="12" t="s">
        <v>267</v>
      </c>
      <c r="N236" s="215"/>
      <c r="O236" s="172"/>
      <c r="P236" s="172"/>
      <c r="Q236" s="172"/>
      <c r="R236" s="172"/>
      <c r="S236" s="173"/>
    </row>
    <row r="237" spans="1:19" ht="16.95" customHeight="1" x14ac:dyDescent="0.3">
      <c r="A237" s="12" t="str">
        <f t="shared" si="37"/>
        <v>D5X</v>
      </c>
      <c r="C237" s="94">
        <v>0.59598634328891253</v>
      </c>
      <c r="D237" s="12" t="s">
        <v>267</v>
      </c>
      <c r="N237" s="215"/>
      <c r="O237" s="172"/>
      <c r="P237" s="172"/>
      <c r="Q237" s="172"/>
      <c r="R237" s="172"/>
      <c r="S237" s="173"/>
    </row>
    <row r="238" spans="1:19" ht="16.95" customHeight="1" x14ac:dyDescent="0.3">
      <c r="A238" s="12" t="str">
        <f t="shared" si="37"/>
        <v>D5Y</v>
      </c>
      <c r="C238" s="94">
        <v>-0.19264494333402887</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-42000</v>
      </c>
      <c r="D243" s="9">
        <f t="shared" si="38"/>
        <v>-23381.025307235032</v>
      </c>
      <c r="E243" s="9">
        <f t="shared" si="38"/>
        <v>-20783.13360643114</v>
      </c>
      <c r="F243" s="9">
        <f t="shared" si="38"/>
        <v>-7272.5841600225795</v>
      </c>
      <c r="G243" s="9">
        <f t="shared" si="38"/>
        <v>-19393.557760060212</v>
      </c>
      <c r="H243" s="9">
        <f t="shared" si="38"/>
        <v>0</v>
      </c>
      <c r="I243" s="9">
        <f t="shared" si="38"/>
        <v>0</v>
      </c>
      <c r="K243" s="95">
        <f t="shared" ref="K243:K249" si="39">C232</f>
        <v>0.12202380952380952</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0</v>
      </c>
      <c r="D244" s="9">
        <f t="shared" si="38"/>
        <v>-20783.13360643114</v>
      </c>
      <c r="E244" s="9">
        <f t="shared" si="38"/>
        <v>-18473.8965390499</v>
      </c>
      <c r="F244" s="9">
        <f t="shared" si="38"/>
        <v>-19393.557760060212</v>
      </c>
      <c r="G244" s="9">
        <f t="shared" si="38"/>
        <v>-51716.154026827229</v>
      </c>
      <c r="H244" s="9">
        <f t="shared" si="38"/>
        <v>0</v>
      </c>
      <c r="I244" s="9">
        <f t="shared" si="38"/>
        <v>0</v>
      </c>
      <c r="K244" s="95">
        <f t="shared" si="39"/>
        <v>0.35102911277029564</v>
      </c>
      <c r="L244" s="14" t="str">
        <f>INDEX(C$184:C$193, MATCH(2, G$184:G$193, 0))</f>
        <v>U1Y</v>
      </c>
      <c r="N244" s="215" t="s">
        <v>391</v>
      </c>
      <c r="O244" s="172"/>
      <c r="P244" s="172"/>
      <c r="Q244" s="172"/>
      <c r="R244" s="172"/>
      <c r="S244" s="173"/>
    </row>
    <row r="245" spans="1:19" ht="16.95" customHeight="1" x14ac:dyDescent="0.3">
      <c r="A245" s="18" t="str">
        <f>INDEX(B$172:B$181, MATCH(L245, C$172:C$181, 0))</f>
        <v>C2Y</v>
      </c>
      <c r="C245" s="9">
        <f t="shared" si="38"/>
        <v>-19393.557760060212</v>
      </c>
      <c r="D245" s="9">
        <f t="shared" si="38"/>
        <v>19393.557760060212</v>
      </c>
      <c r="E245" s="9">
        <f t="shared" si="38"/>
        <v>-51716.154026827229</v>
      </c>
      <c r="F245" s="9">
        <f t="shared" si="38"/>
        <v>0</v>
      </c>
      <c r="G245" s="9">
        <f t="shared" si="38"/>
        <v>0</v>
      </c>
      <c r="H245" s="9">
        <f t="shared" si="38"/>
        <v>0</v>
      </c>
      <c r="I245" s="9">
        <f t="shared" si="38"/>
        <v>0</v>
      </c>
      <c r="K245" s="95">
        <f t="shared" si="39"/>
        <v>-0.17838602394931052</v>
      </c>
      <c r="L245" s="14" t="str">
        <f>INDEX(C$184:C$193, MATCH(3, G$184:G$193, 0))</f>
        <v>U2Y</v>
      </c>
      <c r="N245" s="215" t="s">
        <v>392</v>
      </c>
      <c r="O245" s="172"/>
      <c r="P245" s="172"/>
      <c r="Q245" s="172"/>
      <c r="R245" s="172"/>
      <c r="S245" s="173"/>
    </row>
    <row r="246" spans="1:19" ht="16.95" customHeight="1" x14ac:dyDescent="0.3">
      <c r="K246" s="95">
        <f t="shared" si="39"/>
        <v>0.40183693589954728</v>
      </c>
      <c r="N246" s="215" t="s">
        <v>393</v>
      </c>
      <c r="O246" s="172"/>
      <c r="P246" s="172"/>
      <c r="Q246" s="172"/>
      <c r="R246" s="172"/>
      <c r="S246" s="173"/>
    </row>
    <row r="247" spans="1:19" ht="16.95" customHeight="1" x14ac:dyDescent="0.3">
      <c r="K247" s="95">
        <f t="shared" si="39"/>
        <v>-0.15713429029566542</v>
      </c>
      <c r="N247" s="215" t="s">
        <v>394</v>
      </c>
      <c r="O247" s="172"/>
      <c r="P247" s="172"/>
      <c r="Q247" s="172"/>
      <c r="R247" s="172"/>
      <c r="S247" s="173"/>
    </row>
    <row r="248" spans="1:19" ht="16.95" customHeight="1" x14ac:dyDescent="0.3">
      <c r="K248" s="95">
        <f t="shared" si="39"/>
        <v>0.59598634328891253</v>
      </c>
      <c r="N248" s="215"/>
      <c r="O248" s="172"/>
      <c r="P248" s="172"/>
      <c r="Q248" s="172"/>
      <c r="R248" s="172"/>
      <c r="S248" s="173"/>
    </row>
    <row r="249" spans="1:19" ht="16.95" customHeight="1" x14ac:dyDescent="0.3">
      <c r="K249" s="95">
        <f t="shared" si="39"/>
        <v>-0.19264494333402887</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-9499.9999999999964</v>
      </c>
      <c r="D251" s="12" t="s">
        <v>273</v>
      </c>
      <c r="N251" s="215"/>
      <c r="O251" s="172"/>
      <c r="P251" s="172"/>
      <c r="Q251" s="172"/>
      <c r="R251" s="172"/>
      <c r="S251" s="173"/>
    </row>
    <row r="252" spans="1:19" ht="16.95" customHeight="1" x14ac:dyDescent="0.3">
      <c r="A252" s="12" t="str">
        <f>A244</f>
        <v>C1Y</v>
      </c>
      <c r="B252" s="13" t="s">
        <v>220</v>
      </c>
      <c r="C252" s="17">
        <v>-3666.6666666666652</v>
      </c>
      <c r="D252" s="12" t="s">
        <v>273</v>
      </c>
      <c r="N252" s="215"/>
      <c r="O252" s="172"/>
      <c r="P252" s="172"/>
      <c r="Q252" s="172"/>
      <c r="R252" s="172"/>
      <c r="S252" s="173"/>
    </row>
    <row r="253" spans="1:19" ht="16.95" customHeight="1" x14ac:dyDescent="0.3">
      <c r="A253" s="12" t="str">
        <f>A245</f>
        <v>C2Y</v>
      </c>
      <c r="C253" s="17">
        <v>13666.666666666666</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0.12202380952380952</v>
      </c>
    </row>
    <row r="261" spans="1:19" ht="19.05" customHeight="1" x14ac:dyDescent="0.3">
      <c r="A261" s="12" t="s">
        <v>231</v>
      </c>
      <c r="B261" s="12" t="s">
        <v>181</v>
      </c>
      <c r="D261" s="94">
        <f t="shared" si="40"/>
        <v>0</v>
      </c>
    </row>
    <row r="262" spans="1:19" ht="19.05" customHeight="1" x14ac:dyDescent="0.3">
      <c r="A262" s="12" t="s">
        <v>232</v>
      </c>
      <c r="B262" s="12" t="s">
        <v>182</v>
      </c>
      <c r="D262" s="94">
        <f t="shared" si="40"/>
        <v>0.35102911277029564</v>
      </c>
    </row>
    <row r="263" spans="1:19" ht="19.05" customHeight="1" x14ac:dyDescent="0.3">
      <c r="A263" s="12" t="s">
        <v>234</v>
      </c>
      <c r="B263" s="12" t="s">
        <v>183</v>
      </c>
      <c r="D263" s="94">
        <f t="shared" si="40"/>
        <v>-0.17838602394931052</v>
      </c>
    </row>
    <row r="264" spans="1:19" ht="19.05" customHeight="1" x14ac:dyDescent="0.3">
      <c r="A264" s="12" t="s">
        <v>235</v>
      </c>
      <c r="B264" s="12" t="s">
        <v>184</v>
      </c>
      <c r="D264" s="94">
        <f t="shared" si="40"/>
        <v>0.40183693589954728</v>
      </c>
    </row>
    <row r="265" spans="1:19" ht="19.05" customHeight="1" x14ac:dyDescent="0.3">
      <c r="A265" s="12" t="s">
        <v>236</v>
      </c>
      <c r="B265" s="12" t="s">
        <v>185</v>
      </c>
      <c r="D265" s="94">
        <f t="shared" si="40"/>
        <v>-0.15713429029566542</v>
      </c>
    </row>
    <row r="266" spans="1:19" ht="19.05" customHeight="1" x14ac:dyDescent="0.3">
      <c r="A266" s="12" t="s">
        <v>237</v>
      </c>
      <c r="B266" s="12" t="s">
        <v>186</v>
      </c>
      <c r="D266" s="94">
        <f t="shared" si="40"/>
        <v>0.59598634328891253</v>
      </c>
    </row>
    <row r="267" spans="1:19" ht="19.05" customHeight="1" x14ac:dyDescent="0.3">
      <c r="A267" s="12" t="s">
        <v>238</v>
      </c>
      <c r="B267" s="12" t="s">
        <v>187</v>
      </c>
      <c r="D267" s="94">
        <f t="shared" si="40"/>
        <v>-0.19264494333402887</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42000</v>
      </c>
      <c r="C274" s="92">
        <f>-J6</f>
        <v>-1</v>
      </c>
      <c r="D274" s="92">
        <f>-K6</f>
        <v>0</v>
      </c>
      <c r="E274" s="92">
        <f>J6</f>
        <v>1</v>
      </c>
      <c r="F274" s="92">
        <f>K6</f>
        <v>0</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5125</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0.12202380952380952</v>
      </c>
      <c r="H276" s="12" t="str">
        <f>"D" &amp; E16 &amp; "X"</f>
        <v>D2X</v>
      </c>
      <c r="N276" s="215" t="s">
        <v>400</v>
      </c>
      <c r="O276" s="172"/>
      <c r="P276" s="172"/>
      <c r="Q276" s="172"/>
      <c r="R276" s="172"/>
      <c r="S276" s="173"/>
    </row>
    <row r="277" spans="1:19" ht="16.95" customHeight="1" x14ac:dyDescent="0.3">
      <c r="G277" s="96">
        <f>IFERROR(VLOOKUP(H277, A$258:D$267, 4, FALSE), 0)</f>
        <v>0</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58988.738186849805</v>
      </c>
      <c r="C282" s="92">
        <f>-J7</f>
        <v>-0.3511234415883917</v>
      </c>
      <c r="D282" s="92">
        <f>-K7</f>
        <v>-0.93632917756904455</v>
      </c>
      <c r="E282" s="92">
        <f>J7</f>
        <v>0.3511234415883917</v>
      </c>
      <c r="F282" s="92">
        <f>K7</f>
        <v>0.93632917756904455</v>
      </c>
      <c r="G282" s="96">
        <f>IFERROR(VLOOKUP(H282, A$258:D$267, 4, FALSE), 0)</f>
        <v>0</v>
      </c>
      <c r="H282" s="12" t="str">
        <f>"D" &amp; C17 &amp; "X"</f>
        <v>D1X</v>
      </c>
      <c r="N282" s="215"/>
      <c r="O282" s="172"/>
      <c r="P282" s="172"/>
      <c r="Q282" s="172"/>
      <c r="R282" s="172"/>
      <c r="S282" s="173"/>
    </row>
    <row r="283" spans="1:19" ht="16.95" customHeight="1" x14ac:dyDescent="0.3">
      <c r="A283" s="99" t="s">
        <v>286</v>
      </c>
      <c r="B283" s="97">
        <f>(MMULT(C282:F282, G282:G285)*A282)</f>
        <v>-356.00015605489699</v>
      </c>
      <c r="G283" s="96">
        <f>IFERROR(VLOOKUP(H283, A$258:D$267, 4, FALSE), 0)</f>
        <v>0</v>
      </c>
      <c r="H283" s="12" t="str">
        <f>"D" &amp; D17 &amp; "Y"</f>
        <v>D1Y</v>
      </c>
      <c r="N283" s="215"/>
      <c r="O283" s="172"/>
      <c r="P283" s="172"/>
      <c r="Q283" s="172"/>
      <c r="R283" s="172"/>
      <c r="S283" s="173"/>
    </row>
    <row r="284" spans="1:19" ht="16.95" customHeight="1" x14ac:dyDescent="0.3">
      <c r="G284" s="96">
        <f>IFERROR(VLOOKUP(H284, A$258:D$267, 4, FALSE), 0)</f>
        <v>0.40183693589954728</v>
      </c>
      <c r="H284" s="12" t="str">
        <f>"D" &amp; E17 &amp; "X"</f>
        <v>D4X</v>
      </c>
      <c r="N284" s="215"/>
      <c r="O284" s="172"/>
      <c r="P284" s="172"/>
      <c r="Q284" s="172"/>
      <c r="R284" s="172"/>
      <c r="S284" s="173"/>
    </row>
    <row r="285" spans="1:19" ht="16.95" customHeight="1" x14ac:dyDescent="0.3">
      <c r="G285" s="96">
        <f>IFERROR(VLOOKUP(H285, A$258:D$267, 4, FALSE), 0)</f>
        <v>-0.15713429029566542</v>
      </c>
      <c r="H285" s="12" t="str">
        <f>"D" &amp; F17 &amp; "Y"</f>
        <v>D4Y</v>
      </c>
      <c r="N285" s="215"/>
      <c r="O285" s="172"/>
      <c r="P285" s="172"/>
      <c r="Q285" s="172"/>
      <c r="R285" s="172"/>
      <c r="S285" s="173"/>
    </row>
    <row r="286" spans="1:19" ht="16.95" customHeight="1" x14ac:dyDescent="0.3">
      <c r="B286" s="99" t="s">
        <v>273</v>
      </c>
      <c r="C286" s="178" t="str">
        <f>IF(B283&gt;0.001,"BARRA A TRACCIÓN (+)",IF(B283&lt;-0.001,"BARRA A COMPRESIÓN (-)","BARRA DE FUERZA NULA"))</f>
        <v>BARRA A COMPRESIÓN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58988.738186849805</v>
      </c>
      <c r="C290" s="92">
        <f>-J8</f>
        <v>0.3511234415883917</v>
      </c>
      <c r="D290" s="92">
        <f>-K8</f>
        <v>-0.93632917756904455</v>
      </c>
      <c r="E290" s="92">
        <f>J8</f>
        <v>-0.3511234415883917</v>
      </c>
      <c r="F290" s="92">
        <f>K8</f>
        <v>0.93632917756904455</v>
      </c>
      <c r="G290" s="96">
        <f>IFERROR(VLOOKUP(H290, A$258:D$267, 4, FALSE), 0)</f>
        <v>0.12202380952380952</v>
      </c>
      <c r="H290" s="12" t="str">
        <f>"D" &amp; C18 &amp; "X"</f>
        <v>D2X</v>
      </c>
      <c r="N290" s="215"/>
      <c r="O290" s="172"/>
      <c r="P290" s="172"/>
      <c r="Q290" s="172"/>
      <c r="R290" s="172"/>
      <c r="S290" s="173"/>
    </row>
    <row r="291" spans="1:19" ht="16.95" customHeight="1" x14ac:dyDescent="0.3">
      <c r="A291" s="99" t="s">
        <v>287</v>
      </c>
      <c r="B291" s="97">
        <f>(MMULT(C290:F290, G290:G293)*A290)</f>
        <v>-14596.006398250782</v>
      </c>
      <c r="G291" s="96">
        <f>IFERROR(VLOOKUP(H291, A$258:D$267, 4, FALSE), 0)</f>
        <v>0</v>
      </c>
      <c r="H291" s="12" t="str">
        <f>"D" &amp; D18 &amp; "Y"</f>
        <v>D2Y</v>
      </c>
      <c r="N291" s="215"/>
      <c r="O291" s="172"/>
      <c r="P291" s="172"/>
      <c r="Q291" s="172"/>
      <c r="R291" s="172"/>
      <c r="S291" s="173"/>
    </row>
    <row r="292" spans="1:19" ht="16.95" customHeight="1" x14ac:dyDescent="0.3">
      <c r="G292" s="96">
        <f>IFERROR(VLOOKUP(H292, A$258:D$267, 4, FALSE), 0)</f>
        <v>0.35102911277029564</v>
      </c>
      <c r="H292" s="12" t="str">
        <f>"D" &amp; E18 &amp; "X"</f>
        <v>D3X</v>
      </c>
      <c r="N292" s="215"/>
      <c r="O292" s="172"/>
      <c r="P292" s="172"/>
      <c r="Q292" s="172"/>
      <c r="R292" s="172"/>
      <c r="S292" s="173"/>
    </row>
    <row r="293" spans="1:19" ht="16.95" customHeight="1" x14ac:dyDescent="0.3">
      <c r="G293" s="96">
        <f>IFERROR(VLOOKUP(H293, A$258:D$267, 4, FALSE), 0)</f>
        <v>-0.17838602394931052</v>
      </c>
      <c r="H293" s="12" t="str">
        <f>"D" &amp; F18 &amp; "Y"</f>
        <v>D3Y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84000</v>
      </c>
      <c r="C298" s="92">
        <f>-J9</f>
        <v>-1</v>
      </c>
      <c r="D298" s="92">
        <f>-K9</f>
        <v>0</v>
      </c>
      <c r="E298" s="92">
        <f>J9</f>
        <v>1</v>
      </c>
      <c r="F298" s="92">
        <f>K9</f>
        <v>0</v>
      </c>
      <c r="G298" s="96">
        <f>IFERROR(VLOOKUP(H298, A$258:D$267, 4, FALSE), 0)</f>
        <v>0.40183693589954728</v>
      </c>
      <c r="H298" s="12" t="str">
        <f>"D" &amp; C19 &amp; "X"</f>
        <v>D4X</v>
      </c>
    </row>
    <row r="299" spans="1:19" ht="19.95" customHeight="1" x14ac:dyDescent="0.3">
      <c r="A299" s="99" t="s">
        <v>288</v>
      </c>
      <c r="B299" s="97">
        <f>(MMULT(C298:F298, G298:G301)*A298)</f>
        <v>-4267.8571428571377</v>
      </c>
      <c r="G299" s="96">
        <f>IFERROR(VLOOKUP(H299, A$258:D$267, 4, FALSE), 0)</f>
        <v>-0.15713429029566542</v>
      </c>
      <c r="H299" s="12" t="str">
        <f>"D" &amp; D19 &amp; "Y"</f>
        <v>D4Y</v>
      </c>
    </row>
    <row r="300" spans="1:19" ht="19.95" customHeight="1" x14ac:dyDescent="0.3">
      <c r="G300" s="96">
        <f>IFERROR(VLOOKUP(H300, A$258:D$267, 4, FALSE), 0)</f>
        <v>0.35102911277029564</v>
      </c>
      <c r="H300" s="12" t="str">
        <f>"D" &amp; E19 &amp; "X"</f>
        <v>D3X</v>
      </c>
    </row>
    <row r="301" spans="1:19" ht="19.95" customHeight="1" x14ac:dyDescent="0.3">
      <c r="G301" s="96">
        <f>IFERROR(VLOOKUP(H301, A$258:D$267, 4, FALSE), 0)</f>
        <v>-0.17838602394931052</v>
      </c>
      <c r="H301" s="12" t="str">
        <f>"D" &amp; F19 &amp; "Y"</f>
        <v>D3Y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41854.921846284939</v>
      </c>
      <c r="C306" s="92">
        <f>-J10</f>
        <v>-0.74740931868365967</v>
      </c>
      <c r="D306" s="92">
        <f>-K10</f>
        <v>-0.66436383882991967</v>
      </c>
      <c r="E306" s="92">
        <f>J10</f>
        <v>0.74740931868365967</v>
      </c>
      <c r="F306" s="92">
        <f>K10</f>
        <v>0.66436383882991967</v>
      </c>
      <c r="G306" s="96">
        <f>IFERROR(VLOOKUP(H306, A$258:D$267, 4, FALSE), 0)</f>
        <v>0</v>
      </c>
      <c r="H306" s="12" t="str">
        <f>"D" &amp; C20 &amp; "X"</f>
        <v>D1X</v>
      </c>
    </row>
    <row r="307" spans="1:8" ht="19.95" customHeight="1" x14ac:dyDescent="0.3">
      <c r="A307" s="99" t="s">
        <v>289</v>
      </c>
      <c r="B307" s="97">
        <f>(MMULT(C306:F306, G306:G309)*A306)</f>
        <v>6020.7972893961432</v>
      </c>
      <c r="G307" s="96">
        <f>IFERROR(VLOOKUP(H307, A$258:D$267, 4, FALSE), 0)</f>
        <v>0</v>
      </c>
      <c r="H307" s="12" t="str">
        <f>"D" &amp; D20 &amp; "Y"</f>
        <v>D1Y</v>
      </c>
    </row>
    <row r="308" spans="1:8" ht="19.95" customHeight="1" x14ac:dyDescent="0.3">
      <c r="G308" s="96">
        <f>IFERROR(VLOOKUP(H308, A$258:D$267, 4, FALSE), 0)</f>
        <v>0.35102911277029564</v>
      </c>
      <c r="H308" s="12" t="str">
        <f>"D" &amp; E20 &amp; "X"</f>
        <v>D3X</v>
      </c>
    </row>
    <row r="309" spans="1:8" ht="19.95" customHeight="1" x14ac:dyDescent="0.3">
      <c r="G309" s="96">
        <f>IFERROR(VLOOKUP(H309, A$258:D$267, 4, FALSE), 0)</f>
        <v>-0.17838602394931052</v>
      </c>
      <c r="H309" s="12" t="str">
        <f>"D" &amp; F20 &amp; "Y"</f>
        <v>D3Y</v>
      </c>
    </row>
    <row r="310" spans="1:8" ht="19.95" customHeight="1" x14ac:dyDescent="0.3">
      <c r="B310" s="99" t="s">
        <v>273</v>
      </c>
      <c r="C310" s="178" t="str">
        <f>IF(B307&gt;0.001,"BARRA A TRACCIÓN (+)",IF(B307&lt;-0.001,"BARRA A COMPRESIÓN (-)","BARRA DE FUERZA NULA"))</f>
        <v>BARRA A TRACCIÓN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66178.442161300176</v>
      </c>
      <c r="C314" s="92">
        <f>-J11</f>
        <v>-0.39391929857916769</v>
      </c>
      <c r="D314" s="92">
        <f>-K11</f>
        <v>-0.91914503001805792</v>
      </c>
      <c r="E314" s="92">
        <f>J11</f>
        <v>0.39391929857916769</v>
      </c>
      <c r="F314" s="92">
        <f>K11</f>
        <v>0.91914503001805792</v>
      </c>
      <c r="G314" s="96">
        <f>IFERROR(VLOOKUP(H314, A$258:D$267, 4, FALSE), 0)</f>
        <v>0.40183693589954728</v>
      </c>
      <c r="H314" s="12" t="str">
        <f>"D" &amp; C21 &amp; "X"</f>
        <v>D4X</v>
      </c>
    </row>
    <row r="315" spans="1:8" ht="19.95" customHeight="1" x14ac:dyDescent="0.3">
      <c r="A315" s="99" t="s">
        <v>290</v>
      </c>
      <c r="B315" s="97">
        <f>(MMULT(C314:F314, G314:G317)*A314)</f>
        <v>2901.2468974719659</v>
      </c>
      <c r="G315" s="96">
        <f>IFERROR(VLOOKUP(H315, A$258:D$267, 4, FALSE), 0)</f>
        <v>-0.15713429029566542</v>
      </c>
      <c r="H315" s="12" t="str">
        <f>"D" &amp; D21 &amp; "Y"</f>
        <v>D4Y</v>
      </c>
    </row>
    <row r="316" spans="1:8" ht="19.95" customHeight="1" x14ac:dyDescent="0.3">
      <c r="G316" s="96">
        <f>IFERROR(VLOOKUP(H316, A$258:D$267, 4, FALSE), 0)</f>
        <v>0.59598634328891253</v>
      </c>
      <c r="H316" s="12" t="str">
        <f>"D" &amp; E21 &amp; "X"</f>
        <v>D5X</v>
      </c>
    </row>
    <row r="317" spans="1:8" ht="19.95" customHeight="1" x14ac:dyDescent="0.3">
      <c r="G317" s="96">
        <f>IFERROR(VLOOKUP(H317, A$258:D$267, 4, FALSE), 0)</f>
        <v>-0.19264494333402887</v>
      </c>
      <c r="H317" s="12" t="str">
        <f>"D" &amp; F21 &amp; "Y"</f>
        <v>D5Y</v>
      </c>
    </row>
    <row r="318" spans="1:8" ht="19.95" customHeight="1" x14ac:dyDescent="0.3">
      <c r="B318" s="99" t="s">
        <v>273</v>
      </c>
      <c r="C318" s="178" t="str">
        <f>IF(B315&gt;0.001,"BARRA A TRACCIÓN (+)",IF(B315&lt;-0.001,"BARRA A COMPRESIÓN (-)","BARRA DE FUERZA NULA"))</f>
        <v>BARRA A TRACCIÓN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66178.442161300176</v>
      </c>
      <c r="C322" s="92">
        <f>-J12</f>
        <v>0.39391929857916769</v>
      </c>
      <c r="D322" s="92">
        <f>-K12</f>
        <v>-0.91914503001805792</v>
      </c>
      <c r="E322" s="92">
        <f>J12</f>
        <v>-0.39391929857916769</v>
      </c>
      <c r="F322" s="92">
        <f>K12</f>
        <v>0.91914503001805792</v>
      </c>
      <c r="G322" s="96">
        <f>IFERROR(VLOOKUP(H322, A$258:D$267, 4, FALSE), 0)</f>
        <v>0.35102911277029564</v>
      </c>
      <c r="H322" s="12" t="str">
        <f>"D" &amp; C22 &amp; "X"</f>
        <v>D3X</v>
      </c>
    </row>
    <row r="323" spans="1:8" ht="19.95" customHeight="1" x14ac:dyDescent="0.3">
      <c r="A323" s="99" t="s">
        <v>291</v>
      </c>
      <c r="B323" s="97">
        <f>(MMULT(C322:F322, G322:G325)*A322)</f>
        <v>-7253.1172436799143</v>
      </c>
      <c r="G323" s="96">
        <f>IFERROR(VLOOKUP(H323, A$258:D$267, 4, FALSE), 0)</f>
        <v>-0.17838602394931052</v>
      </c>
      <c r="H323" s="12" t="str">
        <f>"D" &amp; D22 &amp; "Y"</f>
        <v>D3Y</v>
      </c>
    </row>
    <row r="324" spans="1:8" ht="19.95" customHeight="1" x14ac:dyDescent="0.3">
      <c r="G324" s="96">
        <f>IFERROR(VLOOKUP(H324, A$258:D$267, 4, FALSE), 0)</f>
        <v>0.59598634328891253</v>
      </c>
      <c r="H324" s="12" t="str">
        <f>"D" &amp; E22 &amp; "X"</f>
        <v>D5X</v>
      </c>
    </row>
    <row r="325" spans="1:8" ht="19.95" customHeight="1" x14ac:dyDescent="0.3">
      <c r="G325" s="96">
        <f>IFERROR(VLOOKUP(H325, A$258:D$267, 4, FALSE), 0)</f>
        <v>-0.19264494333402887</v>
      </c>
      <c r="H325" s="12" t="str">
        <f>"D" &amp; F22 &amp; "Y"</f>
        <v>D5Y</v>
      </c>
    </row>
    <row r="326" spans="1:8" ht="19.95" customHeight="1" x14ac:dyDescent="0.3">
      <c r="B326" s="99" t="s">
        <v>273</v>
      </c>
      <c r="C326" s="178" t="str">
        <f>IF(B323&gt;0.001,"BARRA A TRACCIÓN (+)",IF(B323&lt;-0.001,"BARRA A COMPRESIÓN (-)","BARRA DE FUERZA NULA"))</f>
        <v>BARRA A COMPRESIÓN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600</v>
      </c>
      <c r="F331" s="9">
        <f t="shared" ref="F331:F337" si="44">L6</f>
        <v>12</v>
      </c>
      <c r="G331" s="97">
        <f>B275</f>
        <v>5125</v>
      </c>
      <c r="H331" s="84" t="str">
        <f>C278</f>
        <v>BARRA A TRACCIÓN (+)</v>
      </c>
    </row>
    <row r="332" spans="1:8" ht="19.95" customHeight="1" x14ac:dyDescent="0.3">
      <c r="B332" s="25">
        <v>2</v>
      </c>
      <c r="C332" s="86">
        <f t="shared" si="41"/>
        <v>1</v>
      </c>
      <c r="D332" s="86">
        <f t="shared" si="42"/>
        <v>4</v>
      </c>
      <c r="E332" s="9">
        <f t="shared" si="43"/>
        <v>427.20018726587654</v>
      </c>
      <c r="F332" s="9">
        <f t="shared" si="44"/>
        <v>12</v>
      </c>
      <c r="G332" s="97">
        <f>B283</f>
        <v>-356.00015605489699</v>
      </c>
      <c r="H332" s="84" t="str">
        <f>C286</f>
        <v>BARRA A COMPRESIÓN (-)</v>
      </c>
    </row>
    <row r="333" spans="1:8" ht="19.95" customHeight="1" x14ac:dyDescent="0.3">
      <c r="B333" s="26">
        <v>3</v>
      </c>
      <c r="C333" s="86">
        <f t="shared" si="41"/>
        <v>2</v>
      </c>
      <c r="D333" s="86">
        <f t="shared" si="42"/>
        <v>3</v>
      </c>
      <c r="E333" s="9">
        <f t="shared" si="43"/>
        <v>427.20018726587654</v>
      </c>
      <c r="F333" s="9">
        <f t="shared" si="44"/>
        <v>12</v>
      </c>
      <c r="G333" s="97">
        <f>B291</f>
        <v>-14596.006398250782</v>
      </c>
      <c r="H333" s="84" t="str">
        <f>C294</f>
        <v>BARRA A COMPRESIÓN (-)</v>
      </c>
    </row>
    <row r="334" spans="1:8" ht="19.95" customHeight="1" x14ac:dyDescent="0.3">
      <c r="B334" s="43">
        <v>4</v>
      </c>
      <c r="C334" s="86">
        <f t="shared" si="41"/>
        <v>4</v>
      </c>
      <c r="D334" s="86">
        <f t="shared" si="42"/>
        <v>3</v>
      </c>
      <c r="E334" s="9">
        <f t="shared" si="43"/>
        <v>300</v>
      </c>
      <c r="F334" s="9">
        <f t="shared" si="44"/>
        <v>12</v>
      </c>
      <c r="G334" s="97">
        <f>B299</f>
        <v>-4267.8571428571377</v>
      </c>
      <c r="H334" s="84" t="str">
        <f>C302</f>
        <v>BARRA A COMPRESIÓN (-)</v>
      </c>
    </row>
    <row r="335" spans="1:8" ht="19.95" customHeight="1" x14ac:dyDescent="0.3">
      <c r="B335" s="44">
        <v>5</v>
      </c>
      <c r="C335" s="86">
        <f t="shared" si="41"/>
        <v>1</v>
      </c>
      <c r="D335" s="86">
        <f t="shared" si="42"/>
        <v>3</v>
      </c>
      <c r="E335" s="9">
        <f t="shared" si="43"/>
        <v>602.07972893961482</v>
      </c>
      <c r="F335" s="9">
        <f t="shared" si="44"/>
        <v>12</v>
      </c>
      <c r="G335" s="97">
        <f>B307</f>
        <v>6020.7972893961432</v>
      </c>
      <c r="H335" s="84" t="str">
        <f>C310</f>
        <v>BARRA A TRACCIÓN (+)</v>
      </c>
    </row>
    <row r="336" spans="1:8" ht="19.95" customHeight="1" x14ac:dyDescent="0.3">
      <c r="B336" s="51">
        <v>6</v>
      </c>
      <c r="C336" s="86">
        <f t="shared" si="41"/>
        <v>4</v>
      </c>
      <c r="D336" s="86">
        <f t="shared" si="42"/>
        <v>5</v>
      </c>
      <c r="E336" s="9">
        <f t="shared" si="43"/>
        <v>380.7886552931954</v>
      </c>
      <c r="F336" s="9">
        <f t="shared" si="44"/>
        <v>12</v>
      </c>
      <c r="G336" s="97">
        <f>B315</f>
        <v>2901.2468974719659</v>
      </c>
      <c r="H336" s="84" t="str">
        <f>C318</f>
        <v>BARRA A TRACCIÓN (+)</v>
      </c>
    </row>
    <row r="337" spans="2:8" ht="19.95" customHeight="1" x14ac:dyDescent="0.3">
      <c r="B337" s="52">
        <v>7</v>
      </c>
      <c r="C337" s="86">
        <f t="shared" si="41"/>
        <v>3</v>
      </c>
      <c r="D337" s="86">
        <f t="shared" si="42"/>
        <v>5</v>
      </c>
      <c r="E337" s="9">
        <f t="shared" si="43"/>
        <v>380.7886552931954</v>
      </c>
      <c r="F337" s="9">
        <f t="shared" si="44"/>
        <v>12</v>
      </c>
      <c r="G337" s="97">
        <f>B323</f>
        <v>-7253.1172436799143</v>
      </c>
      <c r="H337" s="84" t="str">
        <f>C326</f>
        <v>BARRA A COMPRESIÓN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504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-150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-150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250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250</v>
      </c>
      <c r="AB14" s="20">
        <f>IF(F31="","",F31)</f>
        <v>200</v>
      </c>
      <c r="AC14" t="s">
        <v>328</v>
      </c>
    </row>
    <row r="15" spans="2:29" ht="19.05" customHeight="1" x14ac:dyDescent="0.3">
      <c r="B15" s="89">
        <v>2</v>
      </c>
      <c r="C15" s="21">
        <v>500</v>
      </c>
      <c r="D15" s="21">
        <v>-150</v>
      </c>
      <c r="E15" s="21" t="s">
        <v>326</v>
      </c>
      <c r="F15" s="88">
        <f t="shared" si="0"/>
        <v>0</v>
      </c>
      <c r="G15" s="88">
        <f t="shared" si="1"/>
        <v>0</v>
      </c>
      <c r="H15" s="22">
        <v>0</v>
      </c>
      <c r="I15" s="22">
        <v>-5000</v>
      </c>
      <c r="J15" s="205" t="s">
        <v>505</v>
      </c>
      <c r="K15" s="172"/>
      <c r="L15" s="172"/>
      <c r="M15" s="172"/>
      <c r="N15" s="172"/>
      <c r="O15" s="173"/>
      <c r="AA15" s="20">
        <f>IF(G31="","",G31)</f>
        <v>500</v>
      </c>
      <c r="AB15" s="20">
        <f>IF(H31="","",H31)</f>
        <v>400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250</v>
      </c>
      <c r="D17" s="21">
        <v>200</v>
      </c>
      <c r="E17" s="21" t="s">
        <v>326</v>
      </c>
      <c r="F17" s="88">
        <f t="shared" si="0"/>
        <v>0</v>
      </c>
      <c r="G17" s="88">
        <f t="shared" si="1"/>
        <v>0</v>
      </c>
      <c r="H17" s="22">
        <v>2000</v>
      </c>
      <c r="I17" s="22">
        <v>-4500</v>
      </c>
      <c r="J17" s="205" t="s">
        <v>506</v>
      </c>
      <c r="K17" s="172"/>
      <c r="L17" s="172"/>
      <c r="M17" s="172"/>
      <c r="N17" s="172"/>
      <c r="O17" s="173"/>
      <c r="AA17" s="20">
        <f>IF(E32="","",E32)</f>
        <v>500</v>
      </c>
      <c r="AB17" s="20">
        <f>IF(F32="","",F32)</f>
        <v>400</v>
      </c>
      <c r="AC17" t="s">
        <v>334</v>
      </c>
    </row>
    <row r="18" spans="2:29" ht="19.05" customHeight="1" x14ac:dyDescent="0.3">
      <c r="B18" s="89">
        <v>5</v>
      </c>
      <c r="C18" s="21">
        <v>500</v>
      </c>
      <c r="D18" s="21">
        <v>400</v>
      </c>
      <c r="E18" s="21" t="s">
        <v>326</v>
      </c>
      <c r="F18" s="88">
        <f t="shared" si="0"/>
        <v>0</v>
      </c>
      <c r="G18" s="88">
        <f t="shared" si="1"/>
        <v>0</v>
      </c>
      <c r="H18" s="22">
        <v>0</v>
      </c>
      <c r="I18" s="22">
        <v>-7500</v>
      </c>
      <c r="J18" s="205" t="s">
        <v>507</v>
      </c>
      <c r="K18" s="172"/>
      <c r="L18" s="172"/>
      <c r="M18" s="172"/>
      <c r="N18" s="172"/>
      <c r="O18" s="173"/>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500</v>
      </c>
      <c r="AB20" s="20">
        <f>IF(F33="","",F33)</f>
        <v>-150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250</v>
      </c>
      <c r="AB21" s="20">
        <f>IF(H33="","",H33)</f>
        <v>200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500</v>
      </c>
      <c r="AB23" s="20">
        <f>IF(F34="","",F34)</f>
        <v>-150</v>
      </c>
      <c r="AC23" t="s">
        <v>338</v>
      </c>
    </row>
    <row r="24" spans="2:29" x14ac:dyDescent="0.3">
      <c r="AA24" s="20">
        <f>IF(G34="","",G34)</f>
        <v>500</v>
      </c>
      <c r="AB24" s="20">
        <f>IF(H34="","",H34)</f>
        <v>400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-150</v>
      </c>
      <c r="I28" s="9">
        <f t="shared" ref="I28:I42" si="6">IF(G28="","",G28-E28)</f>
        <v>500</v>
      </c>
      <c r="J28" s="9">
        <f t="shared" ref="J28:J42" si="7">IF(H28="","",H28-F28)</f>
        <v>-150</v>
      </c>
      <c r="K28" s="9">
        <f t="shared" ref="K28:K42" si="8">IF(I28="","",SQRT(I28^2+J28^2))</f>
        <v>522.01532544552754</v>
      </c>
      <c r="L28" s="92">
        <f t="shared" ref="L28:L42" si="9">IF(K28="","",I28/K28)</f>
        <v>0.95782628522115132</v>
      </c>
      <c r="M28" s="92">
        <f t="shared" ref="M28:M42" si="10">IF(K28="","",J28/K28)</f>
        <v>-0.28734788556634538</v>
      </c>
      <c r="N28" s="22">
        <v>12</v>
      </c>
      <c r="O28" s="24">
        <v>2100000</v>
      </c>
    </row>
    <row r="29" spans="2:29" ht="19.05" customHeight="1" x14ac:dyDescent="0.3">
      <c r="B29" s="89">
        <v>2</v>
      </c>
      <c r="C29" s="23">
        <v>2</v>
      </c>
      <c r="D29" s="23">
        <v>3</v>
      </c>
      <c r="E29" s="5">
        <f t="shared" si="2"/>
        <v>500</v>
      </c>
      <c r="F29" s="5">
        <f t="shared" si="3"/>
        <v>-150</v>
      </c>
      <c r="G29" s="5">
        <f t="shared" si="4"/>
        <v>1000</v>
      </c>
      <c r="H29" s="5">
        <f t="shared" si="5"/>
        <v>0</v>
      </c>
      <c r="I29" s="9">
        <f t="shared" si="6"/>
        <v>500</v>
      </c>
      <c r="J29" s="9">
        <f t="shared" si="7"/>
        <v>150</v>
      </c>
      <c r="K29" s="9">
        <f t="shared" si="8"/>
        <v>522.01532544552754</v>
      </c>
      <c r="L29" s="92">
        <f t="shared" si="9"/>
        <v>0.95782628522115132</v>
      </c>
      <c r="M29" s="92">
        <f t="shared" si="10"/>
        <v>0.28734788556634538</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200</v>
      </c>
      <c r="I30" s="9">
        <f t="shared" si="6"/>
        <v>250</v>
      </c>
      <c r="J30" s="9">
        <f t="shared" si="7"/>
        <v>200</v>
      </c>
      <c r="K30" s="9">
        <f t="shared" si="8"/>
        <v>320.15621187164243</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200</v>
      </c>
      <c r="G31" s="5">
        <f t="shared" si="4"/>
        <v>500</v>
      </c>
      <c r="H31" s="5">
        <f t="shared" si="5"/>
        <v>400</v>
      </c>
      <c r="I31" s="9">
        <f t="shared" si="6"/>
        <v>250</v>
      </c>
      <c r="J31" s="9">
        <f t="shared" si="7"/>
        <v>200</v>
      </c>
      <c r="K31" s="9">
        <f t="shared" si="8"/>
        <v>320.15621187164243</v>
      </c>
      <c r="L31" s="92">
        <f t="shared" si="9"/>
        <v>0.78086880944303039</v>
      </c>
      <c r="M31" s="92">
        <f t="shared" si="10"/>
        <v>0.62469504755442429</v>
      </c>
      <c r="N31" s="22">
        <v>12</v>
      </c>
      <c r="O31" s="24">
        <v>2100000</v>
      </c>
    </row>
    <row r="32" spans="2:29" ht="19.05" customHeight="1" x14ac:dyDescent="0.3">
      <c r="B32" s="89">
        <v>5</v>
      </c>
      <c r="C32" s="23">
        <v>5</v>
      </c>
      <c r="D32" s="23">
        <v>3</v>
      </c>
      <c r="E32" s="5">
        <f t="shared" si="2"/>
        <v>500</v>
      </c>
      <c r="F32" s="5">
        <f t="shared" si="3"/>
        <v>400</v>
      </c>
      <c r="G32" s="5">
        <f t="shared" si="4"/>
        <v>1000</v>
      </c>
      <c r="H32" s="5">
        <f t="shared" si="5"/>
        <v>0</v>
      </c>
      <c r="I32" s="9">
        <f t="shared" si="6"/>
        <v>500</v>
      </c>
      <c r="J32" s="9">
        <f t="shared" si="7"/>
        <v>-400</v>
      </c>
      <c r="K32" s="9">
        <f t="shared" si="8"/>
        <v>640.31242374328485</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-150</v>
      </c>
      <c r="G33" s="5">
        <f t="shared" si="4"/>
        <v>250</v>
      </c>
      <c r="H33" s="5">
        <f t="shared" si="5"/>
        <v>200</v>
      </c>
      <c r="I33" s="9">
        <f t="shared" si="6"/>
        <v>-250</v>
      </c>
      <c r="J33" s="9">
        <f t="shared" si="7"/>
        <v>350</v>
      </c>
      <c r="K33" s="9">
        <f t="shared" si="8"/>
        <v>430.11626335213134</v>
      </c>
      <c r="L33" s="92">
        <f t="shared" si="9"/>
        <v>-0.58123819371909635</v>
      </c>
      <c r="M33" s="92">
        <f t="shared" si="10"/>
        <v>0.813733471206735</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-150</v>
      </c>
      <c r="G34" s="5">
        <f t="shared" si="4"/>
        <v>500</v>
      </c>
      <c r="H34" s="5">
        <f t="shared" si="5"/>
        <v>400</v>
      </c>
      <c r="I34" s="9">
        <f t="shared" si="6"/>
        <v>0</v>
      </c>
      <c r="J34" s="9">
        <f t="shared" si="7"/>
        <v>550</v>
      </c>
      <c r="K34" s="9">
        <f t="shared" si="8"/>
        <v>550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D00-000000000000}">
      <formula1>"Fijo (articulado),Rodillo Y (despl. X libre),Rodillo X (despl. Y libre),Libre (0 reac.)"</formula1>
    </dataValidation>
  </dataValidations>
  <pageMargins left="0.75" right="0.75" top="1" bottom="1" header="0.5" footer="0.5"/>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508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GRAFICA_22!E28</f>
        <v>0</v>
      </c>
      <c r="D6" s="22">
        <f>GRAFICA_22!F28</f>
        <v>0</v>
      </c>
      <c r="E6" s="22">
        <f>GRAFICA_22!G28</f>
        <v>500</v>
      </c>
      <c r="F6" s="22">
        <f>GRAFICA_22!H28</f>
        <v>-150</v>
      </c>
      <c r="G6" s="9">
        <f t="shared" ref="G6:H12" si="0">E6-C6</f>
        <v>500</v>
      </c>
      <c r="H6" s="9">
        <f t="shared" si="0"/>
        <v>-150</v>
      </c>
      <c r="I6" s="9">
        <f t="shared" ref="I6:I12" si="1">SQRT(G6*G6+H6*H6)</f>
        <v>522.01532544552754</v>
      </c>
      <c r="J6" s="92">
        <f t="shared" ref="J6:J12" si="2">G6/I6</f>
        <v>0.95782628522115132</v>
      </c>
      <c r="K6" s="92">
        <f t="shared" ref="K6:K12" si="3">H6/I6</f>
        <v>-0.28734788556634538</v>
      </c>
      <c r="L6" s="22">
        <f>GRAFICA_22!N28</f>
        <v>12</v>
      </c>
      <c r="M6" s="22">
        <f>GRAFICA_22!O28</f>
        <v>2100000</v>
      </c>
      <c r="N6" s="6">
        <f t="shared" ref="N6:N12" si="4">L6*M6/I6</f>
        <v>48274.444775146025</v>
      </c>
    </row>
    <row r="7" spans="2:14" ht="19.05" customHeight="1" x14ac:dyDescent="0.3">
      <c r="B7" s="25">
        <v>2</v>
      </c>
      <c r="C7" s="22">
        <f>GRAFICA_22!E29</f>
        <v>500</v>
      </c>
      <c r="D7" s="22">
        <f>GRAFICA_22!F29</f>
        <v>-150</v>
      </c>
      <c r="E7" s="22">
        <f>GRAFICA_22!G29</f>
        <v>1000</v>
      </c>
      <c r="F7" s="22">
        <f>GRAFICA_22!H29</f>
        <v>0</v>
      </c>
      <c r="G7" s="9">
        <f t="shared" si="0"/>
        <v>500</v>
      </c>
      <c r="H7" s="9">
        <f t="shared" si="0"/>
        <v>150</v>
      </c>
      <c r="I7" s="9">
        <f t="shared" si="1"/>
        <v>522.01532544552754</v>
      </c>
      <c r="J7" s="92">
        <f t="shared" si="2"/>
        <v>0.95782628522115132</v>
      </c>
      <c r="K7" s="92">
        <f t="shared" si="3"/>
        <v>0.28734788556634538</v>
      </c>
      <c r="L7" s="22">
        <f>GRAFICA_22!N29</f>
        <v>12</v>
      </c>
      <c r="M7" s="22">
        <f>GRAFICA_22!O29</f>
        <v>2100000</v>
      </c>
      <c r="N7" s="6">
        <f t="shared" si="4"/>
        <v>48274.444775146025</v>
      </c>
    </row>
    <row r="8" spans="2:14" ht="19.05" customHeight="1" x14ac:dyDescent="0.3">
      <c r="B8" s="26">
        <v>3</v>
      </c>
      <c r="C8" s="22">
        <f>GRAFICA_22!E30</f>
        <v>0</v>
      </c>
      <c r="D8" s="22">
        <f>GRAFICA_22!F30</f>
        <v>0</v>
      </c>
      <c r="E8" s="22">
        <f>GRAFICA_22!G30</f>
        <v>250</v>
      </c>
      <c r="F8" s="22">
        <f>GRAFICA_22!H30</f>
        <v>200</v>
      </c>
      <c r="G8" s="9">
        <f t="shared" si="0"/>
        <v>250</v>
      </c>
      <c r="H8" s="9">
        <f t="shared" si="0"/>
        <v>200</v>
      </c>
      <c r="I8" s="9">
        <f t="shared" si="1"/>
        <v>320.15621187164243</v>
      </c>
      <c r="J8" s="92">
        <f t="shared" si="2"/>
        <v>0.78086880944303039</v>
      </c>
      <c r="K8" s="92">
        <f t="shared" si="3"/>
        <v>0.62469504755442429</v>
      </c>
      <c r="L8" s="22">
        <f>GRAFICA_22!N30</f>
        <v>12</v>
      </c>
      <c r="M8" s="22">
        <f>GRAFICA_22!O30</f>
        <v>2100000</v>
      </c>
      <c r="N8" s="6">
        <f t="shared" si="4"/>
        <v>78711.575991857462</v>
      </c>
    </row>
    <row r="9" spans="2:14" ht="19.05" customHeight="1" x14ac:dyDescent="0.3">
      <c r="B9" s="43">
        <v>4</v>
      </c>
      <c r="C9" s="22">
        <f>GRAFICA_22!E31</f>
        <v>250</v>
      </c>
      <c r="D9" s="22">
        <f>GRAFICA_22!F31</f>
        <v>200</v>
      </c>
      <c r="E9" s="22">
        <f>GRAFICA_22!G31</f>
        <v>500</v>
      </c>
      <c r="F9" s="22">
        <f>GRAFICA_22!H31</f>
        <v>400</v>
      </c>
      <c r="G9" s="9">
        <f t="shared" si="0"/>
        <v>250</v>
      </c>
      <c r="H9" s="9">
        <f t="shared" si="0"/>
        <v>200</v>
      </c>
      <c r="I9" s="9">
        <f t="shared" si="1"/>
        <v>320.15621187164243</v>
      </c>
      <c r="J9" s="92">
        <f t="shared" si="2"/>
        <v>0.78086880944303039</v>
      </c>
      <c r="K9" s="92">
        <f t="shared" si="3"/>
        <v>0.62469504755442429</v>
      </c>
      <c r="L9" s="22">
        <f>GRAFICA_22!N31</f>
        <v>12</v>
      </c>
      <c r="M9" s="22">
        <f>GRAFICA_22!O31</f>
        <v>2100000</v>
      </c>
      <c r="N9" s="6">
        <f t="shared" si="4"/>
        <v>78711.575991857462</v>
      </c>
    </row>
    <row r="10" spans="2:14" ht="19.05" customHeight="1" x14ac:dyDescent="0.3">
      <c r="B10" s="44">
        <v>5</v>
      </c>
      <c r="C10" s="22">
        <f>GRAFICA_22!E32</f>
        <v>500</v>
      </c>
      <c r="D10" s="22">
        <f>GRAFICA_22!F32</f>
        <v>400</v>
      </c>
      <c r="E10" s="22">
        <f>GRAFICA_22!G32</f>
        <v>1000</v>
      </c>
      <c r="F10" s="22">
        <f>GRAFICA_22!H32</f>
        <v>0</v>
      </c>
      <c r="G10" s="9">
        <f t="shared" si="0"/>
        <v>500</v>
      </c>
      <c r="H10" s="9">
        <f t="shared" si="0"/>
        <v>-400</v>
      </c>
      <c r="I10" s="9">
        <f t="shared" si="1"/>
        <v>640.31242374328485</v>
      </c>
      <c r="J10" s="92">
        <f t="shared" si="2"/>
        <v>0.78086880944303039</v>
      </c>
      <c r="K10" s="92">
        <f t="shared" si="3"/>
        <v>-0.62469504755442429</v>
      </c>
      <c r="L10" s="22">
        <f>GRAFICA_22!N32</f>
        <v>12</v>
      </c>
      <c r="M10" s="22">
        <f>GRAFICA_22!O32</f>
        <v>2100000</v>
      </c>
      <c r="N10" s="6">
        <f t="shared" si="4"/>
        <v>39355.787995928731</v>
      </c>
    </row>
    <row r="11" spans="2:14" ht="19.05" customHeight="1" x14ac:dyDescent="0.3">
      <c r="B11" s="51">
        <v>6</v>
      </c>
      <c r="C11" s="22">
        <f>GRAFICA_22!E33</f>
        <v>500</v>
      </c>
      <c r="D11" s="22">
        <f>GRAFICA_22!F33</f>
        <v>-150</v>
      </c>
      <c r="E11" s="22">
        <f>GRAFICA_22!G33</f>
        <v>250</v>
      </c>
      <c r="F11" s="22">
        <f>GRAFICA_22!H33</f>
        <v>200</v>
      </c>
      <c r="G11" s="9">
        <f t="shared" si="0"/>
        <v>-250</v>
      </c>
      <c r="H11" s="9">
        <f t="shared" si="0"/>
        <v>350</v>
      </c>
      <c r="I11" s="9">
        <f t="shared" si="1"/>
        <v>430.11626335213134</v>
      </c>
      <c r="J11" s="92">
        <f t="shared" si="2"/>
        <v>-0.58123819371909635</v>
      </c>
      <c r="K11" s="92">
        <f t="shared" si="3"/>
        <v>0.813733471206735</v>
      </c>
      <c r="L11" s="22">
        <f>GRAFICA_22!N33</f>
        <v>12</v>
      </c>
      <c r="M11" s="22">
        <f>GRAFICA_22!O33</f>
        <v>2100000</v>
      </c>
      <c r="N11" s="6">
        <f t="shared" si="4"/>
        <v>58588.809926884918</v>
      </c>
    </row>
    <row r="12" spans="2:14" ht="19.05" customHeight="1" x14ac:dyDescent="0.3">
      <c r="B12" s="52">
        <v>7</v>
      </c>
      <c r="C12" s="22">
        <f>GRAFICA_22!E34</f>
        <v>500</v>
      </c>
      <c r="D12" s="22">
        <f>GRAFICA_22!F34</f>
        <v>-150</v>
      </c>
      <c r="E12" s="22">
        <f>GRAFICA_22!G34</f>
        <v>500</v>
      </c>
      <c r="F12" s="22">
        <f>GRAFICA_22!H34</f>
        <v>400</v>
      </c>
      <c r="G12" s="9">
        <f t="shared" si="0"/>
        <v>0</v>
      </c>
      <c r="H12" s="9">
        <f t="shared" si="0"/>
        <v>550</v>
      </c>
      <c r="I12" s="9">
        <f t="shared" si="1"/>
        <v>550</v>
      </c>
      <c r="J12" s="92">
        <f t="shared" si="2"/>
        <v>0</v>
      </c>
      <c r="K12" s="92">
        <f t="shared" si="3"/>
        <v>1</v>
      </c>
      <c r="L12" s="22">
        <f>GRAFICA_22!N34</f>
        <v>12</v>
      </c>
      <c r="M12" s="22">
        <f>GRAFICA_22!O34</f>
        <v>2100000</v>
      </c>
      <c r="N12" s="6">
        <f t="shared" si="4"/>
        <v>45818.181818181816</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GRAFICA_22!C28</f>
        <v>1</v>
      </c>
      <c r="D16" s="23">
        <f>GRAFICA_22!C28</f>
        <v>1</v>
      </c>
      <c r="E16" s="23">
        <f>GRAFICA_22!D28</f>
        <v>2</v>
      </c>
      <c r="F16" s="23">
        <f>GRAFICA_22!D28</f>
        <v>2</v>
      </c>
    </row>
    <row r="17" spans="1:12" ht="19.05" customHeight="1" x14ac:dyDescent="0.3">
      <c r="B17" s="25">
        <v>2</v>
      </c>
      <c r="C17" s="23">
        <f>GRAFICA_22!C29</f>
        <v>2</v>
      </c>
      <c r="D17" s="23">
        <f>GRAFICA_22!C29</f>
        <v>2</v>
      </c>
      <c r="E17" s="23">
        <f>GRAFICA_22!D29</f>
        <v>3</v>
      </c>
      <c r="F17" s="23">
        <f>GRAFICA_22!D29</f>
        <v>3</v>
      </c>
    </row>
    <row r="18" spans="1:12" ht="19.05" customHeight="1" x14ac:dyDescent="0.3">
      <c r="B18" s="26">
        <v>3</v>
      </c>
      <c r="C18" s="23">
        <f>GRAFICA_22!C30</f>
        <v>1</v>
      </c>
      <c r="D18" s="23">
        <f>GRAFICA_22!C30</f>
        <v>1</v>
      </c>
      <c r="E18" s="23">
        <f>GRAFICA_22!D30</f>
        <v>4</v>
      </c>
      <c r="F18" s="23">
        <f>GRAFICA_22!D30</f>
        <v>4</v>
      </c>
    </row>
    <row r="19" spans="1:12" ht="19.05" customHeight="1" x14ac:dyDescent="0.3">
      <c r="B19" s="43">
        <v>4</v>
      </c>
      <c r="C19" s="23">
        <f>GRAFICA_22!C31</f>
        <v>4</v>
      </c>
      <c r="D19" s="23">
        <f>GRAFICA_22!C31</f>
        <v>4</v>
      </c>
      <c r="E19" s="23">
        <f>GRAFICA_22!D31</f>
        <v>5</v>
      </c>
      <c r="F19" s="23">
        <f>GRAFICA_22!D31</f>
        <v>5</v>
      </c>
    </row>
    <row r="20" spans="1:12" ht="19.05" customHeight="1" x14ac:dyDescent="0.3">
      <c r="B20" s="44">
        <v>5</v>
      </c>
      <c r="C20" s="23">
        <f>GRAFICA_22!C32</f>
        <v>5</v>
      </c>
      <c r="D20" s="23">
        <f>GRAFICA_22!C32</f>
        <v>5</v>
      </c>
      <c r="E20" s="23">
        <f>GRAFICA_22!D32</f>
        <v>3</v>
      </c>
      <c r="F20" s="23">
        <f>GRAFICA_22!D32</f>
        <v>3</v>
      </c>
    </row>
    <row r="21" spans="1:12" ht="19.05" customHeight="1" x14ac:dyDescent="0.3">
      <c r="B21" s="51">
        <v>6</v>
      </c>
      <c r="C21" s="23">
        <f>GRAFICA_22!C33</f>
        <v>2</v>
      </c>
      <c r="D21" s="23">
        <f>GRAFICA_22!C33</f>
        <v>2</v>
      </c>
      <c r="E21" s="23">
        <f>GRAFICA_22!D33</f>
        <v>4</v>
      </c>
      <c r="F21" s="23">
        <f>GRAFICA_22!D33</f>
        <v>4</v>
      </c>
    </row>
    <row r="22" spans="1:12" ht="19.05" customHeight="1" x14ac:dyDescent="0.3">
      <c r="B22" s="52">
        <v>7</v>
      </c>
      <c r="C22" s="23">
        <f>GRAFICA_22!C34</f>
        <v>2</v>
      </c>
      <c r="D22" s="23">
        <f>GRAFICA_22!C34</f>
        <v>2</v>
      </c>
      <c r="E22" s="23">
        <f>GRAFICA_22!D34</f>
        <v>5</v>
      </c>
      <c r="F22" s="23">
        <f>GRAFICA_22!D34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44288.481445088088</v>
      </c>
      <c r="C26" s="7">
        <f>J6*K6*N6</f>
        <v>-13286.544433526427</v>
      </c>
      <c r="D26" s="7">
        <f>-B26</f>
        <v>-44288.481445088088</v>
      </c>
      <c r="E26" s="7">
        <f>-C26</f>
        <v>13286.544433526427</v>
      </c>
      <c r="F26" s="27" t="str">
        <f>B25</f>
        <v>U1X</v>
      </c>
    </row>
    <row r="27" spans="1:12" ht="16.8" customHeight="1" x14ac:dyDescent="0.3">
      <c r="A27" s="28" t="s">
        <v>177</v>
      </c>
      <c r="B27" s="7">
        <f>C26</f>
        <v>-13286.544433526427</v>
      </c>
      <c r="C27" s="7">
        <f>K6*K6*N6</f>
        <v>3985.9633300579276</v>
      </c>
      <c r="D27" s="7">
        <f>-B27</f>
        <v>13286.544433526427</v>
      </c>
      <c r="E27" s="7">
        <f>-C27</f>
        <v>-3985.9633300579276</v>
      </c>
      <c r="F27" s="27" t="str">
        <f>C25</f>
        <v>U1Y</v>
      </c>
    </row>
    <row r="28" spans="1:12" x14ac:dyDescent="0.3">
      <c r="B28" s="7">
        <f>D26</f>
        <v>-44288.481445088088</v>
      </c>
      <c r="C28" s="7">
        <f>E26</f>
        <v>13286.544433526427</v>
      </c>
      <c r="D28" s="7">
        <f>B26</f>
        <v>44288.481445088088</v>
      </c>
      <c r="E28" s="7">
        <f>C26</f>
        <v>-13286.544433526427</v>
      </c>
      <c r="F28" s="27" t="str">
        <f>D25</f>
        <v>U2X</v>
      </c>
    </row>
    <row r="29" spans="1:12" x14ac:dyDescent="0.3">
      <c r="B29" s="7">
        <f>D27</f>
        <v>13286.544433526427</v>
      </c>
      <c r="C29" s="7">
        <f>E27</f>
        <v>-3985.9633300579276</v>
      </c>
      <c r="D29" s="7">
        <f>B27</f>
        <v>-13286.544433526427</v>
      </c>
      <c r="E29" s="7">
        <f>C27</f>
        <v>3985.9633300579276</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44288.481445088088</v>
      </c>
      <c r="C32" s="8">
        <f t="shared" si="5"/>
        <v>-13286.544433526427</v>
      </c>
      <c r="D32" s="8">
        <f t="shared" si="5"/>
        <v>-44288.481445088088</v>
      </c>
      <c r="E32" s="8">
        <f t="shared" si="5"/>
        <v>13286.544433526427</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-13286.544433526427</v>
      </c>
      <c r="C33" s="8">
        <f t="shared" si="5"/>
        <v>3985.9633300579276</v>
      </c>
      <c r="D33" s="8">
        <f t="shared" si="5"/>
        <v>13286.544433526427</v>
      </c>
      <c r="E33" s="8">
        <f t="shared" si="5"/>
        <v>-3985.9633300579276</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-44288.481445088088</v>
      </c>
      <c r="C34" s="8">
        <f t="shared" si="5"/>
        <v>13286.544433526427</v>
      </c>
      <c r="D34" s="8">
        <f t="shared" si="5"/>
        <v>44288.481445088088</v>
      </c>
      <c r="E34" s="8">
        <f t="shared" si="5"/>
        <v>-13286.544433526427</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13286.544433526427</v>
      </c>
      <c r="C35" s="8">
        <f t="shared" si="5"/>
        <v>-3985.9633300579276</v>
      </c>
      <c r="D35" s="8">
        <f t="shared" si="5"/>
        <v>-13286.544433526427</v>
      </c>
      <c r="E35" s="8">
        <f t="shared" si="5"/>
        <v>3985.9633300579276</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44288.481445088088</v>
      </c>
      <c r="C45" s="30">
        <f>J7*K7*N7</f>
        <v>13286.544433526427</v>
      </c>
      <c r="D45" s="30">
        <f>-B45</f>
        <v>-44288.481445088088</v>
      </c>
      <c r="E45" s="30">
        <f>-C45</f>
        <v>-13286.544433526427</v>
      </c>
      <c r="F45" s="29" t="str">
        <f>B44</f>
        <v>U2X</v>
      </c>
    </row>
    <row r="46" spans="1:12" ht="16.8" customHeight="1" x14ac:dyDescent="0.3">
      <c r="A46" s="28" t="s">
        <v>191</v>
      </c>
      <c r="B46" s="30">
        <f>C45</f>
        <v>13286.544433526427</v>
      </c>
      <c r="C46" s="30">
        <f>K7*K7*N7</f>
        <v>3985.9633300579276</v>
      </c>
      <c r="D46" s="30">
        <f>-B46</f>
        <v>-13286.544433526427</v>
      </c>
      <c r="E46" s="30">
        <f>-C46</f>
        <v>-3985.9633300579276</v>
      </c>
      <c r="F46" s="29" t="str">
        <f>C44</f>
        <v>U2Y</v>
      </c>
    </row>
    <row r="47" spans="1:12" x14ac:dyDescent="0.3">
      <c r="B47" s="30">
        <f>D45</f>
        <v>-44288.481445088088</v>
      </c>
      <c r="C47" s="30">
        <f>E45</f>
        <v>-13286.544433526427</v>
      </c>
      <c r="D47" s="30">
        <f>B45</f>
        <v>44288.481445088088</v>
      </c>
      <c r="E47" s="30">
        <f>C45</f>
        <v>13286.544433526427</v>
      </c>
      <c r="F47" s="29" t="str">
        <f>D44</f>
        <v>U3X</v>
      </c>
    </row>
    <row r="48" spans="1:12" x14ac:dyDescent="0.3">
      <c r="B48" s="30">
        <f>D46</f>
        <v>-13286.544433526427</v>
      </c>
      <c r="C48" s="30">
        <f>E46</f>
        <v>-3985.9633300579276</v>
      </c>
      <c r="D48" s="30">
        <f>B46</f>
        <v>13286.544433526427</v>
      </c>
      <c r="E48" s="30">
        <f>C46</f>
        <v>3985.9633300579276</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44288.481445088088</v>
      </c>
      <c r="E53" s="31">
        <f t="shared" si="6"/>
        <v>13286.544433526427</v>
      </c>
      <c r="F53" s="31">
        <f t="shared" si="6"/>
        <v>-44288.481445088088</v>
      </c>
      <c r="G53" s="31">
        <f t="shared" si="6"/>
        <v>-13286.544433526427</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13286.544433526427</v>
      </c>
      <c r="E54" s="31">
        <f t="shared" si="6"/>
        <v>3985.9633300579276</v>
      </c>
      <c r="F54" s="31">
        <f t="shared" si="6"/>
        <v>-13286.544433526427</v>
      </c>
      <c r="G54" s="31">
        <f t="shared" si="6"/>
        <v>-3985.9633300579276</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-44288.481445088088</v>
      </c>
      <c r="E55" s="31">
        <f t="shared" si="6"/>
        <v>-13286.544433526427</v>
      </c>
      <c r="F55" s="31">
        <f t="shared" si="6"/>
        <v>44288.481445088088</v>
      </c>
      <c r="G55" s="31">
        <f t="shared" si="6"/>
        <v>13286.544433526427</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-13286.544433526427</v>
      </c>
      <c r="E56" s="31">
        <f t="shared" si="6"/>
        <v>-3985.9633300579276</v>
      </c>
      <c r="F56" s="31">
        <f t="shared" si="6"/>
        <v>13286.544433526427</v>
      </c>
      <c r="G56" s="31">
        <f t="shared" si="6"/>
        <v>3985.9633300579276</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47994.863409669189</v>
      </c>
      <c r="C64" s="33">
        <f>J8*K8*N8</f>
        <v>38395.89072773535</v>
      </c>
      <c r="D64" s="33">
        <f>-B64</f>
        <v>-47994.863409669189</v>
      </c>
      <c r="E64" s="33">
        <f>-C64</f>
        <v>-38395.89072773535</v>
      </c>
      <c r="F64" s="32" t="str">
        <f>B63</f>
        <v>U1X</v>
      </c>
    </row>
    <row r="65" spans="1:12" ht="16.8" customHeight="1" x14ac:dyDescent="0.3">
      <c r="A65" s="28" t="s">
        <v>193</v>
      </c>
      <c r="B65" s="33">
        <f>C64</f>
        <v>38395.89072773535</v>
      </c>
      <c r="C65" s="33">
        <f>K8*K8*N8</f>
        <v>30716.71258218828</v>
      </c>
      <c r="D65" s="33">
        <f>-B65</f>
        <v>-38395.89072773535</v>
      </c>
      <c r="E65" s="33">
        <f>-C65</f>
        <v>-30716.71258218828</v>
      </c>
      <c r="F65" s="32" t="str">
        <f>C63</f>
        <v>U1Y</v>
      </c>
    </row>
    <row r="66" spans="1:12" x14ac:dyDescent="0.3">
      <c r="B66" s="33">
        <f>D64</f>
        <v>-47994.863409669189</v>
      </c>
      <c r="C66" s="33">
        <f>E64</f>
        <v>-38395.89072773535</v>
      </c>
      <c r="D66" s="33">
        <f>B64</f>
        <v>47994.863409669189</v>
      </c>
      <c r="E66" s="33">
        <f>C64</f>
        <v>38395.89072773535</v>
      </c>
      <c r="F66" s="32" t="str">
        <f>D63</f>
        <v>U4X</v>
      </c>
    </row>
    <row r="67" spans="1:12" x14ac:dyDescent="0.3">
      <c r="B67" s="33">
        <f>D65</f>
        <v>-38395.89072773535</v>
      </c>
      <c r="C67" s="33">
        <f>E65</f>
        <v>-30716.71258218828</v>
      </c>
      <c r="D67" s="33">
        <f>B65</f>
        <v>38395.89072773535</v>
      </c>
      <c r="E67" s="33">
        <f>C65</f>
        <v>30716.71258218828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47994.863409669189</v>
      </c>
      <c r="C70" s="34">
        <f t="shared" si="7"/>
        <v>38395.89072773535</v>
      </c>
      <c r="D70" s="9">
        <f t="shared" si="7"/>
        <v>0</v>
      </c>
      <c r="E70" s="9">
        <f t="shared" si="7"/>
        <v>0</v>
      </c>
      <c r="F70" s="9">
        <f t="shared" si="7"/>
        <v>0</v>
      </c>
      <c r="G70" s="9">
        <f t="shared" si="7"/>
        <v>0</v>
      </c>
      <c r="H70" s="34">
        <f t="shared" si="7"/>
        <v>-47994.863409669189</v>
      </c>
      <c r="I70" s="34">
        <f t="shared" si="7"/>
        <v>-38395.89072773535</v>
      </c>
      <c r="J70" s="9">
        <f t="shared" si="7"/>
        <v>0</v>
      </c>
      <c r="K70" s="9">
        <f t="shared" si="7"/>
        <v>0</v>
      </c>
      <c r="L70" s="32" t="s">
        <v>178</v>
      </c>
    </row>
    <row r="71" spans="1:12" ht="19.05" customHeight="1" x14ac:dyDescent="0.3">
      <c r="B71" s="34">
        <f t="shared" si="7"/>
        <v>38395.89072773535</v>
      </c>
      <c r="C71" s="34">
        <f t="shared" si="7"/>
        <v>30716.71258218828</v>
      </c>
      <c r="D71" s="9">
        <f t="shared" si="7"/>
        <v>0</v>
      </c>
      <c r="E71" s="9">
        <f t="shared" si="7"/>
        <v>0</v>
      </c>
      <c r="F71" s="9">
        <f t="shared" si="7"/>
        <v>0</v>
      </c>
      <c r="G71" s="9">
        <f t="shared" si="7"/>
        <v>0</v>
      </c>
      <c r="H71" s="34">
        <f t="shared" si="7"/>
        <v>-38395.89072773535</v>
      </c>
      <c r="I71" s="34">
        <f t="shared" si="7"/>
        <v>-30716.71258218828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-47994.863409669189</v>
      </c>
      <c r="C76" s="34">
        <f t="shared" si="7"/>
        <v>-38395.89072773535</v>
      </c>
      <c r="D76" s="9">
        <f t="shared" si="7"/>
        <v>0</v>
      </c>
      <c r="E76" s="9">
        <f t="shared" si="7"/>
        <v>0</v>
      </c>
      <c r="F76" s="9">
        <f t="shared" si="7"/>
        <v>0</v>
      </c>
      <c r="G76" s="9">
        <f t="shared" si="7"/>
        <v>0</v>
      </c>
      <c r="H76" s="34">
        <f t="shared" si="7"/>
        <v>47994.863409669189</v>
      </c>
      <c r="I76" s="34">
        <f t="shared" si="7"/>
        <v>38395.89072773535</v>
      </c>
      <c r="J76" s="9">
        <f t="shared" si="7"/>
        <v>0</v>
      </c>
      <c r="K76" s="9">
        <f t="shared" si="7"/>
        <v>0</v>
      </c>
      <c r="L76" s="32" t="s">
        <v>184</v>
      </c>
    </row>
    <row r="77" spans="1:12" ht="19.05" customHeight="1" x14ac:dyDescent="0.3">
      <c r="B77" s="34">
        <f t="shared" si="7"/>
        <v>-38395.89072773535</v>
      </c>
      <c r="C77" s="34">
        <f t="shared" si="7"/>
        <v>-30716.71258218828</v>
      </c>
      <c r="D77" s="9">
        <f t="shared" si="7"/>
        <v>0</v>
      </c>
      <c r="E77" s="9">
        <f t="shared" si="7"/>
        <v>0</v>
      </c>
      <c r="F77" s="9">
        <f t="shared" si="7"/>
        <v>0</v>
      </c>
      <c r="G77" s="9">
        <f t="shared" si="7"/>
        <v>0</v>
      </c>
      <c r="H77" s="34">
        <f t="shared" si="7"/>
        <v>38395.89072773535</v>
      </c>
      <c r="I77" s="34">
        <f t="shared" si="7"/>
        <v>30716.71258218828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47994.863409669189</v>
      </c>
      <c r="C83" s="46">
        <f>J9*K9*N9</f>
        <v>38395.89072773535</v>
      </c>
      <c r="D83" s="46">
        <f>-B83</f>
        <v>-47994.863409669189</v>
      </c>
      <c r="E83" s="46">
        <f>-C83</f>
        <v>-38395.89072773535</v>
      </c>
      <c r="F83" s="45" t="str">
        <f>B82</f>
        <v>U4X</v>
      </c>
    </row>
    <row r="84" spans="1:12" ht="16.8" customHeight="1" x14ac:dyDescent="0.3">
      <c r="A84" s="28" t="s">
        <v>195</v>
      </c>
      <c r="B84" s="46">
        <f>C83</f>
        <v>38395.89072773535</v>
      </c>
      <c r="C84" s="46">
        <f>K9*K9*N9</f>
        <v>30716.71258218828</v>
      </c>
      <c r="D84" s="46">
        <f>-B84</f>
        <v>-38395.89072773535</v>
      </c>
      <c r="E84" s="46">
        <f>-C84</f>
        <v>-30716.71258218828</v>
      </c>
      <c r="F84" s="45" t="str">
        <f>C82</f>
        <v>U4Y</v>
      </c>
    </row>
    <row r="85" spans="1:12" x14ac:dyDescent="0.3">
      <c r="B85" s="46">
        <f>D83</f>
        <v>-47994.863409669189</v>
      </c>
      <c r="C85" s="46">
        <f>E83</f>
        <v>-38395.89072773535</v>
      </c>
      <c r="D85" s="46">
        <f>B83</f>
        <v>47994.863409669189</v>
      </c>
      <c r="E85" s="46">
        <f>C83</f>
        <v>38395.89072773535</v>
      </c>
      <c r="F85" s="45" t="str">
        <f>D82</f>
        <v>U5X</v>
      </c>
    </row>
    <row r="86" spans="1:12" x14ac:dyDescent="0.3">
      <c r="B86" s="46">
        <f>D84</f>
        <v>-38395.89072773535</v>
      </c>
      <c r="C86" s="46">
        <f>E84</f>
        <v>-30716.71258218828</v>
      </c>
      <c r="D86" s="46">
        <f>B84</f>
        <v>38395.89072773535</v>
      </c>
      <c r="E86" s="46">
        <f>C84</f>
        <v>30716.71258218828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47994.863409669189</v>
      </c>
      <c r="I95" s="47">
        <f t="shared" si="8"/>
        <v>38395.89072773535</v>
      </c>
      <c r="J95" s="47">
        <f t="shared" si="8"/>
        <v>-47994.863409669189</v>
      </c>
      <c r="K95" s="47">
        <f t="shared" si="8"/>
        <v>-38395.89072773535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38395.89072773535</v>
      </c>
      <c r="I96" s="47">
        <f t="shared" si="8"/>
        <v>30716.71258218828</v>
      </c>
      <c r="J96" s="47">
        <f t="shared" si="8"/>
        <v>-38395.89072773535</v>
      </c>
      <c r="K96" s="47">
        <f t="shared" si="8"/>
        <v>-30716.71258218828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-47994.863409669189</v>
      </c>
      <c r="I97" s="47">
        <f t="shared" si="8"/>
        <v>-38395.89072773535</v>
      </c>
      <c r="J97" s="47">
        <f t="shared" si="8"/>
        <v>47994.863409669189</v>
      </c>
      <c r="K97" s="47">
        <f t="shared" si="8"/>
        <v>38395.89072773535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-38395.89072773535</v>
      </c>
      <c r="I98" s="47">
        <f t="shared" si="8"/>
        <v>-30716.71258218828</v>
      </c>
      <c r="J98" s="47">
        <f t="shared" si="8"/>
        <v>38395.89072773535</v>
      </c>
      <c r="K98" s="47">
        <f t="shared" si="8"/>
        <v>30716.71258218828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23997.431704834595</v>
      </c>
      <c r="C102" s="49">
        <f>J10*K10*N10</f>
        <v>-19197.945363867675</v>
      </c>
      <c r="D102" s="49">
        <f>-B102</f>
        <v>-23997.431704834595</v>
      </c>
      <c r="E102" s="49">
        <f>-C102</f>
        <v>19197.945363867675</v>
      </c>
      <c r="F102" s="48" t="str">
        <f>B101</f>
        <v>U5X</v>
      </c>
    </row>
    <row r="103" spans="1:12" ht="16.8" customHeight="1" x14ac:dyDescent="0.3">
      <c r="A103" s="28" t="s">
        <v>197</v>
      </c>
      <c r="B103" s="49">
        <f>C102</f>
        <v>-19197.945363867675</v>
      </c>
      <c r="C103" s="49">
        <f>K10*K10*N10</f>
        <v>15358.35629109414</v>
      </c>
      <c r="D103" s="49">
        <f>-B103</f>
        <v>19197.945363867675</v>
      </c>
      <c r="E103" s="49">
        <f>-C103</f>
        <v>-15358.35629109414</v>
      </c>
      <c r="F103" s="48" t="str">
        <f>C101</f>
        <v>U5Y</v>
      </c>
    </row>
    <row r="104" spans="1:12" x14ac:dyDescent="0.3">
      <c r="B104" s="49">
        <f>D102</f>
        <v>-23997.431704834595</v>
      </c>
      <c r="C104" s="49">
        <f>E102</f>
        <v>19197.945363867675</v>
      </c>
      <c r="D104" s="49">
        <f>B102</f>
        <v>23997.431704834595</v>
      </c>
      <c r="E104" s="49">
        <f>C102</f>
        <v>-19197.945363867675</v>
      </c>
      <c r="F104" s="48" t="str">
        <f>D101</f>
        <v>U3X</v>
      </c>
    </row>
    <row r="105" spans="1:12" x14ac:dyDescent="0.3">
      <c r="B105" s="49">
        <f>D103</f>
        <v>19197.945363867675</v>
      </c>
      <c r="C105" s="49">
        <f>E103</f>
        <v>-15358.35629109414</v>
      </c>
      <c r="D105" s="49">
        <f>B103</f>
        <v>-19197.945363867675</v>
      </c>
      <c r="E105" s="49">
        <f>C103</f>
        <v>15358.35629109414</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23997.431704834595</v>
      </c>
      <c r="G112" s="50">
        <f t="shared" si="9"/>
        <v>-19197.945363867675</v>
      </c>
      <c r="H112" s="9">
        <f t="shared" si="9"/>
        <v>0</v>
      </c>
      <c r="I112" s="9">
        <f t="shared" si="9"/>
        <v>0</v>
      </c>
      <c r="J112" s="50">
        <f t="shared" si="9"/>
        <v>-23997.431704834595</v>
      </c>
      <c r="K112" s="50">
        <f t="shared" si="9"/>
        <v>19197.945363867675</v>
      </c>
      <c r="L112" s="48" t="s">
        <v>182</v>
      </c>
    </row>
    <row r="113" spans="1:12" ht="19.05" customHeight="1" x14ac:dyDescent="0.3">
      <c r="B113" s="9">
        <f t="shared" si="9"/>
        <v>0</v>
      </c>
      <c r="C113" s="9">
        <f t="shared" si="9"/>
        <v>0</v>
      </c>
      <c r="D113" s="9">
        <f t="shared" si="9"/>
        <v>0</v>
      </c>
      <c r="E113" s="9">
        <f t="shared" si="9"/>
        <v>0</v>
      </c>
      <c r="F113" s="50">
        <f t="shared" si="9"/>
        <v>-19197.945363867675</v>
      </c>
      <c r="G113" s="50">
        <f t="shared" si="9"/>
        <v>15358.35629109414</v>
      </c>
      <c r="H113" s="9">
        <f t="shared" si="9"/>
        <v>0</v>
      </c>
      <c r="I113" s="9">
        <f t="shared" si="9"/>
        <v>0</v>
      </c>
      <c r="J113" s="50">
        <f t="shared" si="9"/>
        <v>19197.945363867675</v>
      </c>
      <c r="K113" s="50">
        <f t="shared" si="9"/>
        <v>-15358.35629109414</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-23997.431704834595</v>
      </c>
      <c r="G116" s="50">
        <f t="shared" si="9"/>
        <v>19197.945363867675</v>
      </c>
      <c r="H116" s="9">
        <f t="shared" si="9"/>
        <v>0</v>
      </c>
      <c r="I116" s="9">
        <f t="shared" si="9"/>
        <v>0</v>
      </c>
      <c r="J116" s="50">
        <f t="shared" si="9"/>
        <v>23997.431704834595</v>
      </c>
      <c r="K116" s="50">
        <f t="shared" si="9"/>
        <v>-19197.945363867675</v>
      </c>
      <c r="L116" s="48" t="s">
        <v>186</v>
      </c>
    </row>
    <row r="117" spans="1:12" ht="19.05" customHeight="1" x14ac:dyDescent="0.3">
      <c r="B117" s="9">
        <f t="shared" si="9"/>
        <v>0</v>
      </c>
      <c r="C117" s="9">
        <f t="shared" si="9"/>
        <v>0</v>
      </c>
      <c r="D117" s="9">
        <f t="shared" si="9"/>
        <v>0</v>
      </c>
      <c r="E117" s="9">
        <f t="shared" si="9"/>
        <v>0</v>
      </c>
      <c r="F117" s="50">
        <f t="shared" si="9"/>
        <v>19197.945363867675</v>
      </c>
      <c r="G117" s="50">
        <f t="shared" si="9"/>
        <v>-15358.35629109414</v>
      </c>
      <c r="H117" s="9">
        <f t="shared" si="9"/>
        <v>0</v>
      </c>
      <c r="I117" s="9">
        <f t="shared" si="9"/>
        <v>0</v>
      </c>
      <c r="J117" s="50">
        <f t="shared" si="9"/>
        <v>-19197.945363867675</v>
      </c>
      <c r="K117" s="50">
        <f t="shared" si="9"/>
        <v>15358.35629109414</v>
      </c>
      <c r="L117" s="48" t="s">
        <v>187</v>
      </c>
    </row>
    <row r="120" spans="1:12" ht="18" customHeight="1" x14ac:dyDescent="0.3">
      <c r="B120" s="53" t="str">
        <f>CONCATENATE("U",C21,C$15)</f>
        <v>U2X</v>
      </c>
      <c r="C120" s="53" t="str">
        <f>CONCATENATE("U",D21,D$15)</f>
        <v>U2Y</v>
      </c>
      <c r="D120" s="53" t="str">
        <f>CONCATENATE("U",E21,E$15)</f>
        <v>U4X</v>
      </c>
      <c r="E120" s="53" t="str">
        <f>CONCATENATE("U",F21,F$15)</f>
        <v>U4Y</v>
      </c>
    </row>
    <row r="121" spans="1:12" x14ac:dyDescent="0.3">
      <c r="B121" s="54">
        <f>J11*J11*N11</f>
        <v>19793.516867190847</v>
      </c>
      <c r="C121" s="54">
        <f>J11*K11*N11</f>
        <v>-27710.923614067189</v>
      </c>
      <c r="D121" s="54">
        <f>-B121</f>
        <v>-19793.516867190847</v>
      </c>
      <c r="E121" s="54">
        <f>-C121</f>
        <v>27710.923614067189</v>
      </c>
      <c r="F121" s="53" t="str">
        <f>B120</f>
        <v>U2X</v>
      </c>
    </row>
    <row r="122" spans="1:12" ht="16.8" customHeight="1" x14ac:dyDescent="0.3">
      <c r="A122" s="28" t="s">
        <v>199</v>
      </c>
      <c r="B122" s="54">
        <f>C121</f>
        <v>-27710.923614067189</v>
      </c>
      <c r="C122" s="54">
        <f>K11*K11*N11</f>
        <v>38795.293059694071</v>
      </c>
      <c r="D122" s="54">
        <f>-B122</f>
        <v>27710.923614067189</v>
      </c>
      <c r="E122" s="54">
        <f>-C122</f>
        <v>-38795.293059694071</v>
      </c>
      <c r="F122" s="53" t="str">
        <f>C120</f>
        <v>U2Y</v>
      </c>
    </row>
    <row r="123" spans="1:12" x14ac:dyDescent="0.3">
      <c r="B123" s="54">
        <f>D121</f>
        <v>-19793.516867190847</v>
      </c>
      <c r="C123" s="54">
        <f>E121</f>
        <v>27710.923614067189</v>
      </c>
      <c r="D123" s="54">
        <f>B121</f>
        <v>19793.516867190847</v>
      </c>
      <c r="E123" s="54">
        <f>C121</f>
        <v>-27710.923614067189</v>
      </c>
      <c r="F123" s="53" t="str">
        <f>D120</f>
        <v>U4X</v>
      </c>
    </row>
    <row r="124" spans="1:12" x14ac:dyDescent="0.3">
      <c r="B124" s="54">
        <f>D122</f>
        <v>27710.923614067189</v>
      </c>
      <c r="C124" s="54">
        <f>E122</f>
        <v>-38795.293059694071</v>
      </c>
      <c r="D124" s="54">
        <f>B122</f>
        <v>-27710.923614067189</v>
      </c>
      <c r="E124" s="54">
        <f>C122</f>
        <v>38795.293059694071</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19793.516867190847</v>
      </c>
      <c r="E129" s="55">
        <f t="shared" si="10"/>
        <v>-27710.923614067189</v>
      </c>
      <c r="F129" s="9">
        <f t="shared" si="10"/>
        <v>0</v>
      </c>
      <c r="G129" s="9">
        <f t="shared" si="10"/>
        <v>0</v>
      </c>
      <c r="H129" s="55">
        <f t="shared" si="10"/>
        <v>-19793.516867190847</v>
      </c>
      <c r="I129" s="55">
        <f t="shared" si="10"/>
        <v>27710.923614067189</v>
      </c>
      <c r="J129" s="9">
        <f t="shared" si="10"/>
        <v>0</v>
      </c>
      <c r="K129" s="9">
        <f t="shared" si="10"/>
        <v>0</v>
      </c>
      <c r="L129" s="53" t="s">
        <v>180</v>
      </c>
    </row>
    <row r="130" spans="1:12" ht="19.05" customHeight="1" x14ac:dyDescent="0.3">
      <c r="B130" s="9">
        <f t="shared" si="10"/>
        <v>0</v>
      </c>
      <c r="C130" s="9">
        <f t="shared" si="10"/>
        <v>0</v>
      </c>
      <c r="D130" s="55">
        <f t="shared" si="10"/>
        <v>-27710.923614067189</v>
      </c>
      <c r="E130" s="55">
        <f t="shared" si="10"/>
        <v>38795.293059694071</v>
      </c>
      <c r="F130" s="9">
        <f t="shared" si="10"/>
        <v>0</v>
      </c>
      <c r="G130" s="9">
        <f t="shared" si="10"/>
        <v>0</v>
      </c>
      <c r="H130" s="55">
        <f t="shared" si="10"/>
        <v>27710.923614067189</v>
      </c>
      <c r="I130" s="55">
        <f t="shared" si="10"/>
        <v>-38795.293059694071</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-19793.516867190847</v>
      </c>
      <c r="E133" s="55">
        <f t="shared" si="10"/>
        <v>27710.923614067189</v>
      </c>
      <c r="F133" s="9">
        <f t="shared" si="10"/>
        <v>0</v>
      </c>
      <c r="G133" s="9">
        <f t="shared" si="10"/>
        <v>0</v>
      </c>
      <c r="H133" s="55">
        <f t="shared" si="10"/>
        <v>19793.516867190847</v>
      </c>
      <c r="I133" s="55">
        <f t="shared" si="10"/>
        <v>-27710.923614067189</v>
      </c>
      <c r="J133" s="9">
        <f t="shared" si="10"/>
        <v>0</v>
      </c>
      <c r="K133" s="9">
        <f t="shared" si="10"/>
        <v>0</v>
      </c>
      <c r="L133" s="53" t="s">
        <v>184</v>
      </c>
    </row>
    <row r="134" spans="1:12" ht="19.05" customHeight="1" x14ac:dyDescent="0.3">
      <c r="B134" s="9">
        <f t="shared" si="10"/>
        <v>0</v>
      </c>
      <c r="C134" s="9">
        <f t="shared" si="10"/>
        <v>0</v>
      </c>
      <c r="D134" s="55">
        <f t="shared" si="10"/>
        <v>27710.923614067189</v>
      </c>
      <c r="E134" s="55">
        <f t="shared" si="10"/>
        <v>-38795.293059694071</v>
      </c>
      <c r="F134" s="9">
        <f t="shared" si="10"/>
        <v>0</v>
      </c>
      <c r="G134" s="9">
        <f t="shared" si="10"/>
        <v>0</v>
      </c>
      <c r="H134" s="55">
        <f t="shared" si="10"/>
        <v>-27710.923614067189</v>
      </c>
      <c r="I134" s="55">
        <f t="shared" si="10"/>
        <v>38795.293059694071</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45818.181818181816</v>
      </c>
      <c r="D141" s="57">
        <f>-B141</f>
        <v>0</v>
      </c>
      <c r="E141" s="57">
        <f>-C141</f>
        <v>-45818.181818181816</v>
      </c>
      <c r="F141" s="56" t="str">
        <f>C139</f>
        <v>U2Y</v>
      </c>
    </row>
    <row r="142" spans="1:12" x14ac:dyDescent="0.3">
      <c r="B142" s="57">
        <f>D140</f>
        <v>0</v>
      </c>
      <c r="C142" s="57">
        <f>E140</f>
        <v>0</v>
      </c>
      <c r="D142" s="57">
        <f>B140</f>
        <v>0</v>
      </c>
      <c r="E142" s="57">
        <f>C140</f>
        <v>0</v>
      </c>
      <c r="F142" s="56" t="str">
        <f>D139</f>
        <v>U5X</v>
      </c>
    </row>
    <row r="143" spans="1:12" x14ac:dyDescent="0.3">
      <c r="B143" s="57">
        <f>D141</f>
        <v>0</v>
      </c>
      <c r="C143" s="57">
        <f>E141</f>
        <v>-45818.181818181816</v>
      </c>
      <c r="D143" s="57">
        <f>B141</f>
        <v>0</v>
      </c>
      <c r="E143" s="57">
        <f>C141</f>
        <v>45818.181818181816</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9">
        <f t="shared" si="11"/>
        <v>0</v>
      </c>
      <c r="I148" s="9">
        <f t="shared" si="11"/>
        <v>0</v>
      </c>
      <c r="J148" s="58">
        <f t="shared" si="11"/>
        <v>0</v>
      </c>
      <c r="K148" s="58">
        <f t="shared" si="11"/>
        <v>0</v>
      </c>
      <c r="L148" s="56" t="s">
        <v>180</v>
      </c>
    </row>
    <row r="149" spans="1:12" ht="19.05" customHeight="1" x14ac:dyDescent="0.3">
      <c r="B149" s="9">
        <f t="shared" si="11"/>
        <v>0</v>
      </c>
      <c r="C149" s="9">
        <f t="shared" si="11"/>
        <v>0</v>
      </c>
      <c r="D149" s="58">
        <f t="shared" si="11"/>
        <v>0</v>
      </c>
      <c r="E149" s="58">
        <f t="shared" si="11"/>
        <v>45818.181818181816</v>
      </c>
      <c r="F149" s="9">
        <f t="shared" si="11"/>
        <v>0</v>
      </c>
      <c r="G149" s="9">
        <f t="shared" si="11"/>
        <v>0</v>
      </c>
      <c r="H149" s="9">
        <f t="shared" si="11"/>
        <v>0</v>
      </c>
      <c r="I149" s="9">
        <f t="shared" si="11"/>
        <v>0</v>
      </c>
      <c r="J149" s="58">
        <f t="shared" si="11"/>
        <v>0</v>
      </c>
      <c r="K149" s="58">
        <f t="shared" si="11"/>
        <v>-45818.181818181816</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0</v>
      </c>
      <c r="E154" s="58">
        <f t="shared" si="11"/>
        <v>0</v>
      </c>
      <c r="F154" s="9">
        <f t="shared" si="11"/>
        <v>0</v>
      </c>
      <c r="G154" s="9">
        <f t="shared" si="11"/>
        <v>0</v>
      </c>
      <c r="H154" s="9">
        <f t="shared" si="11"/>
        <v>0</v>
      </c>
      <c r="I154" s="9">
        <f t="shared" si="11"/>
        <v>0</v>
      </c>
      <c r="J154" s="58">
        <f t="shared" si="11"/>
        <v>0</v>
      </c>
      <c r="K154" s="58">
        <f t="shared" si="11"/>
        <v>0</v>
      </c>
      <c r="L154" s="56" t="s">
        <v>186</v>
      </c>
    </row>
    <row r="155" spans="1:12" ht="19.05" customHeight="1" x14ac:dyDescent="0.3">
      <c r="B155" s="9">
        <f t="shared" si="11"/>
        <v>0</v>
      </c>
      <c r="C155" s="9">
        <f t="shared" si="11"/>
        <v>0</v>
      </c>
      <c r="D155" s="58">
        <f t="shared" si="11"/>
        <v>0</v>
      </c>
      <c r="E155" s="58">
        <f t="shared" si="11"/>
        <v>-45818.181818181816</v>
      </c>
      <c r="F155" s="9">
        <f t="shared" si="11"/>
        <v>0</v>
      </c>
      <c r="G155" s="9">
        <f t="shared" si="11"/>
        <v>0</v>
      </c>
      <c r="H155" s="9">
        <f t="shared" si="11"/>
        <v>0</v>
      </c>
      <c r="I155" s="9">
        <f t="shared" si="11"/>
        <v>0</v>
      </c>
      <c r="J155" s="58">
        <f t="shared" si="11"/>
        <v>0</v>
      </c>
      <c r="K155" s="58">
        <f t="shared" si="11"/>
        <v>45818.181818181816</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92283.344854757277</v>
      </c>
      <c r="C159" s="36">
        <f t="shared" si="12"/>
        <v>25109.346294208925</v>
      </c>
      <c r="D159" s="9">
        <f t="shared" si="12"/>
        <v>-44288.481445088088</v>
      </c>
      <c r="E159" s="9">
        <f t="shared" si="12"/>
        <v>13286.544433526427</v>
      </c>
      <c r="F159" s="9">
        <f t="shared" si="12"/>
        <v>0</v>
      </c>
      <c r="G159" s="9">
        <f t="shared" si="12"/>
        <v>0</v>
      </c>
      <c r="H159" s="9">
        <f t="shared" si="12"/>
        <v>-47994.863409669189</v>
      </c>
      <c r="I159" s="9">
        <f t="shared" si="12"/>
        <v>-38395.89072773535</v>
      </c>
      <c r="J159" s="9">
        <f t="shared" si="12"/>
        <v>0</v>
      </c>
      <c r="K159" s="9">
        <f t="shared" si="12"/>
        <v>0</v>
      </c>
      <c r="L159" s="89" t="s">
        <v>178</v>
      </c>
    </row>
    <row r="160" spans="1:12" ht="19.95" customHeight="1" x14ac:dyDescent="0.3">
      <c r="B160" s="36">
        <f t="shared" ref="B160:K160" si="13">B33+B52+B71+B90+B109+B128+B147</f>
        <v>25109.346294208925</v>
      </c>
      <c r="C160" s="35">
        <f t="shared" si="13"/>
        <v>34702.67591224621</v>
      </c>
      <c r="D160" s="9">
        <f t="shared" si="13"/>
        <v>13286.544433526427</v>
      </c>
      <c r="E160" s="9">
        <f t="shared" si="13"/>
        <v>-3985.9633300579276</v>
      </c>
      <c r="F160" s="9">
        <f t="shared" si="13"/>
        <v>0</v>
      </c>
      <c r="G160" s="9">
        <f t="shared" si="13"/>
        <v>0</v>
      </c>
      <c r="H160" s="9">
        <f t="shared" si="13"/>
        <v>-38395.89072773535</v>
      </c>
      <c r="I160" s="9">
        <f t="shared" si="13"/>
        <v>-30716.71258218828</v>
      </c>
      <c r="J160" s="9">
        <f t="shared" si="13"/>
        <v>0</v>
      </c>
      <c r="K160" s="9">
        <f t="shared" si="13"/>
        <v>0</v>
      </c>
      <c r="L160" s="89" t="s">
        <v>179</v>
      </c>
    </row>
    <row r="161" spans="1:19" ht="19.95" customHeight="1" x14ac:dyDescent="0.3">
      <c r="B161" s="9">
        <f t="shared" ref="B161:K161" si="14">B34+B53+B72+B91+B110+B129+B148</f>
        <v>-44288.481445088088</v>
      </c>
      <c r="C161" s="9">
        <f t="shared" si="14"/>
        <v>13286.544433526427</v>
      </c>
      <c r="D161" s="35">
        <f t="shared" si="14"/>
        <v>108370.47975736702</v>
      </c>
      <c r="E161" s="36">
        <f t="shared" si="14"/>
        <v>-27710.923614067189</v>
      </c>
      <c r="F161" s="9">
        <f t="shared" si="14"/>
        <v>-44288.481445088088</v>
      </c>
      <c r="G161" s="9">
        <f t="shared" si="14"/>
        <v>-13286.544433526427</v>
      </c>
      <c r="H161" s="9">
        <f t="shared" si="14"/>
        <v>-19793.516867190847</v>
      </c>
      <c r="I161" s="9">
        <f t="shared" si="14"/>
        <v>27710.923614067189</v>
      </c>
      <c r="J161" s="9">
        <f t="shared" si="14"/>
        <v>0</v>
      </c>
      <c r="K161" s="9">
        <f t="shared" si="14"/>
        <v>0</v>
      </c>
      <c r="L161" s="89" t="s">
        <v>180</v>
      </c>
    </row>
    <row r="162" spans="1:19" ht="19.95" customHeight="1" x14ac:dyDescent="0.3">
      <c r="B162" s="9">
        <f t="shared" ref="B162:K162" si="15">B35+B54+B73+B92+B111+B130+B149</f>
        <v>13286.544433526427</v>
      </c>
      <c r="C162" s="9">
        <f t="shared" si="15"/>
        <v>-3985.9633300579276</v>
      </c>
      <c r="D162" s="36">
        <f t="shared" si="15"/>
        <v>-27710.923614067189</v>
      </c>
      <c r="E162" s="35">
        <f t="shared" si="15"/>
        <v>92585.40153799174</v>
      </c>
      <c r="F162" s="9">
        <f t="shared" si="15"/>
        <v>-13286.544433526427</v>
      </c>
      <c r="G162" s="9">
        <f t="shared" si="15"/>
        <v>-3985.9633300579276</v>
      </c>
      <c r="H162" s="9">
        <f t="shared" si="15"/>
        <v>27710.923614067189</v>
      </c>
      <c r="I162" s="9">
        <f t="shared" si="15"/>
        <v>-38795.293059694071</v>
      </c>
      <c r="J162" s="9">
        <f t="shared" si="15"/>
        <v>0</v>
      </c>
      <c r="K162" s="9">
        <f t="shared" si="15"/>
        <v>-45818.181818181816</v>
      </c>
      <c r="L162" s="89" t="s">
        <v>181</v>
      </c>
    </row>
    <row r="163" spans="1:19" ht="19.95" customHeight="1" x14ac:dyDescent="0.3">
      <c r="A163" s="28" t="s">
        <v>205</v>
      </c>
      <c r="B163" s="9">
        <f t="shared" ref="B163:K163" si="16">B36+B55+B74+B93+B112+B131+B150</f>
        <v>0</v>
      </c>
      <c r="C163" s="9">
        <f t="shared" si="16"/>
        <v>0</v>
      </c>
      <c r="D163" s="9">
        <f t="shared" si="16"/>
        <v>-44288.481445088088</v>
      </c>
      <c r="E163" s="9">
        <f t="shared" si="16"/>
        <v>-13286.544433526427</v>
      </c>
      <c r="F163" s="35">
        <f t="shared" si="16"/>
        <v>68285.913149922679</v>
      </c>
      <c r="G163" s="36">
        <f t="shared" si="16"/>
        <v>-5911.4009303412477</v>
      </c>
      <c r="H163" s="9">
        <f t="shared" si="16"/>
        <v>0</v>
      </c>
      <c r="I163" s="9">
        <f t="shared" si="16"/>
        <v>0</v>
      </c>
      <c r="J163" s="9">
        <f t="shared" si="16"/>
        <v>-23997.431704834595</v>
      </c>
      <c r="K163" s="9">
        <f t="shared" si="16"/>
        <v>19197.945363867675</v>
      </c>
      <c r="L163" s="89" t="s">
        <v>182</v>
      </c>
    </row>
    <row r="164" spans="1:19" ht="19.95" customHeight="1" x14ac:dyDescent="0.3">
      <c r="B164" s="9">
        <f t="shared" ref="B164:K164" si="17">B37+B56+B75+B94+B113+B132+B151</f>
        <v>0</v>
      </c>
      <c r="C164" s="9">
        <f t="shared" si="17"/>
        <v>0</v>
      </c>
      <c r="D164" s="9">
        <f t="shared" si="17"/>
        <v>-13286.544433526427</v>
      </c>
      <c r="E164" s="9">
        <f t="shared" si="17"/>
        <v>-3985.9633300579276</v>
      </c>
      <c r="F164" s="36">
        <f t="shared" si="17"/>
        <v>-5911.4009303412477</v>
      </c>
      <c r="G164" s="35">
        <f t="shared" si="17"/>
        <v>19344.319621152066</v>
      </c>
      <c r="H164" s="9">
        <f t="shared" si="17"/>
        <v>0</v>
      </c>
      <c r="I164" s="9">
        <f t="shared" si="17"/>
        <v>0</v>
      </c>
      <c r="J164" s="9">
        <f t="shared" si="17"/>
        <v>19197.945363867675</v>
      </c>
      <c r="K164" s="9">
        <f t="shared" si="17"/>
        <v>-15358.35629109414</v>
      </c>
      <c r="L164" s="89" t="s">
        <v>183</v>
      </c>
    </row>
    <row r="165" spans="1:19" ht="19.95" customHeight="1" x14ac:dyDescent="0.3">
      <c r="B165" s="9">
        <f t="shared" ref="B165:K165" si="18">B38+B57+B76+B95+B114+B133+B152</f>
        <v>-47994.863409669189</v>
      </c>
      <c r="C165" s="9">
        <f t="shared" si="18"/>
        <v>-38395.89072773535</v>
      </c>
      <c r="D165" s="9">
        <f t="shared" si="18"/>
        <v>-19793.516867190847</v>
      </c>
      <c r="E165" s="9">
        <f t="shared" si="18"/>
        <v>27710.923614067189</v>
      </c>
      <c r="F165" s="9">
        <f t="shared" si="18"/>
        <v>0</v>
      </c>
      <c r="G165" s="9">
        <f t="shared" si="18"/>
        <v>0</v>
      </c>
      <c r="H165" s="35">
        <f t="shared" si="18"/>
        <v>115783.24368652923</v>
      </c>
      <c r="I165" s="36">
        <f t="shared" si="18"/>
        <v>49080.857841403515</v>
      </c>
      <c r="J165" s="9">
        <f t="shared" si="18"/>
        <v>-47994.863409669189</v>
      </c>
      <c r="K165" s="9">
        <f t="shared" si="18"/>
        <v>-38395.89072773535</v>
      </c>
      <c r="L165" s="89" t="s">
        <v>184</v>
      </c>
    </row>
    <row r="166" spans="1:19" ht="19.95" customHeight="1" x14ac:dyDescent="0.3">
      <c r="B166" s="9">
        <f t="shared" ref="B166:K166" si="19">B39+B58+B77+B96+B115+B134+B153</f>
        <v>-38395.89072773535</v>
      </c>
      <c r="C166" s="9">
        <f t="shared" si="19"/>
        <v>-30716.71258218828</v>
      </c>
      <c r="D166" s="9">
        <f t="shared" si="19"/>
        <v>27710.923614067189</v>
      </c>
      <c r="E166" s="9">
        <f t="shared" si="19"/>
        <v>-38795.293059694071</v>
      </c>
      <c r="F166" s="9">
        <f t="shared" si="19"/>
        <v>0</v>
      </c>
      <c r="G166" s="9">
        <f t="shared" si="19"/>
        <v>0</v>
      </c>
      <c r="H166" s="36">
        <f t="shared" si="19"/>
        <v>49080.857841403515</v>
      </c>
      <c r="I166" s="35">
        <f t="shared" si="19"/>
        <v>100228.71822407063</v>
      </c>
      <c r="J166" s="9">
        <f t="shared" si="19"/>
        <v>-38395.89072773535</v>
      </c>
      <c r="K166" s="9">
        <f t="shared" si="19"/>
        <v>-30716.71258218828</v>
      </c>
      <c r="L166" s="89" t="s">
        <v>185</v>
      </c>
    </row>
    <row r="167" spans="1:19" ht="19.95" customHeight="1" x14ac:dyDescent="0.3">
      <c r="B167" s="9">
        <f t="shared" ref="B167:K167" si="20">B40+B59+B78+B97+B116+B135+B154</f>
        <v>0</v>
      </c>
      <c r="C167" s="9">
        <f t="shared" si="20"/>
        <v>0</v>
      </c>
      <c r="D167" s="9">
        <f t="shared" si="20"/>
        <v>0</v>
      </c>
      <c r="E167" s="9">
        <f t="shared" si="20"/>
        <v>0</v>
      </c>
      <c r="F167" s="9">
        <f t="shared" si="20"/>
        <v>-23997.431704834595</v>
      </c>
      <c r="G167" s="9">
        <f t="shared" si="20"/>
        <v>19197.945363867675</v>
      </c>
      <c r="H167" s="9">
        <f t="shared" si="20"/>
        <v>-47994.863409669189</v>
      </c>
      <c r="I167" s="9">
        <f t="shared" si="20"/>
        <v>-38395.89072773535</v>
      </c>
      <c r="J167" s="35">
        <f t="shared" si="20"/>
        <v>71992.29511450378</v>
      </c>
      <c r="K167" s="36">
        <f t="shared" si="20"/>
        <v>19197.945363867675</v>
      </c>
      <c r="L167" s="89" t="s">
        <v>186</v>
      </c>
    </row>
    <row r="168" spans="1:19" ht="19.95" customHeight="1" x14ac:dyDescent="0.3">
      <c r="B168" s="9">
        <f t="shared" ref="B168:K168" si="21">B41+B60+B79+B98+B117+B136+B155</f>
        <v>0</v>
      </c>
      <c r="C168" s="9">
        <f t="shared" si="21"/>
        <v>0</v>
      </c>
      <c r="D168" s="9">
        <f t="shared" si="21"/>
        <v>0</v>
      </c>
      <c r="E168" s="9">
        <f t="shared" si="21"/>
        <v>-45818.181818181816</v>
      </c>
      <c r="F168" s="9">
        <f t="shared" si="21"/>
        <v>19197.945363867675</v>
      </c>
      <c r="G168" s="9">
        <f t="shared" si="21"/>
        <v>-15358.35629109414</v>
      </c>
      <c r="H168" s="9">
        <f t="shared" si="21"/>
        <v>-38395.89072773535</v>
      </c>
      <c r="I168" s="9">
        <f t="shared" si="21"/>
        <v>-30716.71258218828</v>
      </c>
      <c r="J168" s="36">
        <f t="shared" si="21"/>
        <v>19197.945363867675</v>
      </c>
      <c r="K168" s="35">
        <f t="shared" si="21"/>
        <v>91893.250691464229</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IF(GRAFICA_22!F14=1, B172, GRAFICA_22!H14)</f>
        <v>C1X</v>
      </c>
      <c r="N172" s="215" t="s">
        <v>376</v>
      </c>
      <c r="O172" s="172"/>
      <c r="P172" s="172"/>
      <c r="Q172" s="172"/>
      <c r="R172" s="172"/>
      <c r="S172" s="173"/>
    </row>
    <row r="173" spans="1:19" ht="16.95" customHeight="1" x14ac:dyDescent="0.3">
      <c r="B173" s="12" t="s">
        <v>210</v>
      </c>
      <c r="C173" s="12" t="s">
        <v>179</v>
      </c>
      <c r="E173" s="37" t="str">
        <f>IF(GRAFICA_22!G14=1, B173, GRAFICA_22!I14)</f>
        <v>C1Y</v>
      </c>
      <c r="N173" s="215" t="s">
        <v>211</v>
      </c>
      <c r="O173" s="172"/>
      <c r="P173" s="172"/>
      <c r="Q173" s="172"/>
      <c r="R173" s="172"/>
      <c r="S173" s="173"/>
    </row>
    <row r="174" spans="1:19" ht="16.95" customHeight="1" x14ac:dyDescent="0.3">
      <c r="B174" s="12" t="s">
        <v>212</v>
      </c>
      <c r="C174" s="12" t="s">
        <v>180</v>
      </c>
      <c r="E174" s="37">
        <f>IF(GRAFICA_22!F15=1, B174, GRAFICA_22!H15)</f>
        <v>0</v>
      </c>
      <c r="N174" s="215" t="s">
        <v>377</v>
      </c>
      <c r="O174" s="172"/>
      <c r="P174" s="172"/>
      <c r="Q174" s="172"/>
      <c r="R174" s="172"/>
      <c r="S174" s="173"/>
    </row>
    <row r="175" spans="1:19" ht="16.95" customHeight="1" x14ac:dyDescent="0.3">
      <c r="B175" s="12" t="s">
        <v>214</v>
      </c>
      <c r="C175" s="12" t="s">
        <v>181</v>
      </c>
      <c r="E175" s="37">
        <f>IF(GRAFICA_22!G15=1, B175, GRAFICA_22!I15)</f>
        <v>-5000</v>
      </c>
      <c r="N175" s="215" t="s">
        <v>215</v>
      </c>
      <c r="O175" s="172"/>
      <c r="P175" s="172"/>
      <c r="Q175" s="172"/>
      <c r="R175" s="172"/>
      <c r="S175" s="173"/>
    </row>
    <row r="176" spans="1:19" ht="16.95" customHeight="1" x14ac:dyDescent="0.3">
      <c r="A176" s="38" t="s">
        <v>218</v>
      </c>
      <c r="B176" s="12" t="s">
        <v>216</v>
      </c>
      <c r="C176" s="12" t="s">
        <v>182</v>
      </c>
      <c r="D176" s="13" t="s">
        <v>220</v>
      </c>
      <c r="E176" s="37">
        <f>IF(GRAFICA_22!F16=1, B176, GRAFICA_22!H16)</f>
        <v>0</v>
      </c>
      <c r="N176" s="215" t="s">
        <v>378</v>
      </c>
      <c r="O176" s="172"/>
      <c r="P176" s="172"/>
      <c r="Q176" s="172"/>
      <c r="R176" s="172"/>
      <c r="S176" s="173"/>
    </row>
    <row r="177" spans="1:19" ht="16.95" customHeight="1" x14ac:dyDescent="0.3">
      <c r="B177" s="12" t="s">
        <v>219</v>
      </c>
      <c r="C177" s="12" t="s">
        <v>183</v>
      </c>
      <c r="E177" s="37" t="str">
        <f>IF(GRAFICA_22!G16=1, B177, GRAFICA_22!I16)</f>
        <v>C3Y</v>
      </c>
      <c r="N177" s="215" t="s">
        <v>379</v>
      </c>
      <c r="O177" s="172"/>
      <c r="P177" s="172"/>
      <c r="Q177" s="172"/>
      <c r="R177" s="172"/>
      <c r="S177" s="173"/>
    </row>
    <row r="178" spans="1:19" ht="16.95" customHeight="1" x14ac:dyDescent="0.3">
      <c r="B178" s="12" t="s">
        <v>221</v>
      </c>
      <c r="C178" s="12" t="s">
        <v>184</v>
      </c>
      <c r="E178" s="37">
        <f>IF(GRAFICA_22!F17=1, B178, GRAFICA_22!H17)</f>
        <v>2000</v>
      </c>
      <c r="N178" s="215"/>
      <c r="O178" s="172"/>
      <c r="P178" s="172"/>
      <c r="Q178" s="172"/>
      <c r="R178" s="172"/>
      <c r="S178" s="173"/>
    </row>
    <row r="179" spans="1:19" ht="16.95" customHeight="1" x14ac:dyDescent="0.3">
      <c r="B179" s="12" t="s">
        <v>222</v>
      </c>
      <c r="C179" s="12" t="s">
        <v>185</v>
      </c>
      <c r="E179" s="37">
        <f>IF(GRAFICA_22!G17=1, B179, GRAFICA_22!I17)</f>
        <v>-4500</v>
      </c>
      <c r="N179" s="215"/>
      <c r="O179" s="172"/>
      <c r="P179" s="172"/>
      <c r="Q179" s="172"/>
      <c r="R179" s="172"/>
      <c r="S179" s="173"/>
    </row>
    <row r="180" spans="1:19" ht="16.95" customHeight="1" x14ac:dyDescent="0.3">
      <c r="B180" s="12" t="s">
        <v>223</v>
      </c>
      <c r="C180" s="12" t="s">
        <v>186</v>
      </c>
      <c r="E180" s="37">
        <f>IF(GRAFICA_22!F18=1, B180, GRAFICA_22!H18)</f>
        <v>0</v>
      </c>
      <c r="N180" s="215"/>
      <c r="O180" s="172"/>
      <c r="P180" s="172"/>
      <c r="Q180" s="172"/>
      <c r="R180" s="172"/>
      <c r="S180" s="173"/>
    </row>
    <row r="181" spans="1:19" ht="16.95" customHeight="1" x14ac:dyDescent="0.3">
      <c r="B181" s="12" t="s">
        <v>224</v>
      </c>
      <c r="C181" s="12" t="s">
        <v>187</v>
      </c>
      <c r="E181" s="37">
        <f>IF(GRAFICA_22!G18=1, B181, GRAFICA_22!I18)</f>
        <v>-7500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IF(GRAFICA_22!F14=1,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IF(GRAFICA_22!G14=1,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IF(GRAFICA_22!F15=1,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IF(GRAFICA_22!G15=1,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IF(GRAFICA_22!F16=1,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IF(GRAFICA_22!G16=1,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IF(GRAFICA_22!F17=1,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IF(GRAFICA_22!G17=1,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IF(GRAFICA_22!F18=1,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IF(GRAFICA_22!G18=1,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92283.344854757277</v>
      </c>
      <c r="D198" s="9">
        <f t="shared" si="23"/>
        <v>25109.346294208925</v>
      </c>
      <c r="E198" s="9">
        <f t="shared" si="23"/>
        <v>-44288.481445088088</v>
      </c>
      <c r="F198" s="9">
        <f t="shared" si="23"/>
        <v>13286.544433526427</v>
      </c>
      <c r="G198" s="9">
        <f t="shared" si="23"/>
        <v>0</v>
      </c>
      <c r="H198" s="9">
        <f t="shared" si="23"/>
        <v>0</v>
      </c>
      <c r="I198" s="9">
        <f t="shared" si="23"/>
        <v>-47994.863409669189</v>
      </c>
      <c r="J198" s="9">
        <f t="shared" si="23"/>
        <v>-38395.89072773535</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25109.346294208925</v>
      </c>
      <c r="D199" s="9">
        <f t="shared" si="24"/>
        <v>34702.67591224621</v>
      </c>
      <c r="E199" s="9">
        <f t="shared" si="24"/>
        <v>13286.544433526427</v>
      </c>
      <c r="F199" s="9">
        <f t="shared" si="24"/>
        <v>-3985.9633300579276</v>
      </c>
      <c r="G199" s="9">
        <f t="shared" si="24"/>
        <v>0</v>
      </c>
      <c r="H199" s="9">
        <f t="shared" si="24"/>
        <v>0</v>
      </c>
      <c r="I199" s="9">
        <f t="shared" si="24"/>
        <v>-38395.89072773535</v>
      </c>
      <c r="J199" s="9">
        <f t="shared" si="24"/>
        <v>-30716.71258218828</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-44288.481445088088</v>
      </c>
      <c r="D200" s="9">
        <f t="shared" si="25"/>
        <v>13286.544433526427</v>
      </c>
      <c r="E200" s="41">
        <f t="shared" si="25"/>
        <v>108370.47975736702</v>
      </c>
      <c r="F200" s="41">
        <f t="shared" si="25"/>
        <v>-27710.923614067189</v>
      </c>
      <c r="G200" s="41">
        <f t="shared" si="25"/>
        <v>-44288.481445088088</v>
      </c>
      <c r="H200" s="9">
        <f t="shared" si="25"/>
        <v>-13286.544433526427</v>
      </c>
      <c r="I200" s="41">
        <f t="shared" si="25"/>
        <v>-19793.516867190847</v>
      </c>
      <c r="J200" s="41">
        <f t="shared" si="25"/>
        <v>27710.923614067189</v>
      </c>
      <c r="K200" s="41">
        <f t="shared" si="25"/>
        <v>0</v>
      </c>
      <c r="L200" s="41">
        <f t="shared" si="25"/>
        <v>0</v>
      </c>
      <c r="M200" s="13" t="s">
        <v>251</v>
      </c>
      <c r="N200" s="215" t="s">
        <v>254</v>
      </c>
      <c r="O200" s="172"/>
      <c r="P200" s="172"/>
      <c r="Q200" s="172"/>
      <c r="R200" s="172"/>
      <c r="S200" s="173"/>
    </row>
    <row r="201" spans="1:19" ht="16.95" customHeight="1" x14ac:dyDescent="0.3">
      <c r="A201" s="41">
        <f t="shared" si="22"/>
        <v>-5000</v>
      </c>
      <c r="C201" s="9">
        <f t="shared" ref="C201:L201" si="26">B162</f>
        <v>13286.544433526427</v>
      </c>
      <c r="D201" s="9">
        <f t="shared" si="26"/>
        <v>-3985.9633300579276</v>
      </c>
      <c r="E201" s="41">
        <f t="shared" si="26"/>
        <v>-27710.923614067189</v>
      </c>
      <c r="F201" s="41">
        <f t="shared" si="26"/>
        <v>92585.40153799174</v>
      </c>
      <c r="G201" s="41">
        <f t="shared" si="26"/>
        <v>-13286.544433526427</v>
      </c>
      <c r="H201" s="9">
        <f t="shared" si="26"/>
        <v>-3985.9633300579276</v>
      </c>
      <c r="I201" s="41">
        <f t="shared" si="26"/>
        <v>27710.923614067189</v>
      </c>
      <c r="J201" s="41">
        <f t="shared" si="26"/>
        <v>-38795.293059694071</v>
      </c>
      <c r="K201" s="41">
        <f t="shared" si="26"/>
        <v>0</v>
      </c>
      <c r="L201" s="41">
        <f t="shared" si="26"/>
        <v>-45818.181818181816</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-44288.481445088088</v>
      </c>
      <c r="F202" s="41">
        <f t="shared" si="27"/>
        <v>-13286.544433526427</v>
      </c>
      <c r="G202" s="41">
        <f t="shared" si="27"/>
        <v>68285.913149922679</v>
      </c>
      <c r="H202" s="9">
        <f t="shared" si="27"/>
        <v>-5911.4009303412477</v>
      </c>
      <c r="I202" s="41">
        <f t="shared" si="27"/>
        <v>0</v>
      </c>
      <c r="J202" s="41">
        <f t="shared" si="27"/>
        <v>0</v>
      </c>
      <c r="K202" s="41">
        <f t="shared" si="27"/>
        <v>-23997.431704834595</v>
      </c>
      <c r="L202" s="41">
        <f t="shared" si="27"/>
        <v>19197.945363867675</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-13286.544433526427</v>
      </c>
      <c r="F203" s="9">
        <f t="shared" si="28"/>
        <v>-3985.9633300579276</v>
      </c>
      <c r="G203" s="9">
        <f t="shared" si="28"/>
        <v>-5911.4009303412477</v>
      </c>
      <c r="H203" s="9">
        <f t="shared" si="28"/>
        <v>19344.319621152066</v>
      </c>
      <c r="I203" s="9">
        <f t="shared" si="28"/>
        <v>0</v>
      </c>
      <c r="J203" s="9">
        <f t="shared" si="28"/>
        <v>0</v>
      </c>
      <c r="K203" s="9">
        <f t="shared" si="28"/>
        <v>19197.945363867675</v>
      </c>
      <c r="L203" s="9">
        <f t="shared" si="28"/>
        <v>-15358.35629109414</v>
      </c>
      <c r="M203" s="13" t="s">
        <v>251</v>
      </c>
      <c r="N203" s="219">
        <f>E189</f>
        <v>0</v>
      </c>
      <c r="O203" s="172"/>
      <c r="P203" s="172"/>
      <c r="Q203" s="172"/>
      <c r="R203" s="172"/>
      <c r="S203" s="173"/>
    </row>
    <row r="204" spans="1:19" ht="16.95" customHeight="1" x14ac:dyDescent="0.3">
      <c r="A204" s="41">
        <f t="shared" si="22"/>
        <v>2000</v>
      </c>
      <c r="C204" s="9">
        <f t="shared" ref="C204:L204" si="29">B165</f>
        <v>-47994.863409669189</v>
      </c>
      <c r="D204" s="9">
        <f t="shared" si="29"/>
        <v>-38395.89072773535</v>
      </c>
      <c r="E204" s="41">
        <f t="shared" si="29"/>
        <v>-19793.516867190847</v>
      </c>
      <c r="F204" s="41">
        <f t="shared" si="29"/>
        <v>27710.923614067189</v>
      </c>
      <c r="G204" s="41">
        <f t="shared" si="29"/>
        <v>0</v>
      </c>
      <c r="H204" s="9">
        <f t="shared" si="29"/>
        <v>0</v>
      </c>
      <c r="I204" s="41">
        <f t="shared" si="29"/>
        <v>115783.24368652923</v>
      </c>
      <c r="J204" s="41">
        <f t="shared" si="29"/>
        <v>49080.857841403515</v>
      </c>
      <c r="K204" s="41">
        <f t="shared" si="29"/>
        <v>-47994.863409669189</v>
      </c>
      <c r="L204" s="41">
        <f t="shared" si="29"/>
        <v>-38395.89072773535</v>
      </c>
      <c r="M204" s="13" t="s">
        <v>251</v>
      </c>
      <c r="N204" s="215" t="str">
        <f>E190</f>
        <v>D4X</v>
      </c>
      <c r="O204" s="172"/>
      <c r="P204" s="172"/>
      <c r="Q204" s="172"/>
      <c r="R204" s="172"/>
      <c r="S204" s="173"/>
    </row>
    <row r="205" spans="1:19" ht="16.95" customHeight="1" x14ac:dyDescent="0.3">
      <c r="A205" s="41">
        <f t="shared" si="22"/>
        <v>-4500</v>
      </c>
      <c r="C205" s="9">
        <f t="shared" ref="C205:L205" si="30">B166</f>
        <v>-38395.89072773535</v>
      </c>
      <c r="D205" s="9">
        <f t="shared" si="30"/>
        <v>-30716.71258218828</v>
      </c>
      <c r="E205" s="41">
        <f t="shared" si="30"/>
        <v>27710.923614067189</v>
      </c>
      <c r="F205" s="41">
        <f t="shared" si="30"/>
        <v>-38795.293059694071</v>
      </c>
      <c r="G205" s="41">
        <f t="shared" si="30"/>
        <v>0</v>
      </c>
      <c r="H205" s="9">
        <f t="shared" si="30"/>
        <v>0</v>
      </c>
      <c r="I205" s="41">
        <f t="shared" si="30"/>
        <v>49080.857841403515</v>
      </c>
      <c r="J205" s="41">
        <f t="shared" si="30"/>
        <v>100228.71822407063</v>
      </c>
      <c r="K205" s="41">
        <f t="shared" si="30"/>
        <v>-38395.89072773535</v>
      </c>
      <c r="L205" s="41">
        <f t="shared" si="30"/>
        <v>-30716.71258218828</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0</v>
      </c>
      <c r="F206" s="41">
        <f t="shared" si="31"/>
        <v>0</v>
      </c>
      <c r="G206" s="41">
        <f t="shared" si="31"/>
        <v>-23997.431704834595</v>
      </c>
      <c r="H206" s="9">
        <f t="shared" si="31"/>
        <v>19197.945363867675</v>
      </c>
      <c r="I206" s="41">
        <f t="shared" si="31"/>
        <v>-47994.863409669189</v>
      </c>
      <c r="J206" s="41">
        <f t="shared" si="31"/>
        <v>-38395.89072773535</v>
      </c>
      <c r="K206" s="41">
        <f t="shared" si="31"/>
        <v>71992.29511450378</v>
      </c>
      <c r="L206" s="41">
        <f t="shared" si="31"/>
        <v>19197.945363867675</v>
      </c>
      <c r="M206" s="13" t="s">
        <v>251</v>
      </c>
      <c r="N206" s="215" t="str">
        <f>E192</f>
        <v>D5X</v>
      </c>
      <c r="O206" s="172"/>
      <c r="P206" s="172"/>
      <c r="Q206" s="172"/>
      <c r="R206" s="172"/>
      <c r="S206" s="173"/>
    </row>
    <row r="207" spans="1:19" ht="16.95" customHeight="1" x14ac:dyDescent="0.3">
      <c r="A207" s="41">
        <f t="shared" si="22"/>
        <v>-7500</v>
      </c>
      <c r="C207" s="9">
        <f t="shared" ref="C207:L207" si="32">B168</f>
        <v>0</v>
      </c>
      <c r="D207" s="9">
        <f t="shared" si="32"/>
        <v>0</v>
      </c>
      <c r="E207" s="41">
        <f t="shared" si="32"/>
        <v>0</v>
      </c>
      <c r="F207" s="41">
        <f t="shared" si="32"/>
        <v>-45818.181818181816</v>
      </c>
      <c r="G207" s="41">
        <f t="shared" si="32"/>
        <v>19197.945363867675</v>
      </c>
      <c r="H207" s="9">
        <f t="shared" si="32"/>
        <v>-15358.35629109414</v>
      </c>
      <c r="I207" s="41">
        <f t="shared" si="32"/>
        <v>-38395.89072773535</v>
      </c>
      <c r="J207" s="41">
        <f t="shared" si="32"/>
        <v>-30716.71258218828</v>
      </c>
      <c r="K207" s="41">
        <f t="shared" si="32"/>
        <v>19197.945363867675</v>
      </c>
      <c r="L207" s="41">
        <f t="shared" si="32"/>
        <v>91893.250691464229</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108370.47975736702</v>
      </c>
      <c r="D212" s="41">
        <f t="shared" si="34"/>
        <v>-27710.923614067189</v>
      </c>
      <c r="E212" s="41">
        <f t="shared" si="34"/>
        <v>-44288.481445088088</v>
      </c>
      <c r="F212" s="41">
        <f t="shared" si="34"/>
        <v>-19793.516867190847</v>
      </c>
      <c r="G212" s="41">
        <f t="shared" si="34"/>
        <v>27710.923614067189</v>
      </c>
      <c r="H212" s="41">
        <f t="shared" si="34"/>
        <v>0</v>
      </c>
      <c r="I212" s="41">
        <f t="shared" si="34"/>
        <v>0</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-5000</v>
      </c>
      <c r="C213" s="41">
        <f t="shared" si="34"/>
        <v>-27710.923614067189</v>
      </c>
      <c r="D213" s="41">
        <f t="shared" si="34"/>
        <v>92585.40153799174</v>
      </c>
      <c r="E213" s="41">
        <f t="shared" si="34"/>
        <v>-13286.544433526427</v>
      </c>
      <c r="F213" s="41">
        <f t="shared" si="34"/>
        <v>27710.923614067189</v>
      </c>
      <c r="G213" s="41">
        <f t="shared" si="34"/>
        <v>-38795.293059694071</v>
      </c>
      <c r="H213" s="41">
        <f t="shared" si="34"/>
        <v>0</v>
      </c>
      <c r="I213" s="41">
        <f t="shared" si="34"/>
        <v>-45818.181818181816</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-44288.481445088088</v>
      </c>
      <c r="D214" s="41">
        <f t="shared" si="34"/>
        <v>-13286.544433526427</v>
      </c>
      <c r="E214" s="41">
        <f t="shared" si="34"/>
        <v>68285.913149922679</v>
      </c>
      <c r="F214" s="41">
        <f t="shared" si="34"/>
        <v>0</v>
      </c>
      <c r="G214" s="41">
        <f t="shared" si="34"/>
        <v>0</v>
      </c>
      <c r="H214" s="41">
        <f t="shared" si="34"/>
        <v>-23997.431704834595</v>
      </c>
      <c r="I214" s="41">
        <f t="shared" si="34"/>
        <v>19197.945363867675</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2000</v>
      </c>
      <c r="B215" s="13" t="s">
        <v>220</v>
      </c>
      <c r="C215" s="41">
        <f t="shared" si="34"/>
        <v>-19793.516867190847</v>
      </c>
      <c r="D215" s="41">
        <f t="shared" si="34"/>
        <v>27710.923614067189</v>
      </c>
      <c r="E215" s="41">
        <f t="shared" si="34"/>
        <v>0</v>
      </c>
      <c r="F215" s="41">
        <f t="shared" si="34"/>
        <v>115783.24368652923</v>
      </c>
      <c r="G215" s="41">
        <f t="shared" si="34"/>
        <v>49080.857841403515</v>
      </c>
      <c r="H215" s="41">
        <f t="shared" si="34"/>
        <v>-47994.863409669189</v>
      </c>
      <c r="I215" s="41">
        <f t="shared" si="34"/>
        <v>-38395.89072773535</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-4500</v>
      </c>
      <c r="C216" s="41">
        <f t="shared" si="34"/>
        <v>27710.923614067189</v>
      </c>
      <c r="D216" s="41">
        <f t="shared" si="34"/>
        <v>-38795.293059694071</v>
      </c>
      <c r="E216" s="41">
        <f t="shared" si="34"/>
        <v>0</v>
      </c>
      <c r="F216" s="41">
        <f t="shared" si="34"/>
        <v>49080.857841403515</v>
      </c>
      <c r="G216" s="41">
        <f t="shared" si="34"/>
        <v>100228.71822407063</v>
      </c>
      <c r="H216" s="41">
        <f t="shared" si="34"/>
        <v>-38395.89072773535</v>
      </c>
      <c r="I216" s="41">
        <f t="shared" si="34"/>
        <v>-30716.71258218828</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0</v>
      </c>
      <c r="C217" s="41">
        <f t="shared" si="34"/>
        <v>0</v>
      </c>
      <c r="D217" s="41">
        <f t="shared" si="34"/>
        <v>0</v>
      </c>
      <c r="E217" s="41">
        <f t="shared" si="34"/>
        <v>-23997.431704834595</v>
      </c>
      <c r="F217" s="41">
        <f t="shared" si="34"/>
        <v>-47994.863409669189</v>
      </c>
      <c r="G217" s="41">
        <f t="shared" si="34"/>
        <v>-38395.89072773535</v>
      </c>
      <c r="H217" s="41">
        <f t="shared" si="34"/>
        <v>71992.29511450378</v>
      </c>
      <c r="I217" s="41">
        <f t="shared" si="34"/>
        <v>19197.945363867675</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-7500</v>
      </c>
      <c r="C218" s="41">
        <f t="shared" si="34"/>
        <v>0</v>
      </c>
      <c r="D218" s="41">
        <f t="shared" si="34"/>
        <v>-45818.181818181816</v>
      </c>
      <c r="E218" s="41">
        <f t="shared" si="34"/>
        <v>19197.945363867675</v>
      </c>
      <c r="F218" s="41">
        <f t="shared" si="34"/>
        <v>-38395.89072773535</v>
      </c>
      <c r="G218" s="41">
        <f t="shared" si="34"/>
        <v>-30716.71258218828</v>
      </c>
      <c r="H218" s="41">
        <f t="shared" si="34"/>
        <v>19197.945363867675</v>
      </c>
      <c r="I218" s="41">
        <f t="shared" si="34"/>
        <v>91893.250691464229</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1.9849698568565779E-5</v>
      </c>
      <c r="D222" s="93">
        <v>1.1648358371572152E-6</v>
      </c>
      <c r="E222" s="93">
        <v>1.7120162822225794E-5</v>
      </c>
      <c r="F222" s="93">
        <v>8.4331095941622471E-6</v>
      </c>
      <c r="G222" s="93">
        <v>-6.9898705731310153E-6</v>
      </c>
      <c r="H222" s="93">
        <v>8.5600814111129002E-6</v>
      </c>
      <c r="I222" s="93">
        <v>-3.5970689247475411E-6</v>
      </c>
      <c r="K222" s="17">
        <f t="shared" ref="K222:K228" si="36">A212</f>
        <v>0</v>
      </c>
      <c r="N222" s="215"/>
      <c r="O222" s="172"/>
      <c r="P222" s="172"/>
      <c r="Q222" s="172"/>
      <c r="R222" s="172"/>
      <c r="S222" s="173"/>
    </row>
    <row r="223" spans="1:19" ht="16.95" customHeight="1" x14ac:dyDescent="0.3">
      <c r="A223" s="12" t="str">
        <f t="shared" si="35"/>
        <v>D2Y</v>
      </c>
      <c r="C223" s="93">
        <v>1.1648358371572232E-6</v>
      </c>
      <c r="D223" s="93">
        <v>3.8093747207047947E-5</v>
      </c>
      <c r="E223" s="93">
        <v>2.3296716743144426E-6</v>
      </c>
      <c r="F223" s="93">
        <v>-1.2942787985954503E-5</v>
      </c>
      <c r="G223" s="93">
        <v>2.8016873047682431E-5</v>
      </c>
      <c r="H223" s="93">
        <v>1.1648358371572211E-6</v>
      </c>
      <c r="I223" s="93">
        <v>2.2220731334032085E-5</v>
      </c>
      <c r="K223" s="17">
        <f t="shared" si="36"/>
        <v>-5000</v>
      </c>
      <c r="N223" s="215"/>
      <c r="O223" s="172"/>
      <c r="P223" s="172"/>
      <c r="Q223" s="172"/>
      <c r="R223" s="172"/>
      <c r="S223" s="173"/>
    </row>
    <row r="224" spans="1:19" ht="16.95" customHeight="1" x14ac:dyDescent="0.3">
      <c r="A224" s="12" t="str">
        <f t="shared" si="35"/>
        <v>D3X</v>
      </c>
      <c r="C224" s="93">
        <v>1.71201628222258E-5</v>
      </c>
      <c r="D224" s="93">
        <v>2.3296716743144388E-6</v>
      </c>
      <c r="E224" s="93">
        <v>3.4240325644451587E-5</v>
      </c>
      <c r="F224" s="93">
        <v>8.6555885283587638E-6</v>
      </c>
      <c r="G224" s="93">
        <v>-3.7164528213048702E-6</v>
      </c>
      <c r="H224" s="93">
        <v>1.7120162822225797E-5</v>
      </c>
      <c r="I224" s="93">
        <v>-7.1941378494950847E-6</v>
      </c>
      <c r="K224" s="17">
        <f t="shared" si="36"/>
        <v>0</v>
      </c>
      <c r="N224" s="215"/>
      <c r="O224" s="172"/>
      <c r="P224" s="172"/>
      <c r="Q224" s="172"/>
      <c r="R224" s="172"/>
      <c r="S224" s="173"/>
    </row>
    <row r="225" spans="1:19" ht="16.95" customHeight="1" x14ac:dyDescent="0.3">
      <c r="A225" s="12" t="str">
        <f t="shared" si="35"/>
        <v>D4X</v>
      </c>
      <c r="B225" s="13" t="s">
        <v>220</v>
      </c>
      <c r="C225" s="93">
        <v>8.4331095941622454E-6</v>
      </c>
      <c r="D225" s="93">
        <v>-1.2942787985954509E-5</v>
      </c>
      <c r="E225" s="93">
        <v>8.6555885283587571E-6</v>
      </c>
      <c r="F225" s="93">
        <v>2.2362997952955929E-5</v>
      </c>
      <c r="G225" s="93">
        <v>-1.6115359375955607E-5</v>
      </c>
      <c r="H225" s="93">
        <v>1.0957291580713393E-5</v>
      </c>
      <c r="I225" s="93">
        <v>-6.5935816367481577E-6</v>
      </c>
      <c r="K225" s="17">
        <f t="shared" si="36"/>
        <v>2000</v>
      </c>
      <c r="N225" s="215"/>
      <c r="O225" s="172"/>
      <c r="P225" s="172"/>
      <c r="Q225" s="172"/>
      <c r="R225" s="172"/>
      <c r="S225" s="173"/>
    </row>
    <row r="226" spans="1:19" ht="16.95" customHeight="1" x14ac:dyDescent="0.3">
      <c r="A226" s="12" t="str">
        <f t="shared" si="35"/>
        <v>D4Y</v>
      </c>
      <c r="C226" s="93">
        <v>-6.9898705731310128E-6</v>
      </c>
      <c r="D226" s="93">
        <v>2.8016873047682438E-5</v>
      </c>
      <c r="E226" s="93">
        <v>-3.7164528213048677E-6</v>
      </c>
      <c r="F226" s="93">
        <v>-1.61153593759556E-5</v>
      </c>
      <c r="G226" s="93">
        <v>3.7901781317803453E-5</v>
      </c>
      <c r="H226" s="93">
        <v>2.8771288154432853E-6</v>
      </c>
      <c r="I226" s="93">
        <v>2.00803651111745E-5</v>
      </c>
      <c r="K226" s="17">
        <f t="shared" si="36"/>
        <v>-4500</v>
      </c>
      <c r="N226" s="215"/>
      <c r="O226" s="172"/>
      <c r="P226" s="172"/>
      <c r="Q226" s="172"/>
      <c r="R226" s="172"/>
      <c r="S226" s="173"/>
    </row>
    <row r="227" spans="1:19" ht="16.95" customHeight="1" x14ac:dyDescent="0.3">
      <c r="A227" s="12" t="str">
        <f t="shared" si="35"/>
        <v>D5X</v>
      </c>
      <c r="C227" s="93">
        <v>8.5600814111129002E-6</v>
      </c>
      <c r="D227" s="93">
        <v>1.1648358371572167E-6</v>
      </c>
      <c r="E227" s="93">
        <v>1.7120162822225794E-5</v>
      </c>
      <c r="F227" s="93">
        <v>1.0957291580713394E-5</v>
      </c>
      <c r="G227" s="93">
        <v>2.8771288154432815E-6</v>
      </c>
      <c r="H227" s="93">
        <v>2.9395644405934073E-5</v>
      </c>
      <c r="I227" s="93">
        <v>-3.5970689247475436E-6</v>
      </c>
      <c r="K227" s="17">
        <f t="shared" si="36"/>
        <v>0</v>
      </c>
      <c r="N227" s="215"/>
      <c r="O227" s="172"/>
      <c r="P227" s="172"/>
      <c r="Q227" s="172"/>
      <c r="R227" s="172"/>
      <c r="S227" s="173"/>
    </row>
    <row r="228" spans="1:19" ht="16.95" customHeight="1" x14ac:dyDescent="0.3">
      <c r="A228" s="12" t="str">
        <f t="shared" si="35"/>
        <v>D5Y</v>
      </c>
      <c r="C228" s="93">
        <v>-3.5970689247475402E-6</v>
      </c>
      <c r="D228" s="93">
        <v>2.2220731334032081E-5</v>
      </c>
      <c r="E228" s="93">
        <v>-7.1941378494950821E-6</v>
      </c>
      <c r="F228" s="93">
        <v>-6.593581636748156E-6</v>
      </c>
      <c r="G228" s="93">
        <v>2.0080365111174497E-5</v>
      </c>
      <c r="H228" s="93">
        <v>-3.5970689247475419E-6</v>
      </c>
      <c r="I228" s="93">
        <v>2.8173112286413037E-5</v>
      </c>
      <c r="K228" s="17">
        <f t="shared" si="36"/>
        <v>-7500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6.9474474517234541E-2</v>
      </c>
      <c r="D232" s="12" t="s">
        <v>267</v>
      </c>
      <c r="N232" s="215"/>
      <c r="O232" s="172"/>
      <c r="P232" s="172"/>
      <c r="Q232" s="172"/>
      <c r="R232" s="172"/>
      <c r="S232" s="173"/>
    </row>
    <row r="233" spans="1:19" ht="16.95" customHeight="1" x14ac:dyDescent="0.3">
      <c r="A233" s="12" t="str">
        <f t="shared" si="37"/>
        <v>D2Y</v>
      </c>
      <c r="C233" s="94">
        <v>-0.50908572572696031</v>
      </c>
      <c r="D233" s="12" t="s">
        <v>267</v>
      </c>
      <c r="N233" s="215"/>
      <c r="O233" s="172"/>
      <c r="P233" s="172"/>
      <c r="Q233" s="172"/>
      <c r="R233" s="172"/>
      <c r="S233" s="173"/>
    </row>
    <row r="234" spans="1:19" ht="16.95" customHeight="1" x14ac:dyDescent="0.3">
      <c r="A234" s="12" t="str">
        <f t="shared" si="37"/>
        <v>D3X</v>
      </c>
      <c r="C234" s="94">
        <v>7.6342890252230386E-2</v>
      </c>
      <c r="D234" s="12" t="s">
        <v>267</v>
      </c>
      <c r="N234" s="215"/>
      <c r="O234" s="172"/>
      <c r="P234" s="172"/>
      <c r="Q234" s="172"/>
      <c r="R234" s="172"/>
      <c r="S234" s="173"/>
    </row>
    <row r="235" spans="1:19" ht="16.95" customHeight="1" x14ac:dyDescent="0.3">
      <c r="A235" s="12" t="str">
        <f t="shared" si="37"/>
        <v>D4X</v>
      </c>
      <c r="B235" s="13" t="s">
        <v>220</v>
      </c>
      <c r="C235" s="94">
        <v>0.23141091530309582</v>
      </c>
      <c r="D235" s="12" t="s">
        <v>267</v>
      </c>
      <c r="N235" s="215"/>
      <c r="O235" s="172"/>
      <c r="P235" s="172"/>
      <c r="Q235" s="172"/>
      <c r="R235" s="172"/>
      <c r="S235" s="173"/>
    </row>
    <row r="236" spans="1:19" ht="16.95" customHeight="1" x14ac:dyDescent="0.3">
      <c r="A236" s="12" t="str">
        <f t="shared" si="37"/>
        <v>D4Y</v>
      </c>
      <c r="C236" s="94">
        <v>-0.49347583825424768</v>
      </c>
      <c r="D236" s="12" t="s">
        <v>267</v>
      </c>
      <c r="N236" s="215"/>
      <c r="O236" s="172"/>
      <c r="P236" s="172"/>
      <c r="Q236" s="172"/>
      <c r="R236" s="172"/>
      <c r="S236" s="173"/>
    </row>
    <row r="237" spans="1:19" ht="16.95" customHeight="1" x14ac:dyDescent="0.3">
      <c r="A237" s="12" t="str">
        <f t="shared" si="37"/>
        <v>D5X</v>
      </c>
      <c r="C237" s="94">
        <v>3.0121341241752517E-2</v>
      </c>
      <c r="D237" s="12" t="s">
        <v>267</v>
      </c>
      <c r="N237" s="215"/>
      <c r="O237" s="172"/>
      <c r="P237" s="172"/>
      <c r="Q237" s="172"/>
      <c r="R237" s="172"/>
      <c r="S237" s="173"/>
    </row>
    <row r="238" spans="1:19" ht="16.95" customHeight="1" x14ac:dyDescent="0.3">
      <c r="A238" s="12" t="str">
        <f t="shared" si="37"/>
        <v>D5Y</v>
      </c>
      <c r="C238" s="94">
        <v>-0.42595080509203975</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-44288.481445088088</v>
      </c>
      <c r="D243" s="9">
        <f t="shared" si="38"/>
        <v>13286.544433526427</v>
      </c>
      <c r="E243" s="9">
        <f t="shared" si="38"/>
        <v>0</v>
      </c>
      <c r="F243" s="9">
        <f t="shared" si="38"/>
        <v>-47994.863409669189</v>
      </c>
      <c r="G243" s="9">
        <f t="shared" si="38"/>
        <v>-38395.89072773535</v>
      </c>
      <c r="H243" s="9">
        <f t="shared" si="38"/>
        <v>0</v>
      </c>
      <c r="I243" s="9">
        <f t="shared" si="38"/>
        <v>0</v>
      </c>
      <c r="K243" s="95">
        <f t="shared" ref="K243:K249" si="39">C232</f>
        <v>6.9474474517234541E-2</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13286.544433526427</v>
      </c>
      <c r="D244" s="9">
        <f t="shared" si="38"/>
        <v>-3985.9633300579276</v>
      </c>
      <c r="E244" s="9">
        <f t="shared" si="38"/>
        <v>0</v>
      </c>
      <c r="F244" s="9">
        <f t="shared" si="38"/>
        <v>-38395.89072773535</v>
      </c>
      <c r="G244" s="9">
        <f t="shared" si="38"/>
        <v>-30716.71258218828</v>
      </c>
      <c r="H244" s="9">
        <f t="shared" si="38"/>
        <v>0</v>
      </c>
      <c r="I244" s="9">
        <f t="shared" si="38"/>
        <v>0</v>
      </c>
      <c r="K244" s="95">
        <f t="shared" si="39"/>
        <v>-0.50908572572696031</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-13286.544433526427</v>
      </c>
      <c r="D245" s="9">
        <f t="shared" si="38"/>
        <v>-3985.9633300579276</v>
      </c>
      <c r="E245" s="9">
        <f t="shared" si="38"/>
        <v>-5911.4009303412477</v>
      </c>
      <c r="F245" s="9">
        <f t="shared" si="38"/>
        <v>0</v>
      </c>
      <c r="G245" s="9">
        <f t="shared" si="38"/>
        <v>0</v>
      </c>
      <c r="H245" s="9">
        <f t="shared" si="38"/>
        <v>19197.945363867675</v>
      </c>
      <c r="I245" s="9">
        <f t="shared" si="38"/>
        <v>-15358.35629109414</v>
      </c>
      <c r="K245" s="95">
        <f t="shared" si="39"/>
        <v>7.6342890252230386E-2</v>
      </c>
      <c r="L245" s="14" t="str">
        <f>INDEX(C$184:C$193, MATCH(3, G$184:G$193, 0))</f>
        <v>U3Y</v>
      </c>
      <c r="N245" s="215" t="s">
        <v>392</v>
      </c>
      <c r="O245" s="172"/>
      <c r="P245" s="172"/>
      <c r="Q245" s="172"/>
      <c r="R245" s="172"/>
      <c r="S245" s="173"/>
    </row>
    <row r="246" spans="1:19" ht="16.95" customHeight="1" x14ac:dyDescent="0.3">
      <c r="K246" s="95">
        <f t="shared" si="39"/>
        <v>0.23141091530309582</v>
      </c>
      <c r="N246" s="215" t="s">
        <v>393</v>
      </c>
      <c r="O246" s="172"/>
      <c r="P246" s="172"/>
      <c r="Q246" s="172"/>
      <c r="R246" s="172"/>
      <c r="S246" s="173"/>
    </row>
    <row r="247" spans="1:19" ht="16.95" customHeight="1" x14ac:dyDescent="0.3">
      <c r="K247" s="95">
        <f t="shared" si="39"/>
        <v>-0.49347583825424768</v>
      </c>
      <c r="N247" s="215" t="s">
        <v>394</v>
      </c>
      <c r="O247" s="172"/>
      <c r="P247" s="172"/>
      <c r="Q247" s="172"/>
      <c r="R247" s="172"/>
      <c r="S247" s="173"/>
    </row>
    <row r="248" spans="1:19" ht="16.95" customHeight="1" x14ac:dyDescent="0.3">
      <c r="K248" s="95">
        <f t="shared" si="39"/>
        <v>3.0121341241752517E-2</v>
      </c>
      <c r="N248" s="215"/>
      <c r="O248" s="172"/>
      <c r="P248" s="172"/>
      <c r="Q248" s="172"/>
      <c r="R248" s="172"/>
      <c r="S248" s="173"/>
    </row>
    <row r="249" spans="1:19" ht="16.95" customHeight="1" x14ac:dyDescent="0.3">
      <c r="K249" s="95">
        <f t="shared" si="39"/>
        <v>-0.42595080509203975</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-2000.0000000000036</v>
      </c>
      <c r="D251" s="12" t="s">
        <v>273</v>
      </c>
      <c r="N251" s="215"/>
      <c r="O251" s="172"/>
      <c r="P251" s="172"/>
      <c r="Q251" s="172"/>
      <c r="R251" s="172"/>
      <c r="S251" s="173"/>
    </row>
    <row r="252" spans="1:19" ht="16.95" customHeight="1" x14ac:dyDescent="0.3">
      <c r="A252" s="12" t="str">
        <f>A244</f>
        <v>C1Y</v>
      </c>
      <c r="B252" s="13" t="s">
        <v>220</v>
      </c>
      <c r="C252" s="17">
        <v>9225</v>
      </c>
      <c r="D252" s="12" t="s">
        <v>273</v>
      </c>
      <c r="N252" s="215"/>
      <c r="O252" s="172"/>
      <c r="P252" s="172"/>
      <c r="Q252" s="172"/>
      <c r="R252" s="172"/>
      <c r="S252" s="173"/>
    </row>
    <row r="253" spans="1:19" ht="16.95" customHeight="1" x14ac:dyDescent="0.3">
      <c r="A253" s="12" t="str">
        <f>A245</f>
        <v>C3Y</v>
      </c>
      <c r="C253" s="17">
        <v>7775.0000000000027</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6.9474474517234541E-2</v>
      </c>
    </row>
    <row r="261" spans="1:19" ht="19.05" customHeight="1" x14ac:dyDescent="0.3">
      <c r="A261" s="12" t="s">
        <v>231</v>
      </c>
      <c r="B261" s="12" t="s">
        <v>181</v>
      </c>
      <c r="D261" s="94">
        <f t="shared" si="40"/>
        <v>-0.50908572572696031</v>
      </c>
    </row>
    <row r="262" spans="1:19" ht="19.05" customHeight="1" x14ac:dyDescent="0.3">
      <c r="A262" s="12" t="s">
        <v>232</v>
      </c>
      <c r="B262" s="12" t="s">
        <v>182</v>
      </c>
      <c r="D262" s="94">
        <f t="shared" si="40"/>
        <v>7.6342890252230386E-2</v>
      </c>
    </row>
    <row r="263" spans="1:19" ht="19.05" customHeight="1" x14ac:dyDescent="0.3">
      <c r="A263" s="12" t="s">
        <v>234</v>
      </c>
      <c r="B263" s="12" t="s">
        <v>183</v>
      </c>
      <c r="D263" s="94">
        <f t="shared" si="40"/>
        <v>0</v>
      </c>
    </row>
    <row r="264" spans="1:19" ht="19.05" customHeight="1" x14ac:dyDescent="0.3">
      <c r="A264" s="12" t="s">
        <v>235</v>
      </c>
      <c r="B264" s="12" t="s">
        <v>184</v>
      </c>
      <c r="D264" s="94">
        <f t="shared" si="40"/>
        <v>0.23141091530309582</v>
      </c>
    </row>
    <row r="265" spans="1:19" ht="19.05" customHeight="1" x14ac:dyDescent="0.3">
      <c r="A265" s="12" t="s">
        <v>236</v>
      </c>
      <c r="B265" s="12" t="s">
        <v>185</v>
      </c>
      <c r="D265" s="94">
        <f t="shared" si="40"/>
        <v>-0.49347583825424768</v>
      </c>
    </row>
    <row r="266" spans="1:19" ht="19.05" customHeight="1" x14ac:dyDescent="0.3">
      <c r="A266" s="12" t="s">
        <v>237</v>
      </c>
      <c r="B266" s="12" t="s">
        <v>186</v>
      </c>
      <c r="D266" s="94">
        <f t="shared" si="40"/>
        <v>3.0121341241752517E-2</v>
      </c>
    </row>
    <row r="267" spans="1:19" ht="19.05" customHeight="1" x14ac:dyDescent="0.3">
      <c r="A267" s="12" t="s">
        <v>238</v>
      </c>
      <c r="B267" s="12" t="s">
        <v>187</v>
      </c>
      <c r="D267" s="94">
        <f t="shared" si="40"/>
        <v>-0.42595080509203975</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48274.444775146025</v>
      </c>
      <c r="C274" s="92">
        <f>-J6</f>
        <v>-0.95782628522115132</v>
      </c>
      <c r="D274" s="92">
        <f>-K6</f>
        <v>0.28734788556634538</v>
      </c>
      <c r="E274" s="92">
        <f>J6</f>
        <v>0.95782628522115132</v>
      </c>
      <c r="F274" s="92">
        <f>K6</f>
        <v>-0.28734788556634538</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10274.210723541521</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6.9474474517234541E-2</v>
      </c>
      <c r="H276" s="12" t="str">
        <f>"D" &amp; E16 &amp; "X"</f>
        <v>D2X</v>
      </c>
      <c r="N276" s="215" t="s">
        <v>400</v>
      </c>
      <c r="O276" s="172"/>
      <c r="P276" s="172"/>
      <c r="Q276" s="172"/>
      <c r="R276" s="172"/>
      <c r="S276" s="173"/>
    </row>
    <row r="277" spans="1:19" ht="16.95" customHeight="1" x14ac:dyDescent="0.3">
      <c r="G277" s="96">
        <f>IFERROR(VLOOKUP(H277, A$258:D$267, 4, FALSE), 0)</f>
        <v>-0.50908572572696031</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48274.444775146025</v>
      </c>
      <c r="C282" s="92">
        <f>-J7</f>
        <v>-0.95782628522115132</v>
      </c>
      <c r="D282" s="92">
        <f>-K7</f>
        <v>-0.28734788556634538</v>
      </c>
      <c r="E282" s="92">
        <f>J7</f>
        <v>0.95782628522115132</v>
      </c>
      <c r="F282" s="92">
        <f>K7</f>
        <v>0.28734788556634538</v>
      </c>
      <c r="G282" s="96">
        <f>IFERROR(VLOOKUP(H282, A$258:D$267, 4, FALSE), 0)</f>
        <v>6.9474474517234541E-2</v>
      </c>
      <c r="H282" s="12" t="str">
        <f>"D" &amp; C17 &amp; "X"</f>
        <v>D2X</v>
      </c>
      <c r="N282" s="215"/>
      <c r="O282" s="172"/>
      <c r="P282" s="172"/>
      <c r="Q282" s="172"/>
      <c r="R282" s="172"/>
      <c r="S282" s="173"/>
    </row>
    <row r="283" spans="1:19" ht="16.95" customHeight="1" x14ac:dyDescent="0.3">
      <c r="A283" s="99" t="s">
        <v>286</v>
      </c>
      <c r="B283" s="97">
        <f>(MMULT(C282:F282, G282:G285)*A282)</f>
        <v>7379.3984642526875</v>
      </c>
      <c r="G283" s="96">
        <f>IFERROR(VLOOKUP(H283, A$258:D$267, 4, FALSE), 0)</f>
        <v>-0.50908572572696031</v>
      </c>
      <c r="H283" s="12" t="str">
        <f>"D" &amp; D17 &amp; "Y"</f>
        <v>D2Y</v>
      </c>
      <c r="N283" s="215"/>
      <c r="O283" s="172"/>
      <c r="P283" s="172"/>
      <c r="Q283" s="172"/>
      <c r="R283" s="172"/>
      <c r="S283" s="173"/>
    </row>
    <row r="284" spans="1:19" ht="16.95" customHeight="1" x14ac:dyDescent="0.3">
      <c r="G284" s="96">
        <f>IFERROR(VLOOKUP(H284, A$258:D$267, 4, FALSE), 0)</f>
        <v>7.6342890252230386E-2</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78711.575991857462</v>
      </c>
      <c r="C290" s="92">
        <f>-J8</f>
        <v>-0.78086880944303039</v>
      </c>
      <c r="D290" s="92">
        <f>-K8</f>
        <v>-0.62469504755442429</v>
      </c>
      <c r="E290" s="92">
        <f>J8</f>
        <v>0.78086880944303039</v>
      </c>
      <c r="F290" s="92">
        <f>K8</f>
        <v>0.62469504755442429</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-10041.263008701508</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0.23141091530309582</v>
      </c>
      <c r="H292" s="12" t="str">
        <f>"D" &amp; E18 &amp; "X"</f>
        <v>D4X</v>
      </c>
      <c r="N292" s="215"/>
      <c r="O292" s="172"/>
      <c r="P292" s="172"/>
      <c r="Q292" s="172"/>
      <c r="R292" s="172"/>
      <c r="S292" s="173"/>
    </row>
    <row r="293" spans="1:19" ht="16.95" customHeight="1" x14ac:dyDescent="0.3">
      <c r="G293" s="96">
        <f>IFERROR(VLOOKUP(H293, A$258:D$267, 4, FALSE), 0)</f>
        <v>-0.49347583825424768</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78711.575991857462</v>
      </c>
      <c r="C298" s="92">
        <f>-J9</f>
        <v>-0.78086880944303039</v>
      </c>
      <c r="D298" s="92">
        <f>-K9</f>
        <v>-0.62469504755442429</v>
      </c>
      <c r="E298" s="92">
        <f>J9</f>
        <v>0.78086880944303039</v>
      </c>
      <c r="F298" s="92">
        <f>K9</f>
        <v>0.62469504755442429</v>
      </c>
      <c r="G298" s="96">
        <f>IFERROR(VLOOKUP(H298, A$258:D$267, 4, FALSE), 0)</f>
        <v>0.23141091530309582</v>
      </c>
      <c r="H298" s="12" t="str">
        <f>"D" &amp; C19 &amp; "X"</f>
        <v>D4X</v>
      </c>
    </row>
    <row r="299" spans="1:19" ht="19.95" customHeight="1" x14ac:dyDescent="0.3">
      <c r="A299" s="99" t="s">
        <v>288</v>
      </c>
      <c r="B299" s="97">
        <f>(MMULT(C298:F298, G298:G301)*A298)</f>
        <v>-9051.6892629164377</v>
      </c>
      <c r="G299" s="96">
        <f>IFERROR(VLOOKUP(H299, A$258:D$267, 4, FALSE), 0)</f>
        <v>-0.49347583825424768</v>
      </c>
      <c r="H299" s="12" t="str">
        <f>"D" &amp; D19 &amp; "Y"</f>
        <v>D4Y</v>
      </c>
    </row>
    <row r="300" spans="1:19" ht="19.95" customHeight="1" x14ac:dyDescent="0.3">
      <c r="G300" s="96">
        <f>IFERROR(VLOOKUP(H300, A$258:D$267, 4, FALSE), 0)</f>
        <v>3.0121341241752517E-2</v>
      </c>
      <c r="H300" s="12" t="str">
        <f>"D" &amp; E19 &amp; "X"</f>
        <v>D5X</v>
      </c>
    </row>
    <row r="301" spans="1:19" ht="19.95" customHeight="1" x14ac:dyDescent="0.3">
      <c r="G301" s="96">
        <f>IFERROR(VLOOKUP(H301, A$258:D$267, 4, FALSE), 0)</f>
        <v>-0.42595080509203975</v>
      </c>
      <c r="H301" s="12" t="str">
        <f>"D" &amp; F19 &amp; "Y"</f>
        <v>D5Y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39355.787995928731</v>
      </c>
      <c r="C306" s="92">
        <f>-J10</f>
        <v>-0.78086880944303039</v>
      </c>
      <c r="D306" s="92">
        <f>-K10</f>
        <v>0.62469504755442429</v>
      </c>
      <c r="E306" s="92">
        <f>J10</f>
        <v>0.78086880944303039</v>
      </c>
      <c r="F306" s="92">
        <f>K10</f>
        <v>-0.62469504755442429</v>
      </c>
      <c r="G306" s="96">
        <f>IFERROR(VLOOKUP(H306, A$258:D$267, 4, FALSE), 0)</f>
        <v>3.0121341241752517E-2</v>
      </c>
      <c r="H306" s="12" t="str">
        <f>"D" &amp; C20 &amp; "X"</f>
        <v>D5X</v>
      </c>
    </row>
    <row r="307" spans="1:8" ht="19.95" customHeight="1" x14ac:dyDescent="0.3">
      <c r="A307" s="99" t="s">
        <v>289</v>
      </c>
      <c r="B307" s="97">
        <f>(MMULT(C306:F306, G306:G309)*A306)</f>
        <v>-9051.6892629164377</v>
      </c>
      <c r="G307" s="96">
        <f>IFERROR(VLOOKUP(H307, A$258:D$267, 4, FALSE), 0)</f>
        <v>-0.42595080509203975</v>
      </c>
      <c r="H307" s="12" t="str">
        <f>"D" &amp; D20 &amp; "Y"</f>
        <v>D5Y</v>
      </c>
    </row>
    <row r="308" spans="1:8" ht="19.95" customHeight="1" x14ac:dyDescent="0.3">
      <c r="G308" s="96">
        <f>IFERROR(VLOOKUP(H308, A$258:D$267, 4, FALSE), 0)</f>
        <v>7.6342890252230386E-2</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78" t="str">
        <f>IF(B307&gt;0.001,"BARRA A TRACCIÓN (+)",IF(B307&lt;-0.001,"BARRA A COMPRESIÓN (-)","BARRA DE FUERZA NULA"))</f>
        <v>BARRA A COMPRESIÓN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58588.809926884918</v>
      </c>
      <c r="C314" s="92">
        <f>-J11</f>
        <v>0.58123819371909635</v>
      </c>
      <c r="D314" s="92">
        <f>-K11</f>
        <v>-0.813733471206735</v>
      </c>
      <c r="E314" s="92">
        <f>J11</f>
        <v>-0.58123819371909635</v>
      </c>
      <c r="F314" s="92">
        <f>K11</f>
        <v>0.813733471206735</v>
      </c>
      <c r="G314" s="96">
        <f>IFERROR(VLOOKUP(H314, A$258:D$267, 4, FALSE), 0)</f>
        <v>6.9474474517234541E-2</v>
      </c>
      <c r="H314" s="12" t="str">
        <f>"D" &amp; C21 &amp; "X"</f>
        <v>D2X</v>
      </c>
    </row>
    <row r="315" spans="1:8" ht="19.95" customHeight="1" x14ac:dyDescent="0.3">
      <c r="A315" s="99" t="s">
        <v>290</v>
      </c>
      <c r="B315" s="97">
        <f>(MMULT(C314:F314, G314:G317)*A314)</f>
        <v>-4770.3803753600041</v>
      </c>
      <c r="G315" s="96">
        <f>IFERROR(VLOOKUP(H315, A$258:D$267, 4, FALSE), 0)</f>
        <v>-0.50908572572696031</v>
      </c>
      <c r="H315" s="12" t="str">
        <f>"D" &amp; D21 &amp; "Y"</f>
        <v>D2Y</v>
      </c>
    </row>
    <row r="316" spans="1:8" ht="19.95" customHeight="1" x14ac:dyDescent="0.3">
      <c r="G316" s="96">
        <f>IFERROR(VLOOKUP(H316, A$258:D$267, 4, FALSE), 0)</f>
        <v>0.23141091530309582</v>
      </c>
      <c r="H316" s="12" t="str">
        <f>"D" &amp; E21 &amp; "X"</f>
        <v>D4X</v>
      </c>
    </row>
    <row r="317" spans="1:8" ht="19.95" customHeight="1" x14ac:dyDescent="0.3">
      <c r="G317" s="96">
        <f>IFERROR(VLOOKUP(H317, A$258:D$267, 4, FALSE), 0)</f>
        <v>-0.49347583825424768</v>
      </c>
      <c r="H317" s="12" t="str">
        <f>"D" &amp; F21 &amp; "Y"</f>
        <v>D4Y</v>
      </c>
    </row>
    <row r="318" spans="1:8" ht="19.95" customHeight="1" x14ac:dyDescent="0.3">
      <c r="B318" s="99" t="s">
        <v>273</v>
      </c>
      <c r="C318" s="178" t="str">
        <f>IF(B315&gt;0.001,"BARRA A TRACCIÓN (+)",IF(B315&lt;-0.001,"BARRA A COMPRESIÓN (-)","BARRA DE FUERZA NULA"))</f>
        <v>BARRA A COMPRESIÓN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45818.181818181816</v>
      </c>
      <c r="C322" s="92">
        <f>-J12</f>
        <v>0</v>
      </c>
      <c r="D322" s="92">
        <f>-K12</f>
        <v>-1</v>
      </c>
      <c r="E322" s="92">
        <f>J12</f>
        <v>0</v>
      </c>
      <c r="F322" s="92">
        <f>K12</f>
        <v>1</v>
      </c>
      <c r="G322" s="96">
        <f>IFERROR(VLOOKUP(H322, A$258:D$267, 4, FALSE), 0)</f>
        <v>6.9474474517234541E-2</v>
      </c>
      <c r="H322" s="12" t="str">
        <f>"D" &amp; C22 &amp; "X"</f>
        <v>D2X</v>
      </c>
    </row>
    <row r="323" spans="1:8" ht="19.95" customHeight="1" x14ac:dyDescent="0.3">
      <c r="A323" s="99" t="s">
        <v>291</v>
      </c>
      <c r="B323" s="97">
        <f>(MMULT(C322:F322, G322:G325)*A322)</f>
        <v>3809.0909090909054</v>
      </c>
      <c r="G323" s="96">
        <f>IFERROR(VLOOKUP(H323, A$258:D$267, 4, FALSE), 0)</f>
        <v>-0.50908572572696031</v>
      </c>
      <c r="H323" s="12" t="str">
        <f>"D" &amp; D22 &amp; "Y"</f>
        <v>D2Y</v>
      </c>
    </row>
    <row r="324" spans="1:8" ht="19.95" customHeight="1" x14ac:dyDescent="0.3">
      <c r="G324" s="96">
        <f>IFERROR(VLOOKUP(H324, A$258:D$267, 4, FALSE), 0)</f>
        <v>3.0121341241752517E-2</v>
      </c>
      <c r="H324" s="12" t="str">
        <f>"D" &amp; E22 &amp; "X"</f>
        <v>D5X</v>
      </c>
    </row>
    <row r="325" spans="1:8" ht="19.95" customHeight="1" x14ac:dyDescent="0.3">
      <c r="G325" s="96">
        <f>IFERROR(VLOOKUP(H325, A$258:D$267, 4, FALSE), 0)</f>
        <v>-0.42595080509203975</v>
      </c>
      <c r="H325" s="12" t="str">
        <f>"D" &amp; F22 &amp; "Y"</f>
        <v>D5Y</v>
      </c>
    </row>
    <row r="326" spans="1:8" ht="19.95" customHeight="1" x14ac:dyDescent="0.3">
      <c r="B326" s="99" t="s">
        <v>273</v>
      </c>
      <c r="C326" s="178" t="str">
        <f>IF(B323&gt;0.001,"BARRA A TRACCIÓN (+)",IF(B323&lt;-0.001,"BARRA A COMPRESIÓN (-)","BARRA DE FUERZA NULA"))</f>
        <v>BARRA A TRACCIÓN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522.01532544552754</v>
      </c>
      <c r="F331" s="9">
        <f t="shared" ref="F331:F337" si="44">L6</f>
        <v>12</v>
      </c>
      <c r="G331" s="97">
        <f>B275</f>
        <v>10274.210723541521</v>
      </c>
      <c r="H331" s="84" t="str">
        <f>C278</f>
        <v>BARRA A TRACCIÓN (+)</v>
      </c>
    </row>
    <row r="332" spans="1:8" ht="19.95" customHeight="1" x14ac:dyDescent="0.3">
      <c r="B332" s="25">
        <v>2</v>
      </c>
      <c r="C332" s="86">
        <f t="shared" si="41"/>
        <v>2</v>
      </c>
      <c r="D332" s="86">
        <f t="shared" si="42"/>
        <v>3</v>
      </c>
      <c r="E332" s="9">
        <f t="shared" si="43"/>
        <v>522.01532544552754</v>
      </c>
      <c r="F332" s="9">
        <f t="shared" si="44"/>
        <v>12</v>
      </c>
      <c r="G332" s="97">
        <f>B283</f>
        <v>7379.3984642526875</v>
      </c>
      <c r="H332" s="84" t="str">
        <f>C286</f>
        <v>BARRA A TRACCIÓN (+)</v>
      </c>
    </row>
    <row r="333" spans="1:8" ht="19.95" customHeight="1" x14ac:dyDescent="0.3">
      <c r="B333" s="26">
        <v>3</v>
      </c>
      <c r="C333" s="86">
        <f t="shared" si="41"/>
        <v>1</v>
      </c>
      <c r="D333" s="86">
        <f t="shared" si="42"/>
        <v>4</v>
      </c>
      <c r="E333" s="9">
        <f t="shared" si="43"/>
        <v>320.15621187164243</v>
      </c>
      <c r="F333" s="9">
        <f t="shared" si="44"/>
        <v>12</v>
      </c>
      <c r="G333" s="97">
        <f>B291</f>
        <v>-10041.263008701508</v>
      </c>
      <c r="H333" s="84" t="str">
        <f>C294</f>
        <v>BARRA A COMPRESIÓN (-)</v>
      </c>
    </row>
    <row r="334" spans="1:8" ht="19.95" customHeight="1" x14ac:dyDescent="0.3">
      <c r="B334" s="43">
        <v>4</v>
      </c>
      <c r="C334" s="86">
        <f t="shared" si="41"/>
        <v>4</v>
      </c>
      <c r="D334" s="86">
        <f t="shared" si="42"/>
        <v>5</v>
      </c>
      <c r="E334" s="9">
        <f t="shared" si="43"/>
        <v>320.15621187164243</v>
      </c>
      <c r="F334" s="9">
        <f t="shared" si="44"/>
        <v>12</v>
      </c>
      <c r="G334" s="97">
        <f>B299</f>
        <v>-9051.6892629164377</v>
      </c>
      <c r="H334" s="84" t="str">
        <f>C302</f>
        <v>BARRA A COMPRESIÓN (-)</v>
      </c>
    </row>
    <row r="335" spans="1:8" ht="19.95" customHeight="1" x14ac:dyDescent="0.3">
      <c r="B335" s="44">
        <v>5</v>
      </c>
      <c r="C335" s="86">
        <f t="shared" si="41"/>
        <v>5</v>
      </c>
      <c r="D335" s="86">
        <f t="shared" si="42"/>
        <v>3</v>
      </c>
      <c r="E335" s="9">
        <f t="shared" si="43"/>
        <v>640.31242374328485</v>
      </c>
      <c r="F335" s="9">
        <f t="shared" si="44"/>
        <v>12</v>
      </c>
      <c r="G335" s="97">
        <f>B307</f>
        <v>-9051.6892629164377</v>
      </c>
      <c r="H335" s="84" t="str">
        <f>C310</f>
        <v>BARRA A COMPRESIÓN (-)</v>
      </c>
    </row>
    <row r="336" spans="1:8" ht="19.95" customHeight="1" x14ac:dyDescent="0.3">
      <c r="B336" s="51">
        <v>6</v>
      </c>
      <c r="C336" s="86">
        <f t="shared" si="41"/>
        <v>2</v>
      </c>
      <c r="D336" s="86">
        <f t="shared" si="42"/>
        <v>4</v>
      </c>
      <c r="E336" s="9">
        <f t="shared" si="43"/>
        <v>430.11626335213134</v>
      </c>
      <c r="F336" s="9">
        <f t="shared" si="44"/>
        <v>12</v>
      </c>
      <c r="G336" s="97">
        <f>B315</f>
        <v>-4770.3803753600041</v>
      </c>
      <c r="H336" s="84" t="str">
        <f>C318</f>
        <v>BARRA A COMPRESIÓN (-)</v>
      </c>
    </row>
    <row r="337" spans="2:8" ht="19.95" customHeight="1" x14ac:dyDescent="0.3">
      <c r="B337" s="52">
        <v>7</v>
      </c>
      <c r="C337" s="86">
        <f t="shared" si="41"/>
        <v>2</v>
      </c>
      <c r="D337" s="86">
        <f t="shared" si="42"/>
        <v>5</v>
      </c>
      <c r="E337" s="9">
        <f t="shared" si="43"/>
        <v>550</v>
      </c>
      <c r="F337" s="9">
        <f t="shared" si="44"/>
        <v>12</v>
      </c>
      <c r="G337" s="97">
        <f>B323</f>
        <v>3809.0909090909054</v>
      </c>
      <c r="H337" s="84" t="str">
        <f>C326</f>
        <v>BARRA A TRACCIÓN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509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600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600</v>
      </c>
      <c r="AB8" s="20">
        <f>IF(F29="","",F29)</f>
        <v>0</v>
      </c>
      <c r="AC8" t="s">
        <v>316</v>
      </c>
    </row>
    <row r="9" spans="2:29" x14ac:dyDescent="0.3">
      <c r="AA9" s="20">
        <f>IF(G29="","",G29)</f>
        <v>900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300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300</v>
      </c>
      <c r="AB14" s="20">
        <f>IF(F31="","",F31)</f>
        <v>200</v>
      </c>
      <c r="AC14" t="s">
        <v>328</v>
      </c>
    </row>
    <row r="15" spans="2:29" ht="19.05" customHeight="1" x14ac:dyDescent="0.3">
      <c r="B15" s="89">
        <v>2</v>
      </c>
      <c r="C15" s="21">
        <v>600</v>
      </c>
      <c r="D15" s="21">
        <v>0</v>
      </c>
      <c r="E15" s="21" t="s">
        <v>326</v>
      </c>
      <c r="F15" s="88">
        <f t="shared" si="0"/>
        <v>0</v>
      </c>
      <c r="G15" s="88">
        <f t="shared" si="1"/>
        <v>0</v>
      </c>
      <c r="H15" s="22">
        <v>0</v>
      </c>
      <c r="I15" s="22">
        <v>-4000</v>
      </c>
      <c r="J15" s="205" t="s">
        <v>440</v>
      </c>
      <c r="K15" s="172"/>
      <c r="L15" s="172"/>
      <c r="M15" s="172"/>
      <c r="N15" s="172"/>
      <c r="O15" s="173"/>
      <c r="AA15" s="20">
        <f>IF(G31="","",G31)</f>
        <v>600</v>
      </c>
      <c r="AB15" s="20">
        <f>IF(H31="","",H31)</f>
        <v>400</v>
      </c>
      <c r="AC15" t="s">
        <v>331</v>
      </c>
    </row>
    <row r="16" spans="2:29" ht="19.05" customHeight="1" x14ac:dyDescent="0.3">
      <c r="B16" s="89">
        <v>3</v>
      </c>
      <c r="C16" s="21">
        <v>900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600</v>
      </c>
      <c r="D17" s="21">
        <v>400</v>
      </c>
      <c r="E17" s="21" t="s">
        <v>326</v>
      </c>
      <c r="F17" s="88">
        <f t="shared" si="0"/>
        <v>0</v>
      </c>
      <c r="G17" s="88">
        <f t="shared" si="1"/>
        <v>0</v>
      </c>
      <c r="H17" s="22">
        <v>2500</v>
      </c>
      <c r="I17" s="22">
        <v>-6000</v>
      </c>
      <c r="J17" s="205" t="s">
        <v>441</v>
      </c>
      <c r="K17" s="172"/>
      <c r="L17" s="172"/>
      <c r="M17" s="172"/>
      <c r="N17" s="172"/>
      <c r="O17" s="173"/>
      <c r="AA17" s="20">
        <f>IF(E32="","",E32)</f>
        <v>600</v>
      </c>
      <c r="AB17" s="20">
        <f>IF(F32="","",F32)</f>
        <v>400</v>
      </c>
      <c r="AC17" t="s">
        <v>334</v>
      </c>
    </row>
    <row r="18" spans="2:29" ht="19.05" customHeight="1" x14ac:dyDescent="0.3">
      <c r="B18" s="89">
        <v>5</v>
      </c>
      <c r="C18" s="21">
        <v>300</v>
      </c>
      <c r="D18" s="21">
        <v>200</v>
      </c>
      <c r="E18" s="21" t="s">
        <v>326</v>
      </c>
      <c r="F18" s="88">
        <f t="shared" si="0"/>
        <v>0</v>
      </c>
      <c r="G18" s="88">
        <f t="shared" si="1"/>
        <v>0</v>
      </c>
      <c r="H18" s="22">
        <v>1500</v>
      </c>
      <c r="I18" s="22">
        <v>-3500</v>
      </c>
      <c r="J18" s="205" t="s">
        <v>510</v>
      </c>
      <c r="K18" s="172"/>
      <c r="L18" s="172"/>
      <c r="M18" s="172"/>
      <c r="N18" s="172"/>
      <c r="O18" s="173"/>
      <c r="AA18" s="20">
        <f>IF(G32="","",G32)</f>
        <v>900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200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0</v>
      </c>
      <c r="AC23" t="s">
        <v>338</v>
      </c>
    </row>
    <row r="24" spans="2:29" x14ac:dyDescent="0.3">
      <c r="AA24" s="20">
        <f>IF(G34="","",G34)</f>
        <v>600</v>
      </c>
      <c r="AB24" s="20">
        <f>IF(H34="","",H34)</f>
        <v>400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600</v>
      </c>
      <c r="F29" s="5">
        <f t="shared" si="3"/>
        <v>0</v>
      </c>
      <c r="G29" s="5">
        <f t="shared" si="4"/>
        <v>900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5</v>
      </c>
      <c r="E30" s="5">
        <f t="shared" si="2"/>
        <v>0</v>
      </c>
      <c r="F30" s="5">
        <f t="shared" si="3"/>
        <v>0</v>
      </c>
      <c r="G30" s="5">
        <f t="shared" si="4"/>
        <v>300</v>
      </c>
      <c r="H30" s="5">
        <f t="shared" si="5"/>
        <v>200</v>
      </c>
      <c r="I30" s="9">
        <f t="shared" si="6"/>
        <v>300</v>
      </c>
      <c r="J30" s="9">
        <f t="shared" si="7"/>
        <v>200</v>
      </c>
      <c r="K30" s="9">
        <f t="shared" si="8"/>
        <v>360.55512754639892</v>
      </c>
      <c r="L30" s="92">
        <f t="shared" si="9"/>
        <v>0.83205029433784372</v>
      </c>
      <c r="M30" s="92">
        <f t="shared" si="10"/>
        <v>0.55470019622522915</v>
      </c>
      <c r="N30" s="22">
        <v>12</v>
      </c>
      <c r="O30" s="24">
        <v>2100000</v>
      </c>
      <c r="AA30" s="20" t="str">
        <f>IF(G36="","",G36)</f>
        <v/>
      </c>
      <c r="AB30" s="20" t="str">
        <f>IF(H36="","",H36)</f>
        <v/>
      </c>
      <c r="AC30" t="s">
        <v>354</v>
      </c>
    </row>
    <row r="31" spans="2:29" ht="19.05" customHeight="1" x14ac:dyDescent="0.3">
      <c r="B31" s="89">
        <v>4</v>
      </c>
      <c r="C31" s="23">
        <v>5</v>
      </c>
      <c r="D31" s="23">
        <v>4</v>
      </c>
      <c r="E31" s="5">
        <f t="shared" si="2"/>
        <v>300</v>
      </c>
      <c r="F31" s="5">
        <f t="shared" si="3"/>
        <v>200</v>
      </c>
      <c r="G31" s="5">
        <f t="shared" si="4"/>
        <v>600</v>
      </c>
      <c r="H31" s="5">
        <f t="shared" si="5"/>
        <v>400</v>
      </c>
      <c r="I31" s="9">
        <f t="shared" si="6"/>
        <v>300</v>
      </c>
      <c r="J31" s="9">
        <f t="shared" si="7"/>
        <v>200</v>
      </c>
      <c r="K31" s="9">
        <f t="shared" si="8"/>
        <v>360.55512754639892</v>
      </c>
      <c r="L31" s="92">
        <f t="shared" si="9"/>
        <v>0.83205029433784372</v>
      </c>
      <c r="M31" s="92">
        <f t="shared" si="10"/>
        <v>0.55470019622522915</v>
      </c>
      <c r="N31" s="22">
        <v>12</v>
      </c>
      <c r="O31" s="24">
        <v>2100000</v>
      </c>
    </row>
    <row r="32" spans="2:29" ht="19.05" customHeight="1" x14ac:dyDescent="0.3">
      <c r="B32" s="89">
        <v>5</v>
      </c>
      <c r="C32" s="23">
        <v>4</v>
      </c>
      <c r="D32" s="23">
        <v>3</v>
      </c>
      <c r="E32" s="5">
        <f t="shared" si="2"/>
        <v>600</v>
      </c>
      <c r="F32" s="5">
        <f t="shared" si="3"/>
        <v>400</v>
      </c>
      <c r="G32" s="5">
        <f t="shared" si="4"/>
        <v>900</v>
      </c>
      <c r="H32" s="5">
        <f t="shared" si="5"/>
        <v>0</v>
      </c>
      <c r="I32" s="9">
        <f t="shared" si="6"/>
        <v>300</v>
      </c>
      <c r="J32" s="9">
        <f t="shared" si="7"/>
        <v>-400</v>
      </c>
      <c r="K32" s="9">
        <f t="shared" si="8"/>
        <v>500</v>
      </c>
      <c r="L32" s="92">
        <f t="shared" si="9"/>
        <v>0.6</v>
      </c>
      <c r="M32" s="92">
        <f t="shared" si="10"/>
        <v>-0.8</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200</v>
      </c>
      <c r="G33" s="5">
        <f t="shared" si="4"/>
        <v>600</v>
      </c>
      <c r="H33" s="5">
        <f t="shared" si="5"/>
        <v>0</v>
      </c>
      <c r="I33" s="9">
        <f t="shared" si="6"/>
        <v>300</v>
      </c>
      <c r="J33" s="9">
        <f t="shared" si="7"/>
        <v>-200</v>
      </c>
      <c r="K33" s="9">
        <f t="shared" si="8"/>
        <v>360.55512754639892</v>
      </c>
      <c r="L33" s="92">
        <f t="shared" si="9"/>
        <v>0.83205029433784372</v>
      </c>
      <c r="M33" s="92">
        <f t="shared" si="10"/>
        <v>-0.55470019622522915</v>
      </c>
      <c r="N33" s="22">
        <v>12</v>
      </c>
      <c r="O33" s="24">
        <v>2100000</v>
      </c>
      <c r="AA33" s="20" t="str">
        <f>IF(G37="","",G37)</f>
        <v/>
      </c>
      <c r="AB33" s="20" t="str">
        <f>IF(H37="","",H37)</f>
        <v/>
      </c>
      <c r="AC33" t="s">
        <v>356</v>
      </c>
    </row>
    <row r="34" spans="2:29" ht="19.05" customHeight="1" x14ac:dyDescent="0.3">
      <c r="B34" s="89">
        <v>7</v>
      </c>
      <c r="C34" s="23">
        <v>2</v>
      </c>
      <c r="D34" s="23">
        <v>4</v>
      </c>
      <c r="E34" s="5">
        <f t="shared" si="2"/>
        <v>600</v>
      </c>
      <c r="F34" s="5">
        <f t="shared" si="3"/>
        <v>0</v>
      </c>
      <c r="G34" s="5">
        <f t="shared" si="4"/>
        <v>600</v>
      </c>
      <c r="H34" s="5">
        <f t="shared" si="5"/>
        <v>400</v>
      </c>
      <c r="I34" s="9">
        <f t="shared" si="6"/>
        <v>0</v>
      </c>
      <c r="J34" s="9">
        <f t="shared" si="7"/>
        <v>400</v>
      </c>
      <c r="K34" s="9">
        <f t="shared" si="8"/>
        <v>400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2F00-000000000000}">
      <formula1>"Fijo (articulado),Rodillo Y (despl. X libre),Rodillo X (despl. Y libre),Libre (0 reac.)"</formula1>
    </dataValidation>
  </dataValidations>
  <pageMargins left="0.75" right="0.75" top="1" bottom="1" header="0.5" footer="0.5"/>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511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GRAFICA_23!E28</f>
        <v>0</v>
      </c>
      <c r="D6" s="22">
        <f>GRAFICA_23!F28</f>
        <v>0</v>
      </c>
      <c r="E6" s="22">
        <f>GRAFICA_23!G28</f>
        <v>600</v>
      </c>
      <c r="F6" s="22">
        <f>GRAFICA_23!H28</f>
        <v>0</v>
      </c>
      <c r="G6" s="9">
        <f t="shared" ref="G6:H12" si="0">E6-C6</f>
        <v>600</v>
      </c>
      <c r="H6" s="9">
        <f t="shared" si="0"/>
        <v>0</v>
      </c>
      <c r="I6" s="9">
        <f t="shared" ref="I6:I12" si="1">SQRT(G6*G6+H6*H6)</f>
        <v>600</v>
      </c>
      <c r="J6" s="92">
        <f t="shared" ref="J6:J12" si="2">G6/I6</f>
        <v>1</v>
      </c>
      <c r="K6" s="92">
        <f t="shared" ref="K6:K12" si="3">H6/I6</f>
        <v>0</v>
      </c>
      <c r="L6" s="22">
        <f>GRAFICA_23!N28</f>
        <v>12</v>
      </c>
      <c r="M6" s="22">
        <f>GRAFICA_23!O28</f>
        <v>2100000</v>
      </c>
      <c r="N6" s="6">
        <f t="shared" ref="N6:N12" si="4">L6*M6/I6</f>
        <v>42000</v>
      </c>
    </row>
    <row r="7" spans="2:14" ht="19.05" customHeight="1" x14ac:dyDescent="0.3">
      <c r="B7" s="25">
        <v>2</v>
      </c>
      <c r="C7" s="22">
        <f>GRAFICA_23!E29</f>
        <v>600</v>
      </c>
      <c r="D7" s="22">
        <f>GRAFICA_23!F29</f>
        <v>0</v>
      </c>
      <c r="E7" s="22">
        <f>GRAFICA_23!G29</f>
        <v>900</v>
      </c>
      <c r="F7" s="22">
        <f>GRAFICA_23!H29</f>
        <v>0</v>
      </c>
      <c r="G7" s="9">
        <f t="shared" si="0"/>
        <v>300</v>
      </c>
      <c r="H7" s="9">
        <f t="shared" si="0"/>
        <v>0</v>
      </c>
      <c r="I7" s="9">
        <f t="shared" si="1"/>
        <v>300</v>
      </c>
      <c r="J7" s="92">
        <f t="shared" si="2"/>
        <v>1</v>
      </c>
      <c r="K7" s="92">
        <f t="shared" si="3"/>
        <v>0</v>
      </c>
      <c r="L7" s="22">
        <f>GRAFICA_23!N29</f>
        <v>12</v>
      </c>
      <c r="M7" s="22">
        <f>GRAFICA_23!O29</f>
        <v>2100000</v>
      </c>
      <c r="N7" s="6">
        <f t="shared" si="4"/>
        <v>84000</v>
      </c>
    </row>
    <row r="8" spans="2:14" ht="19.05" customHeight="1" x14ac:dyDescent="0.3">
      <c r="B8" s="26">
        <v>3</v>
      </c>
      <c r="C8" s="22">
        <f>GRAFICA_23!E30</f>
        <v>0</v>
      </c>
      <c r="D8" s="22">
        <f>GRAFICA_23!F30</f>
        <v>0</v>
      </c>
      <c r="E8" s="22">
        <f>GRAFICA_23!G30</f>
        <v>300</v>
      </c>
      <c r="F8" s="22">
        <f>GRAFICA_23!H30</f>
        <v>200</v>
      </c>
      <c r="G8" s="9">
        <f t="shared" si="0"/>
        <v>300</v>
      </c>
      <c r="H8" s="9">
        <f t="shared" si="0"/>
        <v>200</v>
      </c>
      <c r="I8" s="9">
        <f t="shared" si="1"/>
        <v>360.55512754639892</v>
      </c>
      <c r="J8" s="92">
        <f t="shared" si="2"/>
        <v>0.83205029433784372</v>
      </c>
      <c r="K8" s="92">
        <f t="shared" si="3"/>
        <v>0.55470019622522915</v>
      </c>
      <c r="L8" s="22">
        <f>GRAFICA_23!N30</f>
        <v>12</v>
      </c>
      <c r="M8" s="22">
        <f>GRAFICA_23!O30</f>
        <v>2100000</v>
      </c>
      <c r="N8" s="6">
        <f t="shared" si="4"/>
        <v>69892.224724378873</v>
      </c>
    </row>
    <row r="9" spans="2:14" ht="19.05" customHeight="1" x14ac:dyDescent="0.3">
      <c r="B9" s="43">
        <v>4</v>
      </c>
      <c r="C9" s="22">
        <f>GRAFICA_23!E31</f>
        <v>300</v>
      </c>
      <c r="D9" s="22">
        <f>GRAFICA_23!F31</f>
        <v>200</v>
      </c>
      <c r="E9" s="22">
        <f>GRAFICA_23!G31</f>
        <v>600</v>
      </c>
      <c r="F9" s="22">
        <f>GRAFICA_23!H31</f>
        <v>400</v>
      </c>
      <c r="G9" s="9">
        <f t="shared" si="0"/>
        <v>300</v>
      </c>
      <c r="H9" s="9">
        <f t="shared" si="0"/>
        <v>200</v>
      </c>
      <c r="I9" s="9">
        <f t="shared" si="1"/>
        <v>360.55512754639892</v>
      </c>
      <c r="J9" s="92">
        <f t="shared" si="2"/>
        <v>0.83205029433784372</v>
      </c>
      <c r="K9" s="92">
        <f t="shared" si="3"/>
        <v>0.55470019622522915</v>
      </c>
      <c r="L9" s="22">
        <f>GRAFICA_23!N31</f>
        <v>12</v>
      </c>
      <c r="M9" s="22">
        <f>GRAFICA_23!O31</f>
        <v>2100000</v>
      </c>
      <c r="N9" s="6">
        <f t="shared" si="4"/>
        <v>69892.224724378873</v>
      </c>
    </row>
    <row r="10" spans="2:14" ht="19.05" customHeight="1" x14ac:dyDescent="0.3">
      <c r="B10" s="44">
        <v>5</v>
      </c>
      <c r="C10" s="22">
        <f>GRAFICA_23!E32</f>
        <v>600</v>
      </c>
      <c r="D10" s="22">
        <f>GRAFICA_23!F32</f>
        <v>400</v>
      </c>
      <c r="E10" s="22">
        <f>GRAFICA_23!G32</f>
        <v>900</v>
      </c>
      <c r="F10" s="22">
        <f>GRAFICA_23!H32</f>
        <v>0</v>
      </c>
      <c r="G10" s="9">
        <f t="shared" si="0"/>
        <v>300</v>
      </c>
      <c r="H10" s="9">
        <f t="shared" si="0"/>
        <v>-400</v>
      </c>
      <c r="I10" s="9">
        <f t="shared" si="1"/>
        <v>500</v>
      </c>
      <c r="J10" s="92">
        <f t="shared" si="2"/>
        <v>0.6</v>
      </c>
      <c r="K10" s="92">
        <f t="shared" si="3"/>
        <v>-0.8</v>
      </c>
      <c r="L10" s="22">
        <f>GRAFICA_23!N32</f>
        <v>12</v>
      </c>
      <c r="M10" s="22">
        <f>GRAFICA_23!O32</f>
        <v>2100000</v>
      </c>
      <c r="N10" s="6">
        <f t="shared" si="4"/>
        <v>50400</v>
      </c>
    </row>
    <row r="11" spans="2:14" ht="19.05" customHeight="1" x14ac:dyDescent="0.3">
      <c r="B11" s="51">
        <v>6</v>
      </c>
      <c r="C11" s="22">
        <f>GRAFICA_23!E33</f>
        <v>300</v>
      </c>
      <c r="D11" s="22">
        <f>GRAFICA_23!F33</f>
        <v>200</v>
      </c>
      <c r="E11" s="22">
        <f>GRAFICA_23!G33</f>
        <v>600</v>
      </c>
      <c r="F11" s="22">
        <f>GRAFICA_23!H33</f>
        <v>0</v>
      </c>
      <c r="G11" s="9">
        <f t="shared" si="0"/>
        <v>300</v>
      </c>
      <c r="H11" s="9">
        <f t="shared" si="0"/>
        <v>-200</v>
      </c>
      <c r="I11" s="9">
        <f t="shared" si="1"/>
        <v>360.55512754639892</v>
      </c>
      <c r="J11" s="92">
        <f t="shared" si="2"/>
        <v>0.83205029433784372</v>
      </c>
      <c r="K11" s="92">
        <f t="shared" si="3"/>
        <v>-0.55470019622522915</v>
      </c>
      <c r="L11" s="22">
        <f>GRAFICA_23!N33</f>
        <v>12</v>
      </c>
      <c r="M11" s="22">
        <f>GRAFICA_23!O33</f>
        <v>2100000</v>
      </c>
      <c r="N11" s="6">
        <f t="shared" si="4"/>
        <v>69892.224724378873</v>
      </c>
    </row>
    <row r="12" spans="2:14" ht="19.05" customHeight="1" x14ac:dyDescent="0.3">
      <c r="B12" s="52">
        <v>7</v>
      </c>
      <c r="C12" s="22">
        <f>GRAFICA_23!E34</f>
        <v>600</v>
      </c>
      <c r="D12" s="22">
        <f>GRAFICA_23!F34</f>
        <v>0</v>
      </c>
      <c r="E12" s="22">
        <f>GRAFICA_23!G34</f>
        <v>600</v>
      </c>
      <c r="F12" s="22">
        <f>GRAFICA_23!H34</f>
        <v>400</v>
      </c>
      <c r="G12" s="9">
        <f t="shared" si="0"/>
        <v>0</v>
      </c>
      <c r="H12" s="9">
        <f t="shared" si="0"/>
        <v>400</v>
      </c>
      <c r="I12" s="9">
        <f t="shared" si="1"/>
        <v>400</v>
      </c>
      <c r="J12" s="92">
        <f t="shared" si="2"/>
        <v>0</v>
      </c>
      <c r="K12" s="92">
        <f t="shared" si="3"/>
        <v>1</v>
      </c>
      <c r="L12" s="22">
        <f>GRAFICA_23!N34</f>
        <v>12</v>
      </c>
      <c r="M12" s="22">
        <f>GRAFICA_23!O34</f>
        <v>2100000</v>
      </c>
      <c r="N12" s="6">
        <f t="shared" si="4"/>
        <v>63000</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GRAFICA_23!C28</f>
        <v>1</v>
      </c>
      <c r="D16" s="23">
        <f>GRAFICA_23!C28</f>
        <v>1</v>
      </c>
      <c r="E16" s="23">
        <f>GRAFICA_23!D28</f>
        <v>2</v>
      </c>
      <c r="F16" s="23">
        <f>GRAFICA_23!D28</f>
        <v>2</v>
      </c>
    </row>
    <row r="17" spans="1:12" ht="19.05" customHeight="1" x14ac:dyDescent="0.3">
      <c r="B17" s="25">
        <v>2</v>
      </c>
      <c r="C17" s="23">
        <f>GRAFICA_23!C29</f>
        <v>2</v>
      </c>
      <c r="D17" s="23">
        <f>GRAFICA_23!C29</f>
        <v>2</v>
      </c>
      <c r="E17" s="23">
        <f>GRAFICA_23!D29</f>
        <v>3</v>
      </c>
      <c r="F17" s="23">
        <f>GRAFICA_23!D29</f>
        <v>3</v>
      </c>
    </row>
    <row r="18" spans="1:12" ht="19.05" customHeight="1" x14ac:dyDescent="0.3">
      <c r="B18" s="26">
        <v>3</v>
      </c>
      <c r="C18" s="23">
        <f>GRAFICA_23!C30</f>
        <v>1</v>
      </c>
      <c r="D18" s="23">
        <f>GRAFICA_23!C30</f>
        <v>1</v>
      </c>
      <c r="E18" s="23">
        <f>GRAFICA_23!D30</f>
        <v>5</v>
      </c>
      <c r="F18" s="23">
        <f>GRAFICA_23!D30</f>
        <v>5</v>
      </c>
    </row>
    <row r="19" spans="1:12" ht="19.05" customHeight="1" x14ac:dyDescent="0.3">
      <c r="B19" s="43">
        <v>4</v>
      </c>
      <c r="C19" s="23">
        <f>GRAFICA_23!C31</f>
        <v>5</v>
      </c>
      <c r="D19" s="23">
        <f>GRAFICA_23!C31</f>
        <v>5</v>
      </c>
      <c r="E19" s="23">
        <f>GRAFICA_23!D31</f>
        <v>4</v>
      </c>
      <c r="F19" s="23">
        <f>GRAFICA_23!D31</f>
        <v>4</v>
      </c>
    </row>
    <row r="20" spans="1:12" ht="19.05" customHeight="1" x14ac:dyDescent="0.3">
      <c r="B20" s="44">
        <v>5</v>
      </c>
      <c r="C20" s="23">
        <f>GRAFICA_23!C32</f>
        <v>4</v>
      </c>
      <c r="D20" s="23">
        <f>GRAFICA_23!C32</f>
        <v>4</v>
      </c>
      <c r="E20" s="23">
        <f>GRAFICA_23!D32</f>
        <v>3</v>
      </c>
      <c r="F20" s="23">
        <f>GRAFICA_23!D32</f>
        <v>3</v>
      </c>
    </row>
    <row r="21" spans="1:12" ht="19.05" customHeight="1" x14ac:dyDescent="0.3">
      <c r="B21" s="51">
        <v>6</v>
      </c>
      <c r="C21" s="23">
        <f>GRAFICA_23!C33</f>
        <v>5</v>
      </c>
      <c r="D21" s="23">
        <f>GRAFICA_23!C33</f>
        <v>5</v>
      </c>
      <c r="E21" s="23">
        <f>GRAFICA_23!D33</f>
        <v>2</v>
      </c>
      <c r="F21" s="23">
        <f>GRAFICA_23!D33</f>
        <v>2</v>
      </c>
    </row>
    <row r="22" spans="1:12" ht="19.05" customHeight="1" x14ac:dyDescent="0.3">
      <c r="B22" s="52">
        <v>7</v>
      </c>
      <c r="C22" s="23">
        <f>GRAFICA_23!C34</f>
        <v>2</v>
      </c>
      <c r="D22" s="23">
        <f>GRAFICA_23!C34</f>
        <v>2</v>
      </c>
      <c r="E22" s="23">
        <f>GRAFICA_23!D34</f>
        <v>4</v>
      </c>
      <c r="F22" s="23">
        <f>GRAFICA_23!D34</f>
        <v>4</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42000</v>
      </c>
      <c r="C26" s="7">
        <f>J6*K6*N6</f>
        <v>0</v>
      </c>
      <c r="D26" s="7">
        <f>-B26</f>
        <v>-42000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-42000</v>
      </c>
      <c r="C28" s="7">
        <f>E26</f>
        <v>0</v>
      </c>
      <c r="D28" s="7">
        <f>B26</f>
        <v>42000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42000</v>
      </c>
      <c r="C32" s="8">
        <f t="shared" si="5"/>
        <v>0</v>
      </c>
      <c r="D32" s="8">
        <f t="shared" si="5"/>
        <v>-42000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-42000</v>
      </c>
      <c r="C34" s="8">
        <f t="shared" si="5"/>
        <v>0</v>
      </c>
      <c r="D34" s="8">
        <f t="shared" si="5"/>
        <v>42000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84000</v>
      </c>
      <c r="C45" s="30">
        <f>J7*K7*N7</f>
        <v>0</v>
      </c>
      <c r="D45" s="30">
        <f>-B45</f>
        <v>-84000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-84000</v>
      </c>
      <c r="C47" s="30">
        <f>E45</f>
        <v>0</v>
      </c>
      <c r="D47" s="30">
        <f>B45</f>
        <v>84000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84000</v>
      </c>
      <c r="E53" s="31">
        <f t="shared" si="6"/>
        <v>0</v>
      </c>
      <c r="F53" s="31">
        <f t="shared" si="6"/>
        <v>-84000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-84000</v>
      </c>
      <c r="E55" s="31">
        <f t="shared" si="6"/>
        <v>0</v>
      </c>
      <c r="F55" s="31">
        <f t="shared" si="6"/>
        <v>84000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U5X</v>
      </c>
      <c r="E63" s="32" t="str">
        <f>CONCATENATE("U",F18,F$15)</f>
        <v>U5Y</v>
      </c>
    </row>
    <row r="64" spans="1:12" x14ac:dyDescent="0.3">
      <c r="B64" s="33">
        <f>J8*J8*N8</f>
        <v>48386.924809185381</v>
      </c>
      <c r="C64" s="33">
        <f>J8*K8*N8</f>
        <v>32257.94987279025</v>
      </c>
      <c r="D64" s="33">
        <f>-B64</f>
        <v>-48386.924809185381</v>
      </c>
      <c r="E64" s="33">
        <f>-C64</f>
        <v>-32257.94987279025</v>
      </c>
      <c r="F64" s="32" t="str">
        <f>B63</f>
        <v>U1X</v>
      </c>
    </row>
    <row r="65" spans="1:12" ht="16.8" customHeight="1" x14ac:dyDescent="0.3">
      <c r="A65" s="28" t="s">
        <v>193</v>
      </c>
      <c r="B65" s="33">
        <f>C64</f>
        <v>32257.94987279025</v>
      </c>
      <c r="C65" s="33">
        <f>K8*K8*N8</f>
        <v>21505.2999151935</v>
      </c>
      <c r="D65" s="33">
        <f>-B65</f>
        <v>-32257.94987279025</v>
      </c>
      <c r="E65" s="33">
        <f>-C65</f>
        <v>-21505.2999151935</v>
      </c>
      <c r="F65" s="32" t="str">
        <f>C63</f>
        <v>U1Y</v>
      </c>
    </row>
    <row r="66" spans="1:12" x14ac:dyDescent="0.3">
      <c r="B66" s="33">
        <f>D64</f>
        <v>-48386.924809185381</v>
      </c>
      <c r="C66" s="33">
        <f>E64</f>
        <v>-32257.94987279025</v>
      </c>
      <c r="D66" s="33">
        <f>B64</f>
        <v>48386.924809185381</v>
      </c>
      <c r="E66" s="33">
        <f>C64</f>
        <v>32257.94987279025</v>
      </c>
      <c r="F66" s="32" t="str">
        <f>D63</f>
        <v>U5X</v>
      </c>
    </row>
    <row r="67" spans="1:12" x14ac:dyDescent="0.3">
      <c r="B67" s="33">
        <f>D65</f>
        <v>-32257.94987279025</v>
      </c>
      <c r="C67" s="33">
        <f>E65</f>
        <v>-21505.2999151935</v>
      </c>
      <c r="D67" s="33">
        <f>B65</f>
        <v>32257.94987279025</v>
      </c>
      <c r="E67" s="33">
        <f>C65</f>
        <v>21505.2999151935</v>
      </c>
      <c r="F67" s="32" t="str">
        <f>E63</f>
        <v>U5Y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48386.924809185381</v>
      </c>
      <c r="C70" s="34">
        <f t="shared" si="7"/>
        <v>32257.94987279025</v>
      </c>
      <c r="D70" s="9">
        <f t="shared" si="7"/>
        <v>0</v>
      </c>
      <c r="E70" s="9">
        <f t="shared" si="7"/>
        <v>0</v>
      </c>
      <c r="F70" s="9">
        <f t="shared" si="7"/>
        <v>0</v>
      </c>
      <c r="G70" s="9">
        <f t="shared" si="7"/>
        <v>0</v>
      </c>
      <c r="H70" s="9">
        <f t="shared" si="7"/>
        <v>0</v>
      </c>
      <c r="I70" s="9">
        <f t="shared" si="7"/>
        <v>0</v>
      </c>
      <c r="J70" s="34">
        <f t="shared" si="7"/>
        <v>-48386.924809185381</v>
      </c>
      <c r="K70" s="34">
        <f t="shared" si="7"/>
        <v>-32257.94987279025</v>
      </c>
      <c r="L70" s="32" t="s">
        <v>178</v>
      </c>
    </row>
    <row r="71" spans="1:12" ht="19.05" customHeight="1" x14ac:dyDescent="0.3">
      <c r="B71" s="34">
        <f t="shared" si="7"/>
        <v>32257.94987279025</v>
      </c>
      <c r="C71" s="34">
        <f t="shared" si="7"/>
        <v>21505.2999151935</v>
      </c>
      <c r="D71" s="9">
        <f t="shared" si="7"/>
        <v>0</v>
      </c>
      <c r="E71" s="9">
        <f t="shared" si="7"/>
        <v>0</v>
      </c>
      <c r="F71" s="9">
        <f t="shared" si="7"/>
        <v>0</v>
      </c>
      <c r="G71" s="9">
        <f t="shared" si="7"/>
        <v>0</v>
      </c>
      <c r="H71" s="9">
        <f t="shared" si="7"/>
        <v>0</v>
      </c>
      <c r="I71" s="9">
        <f t="shared" si="7"/>
        <v>0</v>
      </c>
      <c r="J71" s="34">
        <f t="shared" si="7"/>
        <v>-32257.94987279025</v>
      </c>
      <c r="K71" s="34">
        <f t="shared" si="7"/>
        <v>-21505.2999151935</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185</v>
      </c>
    </row>
    <row r="78" spans="1:12" ht="19.05" customHeight="1" x14ac:dyDescent="0.3">
      <c r="B78" s="34">
        <f t="shared" si="7"/>
        <v>-48386.924809185381</v>
      </c>
      <c r="C78" s="34">
        <f t="shared" si="7"/>
        <v>-32257.94987279025</v>
      </c>
      <c r="D78" s="9">
        <f t="shared" si="7"/>
        <v>0</v>
      </c>
      <c r="E78" s="9">
        <f t="shared" si="7"/>
        <v>0</v>
      </c>
      <c r="F78" s="9">
        <f t="shared" si="7"/>
        <v>0</v>
      </c>
      <c r="G78" s="9">
        <f t="shared" si="7"/>
        <v>0</v>
      </c>
      <c r="H78" s="9">
        <f t="shared" si="7"/>
        <v>0</v>
      </c>
      <c r="I78" s="9">
        <f t="shared" si="7"/>
        <v>0</v>
      </c>
      <c r="J78" s="34">
        <f t="shared" si="7"/>
        <v>48386.924809185381</v>
      </c>
      <c r="K78" s="34">
        <f t="shared" si="7"/>
        <v>32257.94987279025</v>
      </c>
      <c r="L78" s="32" t="s">
        <v>186</v>
      </c>
    </row>
    <row r="79" spans="1:12" ht="19.05" customHeight="1" x14ac:dyDescent="0.3">
      <c r="B79" s="34">
        <f t="shared" si="7"/>
        <v>-32257.94987279025</v>
      </c>
      <c r="C79" s="34">
        <f t="shared" si="7"/>
        <v>-21505.2999151935</v>
      </c>
      <c r="D79" s="9">
        <f t="shared" si="7"/>
        <v>0</v>
      </c>
      <c r="E79" s="9">
        <f t="shared" si="7"/>
        <v>0</v>
      </c>
      <c r="F79" s="9">
        <f t="shared" si="7"/>
        <v>0</v>
      </c>
      <c r="G79" s="9">
        <f t="shared" si="7"/>
        <v>0</v>
      </c>
      <c r="H79" s="9">
        <f t="shared" si="7"/>
        <v>0</v>
      </c>
      <c r="I79" s="9">
        <f t="shared" si="7"/>
        <v>0</v>
      </c>
      <c r="J79" s="34">
        <f t="shared" si="7"/>
        <v>32257.94987279025</v>
      </c>
      <c r="K79" s="34">
        <f t="shared" si="7"/>
        <v>21505.2999151935</v>
      </c>
      <c r="L79" s="32" t="s">
        <v>187</v>
      </c>
    </row>
    <row r="82" spans="1:12" ht="18" customHeight="1" x14ac:dyDescent="0.3">
      <c r="B82" s="45" t="str">
        <f>CONCATENATE("U",C19,C$15)</f>
        <v>U5X</v>
      </c>
      <c r="C82" s="45" t="str">
        <f>CONCATENATE("U",D19,D$15)</f>
        <v>U5Y</v>
      </c>
      <c r="D82" s="45" t="str">
        <f>CONCATENATE("U",E19,E$15)</f>
        <v>U4X</v>
      </c>
      <c r="E82" s="45" t="str">
        <f>CONCATENATE("U",F19,F$15)</f>
        <v>U4Y</v>
      </c>
    </row>
    <row r="83" spans="1:12" x14ac:dyDescent="0.3">
      <c r="B83" s="46">
        <f>J9*J9*N9</f>
        <v>48386.924809185381</v>
      </c>
      <c r="C83" s="46">
        <f>J9*K9*N9</f>
        <v>32257.94987279025</v>
      </c>
      <c r="D83" s="46">
        <f>-B83</f>
        <v>-48386.924809185381</v>
      </c>
      <c r="E83" s="46">
        <f>-C83</f>
        <v>-32257.94987279025</v>
      </c>
      <c r="F83" s="45" t="str">
        <f>B82</f>
        <v>U5X</v>
      </c>
    </row>
    <row r="84" spans="1:12" ht="16.8" customHeight="1" x14ac:dyDescent="0.3">
      <c r="A84" s="28" t="s">
        <v>195</v>
      </c>
      <c r="B84" s="46">
        <f>C83</f>
        <v>32257.94987279025</v>
      </c>
      <c r="C84" s="46">
        <f>K9*K9*N9</f>
        <v>21505.2999151935</v>
      </c>
      <c r="D84" s="46">
        <f>-B84</f>
        <v>-32257.94987279025</v>
      </c>
      <c r="E84" s="46">
        <f>-C84</f>
        <v>-21505.2999151935</v>
      </c>
      <c r="F84" s="45" t="str">
        <f>C82</f>
        <v>U5Y</v>
      </c>
    </row>
    <row r="85" spans="1:12" x14ac:dyDescent="0.3">
      <c r="B85" s="46">
        <f>D83</f>
        <v>-48386.924809185381</v>
      </c>
      <c r="C85" s="46">
        <f>E83</f>
        <v>-32257.94987279025</v>
      </c>
      <c r="D85" s="46">
        <f>B83</f>
        <v>48386.924809185381</v>
      </c>
      <c r="E85" s="46">
        <f>C83</f>
        <v>32257.94987279025</v>
      </c>
      <c r="F85" s="45" t="str">
        <f>D82</f>
        <v>U4X</v>
      </c>
    </row>
    <row r="86" spans="1:12" x14ac:dyDescent="0.3">
      <c r="B86" s="46">
        <f>D84</f>
        <v>-32257.94987279025</v>
      </c>
      <c r="C86" s="46">
        <f>E84</f>
        <v>-21505.2999151935</v>
      </c>
      <c r="D86" s="46">
        <f>B84</f>
        <v>32257.94987279025</v>
      </c>
      <c r="E86" s="46">
        <f>C84</f>
        <v>21505.2999151935</v>
      </c>
      <c r="F86" s="45" t="str">
        <f>E82</f>
        <v>U4Y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48386.924809185381</v>
      </c>
      <c r="I95" s="47">
        <f t="shared" si="8"/>
        <v>32257.94987279025</v>
      </c>
      <c r="J95" s="47">
        <f t="shared" si="8"/>
        <v>-48386.924809185381</v>
      </c>
      <c r="K95" s="47">
        <f t="shared" si="8"/>
        <v>-32257.94987279025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32257.94987279025</v>
      </c>
      <c r="I96" s="47">
        <f t="shared" si="8"/>
        <v>21505.2999151935</v>
      </c>
      <c r="J96" s="47">
        <f t="shared" si="8"/>
        <v>-32257.94987279025</v>
      </c>
      <c r="K96" s="47">
        <f t="shared" si="8"/>
        <v>-21505.2999151935</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-48386.924809185381</v>
      </c>
      <c r="I97" s="47">
        <f t="shared" si="8"/>
        <v>-32257.94987279025</v>
      </c>
      <c r="J97" s="47">
        <f t="shared" si="8"/>
        <v>48386.924809185381</v>
      </c>
      <c r="K97" s="47">
        <f t="shared" si="8"/>
        <v>32257.94987279025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-32257.94987279025</v>
      </c>
      <c r="I98" s="47">
        <f t="shared" si="8"/>
        <v>-21505.2999151935</v>
      </c>
      <c r="J98" s="47">
        <f t="shared" si="8"/>
        <v>32257.94987279025</v>
      </c>
      <c r="K98" s="47">
        <f t="shared" si="8"/>
        <v>21505.2999151935</v>
      </c>
      <c r="L98" s="45" t="s">
        <v>187</v>
      </c>
    </row>
    <row r="101" spans="1:12" ht="18" customHeight="1" x14ac:dyDescent="0.3">
      <c r="B101" s="48" t="str">
        <f>CONCATENATE("U",C20,C$15)</f>
        <v>U4X</v>
      </c>
      <c r="C101" s="48" t="str">
        <f>CONCATENATE("U",D20,D$15)</f>
        <v>U4Y</v>
      </c>
      <c r="D101" s="48" t="str">
        <f>CONCATENATE("U",E20,E$15)</f>
        <v>U3X</v>
      </c>
      <c r="E101" s="48" t="str">
        <f>CONCATENATE("U",F20,F$15)</f>
        <v>U3Y</v>
      </c>
    </row>
    <row r="102" spans="1:12" x14ac:dyDescent="0.3">
      <c r="B102" s="49">
        <f>J10*J10*N10</f>
        <v>18144</v>
      </c>
      <c r="C102" s="49">
        <f>J10*K10*N10</f>
        <v>-24192</v>
      </c>
      <c r="D102" s="49">
        <f>-B102</f>
        <v>-18144</v>
      </c>
      <c r="E102" s="49">
        <f>-C102</f>
        <v>24192</v>
      </c>
      <c r="F102" s="48" t="str">
        <f>B101</f>
        <v>U4X</v>
      </c>
    </row>
    <row r="103" spans="1:12" ht="16.8" customHeight="1" x14ac:dyDescent="0.3">
      <c r="A103" s="28" t="s">
        <v>197</v>
      </c>
      <c r="B103" s="49">
        <f>C102</f>
        <v>-24192</v>
      </c>
      <c r="C103" s="49">
        <f>K10*K10*N10</f>
        <v>32256.000000000007</v>
      </c>
      <c r="D103" s="49">
        <f>-B103</f>
        <v>24192</v>
      </c>
      <c r="E103" s="49">
        <f>-C103</f>
        <v>-32256.000000000007</v>
      </c>
      <c r="F103" s="48" t="str">
        <f>C101</f>
        <v>U4Y</v>
      </c>
    </row>
    <row r="104" spans="1:12" x14ac:dyDescent="0.3">
      <c r="B104" s="49">
        <f>D102</f>
        <v>-18144</v>
      </c>
      <c r="C104" s="49">
        <f>E102</f>
        <v>24192</v>
      </c>
      <c r="D104" s="49">
        <f>B102</f>
        <v>18144</v>
      </c>
      <c r="E104" s="49">
        <f>C102</f>
        <v>-24192</v>
      </c>
      <c r="F104" s="48" t="str">
        <f>D101</f>
        <v>U3X</v>
      </c>
    </row>
    <row r="105" spans="1:12" x14ac:dyDescent="0.3">
      <c r="B105" s="49">
        <f>D103</f>
        <v>24192</v>
      </c>
      <c r="C105" s="49">
        <f>E103</f>
        <v>-32256.000000000007</v>
      </c>
      <c r="D105" s="49">
        <f>B103</f>
        <v>-24192</v>
      </c>
      <c r="E105" s="49">
        <f>C103</f>
        <v>32256.000000000007</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18144</v>
      </c>
      <c r="G112" s="50">
        <f t="shared" si="9"/>
        <v>-24192</v>
      </c>
      <c r="H112" s="50">
        <f t="shared" si="9"/>
        <v>-18144</v>
      </c>
      <c r="I112" s="50">
        <f t="shared" si="9"/>
        <v>24192</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50">
        <f t="shared" si="9"/>
        <v>-24192</v>
      </c>
      <c r="G113" s="50">
        <f t="shared" si="9"/>
        <v>32256.000000000007</v>
      </c>
      <c r="H113" s="50">
        <f t="shared" si="9"/>
        <v>24192</v>
      </c>
      <c r="I113" s="50">
        <f t="shared" si="9"/>
        <v>-32256.000000000007</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50">
        <f t="shared" si="9"/>
        <v>-18144</v>
      </c>
      <c r="G114" s="50">
        <f t="shared" si="9"/>
        <v>24192</v>
      </c>
      <c r="H114" s="50">
        <f t="shared" si="9"/>
        <v>18144</v>
      </c>
      <c r="I114" s="50">
        <f t="shared" si="9"/>
        <v>-24192</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50">
        <f t="shared" si="9"/>
        <v>24192</v>
      </c>
      <c r="G115" s="50">
        <f t="shared" si="9"/>
        <v>-32256.000000000007</v>
      </c>
      <c r="H115" s="50">
        <f t="shared" si="9"/>
        <v>-24192</v>
      </c>
      <c r="I115" s="50">
        <f t="shared" si="9"/>
        <v>32256.000000000007</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U5X</v>
      </c>
      <c r="C120" s="53" t="str">
        <f>CONCATENATE("U",D21,D$15)</f>
        <v>U5Y</v>
      </c>
      <c r="D120" s="53" t="str">
        <f>CONCATENATE("U",E21,E$15)</f>
        <v>U2X</v>
      </c>
      <c r="E120" s="53" t="str">
        <f>CONCATENATE("U",F21,F$15)</f>
        <v>U2Y</v>
      </c>
    </row>
    <row r="121" spans="1:12" x14ac:dyDescent="0.3">
      <c r="B121" s="54">
        <f>J11*J11*N11</f>
        <v>48386.924809185381</v>
      </c>
      <c r="C121" s="54">
        <f>J11*K11*N11</f>
        <v>-32257.94987279025</v>
      </c>
      <c r="D121" s="54">
        <f>-B121</f>
        <v>-48386.924809185381</v>
      </c>
      <c r="E121" s="54">
        <f>-C121</f>
        <v>32257.94987279025</v>
      </c>
      <c r="F121" s="53" t="str">
        <f>B120</f>
        <v>U5X</v>
      </c>
    </row>
    <row r="122" spans="1:12" ht="16.8" customHeight="1" x14ac:dyDescent="0.3">
      <c r="A122" s="28" t="s">
        <v>199</v>
      </c>
      <c r="B122" s="54">
        <f>C121</f>
        <v>-32257.94987279025</v>
      </c>
      <c r="C122" s="54">
        <f>K11*K11*N11</f>
        <v>21505.2999151935</v>
      </c>
      <c r="D122" s="54">
        <f>-B122</f>
        <v>32257.94987279025</v>
      </c>
      <c r="E122" s="54">
        <f>-C122</f>
        <v>-21505.2999151935</v>
      </c>
      <c r="F122" s="53" t="str">
        <f>C120</f>
        <v>U5Y</v>
      </c>
    </row>
    <row r="123" spans="1:12" x14ac:dyDescent="0.3">
      <c r="B123" s="54">
        <f>D121</f>
        <v>-48386.924809185381</v>
      </c>
      <c r="C123" s="54">
        <f>E121</f>
        <v>32257.94987279025</v>
      </c>
      <c r="D123" s="54">
        <f>B121</f>
        <v>48386.924809185381</v>
      </c>
      <c r="E123" s="54">
        <f>C121</f>
        <v>-32257.94987279025</v>
      </c>
      <c r="F123" s="53" t="str">
        <f>D120</f>
        <v>U2X</v>
      </c>
    </row>
    <row r="124" spans="1:12" x14ac:dyDescent="0.3">
      <c r="B124" s="54">
        <f>D122</f>
        <v>32257.94987279025</v>
      </c>
      <c r="C124" s="54">
        <f>E122</f>
        <v>-21505.2999151935</v>
      </c>
      <c r="D124" s="54">
        <f>B122</f>
        <v>-32257.94987279025</v>
      </c>
      <c r="E124" s="54">
        <f>C122</f>
        <v>21505.2999151935</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48386.924809185381</v>
      </c>
      <c r="E129" s="55">
        <f t="shared" si="10"/>
        <v>-32257.94987279025</v>
      </c>
      <c r="F129" s="9">
        <f t="shared" si="10"/>
        <v>0</v>
      </c>
      <c r="G129" s="9">
        <f t="shared" si="10"/>
        <v>0</v>
      </c>
      <c r="H129" s="9">
        <f t="shared" si="10"/>
        <v>0</v>
      </c>
      <c r="I129" s="9">
        <f t="shared" si="10"/>
        <v>0</v>
      </c>
      <c r="J129" s="55">
        <f t="shared" si="10"/>
        <v>-48386.924809185381</v>
      </c>
      <c r="K129" s="55">
        <f t="shared" si="10"/>
        <v>32257.94987279025</v>
      </c>
      <c r="L129" s="53" t="s">
        <v>180</v>
      </c>
    </row>
    <row r="130" spans="1:12" ht="19.05" customHeight="1" x14ac:dyDescent="0.3">
      <c r="B130" s="9">
        <f t="shared" si="10"/>
        <v>0</v>
      </c>
      <c r="C130" s="9">
        <f t="shared" si="10"/>
        <v>0</v>
      </c>
      <c r="D130" s="55">
        <f t="shared" si="10"/>
        <v>-32257.94987279025</v>
      </c>
      <c r="E130" s="55">
        <f t="shared" si="10"/>
        <v>21505.2999151935</v>
      </c>
      <c r="F130" s="9">
        <f t="shared" si="10"/>
        <v>0</v>
      </c>
      <c r="G130" s="9">
        <f t="shared" si="10"/>
        <v>0</v>
      </c>
      <c r="H130" s="9">
        <f t="shared" si="10"/>
        <v>0</v>
      </c>
      <c r="I130" s="9">
        <f t="shared" si="10"/>
        <v>0</v>
      </c>
      <c r="J130" s="55">
        <f t="shared" si="10"/>
        <v>32257.94987279025</v>
      </c>
      <c r="K130" s="55">
        <f t="shared" si="10"/>
        <v>-21505.2999151935</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-48386.924809185381</v>
      </c>
      <c r="E135" s="55">
        <f t="shared" si="10"/>
        <v>32257.94987279025</v>
      </c>
      <c r="F135" s="9">
        <f t="shared" si="10"/>
        <v>0</v>
      </c>
      <c r="G135" s="9">
        <f t="shared" si="10"/>
        <v>0</v>
      </c>
      <c r="H135" s="9">
        <f t="shared" si="10"/>
        <v>0</v>
      </c>
      <c r="I135" s="9">
        <f t="shared" si="10"/>
        <v>0</v>
      </c>
      <c r="J135" s="55">
        <f t="shared" si="10"/>
        <v>48386.924809185381</v>
      </c>
      <c r="K135" s="55">
        <f t="shared" si="10"/>
        <v>-32257.94987279025</v>
      </c>
      <c r="L135" s="53" t="s">
        <v>186</v>
      </c>
    </row>
    <row r="136" spans="1:12" ht="19.05" customHeight="1" x14ac:dyDescent="0.3">
      <c r="B136" s="9">
        <f t="shared" si="10"/>
        <v>0</v>
      </c>
      <c r="C136" s="9">
        <f t="shared" si="10"/>
        <v>0</v>
      </c>
      <c r="D136" s="55">
        <f t="shared" si="10"/>
        <v>32257.94987279025</v>
      </c>
      <c r="E136" s="55">
        <f t="shared" si="10"/>
        <v>-21505.2999151935</v>
      </c>
      <c r="F136" s="9">
        <f t="shared" si="10"/>
        <v>0</v>
      </c>
      <c r="G136" s="9">
        <f t="shared" si="10"/>
        <v>0</v>
      </c>
      <c r="H136" s="9">
        <f t="shared" si="10"/>
        <v>0</v>
      </c>
      <c r="I136" s="9">
        <f t="shared" si="10"/>
        <v>0</v>
      </c>
      <c r="J136" s="55">
        <f t="shared" si="10"/>
        <v>-32257.94987279025</v>
      </c>
      <c r="K136" s="55">
        <f t="shared" si="10"/>
        <v>21505.2999151935</v>
      </c>
      <c r="L136" s="53" t="s">
        <v>187</v>
      </c>
    </row>
    <row r="139" spans="1:12" ht="18" customHeight="1" x14ac:dyDescent="0.3">
      <c r="B139" s="56" t="str">
        <f>CONCATENATE("U",C22,C$15)</f>
        <v>U2X</v>
      </c>
      <c r="C139" s="56" t="str">
        <f>CONCATENATE("U",D22,D$15)</f>
        <v>U2Y</v>
      </c>
      <c r="D139" s="56" t="str">
        <f>CONCATENATE("U",E22,E$15)</f>
        <v>U4X</v>
      </c>
      <c r="E139" s="56" t="str">
        <f>CONCATENATE("U",F22,F$15)</f>
        <v>U4Y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63000</v>
      </c>
      <c r="D141" s="57">
        <f>-B141</f>
        <v>0</v>
      </c>
      <c r="E141" s="57">
        <f>-C141</f>
        <v>-63000</v>
      </c>
      <c r="F141" s="56" t="str">
        <f>C139</f>
        <v>U2Y</v>
      </c>
    </row>
    <row r="142" spans="1:12" x14ac:dyDescent="0.3">
      <c r="B142" s="57">
        <f>D140</f>
        <v>0</v>
      </c>
      <c r="C142" s="57">
        <f>E140</f>
        <v>0</v>
      </c>
      <c r="D142" s="57">
        <f>B140</f>
        <v>0</v>
      </c>
      <c r="E142" s="57">
        <f>C140</f>
        <v>0</v>
      </c>
      <c r="F142" s="56" t="str">
        <f>D139</f>
        <v>U4X</v>
      </c>
    </row>
    <row r="143" spans="1:12" x14ac:dyDescent="0.3">
      <c r="B143" s="57">
        <f>D141</f>
        <v>0</v>
      </c>
      <c r="C143" s="57">
        <f>E141</f>
        <v>-63000</v>
      </c>
      <c r="D143" s="57">
        <f>B141</f>
        <v>0</v>
      </c>
      <c r="E143" s="57">
        <f>C141</f>
        <v>63000</v>
      </c>
      <c r="F143" s="56" t="str">
        <f>E139</f>
        <v>U4Y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58">
        <f t="shared" si="11"/>
        <v>0</v>
      </c>
      <c r="I148" s="58">
        <f t="shared" si="11"/>
        <v>0</v>
      </c>
      <c r="J148" s="9">
        <f t="shared" si="11"/>
        <v>0</v>
      </c>
      <c r="K148" s="9">
        <f t="shared" si="11"/>
        <v>0</v>
      </c>
      <c r="L148" s="56" t="s">
        <v>180</v>
      </c>
    </row>
    <row r="149" spans="1:12" ht="19.05" customHeight="1" x14ac:dyDescent="0.3">
      <c r="B149" s="9">
        <f t="shared" si="11"/>
        <v>0</v>
      </c>
      <c r="C149" s="9">
        <f t="shared" si="11"/>
        <v>0</v>
      </c>
      <c r="D149" s="58">
        <f t="shared" si="11"/>
        <v>0</v>
      </c>
      <c r="E149" s="58">
        <f t="shared" si="11"/>
        <v>63000</v>
      </c>
      <c r="F149" s="9">
        <f t="shared" si="11"/>
        <v>0</v>
      </c>
      <c r="G149" s="9">
        <f t="shared" si="11"/>
        <v>0</v>
      </c>
      <c r="H149" s="58">
        <f t="shared" si="11"/>
        <v>0</v>
      </c>
      <c r="I149" s="58">
        <f t="shared" si="11"/>
        <v>-63000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58">
        <f t="shared" si="11"/>
        <v>0</v>
      </c>
      <c r="E152" s="58">
        <f t="shared" si="11"/>
        <v>0</v>
      </c>
      <c r="F152" s="9">
        <f t="shared" si="11"/>
        <v>0</v>
      </c>
      <c r="G152" s="9">
        <f t="shared" si="11"/>
        <v>0</v>
      </c>
      <c r="H152" s="58">
        <f t="shared" si="11"/>
        <v>0</v>
      </c>
      <c r="I152" s="58">
        <f t="shared" si="11"/>
        <v>0</v>
      </c>
      <c r="J152" s="9">
        <f t="shared" si="11"/>
        <v>0</v>
      </c>
      <c r="K152" s="9">
        <f t="shared" si="11"/>
        <v>0</v>
      </c>
      <c r="L152" s="56" t="s">
        <v>184</v>
      </c>
    </row>
    <row r="153" spans="1:12" ht="19.05" customHeight="1" x14ac:dyDescent="0.3">
      <c r="B153" s="9">
        <f t="shared" si="11"/>
        <v>0</v>
      </c>
      <c r="C153" s="9">
        <f t="shared" si="11"/>
        <v>0</v>
      </c>
      <c r="D153" s="58">
        <f t="shared" si="11"/>
        <v>0</v>
      </c>
      <c r="E153" s="58">
        <f t="shared" si="11"/>
        <v>-63000</v>
      </c>
      <c r="F153" s="9">
        <f t="shared" si="11"/>
        <v>0</v>
      </c>
      <c r="G153" s="9">
        <f t="shared" si="11"/>
        <v>0</v>
      </c>
      <c r="H153" s="58">
        <f t="shared" si="11"/>
        <v>0</v>
      </c>
      <c r="I153" s="58">
        <f t="shared" si="11"/>
        <v>63000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90386.924809185381</v>
      </c>
      <c r="C159" s="36">
        <f t="shared" si="12"/>
        <v>32257.94987279025</v>
      </c>
      <c r="D159" s="9">
        <f t="shared" si="12"/>
        <v>-42000</v>
      </c>
      <c r="E159" s="9">
        <f t="shared" si="12"/>
        <v>0</v>
      </c>
      <c r="F159" s="9">
        <f t="shared" si="12"/>
        <v>0</v>
      </c>
      <c r="G159" s="9">
        <f t="shared" si="12"/>
        <v>0</v>
      </c>
      <c r="H159" s="9">
        <f t="shared" si="12"/>
        <v>0</v>
      </c>
      <c r="I159" s="9">
        <f t="shared" si="12"/>
        <v>0</v>
      </c>
      <c r="J159" s="9">
        <f t="shared" si="12"/>
        <v>-48386.924809185381</v>
      </c>
      <c r="K159" s="9">
        <f t="shared" si="12"/>
        <v>-32257.94987279025</v>
      </c>
      <c r="L159" s="89" t="s">
        <v>178</v>
      </c>
    </row>
    <row r="160" spans="1:12" ht="19.95" customHeight="1" x14ac:dyDescent="0.3">
      <c r="B160" s="36">
        <f t="shared" ref="B160:K160" si="13">B33+B52+B71+B90+B109+B128+B147</f>
        <v>32257.94987279025</v>
      </c>
      <c r="C160" s="35">
        <f t="shared" si="13"/>
        <v>21505.2999151935</v>
      </c>
      <c r="D160" s="9">
        <f t="shared" si="13"/>
        <v>0</v>
      </c>
      <c r="E160" s="9">
        <f t="shared" si="13"/>
        <v>0</v>
      </c>
      <c r="F160" s="9">
        <f t="shared" si="13"/>
        <v>0</v>
      </c>
      <c r="G160" s="9">
        <f t="shared" si="13"/>
        <v>0</v>
      </c>
      <c r="H160" s="9">
        <f t="shared" si="13"/>
        <v>0</v>
      </c>
      <c r="I160" s="9">
        <f t="shared" si="13"/>
        <v>0</v>
      </c>
      <c r="J160" s="9">
        <f t="shared" si="13"/>
        <v>-32257.94987279025</v>
      </c>
      <c r="K160" s="9">
        <f t="shared" si="13"/>
        <v>-21505.2999151935</v>
      </c>
      <c r="L160" s="89" t="s">
        <v>179</v>
      </c>
    </row>
    <row r="161" spans="1:19" ht="19.95" customHeight="1" x14ac:dyDescent="0.3">
      <c r="B161" s="9">
        <f t="shared" ref="B161:K161" si="14">B34+B53+B72+B91+B110+B129+B148</f>
        <v>-42000</v>
      </c>
      <c r="C161" s="9">
        <f t="shared" si="14"/>
        <v>0</v>
      </c>
      <c r="D161" s="35">
        <f t="shared" si="14"/>
        <v>174386.92480918538</v>
      </c>
      <c r="E161" s="36">
        <f t="shared" si="14"/>
        <v>-32257.94987279025</v>
      </c>
      <c r="F161" s="9">
        <f t="shared" si="14"/>
        <v>-84000</v>
      </c>
      <c r="G161" s="9">
        <f t="shared" si="14"/>
        <v>0</v>
      </c>
      <c r="H161" s="9">
        <f t="shared" si="14"/>
        <v>0</v>
      </c>
      <c r="I161" s="9">
        <f t="shared" si="14"/>
        <v>0</v>
      </c>
      <c r="J161" s="9">
        <f t="shared" si="14"/>
        <v>-48386.924809185381</v>
      </c>
      <c r="K161" s="9">
        <f t="shared" si="14"/>
        <v>32257.94987279025</v>
      </c>
      <c r="L161" s="89" t="s">
        <v>180</v>
      </c>
    </row>
    <row r="162" spans="1:19" ht="19.95" customHeight="1" x14ac:dyDescent="0.3">
      <c r="B162" s="9">
        <f t="shared" ref="B162:K162" si="15">B35+B54+B73+B92+B111+B130+B149</f>
        <v>0</v>
      </c>
      <c r="C162" s="9">
        <f t="shared" si="15"/>
        <v>0</v>
      </c>
      <c r="D162" s="36">
        <f t="shared" si="15"/>
        <v>-32257.94987279025</v>
      </c>
      <c r="E162" s="35">
        <f t="shared" si="15"/>
        <v>84505.299915193493</v>
      </c>
      <c r="F162" s="9">
        <f t="shared" si="15"/>
        <v>0</v>
      </c>
      <c r="G162" s="9">
        <f t="shared" si="15"/>
        <v>0</v>
      </c>
      <c r="H162" s="9">
        <f t="shared" si="15"/>
        <v>0</v>
      </c>
      <c r="I162" s="9">
        <f t="shared" si="15"/>
        <v>-63000</v>
      </c>
      <c r="J162" s="9">
        <f t="shared" si="15"/>
        <v>32257.94987279025</v>
      </c>
      <c r="K162" s="9">
        <f t="shared" si="15"/>
        <v>-21505.2999151935</v>
      </c>
      <c r="L162" s="89" t="s">
        <v>181</v>
      </c>
    </row>
    <row r="163" spans="1:19" ht="19.95" customHeight="1" x14ac:dyDescent="0.3">
      <c r="A163" s="28" t="s">
        <v>205</v>
      </c>
      <c r="B163" s="9">
        <f t="shared" ref="B163:K163" si="16">B36+B55+B74+B93+B112+B131+B150</f>
        <v>0</v>
      </c>
      <c r="C163" s="9">
        <f t="shared" si="16"/>
        <v>0</v>
      </c>
      <c r="D163" s="9">
        <f t="shared" si="16"/>
        <v>-84000</v>
      </c>
      <c r="E163" s="9">
        <f t="shared" si="16"/>
        <v>0</v>
      </c>
      <c r="F163" s="35">
        <f t="shared" si="16"/>
        <v>102144</v>
      </c>
      <c r="G163" s="36">
        <f t="shared" si="16"/>
        <v>-24192</v>
      </c>
      <c r="H163" s="9">
        <f t="shared" si="16"/>
        <v>-18144</v>
      </c>
      <c r="I163" s="9">
        <f t="shared" si="16"/>
        <v>24192</v>
      </c>
      <c r="J163" s="9">
        <f t="shared" si="16"/>
        <v>0</v>
      </c>
      <c r="K163" s="9">
        <f t="shared" si="16"/>
        <v>0</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-24192</v>
      </c>
      <c r="G164" s="35">
        <f t="shared" si="17"/>
        <v>32256.000000000007</v>
      </c>
      <c r="H164" s="9">
        <f t="shared" si="17"/>
        <v>24192</v>
      </c>
      <c r="I164" s="9">
        <f t="shared" si="17"/>
        <v>-32256.000000000007</v>
      </c>
      <c r="J164" s="9">
        <f t="shared" si="17"/>
        <v>0</v>
      </c>
      <c r="K164" s="9">
        <f t="shared" si="17"/>
        <v>0</v>
      </c>
      <c r="L164" s="89" t="s">
        <v>183</v>
      </c>
    </row>
    <row r="165" spans="1:19" ht="19.95" customHeight="1" x14ac:dyDescent="0.3">
      <c r="B165" s="9">
        <f t="shared" ref="B165:K165" si="18">B38+B57+B76+B95+B114+B133+B152</f>
        <v>0</v>
      </c>
      <c r="C165" s="9">
        <f t="shared" si="18"/>
        <v>0</v>
      </c>
      <c r="D165" s="9">
        <f t="shared" si="18"/>
        <v>0</v>
      </c>
      <c r="E165" s="9">
        <f t="shared" si="18"/>
        <v>0</v>
      </c>
      <c r="F165" s="9">
        <f t="shared" si="18"/>
        <v>-18144</v>
      </c>
      <c r="G165" s="9">
        <f t="shared" si="18"/>
        <v>24192</v>
      </c>
      <c r="H165" s="35">
        <f t="shared" si="18"/>
        <v>66530.924809185381</v>
      </c>
      <c r="I165" s="36">
        <f t="shared" si="18"/>
        <v>8065.9498727902501</v>
      </c>
      <c r="J165" s="9">
        <f t="shared" si="18"/>
        <v>-48386.924809185381</v>
      </c>
      <c r="K165" s="9">
        <f t="shared" si="18"/>
        <v>-32257.94987279025</v>
      </c>
      <c r="L165" s="89" t="s">
        <v>184</v>
      </c>
    </row>
    <row r="166" spans="1:19" ht="19.95" customHeight="1" x14ac:dyDescent="0.3">
      <c r="B166" s="9">
        <f t="shared" ref="B166:K166" si="19">B39+B58+B77+B96+B115+B134+B153</f>
        <v>0</v>
      </c>
      <c r="C166" s="9">
        <f t="shared" si="19"/>
        <v>0</v>
      </c>
      <c r="D166" s="9">
        <f t="shared" si="19"/>
        <v>0</v>
      </c>
      <c r="E166" s="9">
        <f t="shared" si="19"/>
        <v>-63000</v>
      </c>
      <c r="F166" s="9">
        <f t="shared" si="19"/>
        <v>24192</v>
      </c>
      <c r="G166" s="9">
        <f t="shared" si="19"/>
        <v>-32256.000000000007</v>
      </c>
      <c r="H166" s="36">
        <f t="shared" si="19"/>
        <v>8065.9498727902501</v>
      </c>
      <c r="I166" s="35">
        <f t="shared" si="19"/>
        <v>116761.29991519351</v>
      </c>
      <c r="J166" s="9">
        <f t="shared" si="19"/>
        <v>-32257.94987279025</v>
      </c>
      <c r="K166" s="9">
        <f t="shared" si="19"/>
        <v>-21505.2999151935</v>
      </c>
      <c r="L166" s="89" t="s">
        <v>185</v>
      </c>
    </row>
    <row r="167" spans="1:19" ht="19.95" customHeight="1" x14ac:dyDescent="0.3">
      <c r="B167" s="9">
        <f t="shared" ref="B167:K167" si="20">B40+B59+B78+B97+B116+B135+B154</f>
        <v>-48386.924809185381</v>
      </c>
      <c r="C167" s="9">
        <f t="shared" si="20"/>
        <v>-32257.94987279025</v>
      </c>
      <c r="D167" s="9">
        <f t="shared" si="20"/>
        <v>-48386.924809185381</v>
      </c>
      <c r="E167" s="9">
        <f t="shared" si="20"/>
        <v>32257.94987279025</v>
      </c>
      <c r="F167" s="9">
        <f t="shared" si="20"/>
        <v>0</v>
      </c>
      <c r="G167" s="9">
        <f t="shared" si="20"/>
        <v>0</v>
      </c>
      <c r="H167" s="9">
        <f t="shared" si="20"/>
        <v>-48386.924809185381</v>
      </c>
      <c r="I167" s="9">
        <f t="shared" si="20"/>
        <v>-32257.94987279025</v>
      </c>
      <c r="J167" s="35">
        <f t="shared" si="20"/>
        <v>145160.77442755614</v>
      </c>
      <c r="K167" s="36">
        <f t="shared" si="20"/>
        <v>32257.94987279025</v>
      </c>
      <c r="L167" s="89" t="s">
        <v>186</v>
      </c>
    </row>
    <row r="168" spans="1:19" ht="19.95" customHeight="1" x14ac:dyDescent="0.3">
      <c r="B168" s="9">
        <f t="shared" ref="B168:K168" si="21">B41+B60+B79+B98+B117+B136+B155</f>
        <v>-32257.94987279025</v>
      </c>
      <c r="C168" s="9">
        <f t="shared" si="21"/>
        <v>-21505.2999151935</v>
      </c>
      <c r="D168" s="9">
        <f t="shared" si="21"/>
        <v>32257.94987279025</v>
      </c>
      <c r="E168" s="9">
        <f t="shared" si="21"/>
        <v>-21505.2999151935</v>
      </c>
      <c r="F168" s="9">
        <f t="shared" si="21"/>
        <v>0</v>
      </c>
      <c r="G168" s="9">
        <f t="shared" si="21"/>
        <v>0</v>
      </c>
      <c r="H168" s="9">
        <f t="shared" si="21"/>
        <v>-32257.94987279025</v>
      </c>
      <c r="I168" s="9">
        <f t="shared" si="21"/>
        <v>-21505.2999151935</v>
      </c>
      <c r="J168" s="36">
        <f t="shared" si="21"/>
        <v>32257.94987279025</v>
      </c>
      <c r="K168" s="35">
        <f t="shared" si="21"/>
        <v>64515.8997455805</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IF(GRAFICA_23!F14=1, B172, GRAFICA_23!H14)</f>
        <v>C1X</v>
      </c>
      <c r="N172" s="215" t="s">
        <v>376</v>
      </c>
      <c r="O172" s="172"/>
      <c r="P172" s="172"/>
      <c r="Q172" s="172"/>
      <c r="R172" s="172"/>
      <c r="S172" s="173"/>
    </row>
    <row r="173" spans="1:19" ht="16.95" customHeight="1" x14ac:dyDescent="0.3">
      <c r="B173" s="12" t="s">
        <v>210</v>
      </c>
      <c r="C173" s="12" t="s">
        <v>179</v>
      </c>
      <c r="E173" s="37" t="str">
        <f>IF(GRAFICA_23!G14=1, B173, GRAFICA_23!I14)</f>
        <v>C1Y</v>
      </c>
      <c r="N173" s="215" t="s">
        <v>211</v>
      </c>
      <c r="O173" s="172"/>
      <c r="P173" s="172"/>
      <c r="Q173" s="172"/>
      <c r="R173" s="172"/>
      <c r="S173" s="173"/>
    </row>
    <row r="174" spans="1:19" ht="16.95" customHeight="1" x14ac:dyDescent="0.3">
      <c r="B174" s="12" t="s">
        <v>212</v>
      </c>
      <c r="C174" s="12" t="s">
        <v>180</v>
      </c>
      <c r="E174" s="37">
        <f>IF(GRAFICA_23!F15=1, B174, GRAFICA_23!H15)</f>
        <v>0</v>
      </c>
      <c r="N174" s="215" t="s">
        <v>377</v>
      </c>
      <c r="O174" s="172"/>
      <c r="P174" s="172"/>
      <c r="Q174" s="172"/>
      <c r="R174" s="172"/>
      <c r="S174" s="173"/>
    </row>
    <row r="175" spans="1:19" ht="16.95" customHeight="1" x14ac:dyDescent="0.3">
      <c r="B175" s="12" t="s">
        <v>214</v>
      </c>
      <c r="C175" s="12" t="s">
        <v>181</v>
      </c>
      <c r="E175" s="37">
        <f>IF(GRAFICA_23!G15=1, B175, GRAFICA_23!I15)</f>
        <v>-4000</v>
      </c>
      <c r="N175" s="215" t="s">
        <v>215</v>
      </c>
      <c r="O175" s="172"/>
      <c r="P175" s="172"/>
      <c r="Q175" s="172"/>
      <c r="R175" s="172"/>
      <c r="S175" s="173"/>
    </row>
    <row r="176" spans="1:19" ht="16.95" customHeight="1" x14ac:dyDescent="0.3">
      <c r="A176" s="38" t="s">
        <v>218</v>
      </c>
      <c r="B176" s="12" t="s">
        <v>216</v>
      </c>
      <c r="C176" s="12" t="s">
        <v>182</v>
      </c>
      <c r="D176" s="13" t="s">
        <v>220</v>
      </c>
      <c r="E176" s="37">
        <f>IF(GRAFICA_23!F16=1, B176, GRAFICA_23!H16)</f>
        <v>0</v>
      </c>
      <c r="N176" s="215" t="s">
        <v>378</v>
      </c>
      <c r="O176" s="172"/>
      <c r="P176" s="172"/>
      <c r="Q176" s="172"/>
      <c r="R176" s="172"/>
      <c r="S176" s="173"/>
    </row>
    <row r="177" spans="1:19" ht="16.95" customHeight="1" x14ac:dyDescent="0.3">
      <c r="B177" s="12" t="s">
        <v>219</v>
      </c>
      <c r="C177" s="12" t="s">
        <v>183</v>
      </c>
      <c r="E177" s="37" t="str">
        <f>IF(GRAFICA_23!G16=1, B177, GRAFICA_23!I16)</f>
        <v>C3Y</v>
      </c>
      <c r="N177" s="215" t="s">
        <v>379</v>
      </c>
      <c r="O177" s="172"/>
      <c r="P177" s="172"/>
      <c r="Q177" s="172"/>
      <c r="R177" s="172"/>
      <c r="S177" s="173"/>
    </row>
    <row r="178" spans="1:19" ht="16.95" customHeight="1" x14ac:dyDescent="0.3">
      <c r="B178" s="12" t="s">
        <v>221</v>
      </c>
      <c r="C178" s="12" t="s">
        <v>184</v>
      </c>
      <c r="E178" s="37">
        <f>IF(GRAFICA_23!F17=1, B178, GRAFICA_23!H17)</f>
        <v>2500</v>
      </c>
      <c r="N178" s="215"/>
      <c r="O178" s="172"/>
      <c r="P178" s="172"/>
      <c r="Q178" s="172"/>
      <c r="R178" s="172"/>
      <c r="S178" s="173"/>
    </row>
    <row r="179" spans="1:19" ht="16.95" customHeight="1" x14ac:dyDescent="0.3">
      <c r="B179" s="12" t="s">
        <v>222</v>
      </c>
      <c r="C179" s="12" t="s">
        <v>185</v>
      </c>
      <c r="E179" s="37">
        <f>IF(GRAFICA_23!G17=1, B179, GRAFICA_23!I17)</f>
        <v>-6000</v>
      </c>
      <c r="N179" s="215"/>
      <c r="O179" s="172"/>
      <c r="P179" s="172"/>
      <c r="Q179" s="172"/>
      <c r="R179" s="172"/>
      <c r="S179" s="173"/>
    </row>
    <row r="180" spans="1:19" ht="16.95" customHeight="1" x14ac:dyDescent="0.3">
      <c r="B180" s="12" t="s">
        <v>223</v>
      </c>
      <c r="C180" s="12" t="s">
        <v>186</v>
      </c>
      <c r="E180" s="37">
        <f>IF(GRAFICA_23!F18=1, B180, GRAFICA_23!H18)</f>
        <v>1500</v>
      </c>
      <c r="N180" s="215"/>
      <c r="O180" s="172"/>
      <c r="P180" s="172"/>
      <c r="Q180" s="172"/>
      <c r="R180" s="172"/>
      <c r="S180" s="173"/>
    </row>
    <row r="181" spans="1:19" ht="16.95" customHeight="1" x14ac:dyDescent="0.3">
      <c r="B181" s="12" t="s">
        <v>224</v>
      </c>
      <c r="C181" s="12" t="s">
        <v>187</v>
      </c>
      <c r="E181" s="37">
        <f>IF(GRAFICA_23!G18=1, B181, GRAFICA_23!I18)</f>
        <v>-3500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IF(GRAFICA_23!F14=1,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IF(GRAFICA_23!G14=1,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IF(GRAFICA_23!F15=1,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IF(GRAFICA_23!G15=1,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IF(GRAFICA_23!F16=1,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IF(GRAFICA_23!G16=1,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IF(GRAFICA_23!F17=1,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IF(GRAFICA_23!G17=1,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IF(GRAFICA_23!F18=1,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IF(GRAFICA_23!G18=1,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90386.924809185381</v>
      </c>
      <c r="D198" s="9">
        <f t="shared" si="23"/>
        <v>32257.94987279025</v>
      </c>
      <c r="E198" s="9">
        <f t="shared" si="23"/>
        <v>-42000</v>
      </c>
      <c r="F198" s="9">
        <f t="shared" si="23"/>
        <v>0</v>
      </c>
      <c r="G198" s="9">
        <f t="shared" si="23"/>
        <v>0</v>
      </c>
      <c r="H198" s="9">
        <f t="shared" si="23"/>
        <v>0</v>
      </c>
      <c r="I198" s="9">
        <f t="shared" si="23"/>
        <v>0</v>
      </c>
      <c r="J198" s="9">
        <f t="shared" si="23"/>
        <v>0</v>
      </c>
      <c r="K198" s="9">
        <f t="shared" si="23"/>
        <v>-48386.924809185381</v>
      </c>
      <c r="L198" s="9">
        <f t="shared" si="23"/>
        <v>-32257.94987279025</v>
      </c>
      <c r="M198" s="13" t="s">
        <v>251</v>
      </c>
      <c r="N198" s="219" t="s">
        <v>380</v>
      </c>
      <c r="O198" s="172"/>
      <c r="P198" s="172"/>
      <c r="Q198" s="172"/>
      <c r="R198" s="172"/>
      <c r="S198" s="173"/>
    </row>
    <row r="199" spans="1:19" ht="16.95" customHeight="1" x14ac:dyDescent="0.3">
      <c r="A199" s="12" t="str">
        <f t="shared" si="22"/>
        <v>C1Y</v>
      </c>
      <c r="C199" s="9">
        <f t="shared" ref="C199:L199" si="24">B160</f>
        <v>32257.94987279025</v>
      </c>
      <c r="D199" s="9">
        <f t="shared" si="24"/>
        <v>21505.2999151935</v>
      </c>
      <c r="E199" s="9">
        <f t="shared" si="24"/>
        <v>0</v>
      </c>
      <c r="F199" s="9">
        <f t="shared" si="24"/>
        <v>0</v>
      </c>
      <c r="G199" s="9">
        <f t="shared" si="24"/>
        <v>0</v>
      </c>
      <c r="H199" s="9">
        <f t="shared" si="24"/>
        <v>0</v>
      </c>
      <c r="I199" s="9">
        <f t="shared" si="24"/>
        <v>0</v>
      </c>
      <c r="J199" s="9">
        <f t="shared" si="24"/>
        <v>0</v>
      </c>
      <c r="K199" s="9">
        <f t="shared" si="24"/>
        <v>-32257.94987279025</v>
      </c>
      <c r="L199" s="9">
        <f t="shared" si="24"/>
        <v>-21505.2999151935</v>
      </c>
      <c r="M199" s="13" t="s">
        <v>251</v>
      </c>
      <c r="N199" s="219" t="s">
        <v>253</v>
      </c>
      <c r="O199" s="172"/>
      <c r="P199" s="172"/>
      <c r="Q199" s="172"/>
      <c r="R199" s="172"/>
      <c r="S199" s="173"/>
    </row>
    <row r="200" spans="1:19" ht="16.95" customHeight="1" x14ac:dyDescent="0.3">
      <c r="A200" s="41">
        <f t="shared" si="22"/>
        <v>0</v>
      </c>
      <c r="C200" s="9">
        <f t="shared" ref="C200:L200" si="25">B161</f>
        <v>-42000</v>
      </c>
      <c r="D200" s="9">
        <f t="shared" si="25"/>
        <v>0</v>
      </c>
      <c r="E200" s="41">
        <f t="shared" si="25"/>
        <v>174386.92480918538</v>
      </c>
      <c r="F200" s="41">
        <f t="shared" si="25"/>
        <v>-32257.94987279025</v>
      </c>
      <c r="G200" s="41">
        <f t="shared" si="25"/>
        <v>-84000</v>
      </c>
      <c r="H200" s="9">
        <f t="shared" si="25"/>
        <v>0</v>
      </c>
      <c r="I200" s="41">
        <f t="shared" si="25"/>
        <v>0</v>
      </c>
      <c r="J200" s="41">
        <f t="shared" si="25"/>
        <v>0</v>
      </c>
      <c r="K200" s="41">
        <f t="shared" si="25"/>
        <v>-48386.924809185381</v>
      </c>
      <c r="L200" s="41">
        <f t="shared" si="25"/>
        <v>32257.94987279025</v>
      </c>
      <c r="M200" s="13" t="s">
        <v>251</v>
      </c>
      <c r="N200" s="215" t="s">
        <v>254</v>
      </c>
      <c r="O200" s="172"/>
      <c r="P200" s="172"/>
      <c r="Q200" s="172"/>
      <c r="R200" s="172"/>
      <c r="S200" s="173"/>
    </row>
    <row r="201" spans="1:19" ht="16.95" customHeight="1" x14ac:dyDescent="0.3">
      <c r="A201" s="41">
        <f t="shared" si="22"/>
        <v>-4000</v>
      </c>
      <c r="C201" s="9">
        <f t="shared" ref="C201:L201" si="26">B162</f>
        <v>0</v>
      </c>
      <c r="D201" s="9">
        <f t="shared" si="26"/>
        <v>0</v>
      </c>
      <c r="E201" s="41">
        <f t="shared" si="26"/>
        <v>-32257.94987279025</v>
      </c>
      <c r="F201" s="41">
        <f t="shared" si="26"/>
        <v>84505.299915193493</v>
      </c>
      <c r="G201" s="41">
        <f t="shared" si="26"/>
        <v>0</v>
      </c>
      <c r="H201" s="9">
        <f t="shared" si="26"/>
        <v>0</v>
      </c>
      <c r="I201" s="41">
        <f t="shared" si="26"/>
        <v>0</v>
      </c>
      <c r="J201" s="41">
        <f t="shared" si="26"/>
        <v>-63000</v>
      </c>
      <c r="K201" s="41">
        <f t="shared" si="26"/>
        <v>32257.94987279025</v>
      </c>
      <c r="L201" s="41">
        <f t="shared" si="26"/>
        <v>-21505.2999151935</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-84000</v>
      </c>
      <c r="F202" s="41">
        <f t="shared" si="27"/>
        <v>0</v>
      </c>
      <c r="G202" s="41">
        <f t="shared" si="27"/>
        <v>102144</v>
      </c>
      <c r="H202" s="9">
        <f t="shared" si="27"/>
        <v>-24192</v>
      </c>
      <c r="I202" s="41">
        <f t="shared" si="27"/>
        <v>-18144</v>
      </c>
      <c r="J202" s="41">
        <f t="shared" si="27"/>
        <v>24192</v>
      </c>
      <c r="K202" s="41">
        <f t="shared" si="27"/>
        <v>0</v>
      </c>
      <c r="L202" s="41">
        <f t="shared" si="27"/>
        <v>0</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-24192</v>
      </c>
      <c r="H203" s="9">
        <f t="shared" si="28"/>
        <v>32256.000000000007</v>
      </c>
      <c r="I203" s="9">
        <f t="shared" si="28"/>
        <v>24192</v>
      </c>
      <c r="J203" s="9">
        <f t="shared" si="28"/>
        <v>-32256.000000000007</v>
      </c>
      <c r="K203" s="9">
        <f t="shared" si="28"/>
        <v>0</v>
      </c>
      <c r="L203" s="9">
        <f t="shared" si="28"/>
        <v>0</v>
      </c>
      <c r="M203" s="13" t="s">
        <v>251</v>
      </c>
      <c r="N203" s="219">
        <f>E189</f>
        <v>0</v>
      </c>
      <c r="O203" s="172"/>
      <c r="P203" s="172"/>
      <c r="Q203" s="172"/>
      <c r="R203" s="172"/>
      <c r="S203" s="173"/>
    </row>
    <row r="204" spans="1:19" ht="16.95" customHeight="1" x14ac:dyDescent="0.3">
      <c r="A204" s="41">
        <f t="shared" si="22"/>
        <v>2500</v>
      </c>
      <c r="C204" s="9">
        <f t="shared" ref="C204:L204" si="29">B165</f>
        <v>0</v>
      </c>
      <c r="D204" s="9">
        <f t="shared" si="29"/>
        <v>0</v>
      </c>
      <c r="E204" s="41">
        <f t="shared" si="29"/>
        <v>0</v>
      </c>
      <c r="F204" s="41">
        <f t="shared" si="29"/>
        <v>0</v>
      </c>
      <c r="G204" s="41">
        <f t="shared" si="29"/>
        <v>-18144</v>
      </c>
      <c r="H204" s="9">
        <f t="shared" si="29"/>
        <v>24192</v>
      </c>
      <c r="I204" s="41">
        <f t="shared" si="29"/>
        <v>66530.924809185381</v>
      </c>
      <c r="J204" s="41">
        <f t="shared" si="29"/>
        <v>8065.9498727902501</v>
      </c>
      <c r="K204" s="41">
        <f t="shared" si="29"/>
        <v>-48386.924809185381</v>
      </c>
      <c r="L204" s="41">
        <f t="shared" si="29"/>
        <v>-32257.94987279025</v>
      </c>
      <c r="M204" s="13" t="s">
        <v>251</v>
      </c>
      <c r="N204" s="215" t="str">
        <f>E190</f>
        <v>D4X</v>
      </c>
      <c r="O204" s="172"/>
      <c r="P204" s="172"/>
      <c r="Q204" s="172"/>
      <c r="R204" s="172"/>
      <c r="S204" s="173"/>
    </row>
    <row r="205" spans="1:19" ht="16.95" customHeight="1" x14ac:dyDescent="0.3">
      <c r="A205" s="41">
        <f t="shared" si="22"/>
        <v>-6000</v>
      </c>
      <c r="C205" s="9">
        <f t="shared" ref="C205:L205" si="30">B166</f>
        <v>0</v>
      </c>
      <c r="D205" s="9">
        <f t="shared" si="30"/>
        <v>0</v>
      </c>
      <c r="E205" s="41">
        <f t="shared" si="30"/>
        <v>0</v>
      </c>
      <c r="F205" s="41">
        <f t="shared" si="30"/>
        <v>-63000</v>
      </c>
      <c r="G205" s="41">
        <f t="shared" si="30"/>
        <v>24192</v>
      </c>
      <c r="H205" s="9">
        <f t="shared" si="30"/>
        <v>-32256.000000000007</v>
      </c>
      <c r="I205" s="41">
        <f t="shared" si="30"/>
        <v>8065.9498727902501</v>
      </c>
      <c r="J205" s="41">
        <f t="shared" si="30"/>
        <v>116761.29991519351</v>
      </c>
      <c r="K205" s="41">
        <f t="shared" si="30"/>
        <v>-32257.94987279025</v>
      </c>
      <c r="L205" s="41">
        <f t="shared" si="30"/>
        <v>-21505.2999151935</v>
      </c>
      <c r="M205" s="13" t="s">
        <v>251</v>
      </c>
      <c r="N205" s="215" t="str">
        <f>E191</f>
        <v>D4Y</v>
      </c>
      <c r="O205" s="172"/>
      <c r="P205" s="172"/>
      <c r="Q205" s="172"/>
      <c r="R205" s="172"/>
      <c r="S205" s="173"/>
    </row>
    <row r="206" spans="1:19" ht="16.95" customHeight="1" x14ac:dyDescent="0.3">
      <c r="A206" s="41">
        <f t="shared" si="22"/>
        <v>1500</v>
      </c>
      <c r="C206" s="9">
        <f t="shared" ref="C206:L206" si="31">B167</f>
        <v>-48386.924809185381</v>
      </c>
      <c r="D206" s="9">
        <f t="shared" si="31"/>
        <v>-32257.94987279025</v>
      </c>
      <c r="E206" s="41">
        <f t="shared" si="31"/>
        <v>-48386.924809185381</v>
      </c>
      <c r="F206" s="41">
        <f t="shared" si="31"/>
        <v>32257.94987279025</v>
      </c>
      <c r="G206" s="41">
        <f t="shared" si="31"/>
        <v>0</v>
      </c>
      <c r="H206" s="9">
        <f t="shared" si="31"/>
        <v>0</v>
      </c>
      <c r="I206" s="41">
        <f t="shared" si="31"/>
        <v>-48386.924809185381</v>
      </c>
      <c r="J206" s="41">
        <f t="shared" si="31"/>
        <v>-32257.94987279025</v>
      </c>
      <c r="K206" s="41">
        <f t="shared" si="31"/>
        <v>145160.77442755614</v>
      </c>
      <c r="L206" s="41">
        <f t="shared" si="31"/>
        <v>32257.94987279025</v>
      </c>
      <c r="M206" s="13" t="s">
        <v>251</v>
      </c>
      <c r="N206" s="215" t="str">
        <f>E192</f>
        <v>D5X</v>
      </c>
      <c r="O206" s="172"/>
      <c r="P206" s="172"/>
      <c r="Q206" s="172"/>
      <c r="R206" s="172"/>
      <c r="S206" s="173"/>
    </row>
    <row r="207" spans="1:19" ht="16.95" customHeight="1" x14ac:dyDescent="0.3">
      <c r="A207" s="41">
        <f t="shared" si="22"/>
        <v>-3500</v>
      </c>
      <c r="C207" s="9">
        <f t="shared" ref="C207:L207" si="32">B168</f>
        <v>-32257.94987279025</v>
      </c>
      <c r="D207" s="9">
        <f t="shared" si="32"/>
        <v>-21505.2999151935</v>
      </c>
      <c r="E207" s="41">
        <f t="shared" si="32"/>
        <v>32257.94987279025</v>
      </c>
      <c r="F207" s="41">
        <f t="shared" si="32"/>
        <v>-21505.2999151935</v>
      </c>
      <c r="G207" s="41">
        <f t="shared" si="32"/>
        <v>0</v>
      </c>
      <c r="H207" s="9">
        <f t="shared" si="32"/>
        <v>0</v>
      </c>
      <c r="I207" s="41">
        <f t="shared" si="32"/>
        <v>-32257.94987279025</v>
      </c>
      <c r="J207" s="41">
        <f t="shared" si="32"/>
        <v>-21505.2999151935</v>
      </c>
      <c r="K207" s="41">
        <f t="shared" si="32"/>
        <v>32257.94987279025</v>
      </c>
      <c r="L207" s="41">
        <f t="shared" si="32"/>
        <v>64515.8997455805</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174386.92480918538</v>
      </c>
      <c r="D212" s="41">
        <f t="shared" si="34"/>
        <v>-32257.94987279025</v>
      </c>
      <c r="E212" s="41">
        <f t="shared" si="34"/>
        <v>-84000</v>
      </c>
      <c r="F212" s="41">
        <f t="shared" si="34"/>
        <v>0</v>
      </c>
      <c r="G212" s="41">
        <f t="shared" si="34"/>
        <v>0</v>
      </c>
      <c r="H212" s="41">
        <f t="shared" si="34"/>
        <v>-48386.924809185381</v>
      </c>
      <c r="I212" s="41">
        <f t="shared" si="34"/>
        <v>32257.94987279025</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-4000</v>
      </c>
      <c r="C213" s="41">
        <f t="shared" si="34"/>
        <v>-32257.94987279025</v>
      </c>
      <c r="D213" s="41">
        <f t="shared" si="34"/>
        <v>84505.299915193493</v>
      </c>
      <c r="E213" s="41">
        <f t="shared" si="34"/>
        <v>0</v>
      </c>
      <c r="F213" s="41">
        <f t="shared" si="34"/>
        <v>0</v>
      </c>
      <c r="G213" s="41">
        <f t="shared" si="34"/>
        <v>-63000</v>
      </c>
      <c r="H213" s="41">
        <f t="shared" si="34"/>
        <v>32257.94987279025</v>
      </c>
      <c r="I213" s="41">
        <f t="shared" si="34"/>
        <v>-21505.2999151935</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-84000</v>
      </c>
      <c r="D214" s="41">
        <f t="shared" si="34"/>
        <v>0</v>
      </c>
      <c r="E214" s="41">
        <f t="shared" si="34"/>
        <v>102144</v>
      </c>
      <c r="F214" s="41">
        <f t="shared" si="34"/>
        <v>-18144</v>
      </c>
      <c r="G214" s="41">
        <f t="shared" si="34"/>
        <v>24192</v>
      </c>
      <c r="H214" s="41">
        <f t="shared" si="34"/>
        <v>0</v>
      </c>
      <c r="I214" s="41">
        <f t="shared" si="34"/>
        <v>0</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2500</v>
      </c>
      <c r="B215" s="13" t="s">
        <v>220</v>
      </c>
      <c r="C215" s="41">
        <f t="shared" si="34"/>
        <v>0</v>
      </c>
      <c r="D215" s="41">
        <f t="shared" si="34"/>
        <v>0</v>
      </c>
      <c r="E215" s="41">
        <f t="shared" si="34"/>
        <v>-18144</v>
      </c>
      <c r="F215" s="41">
        <f t="shared" si="34"/>
        <v>66530.924809185381</v>
      </c>
      <c r="G215" s="41">
        <f t="shared" si="34"/>
        <v>8065.9498727902501</v>
      </c>
      <c r="H215" s="41">
        <f t="shared" si="34"/>
        <v>-48386.924809185381</v>
      </c>
      <c r="I215" s="41">
        <f t="shared" si="34"/>
        <v>-32257.94987279025</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-6000</v>
      </c>
      <c r="C216" s="41">
        <f t="shared" si="34"/>
        <v>0</v>
      </c>
      <c r="D216" s="41">
        <f t="shared" si="34"/>
        <v>-63000</v>
      </c>
      <c r="E216" s="41">
        <f t="shared" si="34"/>
        <v>24192</v>
      </c>
      <c r="F216" s="41">
        <f t="shared" si="34"/>
        <v>8065.9498727902501</v>
      </c>
      <c r="G216" s="41">
        <f t="shared" si="34"/>
        <v>116761.29991519351</v>
      </c>
      <c r="H216" s="41">
        <f t="shared" si="34"/>
        <v>-32257.94987279025</v>
      </c>
      <c r="I216" s="41">
        <f t="shared" si="34"/>
        <v>-21505.2999151935</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1500</v>
      </c>
      <c r="C217" s="41">
        <f t="shared" si="34"/>
        <v>-48386.924809185381</v>
      </c>
      <c r="D217" s="41">
        <f t="shared" si="34"/>
        <v>32257.94987279025</v>
      </c>
      <c r="E217" s="41">
        <f t="shared" si="34"/>
        <v>0</v>
      </c>
      <c r="F217" s="41">
        <f t="shared" si="34"/>
        <v>-48386.924809185381</v>
      </c>
      <c r="G217" s="41">
        <f t="shared" si="34"/>
        <v>-32257.94987279025</v>
      </c>
      <c r="H217" s="41">
        <f t="shared" si="34"/>
        <v>145160.77442755614</v>
      </c>
      <c r="I217" s="41">
        <f t="shared" si="34"/>
        <v>32257.94987279025</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-3500</v>
      </c>
      <c r="C218" s="41">
        <f t="shared" si="34"/>
        <v>32257.94987279025</v>
      </c>
      <c r="D218" s="41">
        <f t="shared" si="34"/>
        <v>-21505.2999151935</v>
      </c>
      <c r="E218" s="41">
        <f t="shared" si="34"/>
        <v>0</v>
      </c>
      <c r="F218" s="41">
        <f t="shared" si="34"/>
        <v>-32257.94987279025</v>
      </c>
      <c r="G218" s="41">
        <f t="shared" si="34"/>
        <v>-21505.2999151935</v>
      </c>
      <c r="H218" s="41">
        <f t="shared" si="34"/>
        <v>32257.94987279025</v>
      </c>
      <c r="I218" s="41">
        <f t="shared" si="34"/>
        <v>64515.8997455805</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2.3809523809523814E-5</v>
      </c>
      <c r="D222" s="93">
        <v>-1.190476190476191E-5</v>
      </c>
      <c r="E222" s="93">
        <v>2.380952380952382E-5</v>
      </c>
      <c r="F222" s="93">
        <v>7.9365079365079412E-6</v>
      </c>
      <c r="G222" s="93">
        <v>-1.1904761904761905E-5</v>
      </c>
      <c r="H222" s="93">
        <v>1.5873015873015882E-5</v>
      </c>
      <c r="I222" s="93">
        <v>-2.380952380952382E-5</v>
      </c>
      <c r="K222" s="17">
        <f t="shared" ref="K222:K228" si="36">A212</f>
        <v>0</v>
      </c>
      <c r="N222" s="215"/>
      <c r="O222" s="172"/>
      <c r="P222" s="172"/>
      <c r="Q222" s="172"/>
      <c r="R222" s="172"/>
      <c r="S222" s="173"/>
    </row>
    <row r="223" spans="1:19" ht="16.95" customHeight="1" x14ac:dyDescent="0.3">
      <c r="A223" s="12" t="str">
        <f t="shared" si="35"/>
        <v>D2Y</v>
      </c>
      <c r="C223" s="93">
        <v>-1.1904761904761914E-5</v>
      </c>
      <c r="D223" s="93">
        <v>4.8913616971126949E-5</v>
      </c>
      <c r="E223" s="93">
        <v>-1.7857142857142862E-5</v>
      </c>
      <c r="F223" s="93">
        <v>-1.360327283647316E-6</v>
      </c>
      <c r="G223" s="93">
        <v>3.304060109811108E-5</v>
      </c>
      <c r="H223" s="93">
        <v>-1.7090234913983262E-5</v>
      </c>
      <c r="I223" s="93">
        <v>4.1135407457294947E-5</v>
      </c>
      <c r="K223" s="17">
        <f t="shared" si="36"/>
        <v>-4000</v>
      </c>
      <c r="N223" s="215"/>
      <c r="O223" s="172"/>
      <c r="P223" s="172"/>
      <c r="Q223" s="172"/>
      <c r="R223" s="172"/>
      <c r="S223" s="173"/>
    </row>
    <row r="224" spans="1:19" ht="16.95" customHeight="1" x14ac:dyDescent="0.3">
      <c r="A224" s="12" t="str">
        <f t="shared" si="35"/>
        <v>D3X</v>
      </c>
      <c r="C224" s="93">
        <v>2.3809523809523814E-5</v>
      </c>
      <c r="D224" s="93">
        <v>-1.7857142857142862E-5</v>
      </c>
      <c r="E224" s="93">
        <v>3.5714285714285731E-5</v>
      </c>
      <c r="F224" s="93">
        <v>1.1904761904761907E-5</v>
      </c>
      <c r="G224" s="93">
        <v>-1.7857142857142855E-5</v>
      </c>
      <c r="H224" s="93">
        <v>1.7857142857142869E-5</v>
      </c>
      <c r="I224" s="93">
        <v>-2.6785714285714298E-5</v>
      </c>
      <c r="K224" s="17">
        <f t="shared" si="36"/>
        <v>0</v>
      </c>
      <c r="N224" s="215"/>
      <c r="O224" s="172"/>
      <c r="P224" s="172"/>
      <c r="Q224" s="172"/>
      <c r="R224" s="172"/>
      <c r="S224" s="173"/>
    </row>
    <row r="225" spans="1:19" ht="16.95" customHeight="1" x14ac:dyDescent="0.3">
      <c r="A225" s="12" t="str">
        <f t="shared" si="35"/>
        <v>D4X</v>
      </c>
      <c r="B225" s="13" t="s">
        <v>220</v>
      </c>
      <c r="C225" s="93">
        <v>7.9365079365079396E-6</v>
      </c>
      <c r="D225" s="93">
        <v>-1.3603272836473101E-6</v>
      </c>
      <c r="E225" s="93">
        <v>1.1904761904761908E-5</v>
      </c>
      <c r="F225" s="93">
        <v>2.8462538342556087E-5</v>
      </c>
      <c r="G225" s="93">
        <v>-1.3603272836473101E-6</v>
      </c>
      <c r="H225" s="93">
        <v>1.1310609767834214E-5</v>
      </c>
      <c r="I225" s="93">
        <v>3.7008254633420949E-6</v>
      </c>
      <c r="K225" s="17">
        <f t="shared" si="36"/>
        <v>2500</v>
      </c>
      <c r="N225" s="215"/>
      <c r="O225" s="172"/>
      <c r="P225" s="172"/>
      <c r="Q225" s="172"/>
      <c r="R225" s="172"/>
      <c r="S225" s="173"/>
    </row>
    <row r="226" spans="1:19" ht="16.95" customHeight="1" x14ac:dyDescent="0.3">
      <c r="A226" s="12" t="str">
        <f t="shared" si="35"/>
        <v>D4Y</v>
      </c>
      <c r="C226" s="93">
        <v>-1.1904761904761908E-5</v>
      </c>
      <c r="D226" s="93">
        <v>3.3040601098111074E-5</v>
      </c>
      <c r="E226" s="93">
        <v>-1.7857142857142862E-5</v>
      </c>
      <c r="F226" s="93">
        <v>-1.3603272836473135E-6</v>
      </c>
      <c r="G226" s="93">
        <v>3.3040601098111074E-5</v>
      </c>
      <c r="H226" s="93">
        <v>-1.1799229622977965E-5</v>
      </c>
      <c r="I226" s="93">
        <v>3.3198899520787002E-5</v>
      </c>
      <c r="K226" s="17">
        <f t="shared" si="36"/>
        <v>-6000</v>
      </c>
      <c r="N226" s="215"/>
      <c r="O226" s="172"/>
      <c r="P226" s="172"/>
      <c r="Q226" s="172"/>
      <c r="R226" s="172"/>
      <c r="S226" s="173"/>
    </row>
    <row r="227" spans="1:19" ht="16.95" customHeight="1" x14ac:dyDescent="0.3">
      <c r="A227" s="12" t="str">
        <f t="shared" si="35"/>
        <v>D5X</v>
      </c>
      <c r="C227" s="93">
        <v>1.5873015873015882E-5</v>
      </c>
      <c r="D227" s="93">
        <v>-1.7090234913983256E-5</v>
      </c>
      <c r="E227" s="93">
        <v>1.7857142857142869E-5</v>
      </c>
      <c r="F227" s="93">
        <v>1.1310609767834214E-5</v>
      </c>
      <c r="G227" s="93">
        <v>-1.1799229622977962E-5</v>
      </c>
      <c r="H227" s="93">
        <v>2.2244394622457957E-5</v>
      </c>
      <c r="I227" s="93">
        <v>-2.3033221876140221E-5</v>
      </c>
      <c r="K227" s="17">
        <f t="shared" si="36"/>
        <v>1500</v>
      </c>
      <c r="N227" s="215"/>
      <c r="O227" s="172"/>
      <c r="P227" s="172"/>
      <c r="Q227" s="172"/>
      <c r="R227" s="172"/>
      <c r="S227" s="173"/>
    </row>
    <row r="228" spans="1:19" ht="16.95" customHeight="1" x14ac:dyDescent="0.3">
      <c r="A228" s="12" t="str">
        <f t="shared" si="35"/>
        <v>D5Y</v>
      </c>
      <c r="C228" s="93">
        <v>-2.380952380952382E-5</v>
      </c>
      <c r="D228" s="93">
        <v>4.1135407457294933E-5</v>
      </c>
      <c r="E228" s="93">
        <v>-2.6785714285714298E-5</v>
      </c>
      <c r="F228" s="93">
        <v>3.7008254633420869E-6</v>
      </c>
      <c r="G228" s="93">
        <v>3.3198899520786995E-5</v>
      </c>
      <c r="H228" s="93">
        <v>-2.3033221876140224E-5</v>
      </c>
      <c r="I228" s="93">
        <v>6.5549942986850449E-5</v>
      </c>
      <c r="K228" s="17">
        <f t="shared" si="36"/>
        <v>-3500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0.2460317460317461</v>
      </c>
      <c r="D232" s="12" t="s">
        <v>267</v>
      </c>
      <c r="N232" s="215"/>
      <c r="O232" s="172"/>
      <c r="P232" s="172"/>
      <c r="Q232" s="172"/>
      <c r="R232" s="172"/>
      <c r="S232" s="173"/>
    </row>
    <row r="233" spans="1:19" ht="16.95" customHeight="1" x14ac:dyDescent="0.3">
      <c r="A233" s="12" t="str">
        <f t="shared" si="37"/>
        <v>D2Y</v>
      </c>
      <c r="C233" s="94">
        <v>-0.56690817115379977</v>
      </c>
      <c r="D233" s="12" t="s">
        <v>267</v>
      </c>
      <c r="N233" s="215"/>
      <c r="O233" s="172"/>
      <c r="P233" s="172"/>
      <c r="Q233" s="172"/>
      <c r="R233" s="172"/>
      <c r="S233" s="173"/>
    </row>
    <row r="234" spans="1:19" ht="16.95" customHeight="1" x14ac:dyDescent="0.3">
      <c r="A234" s="12" t="str">
        <f t="shared" si="37"/>
        <v>D3X</v>
      </c>
      <c r="C234" s="94">
        <v>0.32886904761904773</v>
      </c>
      <c r="D234" s="12" t="s">
        <v>267</v>
      </c>
      <c r="N234" s="215"/>
      <c r="O234" s="172"/>
      <c r="P234" s="172"/>
      <c r="Q234" s="172"/>
      <c r="R234" s="172"/>
      <c r="S234" s="173"/>
    </row>
    <row r="235" spans="1:19" ht="16.95" customHeight="1" x14ac:dyDescent="0.3">
      <c r="A235" s="12" t="str">
        <f t="shared" si="37"/>
        <v>D4X</v>
      </c>
      <c r="B235" s="13" t="s">
        <v>220</v>
      </c>
      <c r="C235" s="94">
        <v>8.8772644222917307E-2</v>
      </c>
      <c r="D235" s="12" t="s">
        <v>267</v>
      </c>
      <c r="N235" s="215"/>
      <c r="O235" s="172"/>
      <c r="P235" s="172"/>
      <c r="Q235" s="172"/>
      <c r="R235" s="172"/>
      <c r="S235" s="173"/>
    </row>
    <row r="236" spans="1:19" ht="16.95" customHeight="1" x14ac:dyDescent="0.3">
      <c r="A236" s="12" t="str">
        <f t="shared" si="37"/>
        <v>D4Y</v>
      </c>
      <c r="C236" s="94">
        <v>-0.46770182194745041</v>
      </c>
      <c r="D236" s="12" t="s">
        <v>267</v>
      </c>
      <c r="N236" s="215"/>
      <c r="O236" s="172"/>
      <c r="P236" s="172"/>
      <c r="Q236" s="172"/>
      <c r="R236" s="172"/>
      <c r="S236" s="173"/>
    </row>
    <row r="237" spans="1:19" ht="16.95" customHeight="1" x14ac:dyDescent="0.3">
      <c r="A237" s="12" t="str">
        <f t="shared" si="37"/>
        <v>D5X</v>
      </c>
      <c r="C237" s="94">
        <v>0.28141571031356405</v>
      </c>
      <c r="D237" s="12" t="s">
        <v>267</v>
      </c>
      <c r="N237" s="215"/>
      <c r="O237" s="172"/>
      <c r="P237" s="172"/>
      <c r="Q237" s="172"/>
      <c r="R237" s="172"/>
      <c r="S237" s="173"/>
    </row>
    <row r="238" spans="1:19" ht="16.95" customHeight="1" x14ac:dyDescent="0.3">
      <c r="A238" s="12" t="str">
        <f t="shared" si="37"/>
        <v>D5Y</v>
      </c>
      <c r="C238" s="94">
        <v>-0.61845759656373334</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-42000</v>
      </c>
      <c r="D243" s="9">
        <f t="shared" si="38"/>
        <v>0</v>
      </c>
      <c r="E243" s="9">
        <f t="shared" si="38"/>
        <v>0</v>
      </c>
      <c r="F243" s="9">
        <f t="shared" si="38"/>
        <v>0</v>
      </c>
      <c r="G243" s="9">
        <f t="shared" si="38"/>
        <v>0</v>
      </c>
      <c r="H243" s="9">
        <f t="shared" si="38"/>
        <v>-48386.924809185381</v>
      </c>
      <c r="I243" s="9">
        <f t="shared" si="38"/>
        <v>-32257.94987279025</v>
      </c>
      <c r="K243" s="95">
        <f t="shared" ref="K243:K249" si="39">C232</f>
        <v>0.2460317460317461</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0</v>
      </c>
      <c r="D244" s="9">
        <f t="shared" si="38"/>
        <v>0</v>
      </c>
      <c r="E244" s="9">
        <f t="shared" si="38"/>
        <v>0</v>
      </c>
      <c r="F244" s="9">
        <f t="shared" si="38"/>
        <v>0</v>
      </c>
      <c r="G244" s="9">
        <f t="shared" si="38"/>
        <v>0</v>
      </c>
      <c r="H244" s="9">
        <f t="shared" si="38"/>
        <v>-32257.94987279025</v>
      </c>
      <c r="I244" s="9">
        <f t="shared" si="38"/>
        <v>-21505.2999151935</v>
      </c>
      <c r="K244" s="95">
        <f t="shared" si="39"/>
        <v>-0.56690817115379977</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0</v>
      </c>
      <c r="D245" s="9">
        <f t="shared" si="38"/>
        <v>0</v>
      </c>
      <c r="E245" s="9">
        <f t="shared" si="38"/>
        <v>-24192</v>
      </c>
      <c r="F245" s="9">
        <f t="shared" si="38"/>
        <v>24192</v>
      </c>
      <c r="G245" s="9">
        <f t="shared" si="38"/>
        <v>-32256.000000000007</v>
      </c>
      <c r="H245" s="9">
        <f t="shared" si="38"/>
        <v>0</v>
      </c>
      <c r="I245" s="9">
        <f t="shared" si="38"/>
        <v>0</v>
      </c>
      <c r="K245" s="95">
        <f t="shared" si="39"/>
        <v>0.32886904761904773</v>
      </c>
      <c r="L245" s="14" t="str">
        <f>INDEX(C$184:C$193, MATCH(3, G$184:G$193, 0))</f>
        <v>U3Y</v>
      </c>
      <c r="N245" s="215" t="s">
        <v>392</v>
      </c>
      <c r="O245" s="172"/>
      <c r="P245" s="172"/>
      <c r="Q245" s="172"/>
      <c r="R245" s="172"/>
      <c r="S245" s="173"/>
    </row>
    <row r="246" spans="1:19" ht="16.95" customHeight="1" x14ac:dyDescent="0.3">
      <c r="K246" s="95">
        <f t="shared" si="39"/>
        <v>8.8772644222917307E-2</v>
      </c>
      <c r="N246" s="215" t="s">
        <v>393</v>
      </c>
      <c r="O246" s="172"/>
      <c r="P246" s="172"/>
      <c r="Q246" s="172"/>
      <c r="R246" s="172"/>
      <c r="S246" s="173"/>
    </row>
    <row r="247" spans="1:19" ht="16.95" customHeight="1" x14ac:dyDescent="0.3">
      <c r="K247" s="95">
        <f t="shared" si="39"/>
        <v>-0.46770182194745041</v>
      </c>
      <c r="N247" s="215" t="s">
        <v>394</v>
      </c>
      <c r="O247" s="172"/>
      <c r="P247" s="172"/>
      <c r="Q247" s="172"/>
      <c r="R247" s="172"/>
      <c r="S247" s="173"/>
    </row>
    <row r="248" spans="1:19" ht="16.95" customHeight="1" x14ac:dyDescent="0.3">
      <c r="K248" s="95">
        <f t="shared" si="39"/>
        <v>0.28141571031356405</v>
      </c>
      <c r="N248" s="215"/>
      <c r="O248" s="172"/>
      <c r="P248" s="172"/>
      <c r="Q248" s="172"/>
      <c r="R248" s="172"/>
      <c r="S248" s="173"/>
    </row>
    <row r="249" spans="1:19" ht="16.95" customHeight="1" x14ac:dyDescent="0.3">
      <c r="K249" s="95">
        <f t="shared" si="39"/>
        <v>-0.61845759656373334</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-4000.0000000000073</v>
      </c>
      <c r="D251" s="12" t="s">
        <v>273</v>
      </c>
      <c r="N251" s="215"/>
      <c r="O251" s="172"/>
      <c r="P251" s="172"/>
      <c r="Q251" s="172"/>
      <c r="R251" s="172"/>
      <c r="S251" s="173"/>
    </row>
    <row r="252" spans="1:19" ht="16.95" customHeight="1" x14ac:dyDescent="0.3">
      <c r="A252" s="12" t="str">
        <f>A244</f>
        <v>C1Y</v>
      </c>
      <c r="B252" s="13" t="s">
        <v>220</v>
      </c>
      <c r="C252" s="17">
        <v>4222.222222222219</v>
      </c>
      <c r="D252" s="12" t="s">
        <v>273</v>
      </c>
      <c r="N252" s="215"/>
      <c r="O252" s="172"/>
      <c r="P252" s="172"/>
      <c r="Q252" s="172"/>
      <c r="R252" s="172"/>
      <c r="S252" s="173"/>
    </row>
    <row r="253" spans="1:19" ht="16.95" customHeight="1" x14ac:dyDescent="0.3">
      <c r="A253" s="12" t="str">
        <f>A245</f>
        <v>C3Y</v>
      </c>
      <c r="C253" s="17">
        <v>9277.7777777777774</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0.2460317460317461</v>
      </c>
    </row>
    <row r="261" spans="1:19" ht="19.05" customHeight="1" x14ac:dyDescent="0.3">
      <c r="A261" s="12" t="s">
        <v>231</v>
      </c>
      <c r="B261" s="12" t="s">
        <v>181</v>
      </c>
      <c r="D261" s="94">
        <f t="shared" si="40"/>
        <v>-0.56690817115379977</v>
      </c>
    </row>
    <row r="262" spans="1:19" ht="19.05" customHeight="1" x14ac:dyDescent="0.3">
      <c r="A262" s="12" t="s">
        <v>232</v>
      </c>
      <c r="B262" s="12" t="s">
        <v>182</v>
      </c>
      <c r="D262" s="94">
        <f t="shared" si="40"/>
        <v>0.32886904761904773</v>
      </c>
    </row>
    <row r="263" spans="1:19" ht="19.05" customHeight="1" x14ac:dyDescent="0.3">
      <c r="A263" s="12" t="s">
        <v>234</v>
      </c>
      <c r="B263" s="12" t="s">
        <v>183</v>
      </c>
      <c r="D263" s="94">
        <f t="shared" si="40"/>
        <v>0</v>
      </c>
    </row>
    <row r="264" spans="1:19" ht="19.05" customHeight="1" x14ac:dyDescent="0.3">
      <c r="A264" s="12" t="s">
        <v>235</v>
      </c>
      <c r="B264" s="12" t="s">
        <v>184</v>
      </c>
      <c r="D264" s="94">
        <f t="shared" si="40"/>
        <v>8.8772644222917307E-2</v>
      </c>
    </row>
    <row r="265" spans="1:19" ht="19.05" customHeight="1" x14ac:dyDescent="0.3">
      <c r="A265" s="12" t="s">
        <v>236</v>
      </c>
      <c r="B265" s="12" t="s">
        <v>185</v>
      </c>
      <c r="D265" s="94">
        <f t="shared" si="40"/>
        <v>-0.46770182194745041</v>
      </c>
    </row>
    <row r="266" spans="1:19" ht="19.05" customHeight="1" x14ac:dyDescent="0.3">
      <c r="A266" s="12" t="s">
        <v>237</v>
      </c>
      <c r="B266" s="12" t="s">
        <v>186</v>
      </c>
      <c r="D266" s="94">
        <f t="shared" si="40"/>
        <v>0.28141571031356405</v>
      </c>
    </row>
    <row r="267" spans="1:19" ht="19.05" customHeight="1" x14ac:dyDescent="0.3">
      <c r="A267" s="12" t="s">
        <v>238</v>
      </c>
      <c r="B267" s="12" t="s">
        <v>187</v>
      </c>
      <c r="D267" s="94">
        <f t="shared" si="40"/>
        <v>-0.61845759656373334</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42000</v>
      </c>
      <c r="C274" s="92">
        <f>-J6</f>
        <v>-1</v>
      </c>
      <c r="D274" s="92">
        <f>-K6</f>
        <v>0</v>
      </c>
      <c r="E274" s="92">
        <f>J6</f>
        <v>1</v>
      </c>
      <c r="F274" s="92">
        <f>K6</f>
        <v>0</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10333.333333333336</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0.2460317460317461</v>
      </c>
      <c r="H276" s="12" t="str">
        <f>"D" &amp; E16 &amp; "X"</f>
        <v>D2X</v>
      </c>
      <c r="N276" s="215" t="s">
        <v>400</v>
      </c>
      <c r="O276" s="172"/>
      <c r="P276" s="172"/>
      <c r="Q276" s="172"/>
      <c r="R276" s="172"/>
      <c r="S276" s="173"/>
    </row>
    <row r="277" spans="1:19" ht="16.95" customHeight="1" x14ac:dyDescent="0.3">
      <c r="G277" s="96">
        <f>IFERROR(VLOOKUP(H277, A$258:D$267, 4, FALSE), 0)</f>
        <v>-0.56690817115379977</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84000</v>
      </c>
      <c r="C282" s="92">
        <f>-J7</f>
        <v>-1</v>
      </c>
      <c r="D282" s="92">
        <f>-K7</f>
        <v>0</v>
      </c>
      <c r="E282" s="92">
        <f>J7</f>
        <v>1</v>
      </c>
      <c r="F282" s="92">
        <f>K7</f>
        <v>0</v>
      </c>
      <c r="G282" s="96">
        <f>IFERROR(VLOOKUP(H282, A$258:D$267, 4, FALSE), 0)</f>
        <v>0.2460317460317461</v>
      </c>
      <c r="H282" s="12" t="str">
        <f>"D" &amp; C17 &amp; "X"</f>
        <v>D2X</v>
      </c>
      <c r="N282" s="215"/>
      <c r="O282" s="172"/>
      <c r="P282" s="172"/>
      <c r="Q282" s="172"/>
      <c r="R282" s="172"/>
      <c r="S282" s="173"/>
    </row>
    <row r="283" spans="1:19" ht="16.95" customHeight="1" x14ac:dyDescent="0.3">
      <c r="A283" s="99" t="s">
        <v>286</v>
      </c>
      <c r="B283" s="97">
        <f>(MMULT(C282:F282, G282:G285)*A282)</f>
        <v>6958.3333333333367</v>
      </c>
      <c r="G283" s="96">
        <f>IFERROR(VLOOKUP(H283, A$258:D$267, 4, FALSE), 0)</f>
        <v>-0.56690817115379977</v>
      </c>
      <c r="H283" s="12" t="str">
        <f>"D" &amp; D17 &amp; "Y"</f>
        <v>D2Y</v>
      </c>
      <c r="N283" s="215"/>
      <c r="O283" s="172"/>
      <c r="P283" s="172"/>
      <c r="Q283" s="172"/>
      <c r="R283" s="172"/>
      <c r="S283" s="173"/>
    </row>
    <row r="284" spans="1:19" ht="16.95" customHeight="1" x14ac:dyDescent="0.3">
      <c r="G284" s="96">
        <f>IFERROR(VLOOKUP(H284, A$258:D$267, 4, FALSE), 0)</f>
        <v>0.32886904761904773</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69892.224724378873</v>
      </c>
      <c r="C290" s="92">
        <f>-J8</f>
        <v>-0.83205029433784372</v>
      </c>
      <c r="D290" s="92">
        <f>-K8</f>
        <v>-0.55470019622522915</v>
      </c>
      <c r="E290" s="92">
        <f>J8</f>
        <v>0.83205029433784372</v>
      </c>
      <c r="F290" s="92">
        <f>K8</f>
        <v>0.55470019622522915</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-7611.7193593128613</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0.28141571031356405</v>
      </c>
      <c r="H292" s="12" t="str">
        <f>"D" &amp; E18 &amp; "X"</f>
        <v>D5X</v>
      </c>
      <c r="N292" s="215"/>
      <c r="O292" s="172"/>
      <c r="P292" s="172"/>
      <c r="Q292" s="172"/>
      <c r="R292" s="172"/>
      <c r="S292" s="173"/>
    </row>
    <row r="293" spans="1:19" ht="16.95" customHeight="1" x14ac:dyDescent="0.3">
      <c r="G293" s="96">
        <f>IFERROR(VLOOKUP(H293, A$258:D$267, 4, FALSE), 0)</f>
        <v>-0.61845759656373334</v>
      </c>
      <c r="H293" s="12" t="str">
        <f>"D" &amp; F18 &amp; "Y"</f>
        <v>D5Y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69892.224724378873</v>
      </c>
      <c r="C298" s="92">
        <f>-J9</f>
        <v>-0.83205029433784372</v>
      </c>
      <c r="D298" s="92">
        <f>-K9</f>
        <v>-0.55470019622522915</v>
      </c>
      <c r="E298" s="92">
        <f>J9</f>
        <v>0.83205029433784372</v>
      </c>
      <c r="F298" s="92">
        <f>K9</f>
        <v>0.55470019622522915</v>
      </c>
      <c r="G298" s="96">
        <f>IFERROR(VLOOKUP(H298, A$258:D$267, 4, FALSE), 0)</f>
        <v>0.28141571031356405</v>
      </c>
      <c r="H298" s="12" t="str">
        <f>"D" &amp; C19 &amp; "X"</f>
        <v>D5X</v>
      </c>
    </row>
    <row r="299" spans="1:19" ht="19.95" customHeight="1" x14ac:dyDescent="0.3">
      <c r="A299" s="99" t="s">
        <v>288</v>
      </c>
      <c r="B299" s="97">
        <f>(MMULT(C298:F298, G298:G301)*A298)</f>
        <v>-5358.2498121478739</v>
      </c>
      <c r="G299" s="96">
        <f>IFERROR(VLOOKUP(H299, A$258:D$267, 4, FALSE), 0)</f>
        <v>-0.61845759656373334</v>
      </c>
      <c r="H299" s="12" t="str">
        <f>"D" &amp; D19 &amp; "Y"</f>
        <v>D5Y</v>
      </c>
    </row>
    <row r="300" spans="1:19" ht="19.95" customHeight="1" x14ac:dyDescent="0.3">
      <c r="G300" s="96">
        <f>IFERROR(VLOOKUP(H300, A$258:D$267, 4, FALSE), 0)</f>
        <v>8.8772644222917307E-2</v>
      </c>
      <c r="H300" s="12" t="str">
        <f>"D" &amp; E19 &amp; "X"</f>
        <v>D4X</v>
      </c>
    </row>
    <row r="301" spans="1:19" ht="19.95" customHeight="1" x14ac:dyDescent="0.3">
      <c r="G301" s="96">
        <f>IFERROR(VLOOKUP(H301, A$258:D$267, 4, FALSE), 0)</f>
        <v>-0.46770182194745041</v>
      </c>
      <c r="H301" s="12" t="str">
        <f>"D" &amp; F19 &amp; "Y"</f>
        <v>D4Y</v>
      </c>
    </row>
    <row r="302" spans="1:19" ht="19.95" customHeight="1" x14ac:dyDescent="0.3">
      <c r="B302" s="99" t="s">
        <v>273</v>
      </c>
      <c r="C302" s="178" t="str">
        <f>IF(B299&gt;0.001,"BARRA A TRACCIÓN (+)",IF(B299&lt;-0.001,"BARRA A COMPRESIÓN (-)","BARRA DE FUERZA NULA"))</f>
        <v>BARRA A COMPRESIÓN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50400</v>
      </c>
      <c r="C306" s="92">
        <f>-J10</f>
        <v>-0.6</v>
      </c>
      <c r="D306" s="92">
        <f>-K10</f>
        <v>0.8</v>
      </c>
      <c r="E306" s="92">
        <f>J10</f>
        <v>0.6</v>
      </c>
      <c r="F306" s="92">
        <f>K10</f>
        <v>-0.8</v>
      </c>
      <c r="G306" s="96">
        <f>IFERROR(VLOOKUP(H306, A$258:D$267, 4, FALSE), 0)</f>
        <v>8.8772644222917307E-2</v>
      </c>
      <c r="H306" s="12" t="str">
        <f>"D" &amp; C20 &amp; "X"</f>
        <v>D4X</v>
      </c>
    </row>
    <row r="307" spans="1:8" ht="19.95" customHeight="1" x14ac:dyDescent="0.3">
      <c r="A307" s="99" t="s">
        <v>289</v>
      </c>
      <c r="B307" s="97">
        <f>(MMULT(C306:F306, G306:G309)*A306)</f>
        <v>-11597.222222222221</v>
      </c>
      <c r="G307" s="96">
        <f>IFERROR(VLOOKUP(H307, A$258:D$267, 4, FALSE), 0)</f>
        <v>-0.46770182194745041</v>
      </c>
      <c r="H307" s="12" t="str">
        <f>"D" &amp; D20 &amp; "Y"</f>
        <v>D4Y</v>
      </c>
    </row>
    <row r="308" spans="1:8" ht="19.95" customHeight="1" x14ac:dyDescent="0.3">
      <c r="G308" s="96">
        <f>IFERROR(VLOOKUP(H308, A$258:D$267, 4, FALSE), 0)</f>
        <v>0.32886904761904773</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78" t="str">
        <f>IF(B307&gt;0.001,"BARRA A TRACCIÓN (+)",IF(B307&lt;-0.001,"BARRA A COMPRESIÓN (-)","BARRA DE FUERZA NULA"))</f>
        <v>BARRA A COMPRESIÓN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69892.224724378873</v>
      </c>
      <c r="C314" s="92">
        <f>-J11</f>
        <v>-0.83205029433784372</v>
      </c>
      <c r="D314" s="92">
        <f>-K11</f>
        <v>0.55470019622522915</v>
      </c>
      <c r="E314" s="92">
        <f>J11</f>
        <v>0.83205029433784372</v>
      </c>
      <c r="F314" s="92">
        <f>K11</f>
        <v>-0.55470019622522915</v>
      </c>
      <c r="G314" s="96">
        <f>IFERROR(VLOOKUP(H314, A$258:D$267, 4, FALSE), 0)</f>
        <v>0.28141571031356405</v>
      </c>
      <c r="H314" s="12" t="str">
        <f>"D" &amp; C21 &amp; "X"</f>
        <v>D5X</v>
      </c>
    </row>
    <row r="315" spans="1:8" ht="19.95" customHeight="1" x14ac:dyDescent="0.3">
      <c r="A315" s="99" t="s">
        <v>290</v>
      </c>
      <c r="B315" s="97">
        <f>(MMULT(C314:F314, G314:G317)*A314)</f>
        <v>-4056.2451848969931</v>
      </c>
      <c r="G315" s="96">
        <f>IFERROR(VLOOKUP(H315, A$258:D$267, 4, FALSE), 0)</f>
        <v>-0.61845759656373334</v>
      </c>
      <c r="H315" s="12" t="str">
        <f>"D" &amp; D21 &amp; "Y"</f>
        <v>D5Y</v>
      </c>
    </row>
    <row r="316" spans="1:8" ht="19.95" customHeight="1" x14ac:dyDescent="0.3">
      <c r="G316" s="96">
        <f>IFERROR(VLOOKUP(H316, A$258:D$267, 4, FALSE), 0)</f>
        <v>0.2460317460317461</v>
      </c>
      <c r="H316" s="12" t="str">
        <f>"D" &amp; E21 &amp; "X"</f>
        <v>D2X</v>
      </c>
    </row>
    <row r="317" spans="1:8" ht="19.95" customHeight="1" x14ac:dyDescent="0.3">
      <c r="G317" s="96">
        <f>IFERROR(VLOOKUP(H317, A$258:D$267, 4, FALSE), 0)</f>
        <v>-0.56690817115379977</v>
      </c>
      <c r="H317" s="12" t="str">
        <f>"D" &amp; F21 &amp; "Y"</f>
        <v>D2Y</v>
      </c>
    </row>
    <row r="318" spans="1:8" ht="19.95" customHeight="1" x14ac:dyDescent="0.3">
      <c r="B318" s="99" t="s">
        <v>273</v>
      </c>
      <c r="C318" s="178" t="str">
        <f>IF(B315&gt;0.001,"BARRA A TRACCIÓN (+)",IF(B315&lt;-0.001,"BARRA A COMPRESIÓN (-)","BARRA DE FUERZA NULA"))</f>
        <v>BARRA A COMPRESIÓN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63000</v>
      </c>
      <c r="C322" s="92">
        <f>-J12</f>
        <v>0</v>
      </c>
      <c r="D322" s="92">
        <f>-K12</f>
        <v>-1</v>
      </c>
      <c r="E322" s="92">
        <f>J12</f>
        <v>0</v>
      </c>
      <c r="F322" s="92">
        <f>K12</f>
        <v>1</v>
      </c>
      <c r="G322" s="96">
        <f>IFERROR(VLOOKUP(H322, A$258:D$267, 4, FALSE), 0)</f>
        <v>0.2460317460317461</v>
      </c>
      <c r="H322" s="12" t="str">
        <f>"D" &amp; C22 &amp; "X"</f>
        <v>D2X</v>
      </c>
    </row>
    <row r="323" spans="1:8" ht="19.95" customHeight="1" x14ac:dyDescent="0.3">
      <c r="A323" s="99" t="s">
        <v>291</v>
      </c>
      <c r="B323" s="97">
        <f>(MMULT(C322:F322, G322:G325)*A322)</f>
        <v>6250.0000000000091</v>
      </c>
      <c r="G323" s="96">
        <f>IFERROR(VLOOKUP(H323, A$258:D$267, 4, FALSE), 0)</f>
        <v>-0.56690817115379977</v>
      </c>
      <c r="H323" s="12" t="str">
        <f>"D" &amp; D22 &amp; "Y"</f>
        <v>D2Y</v>
      </c>
    </row>
    <row r="324" spans="1:8" ht="19.95" customHeight="1" x14ac:dyDescent="0.3">
      <c r="G324" s="96">
        <f>IFERROR(VLOOKUP(H324, A$258:D$267, 4, FALSE), 0)</f>
        <v>8.8772644222917307E-2</v>
      </c>
      <c r="H324" s="12" t="str">
        <f>"D" &amp; E22 &amp; "X"</f>
        <v>D4X</v>
      </c>
    </row>
    <row r="325" spans="1:8" ht="19.95" customHeight="1" x14ac:dyDescent="0.3">
      <c r="G325" s="96">
        <f>IFERROR(VLOOKUP(H325, A$258:D$267, 4, FALSE), 0)</f>
        <v>-0.46770182194745041</v>
      </c>
      <c r="H325" s="12" t="str">
        <f>"D" &amp; F22 &amp; "Y"</f>
        <v>D4Y</v>
      </c>
    </row>
    <row r="326" spans="1:8" ht="19.95" customHeight="1" x14ac:dyDescent="0.3">
      <c r="B326" s="99" t="s">
        <v>273</v>
      </c>
      <c r="C326" s="178" t="str">
        <f>IF(B323&gt;0.001,"BARRA A TRACCIÓN (+)",IF(B323&lt;-0.001,"BARRA A COMPRESIÓN (-)","BARRA DE FUERZA NULA"))</f>
        <v>BARRA A TRACCIÓN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600</v>
      </c>
      <c r="F331" s="9">
        <f t="shared" ref="F331:F337" si="44">L6</f>
        <v>12</v>
      </c>
      <c r="G331" s="97">
        <f>B275</f>
        <v>10333.333333333336</v>
      </c>
      <c r="H331" s="84" t="str">
        <f>C278</f>
        <v>BARRA A TRACCIÓN (+)</v>
      </c>
    </row>
    <row r="332" spans="1:8" ht="19.95" customHeight="1" x14ac:dyDescent="0.3">
      <c r="B332" s="25">
        <v>2</v>
      </c>
      <c r="C332" s="86">
        <f t="shared" si="41"/>
        <v>2</v>
      </c>
      <c r="D332" s="86">
        <f t="shared" si="42"/>
        <v>3</v>
      </c>
      <c r="E332" s="9">
        <f t="shared" si="43"/>
        <v>300</v>
      </c>
      <c r="F332" s="9">
        <f t="shared" si="44"/>
        <v>12</v>
      </c>
      <c r="G332" s="97">
        <f>B283</f>
        <v>6958.3333333333367</v>
      </c>
      <c r="H332" s="84" t="str">
        <f>C286</f>
        <v>BARRA A TRACCIÓN (+)</v>
      </c>
    </row>
    <row r="333" spans="1:8" ht="19.95" customHeight="1" x14ac:dyDescent="0.3">
      <c r="B333" s="26">
        <v>3</v>
      </c>
      <c r="C333" s="86">
        <f t="shared" si="41"/>
        <v>1</v>
      </c>
      <c r="D333" s="86">
        <f t="shared" si="42"/>
        <v>5</v>
      </c>
      <c r="E333" s="9">
        <f t="shared" si="43"/>
        <v>360.55512754639892</v>
      </c>
      <c r="F333" s="9">
        <f t="shared" si="44"/>
        <v>12</v>
      </c>
      <c r="G333" s="97">
        <f>B291</f>
        <v>-7611.7193593128613</v>
      </c>
      <c r="H333" s="84" t="str">
        <f>C294</f>
        <v>BARRA A COMPRESIÓN (-)</v>
      </c>
    </row>
    <row r="334" spans="1:8" ht="19.95" customHeight="1" x14ac:dyDescent="0.3">
      <c r="B334" s="43">
        <v>4</v>
      </c>
      <c r="C334" s="86">
        <f t="shared" si="41"/>
        <v>5</v>
      </c>
      <c r="D334" s="86">
        <f t="shared" si="42"/>
        <v>4</v>
      </c>
      <c r="E334" s="9">
        <f t="shared" si="43"/>
        <v>360.55512754639892</v>
      </c>
      <c r="F334" s="9">
        <f t="shared" si="44"/>
        <v>12</v>
      </c>
      <c r="G334" s="97">
        <f>B299</f>
        <v>-5358.2498121478739</v>
      </c>
      <c r="H334" s="84" t="str">
        <f>C302</f>
        <v>BARRA A COMPRESIÓN (-)</v>
      </c>
    </row>
    <row r="335" spans="1:8" ht="19.95" customHeight="1" x14ac:dyDescent="0.3">
      <c r="B335" s="44">
        <v>5</v>
      </c>
      <c r="C335" s="86">
        <f t="shared" si="41"/>
        <v>4</v>
      </c>
      <c r="D335" s="86">
        <f t="shared" si="42"/>
        <v>3</v>
      </c>
      <c r="E335" s="9">
        <f t="shared" si="43"/>
        <v>500</v>
      </c>
      <c r="F335" s="9">
        <f t="shared" si="44"/>
        <v>12</v>
      </c>
      <c r="G335" s="97">
        <f>B307</f>
        <v>-11597.222222222221</v>
      </c>
      <c r="H335" s="84" t="str">
        <f>C310</f>
        <v>BARRA A COMPRESIÓN (-)</v>
      </c>
    </row>
    <row r="336" spans="1:8" ht="19.95" customHeight="1" x14ac:dyDescent="0.3">
      <c r="B336" s="51">
        <v>6</v>
      </c>
      <c r="C336" s="86">
        <f t="shared" si="41"/>
        <v>5</v>
      </c>
      <c r="D336" s="86">
        <f t="shared" si="42"/>
        <v>2</v>
      </c>
      <c r="E336" s="9">
        <f t="shared" si="43"/>
        <v>360.55512754639892</v>
      </c>
      <c r="F336" s="9">
        <f t="shared" si="44"/>
        <v>12</v>
      </c>
      <c r="G336" s="97">
        <f>B315</f>
        <v>-4056.2451848969931</v>
      </c>
      <c r="H336" s="84" t="str">
        <f>C318</f>
        <v>BARRA A COMPRESIÓN (-)</v>
      </c>
    </row>
    <row r="337" spans="2:8" ht="19.95" customHeight="1" x14ac:dyDescent="0.3">
      <c r="B337" s="52">
        <v>7</v>
      </c>
      <c r="C337" s="86">
        <f t="shared" si="41"/>
        <v>2</v>
      </c>
      <c r="D337" s="86">
        <f t="shared" si="42"/>
        <v>4</v>
      </c>
      <c r="E337" s="9">
        <f t="shared" si="43"/>
        <v>400</v>
      </c>
      <c r="F337" s="9">
        <f t="shared" si="44"/>
        <v>12</v>
      </c>
      <c r="G337" s="97">
        <f>B323</f>
        <v>6250.0000000000091</v>
      </c>
      <c r="H337" s="84" t="str">
        <f>C326</f>
        <v>BARRA A TRACCIÓN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512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400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400</v>
      </c>
      <c r="AC8" t="s">
        <v>316</v>
      </c>
    </row>
    <row r="9" spans="2:29" x14ac:dyDescent="0.3">
      <c r="AA9" s="20">
        <f>IF(G29="","",G29)</f>
        <v>350</v>
      </c>
      <c r="AB9" s="20">
        <f>IF(H29="","",H29)</f>
        <v>400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350</v>
      </c>
      <c r="AB11" s="20">
        <f>IF(F30="","",F30)</f>
        <v>400</v>
      </c>
      <c r="AC11" t="s">
        <v>324</v>
      </c>
    </row>
    <row r="12" spans="2:29" x14ac:dyDescent="0.3">
      <c r="AA12" s="20">
        <f>IF(G30="","",G30)</f>
        <v>350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513</v>
      </c>
      <c r="K14" s="172"/>
      <c r="L14" s="172"/>
      <c r="M14" s="172"/>
      <c r="N14" s="172"/>
      <c r="O14" s="173"/>
      <c r="AA14" s="20">
        <f>IF(E31="","",E31)</f>
        <v>350</v>
      </c>
      <c r="AB14" s="20">
        <f>IF(F31="","",F31)</f>
        <v>200</v>
      </c>
      <c r="AC14" t="s">
        <v>328</v>
      </c>
    </row>
    <row r="15" spans="2:29" ht="19.05" customHeight="1" x14ac:dyDescent="0.3">
      <c r="B15" s="89">
        <v>2</v>
      </c>
      <c r="C15" s="21">
        <v>0</v>
      </c>
      <c r="D15" s="21">
        <v>400</v>
      </c>
      <c r="E15" s="21" t="s">
        <v>417</v>
      </c>
      <c r="F15" s="88">
        <f t="shared" si="0"/>
        <v>1</v>
      </c>
      <c r="G15" s="88">
        <f t="shared" si="1"/>
        <v>0</v>
      </c>
      <c r="H15" s="22">
        <v>0</v>
      </c>
      <c r="I15" s="22">
        <v>0</v>
      </c>
      <c r="J15" s="205" t="s">
        <v>514</v>
      </c>
      <c r="K15" s="172"/>
      <c r="L15" s="172"/>
      <c r="M15" s="172"/>
      <c r="N15" s="172"/>
      <c r="O15" s="173"/>
      <c r="AA15" s="20">
        <f>IF(G31="","",G31)</f>
        <v>350</v>
      </c>
      <c r="AB15" s="20">
        <f>IF(H31="","",H31)</f>
        <v>0</v>
      </c>
      <c r="AC15" t="s">
        <v>331</v>
      </c>
    </row>
    <row r="16" spans="2:29" ht="19.05" customHeight="1" x14ac:dyDescent="0.3">
      <c r="B16" s="89">
        <v>3</v>
      </c>
      <c r="C16" s="21">
        <v>350</v>
      </c>
      <c r="D16" s="21">
        <v>400</v>
      </c>
      <c r="E16" s="21" t="s">
        <v>326</v>
      </c>
      <c r="F16" s="88">
        <f t="shared" si="0"/>
        <v>0</v>
      </c>
      <c r="G16" s="88">
        <f t="shared" si="1"/>
        <v>0</v>
      </c>
      <c r="H16" s="22">
        <v>0</v>
      </c>
      <c r="I16" s="22">
        <v>-4500</v>
      </c>
      <c r="J16" s="205" t="s">
        <v>515</v>
      </c>
      <c r="K16" s="172"/>
      <c r="L16" s="172"/>
      <c r="M16" s="172"/>
      <c r="N16" s="172"/>
      <c r="O16" s="173"/>
    </row>
    <row r="17" spans="2:29" ht="19.05" customHeight="1" x14ac:dyDescent="0.3">
      <c r="B17" s="89">
        <v>4</v>
      </c>
      <c r="C17" s="21">
        <v>350</v>
      </c>
      <c r="D17" s="21">
        <v>200</v>
      </c>
      <c r="E17" s="21" t="s">
        <v>326</v>
      </c>
      <c r="F17" s="88">
        <f t="shared" si="0"/>
        <v>0</v>
      </c>
      <c r="G17" s="88">
        <f t="shared" si="1"/>
        <v>0</v>
      </c>
      <c r="H17" s="22">
        <v>1500</v>
      </c>
      <c r="I17" s="22">
        <v>-5000</v>
      </c>
      <c r="J17" s="205" t="s">
        <v>516</v>
      </c>
      <c r="K17" s="172"/>
      <c r="L17" s="172"/>
      <c r="M17" s="172"/>
      <c r="N17" s="172"/>
      <c r="O17" s="173"/>
      <c r="AA17" s="20">
        <f>IF(E32="","",E32)</f>
        <v>350</v>
      </c>
      <c r="AB17" s="20">
        <f>IF(F32="","",F32)</f>
        <v>0</v>
      </c>
      <c r="AC17" t="s">
        <v>334</v>
      </c>
    </row>
    <row r="18" spans="2:29" ht="19.05" customHeight="1" x14ac:dyDescent="0.3">
      <c r="B18" s="89">
        <v>5</v>
      </c>
      <c r="C18" s="21">
        <v>350</v>
      </c>
      <c r="D18" s="21">
        <v>0</v>
      </c>
      <c r="E18" s="21" t="s">
        <v>326</v>
      </c>
      <c r="F18" s="88">
        <f t="shared" si="0"/>
        <v>0</v>
      </c>
      <c r="G18" s="88">
        <f t="shared" si="1"/>
        <v>0</v>
      </c>
      <c r="H18" s="22">
        <v>0</v>
      </c>
      <c r="I18" s="22">
        <v>-3500</v>
      </c>
      <c r="J18" s="205" t="s">
        <v>517</v>
      </c>
      <c r="K18" s="172"/>
      <c r="L18" s="172"/>
      <c r="M18" s="172"/>
      <c r="N18" s="172"/>
      <c r="O18" s="173"/>
      <c r="AA18" s="20">
        <f>IF(G32="","",G32)</f>
        <v>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200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0</v>
      </c>
      <c r="AB23" s="20">
        <f>IF(F34="","",F34)</f>
        <v>400</v>
      </c>
      <c r="AC23" t="s">
        <v>338</v>
      </c>
    </row>
    <row r="24" spans="2:29" x14ac:dyDescent="0.3">
      <c r="AA24" s="20">
        <f>IF(G34="","",G34)</f>
        <v>350</v>
      </c>
      <c r="AB24" s="20">
        <f>IF(H34="","",H34)</f>
        <v>200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400</v>
      </c>
      <c r="G29" s="5">
        <f t="shared" si="4"/>
        <v>350</v>
      </c>
      <c r="H29" s="5">
        <f t="shared" si="5"/>
        <v>400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400</v>
      </c>
      <c r="G30" s="5">
        <f t="shared" si="4"/>
        <v>350</v>
      </c>
      <c r="H30" s="5">
        <f t="shared" si="5"/>
        <v>200</v>
      </c>
      <c r="I30" s="9">
        <f t="shared" si="6"/>
        <v>0</v>
      </c>
      <c r="J30" s="9">
        <f t="shared" si="7"/>
        <v>-200</v>
      </c>
      <c r="K30" s="9">
        <f t="shared" si="8"/>
        <v>200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5</v>
      </c>
      <c r="E31" s="5">
        <f t="shared" si="2"/>
        <v>350</v>
      </c>
      <c r="F31" s="5">
        <f t="shared" si="3"/>
        <v>200</v>
      </c>
      <c r="G31" s="5">
        <f t="shared" si="4"/>
        <v>350</v>
      </c>
      <c r="H31" s="5">
        <f t="shared" si="5"/>
        <v>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1</v>
      </c>
      <c r="E32" s="5">
        <f t="shared" si="2"/>
        <v>350</v>
      </c>
      <c r="F32" s="5">
        <f t="shared" si="3"/>
        <v>0</v>
      </c>
      <c r="G32" s="5">
        <f t="shared" si="4"/>
        <v>0</v>
      </c>
      <c r="H32" s="5">
        <f t="shared" si="5"/>
        <v>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1</v>
      </c>
      <c r="D33" s="23">
        <v>4</v>
      </c>
      <c r="E33" s="5">
        <f t="shared" si="2"/>
        <v>0</v>
      </c>
      <c r="F33" s="5">
        <f t="shared" si="3"/>
        <v>0</v>
      </c>
      <c r="G33" s="5">
        <f t="shared" si="4"/>
        <v>350</v>
      </c>
      <c r="H33" s="5">
        <f t="shared" si="5"/>
        <v>200</v>
      </c>
      <c r="I33" s="9">
        <f t="shared" si="6"/>
        <v>350</v>
      </c>
      <c r="J33" s="9">
        <f t="shared" si="7"/>
        <v>200</v>
      </c>
      <c r="K33" s="9">
        <f t="shared" si="8"/>
        <v>403.11288741492746</v>
      </c>
      <c r="L33" s="92">
        <f t="shared" si="9"/>
        <v>0.8682431421244593</v>
      </c>
      <c r="M33" s="92">
        <f t="shared" si="10"/>
        <v>0.49613893835683387</v>
      </c>
      <c r="N33" s="22">
        <v>12</v>
      </c>
      <c r="O33" s="24">
        <v>2100000</v>
      </c>
      <c r="AA33" s="20" t="str">
        <f>IF(G37="","",G37)</f>
        <v/>
      </c>
      <c r="AB33" s="20" t="str">
        <f>IF(H37="","",H37)</f>
        <v/>
      </c>
      <c r="AC33" t="s">
        <v>356</v>
      </c>
    </row>
    <row r="34" spans="2:29" ht="19.05" customHeight="1" x14ac:dyDescent="0.3">
      <c r="B34" s="89">
        <v>7</v>
      </c>
      <c r="C34" s="23">
        <v>2</v>
      </c>
      <c r="D34" s="23">
        <v>4</v>
      </c>
      <c r="E34" s="5">
        <f t="shared" si="2"/>
        <v>0</v>
      </c>
      <c r="F34" s="5">
        <f t="shared" si="3"/>
        <v>400</v>
      </c>
      <c r="G34" s="5">
        <f t="shared" si="4"/>
        <v>350</v>
      </c>
      <c r="H34" s="5">
        <f t="shared" si="5"/>
        <v>200</v>
      </c>
      <c r="I34" s="9">
        <f t="shared" si="6"/>
        <v>350</v>
      </c>
      <c r="J34" s="9">
        <f t="shared" si="7"/>
        <v>-200</v>
      </c>
      <c r="K34" s="9">
        <f t="shared" si="8"/>
        <v>403.11288741492746</v>
      </c>
      <c r="L34" s="92">
        <f t="shared" si="9"/>
        <v>0.8682431421244593</v>
      </c>
      <c r="M34" s="92">
        <f t="shared" si="10"/>
        <v>-0.49613893835683387</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100-000000000000}">
      <formula1>"Fijo (articulado),Rodillo Y (despl. X libre),Rodillo X (despl. Y libre),Libre (0 reac.)"</formula1>
    </dataValidation>
  </dataValidations>
  <pageMargins left="0.75" right="0.75" top="1" bottom="1" header="0.5" footer="0.5"/>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518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GRAFICA_24!E28</f>
        <v>0</v>
      </c>
      <c r="D6" s="22">
        <f>GRAFICA_24!F28</f>
        <v>0</v>
      </c>
      <c r="E6" s="22">
        <f>GRAFICA_24!G28</f>
        <v>0</v>
      </c>
      <c r="F6" s="22">
        <f>GRAFICA_24!H28</f>
        <v>400</v>
      </c>
      <c r="G6" s="9">
        <f t="shared" ref="G6:H12" si="0">E6-C6</f>
        <v>0</v>
      </c>
      <c r="H6" s="9">
        <f t="shared" si="0"/>
        <v>400</v>
      </c>
      <c r="I6" s="9">
        <f t="shared" ref="I6:I12" si="1">SQRT(G6*G6+H6*H6)</f>
        <v>400</v>
      </c>
      <c r="J6" s="92">
        <f t="shared" ref="J6:J12" si="2">G6/I6</f>
        <v>0</v>
      </c>
      <c r="K6" s="92">
        <f t="shared" ref="K6:K12" si="3">H6/I6</f>
        <v>1</v>
      </c>
      <c r="L6" s="22">
        <f>GRAFICA_24!N28</f>
        <v>12</v>
      </c>
      <c r="M6" s="22">
        <f>GRAFICA_24!O28</f>
        <v>2100000</v>
      </c>
      <c r="N6" s="6">
        <f t="shared" ref="N6:N12" si="4">L6*M6/I6</f>
        <v>63000</v>
      </c>
    </row>
    <row r="7" spans="2:14" ht="19.05" customHeight="1" x14ac:dyDescent="0.3">
      <c r="B7" s="25">
        <v>2</v>
      </c>
      <c r="C7" s="22">
        <f>GRAFICA_24!E29</f>
        <v>0</v>
      </c>
      <c r="D7" s="22">
        <f>GRAFICA_24!F29</f>
        <v>400</v>
      </c>
      <c r="E7" s="22">
        <f>GRAFICA_24!G29</f>
        <v>350</v>
      </c>
      <c r="F7" s="22">
        <f>GRAFICA_24!H29</f>
        <v>400</v>
      </c>
      <c r="G7" s="9">
        <f t="shared" si="0"/>
        <v>350</v>
      </c>
      <c r="H7" s="9">
        <f t="shared" si="0"/>
        <v>0</v>
      </c>
      <c r="I7" s="9">
        <f t="shared" si="1"/>
        <v>350</v>
      </c>
      <c r="J7" s="92">
        <f t="shared" si="2"/>
        <v>1</v>
      </c>
      <c r="K7" s="92">
        <f t="shared" si="3"/>
        <v>0</v>
      </c>
      <c r="L7" s="22">
        <f>GRAFICA_24!N29</f>
        <v>12</v>
      </c>
      <c r="M7" s="22">
        <f>GRAFICA_24!O29</f>
        <v>2100000</v>
      </c>
      <c r="N7" s="6">
        <f t="shared" si="4"/>
        <v>72000</v>
      </c>
    </row>
    <row r="8" spans="2:14" ht="19.05" customHeight="1" x14ac:dyDescent="0.3">
      <c r="B8" s="26">
        <v>3</v>
      </c>
      <c r="C8" s="22">
        <f>GRAFICA_24!E30</f>
        <v>350</v>
      </c>
      <c r="D8" s="22">
        <f>GRAFICA_24!F30</f>
        <v>400</v>
      </c>
      <c r="E8" s="22">
        <f>GRAFICA_24!G30</f>
        <v>350</v>
      </c>
      <c r="F8" s="22">
        <f>GRAFICA_24!H30</f>
        <v>200</v>
      </c>
      <c r="G8" s="9">
        <f t="shared" si="0"/>
        <v>0</v>
      </c>
      <c r="H8" s="9">
        <f t="shared" si="0"/>
        <v>-200</v>
      </c>
      <c r="I8" s="9">
        <f t="shared" si="1"/>
        <v>200</v>
      </c>
      <c r="J8" s="92">
        <f t="shared" si="2"/>
        <v>0</v>
      </c>
      <c r="K8" s="92">
        <f t="shared" si="3"/>
        <v>-1</v>
      </c>
      <c r="L8" s="22">
        <f>GRAFICA_24!N30</f>
        <v>12</v>
      </c>
      <c r="M8" s="22">
        <f>GRAFICA_24!O30</f>
        <v>2100000</v>
      </c>
      <c r="N8" s="6">
        <f t="shared" si="4"/>
        <v>126000</v>
      </c>
    </row>
    <row r="9" spans="2:14" ht="19.05" customHeight="1" x14ac:dyDescent="0.3">
      <c r="B9" s="43">
        <v>4</v>
      </c>
      <c r="C9" s="22">
        <f>GRAFICA_24!E31</f>
        <v>350</v>
      </c>
      <c r="D9" s="22">
        <f>GRAFICA_24!F31</f>
        <v>200</v>
      </c>
      <c r="E9" s="22">
        <f>GRAFICA_24!G31</f>
        <v>350</v>
      </c>
      <c r="F9" s="22">
        <f>GRAFICA_24!H31</f>
        <v>0</v>
      </c>
      <c r="G9" s="9">
        <f t="shared" si="0"/>
        <v>0</v>
      </c>
      <c r="H9" s="9">
        <f t="shared" si="0"/>
        <v>-200</v>
      </c>
      <c r="I9" s="9">
        <f t="shared" si="1"/>
        <v>200</v>
      </c>
      <c r="J9" s="92">
        <f t="shared" si="2"/>
        <v>0</v>
      </c>
      <c r="K9" s="92">
        <f t="shared" si="3"/>
        <v>-1</v>
      </c>
      <c r="L9" s="22">
        <f>GRAFICA_24!N31</f>
        <v>12</v>
      </c>
      <c r="M9" s="22">
        <f>GRAFICA_24!O31</f>
        <v>2100000</v>
      </c>
      <c r="N9" s="6">
        <f t="shared" si="4"/>
        <v>126000</v>
      </c>
    </row>
    <row r="10" spans="2:14" ht="19.05" customHeight="1" x14ac:dyDescent="0.3">
      <c r="B10" s="44">
        <v>5</v>
      </c>
      <c r="C10" s="22">
        <f>GRAFICA_24!E32</f>
        <v>350</v>
      </c>
      <c r="D10" s="22">
        <f>GRAFICA_24!F32</f>
        <v>0</v>
      </c>
      <c r="E10" s="22">
        <f>GRAFICA_24!G32</f>
        <v>0</v>
      </c>
      <c r="F10" s="22">
        <f>GRAFICA_24!H32</f>
        <v>0</v>
      </c>
      <c r="G10" s="9">
        <f t="shared" si="0"/>
        <v>-350</v>
      </c>
      <c r="H10" s="9">
        <f t="shared" si="0"/>
        <v>0</v>
      </c>
      <c r="I10" s="9">
        <f t="shared" si="1"/>
        <v>350</v>
      </c>
      <c r="J10" s="92">
        <f t="shared" si="2"/>
        <v>-1</v>
      </c>
      <c r="K10" s="92">
        <f t="shared" si="3"/>
        <v>0</v>
      </c>
      <c r="L10" s="22">
        <f>GRAFICA_24!N32</f>
        <v>12</v>
      </c>
      <c r="M10" s="22">
        <f>GRAFICA_24!O32</f>
        <v>2100000</v>
      </c>
      <c r="N10" s="6">
        <f t="shared" si="4"/>
        <v>72000</v>
      </c>
    </row>
    <row r="11" spans="2:14" ht="19.05" customHeight="1" x14ac:dyDescent="0.3">
      <c r="B11" s="51">
        <v>6</v>
      </c>
      <c r="C11" s="22">
        <f>GRAFICA_24!E33</f>
        <v>0</v>
      </c>
      <c r="D11" s="22">
        <f>GRAFICA_24!F33</f>
        <v>0</v>
      </c>
      <c r="E11" s="22">
        <f>GRAFICA_24!G33</f>
        <v>350</v>
      </c>
      <c r="F11" s="22">
        <f>GRAFICA_24!H33</f>
        <v>200</v>
      </c>
      <c r="G11" s="9">
        <f t="shared" si="0"/>
        <v>350</v>
      </c>
      <c r="H11" s="9">
        <f t="shared" si="0"/>
        <v>200</v>
      </c>
      <c r="I11" s="9">
        <f t="shared" si="1"/>
        <v>403.11288741492746</v>
      </c>
      <c r="J11" s="92">
        <f t="shared" si="2"/>
        <v>0.8682431421244593</v>
      </c>
      <c r="K11" s="92">
        <f t="shared" si="3"/>
        <v>0.49613893835683387</v>
      </c>
      <c r="L11" s="22">
        <f>GRAFICA_24!N33</f>
        <v>12</v>
      </c>
      <c r="M11" s="22">
        <f>GRAFICA_24!O33</f>
        <v>2100000</v>
      </c>
      <c r="N11" s="6">
        <f t="shared" si="4"/>
        <v>62513.506232961066</v>
      </c>
    </row>
    <row r="12" spans="2:14" ht="19.05" customHeight="1" x14ac:dyDescent="0.3">
      <c r="B12" s="52">
        <v>7</v>
      </c>
      <c r="C12" s="22">
        <f>GRAFICA_24!E34</f>
        <v>0</v>
      </c>
      <c r="D12" s="22">
        <f>GRAFICA_24!F34</f>
        <v>400</v>
      </c>
      <c r="E12" s="22">
        <f>GRAFICA_24!G34</f>
        <v>350</v>
      </c>
      <c r="F12" s="22">
        <f>GRAFICA_24!H34</f>
        <v>200</v>
      </c>
      <c r="G12" s="9">
        <f t="shared" si="0"/>
        <v>350</v>
      </c>
      <c r="H12" s="9">
        <f t="shared" si="0"/>
        <v>-200</v>
      </c>
      <c r="I12" s="9">
        <f t="shared" si="1"/>
        <v>403.11288741492746</v>
      </c>
      <c r="J12" s="92">
        <f t="shared" si="2"/>
        <v>0.8682431421244593</v>
      </c>
      <c r="K12" s="92">
        <f t="shared" si="3"/>
        <v>-0.49613893835683387</v>
      </c>
      <c r="L12" s="22">
        <f>GRAFICA_24!N34</f>
        <v>12</v>
      </c>
      <c r="M12" s="22">
        <f>GRAFICA_24!O34</f>
        <v>2100000</v>
      </c>
      <c r="N12" s="6">
        <f t="shared" si="4"/>
        <v>62513.506232961066</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GRAFICA_24!C28</f>
        <v>1</v>
      </c>
      <c r="D16" s="23">
        <f>GRAFICA_24!C28</f>
        <v>1</v>
      </c>
      <c r="E16" s="23">
        <f>GRAFICA_24!D28</f>
        <v>2</v>
      </c>
      <c r="F16" s="23">
        <f>GRAFICA_24!D28</f>
        <v>2</v>
      </c>
    </row>
    <row r="17" spans="1:12" ht="19.05" customHeight="1" x14ac:dyDescent="0.3">
      <c r="B17" s="25">
        <v>2</v>
      </c>
      <c r="C17" s="23">
        <f>GRAFICA_24!C29</f>
        <v>2</v>
      </c>
      <c r="D17" s="23">
        <f>GRAFICA_24!C29</f>
        <v>2</v>
      </c>
      <c r="E17" s="23">
        <f>GRAFICA_24!D29</f>
        <v>3</v>
      </c>
      <c r="F17" s="23">
        <f>GRAFICA_24!D29</f>
        <v>3</v>
      </c>
    </row>
    <row r="18" spans="1:12" ht="19.05" customHeight="1" x14ac:dyDescent="0.3">
      <c r="B18" s="26">
        <v>3</v>
      </c>
      <c r="C18" s="23">
        <f>GRAFICA_24!C30</f>
        <v>3</v>
      </c>
      <c r="D18" s="23">
        <f>GRAFICA_24!C30</f>
        <v>3</v>
      </c>
      <c r="E18" s="23">
        <f>GRAFICA_24!D30</f>
        <v>4</v>
      </c>
      <c r="F18" s="23">
        <f>GRAFICA_24!D30</f>
        <v>4</v>
      </c>
    </row>
    <row r="19" spans="1:12" ht="19.05" customHeight="1" x14ac:dyDescent="0.3">
      <c r="B19" s="43">
        <v>4</v>
      </c>
      <c r="C19" s="23">
        <f>GRAFICA_24!C31</f>
        <v>4</v>
      </c>
      <c r="D19" s="23">
        <f>GRAFICA_24!C31</f>
        <v>4</v>
      </c>
      <c r="E19" s="23">
        <f>GRAFICA_24!D31</f>
        <v>5</v>
      </c>
      <c r="F19" s="23">
        <f>GRAFICA_24!D31</f>
        <v>5</v>
      </c>
    </row>
    <row r="20" spans="1:12" ht="19.05" customHeight="1" x14ac:dyDescent="0.3">
      <c r="B20" s="44">
        <v>5</v>
      </c>
      <c r="C20" s="23">
        <f>GRAFICA_24!C32</f>
        <v>5</v>
      </c>
      <c r="D20" s="23">
        <f>GRAFICA_24!C32</f>
        <v>5</v>
      </c>
      <c r="E20" s="23">
        <f>GRAFICA_24!D32</f>
        <v>1</v>
      </c>
      <c r="F20" s="23">
        <f>GRAFICA_24!D32</f>
        <v>1</v>
      </c>
    </row>
    <row r="21" spans="1:12" ht="19.05" customHeight="1" x14ac:dyDescent="0.3">
      <c r="B21" s="51">
        <v>6</v>
      </c>
      <c r="C21" s="23">
        <f>GRAFICA_24!C33</f>
        <v>1</v>
      </c>
      <c r="D21" s="23">
        <f>GRAFICA_24!C33</f>
        <v>1</v>
      </c>
      <c r="E21" s="23">
        <f>GRAFICA_24!D33</f>
        <v>4</v>
      </c>
      <c r="F21" s="23">
        <f>GRAFICA_24!D33</f>
        <v>4</v>
      </c>
    </row>
    <row r="22" spans="1:12" ht="19.05" customHeight="1" x14ac:dyDescent="0.3">
      <c r="B22" s="52">
        <v>7</v>
      </c>
      <c r="C22" s="23">
        <f>GRAFICA_24!C34</f>
        <v>2</v>
      </c>
      <c r="D22" s="23">
        <f>GRAFICA_24!C34</f>
        <v>2</v>
      </c>
      <c r="E22" s="23">
        <f>GRAFICA_24!D34</f>
        <v>4</v>
      </c>
      <c r="F22" s="23">
        <f>GRAFICA_24!D34</f>
        <v>4</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0</v>
      </c>
      <c r="C26" s="7">
        <f>J6*K6*N6</f>
        <v>0</v>
      </c>
      <c r="D26" s="7">
        <f>-B26</f>
        <v>0</v>
      </c>
      <c r="E26" s="7">
        <f>-C26</f>
        <v>0</v>
      </c>
      <c r="F26" s="27" t="str">
        <f>B25</f>
        <v>U1X</v>
      </c>
    </row>
    <row r="27" spans="1:12" ht="16.8" customHeight="1" x14ac:dyDescent="0.3">
      <c r="A27" s="28" t="s">
        <v>177</v>
      </c>
      <c r="B27" s="7">
        <f>C26</f>
        <v>0</v>
      </c>
      <c r="C27" s="7">
        <f>K6*K6*N6</f>
        <v>63000</v>
      </c>
      <c r="D27" s="7">
        <f>-B27</f>
        <v>0</v>
      </c>
      <c r="E27" s="7">
        <f>-C27</f>
        <v>-63000</v>
      </c>
      <c r="F27" s="27" t="str">
        <f>C25</f>
        <v>U1Y</v>
      </c>
    </row>
    <row r="28" spans="1:12" x14ac:dyDescent="0.3">
      <c r="B28" s="7">
        <f>D26</f>
        <v>0</v>
      </c>
      <c r="C28" s="7">
        <f>E26</f>
        <v>0</v>
      </c>
      <c r="D28" s="7">
        <f>B26</f>
        <v>0</v>
      </c>
      <c r="E28" s="7">
        <f>C26</f>
        <v>0</v>
      </c>
      <c r="F28" s="27" t="str">
        <f>D25</f>
        <v>U2X</v>
      </c>
    </row>
    <row r="29" spans="1:12" x14ac:dyDescent="0.3">
      <c r="B29" s="7">
        <f>D27</f>
        <v>0</v>
      </c>
      <c r="C29" s="7">
        <f>E27</f>
        <v>-63000</v>
      </c>
      <c r="D29" s="7">
        <f>B27</f>
        <v>0</v>
      </c>
      <c r="E29" s="7">
        <f>C27</f>
        <v>63000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0</v>
      </c>
      <c r="C32" s="8">
        <f t="shared" si="5"/>
        <v>0</v>
      </c>
      <c r="D32" s="8">
        <f t="shared" si="5"/>
        <v>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63000</v>
      </c>
      <c r="D33" s="8">
        <f t="shared" si="5"/>
        <v>0</v>
      </c>
      <c r="E33" s="8">
        <f t="shared" si="5"/>
        <v>-63000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0</v>
      </c>
      <c r="C34" s="8">
        <f t="shared" si="5"/>
        <v>0</v>
      </c>
      <c r="D34" s="8">
        <f t="shared" si="5"/>
        <v>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-63000</v>
      </c>
      <c r="D35" s="8">
        <f t="shared" si="5"/>
        <v>0</v>
      </c>
      <c r="E35" s="8">
        <f t="shared" si="5"/>
        <v>63000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72000</v>
      </c>
      <c r="C45" s="30">
        <f>J7*K7*N7</f>
        <v>0</v>
      </c>
      <c r="D45" s="30">
        <f>-B45</f>
        <v>-72000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-72000</v>
      </c>
      <c r="C47" s="30">
        <f>E45</f>
        <v>0</v>
      </c>
      <c r="D47" s="30">
        <f>B45</f>
        <v>72000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72000</v>
      </c>
      <c r="E53" s="31">
        <f t="shared" si="6"/>
        <v>0</v>
      </c>
      <c r="F53" s="31">
        <f t="shared" si="6"/>
        <v>-72000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U3X</v>
      </c>
      <c r="C63" s="32" t="str">
        <f>CONCATENATE("U",D18,D$15)</f>
        <v>U3Y</v>
      </c>
      <c r="D63" s="32" t="str">
        <f>CONCATENATE("U",E18,E$15)</f>
        <v>U4X</v>
      </c>
      <c r="E63" s="32" t="str">
        <f>CONCATENATE("U",F18,F$15)</f>
        <v>U4Y</v>
      </c>
    </row>
    <row r="64" spans="1:12" x14ac:dyDescent="0.3">
      <c r="B64" s="33">
        <f>J8*J8*N8</f>
        <v>0</v>
      </c>
      <c r="C64" s="33">
        <f>J8*K8*N8</f>
        <v>0</v>
      </c>
      <c r="D64" s="33">
        <f>-B64</f>
        <v>0</v>
      </c>
      <c r="E64" s="33">
        <f>-C64</f>
        <v>0</v>
      </c>
      <c r="F64" s="32" t="str">
        <f>B63</f>
        <v>U3X</v>
      </c>
    </row>
    <row r="65" spans="1:12" ht="16.8" customHeight="1" x14ac:dyDescent="0.3">
      <c r="A65" s="28" t="s">
        <v>193</v>
      </c>
      <c r="B65" s="33">
        <f>C64</f>
        <v>0</v>
      </c>
      <c r="C65" s="33">
        <f>K8*K8*N8</f>
        <v>126000</v>
      </c>
      <c r="D65" s="33">
        <f>-B65</f>
        <v>0</v>
      </c>
      <c r="E65" s="33">
        <f>-C65</f>
        <v>-126000</v>
      </c>
      <c r="F65" s="32" t="str">
        <f>C63</f>
        <v>U3Y</v>
      </c>
    </row>
    <row r="66" spans="1:12" x14ac:dyDescent="0.3">
      <c r="B66" s="33">
        <f>D64</f>
        <v>0</v>
      </c>
      <c r="C66" s="33">
        <f>E64</f>
        <v>0</v>
      </c>
      <c r="D66" s="33">
        <f>B64</f>
        <v>0</v>
      </c>
      <c r="E66" s="33">
        <f>C64</f>
        <v>0</v>
      </c>
      <c r="F66" s="32" t="str">
        <f>D63</f>
        <v>U4X</v>
      </c>
    </row>
    <row r="67" spans="1:12" x14ac:dyDescent="0.3">
      <c r="B67" s="33">
        <f>D65</f>
        <v>0</v>
      </c>
      <c r="C67" s="33">
        <f>E65</f>
        <v>-126000</v>
      </c>
      <c r="D67" s="33">
        <f>B65</f>
        <v>0</v>
      </c>
      <c r="E67" s="33">
        <f>C65</f>
        <v>126000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34">
        <f t="shared" si="7"/>
        <v>0</v>
      </c>
      <c r="G74" s="34">
        <f t="shared" si="7"/>
        <v>0</v>
      </c>
      <c r="H74" s="34">
        <f t="shared" si="7"/>
        <v>0</v>
      </c>
      <c r="I74" s="34">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34">
        <f t="shared" si="7"/>
        <v>0</v>
      </c>
      <c r="G75" s="34">
        <f t="shared" si="7"/>
        <v>126000</v>
      </c>
      <c r="H75" s="34">
        <f t="shared" si="7"/>
        <v>0</v>
      </c>
      <c r="I75" s="34">
        <f t="shared" si="7"/>
        <v>-126000</v>
      </c>
      <c r="J75" s="9">
        <f t="shared" si="7"/>
        <v>0</v>
      </c>
      <c r="K75" s="9">
        <f t="shared" si="7"/>
        <v>0</v>
      </c>
      <c r="L75" s="32" t="s">
        <v>183</v>
      </c>
    </row>
    <row r="76" spans="1:12" ht="19.05" customHeight="1" x14ac:dyDescent="0.3">
      <c r="B76" s="9">
        <f t="shared" si="7"/>
        <v>0</v>
      </c>
      <c r="C76" s="9">
        <f t="shared" si="7"/>
        <v>0</v>
      </c>
      <c r="D76" s="9">
        <f t="shared" si="7"/>
        <v>0</v>
      </c>
      <c r="E76" s="9">
        <f t="shared" si="7"/>
        <v>0</v>
      </c>
      <c r="F76" s="34">
        <f t="shared" si="7"/>
        <v>0</v>
      </c>
      <c r="G76" s="34">
        <f t="shared" si="7"/>
        <v>0</v>
      </c>
      <c r="H76" s="34">
        <f t="shared" si="7"/>
        <v>0</v>
      </c>
      <c r="I76" s="34">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34">
        <f t="shared" si="7"/>
        <v>0</v>
      </c>
      <c r="G77" s="34">
        <f t="shared" si="7"/>
        <v>-126000</v>
      </c>
      <c r="H77" s="34">
        <f t="shared" si="7"/>
        <v>0</v>
      </c>
      <c r="I77" s="34">
        <f t="shared" si="7"/>
        <v>126000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0</v>
      </c>
      <c r="C83" s="46">
        <f>J9*K9*N9</f>
        <v>0</v>
      </c>
      <c r="D83" s="46">
        <f>-B83</f>
        <v>0</v>
      </c>
      <c r="E83" s="46">
        <f>-C83</f>
        <v>0</v>
      </c>
      <c r="F83" s="45" t="str">
        <f>B82</f>
        <v>U4X</v>
      </c>
    </row>
    <row r="84" spans="1:12" ht="16.8" customHeight="1" x14ac:dyDescent="0.3">
      <c r="A84" s="28" t="s">
        <v>195</v>
      </c>
      <c r="B84" s="46">
        <f>C83</f>
        <v>0</v>
      </c>
      <c r="C84" s="46">
        <f>K9*K9*N9</f>
        <v>126000</v>
      </c>
      <c r="D84" s="46">
        <f>-B84</f>
        <v>0</v>
      </c>
      <c r="E84" s="46">
        <f>-C84</f>
        <v>-126000</v>
      </c>
      <c r="F84" s="45" t="str">
        <f>C82</f>
        <v>U4Y</v>
      </c>
    </row>
    <row r="85" spans="1:12" x14ac:dyDescent="0.3">
      <c r="B85" s="46">
        <f>D83</f>
        <v>0</v>
      </c>
      <c r="C85" s="46">
        <f>E83</f>
        <v>0</v>
      </c>
      <c r="D85" s="46">
        <f>B83</f>
        <v>0</v>
      </c>
      <c r="E85" s="46">
        <f>C83</f>
        <v>0</v>
      </c>
      <c r="F85" s="45" t="str">
        <f>D82</f>
        <v>U5X</v>
      </c>
    </row>
    <row r="86" spans="1:12" x14ac:dyDescent="0.3">
      <c r="B86" s="46">
        <f>D84</f>
        <v>0</v>
      </c>
      <c r="C86" s="46">
        <f>E84</f>
        <v>-126000</v>
      </c>
      <c r="D86" s="46">
        <f>B84</f>
        <v>0</v>
      </c>
      <c r="E86" s="46">
        <f>C84</f>
        <v>126000</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0</v>
      </c>
      <c r="I95" s="47">
        <f t="shared" si="8"/>
        <v>0</v>
      </c>
      <c r="J95" s="47">
        <f t="shared" si="8"/>
        <v>0</v>
      </c>
      <c r="K95" s="47">
        <f t="shared" si="8"/>
        <v>0</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0</v>
      </c>
      <c r="I96" s="47">
        <f t="shared" si="8"/>
        <v>126000</v>
      </c>
      <c r="J96" s="47">
        <f t="shared" si="8"/>
        <v>0</v>
      </c>
      <c r="K96" s="47">
        <f t="shared" si="8"/>
        <v>-126000</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0</v>
      </c>
      <c r="I97" s="47">
        <f t="shared" si="8"/>
        <v>0</v>
      </c>
      <c r="J97" s="47">
        <f t="shared" si="8"/>
        <v>0</v>
      </c>
      <c r="K97" s="47">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0</v>
      </c>
      <c r="I98" s="47">
        <f t="shared" si="8"/>
        <v>-126000</v>
      </c>
      <c r="J98" s="47">
        <f t="shared" si="8"/>
        <v>0</v>
      </c>
      <c r="K98" s="47">
        <f t="shared" si="8"/>
        <v>126000</v>
      </c>
      <c r="L98" s="45" t="s">
        <v>187</v>
      </c>
    </row>
    <row r="101" spans="1:12" ht="18" customHeight="1" x14ac:dyDescent="0.3">
      <c r="B101" s="48" t="str">
        <f>CONCATENATE("U",C20,C$15)</f>
        <v>U5X</v>
      </c>
      <c r="C101" s="48" t="str">
        <f>CONCATENATE("U",D20,D$15)</f>
        <v>U5Y</v>
      </c>
      <c r="D101" s="48" t="str">
        <f>CONCATENATE("U",E20,E$15)</f>
        <v>U1X</v>
      </c>
      <c r="E101" s="48" t="str">
        <f>CONCATENATE("U",F20,F$15)</f>
        <v>U1Y</v>
      </c>
    </row>
    <row r="102" spans="1:12" x14ac:dyDescent="0.3">
      <c r="B102" s="49">
        <f>J10*J10*N10</f>
        <v>72000</v>
      </c>
      <c r="C102" s="49">
        <f>J10*K10*N10</f>
        <v>0</v>
      </c>
      <c r="D102" s="49">
        <f>-B102</f>
        <v>-72000</v>
      </c>
      <c r="E102" s="49">
        <f>-C102</f>
        <v>0</v>
      </c>
      <c r="F102" s="48" t="str">
        <f>B101</f>
        <v>U5X</v>
      </c>
    </row>
    <row r="103" spans="1:12" ht="16.8" customHeight="1" x14ac:dyDescent="0.3">
      <c r="A103" s="28" t="s">
        <v>197</v>
      </c>
      <c r="B103" s="49">
        <f>C102</f>
        <v>0</v>
      </c>
      <c r="C103" s="49">
        <f>K10*K10*N10</f>
        <v>0</v>
      </c>
      <c r="D103" s="49">
        <f>-B103</f>
        <v>0</v>
      </c>
      <c r="E103" s="49">
        <f>-C103</f>
        <v>0</v>
      </c>
      <c r="F103" s="48" t="str">
        <f>C101</f>
        <v>U5Y</v>
      </c>
    </row>
    <row r="104" spans="1:12" x14ac:dyDescent="0.3">
      <c r="B104" s="49">
        <f>D102</f>
        <v>-72000</v>
      </c>
      <c r="C104" s="49">
        <f>E102</f>
        <v>0</v>
      </c>
      <c r="D104" s="49">
        <f>B102</f>
        <v>72000</v>
      </c>
      <c r="E104" s="49">
        <f>C102</f>
        <v>0</v>
      </c>
      <c r="F104" s="48" t="str">
        <f>D101</f>
        <v>U1X</v>
      </c>
    </row>
    <row r="105" spans="1:12" x14ac:dyDescent="0.3">
      <c r="B105" s="49">
        <f>D103</f>
        <v>0</v>
      </c>
      <c r="C105" s="49">
        <f>E103</f>
        <v>0</v>
      </c>
      <c r="D105" s="49">
        <f>B103</f>
        <v>0</v>
      </c>
      <c r="E105" s="49">
        <f>C103</f>
        <v>0</v>
      </c>
      <c r="F105" s="48" t="str">
        <f>E101</f>
        <v>U1Y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50">
        <f t="shared" ref="B108:K117" si="9">IFERROR(INDEX($B$102:$E$105, MATCH($L108, $B$101:$E$101, 0), MATCH(B$107, $B$101:$E$101, 0)), 0)</f>
        <v>72000</v>
      </c>
      <c r="C108" s="50">
        <f t="shared" si="9"/>
        <v>0</v>
      </c>
      <c r="D108" s="9">
        <f t="shared" si="9"/>
        <v>0</v>
      </c>
      <c r="E108" s="9">
        <f t="shared" si="9"/>
        <v>0</v>
      </c>
      <c r="F108" s="9">
        <f t="shared" si="9"/>
        <v>0</v>
      </c>
      <c r="G108" s="9">
        <f t="shared" si="9"/>
        <v>0</v>
      </c>
      <c r="H108" s="9">
        <f t="shared" si="9"/>
        <v>0</v>
      </c>
      <c r="I108" s="9">
        <f t="shared" si="9"/>
        <v>0</v>
      </c>
      <c r="J108" s="50">
        <f t="shared" si="9"/>
        <v>-72000</v>
      </c>
      <c r="K108" s="50">
        <f t="shared" si="9"/>
        <v>0</v>
      </c>
      <c r="L108" s="48" t="s">
        <v>178</v>
      </c>
    </row>
    <row r="109" spans="1:12" ht="19.05" customHeight="1" x14ac:dyDescent="0.3">
      <c r="B109" s="50">
        <f t="shared" si="9"/>
        <v>0</v>
      </c>
      <c r="C109" s="50">
        <f t="shared" si="9"/>
        <v>0</v>
      </c>
      <c r="D109" s="9">
        <f t="shared" si="9"/>
        <v>0</v>
      </c>
      <c r="E109" s="9">
        <f t="shared" si="9"/>
        <v>0</v>
      </c>
      <c r="F109" s="9">
        <f t="shared" si="9"/>
        <v>0</v>
      </c>
      <c r="G109" s="9">
        <f t="shared" si="9"/>
        <v>0</v>
      </c>
      <c r="H109" s="9">
        <f t="shared" si="9"/>
        <v>0</v>
      </c>
      <c r="I109" s="9">
        <f t="shared" si="9"/>
        <v>0</v>
      </c>
      <c r="J109" s="50">
        <f t="shared" si="9"/>
        <v>0</v>
      </c>
      <c r="K109" s="50">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50">
        <f t="shared" si="9"/>
        <v>-72000</v>
      </c>
      <c r="C116" s="50">
        <f t="shared" si="9"/>
        <v>0</v>
      </c>
      <c r="D116" s="9">
        <f t="shared" si="9"/>
        <v>0</v>
      </c>
      <c r="E116" s="9">
        <f t="shared" si="9"/>
        <v>0</v>
      </c>
      <c r="F116" s="9">
        <f t="shared" si="9"/>
        <v>0</v>
      </c>
      <c r="G116" s="9">
        <f t="shared" si="9"/>
        <v>0</v>
      </c>
      <c r="H116" s="9">
        <f t="shared" si="9"/>
        <v>0</v>
      </c>
      <c r="I116" s="9">
        <f t="shared" si="9"/>
        <v>0</v>
      </c>
      <c r="J116" s="50">
        <f t="shared" si="9"/>
        <v>72000</v>
      </c>
      <c r="K116" s="50">
        <f t="shared" si="9"/>
        <v>0</v>
      </c>
      <c r="L116" s="48" t="s">
        <v>186</v>
      </c>
    </row>
    <row r="117" spans="1:12" ht="19.05" customHeight="1" x14ac:dyDescent="0.3">
      <c r="B117" s="50">
        <f t="shared" si="9"/>
        <v>0</v>
      </c>
      <c r="C117" s="50">
        <f t="shared" si="9"/>
        <v>0</v>
      </c>
      <c r="D117" s="9">
        <f t="shared" si="9"/>
        <v>0</v>
      </c>
      <c r="E117" s="9">
        <f t="shared" si="9"/>
        <v>0</v>
      </c>
      <c r="F117" s="9">
        <f t="shared" si="9"/>
        <v>0</v>
      </c>
      <c r="G117" s="9">
        <f t="shared" si="9"/>
        <v>0</v>
      </c>
      <c r="H117" s="9">
        <f t="shared" si="9"/>
        <v>0</v>
      </c>
      <c r="I117" s="9">
        <f t="shared" si="9"/>
        <v>0</v>
      </c>
      <c r="J117" s="50">
        <f t="shared" si="9"/>
        <v>0</v>
      </c>
      <c r="K117" s="50">
        <f t="shared" si="9"/>
        <v>0</v>
      </c>
      <c r="L117" s="48" t="s">
        <v>187</v>
      </c>
    </row>
    <row r="120" spans="1:12" ht="18" customHeight="1" x14ac:dyDescent="0.3">
      <c r="B120" s="53" t="str">
        <f>CONCATENATE("U",C21,C$15)</f>
        <v>U1X</v>
      </c>
      <c r="C120" s="53" t="str">
        <f>CONCATENATE("U",D21,D$15)</f>
        <v>U1Y</v>
      </c>
      <c r="D120" s="53" t="str">
        <f>CONCATENATE("U",E21,E$15)</f>
        <v>U4X</v>
      </c>
      <c r="E120" s="53" t="str">
        <f>CONCATENATE("U",F21,F$15)</f>
        <v>U4Y</v>
      </c>
    </row>
    <row r="121" spans="1:12" x14ac:dyDescent="0.3">
      <c r="B121" s="54">
        <f>J11*J11*N11</f>
        <v>47125.566237155275</v>
      </c>
      <c r="C121" s="54">
        <f>J11*K11*N11</f>
        <v>26928.894992660156</v>
      </c>
      <c r="D121" s="54">
        <f>-B121</f>
        <v>-47125.566237155275</v>
      </c>
      <c r="E121" s="54">
        <f>-C121</f>
        <v>-26928.894992660156</v>
      </c>
      <c r="F121" s="53" t="str">
        <f>B120</f>
        <v>U1X</v>
      </c>
    </row>
    <row r="122" spans="1:12" ht="16.8" customHeight="1" x14ac:dyDescent="0.3">
      <c r="A122" s="28" t="s">
        <v>199</v>
      </c>
      <c r="B122" s="54">
        <f>C121</f>
        <v>26928.894992660156</v>
      </c>
      <c r="C122" s="54">
        <f>K11*K11*N11</f>
        <v>15387.939995805804</v>
      </c>
      <c r="D122" s="54">
        <f>-B122</f>
        <v>-26928.894992660156</v>
      </c>
      <c r="E122" s="54">
        <f>-C122</f>
        <v>-15387.939995805804</v>
      </c>
      <c r="F122" s="53" t="str">
        <f>C120</f>
        <v>U1Y</v>
      </c>
    </row>
    <row r="123" spans="1:12" x14ac:dyDescent="0.3">
      <c r="B123" s="54">
        <f>D121</f>
        <v>-47125.566237155275</v>
      </c>
      <c r="C123" s="54">
        <f>E121</f>
        <v>-26928.894992660156</v>
      </c>
      <c r="D123" s="54">
        <f>B121</f>
        <v>47125.566237155275</v>
      </c>
      <c r="E123" s="54">
        <f>C121</f>
        <v>26928.894992660156</v>
      </c>
      <c r="F123" s="53" t="str">
        <f>D120</f>
        <v>U4X</v>
      </c>
    </row>
    <row r="124" spans="1:12" x14ac:dyDescent="0.3">
      <c r="B124" s="54">
        <f>D122</f>
        <v>-26928.894992660156</v>
      </c>
      <c r="C124" s="54">
        <f>E122</f>
        <v>-15387.939995805804</v>
      </c>
      <c r="D124" s="54">
        <f>B122</f>
        <v>26928.894992660156</v>
      </c>
      <c r="E124" s="54">
        <f>C122</f>
        <v>15387.939995805804</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55">
        <f t="shared" ref="B127:K136" si="10">IFERROR(INDEX($B$121:$E$124, MATCH($L127, $B$120:$E$120, 0), MATCH(B$126, $B$120:$E$120, 0)), 0)</f>
        <v>47125.566237155275</v>
      </c>
      <c r="C127" s="55">
        <f t="shared" si="10"/>
        <v>26928.894992660156</v>
      </c>
      <c r="D127" s="9">
        <f t="shared" si="10"/>
        <v>0</v>
      </c>
      <c r="E127" s="9">
        <f t="shared" si="10"/>
        <v>0</v>
      </c>
      <c r="F127" s="9">
        <f t="shared" si="10"/>
        <v>0</v>
      </c>
      <c r="G127" s="9">
        <f t="shared" si="10"/>
        <v>0</v>
      </c>
      <c r="H127" s="55">
        <f t="shared" si="10"/>
        <v>-47125.566237155275</v>
      </c>
      <c r="I127" s="55">
        <f t="shared" si="10"/>
        <v>-26928.894992660156</v>
      </c>
      <c r="J127" s="9">
        <f t="shared" si="10"/>
        <v>0</v>
      </c>
      <c r="K127" s="9">
        <f t="shared" si="10"/>
        <v>0</v>
      </c>
      <c r="L127" s="53" t="s">
        <v>178</v>
      </c>
    </row>
    <row r="128" spans="1:12" ht="19.05" customHeight="1" x14ac:dyDescent="0.3">
      <c r="B128" s="55">
        <f t="shared" si="10"/>
        <v>26928.894992660156</v>
      </c>
      <c r="C128" s="55">
        <f t="shared" si="10"/>
        <v>15387.939995805804</v>
      </c>
      <c r="D128" s="9">
        <f t="shared" si="10"/>
        <v>0</v>
      </c>
      <c r="E128" s="9">
        <f t="shared" si="10"/>
        <v>0</v>
      </c>
      <c r="F128" s="9">
        <f t="shared" si="10"/>
        <v>0</v>
      </c>
      <c r="G128" s="9">
        <f t="shared" si="10"/>
        <v>0</v>
      </c>
      <c r="H128" s="55">
        <f t="shared" si="10"/>
        <v>-26928.894992660156</v>
      </c>
      <c r="I128" s="55">
        <f t="shared" si="10"/>
        <v>-15387.939995805804</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55">
        <f t="shared" si="10"/>
        <v>-47125.566237155275</v>
      </c>
      <c r="C133" s="55">
        <f t="shared" si="10"/>
        <v>-26928.894992660156</v>
      </c>
      <c r="D133" s="9">
        <f t="shared" si="10"/>
        <v>0</v>
      </c>
      <c r="E133" s="9">
        <f t="shared" si="10"/>
        <v>0</v>
      </c>
      <c r="F133" s="9">
        <f t="shared" si="10"/>
        <v>0</v>
      </c>
      <c r="G133" s="9">
        <f t="shared" si="10"/>
        <v>0</v>
      </c>
      <c r="H133" s="55">
        <f t="shared" si="10"/>
        <v>47125.566237155275</v>
      </c>
      <c r="I133" s="55">
        <f t="shared" si="10"/>
        <v>26928.894992660156</v>
      </c>
      <c r="J133" s="9">
        <f t="shared" si="10"/>
        <v>0</v>
      </c>
      <c r="K133" s="9">
        <f t="shared" si="10"/>
        <v>0</v>
      </c>
      <c r="L133" s="53" t="s">
        <v>184</v>
      </c>
    </row>
    <row r="134" spans="1:12" ht="19.05" customHeight="1" x14ac:dyDescent="0.3">
      <c r="B134" s="55">
        <f t="shared" si="10"/>
        <v>-26928.894992660156</v>
      </c>
      <c r="C134" s="55">
        <f t="shared" si="10"/>
        <v>-15387.939995805804</v>
      </c>
      <c r="D134" s="9">
        <f t="shared" si="10"/>
        <v>0</v>
      </c>
      <c r="E134" s="9">
        <f t="shared" si="10"/>
        <v>0</v>
      </c>
      <c r="F134" s="9">
        <f t="shared" si="10"/>
        <v>0</v>
      </c>
      <c r="G134" s="9">
        <f t="shared" si="10"/>
        <v>0</v>
      </c>
      <c r="H134" s="55">
        <f t="shared" si="10"/>
        <v>26928.894992660156</v>
      </c>
      <c r="I134" s="55">
        <f t="shared" si="10"/>
        <v>15387.939995805804</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U4X</v>
      </c>
      <c r="E139" s="56" t="str">
        <f>CONCATENATE("U",F22,F$15)</f>
        <v>U4Y</v>
      </c>
    </row>
    <row r="140" spans="1:12" x14ac:dyDescent="0.3">
      <c r="B140" s="57">
        <f>J12*J12*N12</f>
        <v>47125.566237155275</v>
      </c>
      <c r="C140" s="57">
        <f>J12*K12*N12</f>
        <v>-26928.894992660156</v>
      </c>
      <c r="D140" s="57">
        <f>-B140</f>
        <v>-47125.566237155275</v>
      </c>
      <c r="E140" s="57">
        <f>-C140</f>
        <v>26928.894992660156</v>
      </c>
      <c r="F140" s="56" t="str">
        <f>B139</f>
        <v>U2X</v>
      </c>
    </row>
    <row r="141" spans="1:12" ht="16.8" customHeight="1" x14ac:dyDescent="0.3">
      <c r="A141" s="28" t="s">
        <v>201</v>
      </c>
      <c r="B141" s="57">
        <f>C140</f>
        <v>-26928.894992660156</v>
      </c>
      <c r="C141" s="57">
        <f>K12*K12*N12</f>
        <v>15387.939995805804</v>
      </c>
      <c r="D141" s="57">
        <f>-B141</f>
        <v>26928.894992660156</v>
      </c>
      <c r="E141" s="57">
        <f>-C141</f>
        <v>-15387.939995805804</v>
      </c>
      <c r="F141" s="56" t="str">
        <f>C139</f>
        <v>U2Y</v>
      </c>
    </row>
    <row r="142" spans="1:12" x14ac:dyDescent="0.3">
      <c r="B142" s="57">
        <f>D140</f>
        <v>-47125.566237155275</v>
      </c>
      <c r="C142" s="57">
        <f>E140</f>
        <v>26928.894992660156</v>
      </c>
      <c r="D142" s="57">
        <f>B140</f>
        <v>47125.566237155275</v>
      </c>
      <c r="E142" s="57">
        <f>C140</f>
        <v>-26928.894992660156</v>
      </c>
      <c r="F142" s="56" t="str">
        <f>D139</f>
        <v>U4X</v>
      </c>
    </row>
    <row r="143" spans="1:12" x14ac:dyDescent="0.3">
      <c r="B143" s="57">
        <f>D141</f>
        <v>26928.894992660156</v>
      </c>
      <c r="C143" s="57">
        <f>E141</f>
        <v>-15387.939995805804</v>
      </c>
      <c r="D143" s="57">
        <f>B141</f>
        <v>-26928.894992660156</v>
      </c>
      <c r="E143" s="57">
        <f>C141</f>
        <v>15387.939995805804</v>
      </c>
      <c r="F143" s="56" t="str">
        <f>E139</f>
        <v>U4Y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47125.566237155275</v>
      </c>
      <c r="E148" s="58">
        <f t="shared" si="11"/>
        <v>-26928.894992660156</v>
      </c>
      <c r="F148" s="9">
        <f t="shared" si="11"/>
        <v>0</v>
      </c>
      <c r="G148" s="9">
        <f t="shared" si="11"/>
        <v>0</v>
      </c>
      <c r="H148" s="58">
        <f t="shared" si="11"/>
        <v>-47125.566237155275</v>
      </c>
      <c r="I148" s="58">
        <f t="shared" si="11"/>
        <v>26928.894992660156</v>
      </c>
      <c r="J148" s="9">
        <f t="shared" si="11"/>
        <v>0</v>
      </c>
      <c r="K148" s="9">
        <f t="shared" si="11"/>
        <v>0</v>
      </c>
      <c r="L148" s="56" t="s">
        <v>180</v>
      </c>
    </row>
    <row r="149" spans="1:12" ht="19.05" customHeight="1" x14ac:dyDescent="0.3">
      <c r="B149" s="9">
        <f t="shared" si="11"/>
        <v>0</v>
      </c>
      <c r="C149" s="9">
        <f t="shared" si="11"/>
        <v>0</v>
      </c>
      <c r="D149" s="58">
        <f t="shared" si="11"/>
        <v>-26928.894992660156</v>
      </c>
      <c r="E149" s="58">
        <f t="shared" si="11"/>
        <v>15387.939995805804</v>
      </c>
      <c r="F149" s="9">
        <f t="shared" si="11"/>
        <v>0</v>
      </c>
      <c r="G149" s="9">
        <f t="shared" si="11"/>
        <v>0</v>
      </c>
      <c r="H149" s="58">
        <f t="shared" si="11"/>
        <v>26928.894992660156</v>
      </c>
      <c r="I149" s="58">
        <f t="shared" si="11"/>
        <v>-15387.939995805804</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58">
        <f t="shared" si="11"/>
        <v>-47125.566237155275</v>
      </c>
      <c r="E152" s="58">
        <f t="shared" si="11"/>
        <v>26928.894992660156</v>
      </c>
      <c r="F152" s="9">
        <f t="shared" si="11"/>
        <v>0</v>
      </c>
      <c r="G152" s="9">
        <f t="shared" si="11"/>
        <v>0</v>
      </c>
      <c r="H152" s="58">
        <f t="shared" si="11"/>
        <v>47125.566237155275</v>
      </c>
      <c r="I152" s="58">
        <f t="shared" si="11"/>
        <v>-26928.894992660156</v>
      </c>
      <c r="J152" s="9">
        <f t="shared" si="11"/>
        <v>0</v>
      </c>
      <c r="K152" s="9">
        <f t="shared" si="11"/>
        <v>0</v>
      </c>
      <c r="L152" s="56" t="s">
        <v>184</v>
      </c>
    </row>
    <row r="153" spans="1:12" ht="19.05" customHeight="1" x14ac:dyDescent="0.3">
      <c r="B153" s="9">
        <f t="shared" si="11"/>
        <v>0</v>
      </c>
      <c r="C153" s="9">
        <f t="shared" si="11"/>
        <v>0</v>
      </c>
      <c r="D153" s="58">
        <f t="shared" si="11"/>
        <v>26928.894992660156</v>
      </c>
      <c r="E153" s="58">
        <f t="shared" si="11"/>
        <v>-15387.939995805804</v>
      </c>
      <c r="F153" s="9">
        <f t="shared" si="11"/>
        <v>0</v>
      </c>
      <c r="G153" s="9">
        <f t="shared" si="11"/>
        <v>0</v>
      </c>
      <c r="H153" s="58">
        <f t="shared" si="11"/>
        <v>-26928.894992660156</v>
      </c>
      <c r="I153" s="58">
        <f t="shared" si="11"/>
        <v>15387.939995805804</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119125.56623715528</v>
      </c>
      <c r="C159" s="36">
        <f t="shared" si="12"/>
        <v>26928.894992660156</v>
      </c>
      <c r="D159" s="9">
        <f t="shared" si="12"/>
        <v>0</v>
      </c>
      <c r="E159" s="9">
        <f t="shared" si="12"/>
        <v>0</v>
      </c>
      <c r="F159" s="9">
        <f t="shared" si="12"/>
        <v>0</v>
      </c>
      <c r="G159" s="9">
        <f t="shared" si="12"/>
        <v>0</v>
      </c>
      <c r="H159" s="9">
        <f t="shared" si="12"/>
        <v>-47125.566237155275</v>
      </c>
      <c r="I159" s="9">
        <f t="shared" si="12"/>
        <v>-26928.894992660156</v>
      </c>
      <c r="J159" s="9">
        <f t="shared" si="12"/>
        <v>-72000</v>
      </c>
      <c r="K159" s="9">
        <f t="shared" si="12"/>
        <v>0</v>
      </c>
      <c r="L159" s="89" t="s">
        <v>178</v>
      </c>
    </row>
    <row r="160" spans="1:12" ht="19.95" customHeight="1" x14ac:dyDescent="0.3">
      <c r="B160" s="36">
        <f t="shared" ref="B160:K160" si="13">B33+B52+B71+B90+B109+B128+B147</f>
        <v>26928.894992660156</v>
      </c>
      <c r="C160" s="35">
        <f t="shared" si="13"/>
        <v>78387.939995805806</v>
      </c>
      <c r="D160" s="9">
        <f t="shared" si="13"/>
        <v>0</v>
      </c>
      <c r="E160" s="9">
        <f t="shared" si="13"/>
        <v>-63000</v>
      </c>
      <c r="F160" s="9">
        <f t="shared" si="13"/>
        <v>0</v>
      </c>
      <c r="G160" s="9">
        <f t="shared" si="13"/>
        <v>0</v>
      </c>
      <c r="H160" s="9">
        <f t="shared" si="13"/>
        <v>-26928.894992660156</v>
      </c>
      <c r="I160" s="9">
        <f t="shared" si="13"/>
        <v>-15387.939995805804</v>
      </c>
      <c r="J160" s="9">
        <f t="shared" si="13"/>
        <v>0</v>
      </c>
      <c r="K160" s="9">
        <f t="shared" si="13"/>
        <v>0</v>
      </c>
      <c r="L160" s="89" t="s">
        <v>179</v>
      </c>
    </row>
    <row r="161" spans="1:19" ht="19.95" customHeight="1" x14ac:dyDescent="0.3">
      <c r="B161" s="9">
        <f t="shared" ref="B161:K161" si="14">B34+B53+B72+B91+B110+B129+B148</f>
        <v>0</v>
      </c>
      <c r="C161" s="9">
        <f t="shared" si="14"/>
        <v>0</v>
      </c>
      <c r="D161" s="35">
        <f t="shared" si="14"/>
        <v>119125.56623715528</v>
      </c>
      <c r="E161" s="36">
        <f t="shared" si="14"/>
        <v>-26928.894992660156</v>
      </c>
      <c r="F161" s="9">
        <f t="shared" si="14"/>
        <v>-72000</v>
      </c>
      <c r="G161" s="9">
        <f t="shared" si="14"/>
        <v>0</v>
      </c>
      <c r="H161" s="9">
        <f t="shared" si="14"/>
        <v>-47125.566237155275</v>
      </c>
      <c r="I161" s="9">
        <f t="shared" si="14"/>
        <v>26928.894992660156</v>
      </c>
      <c r="J161" s="9">
        <f t="shared" si="14"/>
        <v>0</v>
      </c>
      <c r="K161" s="9">
        <f t="shared" si="14"/>
        <v>0</v>
      </c>
      <c r="L161" s="89" t="s">
        <v>180</v>
      </c>
    </row>
    <row r="162" spans="1:19" ht="19.95" customHeight="1" x14ac:dyDescent="0.3">
      <c r="B162" s="9">
        <f t="shared" ref="B162:K162" si="15">B35+B54+B73+B92+B111+B130+B149</f>
        <v>0</v>
      </c>
      <c r="C162" s="9">
        <f t="shared" si="15"/>
        <v>-63000</v>
      </c>
      <c r="D162" s="36">
        <f t="shared" si="15"/>
        <v>-26928.894992660156</v>
      </c>
      <c r="E162" s="35">
        <f t="shared" si="15"/>
        <v>78387.939995805806</v>
      </c>
      <c r="F162" s="9">
        <f t="shared" si="15"/>
        <v>0</v>
      </c>
      <c r="G162" s="9">
        <f t="shared" si="15"/>
        <v>0</v>
      </c>
      <c r="H162" s="9">
        <f t="shared" si="15"/>
        <v>26928.894992660156</v>
      </c>
      <c r="I162" s="9">
        <f t="shared" si="15"/>
        <v>-15387.939995805804</v>
      </c>
      <c r="J162" s="9">
        <f t="shared" si="15"/>
        <v>0</v>
      </c>
      <c r="K162" s="9">
        <f t="shared" si="15"/>
        <v>0</v>
      </c>
      <c r="L162" s="89" t="s">
        <v>181</v>
      </c>
    </row>
    <row r="163" spans="1:19" ht="19.95" customHeight="1" x14ac:dyDescent="0.3">
      <c r="A163" s="28" t="s">
        <v>205</v>
      </c>
      <c r="B163" s="9">
        <f t="shared" ref="B163:K163" si="16">B36+B55+B74+B93+B112+B131+B150</f>
        <v>0</v>
      </c>
      <c r="C163" s="9">
        <f t="shared" si="16"/>
        <v>0</v>
      </c>
      <c r="D163" s="9">
        <f t="shared" si="16"/>
        <v>-72000</v>
      </c>
      <c r="E163" s="9">
        <f t="shared" si="16"/>
        <v>0</v>
      </c>
      <c r="F163" s="35">
        <f t="shared" si="16"/>
        <v>72000</v>
      </c>
      <c r="G163" s="36">
        <f t="shared" si="16"/>
        <v>0</v>
      </c>
      <c r="H163" s="9">
        <f t="shared" si="16"/>
        <v>0</v>
      </c>
      <c r="I163" s="9">
        <f t="shared" si="16"/>
        <v>0</v>
      </c>
      <c r="J163" s="9">
        <f t="shared" si="16"/>
        <v>0</v>
      </c>
      <c r="K163" s="9">
        <f t="shared" si="16"/>
        <v>0</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0</v>
      </c>
      <c r="G164" s="35">
        <f t="shared" si="17"/>
        <v>126000</v>
      </c>
      <c r="H164" s="9">
        <f t="shared" si="17"/>
        <v>0</v>
      </c>
      <c r="I164" s="9">
        <f t="shared" si="17"/>
        <v>-126000</v>
      </c>
      <c r="J164" s="9">
        <f t="shared" si="17"/>
        <v>0</v>
      </c>
      <c r="K164" s="9">
        <f t="shared" si="17"/>
        <v>0</v>
      </c>
      <c r="L164" s="89" t="s">
        <v>183</v>
      </c>
    </row>
    <row r="165" spans="1:19" ht="19.95" customHeight="1" x14ac:dyDescent="0.3">
      <c r="B165" s="9">
        <f t="shared" ref="B165:K165" si="18">B38+B57+B76+B95+B114+B133+B152</f>
        <v>-47125.566237155275</v>
      </c>
      <c r="C165" s="9">
        <f t="shared" si="18"/>
        <v>-26928.894992660156</v>
      </c>
      <c r="D165" s="9">
        <f t="shared" si="18"/>
        <v>-47125.566237155275</v>
      </c>
      <c r="E165" s="9">
        <f t="shared" si="18"/>
        <v>26928.894992660156</v>
      </c>
      <c r="F165" s="9">
        <f t="shared" si="18"/>
        <v>0</v>
      </c>
      <c r="G165" s="9">
        <f t="shared" si="18"/>
        <v>0</v>
      </c>
      <c r="H165" s="35">
        <f t="shared" si="18"/>
        <v>94251.132474310551</v>
      </c>
      <c r="I165" s="36">
        <f t="shared" si="18"/>
        <v>0</v>
      </c>
      <c r="J165" s="9">
        <f t="shared" si="18"/>
        <v>0</v>
      </c>
      <c r="K165" s="9">
        <f t="shared" si="18"/>
        <v>0</v>
      </c>
      <c r="L165" s="89" t="s">
        <v>184</v>
      </c>
    </row>
    <row r="166" spans="1:19" ht="19.95" customHeight="1" x14ac:dyDescent="0.3">
      <c r="B166" s="9">
        <f t="shared" ref="B166:K166" si="19">B39+B58+B77+B96+B115+B134+B153</f>
        <v>-26928.894992660156</v>
      </c>
      <c r="C166" s="9">
        <f t="shared" si="19"/>
        <v>-15387.939995805804</v>
      </c>
      <c r="D166" s="9">
        <f t="shared" si="19"/>
        <v>26928.894992660156</v>
      </c>
      <c r="E166" s="9">
        <f t="shared" si="19"/>
        <v>-15387.939995805804</v>
      </c>
      <c r="F166" s="9">
        <f t="shared" si="19"/>
        <v>0</v>
      </c>
      <c r="G166" s="9">
        <f t="shared" si="19"/>
        <v>-126000</v>
      </c>
      <c r="H166" s="36">
        <f t="shared" si="19"/>
        <v>0</v>
      </c>
      <c r="I166" s="35">
        <f t="shared" si="19"/>
        <v>282775.87999161158</v>
      </c>
      <c r="J166" s="9">
        <f t="shared" si="19"/>
        <v>0</v>
      </c>
      <c r="K166" s="9">
        <f t="shared" si="19"/>
        <v>-126000</v>
      </c>
      <c r="L166" s="89" t="s">
        <v>185</v>
      </c>
    </row>
    <row r="167" spans="1:19" ht="19.95" customHeight="1" x14ac:dyDescent="0.3">
      <c r="B167" s="9">
        <f t="shared" ref="B167:K167" si="20">B40+B59+B78+B97+B116+B135+B154</f>
        <v>-72000</v>
      </c>
      <c r="C167" s="9">
        <f t="shared" si="20"/>
        <v>0</v>
      </c>
      <c r="D167" s="9">
        <f t="shared" si="20"/>
        <v>0</v>
      </c>
      <c r="E167" s="9">
        <f t="shared" si="20"/>
        <v>0</v>
      </c>
      <c r="F167" s="9">
        <f t="shared" si="20"/>
        <v>0</v>
      </c>
      <c r="G167" s="9">
        <f t="shared" si="20"/>
        <v>0</v>
      </c>
      <c r="H167" s="9">
        <f t="shared" si="20"/>
        <v>0</v>
      </c>
      <c r="I167" s="9">
        <f t="shared" si="20"/>
        <v>0</v>
      </c>
      <c r="J167" s="35">
        <f t="shared" si="20"/>
        <v>72000</v>
      </c>
      <c r="K167" s="36">
        <f t="shared" si="20"/>
        <v>0</v>
      </c>
      <c r="L167" s="89" t="s">
        <v>186</v>
      </c>
    </row>
    <row r="168" spans="1:19" ht="19.95" customHeight="1" x14ac:dyDescent="0.3">
      <c r="B168" s="9">
        <f t="shared" ref="B168:K168" si="21">B41+B60+B79+B98+B117+B136+B155</f>
        <v>0</v>
      </c>
      <c r="C168" s="9">
        <f t="shared" si="21"/>
        <v>0</v>
      </c>
      <c r="D168" s="9">
        <f t="shared" si="21"/>
        <v>0</v>
      </c>
      <c r="E168" s="9">
        <f t="shared" si="21"/>
        <v>0</v>
      </c>
      <c r="F168" s="9">
        <f t="shared" si="21"/>
        <v>0</v>
      </c>
      <c r="G168" s="9">
        <f t="shared" si="21"/>
        <v>0</v>
      </c>
      <c r="H168" s="9">
        <f t="shared" si="21"/>
        <v>0</v>
      </c>
      <c r="I168" s="9">
        <f t="shared" si="21"/>
        <v>-126000</v>
      </c>
      <c r="J168" s="36">
        <f t="shared" si="21"/>
        <v>0</v>
      </c>
      <c r="K168" s="35">
        <f t="shared" si="21"/>
        <v>126000</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IF(GRAFICA_24!F14=1, B172, GRAFICA_24!H14)</f>
        <v>C1X</v>
      </c>
      <c r="N172" s="215" t="s">
        <v>376</v>
      </c>
      <c r="O172" s="172"/>
      <c r="P172" s="172"/>
      <c r="Q172" s="172"/>
      <c r="R172" s="172"/>
      <c r="S172" s="173"/>
    </row>
    <row r="173" spans="1:19" ht="16.95" customHeight="1" x14ac:dyDescent="0.3">
      <c r="B173" s="12" t="s">
        <v>210</v>
      </c>
      <c r="C173" s="12" t="s">
        <v>179</v>
      </c>
      <c r="E173" s="37" t="str">
        <f>IF(GRAFICA_24!G14=1, B173, GRAFICA_24!I14)</f>
        <v>C1Y</v>
      </c>
      <c r="N173" s="215" t="s">
        <v>211</v>
      </c>
      <c r="O173" s="172"/>
      <c r="P173" s="172"/>
      <c r="Q173" s="172"/>
      <c r="R173" s="172"/>
      <c r="S173" s="173"/>
    </row>
    <row r="174" spans="1:19" ht="16.95" customHeight="1" x14ac:dyDescent="0.3">
      <c r="B174" s="12" t="s">
        <v>212</v>
      </c>
      <c r="C174" s="12" t="s">
        <v>180</v>
      </c>
      <c r="E174" s="37" t="str">
        <f>IF(GRAFICA_24!F15=1, B174, GRAFICA_24!H15)</f>
        <v>C2X</v>
      </c>
      <c r="N174" s="215" t="s">
        <v>377</v>
      </c>
      <c r="O174" s="172"/>
      <c r="P174" s="172"/>
      <c r="Q174" s="172"/>
      <c r="R174" s="172"/>
      <c r="S174" s="173"/>
    </row>
    <row r="175" spans="1:19" ht="16.95" customHeight="1" x14ac:dyDescent="0.3">
      <c r="B175" s="12" t="s">
        <v>214</v>
      </c>
      <c r="C175" s="12" t="s">
        <v>181</v>
      </c>
      <c r="E175" s="37">
        <f>IF(GRAFICA_24!G15=1, B175, GRAFICA_24!I15)</f>
        <v>0</v>
      </c>
      <c r="N175" s="215" t="s">
        <v>215</v>
      </c>
      <c r="O175" s="172"/>
      <c r="P175" s="172"/>
      <c r="Q175" s="172"/>
      <c r="R175" s="172"/>
      <c r="S175" s="173"/>
    </row>
    <row r="176" spans="1:19" ht="16.95" customHeight="1" x14ac:dyDescent="0.3">
      <c r="A176" s="38" t="s">
        <v>218</v>
      </c>
      <c r="B176" s="12" t="s">
        <v>216</v>
      </c>
      <c r="C176" s="12" t="s">
        <v>182</v>
      </c>
      <c r="D176" s="13" t="s">
        <v>220</v>
      </c>
      <c r="E176" s="37">
        <f>IF(GRAFICA_24!F16=1, B176, GRAFICA_24!H16)</f>
        <v>0</v>
      </c>
      <c r="N176" s="215" t="s">
        <v>378</v>
      </c>
      <c r="O176" s="172"/>
      <c r="P176" s="172"/>
      <c r="Q176" s="172"/>
      <c r="R176" s="172"/>
      <c r="S176" s="173"/>
    </row>
    <row r="177" spans="1:19" ht="16.95" customHeight="1" x14ac:dyDescent="0.3">
      <c r="B177" s="12" t="s">
        <v>219</v>
      </c>
      <c r="C177" s="12" t="s">
        <v>183</v>
      </c>
      <c r="E177" s="37">
        <f>IF(GRAFICA_24!G16=1, B177, GRAFICA_24!I16)</f>
        <v>-4500</v>
      </c>
      <c r="N177" s="215" t="s">
        <v>379</v>
      </c>
      <c r="O177" s="172"/>
      <c r="P177" s="172"/>
      <c r="Q177" s="172"/>
      <c r="R177" s="172"/>
      <c r="S177" s="173"/>
    </row>
    <row r="178" spans="1:19" ht="16.95" customHeight="1" x14ac:dyDescent="0.3">
      <c r="B178" s="12" t="s">
        <v>221</v>
      </c>
      <c r="C178" s="12" t="s">
        <v>184</v>
      </c>
      <c r="E178" s="37">
        <f>IF(GRAFICA_24!F17=1, B178, GRAFICA_24!H17)</f>
        <v>1500</v>
      </c>
      <c r="N178" s="215"/>
      <c r="O178" s="172"/>
      <c r="P178" s="172"/>
      <c r="Q178" s="172"/>
      <c r="R178" s="172"/>
      <c r="S178" s="173"/>
    </row>
    <row r="179" spans="1:19" ht="16.95" customHeight="1" x14ac:dyDescent="0.3">
      <c r="B179" s="12" t="s">
        <v>222</v>
      </c>
      <c r="C179" s="12" t="s">
        <v>185</v>
      </c>
      <c r="E179" s="37">
        <f>IF(GRAFICA_24!G17=1, B179, GRAFICA_24!I17)</f>
        <v>-5000</v>
      </c>
      <c r="N179" s="215"/>
      <c r="O179" s="172"/>
      <c r="P179" s="172"/>
      <c r="Q179" s="172"/>
      <c r="R179" s="172"/>
      <c r="S179" s="173"/>
    </row>
    <row r="180" spans="1:19" ht="16.95" customHeight="1" x14ac:dyDescent="0.3">
      <c r="B180" s="12" t="s">
        <v>223</v>
      </c>
      <c r="C180" s="12" t="s">
        <v>186</v>
      </c>
      <c r="E180" s="37">
        <f>IF(GRAFICA_24!F18=1, B180, GRAFICA_24!H18)</f>
        <v>0</v>
      </c>
      <c r="N180" s="215"/>
      <c r="O180" s="172"/>
      <c r="P180" s="172"/>
      <c r="Q180" s="172"/>
      <c r="R180" s="172"/>
      <c r="S180" s="173"/>
    </row>
    <row r="181" spans="1:19" ht="16.95" customHeight="1" x14ac:dyDescent="0.3">
      <c r="B181" s="12" t="s">
        <v>224</v>
      </c>
      <c r="C181" s="12" t="s">
        <v>187</v>
      </c>
      <c r="E181" s="37">
        <f>IF(GRAFICA_24!G18=1, B181, GRAFICA_24!I18)</f>
        <v>-3500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IF(GRAFICA_24!F14=1,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IF(GRAFICA_24!G14=1,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f>IF(GRAFICA_24!F15=1, 0, B186)</f>
        <v>0</v>
      </c>
      <c r="F186" s="14" t="str">
        <f>IF(E186&lt;&gt;0, COUNTIF(E$184:E186, "&lt;&gt;0"), "")</f>
        <v/>
      </c>
      <c r="G186" s="14">
        <f>IF(E186=0, COUNTIF(E$184:E186, 0), "")</f>
        <v>3</v>
      </c>
      <c r="N186" s="215"/>
      <c r="O186" s="172"/>
      <c r="P186" s="172"/>
      <c r="Q186" s="172"/>
      <c r="R186" s="172"/>
      <c r="S186" s="173"/>
    </row>
    <row r="187" spans="1:19" ht="16.95" customHeight="1" x14ac:dyDescent="0.3">
      <c r="B187" s="12" t="s">
        <v>231</v>
      </c>
      <c r="C187" s="12" t="s">
        <v>181</v>
      </c>
      <c r="E187" s="39" t="str">
        <f>IF(GRAFICA_24!G15=1, 0, B187)</f>
        <v>D2Y</v>
      </c>
      <c r="F187" s="14">
        <f>IF(E187&lt;&gt;0, COUNTIF(E$184:E187, "&lt;&gt;0"), "")</f>
        <v>1</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IF(GRAFICA_24!F16=1, 0, B188)</f>
        <v>D3X</v>
      </c>
      <c r="F188" s="14">
        <f>IF(E188&lt;&gt;0, COUNTIF(E$184:E188, "&lt;&gt;0"), "")</f>
        <v>2</v>
      </c>
      <c r="G188" s="14" t="str">
        <f>IF(E188=0, COUNTIF(E$184:E188, 0), "")</f>
        <v/>
      </c>
      <c r="N188" s="215"/>
      <c r="O188" s="172"/>
      <c r="P188" s="172"/>
      <c r="Q188" s="172"/>
      <c r="R188" s="172"/>
      <c r="S188" s="173"/>
    </row>
    <row r="189" spans="1:19" ht="16.95" customHeight="1" x14ac:dyDescent="0.3">
      <c r="B189" s="12" t="s">
        <v>234</v>
      </c>
      <c r="C189" s="12" t="s">
        <v>183</v>
      </c>
      <c r="E189" s="39" t="str">
        <f>IF(GRAFICA_24!G16=1, 0, B189)</f>
        <v>D3Y</v>
      </c>
      <c r="F189" s="14">
        <f>IF(E189&lt;&gt;0, COUNTIF(E$184:E189, "&lt;&gt;0"), "")</f>
        <v>3</v>
      </c>
      <c r="G189" s="14" t="str">
        <f>IF(E189=0, COUNTIF(E$184:E189, 0), "")</f>
        <v/>
      </c>
      <c r="N189" s="215"/>
      <c r="O189" s="172"/>
      <c r="P189" s="172"/>
      <c r="Q189" s="172"/>
      <c r="R189" s="172"/>
      <c r="S189" s="173"/>
    </row>
    <row r="190" spans="1:19" ht="16.95" customHeight="1" x14ac:dyDescent="0.3">
      <c r="B190" s="12" t="s">
        <v>235</v>
      </c>
      <c r="C190" s="12" t="s">
        <v>184</v>
      </c>
      <c r="E190" s="39" t="str">
        <f>IF(GRAFICA_24!F17=1,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IF(GRAFICA_24!G17=1,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IF(GRAFICA_24!F18=1,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IF(GRAFICA_24!G18=1,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119125.56623715528</v>
      </c>
      <c r="D198" s="9">
        <f t="shared" si="23"/>
        <v>26928.894992660156</v>
      </c>
      <c r="E198" s="9">
        <f t="shared" si="23"/>
        <v>0</v>
      </c>
      <c r="F198" s="9">
        <f t="shared" si="23"/>
        <v>0</v>
      </c>
      <c r="G198" s="9">
        <f t="shared" si="23"/>
        <v>0</v>
      </c>
      <c r="H198" s="9">
        <f t="shared" si="23"/>
        <v>0</v>
      </c>
      <c r="I198" s="9">
        <f t="shared" si="23"/>
        <v>-47125.566237155275</v>
      </c>
      <c r="J198" s="9">
        <f t="shared" si="23"/>
        <v>-26928.894992660156</v>
      </c>
      <c r="K198" s="9">
        <f t="shared" si="23"/>
        <v>-72000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26928.894992660156</v>
      </c>
      <c r="D199" s="9">
        <f t="shared" si="24"/>
        <v>78387.939995805806</v>
      </c>
      <c r="E199" s="9">
        <f t="shared" si="24"/>
        <v>0</v>
      </c>
      <c r="F199" s="9">
        <f t="shared" si="24"/>
        <v>-63000</v>
      </c>
      <c r="G199" s="9">
        <f t="shared" si="24"/>
        <v>0</v>
      </c>
      <c r="H199" s="9">
        <f t="shared" si="24"/>
        <v>0</v>
      </c>
      <c r="I199" s="9">
        <f t="shared" si="24"/>
        <v>-26928.894992660156</v>
      </c>
      <c r="J199" s="9">
        <f t="shared" si="24"/>
        <v>-15387.939995805804</v>
      </c>
      <c r="K199" s="9">
        <f t="shared" si="24"/>
        <v>0</v>
      </c>
      <c r="L199" s="9">
        <f t="shared" si="24"/>
        <v>0</v>
      </c>
      <c r="M199" s="13" t="s">
        <v>251</v>
      </c>
      <c r="N199" s="219" t="s">
        <v>253</v>
      </c>
      <c r="O199" s="172"/>
      <c r="P199" s="172"/>
      <c r="Q199" s="172"/>
      <c r="R199" s="172"/>
      <c r="S199" s="173"/>
    </row>
    <row r="200" spans="1:19" ht="16.95" customHeight="1" x14ac:dyDescent="0.3">
      <c r="A200" s="12" t="str">
        <f t="shared" si="22"/>
        <v>C2X</v>
      </c>
      <c r="C200" s="9">
        <f t="shared" ref="C200:L200" si="25">B161</f>
        <v>0</v>
      </c>
      <c r="D200" s="9">
        <f t="shared" si="25"/>
        <v>0</v>
      </c>
      <c r="E200" s="9">
        <f t="shared" si="25"/>
        <v>119125.56623715528</v>
      </c>
      <c r="F200" s="9">
        <f t="shared" si="25"/>
        <v>-26928.894992660156</v>
      </c>
      <c r="G200" s="9">
        <f t="shared" si="25"/>
        <v>-72000</v>
      </c>
      <c r="H200" s="9">
        <f t="shared" si="25"/>
        <v>0</v>
      </c>
      <c r="I200" s="9">
        <f t="shared" si="25"/>
        <v>-47125.566237155275</v>
      </c>
      <c r="J200" s="9">
        <f t="shared" si="25"/>
        <v>26928.894992660156</v>
      </c>
      <c r="K200" s="9">
        <f t="shared" si="25"/>
        <v>0</v>
      </c>
      <c r="L200" s="9">
        <f t="shared" si="25"/>
        <v>0</v>
      </c>
      <c r="M200" s="13" t="s">
        <v>251</v>
      </c>
      <c r="N200" s="219" t="s">
        <v>254</v>
      </c>
      <c r="O200" s="172"/>
      <c r="P200" s="172"/>
      <c r="Q200" s="172"/>
      <c r="R200" s="172"/>
      <c r="S200" s="173"/>
    </row>
    <row r="201" spans="1:19" ht="16.95" customHeight="1" x14ac:dyDescent="0.3">
      <c r="A201" s="41">
        <f t="shared" si="22"/>
        <v>0</v>
      </c>
      <c r="C201" s="9">
        <f t="shared" ref="C201:L201" si="26">B162</f>
        <v>0</v>
      </c>
      <c r="D201" s="9">
        <f t="shared" si="26"/>
        <v>-63000</v>
      </c>
      <c r="E201" s="9">
        <f t="shared" si="26"/>
        <v>-26928.894992660156</v>
      </c>
      <c r="F201" s="41">
        <f t="shared" si="26"/>
        <v>78387.939995805806</v>
      </c>
      <c r="G201" s="41">
        <f t="shared" si="26"/>
        <v>0</v>
      </c>
      <c r="H201" s="41">
        <f t="shared" si="26"/>
        <v>0</v>
      </c>
      <c r="I201" s="41">
        <f t="shared" si="26"/>
        <v>26928.894992660156</v>
      </c>
      <c r="J201" s="41">
        <f t="shared" si="26"/>
        <v>-15387.939995805804</v>
      </c>
      <c r="K201" s="41">
        <f t="shared" si="26"/>
        <v>0</v>
      </c>
      <c r="L201" s="41">
        <f t="shared" si="26"/>
        <v>0</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9">
        <f t="shared" si="27"/>
        <v>-72000</v>
      </c>
      <c r="F202" s="41">
        <f t="shared" si="27"/>
        <v>0</v>
      </c>
      <c r="G202" s="41">
        <f t="shared" si="27"/>
        <v>72000</v>
      </c>
      <c r="H202" s="41">
        <f t="shared" si="27"/>
        <v>0</v>
      </c>
      <c r="I202" s="41">
        <f t="shared" si="27"/>
        <v>0</v>
      </c>
      <c r="J202" s="41">
        <f t="shared" si="27"/>
        <v>0</v>
      </c>
      <c r="K202" s="41">
        <f t="shared" si="27"/>
        <v>0</v>
      </c>
      <c r="L202" s="41">
        <f t="shared" si="27"/>
        <v>0</v>
      </c>
      <c r="M202" s="13" t="s">
        <v>251</v>
      </c>
      <c r="N202" s="215" t="s">
        <v>382</v>
      </c>
      <c r="O202" s="172"/>
      <c r="P202" s="172"/>
      <c r="Q202" s="172"/>
      <c r="R202" s="172"/>
      <c r="S202" s="173"/>
    </row>
    <row r="203" spans="1:19" ht="16.95" customHeight="1" x14ac:dyDescent="0.3">
      <c r="A203" s="41">
        <f t="shared" si="22"/>
        <v>-4500</v>
      </c>
      <c r="B203" s="13" t="s">
        <v>220</v>
      </c>
      <c r="C203" s="9">
        <f t="shared" ref="C203:L203" si="28">B164</f>
        <v>0</v>
      </c>
      <c r="D203" s="9">
        <f t="shared" si="28"/>
        <v>0</v>
      </c>
      <c r="E203" s="9">
        <f t="shared" si="28"/>
        <v>0</v>
      </c>
      <c r="F203" s="41">
        <f t="shared" si="28"/>
        <v>0</v>
      </c>
      <c r="G203" s="41">
        <f t="shared" si="28"/>
        <v>0</v>
      </c>
      <c r="H203" s="41">
        <f t="shared" si="28"/>
        <v>126000</v>
      </c>
      <c r="I203" s="41">
        <f t="shared" si="28"/>
        <v>0</v>
      </c>
      <c r="J203" s="41">
        <f t="shared" si="28"/>
        <v>-126000</v>
      </c>
      <c r="K203" s="41">
        <f t="shared" si="28"/>
        <v>0</v>
      </c>
      <c r="L203" s="41">
        <f t="shared" si="28"/>
        <v>0</v>
      </c>
      <c r="M203" s="13" t="s">
        <v>251</v>
      </c>
      <c r="N203" s="215" t="str">
        <f>E189</f>
        <v>D3Y</v>
      </c>
      <c r="O203" s="172"/>
      <c r="P203" s="172"/>
      <c r="Q203" s="172"/>
      <c r="R203" s="172"/>
      <c r="S203" s="173"/>
    </row>
    <row r="204" spans="1:19" ht="16.95" customHeight="1" x14ac:dyDescent="0.3">
      <c r="A204" s="41">
        <f t="shared" si="22"/>
        <v>1500</v>
      </c>
      <c r="C204" s="9">
        <f t="shared" ref="C204:L204" si="29">B165</f>
        <v>-47125.566237155275</v>
      </c>
      <c r="D204" s="9">
        <f t="shared" si="29"/>
        <v>-26928.894992660156</v>
      </c>
      <c r="E204" s="9">
        <f t="shared" si="29"/>
        <v>-47125.566237155275</v>
      </c>
      <c r="F204" s="41">
        <f t="shared" si="29"/>
        <v>26928.894992660156</v>
      </c>
      <c r="G204" s="41">
        <f t="shared" si="29"/>
        <v>0</v>
      </c>
      <c r="H204" s="41">
        <f t="shared" si="29"/>
        <v>0</v>
      </c>
      <c r="I204" s="41">
        <f t="shared" si="29"/>
        <v>94251.132474310551</v>
      </c>
      <c r="J204" s="41">
        <f t="shared" si="29"/>
        <v>0</v>
      </c>
      <c r="K204" s="41">
        <f t="shared" si="29"/>
        <v>0</v>
      </c>
      <c r="L204" s="41">
        <f t="shared" si="29"/>
        <v>0</v>
      </c>
      <c r="M204" s="13" t="s">
        <v>251</v>
      </c>
      <c r="N204" s="215" t="str">
        <f>E190</f>
        <v>D4X</v>
      </c>
      <c r="O204" s="172"/>
      <c r="P204" s="172"/>
      <c r="Q204" s="172"/>
      <c r="R204" s="172"/>
      <c r="S204" s="173"/>
    </row>
    <row r="205" spans="1:19" ht="16.95" customHeight="1" x14ac:dyDescent="0.3">
      <c r="A205" s="41">
        <f t="shared" si="22"/>
        <v>-5000</v>
      </c>
      <c r="C205" s="9">
        <f t="shared" ref="C205:L205" si="30">B166</f>
        <v>-26928.894992660156</v>
      </c>
      <c r="D205" s="9">
        <f t="shared" si="30"/>
        <v>-15387.939995805804</v>
      </c>
      <c r="E205" s="9">
        <f t="shared" si="30"/>
        <v>26928.894992660156</v>
      </c>
      <c r="F205" s="41">
        <f t="shared" si="30"/>
        <v>-15387.939995805804</v>
      </c>
      <c r="G205" s="41">
        <f t="shared" si="30"/>
        <v>0</v>
      </c>
      <c r="H205" s="41">
        <f t="shared" si="30"/>
        <v>-126000</v>
      </c>
      <c r="I205" s="41">
        <f t="shared" si="30"/>
        <v>0</v>
      </c>
      <c r="J205" s="41">
        <f t="shared" si="30"/>
        <v>282775.87999161158</v>
      </c>
      <c r="K205" s="41">
        <f t="shared" si="30"/>
        <v>0</v>
      </c>
      <c r="L205" s="41">
        <f t="shared" si="30"/>
        <v>-126000</v>
      </c>
      <c r="M205" s="13" t="s">
        <v>251</v>
      </c>
      <c r="N205" s="215" t="str">
        <f>E191</f>
        <v>D4Y</v>
      </c>
      <c r="O205" s="172"/>
      <c r="P205" s="172"/>
      <c r="Q205" s="172"/>
      <c r="R205" s="172"/>
      <c r="S205" s="173"/>
    </row>
    <row r="206" spans="1:19" ht="16.95" customHeight="1" x14ac:dyDescent="0.3">
      <c r="A206" s="41">
        <f t="shared" si="22"/>
        <v>0</v>
      </c>
      <c r="C206" s="9">
        <f t="shared" ref="C206:L206" si="31">B167</f>
        <v>-72000</v>
      </c>
      <c r="D206" s="9">
        <f t="shared" si="31"/>
        <v>0</v>
      </c>
      <c r="E206" s="9">
        <f t="shared" si="31"/>
        <v>0</v>
      </c>
      <c r="F206" s="41">
        <f t="shared" si="31"/>
        <v>0</v>
      </c>
      <c r="G206" s="41">
        <f t="shared" si="31"/>
        <v>0</v>
      </c>
      <c r="H206" s="41">
        <f t="shared" si="31"/>
        <v>0</v>
      </c>
      <c r="I206" s="41">
        <f t="shared" si="31"/>
        <v>0</v>
      </c>
      <c r="J206" s="41">
        <f t="shared" si="31"/>
        <v>0</v>
      </c>
      <c r="K206" s="41">
        <f t="shared" si="31"/>
        <v>72000</v>
      </c>
      <c r="L206" s="41">
        <f t="shared" si="31"/>
        <v>0</v>
      </c>
      <c r="M206" s="13" t="s">
        <v>251</v>
      </c>
      <c r="N206" s="215" t="str">
        <f>E192</f>
        <v>D5X</v>
      </c>
      <c r="O206" s="172"/>
      <c r="P206" s="172"/>
      <c r="Q206" s="172"/>
      <c r="R206" s="172"/>
      <c r="S206" s="173"/>
    </row>
    <row r="207" spans="1:19" ht="16.95" customHeight="1" x14ac:dyDescent="0.3">
      <c r="A207" s="41">
        <f t="shared" si="22"/>
        <v>-3500</v>
      </c>
      <c r="C207" s="9">
        <f t="shared" ref="C207:L207" si="32">B168</f>
        <v>0</v>
      </c>
      <c r="D207" s="9">
        <f t="shared" si="32"/>
        <v>0</v>
      </c>
      <c r="E207" s="9">
        <f t="shared" si="32"/>
        <v>0</v>
      </c>
      <c r="F207" s="41">
        <f t="shared" si="32"/>
        <v>0</v>
      </c>
      <c r="G207" s="41">
        <f t="shared" si="32"/>
        <v>0</v>
      </c>
      <c r="H207" s="41">
        <f t="shared" si="32"/>
        <v>0</v>
      </c>
      <c r="I207" s="41">
        <f t="shared" si="32"/>
        <v>0</v>
      </c>
      <c r="J207" s="41">
        <f t="shared" si="32"/>
        <v>-126000</v>
      </c>
      <c r="K207" s="41">
        <f t="shared" si="32"/>
        <v>0</v>
      </c>
      <c r="L207" s="41">
        <f t="shared" si="32"/>
        <v>126000</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U2Y</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78387.939995805806</v>
      </c>
      <c r="D212" s="41">
        <f t="shared" si="34"/>
        <v>0</v>
      </c>
      <c r="E212" s="41">
        <f t="shared" si="34"/>
        <v>0</v>
      </c>
      <c r="F212" s="41">
        <f t="shared" si="34"/>
        <v>26928.894992660156</v>
      </c>
      <c r="G212" s="41">
        <f t="shared" si="34"/>
        <v>-15387.939995805804</v>
      </c>
      <c r="H212" s="41">
        <f t="shared" si="34"/>
        <v>0</v>
      </c>
      <c r="I212" s="41">
        <f t="shared" si="34"/>
        <v>0</v>
      </c>
      <c r="J212" s="13" t="s">
        <v>251</v>
      </c>
      <c r="K212" s="38" t="str">
        <f>INDEX(B$184:B$193, MATCH(1, F$184:F$193, 0))</f>
        <v>D2Y</v>
      </c>
      <c r="L212" s="14" t="str">
        <f>INDEX(C$184:C$193, MATCH(1, F$184:F$193, 0))</f>
        <v>U2Y</v>
      </c>
      <c r="N212" s="215" t="s">
        <v>384</v>
      </c>
      <c r="O212" s="172"/>
      <c r="P212" s="172"/>
      <c r="Q212" s="172"/>
      <c r="R212" s="172"/>
      <c r="S212" s="173"/>
    </row>
    <row r="213" spans="1:19" ht="16.95" customHeight="1" x14ac:dyDescent="0.3">
      <c r="A213" s="41">
        <f t="shared" si="33"/>
        <v>0</v>
      </c>
      <c r="C213" s="41">
        <f t="shared" si="34"/>
        <v>0</v>
      </c>
      <c r="D213" s="41">
        <f t="shared" si="34"/>
        <v>72000</v>
      </c>
      <c r="E213" s="41">
        <f t="shared" si="34"/>
        <v>0</v>
      </c>
      <c r="F213" s="41">
        <f t="shared" si="34"/>
        <v>0</v>
      </c>
      <c r="G213" s="41">
        <f t="shared" si="34"/>
        <v>0</v>
      </c>
      <c r="H213" s="41">
        <f t="shared" si="34"/>
        <v>0</v>
      </c>
      <c r="I213" s="41">
        <f t="shared" si="34"/>
        <v>0</v>
      </c>
      <c r="J213" s="13" t="s">
        <v>251</v>
      </c>
      <c r="K213" s="38" t="str">
        <f>INDEX(B$184:B$193, MATCH(2, F$184:F$193, 0))</f>
        <v>D3X</v>
      </c>
      <c r="L213" s="14" t="str">
        <f>INDEX(C$184:C$193, MATCH(2, F$184:F$193, 0))</f>
        <v>U3X</v>
      </c>
      <c r="N213" s="215" t="s">
        <v>385</v>
      </c>
      <c r="O213" s="172"/>
      <c r="P213" s="172"/>
      <c r="Q213" s="172"/>
      <c r="R213" s="172"/>
      <c r="S213" s="173"/>
    </row>
    <row r="214" spans="1:19" ht="16.95" customHeight="1" x14ac:dyDescent="0.3">
      <c r="A214" s="41">
        <f t="shared" si="33"/>
        <v>-4500</v>
      </c>
      <c r="C214" s="41">
        <f t="shared" si="34"/>
        <v>0</v>
      </c>
      <c r="D214" s="41">
        <f t="shared" si="34"/>
        <v>0</v>
      </c>
      <c r="E214" s="41">
        <f t="shared" si="34"/>
        <v>126000</v>
      </c>
      <c r="F214" s="41">
        <f t="shared" si="34"/>
        <v>0</v>
      </c>
      <c r="G214" s="41">
        <f t="shared" si="34"/>
        <v>-126000</v>
      </c>
      <c r="H214" s="41">
        <f t="shared" si="34"/>
        <v>0</v>
      </c>
      <c r="I214" s="41">
        <f t="shared" si="34"/>
        <v>0</v>
      </c>
      <c r="J214" s="13" t="s">
        <v>251</v>
      </c>
      <c r="K214" s="38" t="str">
        <f>INDEX(B$184:B$193, MATCH(3, F$184:F$193, 0))</f>
        <v>D3Y</v>
      </c>
      <c r="L214" s="14" t="str">
        <f>INDEX(C$184:C$193, MATCH(3, F$184:F$193, 0))</f>
        <v>U3Y</v>
      </c>
      <c r="N214" s="215" t="s">
        <v>386</v>
      </c>
      <c r="O214" s="172"/>
      <c r="P214" s="172"/>
      <c r="Q214" s="172"/>
      <c r="R214" s="172"/>
      <c r="S214" s="173"/>
    </row>
    <row r="215" spans="1:19" ht="16.95" customHeight="1" x14ac:dyDescent="0.3">
      <c r="A215" s="41">
        <f t="shared" si="33"/>
        <v>1500</v>
      </c>
      <c r="B215" s="13" t="s">
        <v>220</v>
      </c>
      <c r="C215" s="41">
        <f t="shared" si="34"/>
        <v>26928.894992660156</v>
      </c>
      <c r="D215" s="41">
        <f t="shared" si="34"/>
        <v>0</v>
      </c>
      <c r="E215" s="41">
        <f t="shared" si="34"/>
        <v>0</v>
      </c>
      <c r="F215" s="41">
        <f t="shared" si="34"/>
        <v>94251.132474310551</v>
      </c>
      <c r="G215" s="41">
        <f t="shared" si="34"/>
        <v>0</v>
      </c>
      <c r="H215" s="41">
        <f t="shared" si="34"/>
        <v>0</v>
      </c>
      <c r="I215" s="41">
        <f t="shared" si="34"/>
        <v>0</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-5000</v>
      </c>
      <c r="C216" s="41">
        <f t="shared" si="34"/>
        <v>-15387.939995805804</v>
      </c>
      <c r="D216" s="41">
        <f t="shared" si="34"/>
        <v>0</v>
      </c>
      <c r="E216" s="41">
        <f t="shared" si="34"/>
        <v>-126000</v>
      </c>
      <c r="F216" s="41">
        <f t="shared" si="34"/>
        <v>0</v>
      </c>
      <c r="G216" s="41">
        <f t="shared" si="34"/>
        <v>282775.87999161158</v>
      </c>
      <c r="H216" s="41">
        <f t="shared" si="34"/>
        <v>0</v>
      </c>
      <c r="I216" s="41">
        <f t="shared" si="34"/>
        <v>-126000</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0</v>
      </c>
      <c r="C217" s="41">
        <f t="shared" si="34"/>
        <v>0</v>
      </c>
      <c r="D217" s="41">
        <f t="shared" si="34"/>
        <v>0</v>
      </c>
      <c r="E217" s="41">
        <f t="shared" si="34"/>
        <v>0</v>
      </c>
      <c r="F217" s="41">
        <f t="shared" si="34"/>
        <v>0</v>
      </c>
      <c r="G217" s="41">
        <f t="shared" si="34"/>
        <v>0</v>
      </c>
      <c r="H217" s="41">
        <f t="shared" si="34"/>
        <v>72000</v>
      </c>
      <c r="I217" s="41">
        <f t="shared" si="34"/>
        <v>0</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-3500</v>
      </c>
      <c r="C218" s="41">
        <f t="shared" si="34"/>
        <v>0</v>
      </c>
      <c r="D218" s="41">
        <f t="shared" si="34"/>
        <v>0</v>
      </c>
      <c r="E218" s="41">
        <f t="shared" si="34"/>
        <v>0</v>
      </c>
      <c r="F218" s="41">
        <f t="shared" si="34"/>
        <v>0</v>
      </c>
      <c r="G218" s="41">
        <f t="shared" si="34"/>
        <v>-126000</v>
      </c>
      <c r="H218" s="41">
        <f t="shared" si="34"/>
        <v>0</v>
      </c>
      <c r="I218" s="41">
        <f t="shared" si="34"/>
        <v>126000</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D2Y</v>
      </c>
      <c r="C222" s="93">
        <f t="array" ref="C222:I228">MINVERSE(C212:I218)</f>
        <v>1.5873015873015869E-5</v>
      </c>
      <c r="D222" s="93">
        <v>0</v>
      </c>
      <c r="E222" s="93">
        <v>7.9365079365079345E-6</v>
      </c>
      <c r="F222" s="93">
        <v>-4.5351473922902485E-6</v>
      </c>
      <c r="G222" s="93">
        <v>7.9365079365079345E-6</v>
      </c>
      <c r="H222" s="93">
        <v>0</v>
      </c>
      <c r="I222" s="93">
        <v>7.9365079365079328E-6</v>
      </c>
      <c r="K222" s="17">
        <f t="shared" ref="K222:K228" si="36">A212</f>
        <v>0</v>
      </c>
      <c r="N222" s="215"/>
      <c r="O222" s="172"/>
      <c r="P222" s="172"/>
      <c r="Q222" s="172"/>
      <c r="R222" s="172"/>
      <c r="S222" s="173"/>
    </row>
    <row r="223" spans="1:19" ht="16.95" customHeight="1" x14ac:dyDescent="0.3">
      <c r="A223" s="12" t="str">
        <f t="shared" si="35"/>
        <v>D3X</v>
      </c>
      <c r="C223" s="93">
        <v>0</v>
      </c>
      <c r="D223" s="93">
        <v>1.388888888888889E-5</v>
      </c>
      <c r="E223" s="93">
        <v>0</v>
      </c>
      <c r="F223" s="93">
        <v>0</v>
      </c>
      <c r="G223" s="93">
        <v>0</v>
      </c>
      <c r="H223" s="93">
        <v>0</v>
      </c>
      <c r="I223" s="93">
        <v>0</v>
      </c>
      <c r="K223" s="17">
        <f t="shared" si="36"/>
        <v>0</v>
      </c>
      <c r="N223" s="215"/>
      <c r="O223" s="172"/>
      <c r="P223" s="172"/>
      <c r="Q223" s="172"/>
      <c r="R223" s="172"/>
      <c r="S223" s="173"/>
    </row>
    <row r="224" spans="1:19" ht="16.95" customHeight="1" x14ac:dyDescent="0.3">
      <c r="A224" s="12" t="str">
        <f t="shared" si="35"/>
        <v>D3Y</v>
      </c>
      <c r="C224" s="93">
        <v>7.9365079365079328E-6</v>
      </c>
      <c r="D224" s="93">
        <v>0</v>
      </c>
      <c r="E224" s="93">
        <v>4.4397740181014728E-5</v>
      </c>
      <c r="F224" s="93">
        <v>-2.2675736961451238E-6</v>
      </c>
      <c r="G224" s="93">
        <v>3.646123224450679E-5</v>
      </c>
      <c r="H224" s="93">
        <v>0</v>
      </c>
      <c r="I224" s="93">
        <v>3.6461232244506784E-5</v>
      </c>
      <c r="K224" s="17">
        <f t="shared" si="36"/>
        <v>-4500</v>
      </c>
      <c r="N224" s="215"/>
      <c r="O224" s="172"/>
      <c r="P224" s="172"/>
      <c r="Q224" s="172"/>
      <c r="R224" s="172"/>
      <c r="S224" s="173"/>
    </row>
    <row r="225" spans="1:19" ht="16.95" customHeight="1" x14ac:dyDescent="0.3">
      <c r="A225" s="12" t="str">
        <f t="shared" si="35"/>
        <v>D4X</v>
      </c>
      <c r="B225" s="13" t="s">
        <v>220</v>
      </c>
      <c r="C225" s="93">
        <v>-4.5351473922902494E-6</v>
      </c>
      <c r="D225" s="93">
        <v>0</v>
      </c>
      <c r="E225" s="93">
        <v>-2.2675736961451243E-6</v>
      </c>
      <c r="F225" s="93">
        <v>1.1905708488002219E-5</v>
      </c>
      <c r="G225" s="93">
        <v>-2.2675736961451243E-6</v>
      </c>
      <c r="H225" s="93">
        <v>0</v>
      </c>
      <c r="I225" s="93">
        <v>-2.2675736961451238E-6</v>
      </c>
      <c r="K225" s="17">
        <f t="shared" si="36"/>
        <v>1500</v>
      </c>
      <c r="N225" s="215"/>
      <c r="O225" s="172"/>
      <c r="P225" s="172"/>
      <c r="Q225" s="172"/>
      <c r="R225" s="172"/>
      <c r="S225" s="173"/>
    </row>
    <row r="226" spans="1:19" ht="16.95" customHeight="1" x14ac:dyDescent="0.3">
      <c r="A226" s="12" t="str">
        <f t="shared" si="35"/>
        <v>D4Y</v>
      </c>
      <c r="C226" s="93">
        <v>7.9365079365079328E-6</v>
      </c>
      <c r="D226" s="93">
        <v>0</v>
      </c>
      <c r="E226" s="93">
        <v>3.646123224450679E-5</v>
      </c>
      <c r="F226" s="93">
        <v>-2.2675736961451238E-6</v>
      </c>
      <c r="G226" s="93">
        <v>3.646123224450679E-5</v>
      </c>
      <c r="H226" s="93">
        <v>0</v>
      </c>
      <c r="I226" s="93">
        <v>3.6461232244506784E-5</v>
      </c>
      <c r="K226" s="17">
        <f t="shared" si="36"/>
        <v>-5000</v>
      </c>
      <c r="N226" s="215"/>
      <c r="O226" s="172"/>
      <c r="P226" s="172"/>
      <c r="Q226" s="172"/>
      <c r="R226" s="172"/>
      <c r="S226" s="173"/>
    </row>
    <row r="227" spans="1:19" ht="16.95" customHeight="1" x14ac:dyDescent="0.3">
      <c r="A227" s="12" t="str">
        <f t="shared" si="35"/>
        <v>D5X</v>
      </c>
      <c r="C227" s="93">
        <v>0</v>
      </c>
      <c r="D227" s="93">
        <v>0</v>
      </c>
      <c r="E227" s="93">
        <v>0</v>
      </c>
      <c r="F227" s="93">
        <v>0</v>
      </c>
      <c r="G227" s="93">
        <v>0</v>
      </c>
      <c r="H227" s="93">
        <v>1.388888888888889E-5</v>
      </c>
      <c r="I227" s="93">
        <v>0</v>
      </c>
      <c r="K227" s="17">
        <f t="shared" si="36"/>
        <v>0</v>
      </c>
      <c r="N227" s="215"/>
      <c r="O227" s="172"/>
      <c r="P227" s="172"/>
      <c r="Q227" s="172"/>
      <c r="R227" s="172"/>
      <c r="S227" s="173"/>
    </row>
    <row r="228" spans="1:19" ht="16.95" customHeight="1" x14ac:dyDescent="0.3">
      <c r="A228" s="12" t="str">
        <f t="shared" si="35"/>
        <v>D5Y</v>
      </c>
      <c r="C228" s="93">
        <v>7.9365079365079328E-6</v>
      </c>
      <c r="D228" s="93">
        <v>0</v>
      </c>
      <c r="E228" s="93">
        <v>3.6461232244506784E-5</v>
      </c>
      <c r="F228" s="93">
        <v>-2.2675736961451238E-6</v>
      </c>
      <c r="G228" s="93">
        <v>3.6461232244506784E-5</v>
      </c>
      <c r="H228" s="93">
        <v>0</v>
      </c>
      <c r="I228" s="93">
        <v>4.4397740181014715E-5</v>
      </c>
      <c r="K228" s="17">
        <f t="shared" si="36"/>
        <v>-3500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D2Y</v>
      </c>
      <c r="C232" s="94">
        <f t="array" ref="C232:C238">MMULT(C222:I228, K222:K228)</f>
        <v>-0.10997732426303852</v>
      </c>
      <c r="D232" s="12" t="s">
        <v>267</v>
      </c>
      <c r="N232" s="215"/>
      <c r="O232" s="172"/>
      <c r="P232" s="172"/>
      <c r="Q232" s="172"/>
      <c r="R232" s="172"/>
      <c r="S232" s="173"/>
    </row>
    <row r="233" spans="1:19" ht="16.95" customHeight="1" x14ac:dyDescent="0.3">
      <c r="A233" s="12" t="str">
        <f t="shared" si="37"/>
        <v>D3X</v>
      </c>
      <c r="C233" s="94">
        <v>0</v>
      </c>
      <c r="D233" s="12" t="s">
        <v>267</v>
      </c>
      <c r="N233" s="215"/>
      <c r="O233" s="172"/>
      <c r="P233" s="172"/>
      <c r="Q233" s="172"/>
      <c r="R233" s="172"/>
      <c r="S233" s="173"/>
    </row>
    <row r="234" spans="1:19" ht="16.95" customHeight="1" x14ac:dyDescent="0.3">
      <c r="A234" s="12" t="str">
        <f t="shared" si="37"/>
        <v>D3Y</v>
      </c>
      <c r="C234" s="94">
        <v>-0.51311166543709164</v>
      </c>
      <c r="D234" s="12" t="s">
        <v>267</v>
      </c>
      <c r="N234" s="215"/>
      <c r="O234" s="172"/>
      <c r="P234" s="172"/>
      <c r="Q234" s="172"/>
      <c r="R234" s="172"/>
      <c r="S234" s="173"/>
    </row>
    <row r="235" spans="1:19" ht="16.95" customHeight="1" x14ac:dyDescent="0.3">
      <c r="A235" s="12" t="str">
        <f t="shared" si="37"/>
        <v>D4X</v>
      </c>
      <c r="B235" s="13" t="s">
        <v>220</v>
      </c>
      <c r="C235" s="94">
        <v>4.7337020781889935E-2</v>
      </c>
      <c r="D235" s="12" t="s">
        <v>267</v>
      </c>
      <c r="N235" s="215"/>
      <c r="O235" s="172"/>
      <c r="P235" s="172"/>
      <c r="Q235" s="172"/>
      <c r="R235" s="172"/>
      <c r="S235" s="173"/>
    </row>
    <row r="236" spans="1:19" ht="16.95" customHeight="1" x14ac:dyDescent="0.3">
      <c r="A236" s="12" t="str">
        <f t="shared" si="37"/>
        <v>D4Y</v>
      </c>
      <c r="C236" s="94">
        <v>-0.47739737972280594</v>
      </c>
      <c r="D236" s="12" t="s">
        <v>267</v>
      </c>
      <c r="N236" s="215"/>
      <c r="O236" s="172"/>
      <c r="P236" s="172"/>
      <c r="Q236" s="172"/>
      <c r="R236" s="172"/>
      <c r="S236" s="173"/>
    </row>
    <row r="237" spans="1:19" ht="16.95" customHeight="1" x14ac:dyDescent="0.3">
      <c r="A237" s="12" t="str">
        <f t="shared" si="37"/>
        <v>D5X</v>
      </c>
      <c r="C237" s="94">
        <v>0</v>
      </c>
      <c r="D237" s="12" t="s">
        <v>267</v>
      </c>
      <c r="N237" s="215"/>
      <c r="O237" s="172"/>
      <c r="P237" s="172"/>
      <c r="Q237" s="172"/>
      <c r="R237" s="172"/>
      <c r="S237" s="173"/>
    </row>
    <row r="238" spans="1:19" ht="16.95" customHeight="1" x14ac:dyDescent="0.3">
      <c r="A238" s="12" t="str">
        <f t="shared" si="37"/>
        <v>D5Y</v>
      </c>
      <c r="C238" s="94">
        <v>-0.50517515750058362</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0</v>
      </c>
      <c r="D243" s="9">
        <f t="shared" si="38"/>
        <v>0</v>
      </c>
      <c r="E243" s="9">
        <f t="shared" si="38"/>
        <v>0</v>
      </c>
      <c r="F243" s="9">
        <f t="shared" si="38"/>
        <v>-47125.566237155275</v>
      </c>
      <c r="G243" s="9">
        <f t="shared" si="38"/>
        <v>-26928.894992660156</v>
      </c>
      <c r="H243" s="9">
        <f t="shared" si="38"/>
        <v>-72000</v>
      </c>
      <c r="I243" s="9">
        <f t="shared" si="38"/>
        <v>0</v>
      </c>
      <c r="K243" s="95">
        <f t="shared" ref="K243:K249" si="39">C232</f>
        <v>-0.10997732426303852</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-63000</v>
      </c>
      <c r="D244" s="9">
        <f t="shared" si="38"/>
        <v>0</v>
      </c>
      <c r="E244" s="9">
        <f t="shared" si="38"/>
        <v>0</v>
      </c>
      <c r="F244" s="9">
        <f t="shared" si="38"/>
        <v>-26928.894992660156</v>
      </c>
      <c r="G244" s="9">
        <f t="shared" si="38"/>
        <v>-15387.939995805804</v>
      </c>
      <c r="H244" s="9">
        <f t="shared" si="38"/>
        <v>0</v>
      </c>
      <c r="I244" s="9">
        <f t="shared" si="38"/>
        <v>0</v>
      </c>
      <c r="K244" s="95">
        <f t="shared" si="39"/>
        <v>0</v>
      </c>
      <c r="L244" s="14" t="str">
        <f>INDEX(C$184:C$193, MATCH(2, G$184:G$193, 0))</f>
        <v>U1Y</v>
      </c>
      <c r="N244" s="215" t="s">
        <v>391</v>
      </c>
      <c r="O244" s="172"/>
      <c r="P244" s="172"/>
      <c r="Q244" s="172"/>
      <c r="R244" s="172"/>
      <c r="S244" s="173"/>
    </row>
    <row r="245" spans="1:19" ht="16.95" customHeight="1" x14ac:dyDescent="0.3">
      <c r="A245" s="18" t="str">
        <f>INDEX(B$172:B$181, MATCH(L245, C$172:C$181, 0))</f>
        <v>C2X</v>
      </c>
      <c r="C245" s="9">
        <f t="shared" si="38"/>
        <v>-26928.894992660156</v>
      </c>
      <c r="D245" s="9">
        <f t="shared" si="38"/>
        <v>-72000</v>
      </c>
      <c r="E245" s="9">
        <f t="shared" si="38"/>
        <v>0</v>
      </c>
      <c r="F245" s="9">
        <f t="shared" si="38"/>
        <v>-47125.566237155275</v>
      </c>
      <c r="G245" s="9">
        <f t="shared" si="38"/>
        <v>26928.894992660156</v>
      </c>
      <c r="H245" s="9">
        <f t="shared" si="38"/>
        <v>0</v>
      </c>
      <c r="I245" s="9">
        <f t="shared" si="38"/>
        <v>0</v>
      </c>
      <c r="K245" s="95">
        <f t="shared" si="39"/>
        <v>-0.51311166543709164</v>
      </c>
      <c r="L245" s="14" t="str">
        <f>INDEX(C$184:C$193, MATCH(3, G$184:G$193, 0))</f>
        <v>U2X</v>
      </c>
      <c r="N245" s="215" t="s">
        <v>392</v>
      </c>
      <c r="O245" s="172"/>
      <c r="P245" s="172"/>
      <c r="Q245" s="172"/>
      <c r="R245" s="172"/>
      <c r="S245" s="173"/>
    </row>
    <row r="246" spans="1:19" ht="16.95" customHeight="1" x14ac:dyDescent="0.3">
      <c r="K246" s="95">
        <f t="shared" si="39"/>
        <v>4.7337020781889935E-2</v>
      </c>
      <c r="N246" s="215" t="s">
        <v>393</v>
      </c>
      <c r="O246" s="172"/>
      <c r="P246" s="172"/>
      <c r="Q246" s="172"/>
      <c r="R246" s="172"/>
      <c r="S246" s="173"/>
    </row>
    <row r="247" spans="1:19" ht="16.95" customHeight="1" x14ac:dyDescent="0.3">
      <c r="K247" s="95">
        <f t="shared" si="39"/>
        <v>-0.47739737972280594</v>
      </c>
      <c r="N247" s="215" t="s">
        <v>394</v>
      </c>
      <c r="O247" s="172"/>
      <c r="P247" s="172"/>
      <c r="Q247" s="172"/>
      <c r="R247" s="172"/>
      <c r="S247" s="173"/>
    </row>
    <row r="248" spans="1:19" ht="16.95" customHeight="1" x14ac:dyDescent="0.3">
      <c r="K248" s="95">
        <f t="shared" si="39"/>
        <v>0</v>
      </c>
      <c r="N248" s="215"/>
      <c r="O248" s="172"/>
      <c r="P248" s="172"/>
      <c r="Q248" s="172"/>
      <c r="R248" s="172"/>
      <c r="S248" s="173"/>
    </row>
    <row r="249" spans="1:19" ht="16.95" customHeight="1" x14ac:dyDescent="0.3">
      <c r="K249" s="95">
        <f t="shared" si="39"/>
        <v>-0.50517515750058362</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10624.999999999998</v>
      </c>
      <c r="D251" s="12" t="s">
        <v>273</v>
      </c>
      <c r="N251" s="215"/>
      <c r="O251" s="172"/>
      <c r="P251" s="172"/>
      <c r="Q251" s="172"/>
      <c r="R251" s="172"/>
      <c r="S251" s="173"/>
    </row>
    <row r="252" spans="1:19" ht="16.95" customHeight="1" x14ac:dyDescent="0.3">
      <c r="A252" s="12" t="str">
        <f>A244</f>
        <v>C1Y</v>
      </c>
      <c r="B252" s="13" t="s">
        <v>220</v>
      </c>
      <c r="C252" s="17">
        <v>12999.999999999996</v>
      </c>
      <c r="D252" s="12" t="s">
        <v>273</v>
      </c>
      <c r="N252" s="215"/>
      <c r="O252" s="172"/>
      <c r="P252" s="172"/>
      <c r="Q252" s="172"/>
      <c r="R252" s="172"/>
      <c r="S252" s="173"/>
    </row>
    <row r="253" spans="1:19" ht="16.95" customHeight="1" x14ac:dyDescent="0.3">
      <c r="A253" s="12" t="str">
        <f>A245</f>
        <v>C2X</v>
      </c>
      <c r="C253" s="17">
        <v>-12124.999999999998</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v>
      </c>
    </row>
    <row r="261" spans="1:19" ht="19.05" customHeight="1" x14ac:dyDescent="0.3">
      <c r="A261" s="12" t="s">
        <v>231</v>
      </c>
      <c r="B261" s="12" t="s">
        <v>181</v>
      </c>
      <c r="D261" s="94">
        <f t="shared" si="40"/>
        <v>-0.10997732426303852</v>
      </c>
    </row>
    <row r="262" spans="1:19" ht="19.05" customHeight="1" x14ac:dyDescent="0.3">
      <c r="A262" s="12" t="s">
        <v>232</v>
      </c>
      <c r="B262" s="12" t="s">
        <v>182</v>
      </c>
      <c r="D262" s="94">
        <f t="shared" si="40"/>
        <v>0</v>
      </c>
    </row>
    <row r="263" spans="1:19" ht="19.05" customHeight="1" x14ac:dyDescent="0.3">
      <c r="A263" s="12" t="s">
        <v>234</v>
      </c>
      <c r="B263" s="12" t="s">
        <v>183</v>
      </c>
      <c r="D263" s="94">
        <f t="shared" si="40"/>
        <v>-0.51311166543709164</v>
      </c>
    </row>
    <row r="264" spans="1:19" ht="19.05" customHeight="1" x14ac:dyDescent="0.3">
      <c r="A264" s="12" t="s">
        <v>235</v>
      </c>
      <c r="B264" s="12" t="s">
        <v>184</v>
      </c>
      <c r="D264" s="94">
        <f t="shared" si="40"/>
        <v>4.7337020781889935E-2</v>
      </c>
    </row>
    <row r="265" spans="1:19" ht="19.05" customHeight="1" x14ac:dyDescent="0.3">
      <c r="A265" s="12" t="s">
        <v>236</v>
      </c>
      <c r="B265" s="12" t="s">
        <v>185</v>
      </c>
      <c r="D265" s="94">
        <f t="shared" si="40"/>
        <v>-0.47739737972280594</v>
      </c>
    </row>
    <row r="266" spans="1:19" ht="19.05" customHeight="1" x14ac:dyDescent="0.3">
      <c r="A266" s="12" t="s">
        <v>237</v>
      </c>
      <c r="B266" s="12" t="s">
        <v>186</v>
      </c>
      <c r="D266" s="94">
        <f t="shared" si="40"/>
        <v>0</v>
      </c>
    </row>
    <row r="267" spans="1:19" ht="19.05" customHeight="1" x14ac:dyDescent="0.3">
      <c r="A267" s="12" t="s">
        <v>238</v>
      </c>
      <c r="B267" s="12" t="s">
        <v>187</v>
      </c>
      <c r="D267" s="94">
        <f t="shared" si="40"/>
        <v>-0.50517515750058362</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63000</v>
      </c>
      <c r="C274" s="92">
        <f>-J6</f>
        <v>0</v>
      </c>
      <c r="D274" s="92">
        <f>-K6</f>
        <v>-1</v>
      </c>
      <c r="E274" s="92">
        <f>J6</f>
        <v>0</v>
      </c>
      <c r="F274" s="92">
        <f>K6</f>
        <v>1</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-6928.5714285714266</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v>
      </c>
      <c r="H276" s="12" t="str">
        <f>"D" &amp; E16 &amp; "X"</f>
        <v>D2X</v>
      </c>
      <c r="N276" s="215" t="s">
        <v>400</v>
      </c>
      <c r="O276" s="172"/>
      <c r="P276" s="172"/>
      <c r="Q276" s="172"/>
      <c r="R276" s="172"/>
      <c r="S276" s="173"/>
    </row>
    <row r="277" spans="1:19" ht="16.95" customHeight="1" x14ac:dyDescent="0.3">
      <c r="G277" s="96">
        <f>IFERROR(VLOOKUP(H277, A$258:D$267, 4, FALSE), 0)</f>
        <v>-0.10997732426303852</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COMPRESIÓN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72000</v>
      </c>
      <c r="C282" s="92">
        <f>-J7</f>
        <v>-1</v>
      </c>
      <c r="D282" s="92">
        <f>-K7</f>
        <v>0</v>
      </c>
      <c r="E282" s="92">
        <f>J7</f>
        <v>1</v>
      </c>
      <c r="F282" s="92">
        <f>K7</f>
        <v>0</v>
      </c>
      <c r="G282" s="96">
        <f>IFERROR(VLOOKUP(H282, A$258:D$267, 4, FALSE), 0)</f>
        <v>0</v>
      </c>
      <c r="H282" s="12" t="str">
        <f>"D" &amp; C17 &amp; "X"</f>
        <v>D2X</v>
      </c>
      <c r="N282" s="215"/>
      <c r="O282" s="172"/>
      <c r="P282" s="172"/>
      <c r="Q282" s="172"/>
      <c r="R282" s="172"/>
      <c r="S282" s="173"/>
    </row>
    <row r="283" spans="1:19" ht="16.95" customHeight="1" x14ac:dyDescent="0.3">
      <c r="A283" s="99" t="s">
        <v>286</v>
      </c>
      <c r="B283" s="97">
        <f>(MMULT(C282:F282, G282:G285)*A282)</f>
        <v>0</v>
      </c>
      <c r="G283" s="96">
        <f>IFERROR(VLOOKUP(H283, A$258:D$267, 4, FALSE), 0)</f>
        <v>-0.10997732426303852</v>
      </c>
      <c r="H283" s="12" t="str">
        <f>"D" &amp; D17 &amp; "Y"</f>
        <v>D2Y</v>
      </c>
      <c r="N283" s="215"/>
      <c r="O283" s="172"/>
      <c r="P283" s="172"/>
      <c r="Q283" s="172"/>
      <c r="R283" s="172"/>
      <c r="S283" s="173"/>
    </row>
    <row r="284" spans="1:19" ht="16.95" customHeight="1" x14ac:dyDescent="0.3">
      <c r="G284" s="96">
        <f>IFERROR(VLOOKUP(H284, A$258:D$267, 4, FALSE), 0)</f>
        <v>0</v>
      </c>
      <c r="H284" s="12" t="str">
        <f>"D" &amp; E17 &amp; "X"</f>
        <v>D3X</v>
      </c>
      <c r="N284" s="215"/>
      <c r="O284" s="172"/>
      <c r="P284" s="172"/>
      <c r="Q284" s="172"/>
      <c r="R284" s="172"/>
      <c r="S284" s="173"/>
    </row>
    <row r="285" spans="1:19" ht="16.95" customHeight="1" x14ac:dyDescent="0.3">
      <c r="G285" s="96">
        <f>IFERROR(VLOOKUP(H285, A$258:D$267, 4, FALSE), 0)</f>
        <v>-0.51311166543709164</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DE FUERZA NULA</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126000</v>
      </c>
      <c r="C290" s="92">
        <f>-J8</f>
        <v>0</v>
      </c>
      <c r="D290" s="92">
        <f>-K8</f>
        <v>1</v>
      </c>
      <c r="E290" s="92">
        <f>J8</f>
        <v>0</v>
      </c>
      <c r="F290" s="92">
        <f>K8</f>
        <v>-1</v>
      </c>
      <c r="G290" s="96">
        <f>IFERROR(VLOOKUP(H290, A$258:D$267, 4, FALSE), 0)</f>
        <v>0</v>
      </c>
      <c r="H290" s="12" t="str">
        <f>"D" &amp; C18 &amp; "X"</f>
        <v>D3X</v>
      </c>
      <c r="N290" s="215"/>
      <c r="O290" s="172"/>
      <c r="P290" s="172"/>
      <c r="Q290" s="172"/>
      <c r="R290" s="172"/>
      <c r="S290" s="173"/>
    </row>
    <row r="291" spans="1:19" ht="16.95" customHeight="1" x14ac:dyDescent="0.3">
      <c r="A291" s="99" t="s">
        <v>287</v>
      </c>
      <c r="B291" s="97">
        <f>(MMULT(C290:F290, G290:G293)*A290)</f>
        <v>-4499.9999999999982</v>
      </c>
      <c r="G291" s="96">
        <f>IFERROR(VLOOKUP(H291, A$258:D$267, 4, FALSE), 0)</f>
        <v>-0.51311166543709164</v>
      </c>
      <c r="H291" s="12" t="str">
        <f>"D" &amp; D18 &amp; "Y"</f>
        <v>D3Y</v>
      </c>
      <c r="N291" s="215"/>
      <c r="O291" s="172"/>
      <c r="P291" s="172"/>
      <c r="Q291" s="172"/>
      <c r="R291" s="172"/>
      <c r="S291" s="173"/>
    </row>
    <row r="292" spans="1:19" ht="16.95" customHeight="1" x14ac:dyDescent="0.3">
      <c r="G292" s="96">
        <f>IFERROR(VLOOKUP(H292, A$258:D$267, 4, FALSE), 0)</f>
        <v>4.7337020781889935E-2</v>
      </c>
      <c r="H292" s="12" t="str">
        <f>"D" &amp; E18 &amp; "X"</f>
        <v>D4X</v>
      </c>
      <c r="N292" s="215"/>
      <c r="O292" s="172"/>
      <c r="P292" s="172"/>
      <c r="Q292" s="172"/>
      <c r="R292" s="172"/>
      <c r="S292" s="173"/>
    </row>
    <row r="293" spans="1:19" ht="16.95" customHeight="1" x14ac:dyDescent="0.3">
      <c r="G293" s="96">
        <f>IFERROR(VLOOKUP(H293, A$258:D$267, 4, FALSE), 0)</f>
        <v>-0.47739737972280594</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126000</v>
      </c>
      <c r="C298" s="92">
        <f>-J9</f>
        <v>0</v>
      </c>
      <c r="D298" s="92">
        <f>-K9</f>
        <v>1</v>
      </c>
      <c r="E298" s="92">
        <f>J9</f>
        <v>0</v>
      </c>
      <c r="F298" s="92">
        <f>K9</f>
        <v>-1</v>
      </c>
      <c r="G298" s="96">
        <f>IFERROR(VLOOKUP(H298, A$258:D$267, 4, FALSE), 0)</f>
        <v>4.7337020781889935E-2</v>
      </c>
      <c r="H298" s="12" t="str">
        <f>"D" &amp; C19 &amp; "X"</f>
        <v>D4X</v>
      </c>
    </row>
    <row r="299" spans="1:19" ht="19.95" customHeight="1" x14ac:dyDescent="0.3">
      <c r="A299" s="99" t="s">
        <v>288</v>
      </c>
      <c r="B299" s="97">
        <f>(MMULT(C298:F298, G298:G301)*A298)</f>
        <v>3499.9999999999877</v>
      </c>
      <c r="G299" s="96">
        <f>IFERROR(VLOOKUP(H299, A$258:D$267, 4, FALSE), 0)</f>
        <v>-0.47739737972280594</v>
      </c>
      <c r="H299" s="12" t="str">
        <f>"D" &amp; D19 &amp; "Y"</f>
        <v>D4Y</v>
      </c>
    </row>
    <row r="300" spans="1:19" ht="19.95" customHeight="1" x14ac:dyDescent="0.3">
      <c r="G300" s="96">
        <f>IFERROR(VLOOKUP(H300, A$258:D$267, 4, FALSE), 0)</f>
        <v>0</v>
      </c>
      <c r="H300" s="12" t="str">
        <f>"D" &amp; E19 &amp; "X"</f>
        <v>D5X</v>
      </c>
    </row>
    <row r="301" spans="1:19" ht="19.95" customHeight="1" x14ac:dyDescent="0.3">
      <c r="G301" s="96">
        <f>IFERROR(VLOOKUP(H301, A$258:D$267, 4, FALSE), 0)</f>
        <v>-0.50517515750058362</v>
      </c>
      <c r="H301" s="12" t="str">
        <f>"D" &amp; F19 &amp; "Y"</f>
        <v>D5Y</v>
      </c>
    </row>
    <row r="302" spans="1:19" ht="19.95" customHeight="1" x14ac:dyDescent="0.3">
      <c r="B302" s="99" t="s">
        <v>273</v>
      </c>
      <c r="C302" s="178" t="str">
        <f>IF(B299&gt;0.001,"BARRA A TRACCIÓN (+)",IF(B299&lt;-0.001,"BARRA A COMPRESIÓN (-)","BARRA DE FUERZA NULA"))</f>
        <v>BARRA A TRACCIÓN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72000</v>
      </c>
      <c r="C306" s="92">
        <f>-J10</f>
        <v>1</v>
      </c>
      <c r="D306" s="92">
        <f>-K10</f>
        <v>0</v>
      </c>
      <c r="E306" s="92">
        <f>J10</f>
        <v>-1</v>
      </c>
      <c r="F306" s="92">
        <f>K10</f>
        <v>0</v>
      </c>
      <c r="G306" s="96">
        <f>IFERROR(VLOOKUP(H306, A$258:D$267, 4, FALSE), 0)</f>
        <v>0</v>
      </c>
      <c r="H306" s="12" t="str">
        <f>"D" &amp; C20 &amp; "X"</f>
        <v>D5X</v>
      </c>
    </row>
    <row r="307" spans="1:8" ht="19.95" customHeight="1" x14ac:dyDescent="0.3">
      <c r="A307" s="99" t="s">
        <v>289</v>
      </c>
      <c r="B307" s="97">
        <f>(MMULT(C306:F306, G306:G309)*A306)</f>
        <v>0</v>
      </c>
      <c r="G307" s="96">
        <f>IFERROR(VLOOKUP(H307, A$258:D$267, 4, FALSE), 0)</f>
        <v>-0.50517515750058362</v>
      </c>
      <c r="H307" s="12" t="str">
        <f>"D" &amp; D20 &amp; "Y"</f>
        <v>D5Y</v>
      </c>
    </row>
    <row r="308" spans="1:8" ht="19.95" customHeight="1" x14ac:dyDescent="0.3">
      <c r="G308" s="96">
        <f>IFERROR(VLOOKUP(H308, A$258:D$267, 4, FALSE), 0)</f>
        <v>0</v>
      </c>
      <c r="H308" s="12" t="str">
        <f>"D" &amp; E20 &amp; "X"</f>
        <v>D1X</v>
      </c>
    </row>
    <row r="309" spans="1:8" ht="19.95" customHeight="1" x14ac:dyDescent="0.3">
      <c r="G309" s="96">
        <f>IFERROR(VLOOKUP(H309, A$258:D$267, 4, FALSE), 0)</f>
        <v>0</v>
      </c>
      <c r="H309" s="12" t="str">
        <f>"D" &amp; F20 &amp; "Y"</f>
        <v>D1Y</v>
      </c>
    </row>
    <row r="310" spans="1:8" ht="19.95" customHeight="1" x14ac:dyDescent="0.3">
      <c r="B310" s="99" t="s">
        <v>273</v>
      </c>
      <c r="C310" s="178" t="str">
        <f>IF(B307&gt;0.001,"BARRA A TRACCIÓN (+)",IF(B307&lt;-0.001,"BARRA A COMPRESIÓN (-)","BARRA DE FUERZA NULA"))</f>
        <v>BARRA DE FUERZA NULA</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62513.506232961066</v>
      </c>
      <c r="C314" s="92">
        <f>-J11</f>
        <v>-0.8682431421244593</v>
      </c>
      <c r="D314" s="92">
        <f>-K11</f>
        <v>-0.49613893835683387</v>
      </c>
      <c r="E314" s="92">
        <f>J11</f>
        <v>0.8682431421244593</v>
      </c>
      <c r="F314" s="92">
        <f>K11</f>
        <v>0.49613893835683387</v>
      </c>
      <c r="G314" s="96">
        <f>IFERROR(VLOOKUP(H314, A$258:D$267, 4, FALSE), 0)</f>
        <v>0</v>
      </c>
      <c r="H314" s="12" t="str">
        <f>"D" &amp; C21 &amp; "X"</f>
        <v>D1X</v>
      </c>
    </row>
    <row r="315" spans="1:8" ht="19.95" customHeight="1" x14ac:dyDescent="0.3">
      <c r="A315" s="99" t="s">
        <v>290</v>
      </c>
      <c r="B315" s="97">
        <f>(MMULT(C314:F314, G314:G317)*A314)</f>
        <v>-12237.355510810297</v>
      </c>
      <c r="G315" s="96">
        <f>IFERROR(VLOOKUP(H315, A$258:D$267, 4, FALSE), 0)</f>
        <v>0</v>
      </c>
      <c r="H315" s="12" t="str">
        <f>"D" &amp; D21 &amp; "Y"</f>
        <v>D1Y</v>
      </c>
    </row>
    <row r="316" spans="1:8" ht="19.95" customHeight="1" x14ac:dyDescent="0.3">
      <c r="G316" s="96">
        <f>IFERROR(VLOOKUP(H316, A$258:D$267, 4, FALSE), 0)</f>
        <v>4.7337020781889935E-2</v>
      </c>
      <c r="H316" s="12" t="str">
        <f>"D" &amp; E21 &amp; "X"</f>
        <v>D4X</v>
      </c>
    </row>
    <row r="317" spans="1:8" ht="19.95" customHeight="1" x14ac:dyDescent="0.3">
      <c r="G317" s="96">
        <f>IFERROR(VLOOKUP(H317, A$258:D$267, 4, FALSE), 0)</f>
        <v>-0.47739737972280594</v>
      </c>
      <c r="H317" s="12" t="str">
        <f>"D" &amp; F21 &amp; "Y"</f>
        <v>D4Y</v>
      </c>
    </row>
    <row r="318" spans="1:8" ht="19.95" customHeight="1" x14ac:dyDescent="0.3">
      <c r="B318" s="99" t="s">
        <v>273</v>
      </c>
      <c r="C318" s="178" t="str">
        <f>IF(B315&gt;0.001,"BARRA A TRACCIÓN (+)",IF(B315&lt;-0.001,"BARRA A COMPRESIÓN (-)","BARRA DE FUERZA NULA"))</f>
        <v>BARRA A COMPRESIÓN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62513.506232961066</v>
      </c>
      <c r="C322" s="92">
        <f>-J12</f>
        <v>-0.8682431421244593</v>
      </c>
      <c r="D322" s="92">
        <f>-K12</f>
        <v>0.49613893835683387</v>
      </c>
      <c r="E322" s="92">
        <f>J12</f>
        <v>0.8682431421244593</v>
      </c>
      <c r="F322" s="92">
        <f>K12</f>
        <v>-0.49613893835683387</v>
      </c>
      <c r="G322" s="96">
        <f>IFERROR(VLOOKUP(H322, A$258:D$267, 4, FALSE), 0)</f>
        <v>0</v>
      </c>
      <c r="H322" s="12" t="str">
        <f>"D" &amp; C22 &amp; "X"</f>
        <v>D2X</v>
      </c>
    </row>
    <row r="323" spans="1:8" ht="19.95" customHeight="1" x14ac:dyDescent="0.3">
      <c r="A323" s="99" t="s">
        <v>291</v>
      </c>
      <c r="B323" s="97">
        <f>(MMULT(C322:F322, G322:G325)*A322)</f>
        <v>13964.982171159985</v>
      </c>
      <c r="G323" s="96">
        <f>IFERROR(VLOOKUP(H323, A$258:D$267, 4, FALSE), 0)</f>
        <v>-0.10997732426303852</v>
      </c>
      <c r="H323" s="12" t="str">
        <f>"D" &amp; D22 &amp; "Y"</f>
        <v>D2Y</v>
      </c>
    </row>
    <row r="324" spans="1:8" ht="19.95" customHeight="1" x14ac:dyDescent="0.3">
      <c r="G324" s="96">
        <f>IFERROR(VLOOKUP(H324, A$258:D$267, 4, FALSE), 0)</f>
        <v>4.7337020781889935E-2</v>
      </c>
      <c r="H324" s="12" t="str">
        <f>"D" &amp; E22 &amp; "X"</f>
        <v>D4X</v>
      </c>
    </row>
    <row r="325" spans="1:8" ht="19.95" customHeight="1" x14ac:dyDescent="0.3">
      <c r="G325" s="96">
        <f>IFERROR(VLOOKUP(H325, A$258:D$267, 4, FALSE), 0)</f>
        <v>-0.47739737972280594</v>
      </c>
      <c r="H325" s="12" t="str">
        <f>"D" &amp; F22 &amp; "Y"</f>
        <v>D4Y</v>
      </c>
    </row>
    <row r="326" spans="1:8" ht="19.95" customHeight="1" x14ac:dyDescent="0.3">
      <c r="B326" s="99" t="s">
        <v>273</v>
      </c>
      <c r="C326" s="178" t="str">
        <f>IF(B323&gt;0.001,"BARRA A TRACCIÓN (+)",IF(B323&lt;-0.001,"BARRA A COMPRESIÓN (-)","BARRA DE FUERZA NULA"))</f>
        <v>BARRA A TRACCIÓN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-6928.5714285714266</v>
      </c>
      <c r="H331" s="84" t="str">
        <f>C278</f>
        <v>BARRA A COMPRESIÓN (-)</v>
      </c>
    </row>
    <row r="332" spans="1:8" ht="19.95" customHeight="1" x14ac:dyDescent="0.3">
      <c r="B332" s="25">
        <v>2</v>
      </c>
      <c r="C332" s="86">
        <f t="shared" si="41"/>
        <v>2</v>
      </c>
      <c r="D332" s="86">
        <f t="shared" si="42"/>
        <v>3</v>
      </c>
      <c r="E332" s="9">
        <f t="shared" si="43"/>
        <v>350</v>
      </c>
      <c r="F332" s="9">
        <f t="shared" si="44"/>
        <v>12</v>
      </c>
      <c r="G332" s="97">
        <f>B283</f>
        <v>0</v>
      </c>
      <c r="H332" s="84" t="str">
        <f>C286</f>
        <v>BARRA DE FUERZA NULA</v>
      </c>
    </row>
    <row r="333" spans="1:8" ht="19.95" customHeight="1" x14ac:dyDescent="0.3">
      <c r="B333" s="26">
        <v>3</v>
      </c>
      <c r="C333" s="86">
        <f t="shared" si="41"/>
        <v>3</v>
      </c>
      <c r="D333" s="86">
        <f t="shared" si="42"/>
        <v>4</v>
      </c>
      <c r="E333" s="9">
        <f t="shared" si="43"/>
        <v>200</v>
      </c>
      <c r="F333" s="9">
        <f t="shared" si="44"/>
        <v>12</v>
      </c>
      <c r="G333" s="97">
        <f>B291</f>
        <v>-4499.9999999999982</v>
      </c>
      <c r="H333" s="84" t="str">
        <f>C294</f>
        <v>BARRA A COMPRESIÓN (-)</v>
      </c>
    </row>
    <row r="334" spans="1:8" ht="19.95" customHeight="1" x14ac:dyDescent="0.3">
      <c r="B334" s="43">
        <v>4</v>
      </c>
      <c r="C334" s="86">
        <f t="shared" si="41"/>
        <v>4</v>
      </c>
      <c r="D334" s="86">
        <f t="shared" si="42"/>
        <v>5</v>
      </c>
      <c r="E334" s="9">
        <f t="shared" si="43"/>
        <v>200</v>
      </c>
      <c r="F334" s="9">
        <f t="shared" si="44"/>
        <v>12</v>
      </c>
      <c r="G334" s="97">
        <f>B299</f>
        <v>3499.9999999999877</v>
      </c>
      <c r="H334" s="84" t="str">
        <f>C302</f>
        <v>BARRA A TRACCIÓN (+)</v>
      </c>
    </row>
    <row r="335" spans="1:8" ht="19.95" customHeight="1" x14ac:dyDescent="0.3">
      <c r="B335" s="44">
        <v>5</v>
      </c>
      <c r="C335" s="86">
        <f t="shared" si="41"/>
        <v>5</v>
      </c>
      <c r="D335" s="86">
        <f t="shared" si="42"/>
        <v>1</v>
      </c>
      <c r="E335" s="9">
        <f t="shared" si="43"/>
        <v>350</v>
      </c>
      <c r="F335" s="9">
        <f t="shared" si="44"/>
        <v>12</v>
      </c>
      <c r="G335" s="97">
        <f>B307</f>
        <v>0</v>
      </c>
      <c r="H335" s="84" t="str">
        <f>C310</f>
        <v>BARRA DE FUERZA NULA</v>
      </c>
    </row>
    <row r="336" spans="1:8" ht="19.95" customHeight="1" x14ac:dyDescent="0.3">
      <c r="B336" s="51">
        <v>6</v>
      </c>
      <c r="C336" s="86">
        <f t="shared" si="41"/>
        <v>1</v>
      </c>
      <c r="D336" s="86">
        <f t="shared" si="42"/>
        <v>4</v>
      </c>
      <c r="E336" s="9">
        <f t="shared" si="43"/>
        <v>403.11288741492746</v>
      </c>
      <c r="F336" s="9">
        <f t="shared" si="44"/>
        <v>12</v>
      </c>
      <c r="G336" s="97">
        <f>B315</f>
        <v>-12237.355510810297</v>
      </c>
      <c r="H336" s="84" t="str">
        <f>C318</f>
        <v>BARRA A COMPRESIÓN (-)</v>
      </c>
    </row>
    <row r="337" spans="2:8" ht="19.95" customHeight="1" x14ac:dyDescent="0.3">
      <c r="B337" s="52">
        <v>7</v>
      </c>
      <c r="C337" s="86">
        <f t="shared" si="41"/>
        <v>2</v>
      </c>
      <c r="D337" s="86">
        <f t="shared" si="42"/>
        <v>4</v>
      </c>
      <c r="E337" s="9">
        <f t="shared" si="43"/>
        <v>403.11288741492746</v>
      </c>
      <c r="F337" s="9">
        <f t="shared" si="44"/>
        <v>12</v>
      </c>
      <c r="G337" s="97">
        <f>B323</f>
        <v>13964.982171159985</v>
      </c>
      <c r="H337" s="84" t="str">
        <f>C326</f>
        <v>BARRA A TRACCIÓN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519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400</v>
      </c>
      <c r="AB6" s="20">
        <f>IF(H28="","",H28)</f>
        <v>100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100</v>
      </c>
      <c r="AC8" t="s">
        <v>316</v>
      </c>
    </row>
    <row r="9" spans="2:29" x14ac:dyDescent="0.3">
      <c r="AA9" s="20">
        <f>IF(G29="","",G29)</f>
        <v>800</v>
      </c>
      <c r="AB9" s="20">
        <f>IF(H29="","",H29)</f>
        <v>200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200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416</v>
      </c>
      <c r="K14" s="172"/>
      <c r="L14" s="172"/>
      <c r="M14" s="172"/>
      <c r="N14" s="172"/>
      <c r="O14" s="173"/>
      <c r="AA14" s="20">
        <f>IF(E31="","",E31)</f>
        <v>200</v>
      </c>
      <c r="AB14" s="20">
        <f>IF(F31="","",F31)</f>
        <v>450</v>
      </c>
      <c r="AC14" t="s">
        <v>328</v>
      </c>
    </row>
    <row r="15" spans="2:29" ht="19.05" customHeight="1" x14ac:dyDescent="0.3">
      <c r="B15" s="89">
        <v>2</v>
      </c>
      <c r="C15" s="21">
        <v>400</v>
      </c>
      <c r="D15" s="21">
        <v>100</v>
      </c>
      <c r="E15" s="21" t="s">
        <v>326</v>
      </c>
      <c r="F15" s="88">
        <f t="shared" si="0"/>
        <v>0</v>
      </c>
      <c r="G15" s="88">
        <f t="shared" si="1"/>
        <v>0</v>
      </c>
      <c r="H15" s="22">
        <v>0</v>
      </c>
      <c r="I15" s="22">
        <v>-6000</v>
      </c>
      <c r="J15" s="205" t="s">
        <v>520</v>
      </c>
      <c r="K15" s="172"/>
      <c r="L15" s="172"/>
      <c r="M15" s="172"/>
      <c r="N15" s="172"/>
      <c r="O15" s="173"/>
      <c r="AA15" s="20">
        <f>IF(G31="","",G31)</f>
        <v>400</v>
      </c>
      <c r="AB15" s="20">
        <f>IF(H31="","",H31)</f>
        <v>100</v>
      </c>
      <c r="AC15" t="s">
        <v>331</v>
      </c>
    </row>
    <row r="16" spans="2:29" ht="19.05" customHeight="1" x14ac:dyDescent="0.3">
      <c r="B16" s="89">
        <v>3</v>
      </c>
      <c r="C16" s="21">
        <v>800</v>
      </c>
      <c r="D16" s="21">
        <v>200</v>
      </c>
      <c r="E16" s="21" t="s">
        <v>329</v>
      </c>
      <c r="F16" s="88">
        <f t="shared" si="0"/>
        <v>0</v>
      </c>
      <c r="G16" s="88">
        <f t="shared" si="1"/>
        <v>1</v>
      </c>
      <c r="H16" s="22">
        <v>0</v>
      </c>
      <c r="I16" s="22">
        <v>0</v>
      </c>
      <c r="J16" s="205" t="s">
        <v>521</v>
      </c>
      <c r="K16" s="172"/>
      <c r="L16" s="172"/>
      <c r="M16" s="172"/>
      <c r="N16" s="172"/>
      <c r="O16" s="173"/>
    </row>
    <row r="17" spans="2:29" ht="19.05" customHeight="1" x14ac:dyDescent="0.3">
      <c r="B17" s="89">
        <v>4</v>
      </c>
      <c r="C17" s="21">
        <v>200</v>
      </c>
      <c r="D17" s="21">
        <v>450</v>
      </c>
      <c r="E17" s="21" t="s">
        <v>326</v>
      </c>
      <c r="F17" s="88">
        <f t="shared" si="0"/>
        <v>0</v>
      </c>
      <c r="G17" s="88">
        <f t="shared" si="1"/>
        <v>0</v>
      </c>
      <c r="H17" s="22">
        <v>2000</v>
      </c>
      <c r="I17" s="22">
        <v>-5000</v>
      </c>
      <c r="J17" s="205" t="s">
        <v>477</v>
      </c>
      <c r="K17" s="172"/>
      <c r="L17" s="172"/>
      <c r="M17" s="172"/>
      <c r="N17" s="172"/>
      <c r="O17" s="173"/>
      <c r="AA17" s="20">
        <f>IF(E32="","",E32)</f>
        <v>200</v>
      </c>
      <c r="AB17" s="20">
        <f>IF(F32="","",F32)</f>
        <v>450</v>
      </c>
      <c r="AC17" t="s">
        <v>334</v>
      </c>
    </row>
    <row r="18" spans="2:29" ht="19.05" customHeight="1" x14ac:dyDescent="0.3">
      <c r="B18" s="89">
        <v>5</v>
      </c>
      <c r="C18" s="21">
        <v>600</v>
      </c>
      <c r="D18" s="21">
        <v>450</v>
      </c>
      <c r="E18" s="21" t="s">
        <v>326</v>
      </c>
      <c r="F18" s="88">
        <f t="shared" si="0"/>
        <v>0</v>
      </c>
      <c r="G18" s="88">
        <f t="shared" si="1"/>
        <v>0</v>
      </c>
      <c r="H18" s="22">
        <v>0</v>
      </c>
      <c r="I18" s="22">
        <v>-7000</v>
      </c>
      <c r="J18" s="205" t="s">
        <v>478</v>
      </c>
      <c r="K18" s="172"/>
      <c r="L18" s="172"/>
      <c r="M18" s="172"/>
      <c r="N18" s="172"/>
      <c r="O18" s="173"/>
      <c r="AA18" s="20">
        <f>IF(G32="","",G32)</f>
        <v>600</v>
      </c>
      <c r="AB18" s="20">
        <f>IF(H32="","",H32)</f>
        <v>450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100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450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450</v>
      </c>
      <c r="AC23" t="s">
        <v>338</v>
      </c>
    </row>
    <row r="24" spans="2:29" x14ac:dyDescent="0.3">
      <c r="AA24" s="20">
        <f>IF(G34="","",G34)</f>
        <v>800</v>
      </c>
      <c r="AB24" s="20">
        <f>IF(H34="","",H34)</f>
        <v>200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100</v>
      </c>
      <c r="I28" s="9">
        <f t="shared" ref="I28:I42" si="6">IF(G28="","",G28-E28)</f>
        <v>400</v>
      </c>
      <c r="J28" s="9">
        <f t="shared" ref="J28:J42" si="7">IF(H28="","",H28-F28)</f>
        <v>100</v>
      </c>
      <c r="K28" s="9">
        <f t="shared" ref="K28:K42" si="8">IF(I28="","",SQRT(I28^2+J28^2))</f>
        <v>412.31056256176606</v>
      </c>
      <c r="L28" s="92">
        <f t="shared" ref="L28:L42" si="9">IF(K28="","",I28/K28)</f>
        <v>0.97014250014533188</v>
      </c>
      <c r="M28" s="92">
        <f t="shared" ref="M28:M42" si="10">IF(K28="","",J28/K28)</f>
        <v>0.24253562503633297</v>
      </c>
      <c r="N28" s="22">
        <v>12</v>
      </c>
      <c r="O28" s="24">
        <v>2100000</v>
      </c>
    </row>
    <row r="29" spans="2:29" ht="19.05" customHeight="1" x14ac:dyDescent="0.3">
      <c r="B29" s="89">
        <v>2</v>
      </c>
      <c r="C29" s="23">
        <v>2</v>
      </c>
      <c r="D29" s="23">
        <v>3</v>
      </c>
      <c r="E29" s="5">
        <f t="shared" si="2"/>
        <v>400</v>
      </c>
      <c r="F29" s="5">
        <f t="shared" si="3"/>
        <v>100</v>
      </c>
      <c r="G29" s="5">
        <f t="shared" si="4"/>
        <v>800</v>
      </c>
      <c r="H29" s="5">
        <f t="shared" si="5"/>
        <v>200</v>
      </c>
      <c r="I29" s="9">
        <f t="shared" si="6"/>
        <v>400</v>
      </c>
      <c r="J29" s="9">
        <f t="shared" si="7"/>
        <v>100</v>
      </c>
      <c r="K29" s="9">
        <f t="shared" si="8"/>
        <v>412.31056256176606</v>
      </c>
      <c r="L29" s="92">
        <f t="shared" si="9"/>
        <v>0.97014250014533188</v>
      </c>
      <c r="M29" s="92">
        <f t="shared" si="10"/>
        <v>0.24253562503633297</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450</v>
      </c>
      <c r="I30" s="9">
        <f t="shared" si="6"/>
        <v>200</v>
      </c>
      <c r="J30" s="9">
        <f t="shared" si="7"/>
        <v>450</v>
      </c>
      <c r="K30" s="9">
        <f t="shared" si="8"/>
        <v>492.44289008980525</v>
      </c>
      <c r="L30" s="92">
        <f t="shared" si="9"/>
        <v>0.40613846605344761</v>
      </c>
      <c r="M30" s="92">
        <f t="shared" si="10"/>
        <v>0.91381154862025715</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450</v>
      </c>
      <c r="G31" s="5">
        <f t="shared" si="4"/>
        <v>400</v>
      </c>
      <c r="H31" s="5">
        <f t="shared" si="5"/>
        <v>100</v>
      </c>
      <c r="I31" s="9">
        <f t="shared" si="6"/>
        <v>200</v>
      </c>
      <c r="J31" s="9">
        <f t="shared" si="7"/>
        <v>-350</v>
      </c>
      <c r="K31" s="9">
        <f t="shared" si="8"/>
        <v>403.11288741492746</v>
      </c>
      <c r="L31" s="92">
        <f t="shared" si="9"/>
        <v>0.49613893835683387</v>
      </c>
      <c r="M31" s="92">
        <f t="shared" si="10"/>
        <v>-0.8682431421244593</v>
      </c>
      <c r="N31" s="22">
        <v>12</v>
      </c>
      <c r="O31" s="24">
        <v>2100000</v>
      </c>
    </row>
    <row r="32" spans="2:29" ht="19.05" customHeight="1" x14ac:dyDescent="0.3">
      <c r="B32" s="89">
        <v>5</v>
      </c>
      <c r="C32" s="23">
        <v>4</v>
      </c>
      <c r="D32" s="23">
        <v>5</v>
      </c>
      <c r="E32" s="5">
        <f t="shared" si="2"/>
        <v>200</v>
      </c>
      <c r="F32" s="5">
        <f t="shared" si="3"/>
        <v>450</v>
      </c>
      <c r="G32" s="5">
        <f t="shared" si="4"/>
        <v>600</v>
      </c>
      <c r="H32" s="5">
        <f t="shared" si="5"/>
        <v>450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100</v>
      </c>
      <c r="G33" s="5">
        <f t="shared" si="4"/>
        <v>600</v>
      </c>
      <c r="H33" s="5">
        <f t="shared" si="5"/>
        <v>450</v>
      </c>
      <c r="I33" s="9">
        <f t="shared" si="6"/>
        <v>200</v>
      </c>
      <c r="J33" s="9">
        <f t="shared" si="7"/>
        <v>350</v>
      </c>
      <c r="K33" s="9">
        <f t="shared" si="8"/>
        <v>403.11288741492746</v>
      </c>
      <c r="L33" s="92">
        <f t="shared" si="9"/>
        <v>0.49613893835683387</v>
      </c>
      <c r="M33" s="92">
        <f t="shared" si="10"/>
        <v>0.8682431421244593</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450</v>
      </c>
      <c r="G34" s="5">
        <f t="shared" si="4"/>
        <v>800</v>
      </c>
      <c r="H34" s="5">
        <f t="shared" si="5"/>
        <v>200</v>
      </c>
      <c r="I34" s="9">
        <f t="shared" si="6"/>
        <v>200</v>
      </c>
      <c r="J34" s="9">
        <f t="shared" si="7"/>
        <v>-250</v>
      </c>
      <c r="K34" s="9">
        <f t="shared" si="8"/>
        <v>320.15621187164243</v>
      </c>
      <c r="L34" s="92">
        <f t="shared" si="9"/>
        <v>0.62469504755442429</v>
      </c>
      <c r="M34" s="92">
        <f t="shared" si="10"/>
        <v>-0.78086880944303039</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300-000000000000}">
      <formula1>"Fijo (articulado),Rodillo Y (despl. X libre),Rodillo X (despl. Y libre),Libre (0 reac.)"</formula1>
    </dataValidation>
  </dataValidations>
  <pageMargins left="0.75" right="0.75" top="1" bottom="1" header="0.5" footer="0.5"/>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522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GRAFICA_25!E28</f>
        <v>0</v>
      </c>
      <c r="D6" s="22">
        <f>GRAFICA_25!F28</f>
        <v>0</v>
      </c>
      <c r="E6" s="22">
        <f>GRAFICA_25!G28</f>
        <v>400</v>
      </c>
      <c r="F6" s="22">
        <f>GRAFICA_25!H28</f>
        <v>100</v>
      </c>
      <c r="G6" s="9">
        <f t="shared" ref="G6:H12" si="0">E6-C6</f>
        <v>400</v>
      </c>
      <c r="H6" s="9">
        <f t="shared" si="0"/>
        <v>100</v>
      </c>
      <c r="I6" s="9">
        <f t="shared" ref="I6:I12" si="1">SQRT(G6*G6+H6*H6)</f>
        <v>412.31056256176606</v>
      </c>
      <c r="J6" s="92">
        <f t="shared" ref="J6:J12" si="2">G6/I6</f>
        <v>0.97014250014533188</v>
      </c>
      <c r="K6" s="92">
        <f t="shared" ref="K6:K12" si="3">H6/I6</f>
        <v>0.24253562503633297</v>
      </c>
      <c r="L6" s="22">
        <f>GRAFICA_25!N28</f>
        <v>12</v>
      </c>
      <c r="M6" s="22">
        <f>GRAFICA_25!O28</f>
        <v>2100000</v>
      </c>
      <c r="N6" s="6">
        <f t="shared" ref="N6:N12" si="4">L6*M6/I6</f>
        <v>61118.977509155906</v>
      </c>
    </row>
    <row r="7" spans="2:14" ht="19.05" customHeight="1" x14ac:dyDescent="0.3">
      <c r="B7" s="25">
        <v>2</v>
      </c>
      <c r="C7" s="22">
        <f>GRAFICA_25!E29</f>
        <v>400</v>
      </c>
      <c r="D7" s="22">
        <f>GRAFICA_25!F29</f>
        <v>100</v>
      </c>
      <c r="E7" s="22">
        <f>GRAFICA_25!G29</f>
        <v>800</v>
      </c>
      <c r="F7" s="22">
        <f>GRAFICA_25!H29</f>
        <v>200</v>
      </c>
      <c r="G7" s="9">
        <f t="shared" si="0"/>
        <v>400</v>
      </c>
      <c r="H7" s="9">
        <f t="shared" si="0"/>
        <v>100</v>
      </c>
      <c r="I7" s="9">
        <f t="shared" si="1"/>
        <v>412.31056256176606</v>
      </c>
      <c r="J7" s="92">
        <f t="shared" si="2"/>
        <v>0.97014250014533188</v>
      </c>
      <c r="K7" s="92">
        <f t="shared" si="3"/>
        <v>0.24253562503633297</v>
      </c>
      <c r="L7" s="22">
        <f>GRAFICA_25!N29</f>
        <v>12</v>
      </c>
      <c r="M7" s="22">
        <f>GRAFICA_25!O29</f>
        <v>2100000</v>
      </c>
      <c r="N7" s="6">
        <f t="shared" si="4"/>
        <v>61118.977509155906</v>
      </c>
    </row>
    <row r="8" spans="2:14" ht="19.05" customHeight="1" x14ac:dyDescent="0.3">
      <c r="B8" s="26">
        <v>3</v>
      </c>
      <c r="C8" s="22">
        <f>GRAFICA_25!E30</f>
        <v>0</v>
      </c>
      <c r="D8" s="22">
        <f>GRAFICA_25!F30</f>
        <v>0</v>
      </c>
      <c r="E8" s="22">
        <f>GRAFICA_25!G30</f>
        <v>200</v>
      </c>
      <c r="F8" s="22">
        <f>GRAFICA_25!H30</f>
        <v>450</v>
      </c>
      <c r="G8" s="9">
        <f t="shared" si="0"/>
        <v>200</v>
      </c>
      <c r="H8" s="9">
        <f t="shared" si="0"/>
        <v>450</v>
      </c>
      <c r="I8" s="9">
        <f t="shared" si="1"/>
        <v>492.44289008980525</v>
      </c>
      <c r="J8" s="92">
        <f t="shared" si="2"/>
        <v>0.40613846605344761</v>
      </c>
      <c r="K8" s="92">
        <f t="shared" si="3"/>
        <v>0.91381154862025715</v>
      </c>
      <c r="L8" s="22">
        <f>GRAFICA_25!N30</f>
        <v>12</v>
      </c>
      <c r="M8" s="22">
        <f>GRAFICA_25!O30</f>
        <v>2100000</v>
      </c>
      <c r="N8" s="6">
        <f t="shared" si="4"/>
        <v>51173.446722734399</v>
      </c>
    </row>
    <row r="9" spans="2:14" ht="19.05" customHeight="1" x14ac:dyDescent="0.3">
      <c r="B9" s="43">
        <v>4</v>
      </c>
      <c r="C9" s="22">
        <f>GRAFICA_25!E31</f>
        <v>200</v>
      </c>
      <c r="D9" s="22">
        <f>GRAFICA_25!F31</f>
        <v>450</v>
      </c>
      <c r="E9" s="22">
        <f>GRAFICA_25!G31</f>
        <v>400</v>
      </c>
      <c r="F9" s="22">
        <f>GRAFICA_25!H31</f>
        <v>100</v>
      </c>
      <c r="G9" s="9">
        <f t="shared" si="0"/>
        <v>200</v>
      </c>
      <c r="H9" s="9">
        <f t="shared" si="0"/>
        <v>-350</v>
      </c>
      <c r="I9" s="9">
        <f t="shared" si="1"/>
        <v>403.11288741492746</v>
      </c>
      <c r="J9" s="92">
        <f t="shared" si="2"/>
        <v>0.49613893835683387</v>
      </c>
      <c r="K9" s="92">
        <f t="shared" si="3"/>
        <v>-0.8682431421244593</v>
      </c>
      <c r="L9" s="22">
        <f>GRAFICA_25!N31</f>
        <v>12</v>
      </c>
      <c r="M9" s="22">
        <f>GRAFICA_25!O31</f>
        <v>2100000</v>
      </c>
      <c r="N9" s="6">
        <f t="shared" si="4"/>
        <v>62513.506232961066</v>
      </c>
    </row>
    <row r="10" spans="2:14" ht="19.05" customHeight="1" x14ac:dyDescent="0.3">
      <c r="B10" s="44">
        <v>5</v>
      </c>
      <c r="C10" s="22">
        <f>GRAFICA_25!E32</f>
        <v>200</v>
      </c>
      <c r="D10" s="22">
        <f>GRAFICA_25!F32</f>
        <v>450</v>
      </c>
      <c r="E10" s="22">
        <f>GRAFICA_25!G32</f>
        <v>600</v>
      </c>
      <c r="F10" s="22">
        <f>GRAFICA_25!H32</f>
        <v>450</v>
      </c>
      <c r="G10" s="9">
        <f t="shared" si="0"/>
        <v>400</v>
      </c>
      <c r="H10" s="9">
        <f t="shared" si="0"/>
        <v>0</v>
      </c>
      <c r="I10" s="9">
        <f t="shared" si="1"/>
        <v>400</v>
      </c>
      <c r="J10" s="92">
        <f t="shared" si="2"/>
        <v>1</v>
      </c>
      <c r="K10" s="92">
        <f t="shared" si="3"/>
        <v>0</v>
      </c>
      <c r="L10" s="22">
        <f>GRAFICA_25!N32</f>
        <v>12</v>
      </c>
      <c r="M10" s="22">
        <f>GRAFICA_25!O32</f>
        <v>2100000</v>
      </c>
      <c r="N10" s="6">
        <f t="shared" si="4"/>
        <v>63000</v>
      </c>
    </row>
    <row r="11" spans="2:14" ht="19.05" customHeight="1" x14ac:dyDescent="0.3">
      <c r="B11" s="51">
        <v>6</v>
      </c>
      <c r="C11" s="22">
        <f>GRAFICA_25!E33</f>
        <v>400</v>
      </c>
      <c r="D11" s="22">
        <f>GRAFICA_25!F33</f>
        <v>100</v>
      </c>
      <c r="E11" s="22">
        <f>GRAFICA_25!G33</f>
        <v>600</v>
      </c>
      <c r="F11" s="22">
        <f>GRAFICA_25!H33</f>
        <v>450</v>
      </c>
      <c r="G11" s="9">
        <f t="shared" si="0"/>
        <v>200</v>
      </c>
      <c r="H11" s="9">
        <f t="shared" si="0"/>
        <v>350</v>
      </c>
      <c r="I11" s="9">
        <f t="shared" si="1"/>
        <v>403.11288741492746</v>
      </c>
      <c r="J11" s="92">
        <f t="shared" si="2"/>
        <v>0.49613893835683387</v>
      </c>
      <c r="K11" s="92">
        <f t="shared" si="3"/>
        <v>0.8682431421244593</v>
      </c>
      <c r="L11" s="22">
        <f>GRAFICA_25!N33</f>
        <v>12</v>
      </c>
      <c r="M11" s="22">
        <f>GRAFICA_25!O33</f>
        <v>2100000</v>
      </c>
      <c r="N11" s="6">
        <f t="shared" si="4"/>
        <v>62513.506232961066</v>
      </c>
    </row>
    <row r="12" spans="2:14" ht="19.05" customHeight="1" x14ac:dyDescent="0.3">
      <c r="B12" s="52">
        <v>7</v>
      </c>
      <c r="C12" s="22">
        <f>GRAFICA_25!E34</f>
        <v>600</v>
      </c>
      <c r="D12" s="22">
        <f>GRAFICA_25!F34</f>
        <v>450</v>
      </c>
      <c r="E12" s="22">
        <f>GRAFICA_25!G34</f>
        <v>800</v>
      </c>
      <c r="F12" s="22">
        <f>GRAFICA_25!H34</f>
        <v>200</v>
      </c>
      <c r="G12" s="9">
        <f t="shared" si="0"/>
        <v>200</v>
      </c>
      <c r="H12" s="9">
        <f t="shared" si="0"/>
        <v>-250</v>
      </c>
      <c r="I12" s="9">
        <f t="shared" si="1"/>
        <v>320.15621187164243</v>
      </c>
      <c r="J12" s="92">
        <f t="shared" si="2"/>
        <v>0.62469504755442429</v>
      </c>
      <c r="K12" s="92">
        <f t="shared" si="3"/>
        <v>-0.78086880944303039</v>
      </c>
      <c r="L12" s="22">
        <f>GRAFICA_25!N34</f>
        <v>12</v>
      </c>
      <c r="M12" s="22">
        <f>GRAFICA_25!O34</f>
        <v>2100000</v>
      </c>
      <c r="N12" s="6">
        <f t="shared" si="4"/>
        <v>78711.575991857462</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GRAFICA_25!C28</f>
        <v>1</v>
      </c>
      <c r="D16" s="23">
        <f>GRAFICA_25!C28</f>
        <v>1</v>
      </c>
      <c r="E16" s="23">
        <f>GRAFICA_25!D28</f>
        <v>2</v>
      </c>
      <c r="F16" s="23">
        <f>GRAFICA_25!D28</f>
        <v>2</v>
      </c>
    </row>
    <row r="17" spans="1:12" ht="19.05" customHeight="1" x14ac:dyDescent="0.3">
      <c r="B17" s="25">
        <v>2</v>
      </c>
      <c r="C17" s="23">
        <f>GRAFICA_25!C29</f>
        <v>2</v>
      </c>
      <c r="D17" s="23">
        <f>GRAFICA_25!C29</f>
        <v>2</v>
      </c>
      <c r="E17" s="23">
        <f>GRAFICA_25!D29</f>
        <v>3</v>
      </c>
      <c r="F17" s="23">
        <f>GRAFICA_25!D29</f>
        <v>3</v>
      </c>
    </row>
    <row r="18" spans="1:12" ht="19.05" customHeight="1" x14ac:dyDescent="0.3">
      <c r="B18" s="26">
        <v>3</v>
      </c>
      <c r="C18" s="23">
        <f>GRAFICA_25!C30</f>
        <v>1</v>
      </c>
      <c r="D18" s="23">
        <f>GRAFICA_25!C30</f>
        <v>1</v>
      </c>
      <c r="E18" s="23">
        <f>GRAFICA_25!D30</f>
        <v>4</v>
      </c>
      <c r="F18" s="23">
        <f>GRAFICA_25!D30</f>
        <v>4</v>
      </c>
    </row>
    <row r="19" spans="1:12" ht="19.05" customHeight="1" x14ac:dyDescent="0.3">
      <c r="B19" s="43">
        <v>4</v>
      </c>
      <c r="C19" s="23">
        <f>GRAFICA_25!C31</f>
        <v>4</v>
      </c>
      <c r="D19" s="23">
        <f>GRAFICA_25!C31</f>
        <v>4</v>
      </c>
      <c r="E19" s="23">
        <f>GRAFICA_25!D31</f>
        <v>2</v>
      </c>
      <c r="F19" s="23">
        <f>GRAFICA_25!D31</f>
        <v>2</v>
      </c>
    </row>
    <row r="20" spans="1:12" ht="19.05" customHeight="1" x14ac:dyDescent="0.3">
      <c r="B20" s="44">
        <v>5</v>
      </c>
      <c r="C20" s="23">
        <f>GRAFICA_25!C32</f>
        <v>4</v>
      </c>
      <c r="D20" s="23">
        <f>GRAFICA_25!C32</f>
        <v>4</v>
      </c>
      <c r="E20" s="23">
        <f>GRAFICA_25!D32</f>
        <v>5</v>
      </c>
      <c r="F20" s="23">
        <f>GRAFICA_25!D32</f>
        <v>5</v>
      </c>
    </row>
    <row r="21" spans="1:12" ht="19.05" customHeight="1" x14ac:dyDescent="0.3">
      <c r="B21" s="51">
        <v>6</v>
      </c>
      <c r="C21" s="23">
        <f>GRAFICA_25!C33</f>
        <v>2</v>
      </c>
      <c r="D21" s="23">
        <f>GRAFICA_25!C33</f>
        <v>2</v>
      </c>
      <c r="E21" s="23">
        <f>GRAFICA_25!D33</f>
        <v>5</v>
      </c>
      <c r="F21" s="23">
        <f>GRAFICA_25!D33</f>
        <v>5</v>
      </c>
    </row>
    <row r="22" spans="1:12" ht="19.05" customHeight="1" x14ac:dyDescent="0.3">
      <c r="B22" s="52">
        <v>7</v>
      </c>
      <c r="C22" s="23">
        <f>GRAFICA_25!C34</f>
        <v>5</v>
      </c>
      <c r="D22" s="23">
        <f>GRAFICA_25!C34</f>
        <v>5</v>
      </c>
      <c r="E22" s="23">
        <f>GRAFICA_25!D34</f>
        <v>3</v>
      </c>
      <c r="F22" s="23">
        <f>GRAFICA_25!D34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57523.743538029084</v>
      </c>
      <c r="C26" s="7">
        <f>J6*K6*N6</f>
        <v>14380.935884507271</v>
      </c>
      <c r="D26" s="7">
        <f>-B26</f>
        <v>-57523.743538029084</v>
      </c>
      <c r="E26" s="7">
        <f>-C26</f>
        <v>-14380.935884507271</v>
      </c>
      <c r="F26" s="27" t="str">
        <f>B25</f>
        <v>U1X</v>
      </c>
    </row>
    <row r="27" spans="1:12" ht="16.8" customHeight="1" x14ac:dyDescent="0.3">
      <c r="A27" s="28" t="s">
        <v>177</v>
      </c>
      <c r="B27" s="7">
        <f>C26</f>
        <v>14380.935884507271</v>
      </c>
      <c r="C27" s="7">
        <f>K6*K6*N6</f>
        <v>3595.2339711268178</v>
      </c>
      <c r="D27" s="7">
        <f>-B27</f>
        <v>-14380.935884507271</v>
      </c>
      <c r="E27" s="7">
        <f>-C27</f>
        <v>-3595.2339711268178</v>
      </c>
      <c r="F27" s="27" t="str">
        <f>C25</f>
        <v>U1Y</v>
      </c>
    </row>
    <row r="28" spans="1:12" x14ac:dyDescent="0.3">
      <c r="B28" s="7">
        <f>D26</f>
        <v>-57523.743538029084</v>
      </c>
      <c r="C28" s="7">
        <f>E26</f>
        <v>-14380.935884507271</v>
      </c>
      <c r="D28" s="7">
        <f>B26</f>
        <v>57523.743538029084</v>
      </c>
      <c r="E28" s="7">
        <f>C26</f>
        <v>14380.935884507271</v>
      </c>
      <c r="F28" s="27" t="str">
        <f>D25</f>
        <v>U2X</v>
      </c>
    </row>
    <row r="29" spans="1:12" x14ac:dyDescent="0.3">
      <c r="B29" s="7">
        <f>D27</f>
        <v>-14380.935884507271</v>
      </c>
      <c r="C29" s="7">
        <f>E27</f>
        <v>-3595.2339711268178</v>
      </c>
      <c r="D29" s="7">
        <f>B27</f>
        <v>14380.935884507271</v>
      </c>
      <c r="E29" s="7">
        <f>C27</f>
        <v>3595.2339711268178</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57523.743538029084</v>
      </c>
      <c r="C32" s="8">
        <f t="shared" si="5"/>
        <v>14380.935884507271</v>
      </c>
      <c r="D32" s="8">
        <f t="shared" si="5"/>
        <v>-57523.743538029084</v>
      </c>
      <c r="E32" s="8">
        <f t="shared" si="5"/>
        <v>-14380.935884507271</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14380.935884507271</v>
      </c>
      <c r="C33" s="8">
        <f t="shared" si="5"/>
        <v>3595.2339711268178</v>
      </c>
      <c r="D33" s="8">
        <f t="shared" si="5"/>
        <v>-14380.935884507271</v>
      </c>
      <c r="E33" s="8">
        <f t="shared" si="5"/>
        <v>-3595.2339711268178</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-57523.743538029084</v>
      </c>
      <c r="C34" s="8">
        <f t="shared" si="5"/>
        <v>-14380.935884507271</v>
      </c>
      <c r="D34" s="8">
        <f t="shared" si="5"/>
        <v>57523.743538029084</v>
      </c>
      <c r="E34" s="8">
        <f t="shared" si="5"/>
        <v>14380.935884507271</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-14380.935884507271</v>
      </c>
      <c r="C35" s="8">
        <f t="shared" si="5"/>
        <v>-3595.2339711268178</v>
      </c>
      <c r="D35" s="8">
        <f t="shared" si="5"/>
        <v>14380.935884507271</v>
      </c>
      <c r="E35" s="8">
        <f t="shared" si="5"/>
        <v>3595.2339711268178</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57523.743538029084</v>
      </c>
      <c r="C45" s="30">
        <f>J7*K7*N7</f>
        <v>14380.935884507271</v>
      </c>
      <c r="D45" s="30">
        <f>-B45</f>
        <v>-57523.743538029084</v>
      </c>
      <c r="E45" s="30">
        <f>-C45</f>
        <v>-14380.935884507271</v>
      </c>
      <c r="F45" s="29" t="str">
        <f>B44</f>
        <v>U2X</v>
      </c>
    </row>
    <row r="46" spans="1:12" ht="16.8" customHeight="1" x14ac:dyDescent="0.3">
      <c r="A46" s="28" t="s">
        <v>191</v>
      </c>
      <c r="B46" s="30">
        <f>C45</f>
        <v>14380.935884507271</v>
      </c>
      <c r="C46" s="30">
        <f>K7*K7*N7</f>
        <v>3595.2339711268178</v>
      </c>
      <c r="D46" s="30">
        <f>-B46</f>
        <v>-14380.935884507271</v>
      </c>
      <c r="E46" s="30">
        <f>-C46</f>
        <v>-3595.2339711268178</v>
      </c>
      <c r="F46" s="29" t="str">
        <f>C44</f>
        <v>U2Y</v>
      </c>
    </row>
    <row r="47" spans="1:12" x14ac:dyDescent="0.3">
      <c r="B47" s="30">
        <f>D45</f>
        <v>-57523.743538029084</v>
      </c>
      <c r="C47" s="30">
        <f>E45</f>
        <v>-14380.935884507271</v>
      </c>
      <c r="D47" s="30">
        <f>B45</f>
        <v>57523.743538029084</v>
      </c>
      <c r="E47" s="30">
        <f>C45</f>
        <v>14380.935884507271</v>
      </c>
      <c r="F47" s="29" t="str">
        <f>D44</f>
        <v>U3X</v>
      </c>
    </row>
    <row r="48" spans="1:12" x14ac:dyDescent="0.3">
      <c r="B48" s="30">
        <f>D46</f>
        <v>-14380.935884507271</v>
      </c>
      <c r="C48" s="30">
        <f>E46</f>
        <v>-3595.2339711268178</v>
      </c>
      <c r="D48" s="30">
        <f>B46</f>
        <v>14380.935884507271</v>
      </c>
      <c r="E48" s="30">
        <f>C46</f>
        <v>3595.2339711268178</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57523.743538029084</v>
      </c>
      <c r="E53" s="31">
        <f t="shared" si="6"/>
        <v>14380.935884507271</v>
      </c>
      <c r="F53" s="31">
        <f t="shared" si="6"/>
        <v>-57523.743538029084</v>
      </c>
      <c r="G53" s="31">
        <f t="shared" si="6"/>
        <v>-14380.935884507271</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14380.935884507271</v>
      </c>
      <c r="E54" s="31">
        <f t="shared" si="6"/>
        <v>3595.2339711268178</v>
      </c>
      <c r="F54" s="31">
        <f t="shared" si="6"/>
        <v>-14380.935884507271</v>
      </c>
      <c r="G54" s="31">
        <f t="shared" si="6"/>
        <v>-3595.2339711268178</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-57523.743538029084</v>
      </c>
      <c r="E55" s="31">
        <f t="shared" si="6"/>
        <v>-14380.935884507271</v>
      </c>
      <c r="F55" s="31">
        <f t="shared" si="6"/>
        <v>57523.743538029084</v>
      </c>
      <c r="G55" s="31">
        <f t="shared" si="6"/>
        <v>14380.935884507271</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-14380.935884507271</v>
      </c>
      <c r="E56" s="31">
        <f t="shared" si="6"/>
        <v>-3595.2339711268178</v>
      </c>
      <c r="F56" s="31">
        <f t="shared" si="6"/>
        <v>14380.935884507271</v>
      </c>
      <c r="G56" s="31">
        <f t="shared" si="6"/>
        <v>3595.2339711268178</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8440.9809027190768</v>
      </c>
      <c r="C64" s="33">
        <f>J8*K8*N8</f>
        <v>18992.207031117923</v>
      </c>
      <c r="D64" s="33">
        <f>-B64</f>
        <v>-8440.9809027190768</v>
      </c>
      <c r="E64" s="33">
        <f>-C64</f>
        <v>-18992.207031117923</v>
      </c>
      <c r="F64" s="32" t="str">
        <f>B63</f>
        <v>U1X</v>
      </c>
    </row>
    <row r="65" spans="1:12" ht="16.8" customHeight="1" x14ac:dyDescent="0.3">
      <c r="A65" s="28" t="s">
        <v>193</v>
      </c>
      <c r="B65" s="33">
        <f>C64</f>
        <v>18992.207031117923</v>
      </c>
      <c r="C65" s="33">
        <f>K8*K8*N8</f>
        <v>42732.465820015328</v>
      </c>
      <c r="D65" s="33">
        <f>-B65</f>
        <v>-18992.207031117923</v>
      </c>
      <c r="E65" s="33">
        <f>-C65</f>
        <v>-42732.465820015328</v>
      </c>
      <c r="F65" s="32" t="str">
        <f>C63</f>
        <v>U1Y</v>
      </c>
    </row>
    <row r="66" spans="1:12" x14ac:dyDescent="0.3">
      <c r="B66" s="33">
        <f>D64</f>
        <v>-8440.9809027190768</v>
      </c>
      <c r="C66" s="33">
        <f>E64</f>
        <v>-18992.207031117923</v>
      </c>
      <c r="D66" s="33">
        <f>B64</f>
        <v>8440.9809027190768</v>
      </c>
      <c r="E66" s="33">
        <f>C64</f>
        <v>18992.207031117923</v>
      </c>
      <c r="F66" s="32" t="str">
        <f>D63</f>
        <v>U4X</v>
      </c>
    </row>
    <row r="67" spans="1:12" x14ac:dyDescent="0.3">
      <c r="B67" s="33">
        <f>D65</f>
        <v>-18992.207031117923</v>
      </c>
      <c r="C67" s="33">
        <f>E65</f>
        <v>-42732.465820015328</v>
      </c>
      <c r="D67" s="33">
        <f>B65</f>
        <v>18992.207031117923</v>
      </c>
      <c r="E67" s="33">
        <f>C65</f>
        <v>42732.465820015328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8440.9809027190768</v>
      </c>
      <c r="C70" s="34">
        <f t="shared" si="7"/>
        <v>18992.207031117923</v>
      </c>
      <c r="D70" s="9">
        <f t="shared" si="7"/>
        <v>0</v>
      </c>
      <c r="E70" s="9">
        <f t="shared" si="7"/>
        <v>0</v>
      </c>
      <c r="F70" s="9">
        <f t="shared" si="7"/>
        <v>0</v>
      </c>
      <c r="G70" s="9">
        <f t="shared" si="7"/>
        <v>0</v>
      </c>
      <c r="H70" s="34">
        <f t="shared" si="7"/>
        <v>-8440.9809027190768</v>
      </c>
      <c r="I70" s="34">
        <f t="shared" si="7"/>
        <v>-18992.207031117923</v>
      </c>
      <c r="J70" s="9">
        <f t="shared" si="7"/>
        <v>0</v>
      </c>
      <c r="K70" s="9">
        <f t="shared" si="7"/>
        <v>0</v>
      </c>
      <c r="L70" s="32" t="s">
        <v>178</v>
      </c>
    </row>
    <row r="71" spans="1:12" ht="19.05" customHeight="1" x14ac:dyDescent="0.3">
      <c r="B71" s="34">
        <f t="shared" si="7"/>
        <v>18992.207031117923</v>
      </c>
      <c r="C71" s="34">
        <f t="shared" si="7"/>
        <v>42732.465820015328</v>
      </c>
      <c r="D71" s="9">
        <f t="shared" si="7"/>
        <v>0</v>
      </c>
      <c r="E71" s="9">
        <f t="shared" si="7"/>
        <v>0</v>
      </c>
      <c r="F71" s="9">
        <f t="shared" si="7"/>
        <v>0</v>
      </c>
      <c r="G71" s="9">
        <f t="shared" si="7"/>
        <v>0</v>
      </c>
      <c r="H71" s="34">
        <f t="shared" si="7"/>
        <v>-18992.207031117923</v>
      </c>
      <c r="I71" s="34">
        <f t="shared" si="7"/>
        <v>-42732.465820015328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-8440.9809027190768</v>
      </c>
      <c r="C76" s="34">
        <f t="shared" si="7"/>
        <v>-18992.207031117923</v>
      </c>
      <c r="D76" s="9">
        <f t="shared" si="7"/>
        <v>0</v>
      </c>
      <c r="E76" s="9">
        <f t="shared" si="7"/>
        <v>0</v>
      </c>
      <c r="F76" s="9">
        <f t="shared" si="7"/>
        <v>0</v>
      </c>
      <c r="G76" s="9">
        <f t="shared" si="7"/>
        <v>0</v>
      </c>
      <c r="H76" s="34">
        <f t="shared" si="7"/>
        <v>8440.9809027190768</v>
      </c>
      <c r="I76" s="34">
        <f t="shared" si="7"/>
        <v>18992.207031117923</v>
      </c>
      <c r="J76" s="9">
        <f t="shared" si="7"/>
        <v>0</v>
      </c>
      <c r="K76" s="9">
        <f t="shared" si="7"/>
        <v>0</v>
      </c>
      <c r="L76" s="32" t="s">
        <v>184</v>
      </c>
    </row>
    <row r="77" spans="1:12" ht="19.05" customHeight="1" x14ac:dyDescent="0.3">
      <c r="B77" s="34">
        <f t="shared" si="7"/>
        <v>-18992.207031117923</v>
      </c>
      <c r="C77" s="34">
        <f t="shared" si="7"/>
        <v>-42732.465820015328</v>
      </c>
      <c r="D77" s="9">
        <f t="shared" si="7"/>
        <v>0</v>
      </c>
      <c r="E77" s="9">
        <f t="shared" si="7"/>
        <v>0</v>
      </c>
      <c r="F77" s="9">
        <f t="shared" si="7"/>
        <v>0</v>
      </c>
      <c r="G77" s="9">
        <f t="shared" si="7"/>
        <v>0</v>
      </c>
      <c r="H77" s="34">
        <f t="shared" si="7"/>
        <v>18992.207031117923</v>
      </c>
      <c r="I77" s="34">
        <f t="shared" si="7"/>
        <v>42732.465820015328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15387.939995805804</v>
      </c>
      <c r="C83" s="46">
        <f>J9*K9*N9</f>
        <v>-26928.894992660156</v>
      </c>
      <c r="D83" s="46">
        <f>-B83</f>
        <v>-15387.939995805804</v>
      </c>
      <c r="E83" s="46">
        <f>-C83</f>
        <v>26928.894992660156</v>
      </c>
      <c r="F83" s="45" t="str">
        <f>B82</f>
        <v>U4X</v>
      </c>
    </row>
    <row r="84" spans="1:12" ht="16.8" customHeight="1" x14ac:dyDescent="0.3">
      <c r="A84" s="28" t="s">
        <v>195</v>
      </c>
      <c r="B84" s="46">
        <f>C83</f>
        <v>-26928.894992660156</v>
      </c>
      <c r="C84" s="46">
        <f>K9*K9*N9</f>
        <v>47125.566237155275</v>
      </c>
      <c r="D84" s="46">
        <f>-B84</f>
        <v>26928.894992660156</v>
      </c>
      <c r="E84" s="46">
        <f>-C84</f>
        <v>-47125.566237155275</v>
      </c>
      <c r="F84" s="45" t="str">
        <f>C82</f>
        <v>U4Y</v>
      </c>
    </row>
    <row r="85" spans="1:12" x14ac:dyDescent="0.3">
      <c r="B85" s="46">
        <f>D83</f>
        <v>-15387.939995805804</v>
      </c>
      <c r="C85" s="46">
        <f>E83</f>
        <v>26928.894992660156</v>
      </c>
      <c r="D85" s="46">
        <f>B83</f>
        <v>15387.939995805804</v>
      </c>
      <c r="E85" s="46">
        <f>C83</f>
        <v>-26928.894992660156</v>
      </c>
      <c r="F85" s="45" t="str">
        <f>D82</f>
        <v>U2X</v>
      </c>
    </row>
    <row r="86" spans="1:12" x14ac:dyDescent="0.3">
      <c r="B86" s="46">
        <f>D84</f>
        <v>26928.894992660156</v>
      </c>
      <c r="C86" s="46">
        <f>E84</f>
        <v>-47125.566237155275</v>
      </c>
      <c r="D86" s="46">
        <f>B84</f>
        <v>-26928.894992660156</v>
      </c>
      <c r="E86" s="46">
        <f>C84</f>
        <v>47125.566237155275</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15387.939995805804</v>
      </c>
      <c r="E91" s="47">
        <f t="shared" si="8"/>
        <v>-26928.894992660156</v>
      </c>
      <c r="F91" s="9">
        <f t="shared" si="8"/>
        <v>0</v>
      </c>
      <c r="G91" s="9">
        <f t="shared" si="8"/>
        <v>0</v>
      </c>
      <c r="H91" s="47">
        <f t="shared" si="8"/>
        <v>-15387.939995805804</v>
      </c>
      <c r="I91" s="47">
        <f t="shared" si="8"/>
        <v>26928.894992660156</v>
      </c>
      <c r="J91" s="9">
        <f t="shared" si="8"/>
        <v>0</v>
      </c>
      <c r="K91" s="9">
        <f t="shared" si="8"/>
        <v>0</v>
      </c>
      <c r="L91" s="45" t="s">
        <v>180</v>
      </c>
    </row>
    <row r="92" spans="1:12" ht="19.05" customHeight="1" x14ac:dyDescent="0.3">
      <c r="B92" s="9">
        <f t="shared" si="8"/>
        <v>0</v>
      </c>
      <c r="C92" s="9">
        <f t="shared" si="8"/>
        <v>0</v>
      </c>
      <c r="D92" s="47">
        <f t="shared" si="8"/>
        <v>-26928.894992660156</v>
      </c>
      <c r="E92" s="47">
        <f t="shared" si="8"/>
        <v>47125.566237155275</v>
      </c>
      <c r="F92" s="9">
        <f t="shared" si="8"/>
        <v>0</v>
      </c>
      <c r="G92" s="9">
        <f t="shared" si="8"/>
        <v>0</v>
      </c>
      <c r="H92" s="47">
        <f t="shared" si="8"/>
        <v>26928.894992660156</v>
      </c>
      <c r="I92" s="47">
        <f t="shared" si="8"/>
        <v>-47125.566237155275</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-15387.939995805804</v>
      </c>
      <c r="E95" s="47">
        <f t="shared" si="8"/>
        <v>26928.894992660156</v>
      </c>
      <c r="F95" s="9">
        <f t="shared" si="8"/>
        <v>0</v>
      </c>
      <c r="G95" s="9">
        <f t="shared" si="8"/>
        <v>0</v>
      </c>
      <c r="H95" s="47">
        <f t="shared" si="8"/>
        <v>15387.939995805804</v>
      </c>
      <c r="I95" s="47">
        <f t="shared" si="8"/>
        <v>-26928.894992660156</v>
      </c>
      <c r="J95" s="9">
        <f t="shared" si="8"/>
        <v>0</v>
      </c>
      <c r="K95" s="9">
        <f t="shared" si="8"/>
        <v>0</v>
      </c>
      <c r="L95" s="45" t="s">
        <v>184</v>
      </c>
    </row>
    <row r="96" spans="1:12" ht="19.05" customHeight="1" x14ac:dyDescent="0.3">
      <c r="B96" s="9">
        <f t="shared" si="8"/>
        <v>0</v>
      </c>
      <c r="C96" s="9">
        <f t="shared" si="8"/>
        <v>0</v>
      </c>
      <c r="D96" s="47">
        <f t="shared" si="8"/>
        <v>26928.894992660156</v>
      </c>
      <c r="E96" s="47">
        <f t="shared" si="8"/>
        <v>-47125.566237155275</v>
      </c>
      <c r="F96" s="9">
        <f t="shared" si="8"/>
        <v>0</v>
      </c>
      <c r="G96" s="9">
        <f t="shared" si="8"/>
        <v>0</v>
      </c>
      <c r="H96" s="47">
        <f t="shared" si="8"/>
        <v>-26928.894992660156</v>
      </c>
      <c r="I96" s="47">
        <f t="shared" si="8"/>
        <v>47125.566237155275</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15387.939995805804</v>
      </c>
      <c r="C121" s="54">
        <f>J11*K11*N11</f>
        <v>26928.894992660156</v>
      </c>
      <c r="D121" s="54">
        <f>-B121</f>
        <v>-15387.939995805804</v>
      </c>
      <c r="E121" s="54">
        <f>-C121</f>
        <v>-26928.894992660156</v>
      </c>
      <c r="F121" s="53" t="str">
        <f>B120</f>
        <v>U2X</v>
      </c>
    </row>
    <row r="122" spans="1:12" ht="16.8" customHeight="1" x14ac:dyDescent="0.3">
      <c r="A122" s="28" t="s">
        <v>199</v>
      </c>
      <c r="B122" s="54">
        <f>C121</f>
        <v>26928.894992660156</v>
      </c>
      <c r="C122" s="54">
        <f>K11*K11*N11</f>
        <v>47125.566237155275</v>
      </c>
      <c r="D122" s="54">
        <f>-B122</f>
        <v>-26928.894992660156</v>
      </c>
      <c r="E122" s="54">
        <f>-C122</f>
        <v>-47125.566237155275</v>
      </c>
      <c r="F122" s="53" t="str">
        <f>C120</f>
        <v>U2Y</v>
      </c>
    </row>
    <row r="123" spans="1:12" x14ac:dyDescent="0.3">
      <c r="B123" s="54">
        <f>D121</f>
        <v>-15387.939995805804</v>
      </c>
      <c r="C123" s="54">
        <f>E121</f>
        <v>-26928.894992660156</v>
      </c>
      <c r="D123" s="54">
        <f>B121</f>
        <v>15387.939995805804</v>
      </c>
      <c r="E123" s="54">
        <f>C121</f>
        <v>26928.894992660156</v>
      </c>
      <c r="F123" s="53" t="str">
        <f>D120</f>
        <v>U5X</v>
      </c>
    </row>
    <row r="124" spans="1:12" x14ac:dyDescent="0.3">
      <c r="B124" s="54">
        <f>D122</f>
        <v>-26928.894992660156</v>
      </c>
      <c r="C124" s="54">
        <f>E122</f>
        <v>-47125.566237155275</v>
      </c>
      <c r="D124" s="54">
        <f>B122</f>
        <v>26928.894992660156</v>
      </c>
      <c r="E124" s="54">
        <f>C122</f>
        <v>47125.566237155275</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15387.939995805804</v>
      </c>
      <c r="E129" s="55">
        <f t="shared" si="10"/>
        <v>26928.894992660156</v>
      </c>
      <c r="F129" s="9">
        <f t="shared" si="10"/>
        <v>0</v>
      </c>
      <c r="G129" s="9">
        <f t="shared" si="10"/>
        <v>0</v>
      </c>
      <c r="H129" s="9">
        <f t="shared" si="10"/>
        <v>0</v>
      </c>
      <c r="I129" s="9">
        <f t="shared" si="10"/>
        <v>0</v>
      </c>
      <c r="J129" s="55">
        <f t="shared" si="10"/>
        <v>-15387.939995805804</v>
      </c>
      <c r="K129" s="55">
        <f t="shared" si="10"/>
        <v>-26928.894992660156</v>
      </c>
      <c r="L129" s="53" t="s">
        <v>180</v>
      </c>
    </row>
    <row r="130" spans="1:12" ht="19.05" customHeight="1" x14ac:dyDescent="0.3">
      <c r="B130" s="9">
        <f t="shared" si="10"/>
        <v>0</v>
      </c>
      <c r="C130" s="9">
        <f t="shared" si="10"/>
        <v>0</v>
      </c>
      <c r="D130" s="55">
        <f t="shared" si="10"/>
        <v>26928.894992660156</v>
      </c>
      <c r="E130" s="55">
        <f t="shared" si="10"/>
        <v>47125.566237155275</v>
      </c>
      <c r="F130" s="9">
        <f t="shared" si="10"/>
        <v>0</v>
      </c>
      <c r="G130" s="9">
        <f t="shared" si="10"/>
        <v>0</v>
      </c>
      <c r="H130" s="9">
        <f t="shared" si="10"/>
        <v>0</v>
      </c>
      <c r="I130" s="9">
        <f t="shared" si="10"/>
        <v>0</v>
      </c>
      <c r="J130" s="55">
        <f t="shared" si="10"/>
        <v>-26928.894992660156</v>
      </c>
      <c r="K130" s="55">
        <f t="shared" si="10"/>
        <v>-47125.566237155275</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-15387.939995805804</v>
      </c>
      <c r="E135" s="55">
        <f t="shared" si="10"/>
        <v>-26928.894992660156</v>
      </c>
      <c r="F135" s="9">
        <f t="shared" si="10"/>
        <v>0</v>
      </c>
      <c r="G135" s="9">
        <f t="shared" si="10"/>
        <v>0</v>
      </c>
      <c r="H135" s="9">
        <f t="shared" si="10"/>
        <v>0</v>
      </c>
      <c r="I135" s="9">
        <f t="shared" si="10"/>
        <v>0</v>
      </c>
      <c r="J135" s="55">
        <f t="shared" si="10"/>
        <v>15387.939995805804</v>
      </c>
      <c r="K135" s="55">
        <f t="shared" si="10"/>
        <v>26928.894992660156</v>
      </c>
      <c r="L135" s="53" t="s">
        <v>186</v>
      </c>
    </row>
    <row r="136" spans="1:12" ht="19.05" customHeight="1" x14ac:dyDescent="0.3">
      <c r="B136" s="9">
        <f t="shared" si="10"/>
        <v>0</v>
      </c>
      <c r="C136" s="9">
        <f t="shared" si="10"/>
        <v>0</v>
      </c>
      <c r="D136" s="55">
        <f t="shared" si="10"/>
        <v>-26928.894992660156</v>
      </c>
      <c r="E136" s="55">
        <f t="shared" si="10"/>
        <v>-47125.566237155275</v>
      </c>
      <c r="F136" s="9">
        <f t="shared" si="10"/>
        <v>0</v>
      </c>
      <c r="G136" s="9">
        <f t="shared" si="10"/>
        <v>0</v>
      </c>
      <c r="H136" s="9">
        <f t="shared" si="10"/>
        <v>0</v>
      </c>
      <c r="I136" s="9">
        <f t="shared" si="10"/>
        <v>0</v>
      </c>
      <c r="J136" s="55">
        <f t="shared" si="10"/>
        <v>26928.894992660156</v>
      </c>
      <c r="K136" s="55">
        <f t="shared" si="10"/>
        <v>47125.566237155275</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30716.71258218828</v>
      </c>
      <c r="C140" s="57">
        <f>J12*K12*N12</f>
        <v>-38395.89072773535</v>
      </c>
      <c r="D140" s="57">
        <f>-B140</f>
        <v>-30716.71258218828</v>
      </c>
      <c r="E140" s="57">
        <f>-C140</f>
        <v>38395.89072773535</v>
      </c>
      <c r="F140" s="56" t="str">
        <f>B139</f>
        <v>U5X</v>
      </c>
    </row>
    <row r="141" spans="1:12" ht="16.8" customHeight="1" x14ac:dyDescent="0.3">
      <c r="A141" s="28" t="s">
        <v>201</v>
      </c>
      <c r="B141" s="57">
        <f>C140</f>
        <v>-38395.89072773535</v>
      </c>
      <c r="C141" s="57">
        <f>K12*K12*N12</f>
        <v>47994.863409669189</v>
      </c>
      <c r="D141" s="57">
        <f>-B141</f>
        <v>38395.89072773535</v>
      </c>
      <c r="E141" s="57">
        <f>-C141</f>
        <v>-47994.863409669189</v>
      </c>
      <c r="F141" s="56" t="str">
        <f>C139</f>
        <v>U5Y</v>
      </c>
    </row>
    <row r="142" spans="1:12" x14ac:dyDescent="0.3">
      <c r="B142" s="57">
        <f>D140</f>
        <v>-30716.71258218828</v>
      </c>
      <c r="C142" s="57">
        <f>E140</f>
        <v>38395.89072773535</v>
      </c>
      <c r="D142" s="57">
        <f>B140</f>
        <v>30716.71258218828</v>
      </c>
      <c r="E142" s="57">
        <f>C140</f>
        <v>-38395.89072773535</v>
      </c>
      <c r="F142" s="56" t="str">
        <f>D139</f>
        <v>U3X</v>
      </c>
    </row>
    <row r="143" spans="1:12" x14ac:dyDescent="0.3">
      <c r="B143" s="57">
        <f>D141</f>
        <v>38395.89072773535</v>
      </c>
      <c r="C143" s="57">
        <f>E141</f>
        <v>-47994.863409669189</v>
      </c>
      <c r="D143" s="57">
        <f>B141</f>
        <v>-38395.89072773535</v>
      </c>
      <c r="E143" s="57">
        <f>C141</f>
        <v>47994.863409669189</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30716.71258218828</v>
      </c>
      <c r="G150" s="58">
        <f t="shared" si="11"/>
        <v>-38395.89072773535</v>
      </c>
      <c r="H150" s="9">
        <f t="shared" si="11"/>
        <v>0</v>
      </c>
      <c r="I150" s="9">
        <f t="shared" si="11"/>
        <v>0</v>
      </c>
      <c r="J150" s="58">
        <f t="shared" si="11"/>
        <v>-30716.71258218828</v>
      </c>
      <c r="K150" s="58">
        <f t="shared" si="11"/>
        <v>38395.89072773535</v>
      </c>
      <c r="L150" s="56" t="s">
        <v>182</v>
      </c>
    </row>
    <row r="151" spans="1:12" ht="19.05" customHeight="1" x14ac:dyDescent="0.3">
      <c r="B151" s="9">
        <f t="shared" si="11"/>
        <v>0</v>
      </c>
      <c r="C151" s="9">
        <f t="shared" si="11"/>
        <v>0</v>
      </c>
      <c r="D151" s="9">
        <f t="shared" si="11"/>
        <v>0</v>
      </c>
      <c r="E151" s="9">
        <f t="shared" si="11"/>
        <v>0</v>
      </c>
      <c r="F151" s="58">
        <f t="shared" si="11"/>
        <v>-38395.89072773535</v>
      </c>
      <c r="G151" s="58">
        <f t="shared" si="11"/>
        <v>47994.863409669189</v>
      </c>
      <c r="H151" s="9">
        <f t="shared" si="11"/>
        <v>0</v>
      </c>
      <c r="I151" s="9">
        <f t="shared" si="11"/>
        <v>0</v>
      </c>
      <c r="J151" s="58">
        <f t="shared" si="11"/>
        <v>38395.89072773535</v>
      </c>
      <c r="K151" s="58">
        <f t="shared" si="11"/>
        <v>-47994.863409669189</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-30716.71258218828</v>
      </c>
      <c r="G154" s="58">
        <f t="shared" si="11"/>
        <v>38395.89072773535</v>
      </c>
      <c r="H154" s="9">
        <f t="shared" si="11"/>
        <v>0</v>
      </c>
      <c r="I154" s="9">
        <f t="shared" si="11"/>
        <v>0</v>
      </c>
      <c r="J154" s="58">
        <f t="shared" si="11"/>
        <v>30716.71258218828</v>
      </c>
      <c r="K154" s="58">
        <f t="shared" si="11"/>
        <v>-38395.89072773535</v>
      </c>
      <c r="L154" s="56" t="s">
        <v>186</v>
      </c>
    </row>
    <row r="155" spans="1:12" ht="19.05" customHeight="1" x14ac:dyDescent="0.3">
      <c r="B155" s="9">
        <f t="shared" si="11"/>
        <v>0</v>
      </c>
      <c r="C155" s="9">
        <f t="shared" si="11"/>
        <v>0</v>
      </c>
      <c r="D155" s="9">
        <f t="shared" si="11"/>
        <v>0</v>
      </c>
      <c r="E155" s="9">
        <f t="shared" si="11"/>
        <v>0</v>
      </c>
      <c r="F155" s="58">
        <f t="shared" si="11"/>
        <v>38395.89072773535</v>
      </c>
      <c r="G155" s="58">
        <f t="shared" si="11"/>
        <v>-47994.863409669189</v>
      </c>
      <c r="H155" s="9">
        <f t="shared" si="11"/>
        <v>0</v>
      </c>
      <c r="I155" s="9">
        <f t="shared" si="11"/>
        <v>0</v>
      </c>
      <c r="J155" s="58">
        <f t="shared" si="11"/>
        <v>-38395.89072773535</v>
      </c>
      <c r="K155" s="58">
        <f t="shared" si="11"/>
        <v>47994.863409669189</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65964.724440748163</v>
      </c>
      <c r="C159" s="36">
        <f t="shared" si="12"/>
        <v>33373.142915625198</v>
      </c>
      <c r="D159" s="9">
        <f t="shared" si="12"/>
        <v>-57523.743538029084</v>
      </c>
      <c r="E159" s="9">
        <f t="shared" si="12"/>
        <v>-14380.935884507271</v>
      </c>
      <c r="F159" s="9">
        <f t="shared" si="12"/>
        <v>0</v>
      </c>
      <c r="G159" s="9">
        <f t="shared" si="12"/>
        <v>0</v>
      </c>
      <c r="H159" s="9">
        <f t="shared" si="12"/>
        <v>-8440.9809027190768</v>
      </c>
      <c r="I159" s="9">
        <f t="shared" si="12"/>
        <v>-18992.207031117923</v>
      </c>
      <c r="J159" s="9">
        <f t="shared" si="12"/>
        <v>0</v>
      </c>
      <c r="K159" s="9">
        <f t="shared" si="12"/>
        <v>0</v>
      </c>
      <c r="L159" s="89" t="s">
        <v>178</v>
      </c>
    </row>
    <row r="160" spans="1:12" ht="19.95" customHeight="1" x14ac:dyDescent="0.3">
      <c r="B160" s="36">
        <f t="shared" ref="B160:K160" si="13">B33+B52+B71+B90+B109+B128+B147</f>
        <v>33373.142915625198</v>
      </c>
      <c r="C160" s="35">
        <f t="shared" si="13"/>
        <v>46327.699791142149</v>
      </c>
      <c r="D160" s="9">
        <f t="shared" si="13"/>
        <v>-14380.935884507271</v>
      </c>
      <c r="E160" s="9">
        <f t="shared" si="13"/>
        <v>-3595.2339711268178</v>
      </c>
      <c r="F160" s="9">
        <f t="shared" si="13"/>
        <v>0</v>
      </c>
      <c r="G160" s="9">
        <f t="shared" si="13"/>
        <v>0</v>
      </c>
      <c r="H160" s="9">
        <f t="shared" si="13"/>
        <v>-18992.207031117923</v>
      </c>
      <c r="I160" s="9">
        <f t="shared" si="13"/>
        <v>-42732.465820015328</v>
      </c>
      <c r="J160" s="9">
        <f t="shared" si="13"/>
        <v>0</v>
      </c>
      <c r="K160" s="9">
        <f t="shared" si="13"/>
        <v>0</v>
      </c>
      <c r="L160" s="89" t="s">
        <v>179</v>
      </c>
    </row>
    <row r="161" spans="1:19" ht="19.95" customHeight="1" x14ac:dyDescent="0.3">
      <c r="B161" s="9">
        <f t="shared" ref="B161:K161" si="14">B34+B53+B72+B91+B110+B129+B148</f>
        <v>-57523.743538029084</v>
      </c>
      <c r="C161" s="9">
        <f t="shared" si="14"/>
        <v>-14380.935884507271</v>
      </c>
      <c r="D161" s="35">
        <f t="shared" si="14"/>
        <v>145823.36706766978</v>
      </c>
      <c r="E161" s="36">
        <f t="shared" si="14"/>
        <v>28761.871769014542</v>
      </c>
      <c r="F161" s="9">
        <f t="shared" si="14"/>
        <v>-57523.743538029084</v>
      </c>
      <c r="G161" s="9">
        <f t="shared" si="14"/>
        <v>-14380.935884507271</v>
      </c>
      <c r="H161" s="9">
        <f t="shared" si="14"/>
        <v>-15387.939995805804</v>
      </c>
      <c r="I161" s="9">
        <f t="shared" si="14"/>
        <v>26928.894992660156</v>
      </c>
      <c r="J161" s="9">
        <f t="shared" si="14"/>
        <v>-15387.939995805804</v>
      </c>
      <c r="K161" s="9">
        <f t="shared" si="14"/>
        <v>-26928.894992660156</v>
      </c>
      <c r="L161" s="89" t="s">
        <v>180</v>
      </c>
    </row>
    <row r="162" spans="1:19" ht="19.95" customHeight="1" x14ac:dyDescent="0.3">
      <c r="B162" s="9">
        <f t="shared" ref="B162:K162" si="15">B35+B54+B73+B92+B111+B130+B149</f>
        <v>-14380.935884507271</v>
      </c>
      <c r="C162" s="9">
        <f t="shared" si="15"/>
        <v>-3595.2339711268178</v>
      </c>
      <c r="D162" s="36">
        <f t="shared" si="15"/>
        <v>28761.871769014542</v>
      </c>
      <c r="E162" s="35">
        <f t="shared" si="15"/>
        <v>101441.60041656418</v>
      </c>
      <c r="F162" s="9">
        <f t="shared" si="15"/>
        <v>-14380.935884507271</v>
      </c>
      <c r="G162" s="9">
        <f t="shared" si="15"/>
        <v>-3595.2339711268178</v>
      </c>
      <c r="H162" s="9">
        <f t="shared" si="15"/>
        <v>26928.894992660156</v>
      </c>
      <c r="I162" s="9">
        <f t="shared" si="15"/>
        <v>-47125.566237155275</v>
      </c>
      <c r="J162" s="9">
        <f t="shared" si="15"/>
        <v>-26928.894992660156</v>
      </c>
      <c r="K162" s="9">
        <f t="shared" si="15"/>
        <v>-47125.566237155275</v>
      </c>
      <c r="L162" s="89" t="s">
        <v>181</v>
      </c>
    </row>
    <row r="163" spans="1:19" ht="19.95" customHeight="1" x14ac:dyDescent="0.3">
      <c r="A163" s="28" t="s">
        <v>205</v>
      </c>
      <c r="B163" s="9">
        <f t="shared" ref="B163:K163" si="16">B36+B55+B74+B93+B112+B131+B150</f>
        <v>0</v>
      </c>
      <c r="C163" s="9">
        <f t="shared" si="16"/>
        <v>0</v>
      </c>
      <c r="D163" s="9">
        <f t="shared" si="16"/>
        <v>-57523.743538029084</v>
      </c>
      <c r="E163" s="9">
        <f t="shared" si="16"/>
        <v>-14380.935884507271</v>
      </c>
      <c r="F163" s="35">
        <f t="shared" si="16"/>
        <v>88240.456120217365</v>
      </c>
      <c r="G163" s="36">
        <f t="shared" si="16"/>
        <v>-24014.954843228079</v>
      </c>
      <c r="H163" s="9">
        <f t="shared" si="16"/>
        <v>0</v>
      </c>
      <c r="I163" s="9">
        <f t="shared" si="16"/>
        <v>0</v>
      </c>
      <c r="J163" s="9">
        <f t="shared" si="16"/>
        <v>-30716.71258218828</v>
      </c>
      <c r="K163" s="9">
        <f t="shared" si="16"/>
        <v>38395.89072773535</v>
      </c>
      <c r="L163" s="89" t="s">
        <v>182</v>
      </c>
    </row>
    <row r="164" spans="1:19" ht="19.95" customHeight="1" x14ac:dyDescent="0.3">
      <c r="B164" s="9">
        <f t="shared" ref="B164:K164" si="17">B37+B56+B75+B94+B113+B132+B151</f>
        <v>0</v>
      </c>
      <c r="C164" s="9">
        <f t="shared" si="17"/>
        <v>0</v>
      </c>
      <c r="D164" s="9">
        <f t="shared" si="17"/>
        <v>-14380.935884507271</v>
      </c>
      <c r="E164" s="9">
        <f t="shared" si="17"/>
        <v>-3595.2339711268178</v>
      </c>
      <c r="F164" s="36">
        <f t="shared" si="17"/>
        <v>-24014.954843228079</v>
      </c>
      <c r="G164" s="35">
        <f t="shared" si="17"/>
        <v>51590.097380796011</v>
      </c>
      <c r="H164" s="9">
        <f t="shared" si="17"/>
        <v>0</v>
      </c>
      <c r="I164" s="9">
        <f t="shared" si="17"/>
        <v>0</v>
      </c>
      <c r="J164" s="9">
        <f t="shared" si="17"/>
        <v>38395.89072773535</v>
      </c>
      <c r="K164" s="9">
        <f t="shared" si="17"/>
        <v>-47994.863409669189</v>
      </c>
      <c r="L164" s="89" t="s">
        <v>183</v>
      </c>
    </row>
    <row r="165" spans="1:19" ht="19.95" customHeight="1" x14ac:dyDescent="0.3">
      <c r="B165" s="9">
        <f t="shared" ref="B165:K165" si="18">B38+B57+B76+B95+B114+B133+B152</f>
        <v>-8440.9809027190768</v>
      </c>
      <c r="C165" s="9">
        <f t="shared" si="18"/>
        <v>-18992.207031117923</v>
      </c>
      <c r="D165" s="9">
        <f t="shared" si="18"/>
        <v>-15387.939995805804</v>
      </c>
      <c r="E165" s="9">
        <f t="shared" si="18"/>
        <v>26928.894992660156</v>
      </c>
      <c r="F165" s="9">
        <f t="shared" si="18"/>
        <v>0</v>
      </c>
      <c r="G165" s="9">
        <f t="shared" si="18"/>
        <v>0</v>
      </c>
      <c r="H165" s="35">
        <f t="shared" si="18"/>
        <v>86828.920898524884</v>
      </c>
      <c r="I165" s="36">
        <f t="shared" si="18"/>
        <v>-7936.6879615422331</v>
      </c>
      <c r="J165" s="9">
        <f t="shared" si="18"/>
        <v>-63000</v>
      </c>
      <c r="K165" s="9">
        <f t="shared" si="18"/>
        <v>0</v>
      </c>
      <c r="L165" s="89" t="s">
        <v>184</v>
      </c>
    </row>
    <row r="166" spans="1:19" ht="19.95" customHeight="1" x14ac:dyDescent="0.3">
      <c r="B166" s="9">
        <f t="shared" ref="B166:K166" si="19">B39+B58+B77+B96+B115+B134+B153</f>
        <v>-18992.207031117923</v>
      </c>
      <c r="C166" s="9">
        <f t="shared" si="19"/>
        <v>-42732.465820015328</v>
      </c>
      <c r="D166" s="9">
        <f t="shared" si="19"/>
        <v>26928.894992660156</v>
      </c>
      <c r="E166" s="9">
        <f t="shared" si="19"/>
        <v>-47125.566237155275</v>
      </c>
      <c r="F166" s="9">
        <f t="shared" si="19"/>
        <v>0</v>
      </c>
      <c r="G166" s="9">
        <f t="shared" si="19"/>
        <v>0</v>
      </c>
      <c r="H166" s="36">
        <f t="shared" si="19"/>
        <v>-7936.6879615422331</v>
      </c>
      <c r="I166" s="35">
        <f t="shared" si="19"/>
        <v>89858.032057170611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-15387.939995805804</v>
      </c>
      <c r="E167" s="9">
        <f t="shared" si="20"/>
        <v>-26928.894992660156</v>
      </c>
      <c r="F167" s="9">
        <f t="shared" si="20"/>
        <v>-30716.71258218828</v>
      </c>
      <c r="G167" s="9">
        <f t="shared" si="20"/>
        <v>38395.89072773535</v>
      </c>
      <c r="H167" s="9">
        <f t="shared" si="20"/>
        <v>-63000</v>
      </c>
      <c r="I167" s="9">
        <f t="shared" si="20"/>
        <v>0</v>
      </c>
      <c r="J167" s="35">
        <f t="shared" si="20"/>
        <v>109104.65257799409</v>
      </c>
      <c r="K167" s="36">
        <f t="shared" si="20"/>
        <v>-11466.995735075194</v>
      </c>
      <c r="L167" s="89" t="s">
        <v>186</v>
      </c>
    </row>
    <row r="168" spans="1:19" ht="19.95" customHeight="1" x14ac:dyDescent="0.3">
      <c r="B168" s="9">
        <f t="shared" ref="B168:K168" si="21">B41+B60+B79+B98+B117+B136+B155</f>
        <v>0</v>
      </c>
      <c r="C168" s="9">
        <f t="shared" si="21"/>
        <v>0</v>
      </c>
      <c r="D168" s="9">
        <f t="shared" si="21"/>
        <v>-26928.894992660156</v>
      </c>
      <c r="E168" s="9">
        <f t="shared" si="21"/>
        <v>-47125.566237155275</v>
      </c>
      <c r="F168" s="9">
        <f t="shared" si="21"/>
        <v>38395.89072773535</v>
      </c>
      <c r="G168" s="9">
        <f t="shared" si="21"/>
        <v>-47994.863409669189</v>
      </c>
      <c r="H168" s="9">
        <f t="shared" si="21"/>
        <v>0</v>
      </c>
      <c r="I168" s="9">
        <f t="shared" si="21"/>
        <v>0</v>
      </c>
      <c r="J168" s="36">
        <f t="shared" si="21"/>
        <v>-11466.995735075194</v>
      </c>
      <c r="K168" s="35">
        <f t="shared" si="21"/>
        <v>95120.429646824457</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IF(GRAFICA_25!F14=1, B172, GRAFICA_25!H14)</f>
        <v>C1X</v>
      </c>
      <c r="N172" s="215" t="s">
        <v>376</v>
      </c>
      <c r="O172" s="172"/>
      <c r="P172" s="172"/>
      <c r="Q172" s="172"/>
      <c r="R172" s="172"/>
      <c r="S172" s="173"/>
    </row>
    <row r="173" spans="1:19" ht="16.95" customHeight="1" x14ac:dyDescent="0.3">
      <c r="B173" s="12" t="s">
        <v>210</v>
      </c>
      <c r="C173" s="12" t="s">
        <v>179</v>
      </c>
      <c r="E173" s="37" t="str">
        <f>IF(GRAFICA_25!G14=1, B173, GRAFICA_25!I14)</f>
        <v>C1Y</v>
      </c>
      <c r="N173" s="215" t="s">
        <v>211</v>
      </c>
      <c r="O173" s="172"/>
      <c r="P173" s="172"/>
      <c r="Q173" s="172"/>
      <c r="R173" s="172"/>
      <c r="S173" s="173"/>
    </row>
    <row r="174" spans="1:19" ht="16.95" customHeight="1" x14ac:dyDescent="0.3">
      <c r="B174" s="12" t="s">
        <v>212</v>
      </c>
      <c r="C174" s="12" t="s">
        <v>180</v>
      </c>
      <c r="E174" s="37">
        <f>IF(GRAFICA_25!F15=1, B174, GRAFICA_25!H15)</f>
        <v>0</v>
      </c>
      <c r="N174" s="215" t="s">
        <v>377</v>
      </c>
      <c r="O174" s="172"/>
      <c r="P174" s="172"/>
      <c r="Q174" s="172"/>
      <c r="R174" s="172"/>
      <c r="S174" s="173"/>
    </row>
    <row r="175" spans="1:19" ht="16.95" customHeight="1" x14ac:dyDescent="0.3">
      <c r="B175" s="12" t="s">
        <v>214</v>
      </c>
      <c r="C175" s="12" t="s">
        <v>181</v>
      </c>
      <c r="E175" s="37">
        <f>IF(GRAFICA_25!G15=1, B175, GRAFICA_25!I15)</f>
        <v>-6000</v>
      </c>
      <c r="N175" s="215" t="s">
        <v>215</v>
      </c>
      <c r="O175" s="172"/>
      <c r="P175" s="172"/>
      <c r="Q175" s="172"/>
      <c r="R175" s="172"/>
      <c r="S175" s="173"/>
    </row>
    <row r="176" spans="1:19" ht="16.95" customHeight="1" x14ac:dyDescent="0.3">
      <c r="A176" s="38" t="s">
        <v>218</v>
      </c>
      <c r="B176" s="12" t="s">
        <v>216</v>
      </c>
      <c r="C176" s="12" t="s">
        <v>182</v>
      </c>
      <c r="D176" s="13" t="s">
        <v>220</v>
      </c>
      <c r="E176" s="37">
        <f>IF(GRAFICA_25!F16=1, B176, GRAFICA_25!H16)</f>
        <v>0</v>
      </c>
      <c r="N176" s="215" t="s">
        <v>378</v>
      </c>
      <c r="O176" s="172"/>
      <c r="P176" s="172"/>
      <c r="Q176" s="172"/>
      <c r="R176" s="172"/>
      <c r="S176" s="173"/>
    </row>
    <row r="177" spans="1:19" ht="16.95" customHeight="1" x14ac:dyDescent="0.3">
      <c r="B177" s="12" t="s">
        <v>219</v>
      </c>
      <c r="C177" s="12" t="s">
        <v>183</v>
      </c>
      <c r="E177" s="37" t="str">
        <f>IF(GRAFICA_25!G16=1, B177, GRAFICA_25!I16)</f>
        <v>C3Y</v>
      </c>
      <c r="N177" s="215" t="s">
        <v>379</v>
      </c>
      <c r="O177" s="172"/>
      <c r="P177" s="172"/>
      <c r="Q177" s="172"/>
      <c r="R177" s="172"/>
      <c r="S177" s="173"/>
    </row>
    <row r="178" spans="1:19" ht="16.95" customHeight="1" x14ac:dyDescent="0.3">
      <c r="B178" s="12" t="s">
        <v>221</v>
      </c>
      <c r="C178" s="12" t="s">
        <v>184</v>
      </c>
      <c r="E178" s="37">
        <f>IF(GRAFICA_25!F17=1, B178, GRAFICA_25!H17)</f>
        <v>2000</v>
      </c>
      <c r="N178" s="215"/>
      <c r="O178" s="172"/>
      <c r="P178" s="172"/>
      <c r="Q178" s="172"/>
      <c r="R178" s="172"/>
      <c r="S178" s="173"/>
    </row>
    <row r="179" spans="1:19" ht="16.95" customHeight="1" x14ac:dyDescent="0.3">
      <c r="B179" s="12" t="s">
        <v>222</v>
      </c>
      <c r="C179" s="12" t="s">
        <v>185</v>
      </c>
      <c r="E179" s="37">
        <f>IF(GRAFICA_25!G17=1, B179, GRAFICA_25!I17)</f>
        <v>-5000</v>
      </c>
      <c r="N179" s="215"/>
      <c r="O179" s="172"/>
      <c r="P179" s="172"/>
      <c r="Q179" s="172"/>
      <c r="R179" s="172"/>
      <c r="S179" s="173"/>
    </row>
    <row r="180" spans="1:19" ht="16.95" customHeight="1" x14ac:dyDescent="0.3">
      <c r="B180" s="12" t="s">
        <v>223</v>
      </c>
      <c r="C180" s="12" t="s">
        <v>186</v>
      </c>
      <c r="E180" s="37">
        <f>IF(GRAFICA_25!F18=1, B180, GRAFICA_25!H18)</f>
        <v>0</v>
      </c>
      <c r="N180" s="215"/>
      <c r="O180" s="172"/>
      <c r="P180" s="172"/>
      <c r="Q180" s="172"/>
      <c r="R180" s="172"/>
      <c r="S180" s="173"/>
    </row>
    <row r="181" spans="1:19" ht="16.95" customHeight="1" x14ac:dyDescent="0.3">
      <c r="B181" s="12" t="s">
        <v>224</v>
      </c>
      <c r="C181" s="12" t="s">
        <v>187</v>
      </c>
      <c r="E181" s="37">
        <f>IF(GRAFICA_25!G18=1, B181, GRAFICA_25!I18)</f>
        <v>-7000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IF(GRAFICA_25!F14=1,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IF(GRAFICA_25!G14=1,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IF(GRAFICA_25!F15=1,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t="str">
        <f>IF(GRAFICA_25!G15=1, 0, B187)</f>
        <v>D2Y</v>
      </c>
      <c r="F187" s="14">
        <f>IF(E187&lt;&gt;0, COUNTIF(E$184:E187, "&lt;&gt;0"), "")</f>
        <v>2</v>
      </c>
      <c r="G187" s="14" t="str">
        <f>IF(E187=0, COUNTIF(E$184:E187, 0), "")</f>
        <v/>
      </c>
      <c r="N187" s="215"/>
      <c r="O187" s="172"/>
      <c r="P187" s="172"/>
      <c r="Q187" s="172"/>
      <c r="R187" s="172"/>
      <c r="S187" s="173"/>
    </row>
    <row r="188" spans="1:19" ht="16.95" customHeight="1" x14ac:dyDescent="0.3">
      <c r="A188" s="38" t="s">
        <v>233</v>
      </c>
      <c r="B188" s="12" t="s">
        <v>232</v>
      </c>
      <c r="C188" s="12" t="s">
        <v>182</v>
      </c>
      <c r="D188" s="13" t="s">
        <v>220</v>
      </c>
      <c r="E188" s="39" t="str">
        <f>IF(GRAFICA_25!F16=1, 0, B188)</f>
        <v>D3X</v>
      </c>
      <c r="F188" s="14">
        <f>IF(E188&lt;&gt;0, COUNTIF(E$184:E188, "&lt;&gt;0"), "")</f>
        <v>3</v>
      </c>
      <c r="G188" s="14" t="str">
        <f>IF(E188=0, COUNTIF(E$184:E188, 0), "")</f>
        <v/>
      </c>
      <c r="N188" s="215"/>
      <c r="O188" s="172"/>
      <c r="P188" s="172"/>
      <c r="Q188" s="172"/>
      <c r="R188" s="172"/>
      <c r="S188" s="173"/>
    </row>
    <row r="189" spans="1:19" ht="16.95" customHeight="1" x14ac:dyDescent="0.3">
      <c r="B189" s="12" t="s">
        <v>234</v>
      </c>
      <c r="C189" s="12" t="s">
        <v>183</v>
      </c>
      <c r="E189" s="39">
        <f>IF(GRAFICA_25!G16=1, 0, B189)</f>
        <v>0</v>
      </c>
      <c r="F189" s="14" t="str">
        <f>IF(E189&lt;&gt;0, COUNTIF(E$184:E189, "&lt;&gt;0"), "")</f>
        <v/>
      </c>
      <c r="G189" s="14">
        <f>IF(E189=0, COUNTIF(E$184:E189, 0), "")</f>
        <v>3</v>
      </c>
      <c r="N189" s="215"/>
      <c r="O189" s="172"/>
      <c r="P189" s="172"/>
      <c r="Q189" s="172"/>
      <c r="R189" s="172"/>
      <c r="S189" s="173"/>
    </row>
    <row r="190" spans="1:19" ht="16.95" customHeight="1" x14ac:dyDescent="0.3">
      <c r="B190" s="12" t="s">
        <v>235</v>
      </c>
      <c r="C190" s="12" t="s">
        <v>184</v>
      </c>
      <c r="E190" s="39" t="str">
        <f>IF(GRAFICA_25!F17=1, 0, B190)</f>
        <v>D4X</v>
      </c>
      <c r="F190" s="14">
        <f>IF(E190&lt;&gt;0, COUNTIF(E$184:E190, "&lt;&gt;0"), "")</f>
        <v>4</v>
      </c>
      <c r="G190" s="14" t="str">
        <f>IF(E190=0, COUNTIF(E$184:E190, 0), "")</f>
        <v/>
      </c>
      <c r="N190" s="215"/>
      <c r="O190" s="172"/>
      <c r="P190" s="172"/>
      <c r="Q190" s="172"/>
      <c r="R190" s="172"/>
      <c r="S190" s="173"/>
    </row>
    <row r="191" spans="1:19" ht="16.95" customHeight="1" x14ac:dyDescent="0.3">
      <c r="B191" s="12" t="s">
        <v>236</v>
      </c>
      <c r="C191" s="12" t="s">
        <v>185</v>
      </c>
      <c r="E191" s="39" t="str">
        <f>IF(GRAFICA_25!G17=1, 0, B191)</f>
        <v>D4Y</v>
      </c>
      <c r="F191" s="14">
        <f>IF(E191&lt;&gt;0, COUNTIF(E$184:E191, "&lt;&gt;0"), "")</f>
        <v>5</v>
      </c>
      <c r="G191" s="14" t="str">
        <f>IF(E191=0, COUNTIF(E$184:E191, 0), "")</f>
        <v/>
      </c>
      <c r="N191" s="215"/>
      <c r="O191" s="172"/>
      <c r="P191" s="172"/>
      <c r="Q191" s="172"/>
      <c r="R191" s="172"/>
      <c r="S191" s="173"/>
    </row>
    <row r="192" spans="1:19" ht="16.95" customHeight="1" x14ac:dyDescent="0.3">
      <c r="B192" s="12" t="s">
        <v>237</v>
      </c>
      <c r="C192" s="12" t="s">
        <v>186</v>
      </c>
      <c r="E192" s="39" t="str">
        <f>IF(GRAFICA_25!F18=1, 0, B192)</f>
        <v>D5X</v>
      </c>
      <c r="F192" s="14">
        <f>IF(E192&lt;&gt;0, COUNTIF(E$184:E192, "&lt;&gt;0"), "")</f>
        <v>6</v>
      </c>
      <c r="G192" s="14" t="str">
        <f>IF(E192=0, COUNTIF(E$184:E192, 0), "")</f>
        <v/>
      </c>
      <c r="N192" s="215"/>
      <c r="O192" s="172"/>
      <c r="P192" s="172"/>
      <c r="Q192" s="172"/>
      <c r="R192" s="172"/>
      <c r="S192" s="173"/>
    </row>
    <row r="193" spans="1:19" ht="16.95" customHeight="1" x14ac:dyDescent="0.3">
      <c r="B193" s="12" t="s">
        <v>238</v>
      </c>
      <c r="C193" s="12" t="s">
        <v>187</v>
      </c>
      <c r="E193" s="39" t="str">
        <f>IF(GRAFICA_25!G18=1, 0, B193)</f>
        <v>D5Y</v>
      </c>
      <c r="F193" s="14">
        <f>IF(E193&lt;&gt;0, COUNTIF(E$184:E193, "&lt;&gt;0"), "")</f>
        <v>7</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65964.724440748163</v>
      </c>
      <c r="D198" s="9">
        <f t="shared" si="23"/>
        <v>33373.142915625198</v>
      </c>
      <c r="E198" s="9">
        <f t="shared" si="23"/>
        <v>-57523.743538029084</v>
      </c>
      <c r="F198" s="9">
        <f t="shared" si="23"/>
        <v>-14380.935884507271</v>
      </c>
      <c r="G198" s="9">
        <f t="shared" si="23"/>
        <v>0</v>
      </c>
      <c r="H198" s="9">
        <f t="shared" si="23"/>
        <v>0</v>
      </c>
      <c r="I198" s="9">
        <f t="shared" si="23"/>
        <v>-8440.9809027190768</v>
      </c>
      <c r="J198" s="9">
        <f t="shared" si="23"/>
        <v>-18992.207031117923</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33373.142915625198</v>
      </c>
      <c r="D199" s="9">
        <f t="shared" si="24"/>
        <v>46327.699791142149</v>
      </c>
      <c r="E199" s="9">
        <f t="shared" si="24"/>
        <v>-14380.935884507271</v>
      </c>
      <c r="F199" s="9">
        <f t="shared" si="24"/>
        <v>-3595.2339711268178</v>
      </c>
      <c r="G199" s="9">
        <f t="shared" si="24"/>
        <v>0</v>
      </c>
      <c r="H199" s="9">
        <f t="shared" si="24"/>
        <v>0</v>
      </c>
      <c r="I199" s="9">
        <f t="shared" si="24"/>
        <v>-18992.207031117923</v>
      </c>
      <c r="J199" s="9">
        <f t="shared" si="24"/>
        <v>-42732.465820015328</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-57523.743538029084</v>
      </c>
      <c r="D200" s="9">
        <f t="shared" si="25"/>
        <v>-14380.935884507271</v>
      </c>
      <c r="E200" s="41">
        <f t="shared" si="25"/>
        <v>145823.36706766978</v>
      </c>
      <c r="F200" s="41">
        <f t="shared" si="25"/>
        <v>28761.871769014542</v>
      </c>
      <c r="G200" s="41">
        <f t="shared" si="25"/>
        <v>-57523.743538029084</v>
      </c>
      <c r="H200" s="9">
        <f t="shared" si="25"/>
        <v>-14380.935884507271</v>
      </c>
      <c r="I200" s="41">
        <f t="shared" si="25"/>
        <v>-15387.939995805804</v>
      </c>
      <c r="J200" s="41">
        <f t="shared" si="25"/>
        <v>26928.894992660156</v>
      </c>
      <c r="K200" s="41">
        <f t="shared" si="25"/>
        <v>-15387.939995805804</v>
      </c>
      <c r="L200" s="41">
        <f t="shared" si="25"/>
        <v>-26928.894992660156</v>
      </c>
      <c r="M200" s="13" t="s">
        <v>251</v>
      </c>
      <c r="N200" s="215" t="s">
        <v>254</v>
      </c>
      <c r="O200" s="172"/>
      <c r="P200" s="172"/>
      <c r="Q200" s="172"/>
      <c r="R200" s="172"/>
      <c r="S200" s="173"/>
    </row>
    <row r="201" spans="1:19" ht="16.95" customHeight="1" x14ac:dyDescent="0.3">
      <c r="A201" s="41">
        <f t="shared" si="22"/>
        <v>-6000</v>
      </c>
      <c r="C201" s="9">
        <f t="shared" ref="C201:L201" si="26">B162</f>
        <v>-14380.935884507271</v>
      </c>
      <c r="D201" s="9">
        <f t="shared" si="26"/>
        <v>-3595.2339711268178</v>
      </c>
      <c r="E201" s="41">
        <f t="shared" si="26"/>
        <v>28761.871769014542</v>
      </c>
      <c r="F201" s="41">
        <f t="shared" si="26"/>
        <v>101441.60041656418</v>
      </c>
      <c r="G201" s="41">
        <f t="shared" si="26"/>
        <v>-14380.935884507271</v>
      </c>
      <c r="H201" s="9">
        <f t="shared" si="26"/>
        <v>-3595.2339711268178</v>
      </c>
      <c r="I201" s="41">
        <f t="shared" si="26"/>
        <v>26928.894992660156</v>
      </c>
      <c r="J201" s="41">
        <f t="shared" si="26"/>
        <v>-47125.566237155275</v>
      </c>
      <c r="K201" s="41">
        <f t="shared" si="26"/>
        <v>-26928.894992660156</v>
      </c>
      <c r="L201" s="41">
        <f t="shared" si="26"/>
        <v>-47125.566237155275</v>
      </c>
      <c r="M201" s="13" t="s">
        <v>251</v>
      </c>
      <c r="N201" s="215" t="s">
        <v>381</v>
      </c>
      <c r="O201" s="172"/>
      <c r="P201" s="172"/>
      <c r="Q201" s="172"/>
      <c r="R201" s="172"/>
      <c r="S201" s="173"/>
    </row>
    <row r="202" spans="1:19" ht="16.95" customHeight="1" x14ac:dyDescent="0.3">
      <c r="A202" s="41">
        <f t="shared" si="22"/>
        <v>0</v>
      </c>
      <c r="C202" s="9">
        <f t="shared" ref="C202:L202" si="27">B163</f>
        <v>0</v>
      </c>
      <c r="D202" s="9">
        <f t="shared" si="27"/>
        <v>0</v>
      </c>
      <c r="E202" s="41">
        <f t="shared" si="27"/>
        <v>-57523.743538029084</v>
      </c>
      <c r="F202" s="41">
        <f t="shared" si="27"/>
        <v>-14380.935884507271</v>
      </c>
      <c r="G202" s="41">
        <f t="shared" si="27"/>
        <v>88240.456120217365</v>
      </c>
      <c r="H202" s="9">
        <f t="shared" si="27"/>
        <v>-24014.954843228079</v>
      </c>
      <c r="I202" s="41">
        <f t="shared" si="27"/>
        <v>0</v>
      </c>
      <c r="J202" s="41">
        <f t="shared" si="27"/>
        <v>0</v>
      </c>
      <c r="K202" s="41">
        <f t="shared" si="27"/>
        <v>-30716.71258218828</v>
      </c>
      <c r="L202" s="41">
        <f t="shared" si="27"/>
        <v>38395.89072773535</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-14380.935884507271</v>
      </c>
      <c r="F203" s="9">
        <f t="shared" si="28"/>
        <v>-3595.2339711268178</v>
      </c>
      <c r="G203" s="9">
        <f t="shared" si="28"/>
        <v>-24014.954843228079</v>
      </c>
      <c r="H203" s="9">
        <f t="shared" si="28"/>
        <v>51590.097380796011</v>
      </c>
      <c r="I203" s="9">
        <f t="shared" si="28"/>
        <v>0</v>
      </c>
      <c r="J203" s="9">
        <f t="shared" si="28"/>
        <v>0</v>
      </c>
      <c r="K203" s="9">
        <f t="shared" si="28"/>
        <v>38395.89072773535</v>
      </c>
      <c r="L203" s="9">
        <f t="shared" si="28"/>
        <v>-47994.863409669189</v>
      </c>
      <c r="M203" s="13" t="s">
        <v>251</v>
      </c>
      <c r="N203" s="219">
        <f>E189</f>
        <v>0</v>
      </c>
      <c r="O203" s="172"/>
      <c r="P203" s="172"/>
      <c r="Q203" s="172"/>
      <c r="R203" s="172"/>
      <c r="S203" s="173"/>
    </row>
    <row r="204" spans="1:19" ht="16.95" customHeight="1" x14ac:dyDescent="0.3">
      <c r="A204" s="41">
        <f t="shared" si="22"/>
        <v>2000</v>
      </c>
      <c r="C204" s="9">
        <f t="shared" ref="C204:L204" si="29">B165</f>
        <v>-8440.9809027190768</v>
      </c>
      <c r="D204" s="9">
        <f t="shared" si="29"/>
        <v>-18992.207031117923</v>
      </c>
      <c r="E204" s="41">
        <f t="shared" si="29"/>
        <v>-15387.939995805804</v>
      </c>
      <c r="F204" s="41">
        <f t="shared" si="29"/>
        <v>26928.894992660156</v>
      </c>
      <c r="G204" s="41">
        <f t="shared" si="29"/>
        <v>0</v>
      </c>
      <c r="H204" s="9">
        <f t="shared" si="29"/>
        <v>0</v>
      </c>
      <c r="I204" s="41">
        <f t="shared" si="29"/>
        <v>86828.920898524884</v>
      </c>
      <c r="J204" s="41">
        <f t="shared" si="29"/>
        <v>-7936.6879615422331</v>
      </c>
      <c r="K204" s="41">
        <f t="shared" si="29"/>
        <v>-63000</v>
      </c>
      <c r="L204" s="41">
        <f t="shared" si="29"/>
        <v>0</v>
      </c>
      <c r="M204" s="13" t="s">
        <v>251</v>
      </c>
      <c r="N204" s="215" t="str">
        <f>E190</f>
        <v>D4X</v>
      </c>
      <c r="O204" s="172"/>
      <c r="P204" s="172"/>
      <c r="Q204" s="172"/>
      <c r="R204" s="172"/>
      <c r="S204" s="173"/>
    </row>
    <row r="205" spans="1:19" ht="16.95" customHeight="1" x14ac:dyDescent="0.3">
      <c r="A205" s="41">
        <f t="shared" si="22"/>
        <v>-5000</v>
      </c>
      <c r="C205" s="9">
        <f t="shared" ref="C205:L205" si="30">B166</f>
        <v>-18992.207031117923</v>
      </c>
      <c r="D205" s="9">
        <f t="shared" si="30"/>
        <v>-42732.465820015328</v>
      </c>
      <c r="E205" s="41">
        <f t="shared" si="30"/>
        <v>26928.894992660156</v>
      </c>
      <c r="F205" s="41">
        <f t="shared" si="30"/>
        <v>-47125.566237155275</v>
      </c>
      <c r="G205" s="41">
        <f t="shared" si="30"/>
        <v>0</v>
      </c>
      <c r="H205" s="9">
        <f t="shared" si="30"/>
        <v>0</v>
      </c>
      <c r="I205" s="41">
        <f t="shared" si="30"/>
        <v>-7936.6879615422331</v>
      </c>
      <c r="J205" s="41">
        <f t="shared" si="30"/>
        <v>89858.032057170611</v>
      </c>
      <c r="K205" s="41">
        <f t="shared" si="30"/>
        <v>0</v>
      </c>
      <c r="L205" s="41">
        <f t="shared" si="30"/>
        <v>0</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-15387.939995805804</v>
      </c>
      <c r="F206" s="41">
        <f t="shared" si="31"/>
        <v>-26928.894992660156</v>
      </c>
      <c r="G206" s="41">
        <f t="shared" si="31"/>
        <v>-30716.71258218828</v>
      </c>
      <c r="H206" s="9">
        <f t="shared" si="31"/>
        <v>38395.89072773535</v>
      </c>
      <c r="I206" s="41">
        <f t="shared" si="31"/>
        <v>-63000</v>
      </c>
      <c r="J206" s="41">
        <f t="shared" si="31"/>
        <v>0</v>
      </c>
      <c r="K206" s="41">
        <f t="shared" si="31"/>
        <v>109104.65257799409</v>
      </c>
      <c r="L206" s="41">
        <f t="shared" si="31"/>
        <v>-11466.995735075194</v>
      </c>
      <c r="M206" s="13" t="s">
        <v>251</v>
      </c>
      <c r="N206" s="215" t="str">
        <f>E192</f>
        <v>D5X</v>
      </c>
      <c r="O206" s="172"/>
      <c r="P206" s="172"/>
      <c r="Q206" s="172"/>
      <c r="R206" s="172"/>
      <c r="S206" s="173"/>
    </row>
    <row r="207" spans="1:19" ht="16.95" customHeight="1" x14ac:dyDescent="0.3">
      <c r="A207" s="41">
        <f t="shared" si="22"/>
        <v>-7000</v>
      </c>
      <c r="C207" s="9">
        <f t="shared" ref="C207:L207" si="32">B168</f>
        <v>0</v>
      </c>
      <c r="D207" s="9">
        <f t="shared" si="32"/>
        <v>0</v>
      </c>
      <c r="E207" s="41">
        <f t="shared" si="32"/>
        <v>-26928.894992660156</v>
      </c>
      <c r="F207" s="41">
        <f t="shared" si="32"/>
        <v>-47125.566237155275</v>
      </c>
      <c r="G207" s="41">
        <f t="shared" si="32"/>
        <v>38395.89072773535</v>
      </c>
      <c r="H207" s="9">
        <f t="shared" si="32"/>
        <v>-47994.863409669189</v>
      </c>
      <c r="I207" s="41">
        <f t="shared" si="32"/>
        <v>0</v>
      </c>
      <c r="J207" s="41">
        <f t="shared" si="32"/>
        <v>0</v>
      </c>
      <c r="K207" s="41">
        <f t="shared" si="32"/>
        <v>-11466.995735075194</v>
      </c>
      <c r="L207" s="41">
        <f t="shared" si="32"/>
        <v>95120.429646824457</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15" t="s">
        <v>383</v>
      </c>
      <c r="O211" s="172"/>
      <c r="P211" s="172"/>
      <c r="Q211" s="172"/>
      <c r="R211" s="172"/>
      <c r="S211" s="173"/>
    </row>
    <row r="212" spans="1:19" ht="16.95" customHeight="1" x14ac:dyDescent="0.3">
      <c r="A212" s="41">
        <f t="shared" ref="A212:A218" si="33">INDEX(E$172:E$181, MATCH(L212, C$172:C$181, 0))</f>
        <v>0</v>
      </c>
      <c r="C212" s="41">
        <f t="shared" ref="C212:I218" si="34">INDEX($B$159:$K$168, MATCH($L212, $L$159:$L$168, 0), MATCH(C$211, $B$158:$K$158, 0))</f>
        <v>145823.36706766978</v>
      </c>
      <c r="D212" s="41">
        <f t="shared" si="34"/>
        <v>28761.871769014542</v>
      </c>
      <c r="E212" s="41">
        <f t="shared" si="34"/>
        <v>-57523.743538029084</v>
      </c>
      <c r="F212" s="41">
        <f t="shared" si="34"/>
        <v>-15387.939995805804</v>
      </c>
      <c r="G212" s="41">
        <f t="shared" si="34"/>
        <v>26928.894992660156</v>
      </c>
      <c r="H212" s="41">
        <f t="shared" si="34"/>
        <v>-15387.939995805804</v>
      </c>
      <c r="I212" s="41">
        <f t="shared" si="34"/>
        <v>-26928.894992660156</v>
      </c>
      <c r="J212" s="13" t="s">
        <v>251</v>
      </c>
      <c r="K212" s="38" t="str">
        <f>INDEX(B$184:B$193, MATCH(1, F$184:F$193, 0))</f>
        <v>D2X</v>
      </c>
      <c r="L212" s="14" t="str">
        <f>INDEX(C$184:C$193, MATCH(1, F$184:F$193, 0))</f>
        <v>U2X</v>
      </c>
      <c r="N212" s="215" t="s">
        <v>384</v>
      </c>
      <c r="O212" s="172"/>
      <c r="P212" s="172"/>
      <c r="Q212" s="172"/>
      <c r="R212" s="172"/>
      <c r="S212" s="173"/>
    </row>
    <row r="213" spans="1:19" ht="16.95" customHeight="1" x14ac:dyDescent="0.3">
      <c r="A213" s="41">
        <f t="shared" si="33"/>
        <v>-6000</v>
      </c>
      <c r="C213" s="41">
        <f t="shared" si="34"/>
        <v>28761.871769014542</v>
      </c>
      <c r="D213" s="41">
        <f t="shared" si="34"/>
        <v>101441.60041656418</v>
      </c>
      <c r="E213" s="41">
        <f t="shared" si="34"/>
        <v>-14380.935884507271</v>
      </c>
      <c r="F213" s="41">
        <f t="shared" si="34"/>
        <v>26928.894992660156</v>
      </c>
      <c r="G213" s="41">
        <f t="shared" si="34"/>
        <v>-47125.566237155275</v>
      </c>
      <c r="H213" s="41">
        <f t="shared" si="34"/>
        <v>-26928.894992660156</v>
      </c>
      <c r="I213" s="41">
        <f t="shared" si="34"/>
        <v>-47125.566237155275</v>
      </c>
      <c r="J213" s="13" t="s">
        <v>251</v>
      </c>
      <c r="K213" s="38" t="str">
        <f>INDEX(B$184:B$193, MATCH(2, F$184:F$193, 0))</f>
        <v>D2Y</v>
      </c>
      <c r="L213" s="14" t="str">
        <f>INDEX(C$184:C$193, MATCH(2, F$184:F$193, 0))</f>
        <v>U2Y</v>
      </c>
      <c r="N213" s="215" t="s">
        <v>385</v>
      </c>
      <c r="O213" s="172"/>
      <c r="P213" s="172"/>
      <c r="Q213" s="172"/>
      <c r="R213" s="172"/>
      <c r="S213" s="173"/>
    </row>
    <row r="214" spans="1:19" ht="16.95" customHeight="1" x14ac:dyDescent="0.3">
      <c r="A214" s="41">
        <f t="shared" si="33"/>
        <v>0</v>
      </c>
      <c r="C214" s="41">
        <f t="shared" si="34"/>
        <v>-57523.743538029084</v>
      </c>
      <c r="D214" s="41">
        <f t="shared" si="34"/>
        <v>-14380.935884507271</v>
      </c>
      <c r="E214" s="41">
        <f t="shared" si="34"/>
        <v>88240.456120217365</v>
      </c>
      <c r="F214" s="41">
        <f t="shared" si="34"/>
        <v>0</v>
      </c>
      <c r="G214" s="41">
        <f t="shared" si="34"/>
        <v>0</v>
      </c>
      <c r="H214" s="41">
        <f t="shared" si="34"/>
        <v>-30716.71258218828</v>
      </c>
      <c r="I214" s="41">
        <f t="shared" si="34"/>
        <v>38395.89072773535</v>
      </c>
      <c r="J214" s="13" t="s">
        <v>251</v>
      </c>
      <c r="K214" s="38" t="str">
        <f>INDEX(B$184:B$193, MATCH(3, F$184:F$193, 0))</f>
        <v>D3X</v>
      </c>
      <c r="L214" s="14" t="str">
        <f>INDEX(C$184:C$193, MATCH(3, F$184:F$193, 0))</f>
        <v>U3X</v>
      </c>
      <c r="N214" s="215" t="s">
        <v>386</v>
      </c>
      <c r="O214" s="172"/>
      <c r="P214" s="172"/>
      <c r="Q214" s="172"/>
      <c r="R214" s="172"/>
      <c r="S214" s="173"/>
    </row>
    <row r="215" spans="1:19" ht="16.95" customHeight="1" x14ac:dyDescent="0.3">
      <c r="A215" s="41">
        <f t="shared" si="33"/>
        <v>2000</v>
      </c>
      <c r="B215" s="13" t="s">
        <v>220</v>
      </c>
      <c r="C215" s="41">
        <f t="shared" si="34"/>
        <v>-15387.939995805804</v>
      </c>
      <c r="D215" s="41">
        <f t="shared" si="34"/>
        <v>26928.894992660156</v>
      </c>
      <c r="E215" s="41">
        <f t="shared" si="34"/>
        <v>0</v>
      </c>
      <c r="F215" s="41">
        <f t="shared" si="34"/>
        <v>86828.920898524884</v>
      </c>
      <c r="G215" s="41">
        <f t="shared" si="34"/>
        <v>-7936.6879615422331</v>
      </c>
      <c r="H215" s="41">
        <f t="shared" si="34"/>
        <v>-63000</v>
      </c>
      <c r="I215" s="41">
        <f t="shared" si="34"/>
        <v>0</v>
      </c>
      <c r="J215" s="13" t="s">
        <v>251</v>
      </c>
      <c r="K215" s="38" t="str">
        <f>INDEX(B$184:B$193, MATCH(4, F$184:F$193, 0))</f>
        <v>D4X</v>
      </c>
      <c r="L215" s="14" t="str">
        <f>INDEX(C$184:C$193, MATCH(4, F$184:F$193, 0))</f>
        <v>U4X</v>
      </c>
      <c r="N215" s="215" t="s">
        <v>387</v>
      </c>
      <c r="O215" s="172"/>
      <c r="P215" s="172"/>
      <c r="Q215" s="172"/>
      <c r="R215" s="172"/>
      <c r="S215" s="173"/>
    </row>
    <row r="216" spans="1:19" ht="16.95" customHeight="1" x14ac:dyDescent="0.3">
      <c r="A216" s="41">
        <f t="shared" si="33"/>
        <v>-5000</v>
      </c>
      <c r="C216" s="41">
        <f t="shared" si="34"/>
        <v>26928.894992660156</v>
      </c>
      <c r="D216" s="41">
        <f t="shared" si="34"/>
        <v>-47125.566237155275</v>
      </c>
      <c r="E216" s="41">
        <f t="shared" si="34"/>
        <v>0</v>
      </c>
      <c r="F216" s="41">
        <f t="shared" si="34"/>
        <v>-7936.6879615422331</v>
      </c>
      <c r="G216" s="41">
        <f t="shared" si="34"/>
        <v>89858.032057170611</v>
      </c>
      <c r="H216" s="41">
        <f t="shared" si="34"/>
        <v>0</v>
      </c>
      <c r="I216" s="41">
        <f t="shared" si="34"/>
        <v>0</v>
      </c>
      <c r="J216" s="13" t="s">
        <v>251</v>
      </c>
      <c r="K216" s="38" t="str">
        <f>INDEX(B$184:B$193, MATCH(5, F$184:F$193, 0))</f>
        <v>D4Y</v>
      </c>
      <c r="L216" s="14" t="str">
        <f>INDEX(C$184:C$193, MATCH(5, F$184:F$193, 0))</f>
        <v>U4Y</v>
      </c>
      <c r="N216" s="215" t="s">
        <v>388</v>
      </c>
      <c r="O216" s="172"/>
      <c r="P216" s="172"/>
      <c r="Q216" s="172"/>
      <c r="R216" s="172"/>
      <c r="S216" s="173"/>
    </row>
    <row r="217" spans="1:19" ht="16.95" customHeight="1" x14ac:dyDescent="0.3">
      <c r="A217" s="41">
        <f t="shared" si="33"/>
        <v>0</v>
      </c>
      <c r="C217" s="41">
        <f t="shared" si="34"/>
        <v>-15387.939995805804</v>
      </c>
      <c r="D217" s="41">
        <f t="shared" si="34"/>
        <v>-26928.894992660156</v>
      </c>
      <c r="E217" s="41">
        <f t="shared" si="34"/>
        <v>-30716.71258218828</v>
      </c>
      <c r="F217" s="41">
        <f t="shared" si="34"/>
        <v>-63000</v>
      </c>
      <c r="G217" s="41">
        <f t="shared" si="34"/>
        <v>0</v>
      </c>
      <c r="H217" s="41">
        <f t="shared" si="34"/>
        <v>109104.65257799409</v>
      </c>
      <c r="I217" s="41">
        <f t="shared" si="34"/>
        <v>-11466.995735075194</v>
      </c>
      <c r="J217" s="13" t="s">
        <v>251</v>
      </c>
      <c r="K217" s="38" t="str">
        <f>INDEX(B$184:B$193, MATCH(6, F$184:F$193, 0))</f>
        <v>D5X</v>
      </c>
      <c r="L217" s="14" t="str">
        <f>INDEX(C$184:C$193, MATCH(6, F$184:F$193, 0))</f>
        <v>U5X</v>
      </c>
      <c r="N217" s="215"/>
      <c r="O217" s="172"/>
      <c r="P217" s="172"/>
      <c r="Q217" s="172"/>
      <c r="R217" s="172"/>
      <c r="S217" s="173"/>
    </row>
    <row r="218" spans="1:19" ht="16.95" customHeight="1" x14ac:dyDescent="0.3">
      <c r="A218" s="41">
        <f t="shared" si="33"/>
        <v>-7000</v>
      </c>
      <c r="C218" s="41">
        <f t="shared" si="34"/>
        <v>-26928.894992660156</v>
      </c>
      <c r="D218" s="41">
        <f t="shared" si="34"/>
        <v>-47125.566237155275</v>
      </c>
      <c r="E218" s="41">
        <f t="shared" si="34"/>
        <v>38395.89072773535</v>
      </c>
      <c r="F218" s="41">
        <f t="shared" si="34"/>
        <v>0</v>
      </c>
      <c r="G218" s="41">
        <f t="shared" si="34"/>
        <v>0</v>
      </c>
      <c r="H218" s="41">
        <f t="shared" si="34"/>
        <v>-11466.995735075194</v>
      </c>
      <c r="I218" s="41">
        <f t="shared" si="34"/>
        <v>95120.429646824457</v>
      </c>
      <c r="J218" s="13" t="s">
        <v>251</v>
      </c>
      <c r="K218" s="38" t="str">
        <f>INDEX(B$184:B$193, MATCH(7, F$184:F$193, 0))</f>
        <v>D5Y</v>
      </c>
      <c r="L218" s="14" t="str">
        <f>INDEX(C$184:C$193, MATCH(7, F$184:F$193, 0))</f>
        <v>U5Y</v>
      </c>
      <c r="N218" s="215"/>
      <c r="O218" s="172"/>
      <c r="P218" s="172"/>
      <c r="Q218" s="172"/>
      <c r="R218" s="172"/>
      <c r="S218" s="173"/>
    </row>
    <row r="219" spans="1:19" ht="16.95" customHeight="1" x14ac:dyDescent="0.3">
      <c r="N219" s="215"/>
      <c r="O219" s="172"/>
      <c r="P219" s="172"/>
      <c r="Q219" s="172"/>
      <c r="R219" s="172"/>
      <c r="S219" s="173"/>
    </row>
    <row r="220" spans="1:19" ht="16.95" customHeight="1" x14ac:dyDescent="0.3">
      <c r="C220" s="218" t="s">
        <v>263</v>
      </c>
      <c r="D220" s="172"/>
      <c r="E220" s="172"/>
      <c r="F220" s="172"/>
      <c r="G220" s="172"/>
      <c r="H220" s="172"/>
      <c r="I220" s="173"/>
      <c r="N220" s="215"/>
      <c r="O220" s="172"/>
      <c r="P220" s="172"/>
      <c r="Q220" s="172"/>
      <c r="R220" s="172"/>
      <c r="S220" s="173"/>
    </row>
    <row r="221" spans="1:19" ht="16.95" customHeight="1" x14ac:dyDescent="0.3">
      <c r="A221" s="99" t="s">
        <v>249</v>
      </c>
      <c r="C221" s="193" t="s">
        <v>264</v>
      </c>
      <c r="D221" s="175"/>
      <c r="E221" s="175"/>
      <c r="F221" s="175"/>
      <c r="G221" s="175"/>
      <c r="H221" s="175"/>
      <c r="I221" s="175"/>
      <c r="K221" s="99" t="s">
        <v>247</v>
      </c>
      <c r="N221" s="215"/>
      <c r="O221" s="172"/>
      <c r="P221" s="172"/>
      <c r="Q221" s="172"/>
      <c r="R221" s="172"/>
      <c r="S221" s="173"/>
    </row>
    <row r="222" spans="1:19" ht="16.95" customHeight="1" x14ac:dyDescent="0.3">
      <c r="A222" s="12" t="str">
        <f t="shared" ref="A222:A228" si="35">K212</f>
        <v>D2X</v>
      </c>
      <c r="C222" s="93">
        <f t="array" ref="C222:I228">MINVERSE(C212:I218)</f>
        <v>2.1408445541083135E-5</v>
      </c>
      <c r="D222" s="93">
        <v>-1.1751247082270047E-5</v>
      </c>
      <c r="E222" s="93">
        <v>1.9919310928987439E-5</v>
      </c>
      <c r="F222" s="93">
        <v>1.7433056884274767E-5</v>
      </c>
      <c r="G222" s="93">
        <v>-1.1038848717933237E-5</v>
      </c>
      <c r="H222" s="93">
        <v>1.5165483188129647E-5</v>
      </c>
      <c r="I222" s="93">
        <v>-5.9734333379801065E-6</v>
      </c>
      <c r="K222" s="17">
        <f t="shared" ref="K222:K228" si="36">A212</f>
        <v>0</v>
      </c>
      <c r="N222" s="215"/>
      <c r="O222" s="172"/>
      <c r="P222" s="172"/>
      <c r="Q222" s="172"/>
      <c r="R222" s="172"/>
      <c r="S222" s="173"/>
    </row>
    <row r="223" spans="1:19" ht="16.95" customHeight="1" x14ac:dyDescent="0.3">
      <c r="A223" s="12" t="str">
        <f t="shared" si="35"/>
        <v>D2Y</v>
      </c>
      <c r="C223" s="93">
        <v>-1.1751247082270042E-5</v>
      </c>
      <c r="D223" s="93">
        <v>2.9620862427418418E-5</v>
      </c>
      <c r="E223" s="93">
        <v>-1.0140740109302694E-5</v>
      </c>
      <c r="F223" s="93">
        <v>-1.1060802618990634E-5</v>
      </c>
      <c r="G223" s="93">
        <v>1.80792060192403E-5</v>
      </c>
      <c r="H223" s="93">
        <v>-1.9905078344101351E-6</v>
      </c>
      <c r="I223" s="93">
        <v>1.5201670401089538E-5</v>
      </c>
      <c r="K223" s="17">
        <f t="shared" si="36"/>
        <v>-6000</v>
      </c>
      <c r="N223" s="215"/>
      <c r="O223" s="172"/>
      <c r="P223" s="172"/>
      <c r="Q223" s="172"/>
      <c r="R223" s="172"/>
      <c r="S223" s="173"/>
    </row>
    <row r="224" spans="1:19" ht="16.95" customHeight="1" x14ac:dyDescent="0.3">
      <c r="A224" s="12" t="str">
        <f t="shared" si="35"/>
        <v>D3X</v>
      </c>
      <c r="C224" s="93">
        <v>1.9919310928987435E-5</v>
      </c>
      <c r="D224" s="93">
        <v>-1.0140740109302697E-5</v>
      </c>
      <c r="E224" s="93">
        <v>3.476825180332353E-5</v>
      </c>
      <c r="F224" s="93">
        <v>2.1186903442650271E-5</v>
      </c>
      <c r="G224" s="93">
        <v>-9.4164015300667873E-6</v>
      </c>
      <c r="H224" s="93">
        <v>2.1186903442650274E-5</v>
      </c>
      <c r="I224" s="93">
        <v>-1.0865078688538607E-5</v>
      </c>
      <c r="K224" s="17">
        <f t="shared" si="36"/>
        <v>0</v>
      </c>
      <c r="N224" s="215"/>
      <c r="O224" s="172"/>
      <c r="P224" s="172"/>
      <c r="Q224" s="172"/>
      <c r="R224" s="172"/>
      <c r="S224" s="173"/>
    </row>
    <row r="225" spans="1:19" ht="16.95" customHeight="1" x14ac:dyDescent="0.3">
      <c r="A225" s="12" t="str">
        <f t="shared" si="35"/>
        <v>D4X</v>
      </c>
      <c r="B225" s="13" t="s">
        <v>220</v>
      </c>
      <c r="C225" s="93">
        <v>1.7433056884274771E-5</v>
      </c>
      <c r="D225" s="93">
        <v>-1.1060802618990641E-5</v>
      </c>
      <c r="E225" s="93">
        <v>2.1186903442650277E-5</v>
      </c>
      <c r="F225" s="93">
        <v>3.6136141023458625E-5</v>
      </c>
      <c r="G225" s="93">
        <v>-7.8334485314538244E-6</v>
      </c>
      <c r="H225" s="93">
        <v>2.5932059390805565E-5</v>
      </c>
      <c r="I225" s="93">
        <v>-5.9705453952981906E-6</v>
      </c>
      <c r="K225" s="17">
        <f t="shared" si="36"/>
        <v>2000</v>
      </c>
      <c r="N225" s="215"/>
      <c r="O225" s="172"/>
      <c r="P225" s="172"/>
      <c r="Q225" s="172"/>
      <c r="R225" s="172"/>
      <c r="S225" s="173"/>
    </row>
    <row r="226" spans="1:19" ht="16.95" customHeight="1" x14ac:dyDescent="0.3">
      <c r="A226" s="12" t="str">
        <f t="shared" si="35"/>
        <v>D4Y</v>
      </c>
      <c r="C226" s="93">
        <v>-1.1038848717933233E-5</v>
      </c>
      <c r="D226" s="93">
        <v>1.80792060192403E-5</v>
      </c>
      <c r="E226" s="93">
        <v>-9.4164015300667856E-6</v>
      </c>
      <c r="F226" s="93">
        <v>-7.8334485314538227E-6</v>
      </c>
      <c r="G226" s="93">
        <v>2.3226473296846167E-5</v>
      </c>
      <c r="H226" s="93">
        <v>-3.2983011391635742E-6</v>
      </c>
      <c r="I226" s="93">
        <v>9.2352226033103156E-6</v>
      </c>
      <c r="K226" s="17">
        <f t="shared" si="36"/>
        <v>-5000</v>
      </c>
      <c r="N226" s="215"/>
      <c r="O226" s="172"/>
      <c r="P226" s="172"/>
      <c r="Q226" s="172"/>
      <c r="R226" s="172"/>
      <c r="S226" s="173"/>
    </row>
    <row r="227" spans="1:19" ht="16.95" customHeight="1" x14ac:dyDescent="0.3">
      <c r="A227" s="12" t="str">
        <f t="shared" si="35"/>
        <v>D5X</v>
      </c>
      <c r="C227" s="93">
        <v>1.5165483188129649E-5</v>
      </c>
      <c r="D227" s="93">
        <v>-1.9905078344101398E-6</v>
      </c>
      <c r="E227" s="93">
        <v>2.1186903442650281E-5</v>
      </c>
      <c r="F227" s="93">
        <v>2.5932059390805569E-5</v>
      </c>
      <c r="G227" s="93">
        <v>-3.2983011391635767E-6</v>
      </c>
      <c r="H227" s="93">
        <v>3.1600993631168381E-5</v>
      </c>
      <c r="I227" s="93">
        <v>-1.4353980030079406E-6</v>
      </c>
      <c r="K227" s="17">
        <f t="shared" si="36"/>
        <v>0</v>
      </c>
      <c r="N227" s="215"/>
      <c r="O227" s="172"/>
      <c r="P227" s="172"/>
      <c r="Q227" s="172"/>
      <c r="R227" s="172"/>
      <c r="S227" s="173"/>
    </row>
    <row r="228" spans="1:19" ht="16.95" customHeight="1" x14ac:dyDescent="0.3">
      <c r="A228" s="12" t="str">
        <f t="shared" si="35"/>
        <v>D5Y</v>
      </c>
      <c r="C228" s="93">
        <v>-5.9734333379801022E-6</v>
      </c>
      <c r="D228" s="93">
        <v>1.5201670401089538E-5</v>
      </c>
      <c r="E228" s="93">
        <v>-1.0865078688538602E-5</v>
      </c>
      <c r="F228" s="93">
        <v>-5.9705453952981864E-6</v>
      </c>
      <c r="G228" s="93">
        <v>9.235222603310314E-6</v>
      </c>
      <c r="H228" s="93">
        <v>-1.4353980030079364E-6</v>
      </c>
      <c r="I228" s="93">
        <v>2.056597142018777E-5</v>
      </c>
      <c r="K228" s="17">
        <f t="shared" si="36"/>
        <v>-7000</v>
      </c>
      <c r="N228" s="215"/>
      <c r="O228" s="172"/>
      <c r="P228" s="172"/>
      <c r="Q228" s="172"/>
      <c r="R228" s="172"/>
      <c r="S228" s="173"/>
    </row>
    <row r="229" spans="1:19" ht="16.95" customHeight="1" x14ac:dyDescent="0.3">
      <c r="N229" s="215"/>
      <c r="O229" s="172"/>
      <c r="P229" s="172"/>
      <c r="Q229" s="172"/>
      <c r="R229" s="172"/>
      <c r="S229" s="173"/>
    </row>
    <row r="230" spans="1:19" ht="16.95" customHeight="1" x14ac:dyDescent="0.3">
      <c r="C230" s="218" t="s">
        <v>265</v>
      </c>
      <c r="D230" s="173"/>
      <c r="N230" s="215"/>
      <c r="O230" s="172"/>
      <c r="P230" s="172"/>
      <c r="Q230" s="172"/>
      <c r="R230" s="172"/>
      <c r="S230" s="173"/>
    </row>
    <row r="231" spans="1:19" ht="16.95" customHeight="1" x14ac:dyDescent="0.3">
      <c r="A231" s="99" t="s">
        <v>249</v>
      </c>
      <c r="C231" s="99" t="s">
        <v>266</v>
      </c>
      <c r="N231" s="215"/>
      <c r="O231" s="172"/>
      <c r="P231" s="172"/>
      <c r="Q231" s="172"/>
      <c r="R231" s="172"/>
      <c r="S231" s="173"/>
    </row>
    <row r="232" spans="1:19" ht="16.95" customHeight="1" x14ac:dyDescent="0.3">
      <c r="A232" s="12" t="str">
        <f t="shared" ref="A232:A238" si="37">A222</f>
        <v>D2X</v>
      </c>
      <c r="C232" s="94">
        <f t="array" ref="C232:C238">MMULT(C222:I228, K222:K228)</f>
        <v>0.20238187321769674</v>
      </c>
      <c r="D232" s="12" t="s">
        <v>267</v>
      </c>
      <c r="N232" s="215"/>
      <c r="O232" s="172"/>
      <c r="P232" s="172"/>
      <c r="Q232" s="172"/>
      <c r="R232" s="172"/>
      <c r="S232" s="173"/>
    </row>
    <row r="233" spans="1:19" ht="16.95" customHeight="1" x14ac:dyDescent="0.3">
      <c r="A233" s="12" t="str">
        <f t="shared" si="37"/>
        <v>D2Y</v>
      </c>
      <c r="C233" s="94">
        <v>-0.39665450270632008</v>
      </c>
      <c r="D233" s="12" t="s">
        <v>267</v>
      </c>
      <c r="N233" s="215"/>
      <c r="O233" s="172"/>
      <c r="P233" s="172"/>
      <c r="Q233" s="172"/>
      <c r="R233" s="172"/>
      <c r="S233" s="173"/>
    </row>
    <row r="234" spans="1:19" ht="16.95" customHeight="1" x14ac:dyDescent="0.3">
      <c r="A234" s="12" t="str">
        <f t="shared" si="37"/>
        <v>D3X</v>
      </c>
      <c r="C234" s="94">
        <v>0.22635580601122091</v>
      </c>
      <c r="D234" s="12" t="s">
        <v>267</v>
      </c>
      <c r="N234" s="215"/>
      <c r="O234" s="172"/>
      <c r="P234" s="172"/>
      <c r="Q234" s="172"/>
      <c r="R234" s="172"/>
      <c r="S234" s="173"/>
    </row>
    <row r="235" spans="1:19" ht="16.95" customHeight="1" x14ac:dyDescent="0.3">
      <c r="A235" s="12" t="str">
        <f t="shared" si="37"/>
        <v>D4X</v>
      </c>
      <c r="B235" s="13" t="s">
        <v>220</v>
      </c>
      <c r="C235" s="94">
        <v>0.21959815818521755</v>
      </c>
      <c r="D235" s="12" t="s">
        <v>267</v>
      </c>
      <c r="N235" s="215"/>
      <c r="O235" s="172"/>
      <c r="P235" s="172"/>
      <c r="Q235" s="172"/>
      <c r="R235" s="172"/>
      <c r="S235" s="173"/>
    </row>
    <row r="236" spans="1:19" ht="16.95" customHeight="1" x14ac:dyDescent="0.3">
      <c r="A236" s="12" t="str">
        <f t="shared" si="37"/>
        <v>D4Y</v>
      </c>
      <c r="C236" s="94">
        <v>-0.30492105788575252</v>
      </c>
      <c r="D236" s="12" t="s">
        <v>267</v>
      </c>
      <c r="N236" s="215"/>
      <c r="O236" s="172"/>
      <c r="P236" s="172"/>
      <c r="Q236" s="172"/>
      <c r="R236" s="172"/>
      <c r="S236" s="173"/>
    </row>
    <row r="237" spans="1:19" ht="16.95" customHeight="1" x14ac:dyDescent="0.3">
      <c r="A237" s="12" t="str">
        <f t="shared" si="37"/>
        <v>D5X</v>
      </c>
      <c r="C237" s="94">
        <v>9.0346457504945438E-2</v>
      </c>
      <c r="D237" s="12" t="s">
        <v>267</v>
      </c>
      <c r="N237" s="215"/>
      <c r="O237" s="172"/>
      <c r="P237" s="172"/>
      <c r="Q237" s="172"/>
      <c r="R237" s="172"/>
      <c r="S237" s="173"/>
    </row>
    <row r="238" spans="1:19" ht="16.95" customHeight="1" x14ac:dyDescent="0.3">
      <c r="A238" s="12" t="str">
        <f t="shared" si="37"/>
        <v>D5Y</v>
      </c>
      <c r="C238" s="94">
        <v>-0.29328902615499952</v>
      </c>
      <c r="D238" s="12" t="s">
        <v>267</v>
      </c>
      <c r="N238" s="215"/>
      <c r="O238" s="172"/>
      <c r="P238" s="172"/>
      <c r="Q238" s="172"/>
      <c r="R238" s="172"/>
      <c r="S238" s="173"/>
    </row>
    <row r="241" spans="1:19" ht="19.95" customHeight="1" x14ac:dyDescent="0.35">
      <c r="A241" s="11" t="s">
        <v>268</v>
      </c>
      <c r="N241" s="216" t="s">
        <v>269</v>
      </c>
      <c r="O241" s="172"/>
      <c r="P241" s="172"/>
      <c r="Q241" s="172"/>
      <c r="R241" s="172"/>
      <c r="S241" s="173"/>
    </row>
    <row r="242" spans="1:19" ht="16.95" customHeight="1" x14ac:dyDescent="0.3">
      <c r="A242" s="99" t="s">
        <v>247</v>
      </c>
      <c r="K242" s="99" t="s">
        <v>249</v>
      </c>
      <c r="N242" s="215" t="s">
        <v>389</v>
      </c>
      <c r="O242" s="172"/>
      <c r="P242" s="172"/>
      <c r="Q242" s="172"/>
      <c r="R242" s="172"/>
      <c r="S242" s="173"/>
    </row>
    <row r="243" spans="1:19" ht="16.95" customHeight="1" x14ac:dyDescent="0.3">
      <c r="A243" s="18" t="str">
        <f>INDEX(B$172:B$181, MATCH(L243, C$172:C$181, 0))</f>
        <v>C1X</v>
      </c>
      <c r="C243" s="9">
        <f t="shared" ref="C243:I245" si="38">INDEX($B$159:$K$168, MATCH($L243, $L$159:$L$168, 0), MATCH(C$211, $B$158:$K$158, 0))</f>
        <v>-57523.743538029084</v>
      </c>
      <c r="D243" s="9">
        <f t="shared" si="38"/>
        <v>-14380.935884507271</v>
      </c>
      <c r="E243" s="9">
        <f t="shared" si="38"/>
        <v>0</v>
      </c>
      <c r="F243" s="9">
        <f t="shared" si="38"/>
        <v>-8440.9809027190768</v>
      </c>
      <c r="G243" s="9">
        <f t="shared" si="38"/>
        <v>-18992.207031117923</v>
      </c>
      <c r="H243" s="9">
        <f t="shared" si="38"/>
        <v>0</v>
      </c>
      <c r="I243" s="9">
        <f t="shared" si="38"/>
        <v>0</v>
      </c>
      <c r="K243" s="95">
        <f t="shared" ref="K243:K249" si="39">C232</f>
        <v>0.20238187321769674</v>
      </c>
      <c r="L243" s="14" t="str">
        <f>INDEX(C$184:C$193, MATCH(1, G$184:G$193, 0))</f>
        <v>U1X</v>
      </c>
      <c r="N243" s="215" t="s">
        <v>390</v>
      </c>
      <c r="O243" s="172"/>
      <c r="P243" s="172"/>
      <c r="Q243" s="172"/>
      <c r="R243" s="172"/>
      <c r="S243" s="173"/>
    </row>
    <row r="244" spans="1:19" ht="16.95" customHeight="1" x14ac:dyDescent="0.3">
      <c r="A244" s="18" t="str">
        <f>INDEX(B$172:B$181, MATCH(L244, C$172:C$181, 0))</f>
        <v>C1Y</v>
      </c>
      <c r="B244" s="13" t="s">
        <v>220</v>
      </c>
      <c r="C244" s="9">
        <f t="shared" si="38"/>
        <v>-14380.935884507271</v>
      </c>
      <c r="D244" s="9">
        <f t="shared" si="38"/>
        <v>-3595.2339711268178</v>
      </c>
      <c r="E244" s="9">
        <f t="shared" si="38"/>
        <v>0</v>
      </c>
      <c r="F244" s="9">
        <f t="shared" si="38"/>
        <v>-18992.207031117923</v>
      </c>
      <c r="G244" s="9">
        <f t="shared" si="38"/>
        <v>-42732.465820015328</v>
      </c>
      <c r="H244" s="9">
        <f t="shared" si="38"/>
        <v>0</v>
      </c>
      <c r="I244" s="9">
        <f t="shared" si="38"/>
        <v>0</v>
      </c>
      <c r="K244" s="95">
        <f t="shared" si="39"/>
        <v>-0.39665450270632008</v>
      </c>
      <c r="L244" s="14" t="str">
        <f>INDEX(C$184:C$193, MATCH(2, G$184:G$193, 0))</f>
        <v>U1Y</v>
      </c>
      <c r="N244" s="215" t="s">
        <v>391</v>
      </c>
      <c r="O244" s="172"/>
      <c r="P244" s="172"/>
      <c r="Q244" s="172"/>
      <c r="R244" s="172"/>
      <c r="S244" s="173"/>
    </row>
    <row r="245" spans="1:19" ht="16.95" customHeight="1" x14ac:dyDescent="0.3">
      <c r="A245" s="18" t="str">
        <f>INDEX(B$172:B$181, MATCH(L245, C$172:C$181, 0))</f>
        <v>C3Y</v>
      </c>
      <c r="C245" s="9">
        <f t="shared" si="38"/>
        <v>-14380.935884507271</v>
      </c>
      <c r="D245" s="9">
        <f t="shared" si="38"/>
        <v>-3595.2339711268178</v>
      </c>
      <c r="E245" s="9">
        <f t="shared" si="38"/>
        <v>-24014.954843228079</v>
      </c>
      <c r="F245" s="9">
        <f t="shared" si="38"/>
        <v>0</v>
      </c>
      <c r="G245" s="9">
        <f t="shared" si="38"/>
        <v>0</v>
      </c>
      <c r="H245" s="9">
        <f t="shared" si="38"/>
        <v>38395.89072773535</v>
      </c>
      <c r="I245" s="9">
        <f t="shared" si="38"/>
        <v>-47994.863409669189</v>
      </c>
      <c r="K245" s="95">
        <f t="shared" si="39"/>
        <v>0.22635580601122091</v>
      </c>
      <c r="L245" s="14" t="str">
        <f>INDEX(C$184:C$193, MATCH(3, G$184:G$193, 0))</f>
        <v>U3Y</v>
      </c>
      <c r="N245" s="215" t="s">
        <v>392</v>
      </c>
      <c r="O245" s="172"/>
      <c r="P245" s="172"/>
      <c r="Q245" s="172"/>
      <c r="R245" s="172"/>
      <c r="S245" s="173"/>
    </row>
    <row r="246" spans="1:19" ht="16.95" customHeight="1" x14ac:dyDescent="0.3">
      <c r="K246" s="95">
        <f t="shared" si="39"/>
        <v>0.21959815818521755</v>
      </c>
      <c r="N246" s="215" t="s">
        <v>393</v>
      </c>
      <c r="O246" s="172"/>
      <c r="P246" s="172"/>
      <c r="Q246" s="172"/>
      <c r="R246" s="172"/>
      <c r="S246" s="173"/>
    </row>
    <row r="247" spans="1:19" ht="16.95" customHeight="1" x14ac:dyDescent="0.3">
      <c r="K247" s="95">
        <f t="shared" si="39"/>
        <v>-0.30492105788575252</v>
      </c>
      <c r="N247" s="215" t="s">
        <v>394</v>
      </c>
      <c r="O247" s="172"/>
      <c r="P247" s="172"/>
      <c r="Q247" s="172"/>
      <c r="R247" s="172"/>
      <c r="S247" s="173"/>
    </row>
    <row r="248" spans="1:19" ht="16.95" customHeight="1" x14ac:dyDescent="0.3">
      <c r="K248" s="95">
        <f t="shared" si="39"/>
        <v>9.0346457504945438E-2</v>
      </c>
      <c r="N248" s="215"/>
      <c r="O248" s="172"/>
      <c r="P248" s="172"/>
      <c r="Q248" s="172"/>
      <c r="R248" s="172"/>
      <c r="S248" s="173"/>
    </row>
    <row r="249" spans="1:19" ht="16.95" customHeight="1" x14ac:dyDescent="0.3">
      <c r="K249" s="95">
        <f t="shared" si="39"/>
        <v>-0.29328902615499952</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A251" s="12" t="str">
        <f>A243</f>
        <v>C1X</v>
      </c>
      <c r="C251" s="17">
        <f t="array" ref="C251:C253">MMULT(C243:I245, K243:K249)</f>
        <v>-1999.9999999999991</v>
      </c>
      <c r="D251" s="12" t="s">
        <v>273</v>
      </c>
      <c r="N251" s="215"/>
      <c r="O251" s="172"/>
      <c r="P251" s="172"/>
      <c r="Q251" s="172"/>
      <c r="R251" s="172"/>
      <c r="S251" s="173"/>
    </row>
    <row r="252" spans="1:19" ht="16.95" customHeight="1" x14ac:dyDescent="0.3">
      <c r="A252" s="12" t="str">
        <f>A244</f>
        <v>C1Y</v>
      </c>
      <c r="B252" s="13" t="s">
        <v>220</v>
      </c>
      <c r="C252" s="17">
        <v>7375.0000000000009</v>
      </c>
      <c r="D252" s="12" t="s">
        <v>273</v>
      </c>
      <c r="N252" s="215"/>
      <c r="O252" s="172"/>
      <c r="P252" s="172"/>
      <c r="Q252" s="172"/>
      <c r="R252" s="172"/>
      <c r="S252" s="173"/>
    </row>
    <row r="253" spans="1:19" ht="16.95" customHeight="1" x14ac:dyDescent="0.3">
      <c r="A253" s="12" t="str">
        <f>A245</f>
        <v>C3Y</v>
      </c>
      <c r="C253" s="17">
        <v>10625.000000000002</v>
      </c>
      <c r="D253" s="12" t="s">
        <v>273</v>
      </c>
      <c r="N253" s="215"/>
      <c r="O253" s="172"/>
      <c r="P253" s="172"/>
      <c r="Q253" s="172"/>
      <c r="R253" s="172"/>
      <c r="S253" s="173"/>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0.20238187321769674</v>
      </c>
    </row>
    <row r="261" spans="1:19" ht="19.05" customHeight="1" x14ac:dyDescent="0.3">
      <c r="A261" s="12" t="s">
        <v>231</v>
      </c>
      <c r="B261" s="12" t="s">
        <v>181</v>
      </c>
      <c r="D261" s="94">
        <f t="shared" si="40"/>
        <v>-0.39665450270632008</v>
      </c>
    </row>
    <row r="262" spans="1:19" ht="19.05" customHeight="1" x14ac:dyDescent="0.3">
      <c r="A262" s="12" t="s">
        <v>232</v>
      </c>
      <c r="B262" s="12" t="s">
        <v>182</v>
      </c>
      <c r="D262" s="94">
        <f t="shared" si="40"/>
        <v>0.22635580601122091</v>
      </c>
    </row>
    <row r="263" spans="1:19" ht="19.05" customHeight="1" x14ac:dyDescent="0.3">
      <c r="A263" s="12" t="s">
        <v>234</v>
      </c>
      <c r="B263" s="12" t="s">
        <v>183</v>
      </c>
      <c r="D263" s="94">
        <f t="shared" si="40"/>
        <v>0</v>
      </c>
    </row>
    <row r="264" spans="1:19" ht="19.05" customHeight="1" x14ac:dyDescent="0.3">
      <c r="A264" s="12" t="s">
        <v>235</v>
      </c>
      <c r="B264" s="12" t="s">
        <v>184</v>
      </c>
      <c r="D264" s="94">
        <f t="shared" si="40"/>
        <v>0.21959815818521755</v>
      </c>
    </row>
    <row r="265" spans="1:19" ht="19.05" customHeight="1" x14ac:dyDescent="0.3">
      <c r="A265" s="12" t="s">
        <v>236</v>
      </c>
      <c r="B265" s="12" t="s">
        <v>185</v>
      </c>
      <c r="D265" s="94">
        <f t="shared" si="40"/>
        <v>-0.30492105788575252</v>
      </c>
    </row>
    <row r="266" spans="1:19" ht="19.05" customHeight="1" x14ac:dyDescent="0.3">
      <c r="A266" s="12" t="s">
        <v>237</v>
      </c>
      <c r="B266" s="12" t="s">
        <v>186</v>
      </c>
      <c r="D266" s="94">
        <f t="shared" si="40"/>
        <v>9.0346457504945438E-2</v>
      </c>
    </row>
    <row r="267" spans="1:19" ht="19.05" customHeight="1" x14ac:dyDescent="0.3">
      <c r="A267" s="12" t="s">
        <v>238</v>
      </c>
      <c r="B267" s="12" t="s">
        <v>187</v>
      </c>
      <c r="D267" s="94">
        <f t="shared" si="40"/>
        <v>-0.29328902615499952</v>
      </c>
    </row>
    <row r="270" spans="1:19" ht="19.95" customHeight="1" x14ac:dyDescent="0.35">
      <c r="A270" s="11" t="s">
        <v>275</v>
      </c>
      <c r="N270" s="216" t="s">
        <v>276</v>
      </c>
      <c r="O270" s="172"/>
      <c r="P270" s="172"/>
      <c r="Q270" s="172"/>
      <c r="R270" s="172"/>
      <c r="S270" s="173"/>
    </row>
    <row r="271" spans="1:19" ht="16.95" customHeight="1" x14ac:dyDescent="0.3">
      <c r="N271" s="215" t="s">
        <v>395</v>
      </c>
      <c r="O271" s="172"/>
      <c r="P271" s="172"/>
      <c r="Q271" s="172"/>
      <c r="R271" s="172"/>
      <c r="S271" s="173"/>
    </row>
    <row r="272" spans="1:19" ht="16.95" customHeight="1" x14ac:dyDescent="0.3">
      <c r="A272" s="19" t="s">
        <v>278</v>
      </c>
      <c r="C272" s="19" t="s">
        <v>279</v>
      </c>
      <c r="D272" s="19" t="s">
        <v>280</v>
      </c>
      <c r="E272" s="19" t="s">
        <v>279</v>
      </c>
      <c r="F272" s="19" t="s">
        <v>280</v>
      </c>
      <c r="G272" s="19" t="s">
        <v>249</v>
      </c>
      <c r="N272" s="215" t="s">
        <v>396</v>
      </c>
      <c r="O272" s="172"/>
      <c r="P272" s="172"/>
      <c r="Q272" s="172"/>
      <c r="R272" s="172"/>
      <c r="S272" s="173"/>
    </row>
    <row r="273" spans="1:19" ht="16.95" customHeight="1" x14ac:dyDescent="0.3">
      <c r="C273" s="19" t="s">
        <v>282</v>
      </c>
      <c r="D273" s="19" t="s">
        <v>282</v>
      </c>
      <c r="E273" s="19" t="s">
        <v>283</v>
      </c>
      <c r="F273" s="19" t="s">
        <v>283</v>
      </c>
      <c r="N273" s="215" t="s">
        <v>397</v>
      </c>
      <c r="O273" s="172"/>
      <c r="P273" s="172"/>
      <c r="Q273" s="172"/>
      <c r="R273" s="172"/>
      <c r="S273" s="173"/>
    </row>
    <row r="274" spans="1:19" ht="16.95" customHeight="1" x14ac:dyDescent="0.3">
      <c r="A274" s="17">
        <f>N6</f>
        <v>61118.977509155906</v>
      </c>
      <c r="C274" s="92">
        <f>-J6</f>
        <v>-0.97014250014533188</v>
      </c>
      <c r="D274" s="92">
        <f>-K6</f>
        <v>-0.24253562503633297</v>
      </c>
      <c r="E274" s="92">
        <f>J6</f>
        <v>0.97014250014533188</v>
      </c>
      <c r="F274" s="92">
        <f>K6</f>
        <v>0.24253562503633297</v>
      </c>
      <c r="G274" s="96">
        <f>IFERROR(VLOOKUP(H274, A$258:D$267, 4, FALSE), 0)</f>
        <v>0</v>
      </c>
      <c r="H274" s="12" t="str">
        <f>"D" &amp; C16 &amp; "X"</f>
        <v>D1X</v>
      </c>
      <c r="N274" s="215" t="s">
        <v>398</v>
      </c>
      <c r="O274" s="172"/>
      <c r="P274" s="172"/>
      <c r="Q274" s="172"/>
      <c r="R274" s="172"/>
      <c r="S274" s="173"/>
    </row>
    <row r="275" spans="1:19" ht="16.95" customHeight="1" x14ac:dyDescent="0.3">
      <c r="A275" s="99" t="s">
        <v>285</v>
      </c>
      <c r="B275" s="97">
        <f>(MMULT(C274:F274, G274:G277)*A274)</f>
        <v>6120.2349130262146</v>
      </c>
      <c r="G275" s="96">
        <f>IFERROR(VLOOKUP(H275, A$258:D$267, 4, FALSE), 0)</f>
        <v>0</v>
      </c>
      <c r="H275" s="12" t="str">
        <f>"D" &amp; D16 &amp; "Y"</f>
        <v>D1Y</v>
      </c>
      <c r="N275" s="215" t="s">
        <v>399</v>
      </c>
      <c r="O275" s="172"/>
      <c r="P275" s="172"/>
      <c r="Q275" s="172"/>
      <c r="R275" s="172"/>
      <c r="S275" s="173"/>
    </row>
    <row r="276" spans="1:19" ht="16.95" customHeight="1" x14ac:dyDescent="0.3">
      <c r="G276" s="96">
        <f>IFERROR(VLOOKUP(H276, A$258:D$267, 4, FALSE), 0)</f>
        <v>0.20238187321769674</v>
      </c>
      <c r="H276" s="12" t="str">
        <f>"D" &amp; E16 &amp; "X"</f>
        <v>D2X</v>
      </c>
      <c r="N276" s="215" t="s">
        <v>400</v>
      </c>
      <c r="O276" s="172"/>
      <c r="P276" s="172"/>
      <c r="Q276" s="172"/>
      <c r="R276" s="172"/>
      <c r="S276" s="173"/>
    </row>
    <row r="277" spans="1:19" ht="16.95" customHeight="1" x14ac:dyDescent="0.3">
      <c r="G277" s="96">
        <f>IFERROR(VLOOKUP(H277, A$258:D$267, 4, FALSE), 0)</f>
        <v>-0.39665450270632008</v>
      </c>
      <c r="H277" s="12" t="str">
        <f>"D" &amp; F16 &amp; "Y"</f>
        <v>D2Y</v>
      </c>
      <c r="N277" s="215" t="s">
        <v>401</v>
      </c>
      <c r="O277" s="172"/>
      <c r="P277" s="172"/>
      <c r="Q277" s="172"/>
      <c r="R277" s="172"/>
      <c r="S277" s="173"/>
    </row>
    <row r="278" spans="1:19" ht="16.95" customHeight="1" x14ac:dyDescent="0.3">
      <c r="B278" s="99" t="s">
        <v>273</v>
      </c>
      <c r="C278" s="178" t="str">
        <f>IF(B275&gt;0.001,"BARRA A TRACCIÓN (+)",IF(B275&lt;-0.001,"BARRA A COMPRESIÓN (-)","BARRA DE FUERZA NULA"))</f>
        <v>BARRA A TRACCIÓN (+)</v>
      </c>
      <c r="D278" s="172"/>
      <c r="E278" s="172"/>
      <c r="F278" s="173"/>
      <c r="N278" s="215" t="s">
        <v>402</v>
      </c>
      <c r="O278" s="172"/>
      <c r="P278" s="172"/>
      <c r="Q278" s="172"/>
      <c r="R278" s="172"/>
      <c r="S278" s="173"/>
    </row>
    <row r="279" spans="1:19" ht="16.95" customHeight="1" x14ac:dyDescent="0.3">
      <c r="N279" s="215" t="s">
        <v>403</v>
      </c>
      <c r="O279" s="172"/>
      <c r="P279" s="172"/>
      <c r="Q279" s="172"/>
      <c r="R279" s="172"/>
      <c r="S279" s="173"/>
    </row>
    <row r="280" spans="1:19" ht="16.95" customHeight="1" x14ac:dyDescent="0.3">
      <c r="A280" s="19" t="s">
        <v>278</v>
      </c>
      <c r="C280" s="19" t="s">
        <v>279</v>
      </c>
      <c r="D280" s="19" t="s">
        <v>280</v>
      </c>
      <c r="E280" s="19" t="s">
        <v>279</v>
      </c>
      <c r="F280" s="19" t="s">
        <v>280</v>
      </c>
      <c r="G280" s="19" t="s">
        <v>249</v>
      </c>
      <c r="N280" s="215"/>
      <c r="O280" s="172"/>
      <c r="P280" s="172"/>
      <c r="Q280" s="172"/>
      <c r="R280" s="172"/>
      <c r="S280" s="173"/>
    </row>
    <row r="281" spans="1:19" ht="16.95" customHeight="1" x14ac:dyDescent="0.3">
      <c r="C281" s="19" t="s">
        <v>282</v>
      </c>
      <c r="D281" s="19" t="s">
        <v>282</v>
      </c>
      <c r="E281" s="19" t="s">
        <v>283</v>
      </c>
      <c r="F281" s="19" t="s">
        <v>283</v>
      </c>
      <c r="N281" s="215"/>
      <c r="O281" s="172"/>
      <c r="P281" s="172"/>
      <c r="Q281" s="172"/>
      <c r="R281" s="172"/>
      <c r="S281" s="173"/>
    </row>
    <row r="282" spans="1:19" ht="16.95" customHeight="1" x14ac:dyDescent="0.3">
      <c r="A282" s="17">
        <f>N7</f>
        <v>61118.977509155906</v>
      </c>
      <c r="C282" s="92">
        <f>-J7</f>
        <v>-0.97014250014533188</v>
      </c>
      <c r="D282" s="92">
        <f>-K7</f>
        <v>-0.24253562503633297</v>
      </c>
      <c r="E282" s="92">
        <f>J7</f>
        <v>0.97014250014533188</v>
      </c>
      <c r="F282" s="92">
        <f>K7</f>
        <v>0.24253562503633297</v>
      </c>
      <c r="G282" s="96">
        <f>IFERROR(VLOOKUP(H282, A$258:D$267, 4, FALSE), 0)</f>
        <v>0.20238187321769674</v>
      </c>
      <c r="H282" s="12" t="str">
        <f>"D" &amp; C17 &amp; "X"</f>
        <v>D2X</v>
      </c>
      <c r="N282" s="215"/>
      <c r="O282" s="172"/>
      <c r="P282" s="172"/>
      <c r="Q282" s="172"/>
      <c r="R282" s="172"/>
      <c r="S282" s="173"/>
    </row>
    <row r="283" spans="1:19" ht="16.95" customHeight="1" x14ac:dyDescent="0.3">
      <c r="A283" s="99" t="s">
        <v>286</v>
      </c>
      <c r="B283" s="97">
        <f>(MMULT(C282:F282, G282:G285)*A282)</f>
        <v>7301.3328786979409</v>
      </c>
      <c r="G283" s="96">
        <f>IFERROR(VLOOKUP(H283, A$258:D$267, 4, FALSE), 0)</f>
        <v>-0.39665450270632008</v>
      </c>
      <c r="H283" s="12" t="str">
        <f>"D" &amp; D17 &amp; "Y"</f>
        <v>D2Y</v>
      </c>
      <c r="N283" s="215"/>
      <c r="O283" s="172"/>
      <c r="P283" s="172"/>
      <c r="Q283" s="172"/>
      <c r="R283" s="172"/>
      <c r="S283" s="173"/>
    </row>
    <row r="284" spans="1:19" ht="16.95" customHeight="1" x14ac:dyDescent="0.3">
      <c r="G284" s="96">
        <f>IFERROR(VLOOKUP(H284, A$258:D$267, 4, FALSE), 0)</f>
        <v>0.22635580601122091</v>
      </c>
      <c r="H284" s="12" t="str">
        <f>"D" &amp; E17 &amp; "X"</f>
        <v>D3X</v>
      </c>
      <c r="N284" s="215"/>
      <c r="O284" s="172"/>
      <c r="P284" s="172"/>
      <c r="Q284" s="172"/>
      <c r="R284" s="172"/>
      <c r="S284" s="173"/>
    </row>
    <row r="285" spans="1:19" ht="16.95" customHeight="1" x14ac:dyDescent="0.3">
      <c r="G285" s="96">
        <f>IFERROR(VLOOKUP(H285, A$258:D$267, 4, FALSE), 0)</f>
        <v>0</v>
      </c>
      <c r="H285" s="12" t="str">
        <f>"D" &amp; F17 &amp; "Y"</f>
        <v>D3Y</v>
      </c>
      <c r="N285" s="215"/>
      <c r="O285" s="172"/>
      <c r="P285" s="172"/>
      <c r="Q285" s="172"/>
      <c r="R285" s="172"/>
      <c r="S285" s="173"/>
    </row>
    <row r="286" spans="1:19" ht="16.95" customHeight="1" x14ac:dyDescent="0.3">
      <c r="B286" s="99" t="s">
        <v>273</v>
      </c>
      <c r="C286" s="178" t="str">
        <f>IF(B283&gt;0.001,"BARRA A TRACCIÓN (+)",IF(B283&lt;-0.001,"BARRA A COMPRESIÓN (-)","BARRA DE FUERZA NULA"))</f>
        <v>BARRA A TRACCIÓN (+)</v>
      </c>
      <c r="D286" s="172"/>
      <c r="E286" s="172"/>
      <c r="F286" s="173"/>
      <c r="N286" s="215"/>
      <c r="O286" s="172"/>
      <c r="P286" s="172"/>
      <c r="Q286" s="172"/>
      <c r="R286" s="172"/>
      <c r="S286" s="173"/>
    </row>
    <row r="287" spans="1:19" ht="16.95" customHeight="1" x14ac:dyDescent="0.3">
      <c r="N287" s="215"/>
      <c r="O287" s="172"/>
      <c r="P287" s="172"/>
      <c r="Q287" s="172"/>
      <c r="R287" s="172"/>
      <c r="S287" s="173"/>
    </row>
    <row r="288" spans="1:19" ht="16.95" customHeight="1" x14ac:dyDescent="0.3">
      <c r="A288" s="19" t="s">
        <v>278</v>
      </c>
      <c r="C288" s="19" t="s">
        <v>279</v>
      </c>
      <c r="D288" s="19" t="s">
        <v>280</v>
      </c>
      <c r="E288" s="19" t="s">
        <v>279</v>
      </c>
      <c r="F288" s="19" t="s">
        <v>280</v>
      </c>
      <c r="G288" s="19" t="s">
        <v>249</v>
      </c>
      <c r="N288" s="215"/>
      <c r="O288" s="172"/>
      <c r="P288" s="172"/>
      <c r="Q288" s="172"/>
      <c r="R288" s="172"/>
      <c r="S288" s="173"/>
    </row>
    <row r="289" spans="1:19" ht="16.95" customHeight="1" x14ac:dyDescent="0.3">
      <c r="C289" s="19" t="s">
        <v>282</v>
      </c>
      <c r="D289" s="19" t="s">
        <v>282</v>
      </c>
      <c r="E289" s="19" t="s">
        <v>283</v>
      </c>
      <c r="F289" s="19" t="s">
        <v>283</v>
      </c>
      <c r="N289" s="215"/>
      <c r="O289" s="172"/>
      <c r="P289" s="172"/>
      <c r="Q289" s="172"/>
      <c r="R289" s="172"/>
      <c r="S289" s="173"/>
    </row>
    <row r="290" spans="1:19" ht="16.95" customHeight="1" x14ac:dyDescent="0.3">
      <c r="A290" s="17">
        <f>N8</f>
        <v>51173.446722734399</v>
      </c>
      <c r="C290" s="92">
        <f>-J8</f>
        <v>-0.40613846605344761</v>
      </c>
      <c r="D290" s="92">
        <f>-K8</f>
        <v>-0.91381154862025715</v>
      </c>
      <c r="E290" s="92">
        <f>J8</f>
        <v>0.40613846605344761</v>
      </c>
      <c r="F290" s="92">
        <f>K8</f>
        <v>0.91381154862025715</v>
      </c>
      <c r="G290" s="96">
        <f>IFERROR(VLOOKUP(H290, A$258:D$267, 4, FALSE), 0)</f>
        <v>0</v>
      </c>
      <c r="H290" s="12" t="str">
        <f>"D" &amp; C18 &amp; "X"</f>
        <v>D1X</v>
      </c>
      <c r="N290" s="215"/>
      <c r="O290" s="172"/>
      <c r="P290" s="172"/>
      <c r="Q290" s="172"/>
      <c r="R290" s="172"/>
      <c r="S290" s="173"/>
    </row>
    <row r="291" spans="1:19" ht="16.95" customHeight="1" x14ac:dyDescent="0.3">
      <c r="A291" s="99" t="s">
        <v>287</v>
      </c>
      <c r="B291" s="97">
        <f>(MMULT(C290:F290, G290:G293)*A290)</f>
        <v>-9694.9693986430411</v>
      </c>
      <c r="G291" s="96">
        <f>IFERROR(VLOOKUP(H291, A$258:D$267, 4, FALSE), 0)</f>
        <v>0</v>
      </c>
      <c r="H291" s="12" t="str">
        <f>"D" &amp; D18 &amp; "Y"</f>
        <v>D1Y</v>
      </c>
      <c r="N291" s="215"/>
      <c r="O291" s="172"/>
      <c r="P291" s="172"/>
      <c r="Q291" s="172"/>
      <c r="R291" s="172"/>
      <c r="S291" s="173"/>
    </row>
    <row r="292" spans="1:19" ht="16.95" customHeight="1" x14ac:dyDescent="0.3">
      <c r="G292" s="96">
        <f>IFERROR(VLOOKUP(H292, A$258:D$267, 4, FALSE), 0)</f>
        <v>0.21959815818521755</v>
      </c>
      <c r="H292" s="12" t="str">
        <f>"D" &amp; E18 &amp; "X"</f>
        <v>D4X</v>
      </c>
      <c r="N292" s="215"/>
      <c r="O292" s="172"/>
      <c r="P292" s="172"/>
      <c r="Q292" s="172"/>
      <c r="R292" s="172"/>
      <c r="S292" s="173"/>
    </row>
    <row r="293" spans="1:19" ht="16.95" customHeight="1" x14ac:dyDescent="0.3">
      <c r="G293" s="96">
        <f>IFERROR(VLOOKUP(H293, A$258:D$267, 4, FALSE), 0)</f>
        <v>-0.30492105788575252</v>
      </c>
      <c r="H293" s="12" t="str">
        <f>"D" &amp; F18 &amp; "Y"</f>
        <v>D4Y</v>
      </c>
      <c r="N293" s="215"/>
      <c r="O293" s="172"/>
      <c r="P293" s="172"/>
      <c r="Q293" s="172"/>
      <c r="R293" s="172"/>
      <c r="S293" s="173"/>
    </row>
    <row r="294" spans="1:19" ht="16.95" customHeight="1" x14ac:dyDescent="0.3">
      <c r="B294" s="99" t="s">
        <v>273</v>
      </c>
      <c r="C294" s="178" t="str">
        <f>IF(B291&gt;0.001,"BARRA A TRACCIÓN (+)",IF(B291&lt;-0.001,"BARRA A COMPRESIÓN (-)","BARRA DE FUERZA NULA"))</f>
        <v>BARRA A COMPRESIÓN (-)</v>
      </c>
      <c r="D294" s="172"/>
      <c r="E294" s="172"/>
      <c r="F294" s="173"/>
      <c r="N294" s="215"/>
      <c r="O294" s="172"/>
      <c r="P294" s="172"/>
      <c r="Q294" s="172"/>
      <c r="R294" s="172"/>
      <c r="S294" s="173"/>
    </row>
    <row r="295" spans="1:19" ht="16.95" customHeight="1" x14ac:dyDescent="0.3">
      <c r="N295" s="215"/>
      <c r="O295" s="172"/>
      <c r="P295" s="172"/>
      <c r="Q295" s="172"/>
      <c r="R295" s="172"/>
      <c r="S295" s="173"/>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62513.506232961066</v>
      </c>
      <c r="C298" s="92">
        <f>-J9</f>
        <v>-0.49613893835683387</v>
      </c>
      <c r="D298" s="92">
        <f>-K9</f>
        <v>0.8682431421244593</v>
      </c>
      <c r="E298" s="92">
        <f>J9</f>
        <v>0.49613893835683387</v>
      </c>
      <c r="F298" s="92">
        <f>K9</f>
        <v>-0.8682431421244593</v>
      </c>
      <c r="G298" s="96">
        <f>IFERROR(VLOOKUP(H298, A$258:D$267, 4, FALSE), 0)</f>
        <v>0.21959815818521755</v>
      </c>
      <c r="H298" s="12" t="str">
        <f>"D" &amp; C19 &amp; "X"</f>
        <v>D4X</v>
      </c>
    </row>
    <row r="299" spans="1:19" ht="19.95" customHeight="1" x14ac:dyDescent="0.3">
      <c r="A299" s="99" t="s">
        <v>288</v>
      </c>
      <c r="B299" s="97">
        <f>(MMULT(C298:F298, G298:G301)*A298)</f>
        <v>4445.0394281913905</v>
      </c>
      <c r="G299" s="96">
        <f>IFERROR(VLOOKUP(H299, A$258:D$267, 4, FALSE), 0)</f>
        <v>-0.30492105788575252</v>
      </c>
      <c r="H299" s="12" t="str">
        <f>"D" &amp; D19 &amp; "Y"</f>
        <v>D4Y</v>
      </c>
    </row>
    <row r="300" spans="1:19" ht="19.95" customHeight="1" x14ac:dyDescent="0.3">
      <c r="G300" s="96">
        <f>IFERROR(VLOOKUP(H300, A$258:D$267, 4, FALSE), 0)</f>
        <v>0.20238187321769674</v>
      </c>
      <c r="H300" s="12" t="str">
        <f>"D" &amp; E19 &amp; "X"</f>
        <v>D2X</v>
      </c>
    </row>
    <row r="301" spans="1:19" ht="19.95" customHeight="1" x14ac:dyDescent="0.3">
      <c r="G301" s="96">
        <f>IFERROR(VLOOKUP(H301, A$258:D$267, 4, FALSE), 0)</f>
        <v>-0.39665450270632008</v>
      </c>
      <c r="H301" s="12" t="str">
        <f>"D" &amp; F19 &amp; "Y"</f>
        <v>D2Y</v>
      </c>
    </row>
    <row r="302" spans="1:19" ht="19.95" customHeight="1" x14ac:dyDescent="0.3">
      <c r="B302" s="99" t="s">
        <v>273</v>
      </c>
      <c r="C302" s="178" t="str">
        <f>IF(B299&gt;0.001,"BARRA A TRACCIÓN (+)",IF(B299&lt;-0.001,"BARRA A COMPRESIÓN (-)","BARRA DE FUERZA NULA"))</f>
        <v>BARRA A TRACCIÓN (+)</v>
      </c>
      <c r="D302" s="172"/>
      <c r="E302" s="172"/>
      <c r="F302" s="173"/>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63000</v>
      </c>
      <c r="C306" s="92">
        <f>-J10</f>
        <v>-1</v>
      </c>
      <c r="D306" s="92">
        <f>-K10</f>
        <v>0</v>
      </c>
      <c r="E306" s="92">
        <f>J10</f>
        <v>1</v>
      </c>
      <c r="F306" s="92">
        <f>K10</f>
        <v>0</v>
      </c>
      <c r="G306" s="96">
        <f>IFERROR(VLOOKUP(H306, A$258:D$267, 4, FALSE), 0)</f>
        <v>0.21959815818521755</v>
      </c>
      <c r="H306" s="12" t="str">
        <f>"D" &amp; C20 &amp; "X"</f>
        <v>D4X</v>
      </c>
    </row>
    <row r="307" spans="1:8" ht="19.95" customHeight="1" x14ac:dyDescent="0.3">
      <c r="A307" s="99" t="s">
        <v>289</v>
      </c>
      <c r="B307" s="97">
        <f>(MMULT(C306:F306, G306:G309)*A306)</f>
        <v>-8142.8571428571431</v>
      </c>
      <c r="G307" s="96">
        <f>IFERROR(VLOOKUP(H307, A$258:D$267, 4, FALSE), 0)</f>
        <v>-0.30492105788575252</v>
      </c>
      <c r="H307" s="12" t="str">
        <f>"D" &amp; D20 &amp; "Y"</f>
        <v>D4Y</v>
      </c>
    </row>
    <row r="308" spans="1:8" ht="19.95" customHeight="1" x14ac:dyDescent="0.3">
      <c r="G308" s="96">
        <f>IFERROR(VLOOKUP(H308, A$258:D$267, 4, FALSE), 0)</f>
        <v>9.0346457504945438E-2</v>
      </c>
      <c r="H308" s="12" t="str">
        <f>"D" &amp; E20 &amp; "X"</f>
        <v>D5X</v>
      </c>
    </row>
    <row r="309" spans="1:8" ht="19.95" customHeight="1" x14ac:dyDescent="0.3">
      <c r="G309" s="96">
        <f>IFERROR(VLOOKUP(H309, A$258:D$267, 4, FALSE), 0)</f>
        <v>-0.29328902615499952</v>
      </c>
      <c r="H309" s="12" t="str">
        <f>"D" &amp; F20 &amp; "Y"</f>
        <v>D5Y</v>
      </c>
    </row>
    <row r="310" spans="1:8" ht="19.95" customHeight="1" x14ac:dyDescent="0.3">
      <c r="B310" s="99" t="s">
        <v>273</v>
      </c>
      <c r="C310" s="178" t="str">
        <f>IF(B307&gt;0.001,"BARRA A TRACCIÓN (+)",IF(B307&lt;-0.001,"BARRA A COMPRESIÓN (-)","BARRA DE FUERZA NULA"))</f>
        <v>BARRA A COMPRESIÓN (-)</v>
      </c>
      <c r="D310" s="172"/>
      <c r="E310" s="172"/>
      <c r="F310" s="173"/>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62513.506232961066</v>
      </c>
      <c r="C314" s="92">
        <f>-J11</f>
        <v>-0.49613893835683387</v>
      </c>
      <c r="D314" s="92">
        <f>-K11</f>
        <v>-0.8682431421244593</v>
      </c>
      <c r="E314" s="92">
        <f>J11</f>
        <v>0.49613893835683387</v>
      </c>
      <c r="F314" s="92">
        <f>K11</f>
        <v>0.8682431421244593</v>
      </c>
      <c r="G314" s="96">
        <f>IFERROR(VLOOKUP(H314, A$258:D$267, 4, FALSE), 0)</f>
        <v>0.20238187321769674</v>
      </c>
      <c r="H314" s="12" t="str">
        <f>"D" &amp; C21 &amp; "X"</f>
        <v>D2X</v>
      </c>
    </row>
    <row r="315" spans="1:8" ht="19.95" customHeight="1" x14ac:dyDescent="0.3">
      <c r="A315" s="99" t="s">
        <v>290</v>
      </c>
      <c r="B315" s="97">
        <f>(MMULT(C314:F314, G314:G317)*A314)</f>
        <v>2135.5385107100342</v>
      </c>
      <c r="G315" s="96">
        <f>IFERROR(VLOOKUP(H315, A$258:D$267, 4, FALSE), 0)</f>
        <v>-0.39665450270632008</v>
      </c>
      <c r="H315" s="12" t="str">
        <f>"D" &amp; D21 &amp; "Y"</f>
        <v>D2Y</v>
      </c>
    </row>
    <row r="316" spans="1:8" ht="19.95" customHeight="1" x14ac:dyDescent="0.3">
      <c r="G316" s="96">
        <f>IFERROR(VLOOKUP(H316, A$258:D$267, 4, FALSE), 0)</f>
        <v>9.0346457504945438E-2</v>
      </c>
      <c r="H316" s="12" t="str">
        <f>"D" &amp; E21 &amp; "X"</f>
        <v>D5X</v>
      </c>
    </row>
    <row r="317" spans="1:8" ht="19.95" customHeight="1" x14ac:dyDescent="0.3">
      <c r="G317" s="96">
        <f>IFERROR(VLOOKUP(H317, A$258:D$267, 4, FALSE), 0)</f>
        <v>-0.29328902615499952</v>
      </c>
      <c r="H317" s="12" t="str">
        <f>"D" &amp; F21 &amp; "Y"</f>
        <v>D5Y</v>
      </c>
    </row>
    <row r="318" spans="1:8" ht="19.95" customHeight="1" x14ac:dyDescent="0.3">
      <c r="B318" s="99" t="s">
        <v>273</v>
      </c>
      <c r="C318" s="178" t="str">
        <f>IF(B315&gt;0.001,"BARRA A TRACCIÓN (+)",IF(B315&lt;-0.001,"BARRA A COMPRESIÓN (-)","BARRA DE FUERZA NULA"))</f>
        <v>BARRA A TRACCIÓN (+)</v>
      </c>
      <c r="D318" s="172"/>
      <c r="E318" s="172"/>
      <c r="F318" s="173"/>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78711.575991857462</v>
      </c>
      <c r="C322" s="92">
        <f>-J12</f>
        <v>-0.62469504755442429</v>
      </c>
      <c r="D322" s="92">
        <f>-K12</f>
        <v>0.78086880944303039</v>
      </c>
      <c r="E322" s="92">
        <f>J12</f>
        <v>0.62469504755442429</v>
      </c>
      <c r="F322" s="92">
        <f>K12</f>
        <v>-0.78086880944303039</v>
      </c>
      <c r="G322" s="96">
        <f>IFERROR(VLOOKUP(H322, A$258:D$267, 4, FALSE), 0)</f>
        <v>9.0346457504945438E-2</v>
      </c>
      <c r="H322" s="12" t="str">
        <f>"D" &amp; C22 &amp; "X"</f>
        <v>D5X</v>
      </c>
    </row>
    <row r="323" spans="1:8" ht="19.95" customHeight="1" x14ac:dyDescent="0.3">
      <c r="A323" s="99" t="s">
        <v>291</v>
      </c>
      <c r="B323" s="97">
        <f>(MMULT(C322:F322, G322:G325)*A322)</f>
        <v>-11338.865837120673</v>
      </c>
      <c r="G323" s="96">
        <f>IFERROR(VLOOKUP(H323, A$258:D$267, 4, FALSE), 0)</f>
        <v>-0.29328902615499952</v>
      </c>
      <c r="H323" s="12" t="str">
        <f>"D" &amp; D22 &amp; "Y"</f>
        <v>D5Y</v>
      </c>
    </row>
    <row r="324" spans="1:8" ht="19.95" customHeight="1" x14ac:dyDescent="0.3">
      <c r="G324" s="96">
        <f>IFERROR(VLOOKUP(H324, A$258:D$267, 4, FALSE), 0)</f>
        <v>0.22635580601122091</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78" t="str">
        <f>IF(B323&gt;0.001,"BARRA A TRACCIÓN (+)",IF(B323&lt;-0.001,"BARRA A COMPRESIÓN (-)","BARRA DE FUERZA NULA"))</f>
        <v>BARRA A COMPRESIÓN (-)</v>
      </c>
      <c r="D326" s="172"/>
      <c r="E326" s="172"/>
      <c r="F326" s="173"/>
    </row>
    <row r="329" spans="1:8" ht="22.05" customHeight="1" x14ac:dyDescent="0.3">
      <c r="B329" s="217" t="s">
        <v>404</v>
      </c>
      <c r="C329" s="175"/>
      <c r="D329" s="175"/>
      <c r="E329" s="175"/>
      <c r="F329" s="175"/>
      <c r="G329" s="175"/>
      <c r="H329" s="17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412.31056256176606</v>
      </c>
      <c r="F331" s="9">
        <f t="shared" ref="F331:F337" si="44">L6</f>
        <v>12</v>
      </c>
      <c r="G331" s="97">
        <f>B275</f>
        <v>6120.2349130262146</v>
      </c>
      <c r="H331" s="84" t="str">
        <f>C278</f>
        <v>BARRA A TRACCIÓN (+)</v>
      </c>
    </row>
    <row r="332" spans="1:8" ht="19.95" customHeight="1" x14ac:dyDescent="0.3">
      <c r="B332" s="25">
        <v>2</v>
      </c>
      <c r="C332" s="86">
        <f t="shared" si="41"/>
        <v>2</v>
      </c>
      <c r="D332" s="86">
        <f t="shared" si="42"/>
        <v>3</v>
      </c>
      <c r="E332" s="9">
        <f t="shared" si="43"/>
        <v>412.31056256176606</v>
      </c>
      <c r="F332" s="9">
        <f t="shared" si="44"/>
        <v>12</v>
      </c>
      <c r="G332" s="97">
        <f>B283</f>
        <v>7301.3328786979409</v>
      </c>
      <c r="H332" s="84" t="str">
        <f>C286</f>
        <v>BARRA A TRACCIÓN (+)</v>
      </c>
    </row>
    <row r="333" spans="1:8" ht="19.95" customHeight="1" x14ac:dyDescent="0.3">
      <c r="B333" s="26">
        <v>3</v>
      </c>
      <c r="C333" s="86">
        <f t="shared" si="41"/>
        <v>1</v>
      </c>
      <c r="D333" s="86">
        <f t="shared" si="42"/>
        <v>4</v>
      </c>
      <c r="E333" s="9">
        <f t="shared" si="43"/>
        <v>492.44289008980525</v>
      </c>
      <c r="F333" s="9">
        <f t="shared" si="44"/>
        <v>12</v>
      </c>
      <c r="G333" s="97">
        <f>B291</f>
        <v>-9694.9693986430411</v>
      </c>
      <c r="H333" s="84" t="str">
        <f>C294</f>
        <v>BARRA A COMPRESIÓN (-)</v>
      </c>
    </row>
    <row r="334" spans="1:8" ht="19.95" customHeight="1" x14ac:dyDescent="0.3">
      <c r="B334" s="43">
        <v>4</v>
      </c>
      <c r="C334" s="86">
        <f t="shared" si="41"/>
        <v>4</v>
      </c>
      <c r="D334" s="86">
        <f t="shared" si="42"/>
        <v>2</v>
      </c>
      <c r="E334" s="9">
        <f t="shared" si="43"/>
        <v>403.11288741492746</v>
      </c>
      <c r="F334" s="9">
        <f t="shared" si="44"/>
        <v>12</v>
      </c>
      <c r="G334" s="97">
        <f>B299</f>
        <v>4445.0394281913905</v>
      </c>
      <c r="H334" s="84" t="str">
        <f>C302</f>
        <v>BARRA A TRACCIÓN (+)</v>
      </c>
    </row>
    <row r="335" spans="1:8" ht="19.95" customHeight="1" x14ac:dyDescent="0.3">
      <c r="B335" s="44">
        <v>5</v>
      </c>
      <c r="C335" s="86">
        <f t="shared" si="41"/>
        <v>4</v>
      </c>
      <c r="D335" s="86">
        <f t="shared" si="42"/>
        <v>5</v>
      </c>
      <c r="E335" s="9">
        <f t="shared" si="43"/>
        <v>400</v>
      </c>
      <c r="F335" s="9">
        <f t="shared" si="44"/>
        <v>12</v>
      </c>
      <c r="G335" s="97">
        <f>B307</f>
        <v>-8142.8571428571431</v>
      </c>
      <c r="H335" s="84" t="str">
        <f>C310</f>
        <v>BARRA A COMPRESIÓN (-)</v>
      </c>
    </row>
    <row r="336" spans="1:8" ht="19.95" customHeight="1" x14ac:dyDescent="0.3">
      <c r="B336" s="51">
        <v>6</v>
      </c>
      <c r="C336" s="86">
        <f t="shared" si="41"/>
        <v>2</v>
      </c>
      <c r="D336" s="86">
        <f t="shared" si="42"/>
        <v>5</v>
      </c>
      <c r="E336" s="9">
        <f t="shared" si="43"/>
        <v>403.11288741492746</v>
      </c>
      <c r="F336" s="9">
        <f t="shared" si="44"/>
        <v>12</v>
      </c>
      <c r="G336" s="97">
        <f>B315</f>
        <v>2135.5385107100342</v>
      </c>
      <c r="H336" s="84" t="str">
        <f>C318</f>
        <v>BARRA A TRACCIÓN (+)</v>
      </c>
    </row>
    <row r="337" spans="2:8" ht="19.95" customHeight="1" x14ac:dyDescent="0.3">
      <c r="B337" s="52">
        <v>7</v>
      </c>
      <c r="C337" s="86">
        <f t="shared" si="41"/>
        <v>5</v>
      </c>
      <c r="D337" s="86">
        <f t="shared" si="42"/>
        <v>3</v>
      </c>
      <c r="E337" s="9">
        <f t="shared" si="43"/>
        <v>320.15621187164243</v>
      </c>
      <c r="F337" s="9">
        <f t="shared" si="44"/>
        <v>12</v>
      </c>
      <c r="G337" s="97">
        <f>B323</f>
        <v>-11338.865837120673</v>
      </c>
      <c r="H337" s="84" t="str">
        <f>C326</f>
        <v>BARRA A COMPRESIÓN (-)</v>
      </c>
    </row>
  </sheetData>
  <mergeCells count="134">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N220:S220"/>
    <mergeCell ref="N270:S270"/>
    <mergeCell ref="N284:S284"/>
    <mergeCell ref="N222:S222"/>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L4:L5"/>
    <mergeCell ref="N178:S178"/>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523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-6000</v>
      </c>
      <c r="J15" s="205" t="s">
        <v>524</v>
      </c>
      <c r="K15" s="172"/>
      <c r="L15" s="172"/>
      <c r="M15" s="172"/>
      <c r="N15" s="172"/>
      <c r="O15" s="173"/>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-6000</v>
      </c>
      <c r="J16" s="205" t="s">
        <v>524</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435</v>
      </c>
      <c r="K17" s="172"/>
      <c r="L17" s="172"/>
      <c r="M17" s="172"/>
      <c r="N17" s="172"/>
      <c r="O17" s="173"/>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205" t="s">
        <v>525</v>
      </c>
      <c r="K18" s="172"/>
      <c r="L18" s="172"/>
      <c r="M18" s="172"/>
      <c r="N18" s="172"/>
      <c r="O18" s="173"/>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205" t="s">
        <v>526</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300</v>
      </c>
      <c r="AB23" s="20">
        <f>IF(F34="","",F34)</f>
        <v>0</v>
      </c>
      <c r="AC23" t="s">
        <v>338</v>
      </c>
    </row>
    <row r="24" spans="2:29" x14ac:dyDescent="0.3">
      <c r="AA24" s="20">
        <f>IF(G34="","",G34)</f>
        <v>600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500-000000000000}">
      <formula1>"Fijo (articulado),Rodillo Y (despl. X libre),Rodillo X (despl. Y libre),Libre (0 reac.)"</formula1>
    </dataValidation>
  </dataValidations>
  <pageMargins left="0.75" right="0.75" top="1" bottom="1" header="0.5" footer="0.5"/>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527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GRAFICA_26!E28</f>
        <v>0</v>
      </c>
      <c r="D6" s="22">
        <f>GRAFICA_26!F28</f>
        <v>0</v>
      </c>
      <c r="E6" s="22">
        <f>GRAFICA_26!G28</f>
        <v>300</v>
      </c>
      <c r="F6" s="22">
        <f>GRAFICA_26!H28</f>
        <v>0</v>
      </c>
      <c r="G6" s="9">
        <f t="shared" ref="G6:G14" si="0">E6-C6</f>
        <v>300</v>
      </c>
      <c r="H6" s="9">
        <f t="shared" ref="H6:H14" si="1">F6-D6</f>
        <v>0</v>
      </c>
      <c r="I6" s="9">
        <f t="shared" ref="I6:I14" si="2">SQRT(G6*G6+H6*H6)</f>
        <v>300</v>
      </c>
      <c r="J6" s="92">
        <f t="shared" ref="J6:J14" si="3">G6/I6</f>
        <v>1</v>
      </c>
      <c r="K6" s="92">
        <f t="shared" ref="K6:K14" si="4">H6/I6</f>
        <v>0</v>
      </c>
      <c r="L6" s="22">
        <f>GRAFICA_26!N28</f>
        <v>12</v>
      </c>
      <c r="M6" s="22">
        <f>GRAFICA_26!O28</f>
        <v>2100000</v>
      </c>
      <c r="N6" s="6">
        <f t="shared" ref="N6:N14" si="5">L6*M6/I6</f>
        <v>84000</v>
      </c>
    </row>
    <row r="7" spans="2:14" ht="19.05" customHeight="1" x14ac:dyDescent="0.3">
      <c r="B7" s="25">
        <v>2</v>
      </c>
      <c r="C7" s="22">
        <f>GRAFICA_26!E29</f>
        <v>300</v>
      </c>
      <c r="D7" s="22">
        <f>GRAFICA_26!F29</f>
        <v>0</v>
      </c>
      <c r="E7" s="22">
        <f>GRAFICA_26!G29</f>
        <v>600</v>
      </c>
      <c r="F7" s="22">
        <f>GRAFICA_26!H29</f>
        <v>0</v>
      </c>
      <c r="G7" s="9">
        <f t="shared" si="0"/>
        <v>300</v>
      </c>
      <c r="H7" s="9">
        <f t="shared" si="1"/>
        <v>0</v>
      </c>
      <c r="I7" s="9">
        <f t="shared" si="2"/>
        <v>300</v>
      </c>
      <c r="J7" s="92">
        <f t="shared" si="3"/>
        <v>1</v>
      </c>
      <c r="K7" s="92">
        <f t="shared" si="4"/>
        <v>0</v>
      </c>
      <c r="L7" s="22">
        <f>GRAFICA_26!N29</f>
        <v>12</v>
      </c>
      <c r="M7" s="22">
        <f>GRAFICA_26!O29</f>
        <v>2100000</v>
      </c>
      <c r="N7" s="6">
        <f t="shared" si="5"/>
        <v>84000</v>
      </c>
    </row>
    <row r="8" spans="2:14" ht="19.05" customHeight="1" x14ac:dyDescent="0.3">
      <c r="B8" s="26">
        <v>3</v>
      </c>
      <c r="C8" s="22">
        <f>GRAFICA_26!E30</f>
        <v>600</v>
      </c>
      <c r="D8" s="22">
        <f>GRAFICA_26!F30</f>
        <v>0</v>
      </c>
      <c r="E8" s="22">
        <f>GRAFICA_26!G30</f>
        <v>900</v>
      </c>
      <c r="F8" s="22">
        <f>GRAFICA_26!H30</f>
        <v>0</v>
      </c>
      <c r="G8" s="9">
        <f t="shared" si="0"/>
        <v>300</v>
      </c>
      <c r="H8" s="9">
        <f t="shared" si="1"/>
        <v>0</v>
      </c>
      <c r="I8" s="9">
        <f t="shared" si="2"/>
        <v>300</v>
      </c>
      <c r="J8" s="92">
        <f t="shared" si="3"/>
        <v>1</v>
      </c>
      <c r="K8" s="92">
        <f t="shared" si="4"/>
        <v>0</v>
      </c>
      <c r="L8" s="22">
        <f>GRAFICA_26!N30</f>
        <v>12</v>
      </c>
      <c r="M8" s="22">
        <f>GRAFICA_26!O30</f>
        <v>2100000</v>
      </c>
      <c r="N8" s="6">
        <f t="shared" si="5"/>
        <v>84000</v>
      </c>
    </row>
    <row r="9" spans="2:14" ht="19.05" customHeight="1" x14ac:dyDescent="0.3">
      <c r="B9" s="43">
        <v>4</v>
      </c>
      <c r="C9" s="22">
        <f>GRAFICA_26!E31</f>
        <v>300</v>
      </c>
      <c r="D9" s="22">
        <f>GRAFICA_26!F31</f>
        <v>300</v>
      </c>
      <c r="E9" s="22">
        <f>GRAFICA_26!G31</f>
        <v>600</v>
      </c>
      <c r="F9" s="22">
        <f>GRAFICA_26!H31</f>
        <v>300</v>
      </c>
      <c r="G9" s="9">
        <f t="shared" si="0"/>
        <v>300</v>
      </c>
      <c r="H9" s="9">
        <f t="shared" si="1"/>
        <v>0</v>
      </c>
      <c r="I9" s="9">
        <f t="shared" si="2"/>
        <v>300</v>
      </c>
      <c r="J9" s="92">
        <f t="shared" si="3"/>
        <v>1</v>
      </c>
      <c r="K9" s="92">
        <f t="shared" si="4"/>
        <v>0</v>
      </c>
      <c r="L9" s="22">
        <f>GRAFICA_26!N31</f>
        <v>12</v>
      </c>
      <c r="M9" s="22">
        <f>GRAFICA_26!O31</f>
        <v>2100000</v>
      </c>
      <c r="N9" s="6">
        <f t="shared" si="5"/>
        <v>84000</v>
      </c>
    </row>
    <row r="10" spans="2:14" ht="19.05" customHeight="1" x14ac:dyDescent="0.3">
      <c r="B10" s="44">
        <v>5</v>
      </c>
      <c r="C10" s="22">
        <f>GRAFICA_26!E32</f>
        <v>0</v>
      </c>
      <c r="D10" s="22">
        <f>GRAFICA_26!F32</f>
        <v>0</v>
      </c>
      <c r="E10" s="22">
        <f>GRAFICA_26!G32</f>
        <v>300</v>
      </c>
      <c r="F10" s="22">
        <f>GRAFICA_26!H32</f>
        <v>300</v>
      </c>
      <c r="G10" s="9">
        <f t="shared" si="0"/>
        <v>300</v>
      </c>
      <c r="H10" s="9">
        <f t="shared" si="1"/>
        <v>300</v>
      </c>
      <c r="I10" s="9">
        <f t="shared" si="2"/>
        <v>424.26406871192853</v>
      </c>
      <c r="J10" s="92">
        <f t="shared" si="3"/>
        <v>0.70710678118654746</v>
      </c>
      <c r="K10" s="92">
        <f t="shared" si="4"/>
        <v>0.70710678118654746</v>
      </c>
      <c r="L10" s="22">
        <f>GRAFICA_26!N32</f>
        <v>12</v>
      </c>
      <c r="M10" s="22">
        <f>GRAFICA_26!O32</f>
        <v>2100000</v>
      </c>
      <c r="N10" s="6">
        <f t="shared" si="5"/>
        <v>59396.969619669988</v>
      </c>
    </row>
    <row r="11" spans="2:14" ht="19.05" customHeight="1" x14ac:dyDescent="0.3">
      <c r="B11" s="51">
        <v>6</v>
      </c>
      <c r="C11" s="22">
        <f>GRAFICA_26!E33</f>
        <v>300</v>
      </c>
      <c r="D11" s="22">
        <f>GRAFICA_26!F33</f>
        <v>300</v>
      </c>
      <c r="E11" s="22">
        <f>GRAFICA_26!G33</f>
        <v>300</v>
      </c>
      <c r="F11" s="22">
        <f>GRAFICA_26!H33</f>
        <v>0</v>
      </c>
      <c r="G11" s="9">
        <f t="shared" si="0"/>
        <v>0</v>
      </c>
      <c r="H11" s="9">
        <f t="shared" si="1"/>
        <v>-300</v>
      </c>
      <c r="I11" s="9">
        <f t="shared" si="2"/>
        <v>300</v>
      </c>
      <c r="J11" s="92">
        <f t="shared" si="3"/>
        <v>0</v>
      </c>
      <c r="K11" s="92">
        <f t="shared" si="4"/>
        <v>-1</v>
      </c>
      <c r="L11" s="22">
        <f>GRAFICA_26!N33</f>
        <v>12</v>
      </c>
      <c r="M11" s="22">
        <f>GRAFICA_26!O33</f>
        <v>2100000</v>
      </c>
      <c r="N11" s="6">
        <f t="shared" si="5"/>
        <v>84000</v>
      </c>
    </row>
    <row r="12" spans="2:14" ht="19.05" customHeight="1" x14ac:dyDescent="0.3">
      <c r="B12" s="52">
        <v>7</v>
      </c>
      <c r="C12" s="22">
        <f>GRAFICA_26!E34</f>
        <v>300</v>
      </c>
      <c r="D12" s="22">
        <f>GRAFICA_26!F34</f>
        <v>0</v>
      </c>
      <c r="E12" s="22">
        <f>GRAFICA_26!G34</f>
        <v>600</v>
      </c>
      <c r="F12" s="22">
        <f>GRAFICA_26!H34</f>
        <v>300</v>
      </c>
      <c r="G12" s="9">
        <f t="shared" si="0"/>
        <v>300</v>
      </c>
      <c r="H12" s="9">
        <f t="shared" si="1"/>
        <v>300</v>
      </c>
      <c r="I12" s="9">
        <f t="shared" si="2"/>
        <v>424.26406871192853</v>
      </c>
      <c r="J12" s="92">
        <f t="shared" si="3"/>
        <v>0.70710678118654746</v>
      </c>
      <c r="K12" s="92">
        <f t="shared" si="4"/>
        <v>0.70710678118654746</v>
      </c>
      <c r="L12" s="22">
        <f>GRAFICA_26!N34</f>
        <v>12</v>
      </c>
      <c r="M12" s="22">
        <f>GRAFICA_26!O34</f>
        <v>2100000</v>
      </c>
      <c r="N12" s="6">
        <f t="shared" si="5"/>
        <v>59396.969619669988</v>
      </c>
    </row>
    <row r="13" spans="2:14" ht="19.05" customHeight="1" x14ac:dyDescent="0.3">
      <c r="B13" s="59">
        <v>8</v>
      </c>
      <c r="C13" s="22">
        <f>GRAFICA_26!E35</f>
        <v>600</v>
      </c>
      <c r="D13" s="22">
        <f>GRAFICA_26!F35</f>
        <v>300</v>
      </c>
      <c r="E13" s="22">
        <f>GRAFICA_26!G35</f>
        <v>600</v>
      </c>
      <c r="F13" s="22">
        <f>GRAFICA_26!H35</f>
        <v>0</v>
      </c>
      <c r="G13" s="9">
        <f t="shared" si="0"/>
        <v>0</v>
      </c>
      <c r="H13" s="9">
        <f t="shared" si="1"/>
        <v>-300</v>
      </c>
      <c r="I13" s="9">
        <f t="shared" si="2"/>
        <v>300</v>
      </c>
      <c r="J13" s="92">
        <f t="shared" si="3"/>
        <v>0</v>
      </c>
      <c r="K13" s="92">
        <f t="shared" si="4"/>
        <v>-1</v>
      </c>
      <c r="L13" s="22">
        <f>GRAFICA_26!N35</f>
        <v>12</v>
      </c>
      <c r="M13" s="22">
        <f>GRAFICA_26!O35</f>
        <v>2100000</v>
      </c>
      <c r="N13" s="6">
        <f t="shared" si="5"/>
        <v>84000</v>
      </c>
    </row>
    <row r="14" spans="2:14" ht="19.05" customHeight="1" x14ac:dyDescent="0.3">
      <c r="B14" s="60">
        <v>9</v>
      </c>
      <c r="C14" s="22">
        <f>GRAFICA_26!E36</f>
        <v>600</v>
      </c>
      <c r="D14" s="22">
        <f>GRAFICA_26!F36</f>
        <v>300</v>
      </c>
      <c r="E14" s="22">
        <f>GRAFICA_26!G36</f>
        <v>900</v>
      </c>
      <c r="F14" s="22">
        <f>GRAFICA_26!H36</f>
        <v>0</v>
      </c>
      <c r="G14" s="9">
        <f t="shared" si="0"/>
        <v>300</v>
      </c>
      <c r="H14" s="9">
        <f t="shared" si="1"/>
        <v>-300</v>
      </c>
      <c r="I14" s="9">
        <f t="shared" si="2"/>
        <v>424.26406871192853</v>
      </c>
      <c r="J14" s="92">
        <f t="shared" si="3"/>
        <v>0.70710678118654746</v>
      </c>
      <c r="K14" s="92">
        <f t="shared" si="4"/>
        <v>-0.70710678118654746</v>
      </c>
      <c r="L14" s="22">
        <f>GRAFICA_26!N36</f>
        <v>12</v>
      </c>
      <c r="M14" s="22">
        <f>GRAFICA_26!O36</f>
        <v>2100000</v>
      </c>
      <c r="N14" s="6">
        <f t="shared" si="5"/>
        <v>59396.969619669988</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GRAFICA_26!C28</f>
        <v>1</v>
      </c>
      <c r="D18" s="23">
        <f>GRAFICA_26!C28</f>
        <v>1</v>
      </c>
      <c r="E18" s="23">
        <f>GRAFICA_26!D28</f>
        <v>2</v>
      </c>
      <c r="F18" s="23">
        <f>GRAFICA_26!D28</f>
        <v>2</v>
      </c>
    </row>
    <row r="19" spans="1:6" ht="19.05" customHeight="1" x14ac:dyDescent="0.3">
      <c r="B19" s="25">
        <v>2</v>
      </c>
      <c r="C19" s="23">
        <f>GRAFICA_26!C29</f>
        <v>2</v>
      </c>
      <c r="D19" s="23">
        <f>GRAFICA_26!C29</f>
        <v>2</v>
      </c>
      <c r="E19" s="23">
        <f>GRAFICA_26!D29</f>
        <v>3</v>
      </c>
      <c r="F19" s="23">
        <f>GRAFICA_26!D29</f>
        <v>3</v>
      </c>
    </row>
    <row r="20" spans="1:6" ht="19.05" customHeight="1" x14ac:dyDescent="0.3">
      <c r="B20" s="26">
        <v>3</v>
      </c>
      <c r="C20" s="23">
        <f>GRAFICA_26!C30</f>
        <v>3</v>
      </c>
      <c r="D20" s="23">
        <f>GRAFICA_26!C30</f>
        <v>3</v>
      </c>
      <c r="E20" s="23">
        <f>GRAFICA_26!D30</f>
        <v>4</v>
      </c>
      <c r="F20" s="23">
        <f>GRAFICA_26!D30</f>
        <v>4</v>
      </c>
    </row>
    <row r="21" spans="1:6" ht="19.05" customHeight="1" x14ac:dyDescent="0.3">
      <c r="B21" s="43">
        <v>4</v>
      </c>
      <c r="C21" s="23">
        <f>GRAFICA_26!C31</f>
        <v>5</v>
      </c>
      <c r="D21" s="23">
        <f>GRAFICA_26!C31</f>
        <v>5</v>
      </c>
      <c r="E21" s="23">
        <f>GRAFICA_26!D31</f>
        <v>6</v>
      </c>
      <c r="F21" s="23">
        <f>GRAFICA_26!D31</f>
        <v>6</v>
      </c>
    </row>
    <row r="22" spans="1:6" ht="19.05" customHeight="1" x14ac:dyDescent="0.3">
      <c r="B22" s="44">
        <v>5</v>
      </c>
      <c r="C22" s="23">
        <f>GRAFICA_26!C32</f>
        <v>1</v>
      </c>
      <c r="D22" s="23">
        <f>GRAFICA_26!C32</f>
        <v>1</v>
      </c>
      <c r="E22" s="23">
        <f>GRAFICA_26!D32</f>
        <v>5</v>
      </c>
      <c r="F22" s="23">
        <f>GRAFICA_26!D32</f>
        <v>5</v>
      </c>
    </row>
    <row r="23" spans="1:6" ht="19.05" customHeight="1" x14ac:dyDescent="0.3">
      <c r="B23" s="51">
        <v>6</v>
      </c>
      <c r="C23" s="23">
        <f>GRAFICA_26!C33</f>
        <v>5</v>
      </c>
      <c r="D23" s="23">
        <f>GRAFICA_26!C33</f>
        <v>5</v>
      </c>
      <c r="E23" s="23">
        <f>GRAFICA_26!D33</f>
        <v>2</v>
      </c>
      <c r="F23" s="23">
        <f>GRAFICA_26!D33</f>
        <v>2</v>
      </c>
    </row>
    <row r="24" spans="1:6" ht="19.05" customHeight="1" x14ac:dyDescent="0.3">
      <c r="B24" s="52">
        <v>7</v>
      </c>
      <c r="C24" s="23">
        <f>GRAFICA_26!C34</f>
        <v>2</v>
      </c>
      <c r="D24" s="23">
        <f>GRAFICA_26!C34</f>
        <v>2</v>
      </c>
      <c r="E24" s="23">
        <f>GRAFICA_26!D34</f>
        <v>6</v>
      </c>
      <c r="F24" s="23">
        <f>GRAFICA_26!D34</f>
        <v>6</v>
      </c>
    </row>
    <row r="25" spans="1:6" ht="19.05" customHeight="1" x14ac:dyDescent="0.3">
      <c r="B25" s="59">
        <v>8</v>
      </c>
      <c r="C25" s="23">
        <f>GRAFICA_26!C35</f>
        <v>6</v>
      </c>
      <c r="D25" s="23">
        <f>GRAFICA_26!C35</f>
        <v>6</v>
      </c>
      <c r="E25" s="23">
        <f>GRAFICA_26!D35</f>
        <v>3</v>
      </c>
      <c r="F25" s="23">
        <f>GRAFICA_26!D35</f>
        <v>3</v>
      </c>
    </row>
    <row r="26" spans="1:6" ht="19.05" customHeight="1" x14ac:dyDescent="0.3">
      <c r="B26" s="60">
        <v>9</v>
      </c>
      <c r="C26" s="23">
        <f>GRAFICA_26!C36</f>
        <v>6</v>
      </c>
      <c r="D26" s="23">
        <f>GRAFICA_26!C36</f>
        <v>6</v>
      </c>
      <c r="E26" s="23">
        <f>GRAFICA_26!D36</f>
        <v>4</v>
      </c>
      <c r="F26" s="23">
        <f>GRAFICA_26!D36</f>
        <v>4</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U5X</v>
      </c>
      <c r="E113" s="48" t="str">
        <f>CONCATENATE("U",F22,F$17)</f>
        <v>U5Y</v>
      </c>
    </row>
    <row r="114" spans="1:14" x14ac:dyDescent="0.3">
      <c r="B114" s="49">
        <f>J10*J10*N10</f>
        <v>29698.484809834987</v>
      </c>
      <c r="C114" s="49">
        <f>J10*K10*N10</f>
        <v>29698.484809834987</v>
      </c>
      <c r="D114" s="49">
        <f>-B114</f>
        <v>-29698.484809834987</v>
      </c>
      <c r="E114" s="49">
        <f>-C114</f>
        <v>-29698.484809834987</v>
      </c>
      <c r="F114" s="48" t="str">
        <f>B113</f>
        <v>U1X</v>
      </c>
    </row>
    <row r="115" spans="1:14" ht="16.8" customHeight="1" x14ac:dyDescent="0.3">
      <c r="A115" s="28" t="s">
        <v>197</v>
      </c>
      <c r="B115" s="49">
        <f>C114</f>
        <v>29698.484809834987</v>
      </c>
      <c r="C115" s="49">
        <f>K10*K10*N10</f>
        <v>29698.484809834987</v>
      </c>
      <c r="D115" s="49">
        <f>-B115</f>
        <v>-29698.484809834987</v>
      </c>
      <c r="E115" s="49">
        <f>-C115</f>
        <v>-29698.484809834987</v>
      </c>
      <c r="F115" s="48" t="str">
        <f>C113</f>
        <v>U1Y</v>
      </c>
    </row>
    <row r="116" spans="1:14" x14ac:dyDescent="0.3">
      <c r="B116" s="49">
        <f>D114</f>
        <v>-29698.484809834987</v>
      </c>
      <c r="C116" s="49">
        <f>E114</f>
        <v>-29698.484809834987</v>
      </c>
      <c r="D116" s="49">
        <f>B114</f>
        <v>29698.484809834987</v>
      </c>
      <c r="E116" s="49">
        <f>C114</f>
        <v>29698.484809834987</v>
      </c>
      <c r="F116" s="48" t="str">
        <f>D113</f>
        <v>U5X</v>
      </c>
    </row>
    <row r="117" spans="1:14" x14ac:dyDescent="0.3">
      <c r="B117" s="49">
        <f>D115</f>
        <v>-29698.484809834987</v>
      </c>
      <c r="C117" s="49">
        <f>E115</f>
        <v>-29698.484809834987</v>
      </c>
      <c r="D117" s="49">
        <f>B115</f>
        <v>29698.484809834987</v>
      </c>
      <c r="E117" s="49">
        <f>C115</f>
        <v>29698.484809834987</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29698.484809834987</v>
      </c>
      <c r="C120" s="50">
        <f t="shared" si="10"/>
        <v>29698.484809834987</v>
      </c>
      <c r="D120" s="9">
        <f t="shared" si="10"/>
        <v>0</v>
      </c>
      <c r="E120" s="9">
        <f t="shared" si="10"/>
        <v>0</v>
      </c>
      <c r="F120" s="9">
        <f t="shared" si="10"/>
        <v>0</v>
      </c>
      <c r="G120" s="9">
        <f t="shared" si="10"/>
        <v>0</v>
      </c>
      <c r="H120" s="9">
        <f t="shared" si="10"/>
        <v>0</v>
      </c>
      <c r="I120" s="9">
        <f t="shared" si="10"/>
        <v>0</v>
      </c>
      <c r="J120" s="50">
        <f t="shared" si="10"/>
        <v>-29698.484809834987</v>
      </c>
      <c r="K120" s="50">
        <f t="shared" si="10"/>
        <v>-29698.484809834987</v>
      </c>
      <c r="L120" s="9">
        <f t="shared" si="10"/>
        <v>0</v>
      </c>
      <c r="M120" s="9">
        <f t="shared" si="10"/>
        <v>0</v>
      </c>
      <c r="N120" s="48" t="s">
        <v>178</v>
      </c>
    </row>
    <row r="121" spans="1:14" ht="19.05" customHeight="1" x14ac:dyDescent="0.3">
      <c r="B121" s="50">
        <f t="shared" si="10"/>
        <v>29698.484809834987</v>
      </c>
      <c r="C121" s="50">
        <f t="shared" si="10"/>
        <v>29698.484809834987</v>
      </c>
      <c r="D121" s="9">
        <f t="shared" si="10"/>
        <v>0</v>
      </c>
      <c r="E121" s="9">
        <f t="shared" si="10"/>
        <v>0</v>
      </c>
      <c r="F121" s="9">
        <f t="shared" si="10"/>
        <v>0</v>
      </c>
      <c r="G121" s="9">
        <f t="shared" si="10"/>
        <v>0</v>
      </c>
      <c r="H121" s="9">
        <f t="shared" si="10"/>
        <v>0</v>
      </c>
      <c r="I121" s="9">
        <f t="shared" si="10"/>
        <v>0</v>
      </c>
      <c r="J121" s="50">
        <f t="shared" si="10"/>
        <v>-29698.484809834987</v>
      </c>
      <c r="K121" s="50">
        <f t="shared" si="10"/>
        <v>-29698.484809834987</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50">
        <f t="shared" si="10"/>
        <v>-29698.484809834987</v>
      </c>
      <c r="C128" s="50">
        <f t="shared" si="10"/>
        <v>-29698.484809834987</v>
      </c>
      <c r="D128" s="9">
        <f t="shared" si="10"/>
        <v>0</v>
      </c>
      <c r="E128" s="9">
        <f t="shared" si="10"/>
        <v>0</v>
      </c>
      <c r="F128" s="9">
        <f t="shared" si="10"/>
        <v>0</v>
      </c>
      <c r="G128" s="9">
        <f t="shared" si="10"/>
        <v>0</v>
      </c>
      <c r="H128" s="9">
        <f t="shared" si="10"/>
        <v>0</v>
      </c>
      <c r="I128" s="9">
        <f t="shared" si="10"/>
        <v>0</v>
      </c>
      <c r="J128" s="50">
        <f t="shared" si="10"/>
        <v>29698.484809834987</v>
      </c>
      <c r="K128" s="50">
        <f t="shared" si="10"/>
        <v>29698.484809834987</v>
      </c>
      <c r="L128" s="9">
        <f t="shared" si="10"/>
        <v>0</v>
      </c>
      <c r="M128" s="9">
        <f t="shared" si="10"/>
        <v>0</v>
      </c>
      <c r="N128" s="48" t="s">
        <v>186</v>
      </c>
    </row>
    <row r="129" spans="1:14" ht="19.05" customHeight="1" x14ac:dyDescent="0.3">
      <c r="B129" s="50">
        <f t="shared" si="10"/>
        <v>-29698.484809834987</v>
      </c>
      <c r="C129" s="50">
        <f t="shared" si="10"/>
        <v>-29698.484809834987</v>
      </c>
      <c r="D129" s="9">
        <f t="shared" si="10"/>
        <v>0</v>
      </c>
      <c r="E129" s="9">
        <f t="shared" si="10"/>
        <v>0</v>
      </c>
      <c r="F129" s="9">
        <f t="shared" si="10"/>
        <v>0</v>
      </c>
      <c r="G129" s="9">
        <f t="shared" si="10"/>
        <v>0</v>
      </c>
      <c r="H129" s="9">
        <f t="shared" si="10"/>
        <v>0</v>
      </c>
      <c r="I129" s="9">
        <f t="shared" si="10"/>
        <v>0</v>
      </c>
      <c r="J129" s="50">
        <f t="shared" si="10"/>
        <v>29698.484809834987</v>
      </c>
      <c r="K129" s="50">
        <f t="shared" si="10"/>
        <v>29698.484809834987</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U5X</v>
      </c>
      <c r="C134" s="53" t="str">
        <f>CONCATENATE("U",D23,D$17)</f>
        <v>U5Y</v>
      </c>
      <c r="D134" s="53" t="str">
        <f>CONCATENATE("U",E23,E$17)</f>
        <v>U2X</v>
      </c>
      <c r="E134" s="53" t="str">
        <f>CONCATENATE("U",F23,F$17)</f>
        <v>U2Y</v>
      </c>
    </row>
    <row r="135" spans="1:14" x14ac:dyDescent="0.3">
      <c r="B135" s="54">
        <f>J11*J11*N11</f>
        <v>0</v>
      </c>
      <c r="C135" s="54">
        <f>J11*K11*N11</f>
        <v>0</v>
      </c>
      <c r="D135" s="54">
        <f>-B135</f>
        <v>0</v>
      </c>
      <c r="E135" s="54">
        <f>-C135</f>
        <v>0</v>
      </c>
      <c r="F135" s="53" t="str">
        <f>B134</f>
        <v>U5X</v>
      </c>
    </row>
    <row r="136" spans="1:14" ht="16.8" customHeight="1" x14ac:dyDescent="0.3">
      <c r="A136" s="28" t="s">
        <v>199</v>
      </c>
      <c r="B136" s="54">
        <f>C135</f>
        <v>0</v>
      </c>
      <c r="C136" s="54">
        <f>K11*K11*N11</f>
        <v>84000</v>
      </c>
      <c r="D136" s="54">
        <f>-B136</f>
        <v>0</v>
      </c>
      <c r="E136" s="54">
        <f>-C136</f>
        <v>-84000</v>
      </c>
      <c r="F136" s="53" t="str">
        <f>C134</f>
        <v>U5Y</v>
      </c>
    </row>
    <row r="137" spans="1:14" x14ac:dyDescent="0.3">
      <c r="B137" s="54">
        <f>D135</f>
        <v>0</v>
      </c>
      <c r="C137" s="54">
        <f>E135</f>
        <v>0</v>
      </c>
      <c r="D137" s="54">
        <f>B135</f>
        <v>0</v>
      </c>
      <c r="E137" s="54">
        <f>C135</f>
        <v>0</v>
      </c>
      <c r="F137" s="53" t="str">
        <f>D134</f>
        <v>U2X</v>
      </c>
    </row>
    <row r="138" spans="1:14" x14ac:dyDescent="0.3">
      <c r="B138" s="54">
        <f>D136</f>
        <v>0</v>
      </c>
      <c r="C138" s="54">
        <f>E136</f>
        <v>-84000</v>
      </c>
      <c r="D138" s="54">
        <f>B136</f>
        <v>0</v>
      </c>
      <c r="E138" s="54">
        <f>C136</f>
        <v>84000</v>
      </c>
      <c r="F138" s="53" t="str">
        <f>E134</f>
        <v>U2Y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84000</v>
      </c>
      <c r="F144" s="9">
        <f t="shared" si="11"/>
        <v>0</v>
      </c>
      <c r="G144" s="9">
        <f t="shared" si="11"/>
        <v>0</v>
      </c>
      <c r="H144" s="9">
        <f t="shared" si="11"/>
        <v>0</v>
      </c>
      <c r="I144" s="9">
        <f t="shared" si="11"/>
        <v>0</v>
      </c>
      <c r="J144" s="55">
        <f t="shared" si="11"/>
        <v>0</v>
      </c>
      <c r="K144" s="55">
        <f t="shared" si="11"/>
        <v>-84000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-84000</v>
      </c>
      <c r="F150" s="9">
        <f t="shared" si="11"/>
        <v>0</v>
      </c>
      <c r="G150" s="9">
        <f t="shared" si="11"/>
        <v>0</v>
      </c>
      <c r="H150" s="9">
        <f t="shared" si="11"/>
        <v>0</v>
      </c>
      <c r="I150" s="9">
        <f t="shared" si="11"/>
        <v>0</v>
      </c>
      <c r="J150" s="55">
        <f t="shared" si="11"/>
        <v>0</v>
      </c>
      <c r="K150" s="55">
        <f t="shared" si="11"/>
        <v>84000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U6X</v>
      </c>
      <c r="E155" s="56" t="str">
        <f>CONCATENATE("U",F24,F$17)</f>
        <v>U6Y</v>
      </c>
    </row>
    <row r="156" spans="1:14" x14ac:dyDescent="0.3">
      <c r="B156" s="57">
        <f>J12*J12*N12</f>
        <v>29698.484809834987</v>
      </c>
      <c r="C156" s="57">
        <f>J12*K12*N12</f>
        <v>29698.484809834987</v>
      </c>
      <c r="D156" s="57">
        <f>-B156</f>
        <v>-29698.484809834987</v>
      </c>
      <c r="E156" s="57">
        <f>-C156</f>
        <v>-29698.484809834987</v>
      </c>
      <c r="F156" s="56" t="str">
        <f>B155</f>
        <v>U2X</v>
      </c>
    </row>
    <row r="157" spans="1:14" ht="16.8" customHeight="1" x14ac:dyDescent="0.3">
      <c r="A157" s="28" t="s">
        <v>201</v>
      </c>
      <c r="B157" s="57">
        <f>C156</f>
        <v>29698.484809834987</v>
      </c>
      <c r="C157" s="57">
        <f>K12*K12*N12</f>
        <v>29698.484809834987</v>
      </c>
      <c r="D157" s="57">
        <f>-B157</f>
        <v>-29698.484809834987</v>
      </c>
      <c r="E157" s="57">
        <f>-C157</f>
        <v>-29698.484809834987</v>
      </c>
      <c r="F157" s="56" t="str">
        <f>C155</f>
        <v>U2Y</v>
      </c>
    </row>
    <row r="158" spans="1:14" x14ac:dyDescent="0.3">
      <c r="B158" s="57">
        <f>D156</f>
        <v>-29698.484809834987</v>
      </c>
      <c r="C158" s="57">
        <f>E156</f>
        <v>-29698.484809834987</v>
      </c>
      <c r="D158" s="57">
        <f>B156</f>
        <v>29698.484809834987</v>
      </c>
      <c r="E158" s="57">
        <f>C156</f>
        <v>29698.484809834987</v>
      </c>
      <c r="F158" s="56" t="str">
        <f>D155</f>
        <v>U6X</v>
      </c>
    </row>
    <row r="159" spans="1:14" x14ac:dyDescent="0.3">
      <c r="B159" s="57">
        <f>D157</f>
        <v>-29698.484809834987</v>
      </c>
      <c r="C159" s="57">
        <f>E157</f>
        <v>-29698.484809834987</v>
      </c>
      <c r="D159" s="57">
        <f>B157</f>
        <v>29698.484809834987</v>
      </c>
      <c r="E159" s="57">
        <f>C157</f>
        <v>29698.484809834987</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29698.484809834987</v>
      </c>
      <c r="E164" s="58">
        <f t="shared" si="12"/>
        <v>29698.484809834987</v>
      </c>
      <c r="F164" s="9">
        <f t="shared" si="12"/>
        <v>0</v>
      </c>
      <c r="G164" s="9">
        <f t="shared" si="12"/>
        <v>0</v>
      </c>
      <c r="H164" s="9">
        <f t="shared" si="12"/>
        <v>0</v>
      </c>
      <c r="I164" s="9">
        <f t="shared" si="12"/>
        <v>0</v>
      </c>
      <c r="J164" s="9">
        <f t="shared" si="12"/>
        <v>0</v>
      </c>
      <c r="K164" s="9">
        <f t="shared" si="12"/>
        <v>0</v>
      </c>
      <c r="L164" s="58">
        <f t="shared" si="12"/>
        <v>-29698.484809834987</v>
      </c>
      <c r="M164" s="58">
        <f t="shared" si="12"/>
        <v>-29698.484809834987</v>
      </c>
      <c r="N164" s="56" t="s">
        <v>180</v>
      </c>
    </row>
    <row r="165" spans="1:14" ht="19.05" customHeight="1" x14ac:dyDescent="0.3">
      <c r="B165" s="9">
        <f t="shared" si="12"/>
        <v>0</v>
      </c>
      <c r="C165" s="9">
        <f t="shared" si="12"/>
        <v>0</v>
      </c>
      <c r="D165" s="58">
        <f t="shared" si="12"/>
        <v>29698.484809834987</v>
      </c>
      <c r="E165" s="58">
        <f t="shared" si="12"/>
        <v>29698.484809834987</v>
      </c>
      <c r="F165" s="9">
        <f t="shared" si="12"/>
        <v>0</v>
      </c>
      <c r="G165" s="9">
        <f t="shared" si="12"/>
        <v>0</v>
      </c>
      <c r="H165" s="9">
        <f t="shared" si="12"/>
        <v>0</v>
      </c>
      <c r="I165" s="9">
        <f t="shared" si="12"/>
        <v>0</v>
      </c>
      <c r="J165" s="9">
        <f t="shared" si="12"/>
        <v>0</v>
      </c>
      <c r="K165" s="9">
        <f t="shared" si="12"/>
        <v>0</v>
      </c>
      <c r="L165" s="58">
        <f t="shared" si="12"/>
        <v>-29698.484809834987</v>
      </c>
      <c r="M165" s="58">
        <f t="shared" si="12"/>
        <v>-29698.484809834987</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58">
        <f t="shared" si="12"/>
        <v>-29698.484809834987</v>
      </c>
      <c r="E172" s="58">
        <f t="shared" si="12"/>
        <v>-29698.484809834987</v>
      </c>
      <c r="F172" s="9">
        <f t="shared" si="12"/>
        <v>0</v>
      </c>
      <c r="G172" s="9">
        <f t="shared" si="12"/>
        <v>0</v>
      </c>
      <c r="H172" s="9">
        <f t="shared" si="12"/>
        <v>0</v>
      </c>
      <c r="I172" s="9">
        <f t="shared" si="12"/>
        <v>0</v>
      </c>
      <c r="J172" s="9">
        <f t="shared" si="12"/>
        <v>0</v>
      </c>
      <c r="K172" s="9">
        <f t="shared" si="12"/>
        <v>0</v>
      </c>
      <c r="L172" s="58">
        <f t="shared" si="12"/>
        <v>29698.484809834987</v>
      </c>
      <c r="M172" s="58">
        <f t="shared" si="12"/>
        <v>29698.484809834987</v>
      </c>
      <c r="N172" s="56" t="s">
        <v>188</v>
      </c>
    </row>
    <row r="173" spans="1:14" ht="19.05" customHeight="1" x14ac:dyDescent="0.3">
      <c r="B173" s="9">
        <f t="shared" si="12"/>
        <v>0</v>
      </c>
      <c r="C173" s="9">
        <f t="shared" si="12"/>
        <v>0</v>
      </c>
      <c r="D173" s="58">
        <f t="shared" si="12"/>
        <v>-29698.484809834987</v>
      </c>
      <c r="E173" s="58">
        <f t="shared" si="12"/>
        <v>-29698.484809834987</v>
      </c>
      <c r="F173" s="9">
        <f t="shared" si="12"/>
        <v>0</v>
      </c>
      <c r="G173" s="9">
        <f t="shared" si="12"/>
        <v>0</v>
      </c>
      <c r="H173" s="9">
        <f t="shared" si="12"/>
        <v>0</v>
      </c>
      <c r="I173" s="9">
        <f t="shared" si="12"/>
        <v>0</v>
      </c>
      <c r="J173" s="9">
        <f t="shared" si="12"/>
        <v>0</v>
      </c>
      <c r="K173" s="9">
        <f t="shared" si="12"/>
        <v>0</v>
      </c>
      <c r="L173" s="58">
        <f t="shared" si="12"/>
        <v>29698.484809834987</v>
      </c>
      <c r="M173" s="58">
        <f t="shared" si="12"/>
        <v>29698.484809834987</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84000</v>
      </c>
      <c r="D178" s="62">
        <f>-B178</f>
        <v>0</v>
      </c>
      <c r="E178" s="62">
        <f>-C178</f>
        <v>-84000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-84000</v>
      </c>
      <c r="D180" s="62">
        <f>B178</f>
        <v>0</v>
      </c>
      <c r="E180" s="62">
        <f>C178</f>
        <v>84000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84000</v>
      </c>
      <c r="H188" s="9">
        <f t="shared" si="13"/>
        <v>0</v>
      </c>
      <c r="I188" s="9">
        <f t="shared" si="13"/>
        <v>0</v>
      </c>
      <c r="J188" s="9">
        <f t="shared" si="13"/>
        <v>0</v>
      </c>
      <c r="K188" s="9">
        <f t="shared" si="13"/>
        <v>0</v>
      </c>
      <c r="L188" s="63">
        <f t="shared" si="13"/>
        <v>0</v>
      </c>
      <c r="M188" s="63">
        <f t="shared" si="13"/>
        <v>-84000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-84000</v>
      </c>
      <c r="H194" s="9">
        <f t="shared" si="13"/>
        <v>0</v>
      </c>
      <c r="I194" s="9">
        <f t="shared" si="13"/>
        <v>0</v>
      </c>
      <c r="J194" s="9">
        <f t="shared" si="13"/>
        <v>0</v>
      </c>
      <c r="K194" s="9">
        <f t="shared" si="13"/>
        <v>0</v>
      </c>
      <c r="L194" s="63">
        <f t="shared" si="13"/>
        <v>0</v>
      </c>
      <c r="M194" s="63">
        <f t="shared" si="13"/>
        <v>84000</v>
      </c>
      <c r="N194" s="61" t="s">
        <v>189</v>
      </c>
    </row>
    <row r="197" spans="1:14" ht="18" customHeight="1" x14ac:dyDescent="0.3">
      <c r="B197" s="64" t="str">
        <f>CONCATENATE("U",C26,C$17)</f>
        <v>U6X</v>
      </c>
      <c r="C197" s="64" t="str">
        <f>CONCATENATE("U",D26,D$17)</f>
        <v>U6Y</v>
      </c>
      <c r="D197" s="64" t="str">
        <f>CONCATENATE("U",E26,E$17)</f>
        <v>U4X</v>
      </c>
      <c r="E197" s="64" t="str">
        <f>CONCATENATE("U",F26,F$17)</f>
        <v>U4Y</v>
      </c>
    </row>
    <row r="198" spans="1:14" x14ac:dyDescent="0.3">
      <c r="B198" s="65">
        <f>J14*J14*N14</f>
        <v>29698.484809834987</v>
      </c>
      <c r="C198" s="65">
        <f>J14*K14*N14</f>
        <v>-29698.484809834987</v>
      </c>
      <c r="D198" s="65">
        <f>-B198</f>
        <v>-29698.484809834987</v>
      </c>
      <c r="E198" s="65">
        <f>-C198</f>
        <v>29698.484809834987</v>
      </c>
      <c r="F198" s="64" t="str">
        <f>B197</f>
        <v>U6X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U6Y</v>
      </c>
    </row>
    <row r="200" spans="1:14" x14ac:dyDescent="0.3">
      <c r="B200" s="65">
        <f>D198</f>
        <v>-29698.484809834987</v>
      </c>
      <c r="C200" s="65">
        <f>E198</f>
        <v>29698.484809834987</v>
      </c>
      <c r="D200" s="65">
        <f>B198</f>
        <v>29698.484809834987</v>
      </c>
      <c r="E200" s="65">
        <f>C198</f>
        <v>-29698.484809834987</v>
      </c>
      <c r="F200" s="64" t="str">
        <f>D197</f>
        <v>U4X</v>
      </c>
    </row>
    <row r="201" spans="1:14" x14ac:dyDescent="0.3">
      <c r="B201" s="65">
        <f>D199</f>
        <v>29698.484809834987</v>
      </c>
      <c r="C201" s="65">
        <f>E199</f>
        <v>-29698.484809834987</v>
      </c>
      <c r="D201" s="65">
        <f>B199</f>
        <v>-29698.484809834987</v>
      </c>
      <c r="E201" s="65">
        <f>C199</f>
        <v>29698.484809834987</v>
      </c>
      <c r="F201" s="64" t="str">
        <f>E197</f>
        <v>U4Y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29698.484809834987</v>
      </c>
      <c r="I210" s="66">
        <f t="shared" si="14"/>
        <v>-29698.484809834987</v>
      </c>
      <c r="J210" s="9">
        <f t="shared" si="14"/>
        <v>0</v>
      </c>
      <c r="K210" s="9">
        <f t="shared" si="14"/>
        <v>0</v>
      </c>
      <c r="L210" s="66">
        <f t="shared" si="14"/>
        <v>-29698.484809834987</v>
      </c>
      <c r="M210" s="66">
        <f t="shared" si="14"/>
        <v>29698.484809834987</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-29698.484809834987</v>
      </c>
      <c r="I211" s="66">
        <f t="shared" si="14"/>
        <v>29698.484809834987</v>
      </c>
      <c r="J211" s="9">
        <f t="shared" si="14"/>
        <v>0</v>
      </c>
      <c r="K211" s="9">
        <f t="shared" si="14"/>
        <v>0</v>
      </c>
      <c r="L211" s="66">
        <f t="shared" si="14"/>
        <v>29698.484809834987</v>
      </c>
      <c r="M211" s="66">
        <f t="shared" si="14"/>
        <v>-29698.484809834987</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-29698.484809834987</v>
      </c>
      <c r="I214" s="66">
        <f t="shared" si="14"/>
        <v>29698.484809834987</v>
      </c>
      <c r="J214" s="9">
        <f t="shared" si="14"/>
        <v>0</v>
      </c>
      <c r="K214" s="9">
        <f t="shared" si="14"/>
        <v>0</v>
      </c>
      <c r="L214" s="66">
        <f t="shared" si="14"/>
        <v>29698.484809834987</v>
      </c>
      <c r="M214" s="66">
        <f t="shared" si="14"/>
        <v>-29698.484809834987</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29698.484809834987</v>
      </c>
      <c r="I215" s="66">
        <f t="shared" si="14"/>
        <v>-29698.484809834987</v>
      </c>
      <c r="J215" s="9">
        <f t="shared" si="14"/>
        <v>0</v>
      </c>
      <c r="K215" s="9">
        <f t="shared" si="14"/>
        <v>0</v>
      </c>
      <c r="L215" s="66">
        <f t="shared" si="14"/>
        <v>-29698.484809834987</v>
      </c>
      <c r="M215" s="66">
        <f t="shared" si="14"/>
        <v>29698.484809834987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197698.48480983498</v>
      </c>
      <c r="E221" s="36">
        <f t="shared" si="17"/>
        <v>29698.484809834987</v>
      </c>
      <c r="F221" s="9">
        <f t="shared" si="17"/>
        <v>-84000</v>
      </c>
      <c r="G221" s="9">
        <f t="shared" si="17"/>
        <v>0</v>
      </c>
      <c r="H221" s="9">
        <f t="shared" si="17"/>
        <v>0</v>
      </c>
      <c r="I221" s="9">
        <f t="shared" si="17"/>
        <v>0</v>
      </c>
      <c r="J221" s="9">
        <f t="shared" si="17"/>
        <v>0</v>
      </c>
      <c r="K221" s="9">
        <f t="shared" si="17"/>
        <v>0</v>
      </c>
      <c r="L221" s="9">
        <f t="shared" si="17"/>
        <v>-29698.484809834987</v>
      </c>
      <c r="M221" s="9">
        <f t="shared" si="17"/>
        <v>-29698.484809834987</v>
      </c>
      <c r="N221" s="89" t="s">
        <v>180</v>
      </c>
    </row>
    <row r="222" spans="1:14" ht="19.95" customHeight="1" x14ac:dyDescent="0.3">
      <c r="B222" s="9">
        <f t="shared" ref="B222:M222" si="18">B39+B60+B81+B102+B123+B144+B165+B186+B207</f>
        <v>0</v>
      </c>
      <c r="C222" s="9">
        <f t="shared" si="18"/>
        <v>0</v>
      </c>
      <c r="D222" s="36">
        <f t="shared" si="18"/>
        <v>29698.484809834987</v>
      </c>
      <c r="E222" s="35">
        <f t="shared" si="18"/>
        <v>113698.48480983499</v>
      </c>
      <c r="F222" s="9">
        <f t="shared" si="18"/>
        <v>0</v>
      </c>
      <c r="G222" s="9">
        <f t="shared" si="18"/>
        <v>0</v>
      </c>
      <c r="H222" s="9">
        <f t="shared" si="18"/>
        <v>0</v>
      </c>
      <c r="I222" s="9">
        <f t="shared" si="18"/>
        <v>0</v>
      </c>
      <c r="J222" s="9">
        <f t="shared" si="18"/>
        <v>0</v>
      </c>
      <c r="K222" s="9">
        <f t="shared" si="18"/>
        <v>-84000</v>
      </c>
      <c r="L222" s="9">
        <f t="shared" si="18"/>
        <v>-29698.484809834987</v>
      </c>
      <c r="M222" s="9">
        <f t="shared" si="18"/>
        <v>-29698.484809834987</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84000</v>
      </c>
      <c r="H224" s="9">
        <f t="shared" si="20"/>
        <v>0</v>
      </c>
      <c r="I224" s="9">
        <f t="shared" si="20"/>
        <v>0</v>
      </c>
      <c r="J224" s="9">
        <f t="shared" si="20"/>
        <v>0</v>
      </c>
      <c r="K224" s="9">
        <f t="shared" si="20"/>
        <v>0</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0</v>
      </c>
      <c r="G227" s="9">
        <f t="shared" si="23"/>
        <v>0</v>
      </c>
      <c r="H227" s="9">
        <f t="shared" si="23"/>
        <v>0</v>
      </c>
      <c r="I227" s="9">
        <f t="shared" si="23"/>
        <v>0</v>
      </c>
      <c r="J227" s="35">
        <f t="shared" si="23"/>
        <v>113698.48480983499</v>
      </c>
      <c r="K227" s="36">
        <f t="shared" si="23"/>
        <v>29698.484809834987</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0</v>
      </c>
      <c r="G228" s="9">
        <f t="shared" si="24"/>
        <v>0</v>
      </c>
      <c r="H228" s="9">
        <f t="shared" si="24"/>
        <v>0</v>
      </c>
      <c r="I228" s="9">
        <f t="shared" si="24"/>
        <v>0</v>
      </c>
      <c r="J228" s="36">
        <f t="shared" si="24"/>
        <v>29698.484809834987</v>
      </c>
      <c r="K228" s="35">
        <f t="shared" si="24"/>
        <v>113698.48480983499</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-29698.484809834987</v>
      </c>
      <c r="E229" s="9">
        <f t="shared" si="25"/>
        <v>-29698.484809834987</v>
      </c>
      <c r="F229" s="9">
        <f t="shared" si="25"/>
        <v>0</v>
      </c>
      <c r="G229" s="9">
        <f t="shared" si="25"/>
        <v>0</v>
      </c>
      <c r="H229" s="9">
        <f t="shared" si="25"/>
        <v>-29698.484809834987</v>
      </c>
      <c r="I229" s="9">
        <f t="shared" si="25"/>
        <v>29698.484809834987</v>
      </c>
      <c r="J229" s="9">
        <f t="shared" si="25"/>
        <v>-84000</v>
      </c>
      <c r="K229" s="9">
        <f t="shared" si="25"/>
        <v>0</v>
      </c>
      <c r="L229" s="35">
        <f t="shared" si="25"/>
        <v>143396.96961966998</v>
      </c>
      <c r="M229" s="36">
        <f t="shared" si="25"/>
        <v>0</v>
      </c>
      <c r="N229" s="89" t="s">
        <v>188</v>
      </c>
    </row>
    <row r="230" spans="1:21" ht="19.95" customHeight="1" x14ac:dyDescent="0.3">
      <c r="B230" s="9">
        <f t="shared" ref="B230:M230" si="26">B47+B68+B89+B110+B131+B152+B173+B194+B215</f>
        <v>0</v>
      </c>
      <c r="C230" s="9">
        <f t="shared" si="26"/>
        <v>0</v>
      </c>
      <c r="D230" s="9">
        <f t="shared" si="26"/>
        <v>-29698.484809834987</v>
      </c>
      <c r="E230" s="9">
        <f t="shared" si="26"/>
        <v>-29698.484809834987</v>
      </c>
      <c r="F230" s="9">
        <f t="shared" si="26"/>
        <v>0</v>
      </c>
      <c r="G230" s="9">
        <f t="shared" si="26"/>
        <v>-84000</v>
      </c>
      <c r="H230" s="9">
        <f t="shared" si="26"/>
        <v>29698.484809834987</v>
      </c>
      <c r="I230" s="9">
        <f t="shared" si="26"/>
        <v>-29698.484809834987</v>
      </c>
      <c r="J230" s="9">
        <f t="shared" si="26"/>
        <v>0</v>
      </c>
      <c r="K230" s="9">
        <f t="shared" si="26"/>
        <v>0</v>
      </c>
      <c r="L230" s="36">
        <f t="shared" si="26"/>
        <v>0</v>
      </c>
      <c r="M230" s="35">
        <f t="shared" si="26"/>
        <v>143396.96961966998</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IF(GRAFICA_26!F14=1, B234, GRAFICA_26!H14)</f>
        <v>C1X</v>
      </c>
      <c r="P234" s="215" t="s">
        <v>376</v>
      </c>
      <c r="Q234" s="172"/>
      <c r="R234" s="172"/>
      <c r="S234" s="172"/>
      <c r="T234" s="172"/>
      <c r="U234" s="173"/>
    </row>
    <row r="235" spans="1:21" ht="16.95" customHeight="1" x14ac:dyDescent="0.3">
      <c r="B235" s="12" t="s">
        <v>210</v>
      </c>
      <c r="C235" s="12" t="s">
        <v>179</v>
      </c>
      <c r="E235" s="37" t="str">
        <f>IF(GRAFICA_26!G14=1, B235, GRAFICA_26!I14)</f>
        <v>C1Y</v>
      </c>
      <c r="P235" s="215" t="s">
        <v>211</v>
      </c>
      <c r="Q235" s="172"/>
      <c r="R235" s="172"/>
      <c r="S235" s="172"/>
      <c r="T235" s="172"/>
      <c r="U235" s="173"/>
    </row>
    <row r="236" spans="1:21" ht="16.95" customHeight="1" x14ac:dyDescent="0.3">
      <c r="B236" s="12" t="s">
        <v>212</v>
      </c>
      <c r="C236" s="12" t="s">
        <v>180</v>
      </c>
      <c r="E236" s="37">
        <f>IF(GRAFICA_26!F15=1, B236, GRAFICA_26!H15)</f>
        <v>0</v>
      </c>
      <c r="P236" s="215" t="s">
        <v>377</v>
      </c>
      <c r="Q236" s="172"/>
      <c r="R236" s="172"/>
      <c r="S236" s="172"/>
      <c r="T236" s="172"/>
      <c r="U236" s="173"/>
    </row>
    <row r="237" spans="1:21" ht="16.95" customHeight="1" x14ac:dyDescent="0.3">
      <c r="B237" s="12" t="s">
        <v>214</v>
      </c>
      <c r="C237" s="12" t="s">
        <v>181</v>
      </c>
      <c r="E237" s="37">
        <f>IF(GRAFICA_26!G15=1, B237, GRAFICA_26!I15)</f>
        <v>-6000</v>
      </c>
      <c r="P237" s="215" t="s">
        <v>215</v>
      </c>
      <c r="Q237" s="172"/>
      <c r="R237" s="172"/>
      <c r="S237" s="172"/>
      <c r="T237" s="172"/>
      <c r="U237" s="173"/>
    </row>
    <row r="238" spans="1:21" ht="16.95" customHeight="1" x14ac:dyDescent="0.3">
      <c r="B238" s="12" t="s">
        <v>216</v>
      </c>
      <c r="C238" s="12" t="s">
        <v>182</v>
      </c>
      <c r="E238" s="37">
        <f>IF(GRAFICA_26!F16=1, B238, GRAFICA_26!H16)</f>
        <v>0</v>
      </c>
      <c r="P238" s="215" t="s">
        <v>378</v>
      </c>
      <c r="Q238" s="172"/>
      <c r="R238" s="172"/>
      <c r="S238" s="172"/>
      <c r="T238" s="172"/>
      <c r="U238" s="173"/>
    </row>
    <row r="239" spans="1:21" ht="16.95" customHeight="1" x14ac:dyDescent="0.3">
      <c r="A239" s="38" t="s">
        <v>218</v>
      </c>
      <c r="B239" s="12" t="s">
        <v>219</v>
      </c>
      <c r="C239" s="12" t="s">
        <v>183</v>
      </c>
      <c r="D239" s="13" t="s">
        <v>220</v>
      </c>
      <c r="E239" s="37">
        <f>IF(GRAFICA_26!G16=1, B239, GRAFICA_26!I16)</f>
        <v>-6000</v>
      </c>
      <c r="P239" s="215" t="s">
        <v>379</v>
      </c>
      <c r="Q239" s="172"/>
      <c r="R239" s="172"/>
      <c r="S239" s="172"/>
      <c r="T239" s="172"/>
      <c r="U239" s="173"/>
    </row>
    <row r="240" spans="1:21" ht="16.95" customHeight="1" x14ac:dyDescent="0.3">
      <c r="B240" s="12" t="s">
        <v>221</v>
      </c>
      <c r="C240" s="12" t="s">
        <v>184</v>
      </c>
      <c r="E240" s="37">
        <f>IF(GRAFICA_26!F17=1, B240, GRAFICA_26!H17)</f>
        <v>0</v>
      </c>
      <c r="P240" s="215"/>
      <c r="Q240" s="172"/>
      <c r="R240" s="172"/>
      <c r="S240" s="172"/>
      <c r="T240" s="172"/>
      <c r="U240" s="173"/>
    </row>
    <row r="241" spans="1:21" ht="16.95" customHeight="1" x14ac:dyDescent="0.3">
      <c r="B241" s="12" t="s">
        <v>222</v>
      </c>
      <c r="C241" s="12" t="s">
        <v>185</v>
      </c>
      <c r="E241" s="37" t="str">
        <f>IF(GRAFICA_26!G17=1, B241, GRAFICA_26!I17)</f>
        <v>C4Y</v>
      </c>
      <c r="P241" s="215"/>
      <c r="Q241" s="172"/>
      <c r="R241" s="172"/>
      <c r="S241" s="172"/>
      <c r="T241" s="172"/>
      <c r="U241" s="173"/>
    </row>
    <row r="242" spans="1:21" ht="16.95" customHeight="1" x14ac:dyDescent="0.3">
      <c r="B242" s="12" t="s">
        <v>223</v>
      </c>
      <c r="C242" s="12" t="s">
        <v>186</v>
      </c>
      <c r="E242" s="37">
        <f>IF(GRAFICA_26!F18=1, B242, GRAFICA_26!H18)</f>
        <v>0</v>
      </c>
      <c r="P242" s="215"/>
      <c r="Q242" s="172"/>
      <c r="R242" s="172"/>
      <c r="S242" s="172"/>
      <c r="T242" s="172"/>
      <c r="U242" s="173"/>
    </row>
    <row r="243" spans="1:21" ht="16.95" customHeight="1" x14ac:dyDescent="0.3">
      <c r="B243" s="12" t="s">
        <v>224</v>
      </c>
      <c r="C243" s="12" t="s">
        <v>187</v>
      </c>
      <c r="E243" s="37">
        <f>IF(GRAFICA_26!G18=1, B243, GRAFICA_26!I18)</f>
        <v>0</v>
      </c>
      <c r="P243" s="215"/>
      <c r="Q243" s="172"/>
      <c r="R243" s="172"/>
      <c r="S243" s="172"/>
      <c r="T243" s="172"/>
      <c r="U243" s="173"/>
    </row>
    <row r="244" spans="1:21" ht="16.95" customHeight="1" x14ac:dyDescent="0.3">
      <c r="B244" s="12" t="s">
        <v>225</v>
      </c>
      <c r="C244" s="12" t="s">
        <v>188</v>
      </c>
      <c r="E244" s="37">
        <f>IF(GRAFICA_26!F19=1, B244, GRAFICA_26!H19)</f>
        <v>0</v>
      </c>
      <c r="P244" s="215"/>
      <c r="Q244" s="172"/>
      <c r="R244" s="172"/>
      <c r="S244" s="172"/>
      <c r="T244" s="172"/>
      <c r="U244" s="173"/>
    </row>
    <row r="245" spans="1:21" ht="16.95" customHeight="1" x14ac:dyDescent="0.3">
      <c r="B245" s="12" t="s">
        <v>226</v>
      </c>
      <c r="C245" s="12" t="s">
        <v>189</v>
      </c>
      <c r="E245" s="37">
        <f>IF(GRAFICA_26!G19=1, B245, GRAFICA_26!I19)</f>
        <v>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IF(GRAFICA_26!F14=1,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IF(GRAFICA_26!G14=1,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IF(GRAFICA_26!F15=1,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IF(GRAFICA_26!G15=1,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IF(GRAFICA_26!F16=1,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IF(GRAFICA_26!G16=1, 0, B253)</f>
        <v>D3Y</v>
      </c>
      <c r="F253" s="14">
        <f>IF(E253&lt;&gt;0, COUNTIF(E$248:E253, "&lt;&gt;0"), "")</f>
        <v>4</v>
      </c>
      <c r="G253" s="14" t="str">
        <f>IF(E253=0, COUNTIF(E$248:E253, 0), "")</f>
        <v/>
      </c>
      <c r="P253" s="215"/>
      <c r="Q253" s="172"/>
      <c r="R253" s="172"/>
      <c r="S253" s="172"/>
      <c r="T253" s="172"/>
      <c r="U253" s="173"/>
    </row>
    <row r="254" spans="1:21" ht="16.95" customHeight="1" x14ac:dyDescent="0.3">
      <c r="B254" s="12" t="s">
        <v>235</v>
      </c>
      <c r="C254" s="12" t="s">
        <v>184</v>
      </c>
      <c r="E254" s="39" t="str">
        <f>IF(GRAFICA_26!F17=1, 0, B254)</f>
        <v>D4X</v>
      </c>
      <c r="F254" s="14">
        <f>IF(E254&lt;&gt;0, COUNTIF(E$248:E254, "&lt;&gt;0"), "")</f>
        <v>5</v>
      </c>
      <c r="G254" s="14" t="str">
        <f>IF(E254=0, COUNTIF(E$248:E254, 0), "")</f>
        <v/>
      </c>
      <c r="P254" s="215"/>
      <c r="Q254" s="172"/>
      <c r="R254" s="172"/>
      <c r="S254" s="172"/>
      <c r="T254" s="172"/>
      <c r="U254" s="173"/>
    </row>
    <row r="255" spans="1:21" ht="16.95" customHeight="1" x14ac:dyDescent="0.3">
      <c r="B255" s="12" t="s">
        <v>236</v>
      </c>
      <c r="C255" s="12" t="s">
        <v>185</v>
      </c>
      <c r="E255" s="39">
        <f>IF(GRAFICA_26!G17=1, 0, B255)</f>
        <v>0</v>
      </c>
      <c r="F255" s="14" t="str">
        <f>IF(E255&lt;&gt;0, COUNTIF(E$248:E255, "&lt;&gt;0"), "")</f>
        <v/>
      </c>
      <c r="G255" s="14">
        <f>IF(E255=0, COUNTIF(E$248:E255, 0), "")</f>
        <v>3</v>
      </c>
      <c r="P255" s="215"/>
      <c r="Q255" s="172"/>
      <c r="R255" s="172"/>
      <c r="S255" s="172"/>
      <c r="T255" s="172"/>
      <c r="U255" s="173"/>
    </row>
    <row r="256" spans="1:21" ht="16.95" customHeight="1" x14ac:dyDescent="0.3">
      <c r="B256" s="12" t="s">
        <v>237</v>
      </c>
      <c r="C256" s="12" t="s">
        <v>186</v>
      </c>
      <c r="E256" s="39" t="str">
        <f>IF(GRAFICA_26!F18=1,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IF(GRAFICA_26!G18=1,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IF(GRAFICA_26!F19=1,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IF(GRAFICA_26!G19=1,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-84000</v>
      </c>
      <c r="D266" s="9">
        <f t="shared" si="30"/>
        <v>0</v>
      </c>
      <c r="E266" s="41">
        <f t="shared" si="30"/>
        <v>197698.48480983498</v>
      </c>
      <c r="F266" s="41">
        <f t="shared" si="30"/>
        <v>29698.484809834987</v>
      </c>
      <c r="G266" s="41">
        <f t="shared" si="30"/>
        <v>-84000</v>
      </c>
      <c r="H266" s="41">
        <f t="shared" si="30"/>
        <v>0</v>
      </c>
      <c r="I266" s="41">
        <f t="shared" si="30"/>
        <v>0</v>
      </c>
      <c r="J266" s="9">
        <f t="shared" si="30"/>
        <v>0</v>
      </c>
      <c r="K266" s="41">
        <f t="shared" si="30"/>
        <v>0</v>
      </c>
      <c r="L266" s="41">
        <f t="shared" si="30"/>
        <v>0</v>
      </c>
      <c r="M266" s="41">
        <f t="shared" si="30"/>
        <v>-29698.484809834987</v>
      </c>
      <c r="N266" s="41">
        <f t="shared" si="30"/>
        <v>-29698.484809834987</v>
      </c>
      <c r="O266" s="13" t="s">
        <v>251</v>
      </c>
      <c r="P266" s="215" t="s">
        <v>254</v>
      </c>
      <c r="Q266" s="172"/>
      <c r="R266" s="172"/>
      <c r="S266" s="172"/>
      <c r="T266" s="172"/>
      <c r="U266" s="173"/>
    </row>
    <row r="267" spans="1:21" ht="16.95" customHeight="1" x14ac:dyDescent="0.3">
      <c r="A267" s="41">
        <f t="shared" si="27"/>
        <v>-6000</v>
      </c>
      <c r="C267" s="9">
        <f t="shared" ref="C267:N267" si="31">B222</f>
        <v>0</v>
      </c>
      <c r="D267" s="9">
        <f t="shared" si="31"/>
        <v>0</v>
      </c>
      <c r="E267" s="41">
        <f t="shared" si="31"/>
        <v>29698.484809834987</v>
      </c>
      <c r="F267" s="41">
        <f t="shared" si="31"/>
        <v>113698.48480983499</v>
      </c>
      <c r="G267" s="41">
        <f t="shared" si="31"/>
        <v>0</v>
      </c>
      <c r="H267" s="41">
        <f t="shared" si="31"/>
        <v>0</v>
      </c>
      <c r="I267" s="41">
        <f t="shared" si="31"/>
        <v>0</v>
      </c>
      <c r="J267" s="9">
        <f t="shared" si="31"/>
        <v>0</v>
      </c>
      <c r="K267" s="41">
        <f t="shared" si="31"/>
        <v>0</v>
      </c>
      <c r="L267" s="41">
        <f t="shared" si="31"/>
        <v>-84000</v>
      </c>
      <c r="M267" s="41">
        <f t="shared" si="31"/>
        <v>-29698.484809834987</v>
      </c>
      <c r="N267" s="41">
        <f t="shared" si="31"/>
        <v>-29698.484809834987</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215" t="s">
        <v>382</v>
      </c>
      <c r="Q268" s="172"/>
      <c r="R268" s="172"/>
      <c r="S268" s="172"/>
      <c r="T268" s="172"/>
      <c r="U268" s="173"/>
    </row>
    <row r="269" spans="1:21" ht="16.95" customHeight="1" x14ac:dyDescent="0.3">
      <c r="A269" s="41">
        <f t="shared" si="27"/>
        <v>-6000</v>
      </c>
      <c r="C269" s="9">
        <f t="shared" ref="C269:N269" si="33">B224</f>
        <v>0</v>
      </c>
      <c r="D269" s="9">
        <f t="shared" si="33"/>
        <v>0</v>
      </c>
      <c r="E269" s="41">
        <f t="shared" si="33"/>
        <v>0</v>
      </c>
      <c r="F269" s="41">
        <f t="shared" si="33"/>
        <v>0</v>
      </c>
      <c r="G269" s="41">
        <f t="shared" si="33"/>
        <v>0</v>
      </c>
      <c r="H269" s="41">
        <f t="shared" si="33"/>
        <v>84000</v>
      </c>
      <c r="I269" s="41">
        <f t="shared" si="33"/>
        <v>0</v>
      </c>
      <c r="J269" s="9">
        <f t="shared" si="33"/>
        <v>0</v>
      </c>
      <c r="K269" s="41">
        <f t="shared" si="33"/>
        <v>0</v>
      </c>
      <c r="L269" s="41">
        <f t="shared" si="33"/>
        <v>0</v>
      </c>
      <c r="M269" s="41">
        <f t="shared" si="33"/>
        <v>0</v>
      </c>
      <c r="N269" s="41">
        <f t="shared" si="33"/>
        <v>-84000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215" t="str">
        <f t="shared" si="34"/>
        <v>D4X</v>
      </c>
      <c r="Q270" s="172"/>
      <c r="R270" s="172"/>
      <c r="S270" s="172"/>
      <c r="T270" s="172"/>
      <c r="U270" s="173"/>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219">
        <f t="shared" si="34"/>
        <v>0</v>
      </c>
      <c r="Q271" s="172"/>
      <c r="R271" s="172"/>
      <c r="S271" s="172"/>
      <c r="T271" s="172"/>
      <c r="U271" s="173"/>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0</v>
      </c>
      <c r="H272" s="41">
        <f t="shared" si="37"/>
        <v>0</v>
      </c>
      <c r="I272" s="41">
        <f t="shared" si="37"/>
        <v>0</v>
      </c>
      <c r="J272" s="9">
        <f t="shared" si="37"/>
        <v>0</v>
      </c>
      <c r="K272" s="41">
        <f t="shared" si="37"/>
        <v>113698.48480983499</v>
      </c>
      <c r="L272" s="41">
        <f t="shared" si="37"/>
        <v>29698.484809834987</v>
      </c>
      <c r="M272" s="41">
        <f t="shared" si="37"/>
        <v>-84000</v>
      </c>
      <c r="N272" s="41">
        <f t="shared" si="37"/>
        <v>0</v>
      </c>
      <c r="O272" s="13" t="s">
        <v>251</v>
      </c>
      <c r="P272" s="215" t="str">
        <f t="shared" si="34"/>
        <v>D5X</v>
      </c>
      <c r="Q272" s="172"/>
      <c r="R272" s="172"/>
      <c r="S272" s="172"/>
      <c r="T272" s="172"/>
      <c r="U272" s="173"/>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0</v>
      </c>
      <c r="H273" s="41">
        <f t="shared" si="38"/>
        <v>0</v>
      </c>
      <c r="I273" s="41">
        <f t="shared" si="38"/>
        <v>0</v>
      </c>
      <c r="J273" s="9">
        <f t="shared" si="38"/>
        <v>0</v>
      </c>
      <c r="K273" s="41">
        <f t="shared" si="38"/>
        <v>29698.484809834987</v>
      </c>
      <c r="L273" s="41">
        <f t="shared" si="38"/>
        <v>113698.48480983499</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0</v>
      </c>
      <c r="C274" s="9">
        <f t="shared" ref="C274:N274" si="39">B229</f>
        <v>0</v>
      </c>
      <c r="D274" s="9">
        <f t="shared" si="39"/>
        <v>0</v>
      </c>
      <c r="E274" s="41">
        <f t="shared" si="39"/>
        <v>-29698.484809834987</v>
      </c>
      <c r="F274" s="41">
        <f t="shared" si="39"/>
        <v>-29698.484809834987</v>
      </c>
      <c r="G274" s="41">
        <f t="shared" si="39"/>
        <v>0</v>
      </c>
      <c r="H274" s="41">
        <f t="shared" si="39"/>
        <v>0</v>
      </c>
      <c r="I274" s="41">
        <f t="shared" si="39"/>
        <v>-29698.484809834987</v>
      </c>
      <c r="J274" s="9">
        <f t="shared" si="39"/>
        <v>29698.484809834987</v>
      </c>
      <c r="K274" s="41">
        <f t="shared" si="39"/>
        <v>-84000</v>
      </c>
      <c r="L274" s="41">
        <f t="shared" si="39"/>
        <v>0</v>
      </c>
      <c r="M274" s="41">
        <f t="shared" si="39"/>
        <v>143396.96961966998</v>
      </c>
      <c r="N274" s="41">
        <f t="shared" si="39"/>
        <v>0</v>
      </c>
      <c r="O274" s="13" t="s">
        <v>251</v>
      </c>
      <c r="P274" s="215" t="str">
        <f t="shared" si="34"/>
        <v>D6X</v>
      </c>
      <c r="Q274" s="172"/>
      <c r="R274" s="172"/>
      <c r="S274" s="172"/>
      <c r="T274" s="172"/>
      <c r="U274" s="173"/>
    </row>
    <row r="275" spans="1:21" ht="16.95" customHeight="1" x14ac:dyDescent="0.3">
      <c r="A275" s="41">
        <f t="shared" si="27"/>
        <v>0</v>
      </c>
      <c r="C275" s="9">
        <f t="shared" ref="C275:N275" si="40">B230</f>
        <v>0</v>
      </c>
      <c r="D275" s="9">
        <f t="shared" si="40"/>
        <v>0</v>
      </c>
      <c r="E275" s="41">
        <f t="shared" si="40"/>
        <v>-29698.484809834987</v>
      </c>
      <c r="F275" s="41">
        <f t="shared" si="40"/>
        <v>-29698.484809834987</v>
      </c>
      <c r="G275" s="41">
        <f t="shared" si="40"/>
        <v>0</v>
      </c>
      <c r="H275" s="41">
        <f t="shared" si="40"/>
        <v>-84000</v>
      </c>
      <c r="I275" s="41">
        <f t="shared" si="40"/>
        <v>29698.484809834987</v>
      </c>
      <c r="J275" s="9">
        <f t="shared" si="40"/>
        <v>-29698.484809834987</v>
      </c>
      <c r="K275" s="41">
        <f t="shared" si="40"/>
        <v>0</v>
      </c>
      <c r="L275" s="41">
        <f t="shared" si="40"/>
        <v>0</v>
      </c>
      <c r="M275" s="41">
        <f t="shared" si="40"/>
        <v>0</v>
      </c>
      <c r="N275" s="41">
        <f t="shared" si="40"/>
        <v>143396.96961966998</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197698.48480983498</v>
      </c>
      <c r="D280" s="41">
        <f t="shared" si="42"/>
        <v>29698.484809834987</v>
      </c>
      <c r="E280" s="41">
        <f t="shared" si="42"/>
        <v>-84000</v>
      </c>
      <c r="F280" s="41">
        <f t="shared" si="42"/>
        <v>0</v>
      </c>
      <c r="G280" s="41">
        <f t="shared" si="42"/>
        <v>0</v>
      </c>
      <c r="H280" s="41">
        <f t="shared" si="42"/>
        <v>0</v>
      </c>
      <c r="I280" s="41">
        <f t="shared" si="42"/>
        <v>0</v>
      </c>
      <c r="J280" s="41">
        <f t="shared" si="42"/>
        <v>-29698.484809834987</v>
      </c>
      <c r="K280" s="41">
        <f t="shared" si="42"/>
        <v>-29698.484809834987</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-6000</v>
      </c>
      <c r="C281" s="41">
        <f t="shared" si="42"/>
        <v>29698.484809834987</v>
      </c>
      <c r="D281" s="41">
        <f t="shared" si="42"/>
        <v>113698.48480983499</v>
      </c>
      <c r="E281" s="41">
        <f t="shared" si="42"/>
        <v>0</v>
      </c>
      <c r="F281" s="41">
        <f t="shared" si="42"/>
        <v>0</v>
      </c>
      <c r="G281" s="41">
        <f t="shared" si="42"/>
        <v>0</v>
      </c>
      <c r="H281" s="41">
        <f t="shared" si="42"/>
        <v>0</v>
      </c>
      <c r="I281" s="41">
        <f t="shared" si="42"/>
        <v>-84000</v>
      </c>
      <c r="J281" s="41">
        <f t="shared" si="42"/>
        <v>-29698.484809834987</v>
      </c>
      <c r="K281" s="41">
        <f t="shared" si="42"/>
        <v>-29698.484809834987</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-6000</v>
      </c>
      <c r="C283" s="41">
        <f t="shared" si="42"/>
        <v>0</v>
      </c>
      <c r="D283" s="41">
        <f t="shared" si="42"/>
        <v>0</v>
      </c>
      <c r="E283" s="41">
        <f t="shared" si="42"/>
        <v>0</v>
      </c>
      <c r="F283" s="41">
        <f t="shared" si="42"/>
        <v>84000</v>
      </c>
      <c r="G283" s="41">
        <f t="shared" si="42"/>
        <v>0</v>
      </c>
      <c r="H283" s="41">
        <f t="shared" si="42"/>
        <v>0</v>
      </c>
      <c r="I283" s="41">
        <f t="shared" si="42"/>
        <v>0</v>
      </c>
      <c r="J283" s="41">
        <f t="shared" si="42"/>
        <v>0</v>
      </c>
      <c r="K283" s="41">
        <f t="shared" si="42"/>
        <v>-84000</v>
      </c>
      <c r="L283" s="13" t="s">
        <v>251</v>
      </c>
      <c r="M283" s="38" t="str">
        <f>INDEX(B$248:B$259, MATCH(4, F$248:F$259, 0))</f>
        <v>D3Y</v>
      </c>
      <c r="N283" s="14" t="str">
        <f>INDEX(C$248:C$259, MATCH(4, F$248:F$259, 0))</f>
        <v>U3Y</v>
      </c>
      <c r="P283" s="215" t="s">
        <v>387</v>
      </c>
      <c r="Q283" s="172"/>
      <c r="R283" s="172"/>
      <c r="S283" s="172"/>
      <c r="T283" s="172"/>
      <c r="U283" s="173"/>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113698.48480983499</v>
      </c>
      <c r="I285" s="41">
        <f t="shared" si="42"/>
        <v>29698.484809834987</v>
      </c>
      <c r="J285" s="41">
        <f t="shared" si="42"/>
        <v>-84000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0</v>
      </c>
      <c r="C286" s="41">
        <f t="shared" si="42"/>
        <v>0</v>
      </c>
      <c r="D286" s="41">
        <f t="shared" si="42"/>
        <v>-84000</v>
      </c>
      <c r="E286" s="41">
        <f t="shared" si="42"/>
        <v>0</v>
      </c>
      <c r="F286" s="41">
        <f t="shared" si="42"/>
        <v>0</v>
      </c>
      <c r="G286" s="41">
        <f t="shared" si="42"/>
        <v>0</v>
      </c>
      <c r="H286" s="41">
        <f t="shared" si="42"/>
        <v>29698.484809834987</v>
      </c>
      <c r="I286" s="41">
        <f t="shared" si="42"/>
        <v>113698.48480983499</v>
      </c>
      <c r="J286" s="41">
        <f t="shared" si="42"/>
        <v>0</v>
      </c>
      <c r="K286" s="41">
        <f t="shared" si="42"/>
        <v>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0</v>
      </c>
      <c r="C287" s="41">
        <f t="shared" si="42"/>
        <v>-29698.484809834987</v>
      </c>
      <c r="D287" s="41">
        <f t="shared" si="42"/>
        <v>-29698.484809834987</v>
      </c>
      <c r="E287" s="41">
        <f t="shared" si="42"/>
        <v>0</v>
      </c>
      <c r="F287" s="41">
        <f t="shared" si="42"/>
        <v>0</v>
      </c>
      <c r="G287" s="41">
        <f t="shared" si="42"/>
        <v>-29698.484809834987</v>
      </c>
      <c r="H287" s="41">
        <f t="shared" si="42"/>
        <v>-84000</v>
      </c>
      <c r="I287" s="41">
        <f t="shared" si="42"/>
        <v>0</v>
      </c>
      <c r="J287" s="41">
        <f t="shared" si="42"/>
        <v>143396.96961966998</v>
      </c>
      <c r="K287" s="41">
        <f t="shared" si="42"/>
        <v>0</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0</v>
      </c>
      <c r="C288" s="41">
        <f t="shared" si="42"/>
        <v>-29698.484809834987</v>
      </c>
      <c r="D288" s="41">
        <f t="shared" si="42"/>
        <v>-29698.484809834987</v>
      </c>
      <c r="E288" s="41">
        <f t="shared" si="42"/>
        <v>0</v>
      </c>
      <c r="F288" s="41">
        <f t="shared" si="42"/>
        <v>-84000</v>
      </c>
      <c r="G288" s="41">
        <f t="shared" si="42"/>
        <v>29698.484809834987</v>
      </c>
      <c r="H288" s="41">
        <f t="shared" si="42"/>
        <v>0</v>
      </c>
      <c r="I288" s="41">
        <f t="shared" si="42"/>
        <v>0</v>
      </c>
      <c r="J288" s="41">
        <f t="shared" si="42"/>
        <v>0</v>
      </c>
      <c r="K288" s="41">
        <f t="shared" si="42"/>
        <v>143396.96961966998</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1.1904761904761902E-5</v>
      </c>
      <c r="D292" s="93">
        <v>-7.9365079365079328E-6</v>
      </c>
      <c r="E292" s="93">
        <v>1.1904761904761902E-5</v>
      </c>
      <c r="F292" s="93">
        <v>-3.9682539682539672E-6</v>
      </c>
      <c r="G292" s="93">
        <v>1.1904761904761898E-5</v>
      </c>
      <c r="H292" s="93">
        <v>7.9365079365079345E-6</v>
      </c>
      <c r="I292" s="93">
        <v>-7.9365079365079362E-6</v>
      </c>
      <c r="J292" s="93">
        <v>7.9365079365079345E-6</v>
      </c>
      <c r="K292" s="93">
        <v>-3.9682539682539672E-6</v>
      </c>
      <c r="M292" s="17">
        <f t="shared" ref="M292:M300" si="44">A280</f>
        <v>0</v>
      </c>
      <c r="P292" s="215"/>
      <c r="Q292" s="172"/>
      <c r="R292" s="172"/>
      <c r="S292" s="172"/>
      <c r="T292" s="172"/>
      <c r="U292" s="173"/>
    </row>
    <row r="293" spans="1:21" ht="16.95" customHeight="1" x14ac:dyDescent="0.3">
      <c r="A293" s="12" t="str">
        <f t="shared" si="43"/>
        <v>D2Y</v>
      </c>
      <c r="C293" s="93">
        <v>-7.9365079365079345E-6</v>
      </c>
      <c r="D293" s="93">
        <v>4.0966352841900995E-5</v>
      </c>
      <c r="E293" s="93">
        <v>-1.19047619047619E-5</v>
      </c>
      <c r="F293" s="93">
        <v>2.4451430389204466E-5</v>
      </c>
      <c r="G293" s="93">
        <v>-1.5873015873015872E-5</v>
      </c>
      <c r="H293" s="93">
        <v>-1.0582010582010577E-5</v>
      </c>
      <c r="I293" s="93">
        <v>3.3029844905393057E-5</v>
      </c>
      <c r="J293" s="93">
        <v>-2.6455026455026383E-6</v>
      </c>
      <c r="K293" s="93">
        <v>2.4451430389204466E-5</v>
      </c>
      <c r="M293" s="17">
        <f t="shared" si="44"/>
        <v>-6000</v>
      </c>
      <c r="P293" s="215"/>
      <c r="Q293" s="172"/>
      <c r="R293" s="172"/>
      <c r="S293" s="172"/>
      <c r="T293" s="172"/>
      <c r="U293" s="173"/>
    </row>
    <row r="294" spans="1:21" ht="16.95" customHeight="1" x14ac:dyDescent="0.3">
      <c r="A294" s="12" t="str">
        <f t="shared" si="43"/>
        <v>D3X</v>
      </c>
      <c r="C294" s="93">
        <v>1.19047619047619E-5</v>
      </c>
      <c r="D294" s="93">
        <v>-1.1904761904761902E-5</v>
      </c>
      <c r="E294" s="93">
        <v>2.3809523809523803E-5</v>
      </c>
      <c r="F294" s="93">
        <v>-1.1904761904761905E-5</v>
      </c>
      <c r="G294" s="93">
        <v>2.38095238095238E-5</v>
      </c>
      <c r="H294" s="93">
        <v>1.1904761904761902E-5</v>
      </c>
      <c r="I294" s="93">
        <v>-1.19047619047619E-5</v>
      </c>
      <c r="J294" s="93">
        <v>1.19047619047619E-5</v>
      </c>
      <c r="K294" s="93">
        <v>-1.1904761904761905E-5</v>
      </c>
      <c r="M294" s="17">
        <f t="shared" si="44"/>
        <v>0</v>
      </c>
      <c r="P294" s="215"/>
      <c r="Q294" s="172"/>
      <c r="R294" s="172"/>
      <c r="S294" s="172"/>
      <c r="T294" s="172"/>
      <c r="U294" s="173"/>
    </row>
    <row r="295" spans="1:21" ht="16.95" customHeight="1" x14ac:dyDescent="0.3">
      <c r="A295" s="12" t="str">
        <f t="shared" si="43"/>
        <v>D3Y</v>
      </c>
      <c r="C295" s="93">
        <v>-3.9682539682539655E-6</v>
      </c>
      <c r="D295" s="93">
        <v>2.4451430389204473E-5</v>
      </c>
      <c r="E295" s="93">
        <v>-1.19047619047619E-5</v>
      </c>
      <c r="F295" s="93">
        <v>4.8902860778408933E-5</v>
      </c>
      <c r="G295" s="93">
        <v>-1.9841269841269841E-5</v>
      </c>
      <c r="H295" s="93">
        <v>-9.2592592592592574E-6</v>
      </c>
      <c r="I295" s="93">
        <v>2.0483176420950497E-5</v>
      </c>
      <c r="J295" s="93">
        <v>-5.291005291005286E-6</v>
      </c>
      <c r="K295" s="93">
        <v>3.6998098873647029E-5</v>
      </c>
      <c r="M295" s="17">
        <f t="shared" si="44"/>
        <v>-6000</v>
      </c>
      <c r="P295" s="215"/>
      <c r="Q295" s="172"/>
      <c r="R295" s="172"/>
      <c r="S295" s="172"/>
      <c r="T295" s="172"/>
      <c r="U295" s="173"/>
    </row>
    <row r="296" spans="1:21" ht="16.95" customHeight="1" x14ac:dyDescent="0.3">
      <c r="A296" s="12" t="str">
        <f t="shared" si="43"/>
        <v>D4X</v>
      </c>
      <c r="B296" s="13" t="s">
        <v>220</v>
      </c>
      <c r="C296" s="93">
        <v>1.19047619047619E-5</v>
      </c>
      <c r="D296" s="93">
        <v>-1.5873015873015869E-5</v>
      </c>
      <c r="E296" s="93">
        <v>2.38095238095238E-5</v>
      </c>
      <c r="F296" s="93">
        <v>-1.9841269841269841E-5</v>
      </c>
      <c r="G296" s="93">
        <v>3.5714285714285703E-5</v>
      </c>
      <c r="H296" s="93">
        <v>1.5873015873015866E-5</v>
      </c>
      <c r="I296" s="93">
        <v>-1.5873015873015866E-5</v>
      </c>
      <c r="J296" s="93">
        <v>1.5873015873015866E-5</v>
      </c>
      <c r="K296" s="93">
        <v>-1.9841269841269841E-5</v>
      </c>
      <c r="M296" s="17">
        <f t="shared" si="44"/>
        <v>0</v>
      </c>
      <c r="P296" s="215"/>
      <c r="Q296" s="172"/>
      <c r="R296" s="172"/>
      <c r="S296" s="172"/>
      <c r="T296" s="172"/>
      <c r="U296" s="173"/>
    </row>
    <row r="297" spans="1:21" ht="16.95" customHeight="1" x14ac:dyDescent="0.3">
      <c r="A297" s="12" t="str">
        <f t="shared" si="43"/>
        <v>D5X</v>
      </c>
      <c r="C297" s="93">
        <v>7.9365079365079345E-6</v>
      </c>
      <c r="D297" s="93">
        <v>-1.0582010582010577E-5</v>
      </c>
      <c r="E297" s="93">
        <v>1.19047619047619E-5</v>
      </c>
      <c r="F297" s="93">
        <v>-9.2592592592592574E-6</v>
      </c>
      <c r="G297" s="93">
        <v>1.5873015873015869E-5</v>
      </c>
      <c r="H297" s="93">
        <v>2.5774181711955779E-5</v>
      </c>
      <c r="I297" s="93">
        <v>-1.4550264550264544E-5</v>
      </c>
      <c r="J297" s="93">
        <v>1.7837673775447841E-5</v>
      </c>
      <c r="K297" s="93">
        <v>-9.2592592592592574E-6</v>
      </c>
      <c r="M297" s="17">
        <f t="shared" si="44"/>
        <v>0</v>
      </c>
      <c r="P297" s="215"/>
      <c r="Q297" s="172"/>
      <c r="R297" s="172"/>
      <c r="S297" s="172"/>
      <c r="T297" s="172"/>
      <c r="U297" s="173"/>
    </row>
    <row r="298" spans="1:21" ht="16.95" customHeight="1" x14ac:dyDescent="0.3">
      <c r="A298" s="12" t="str">
        <f t="shared" si="43"/>
        <v>D5Y</v>
      </c>
      <c r="C298" s="93">
        <v>-7.9365079365079328E-6</v>
      </c>
      <c r="D298" s="93">
        <v>3.302984490539305E-5</v>
      </c>
      <c r="E298" s="93">
        <v>-1.19047619047619E-5</v>
      </c>
      <c r="F298" s="93">
        <v>2.0483176420950497E-5</v>
      </c>
      <c r="G298" s="93">
        <v>-1.5873015873015872E-5</v>
      </c>
      <c r="H298" s="93">
        <v>-1.4550264550264544E-5</v>
      </c>
      <c r="I298" s="93">
        <v>3.6998098873647016E-5</v>
      </c>
      <c r="J298" s="93">
        <v>-6.6137566137566064E-6</v>
      </c>
      <c r="K298" s="93">
        <v>2.0483176420950497E-5</v>
      </c>
      <c r="M298" s="17">
        <f t="shared" si="44"/>
        <v>0</v>
      </c>
      <c r="P298" s="215"/>
      <c r="Q298" s="172"/>
      <c r="R298" s="172"/>
      <c r="S298" s="172"/>
      <c r="T298" s="172"/>
      <c r="U298" s="173"/>
    </row>
    <row r="299" spans="1:21" ht="16.95" customHeight="1" x14ac:dyDescent="0.3">
      <c r="A299" s="12" t="str">
        <f t="shared" si="43"/>
        <v>D6X</v>
      </c>
      <c r="C299" s="93">
        <v>7.9365079365079345E-6</v>
      </c>
      <c r="D299" s="93">
        <v>-2.6455026455026404E-6</v>
      </c>
      <c r="E299" s="93">
        <v>1.1904761904761898E-5</v>
      </c>
      <c r="F299" s="93">
        <v>-5.2910052910052877E-6</v>
      </c>
      <c r="G299" s="93">
        <v>1.5873015873015869E-5</v>
      </c>
      <c r="H299" s="93">
        <v>1.7837673775447845E-5</v>
      </c>
      <c r="I299" s="93">
        <v>-6.613756613756609E-6</v>
      </c>
      <c r="J299" s="93">
        <v>2.1805927743701814E-5</v>
      </c>
      <c r="K299" s="93">
        <v>-5.2910052910052877E-6</v>
      </c>
      <c r="M299" s="17">
        <f t="shared" si="44"/>
        <v>0</v>
      </c>
      <c r="P299" s="215"/>
      <c r="Q299" s="172"/>
      <c r="R299" s="172"/>
      <c r="S299" s="172"/>
      <c r="T299" s="172"/>
      <c r="U299" s="173"/>
    </row>
    <row r="300" spans="1:21" ht="16.95" customHeight="1" x14ac:dyDescent="0.3">
      <c r="A300" s="12" t="str">
        <f t="shared" si="43"/>
        <v>D6Y</v>
      </c>
      <c r="C300" s="93">
        <v>-3.9682539682539655E-6</v>
      </c>
      <c r="D300" s="93">
        <v>2.445143038920447E-5</v>
      </c>
      <c r="E300" s="93">
        <v>-1.19047619047619E-5</v>
      </c>
      <c r="F300" s="93">
        <v>3.6998098873647029E-5</v>
      </c>
      <c r="G300" s="93">
        <v>-1.9841269841269841E-5</v>
      </c>
      <c r="H300" s="93">
        <v>-9.2592592592592574E-6</v>
      </c>
      <c r="I300" s="93">
        <v>2.0483176420950497E-5</v>
      </c>
      <c r="J300" s="93">
        <v>-5.291005291005286E-6</v>
      </c>
      <c r="K300" s="93">
        <v>3.6998098873647029E-5</v>
      </c>
      <c r="M300" s="17">
        <f t="shared" si="44"/>
        <v>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7.1428571428571397E-2</v>
      </c>
      <c r="D304" s="12" t="s">
        <v>267</v>
      </c>
      <c r="P304" s="215"/>
      <c r="Q304" s="172"/>
      <c r="R304" s="172"/>
      <c r="S304" s="172"/>
      <c r="T304" s="172"/>
      <c r="U304" s="173"/>
    </row>
    <row r="305" spans="1:21" ht="16.95" customHeight="1" x14ac:dyDescent="0.3">
      <c r="A305" s="12" t="str">
        <f t="shared" si="45"/>
        <v>D2Y</v>
      </c>
      <c r="C305" s="94">
        <v>-0.39250669938663274</v>
      </c>
      <c r="D305" s="12" t="s">
        <v>267</v>
      </c>
      <c r="P305" s="215"/>
      <c r="Q305" s="172"/>
      <c r="R305" s="172"/>
      <c r="S305" s="172"/>
      <c r="T305" s="172"/>
      <c r="U305" s="173"/>
    </row>
    <row r="306" spans="1:21" ht="16.95" customHeight="1" x14ac:dyDescent="0.3">
      <c r="A306" s="12" t="str">
        <f t="shared" si="45"/>
        <v>D3X</v>
      </c>
      <c r="C306" s="94">
        <v>0.14285714285714285</v>
      </c>
      <c r="D306" s="12" t="s">
        <v>267</v>
      </c>
      <c r="P306" s="215"/>
      <c r="Q306" s="172"/>
      <c r="R306" s="172"/>
      <c r="S306" s="172"/>
      <c r="T306" s="172"/>
      <c r="U306" s="173"/>
    </row>
    <row r="307" spans="1:21" ht="16.95" customHeight="1" x14ac:dyDescent="0.3">
      <c r="A307" s="12" t="str">
        <f t="shared" si="45"/>
        <v>D3Y</v>
      </c>
      <c r="C307" s="94">
        <v>-0.44012574700568041</v>
      </c>
      <c r="D307" s="12" t="s">
        <v>267</v>
      </c>
      <c r="P307" s="215"/>
      <c r="Q307" s="172"/>
      <c r="R307" s="172"/>
      <c r="S307" s="172"/>
      <c r="T307" s="172"/>
      <c r="U307" s="173"/>
    </row>
    <row r="308" spans="1:21" ht="16.95" customHeight="1" x14ac:dyDescent="0.3">
      <c r="A308" s="12" t="str">
        <f t="shared" si="45"/>
        <v>D4X</v>
      </c>
      <c r="B308" s="13" t="s">
        <v>220</v>
      </c>
      <c r="C308" s="94">
        <v>0.21428571428571425</v>
      </c>
      <c r="D308" s="12" t="s">
        <v>267</v>
      </c>
      <c r="P308" s="215"/>
      <c r="Q308" s="172"/>
      <c r="R308" s="172"/>
      <c r="S308" s="172"/>
      <c r="T308" s="172"/>
      <c r="U308" s="173"/>
    </row>
    <row r="309" spans="1:21" ht="16.95" customHeight="1" x14ac:dyDescent="0.3">
      <c r="A309" s="12" t="str">
        <f t="shared" si="45"/>
        <v>D5X</v>
      </c>
      <c r="C309" s="94">
        <v>0.11904761904761901</v>
      </c>
      <c r="D309" s="12" t="s">
        <v>267</v>
      </c>
      <c r="P309" s="215"/>
      <c r="Q309" s="172"/>
      <c r="R309" s="172"/>
      <c r="S309" s="172"/>
      <c r="T309" s="172"/>
      <c r="U309" s="173"/>
    </row>
    <row r="310" spans="1:21" ht="16.95" customHeight="1" x14ac:dyDescent="0.3">
      <c r="A310" s="12" t="str">
        <f t="shared" si="45"/>
        <v>D5Y</v>
      </c>
      <c r="C310" s="94">
        <v>-0.32107812795806129</v>
      </c>
      <c r="D310" s="12" t="s">
        <v>267</v>
      </c>
      <c r="P310" s="215"/>
      <c r="Q310" s="172"/>
      <c r="R310" s="172"/>
      <c r="S310" s="172"/>
      <c r="T310" s="172"/>
      <c r="U310" s="173"/>
    </row>
    <row r="311" spans="1:21" ht="16.95" customHeight="1" x14ac:dyDescent="0.3">
      <c r="A311" s="12" t="str">
        <f t="shared" si="45"/>
        <v>D6X</v>
      </c>
      <c r="C311" s="94">
        <v>4.7619047619047568E-2</v>
      </c>
      <c r="D311" s="12" t="s">
        <v>267</v>
      </c>
      <c r="P311" s="215"/>
      <c r="Q311" s="172"/>
      <c r="R311" s="172"/>
      <c r="S311" s="172"/>
      <c r="T311" s="172"/>
      <c r="U311" s="173"/>
    </row>
    <row r="312" spans="1:21" ht="16.95" customHeight="1" x14ac:dyDescent="0.3">
      <c r="A312" s="12" t="str">
        <f t="shared" si="45"/>
        <v>D6Y</v>
      </c>
      <c r="C312" s="94">
        <v>-0.36869717557710902</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7.1428571428571397E-2</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-0.39250669938663274</v>
      </c>
      <c r="N318" s="14" t="str">
        <f>INDEX(C$248:C$259, MATCH(2, G$248:G$259, 0))</f>
        <v>U1Y</v>
      </c>
      <c r="P318" s="215" t="s">
        <v>391</v>
      </c>
      <c r="Q318" s="172"/>
      <c r="R318" s="172"/>
      <c r="S318" s="172"/>
      <c r="T318" s="172"/>
      <c r="U318" s="173"/>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0.14285714285714285</v>
      </c>
      <c r="N319" s="14" t="str">
        <f>INDEX(C$248:C$259, MATCH(3, G$248:G$259, 0))</f>
        <v>U4Y</v>
      </c>
      <c r="P319" s="215" t="s">
        <v>392</v>
      </c>
      <c r="Q319" s="172"/>
      <c r="R319" s="172"/>
      <c r="S319" s="172"/>
      <c r="T319" s="172"/>
      <c r="U319" s="173"/>
    </row>
    <row r="320" spans="1:21" ht="16.95" customHeight="1" x14ac:dyDescent="0.3">
      <c r="M320" s="95">
        <f t="shared" si="47"/>
        <v>-0.44012574700568041</v>
      </c>
      <c r="P320" s="215" t="s">
        <v>393</v>
      </c>
      <c r="Q320" s="172"/>
      <c r="R320" s="172"/>
      <c r="S320" s="172"/>
      <c r="T320" s="172"/>
      <c r="U320" s="173"/>
    </row>
    <row r="321" spans="1:21" ht="16.95" customHeight="1" x14ac:dyDescent="0.3">
      <c r="M321" s="95">
        <f t="shared" si="47"/>
        <v>0.21428571428571425</v>
      </c>
      <c r="P321" s="215" t="s">
        <v>394</v>
      </c>
      <c r="Q321" s="172"/>
      <c r="R321" s="172"/>
      <c r="S321" s="172"/>
      <c r="T321" s="172"/>
      <c r="U321" s="173"/>
    </row>
    <row r="322" spans="1:21" ht="16.95" customHeight="1" x14ac:dyDescent="0.3">
      <c r="M322" s="95">
        <f t="shared" si="47"/>
        <v>0.11904761904761901</v>
      </c>
      <c r="P322" s="215"/>
      <c r="Q322" s="172"/>
      <c r="R322" s="172"/>
      <c r="S322" s="172"/>
      <c r="T322" s="172"/>
      <c r="U322" s="173"/>
    </row>
    <row r="323" spans="1:21" ht="16.95" customHeight="1" x14ac:dyDescent="0.3">
      <c r="M323" s="95">
        <f t="shared" si="47"/>
        <v>-0.32107812795806129</v>
      </c>
      <c r="P323" s="215"/>
      <c r="Q323" s="172"/>
      <c r="R323" s="172"/>
      <c r="S323" s="172"/>
      <c r="T323" s="172"/>
      <c r="U323" s="173"/>
    </row>
    <row r="324" spans="1:21" ht="16.95" customHeight="1" x14ac:dyDescent="0.3">
      <c r="M324" s="95">
        <f t="shared" si="47"/>
        <v>4.7619047619047568E-2</v>
      </c>
      <c r="P324" s="215"/>
      <c r="Q324" s="172"/>
      <c r="R324" s="172"/>
      <c r="S324" s="172"/>
      <c r="T324" s="172"/>
      <c r="U324" s="173"/>
    </row>
    <row r="325" spans="1:21" ht="16.95" customHeight="1" x14ac:dyDescent="0.3">
      <c r="M325" s="95">
        <f t="shared" si="47"/>
        <v>-0.36869717557710902</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5.4569682106375694E-12</v>
      </c>
      <c r="D327" s="12" t="s">
        <v>273</v>
      </c>
      <c r="P327" s="215"/>
      <c r="Q327" s="172"/>
      <c r="R327" s="172"/>
      <c r="S327" s="172"/>
      <c r="T327" s="172"/>
      <c r="U327" s="173"/>
    </row>
    <row r="328" spans="1:21" ht="16.95" customHeight="1" x14ac:dyDescent="0.3">
      <c r="A328" s="12" t="str">
        <f>A318</f>
        <v>C1Y</v>
      </c>
      <c r="B328" s="13" t="s">
        <v>220</v>
      </c>
      <c r="C328" s="17">
        <v>6000.0000000000018</v>
      </c>
      <c r="D328" s="12" t="s">
        <v>273</v>
      </c>
      <c r="P328" s="215"/>
      <c r="Q328" s="172"/>
      <c r="R328" s="172"/>
      <c r="S328" s="172"/>
      <c r="T328" s="172"/>
      <c r="U328" s="173"/>
    </row>
    <row r="329" spans="1:21" ht="16.95" customHeight="1" x14ac:dyDescent="0.3">
      <c r="A329" s="12" t="str">
        <f>A319</f>
        <v>C4Y</v>
      </c>
      <c r="C329" s="17">
        <v>6000.0000000000036</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7.1428571428571397E-2</v>
      </c>
    </row>
    <row r="337" spans="1:21" ht="19.05" customHeight="1" x14ac:dyDescent="0.3">
      <c r="A337" s="12" t="s">
        <v>231</v>
      </c>
      <c r="B337" s="12" t="s">
        <v>181</v>
      </c>
      <c r="D337" s="94">
        <f t="shared" si="48"/>
        <v>-0.39250669938663274</v>
      </c>
    </row>
    <row r="338" spans="1:21" ht="19.05" customHeight="1" x14ac:dyDescent="0.3">
      <c r="A338" s="12" t="s">
        <v>232</v>
      </c>
      <c r="B338" s="12" t="s">
        <v>182</v>
      </c>
      <c r="D338" s="94">
        <f t="shared" si="48"/>
        <v>0.14285714285714285</v>
      </c>
    </row>
    <row r="339" spans="1:21" ht="19.05" customHeight="1" x14ac:dyDescent="0.3">
      <c r="A339" s="12" t="s">
        <v>234</v>
      </c>
      <c r="B339" s="12" t="s">
        <v>183</v>
      </c>
      <c r="D339" s="94">
        <f t="shared" si="48"/>
        <v>-0.44012574700568041</v>
      </c>
    </row>
    <row r="340" spans="1:21" ht="19.05" customHeight="1" x14ac:dyDescent="0.3">
      <c r="A340" s="12" t="s">
        <v>235</v>
      </c>
      <c r="B340" s="12" t="s">
        <v>184</v>
      </c>
      <c r="D340" s="94">
        <f t="shared" si="48"/>
        <v>0.21428571428571425</v>
      </c>
    </row>
    <row r="341" spans="1:21" ht="19.05" customHeight="1" x14ac:dyDescent="0.3">
      <c r="A341" s="12" t="s">
        <v>236</v>
      </c>
      <c r="B341" s="12" t="s">
        <v>185</v>
      </c>
      <c r="D341" s="94">
        <f t="shared" si="48"/>
        <v>0</v>
      </c>
    </row>
    <row r="342" spans="1:21" ht="19.05" customHeight="1" x14ac:dyDescent="0.3">
      <c r="A342" s="12" t="s">
        <v>237</v>
      </c>
      <c r="B342" s="12" t="s">
        <v>186</v>
      </c>
      <c r="D342" s="94">
        <f t="shared" si="48"/>
        <v>0.11904761904761901</v>
      </c>
    </row>
    <row r="343" spans="1:21" ht="19.05" customHeight="1" x14ac:dyDescent="0.3">
      <c r="A343" s="12" t="s">
        <v>238</v>
      </c>
      <c r="B343" s="12" t="s">
        <v>187</v>
      </c>
      <c r="D343" s="94">
        <f t="shared" si="48"/>
        <v>-0.32107812795806129</v>
      </c>
    </row>
    <row r="344" spans="1:21" ht="19.05" customHeight="1" x14ac:dyDescent="0.3">
      <c r="A344" s="12" t="s">
        <v>239</v>
      </c>
      <c r="B344" s="12" t="s">
        <v>188</v>
      </c>
      <c r="D344" s="94">
        <f t="shared" si="48"/>
        <v>4.7619047619047568E-2</v>
      </c>
    </row>
    <row r="345" spans="1:21" ht="19.05" customHeight="1" x14ac:dyDescent="0.3">
      <c r="A345" s="12" t="s">
        <v>240</v>
      </c>
      <c r="B345" s="12" t="s">
        <v>189</v>
      </c>
      <c r="D345" s="94">
        <f t="shared" si="48"/>
        <v>-0.36869717557710902</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5999.9999999999973</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7.1428571428571397E-2</v>
      </c>
      <c r="H354" s="12" t="str">
        <f>"D" &amp; E18 &amp; "X"</f>
        <v>D2X</v>
      </c>
      <c r="P354" s="215" t="s">
        <v>400</v>
      </c>
      <c r="Q354" s="172"/>
      <c r="R354" s="172"/>
      <c r="S354" s="172"/>
      <c r="T354" s="172"/>
      <c r="U354" s="173"/>
    </row>
    <row r="355" spans="1:21" ht="16.95" customHeight="1" x14ac:dyDescent="0.3">
      <c r="G355" s="96">
        <f>IFERROR(VLOOKUP(H355, A$334:D$345, 4, FALSE), 0)</f>
        <v>-0.39250669938663274</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84000</v>
      </c>
      <c r="C360" s="92">
        <f>-J7</f>
        <v>-1</v>
      </c>
      <c r="D360" s="92">
        <f>-K7</f>
        <v>0</v>
      </c>
      <c r="E360" s="92">
        <f>J7</f>
        <v>1</v>
      </c>
      <c r="F360" s="92">
        <f>K7</f>
        <v>0</v>
      </c>
      <c r="G360" s="96">
        <f>IFERROR(VLOOKUP(H360, A$334:D$345, 4, FALSE), 0)</f>
        <v>7.1428571428571397E-2</v>
      </c>
      <c r="H360" s="12" t="str">
        <f>"D" &amp; C19 &amp; "X"</f>
        <v>D2X</v>
      </c>
      <c r="P360" s="215"/>
      <c r="Q360" s="172"/>
      <c r="R360" s="172"/>
      <c r="S360" s="172"/>
      <c r="T360" s="172"/>
      <c r="U360" s="173"/>
    </row>
    <row r="361" spans="1:21" ht="16.95" customHeight="1" x14ac:dyDescent="0.3">
      <c r="A361" s="99" t="s">
        <v>286</v>
      </c>
      <c r="B361" s="97">
        <f>(MMULT(C360:F360, G360:G363)*A360)</f>
        <v>6000.0000000000018</v>
      </c>
      <c r="G361" s="96">
        <f>IFERROR(VLOOKUP(H361, A$334:D$345, 4, FALSE), 0)</f>
        <v>-0.39250669938663274</v>
      </c>
      <c r="H361" s="12" t="str">
        <f>"D" &amp; D19 &amp; "Y"</f>
        <v>D2Y</v>
      </c>
      <c r="P361" s="215"/>
      <c r="Q361" s="172"/>
      <c r="R361" s="172"/>
      <c r="S361" s="172"/>
      <c r="T361" s="172"/>
      <c r="U361" s="173"/>
    </row>
    <row r="362" spans="1:21" ht="16.95" customHeight="1" x14ac:dyDescent="0.3">
      <c r="G362" s="96">
        <f>IFERROR(VLOOKUP(H362, A$334:D$345, 4, FALSE), 0)</f>
        <v>0.14285714285714285</v>
      </c>
      <c r="H362" s="12" t="str">
        <f>"D" &amp; E19 &amp; "X"</f>
        <v>D3X</v>
      </c>
      <c r="P362" s="215"/>
      <c r="Q362" s="172"/>
      <c r="R362" s="172"/>
      <c r="S362" s="172"/>
      <c r="T362" s="172"/>
      <c r="U362" s="173"/>
    </row>
    <row r="363" spans="1:21" ht="16.95" customHeight="1" x14ac:dyDescent="0.3">
      <c r="G363" s="96">
        <f>IFERROR(VLOOKUP(H363, A$334:D$345, 4, FALSE), 0)</f>
        <v>-0.44012574700568041</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84000</v>
      </c>
      <c r="C368" s="92">
        <f>-J8</f>
        <v>-1</v>
      </c>
      <c r="D368" s="92">
        <f>-K8</f>
        <v>0</v>
      </c>
      <c r="E368" s="92">
        <f>J8</f>
        <v>1</v>
      </c>
      <c r="F368" s="92">
        <f>K8</f>
        <v>0</v>
      </c>
      <c r="G368" s="96">
        <f>IFERROR(VLOOKUP(H368, A$334:D$345, 4, FALSE), 0)</f>
        <v>0.14285714285714285</v>
      </c>
      <c r="H368" s="12" t="str">
        <f>"D" &amp; C20 &amp; "X"</f>
        <v>D3X</v>
      </c>
      <c r="P368" s="215"/>
      <c r="Q368" s="172"/>
      <c r="R368" s="172"/>
      <c r="S368" s="172"/>
      <c r="T368" s="172"/>
      <c r="U368" s="173"/>
    </row>
    <row r="369" spans="1:21" ht="16.95" customHeight="1" x14ac:dyDescent="0.3">
      <c r="A369" s="99" t="s">
        <v>287</v>
      </c>
      <c r="B369" s="97">
        <f>(MMULT(C368:F368, G368:G371)*A368)</f>
        <v>5999.9999999999973</v>
      </c>
      <c r="G369" s="96">
        <f>IFERROR(VLOOKUP(H369, A$334:D$345, 4, FALSE), 0)</f>
        <v>-0.44012574700568041</v>
      </c>
      <c r="H369" s="12" t="str">
        <f>"D" &amp; D20 &amp; "Y"</f>
        <v>D3Y</v>
      </c>
      <c r="P369" s="215"/>
      <c r="Q369" s="172"/>
      <c r="R369" s="172"/>
      <c r="S369" s="172"/>
      <c r="T369" s="172"/>
      <c r="U369" s="173"/>
    </row>
    <row r="370" spans="1:21" ht="16.95" customHeight="1" x14ac:dyDescent="0.3">
      <c r="G370" s="96">
        <f>IFERROR(VLOOKUP(H370, A$334:D$345, 4, FALSE), 0)</f>
        <v>0.21428571428571425</v>
      </c>
      <c r="H370" s="12" t="str">
        <f>"D" &amp; E20 &amp; "X"</f>
        <v>D4X</v>
      </c>
      <c r="P370" s="215"/>
      <c r="Q370" s="172"/>
      <c r="R370" s="172"/>
      <c r="S370" s="172"/>
      <c r="T370" s="172"/>
      <c r="U370" s="173"/>
    </row>
    <row r="371" spans="1:21" ht="16.95" customHeight="1" x14ac:dyDescent="0.3">
      <c r="G371" s="96">
        <f>IFERROR(VLOOKUP(H371, A$334:D$345, 4, FALSE), 0)</f>
        <v>0</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TRACCIÓN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0.11904761904761901</v>
      </c>
      <c r="H376" s="12" t="str">
        <f>"D" &amp; C21 &amp; "X"</f>
        <v>D5X</v>
      </c>
    </row>
    <row r="377" spans="1:21" ht="19.95" customHeight="1" x14ac:dyDescent="0.3">
      <c r="A377" s="99" t="s">
        <v>288</v>
      </c>
      <c r="B377" s="97">
        <f>(MMULT(C376:F376, G376:G379)*A376)</f>
        <v>-6000.0000000000018</v>
      </c>
      <c r="G377" s="96">
        <f>IFERROR(VLOOKUP(H377, A$334:D$345, 4, FALSE), 0)</f>
        <v>-0.32107812795806129</v>
      </c>
      <c r="H377" s="12" t="str">
        <f>"D" &amp; D21 &amp; "Y"</f>
        <v>D5Y</v>
      </c>
    </row>
    <row r="378" spans="1:21" ht="19.95" customHeight="1" x14ac:dyDescent="0.3">
      <c r="G378" s="96">
        <f>IFERROR(VLOOKUP(H378, A$334:D$345, 4, FALSE), 0)</f>
        <v>4.7619047619047568E-2</v>
      </c>
      <c r="H378" s="12" t="str">
        <f>"D" &amp; E21 &amp; "X"</f>
        <v>D6X</v>
      </c>
    </row>
    <row r="379" spans="1:21" ht="19.95" customHeight="1" x14ac:dyDescent="0.3">
      <c r="G379" s="96">
        <f>IFERROR(VLOOKUP(H379, A$334:D$345, 4, FALSE), 0)</f>
        <v>-0.36869717557710902</v>
      </c>
      <c r="H379" s="12" t="str">
        <f>"D" &amp; F21 &amp; "Y"</f>
        <v>D6Y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59396.969619669988</v>
      </c>
      <c r="C384" s="92">
        <f>-J10</f>
        <v>-0.70710678118654746</v>
      </c>
      <c r="D384" s="92">
        <f>-K10</f>
        <v>-0.70710678118654746</v>
      </c>
      <c r="E384" s="92">
        <f>J10</f>
        <v>0.70710678118654746</v>
      </c>
      <c r="F384" s="92">
        <f>K10</f>
        <v>0.70710678118654746</v>
      </c>
      <c r="G384" s="96">
        <f>IFERROR(VLOOKUP(H384, A$334:D$345, 4, FALSE), 0)</f>
        <v>0</v>
      </c>
      <c r="H384" s="12" t="str">
        <f>"D" &amp; C22 &amp; "X"</f>
        <v>D1X</v>
      </c>
    </row>
    <row r="385" spans="1:8" ht="19.95" customHeight="1" x14ac:dyDescent="0.3">
      <c r="A385" s="99" t="s">
        <v>289</v>
      </c>
      <c r="B385" s="97">
        <f>(MMULT(C384:F384, G384:G387)*A384)</f>
        <v>-8485.2813742385733</v>
      </c>
      <c r="G385" s="96">
        <f>IFERROR(VLOOKUP(H385, A$334:D$345, 4, FALSE), 0)</f>
        <v>0</v>
      </c>
      <c r="H385" s="12" t="str">
        <f>"D" &amp; D22 &amp; "Y"</f>
        <v>D1Y</v>
      </c>
    </row>
    <row r="386" spans="1:8" ht="19.95" customHeight="1" x14ac:dyDescent="0.3">
      <c r="G386" s="96">
        <f>IFERROR(VLOOKUP(H386, A$334:D$345, 4, FALSE), 0)</f>
        <v>0.11904761904761901</v>
      </c>
      <c r="H386" s="12" t="str">
        <f>"D" &amp; E22 &amp; "X"</f>
        <v>D5X</v>
      </c>
    </row>
    <row r="387" spans="1:8" ht="19.95" customHeight="1" x14ac:dyDescent="0.3">
      <c r="G387" s="96">
        <f>IFERROR(VLOOKUP(H387, A$334:D$345, 4, FALSE), 0)</f>
        <v>-0.32107812795806129</v>
      </c>
      <c r="H387" s="12" t="str">
        <f>"D" &amp; F22 &amp; "Y"</f>
        <v>D5Y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84000</v>
      </c>
      <c r="C392" s="92">
        <f>-J11</f>
        <v>0</v>
      </c>
      <c r="D392" s="92">
        <f>-K11</f>
        <v>1</v>
      </c>
      <c r="E392" s="92">
        <f>J11</f>
        <v>0</v>
      </c>
      <c r="F392" s="92">
        <f>K11</f>
        <v>-1</v>
      </c>
      <c r="G392" s="96">
        <f>IFERROR(VLOOKUP(H392, A$334:D$345, 4, FALSE), 0)</f>
        <v>0.11904761904761901</v>
      </c>
      <c r="H392" s="12" t="str">
        <f>"D" &amp; C23 &amp; "X"</f>
        <v>D5X</v>
      </c>
    </row>
    <row r="393" spans="1:8" ht="19.95" customHeight="1" x14ac:dyDescent="0.3">
      <c r="A393" s="99" t="s">
        <v>290</v>
      </c>
      <c r="B393" s="97">
        <f>(MMULT(C392:F392, G392:G395)*A392)</f>
        <v>6000.0000000000018</v>
      </c>
      <c r="G393" s="96">
        <f>IFERROR(VLOOKUP(H393, A$334:D$345, 4, FALSE), 0)</f>
        <v>-0.32107812795806129</v>
      </c>
      <c r="H393" s="12" t="str">
        <f>"D" &amp; D23 &amp; "Y"</f>
        <v>D5Y</v>
      </c>
    </row>
    <row r="394" spans="1:8" ht="19.95" customHeight="1" x14ac:dyDescent="0.3">
      <c r="G394" s="96">
        <f>IFERROR(VLOOKUP(H394, A$334:D$345, 4, FALSE), 0)</f>
        <v>7.1428571428571397E-2</v>
      </c>
      <c r="H394" s="12" t="str">
        <f>"D" &amp; E23 &amp; "X"</f>
        <v>D2X</v>
      </c>
    </row>
    <row r="395" spans="1:8" ht="19.95" customHeight="1" x14ac:dyDescent="0.3">
      <c r="G395" s="96">
        <f>IFERROR(VLOOKUP(H395, A$334:D$345, 4, FALSE), 0)</f>
        <v>-0.39250669938663274</v>
      </c>
      <c r="H395" s="12" t="str">
        <f>"D" &amp; F23 &amp; "Y"</f>
        <v>D2Y</v>
      </c>
    </row>
    <row r="396" spans="1:8" ht="19.95" customHeight="1" x14ac:dyDescent="0.3">
      <c r="B396" s="99" t="s">
        <v>273</v>
      </c>
      <c r="C396" s="178" t="str">
        <f>IF(B393&gt;0.001,"BARRA A TRACCIÓN (+)",IF(B393&lt;-0.001,"BARRA A COMPRESIÓN (-)","BARRA DE FUERZA NULA"))</f>
        <v>BARRA A TRACCIÓN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59396.969619669988</v>
      </c>
      <c r="C400" s="92">
        <f>-J12</f>
        <v>-0.70710678118654746</v>
      </c>
      <c r="D400" s="92">
        <f>-K12</f>
        <v>-0.70710678118654746</v>
      </c>
      <c r="E400" s="92">
        <f>J12</f>
        <v>0.70710678118654746</v>
      </c>
      <c r="F400" s="92">
        <f>K12</f>
        <v>0.70710678118654746</v>
      </c>
      <c r="G400" s="96">
        <f>IFERROR(VLOOKUP(H400, A$334:D$345, 4, FALSE), 0)</f>
        <v>7.1428571428571397E-2</v>
      </c>
      <c r="H400" s="12" t="str">
        <f>"D" &amp; C24 &amp; "X"</f>
        <v>D2X</v>
      </c>
    </row>
    <row r="401" spans="1:8" ht="19.95" customHeight="1" x14ac:dyDescent="0.3">
      <c r="A401" s="99" t="s">
        <v>291</v>
      </c>
      <c r="B401" s="97">
        <f>(MMULT(C400:F400, G400:G403)*A400)</f>
        <v>-6.5943883264718548E-12</v>
      </c>
      <c r="G401" s="96">
        <f>IFERROR(VLOOKUP(H401, A$334:D$345, 4, FALSE), 0)</f>
        <v>-0.39250669938663274</v>
      </c>
      <c r="H401" s="12" t="str">
        <f>"D" &amp; D24 &amp; "Y"</f>
        <v>D2Y</v>
      </c>
    </row>
    <row r="402" spans="1:8" ht="19.95" customHeight="1" x14ac:dyDescent="0.3">
      <c r="G402" s="96">
        <f>IFERROR(VLOOKUP(H402, A$334:D$345, 4, FALSE), 0)</f>
        <v>4.7619047619047568E-2</v>
      </c>
      <c r="H402" s="12" t="str">
        <f>"D" &amp; E24 &amp; "X"</f>
        <v>D6X</v>
      </c>
    </row>
    <row r="403" spans="1:8" ht="19.95" customHeight="1" x14ac:dyDescent="0.3">
      <c r="G403" s="96">
        <f>IFERROR(VLOOKUP(H403, A$334:D$345, 4, FALSE), 0)</f>
        <v>-0.36869717557710902</v>
      </c>
      <c r="H403" s="12" t="str">
        <f>"D" &amp; F24 &amp; "Y"</f>
        <v>D6Y</v>
      </c>
    </row>
    <row r="404" spans="1:8" ht="19.95" customHeight="1" x14ac:dyDescent="0.3">
      <c r="B404" s="99" t="s">
        <v>273</v>
      </c>
      <c r="C404" s="178" t="str">
        <f>IF(B401&gt;0.001,"BARRA A TRACCIÓN (+)",IF(B401&lt;-0.001,"BARRA A COMPRESIÓN (-)","BARRA DE FUERZA NULA"))</f>
        <v>BARRA DE FUERZA NULA</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84000</v>
      </c>
      <c r="C408" s="92">
        <f>-J13</f>
        <v>0</v>
      </c>
      <c r="D408" s="92">
        <f>-K13</f>
        <v>1</v>
      </c>
      <c r="E408" s="92">
        <f>J13</f>
        <v>0</v>
      </c>
      <c r="F408" s="92">
        <f>K13</f>
        <v>-1</v>
      </c>
      <c r="G408" s="96">
        <f>IFERROR(VLOOKUP(H408, A$334:D$345, 4, FALSE), 0)</f>
        <v>4.7619047619047568E-2</v>
      </c>
      <c r="H408" s="12" t="str">
        <f>"D" &amp; C25 &amp; "X"</f>
        <v>D6X</v>
      </c>
    </row>
    <row r="409" spans="1:8" ht="19.95" customHeight="1" x14ac:dyDescent="0.3">
      <c r="A409" s="99" t="s">
        <v>292</v>
      </c>
      <c r="B409" s="97">
        <f>(MMULT(C408:F408, G408:G411)*A408)</f>
        <v>5999.9999999999973</v>
      </c>
      <c r="G409" s="96">
        <f>IFERROR(VLOOKUP(H409, A$334:D$345, 4, FALSE), 0)</f>
        <v>-0.36869717557710902</v>
      </c>
      <c r="H409" s="12" t="str">
        <f>"D" &amp; D25 &amp; "Y"</f>
        <v>D6Y</v>
      </c>
    </row>
    <row r="410" spans="1:8" ht="19.95" customHeight="1" x14ac:dyDescent="0.3">
      <c r="G410" s="96">
        <f>IFERROR(VLOOKUP(H410, A$334:D$345, 4, FALSE), 0)</f>
        <v>0.14285714285714285</v>
      </c>
      <c r="H410" s="12" t="str">
        <f>"D" &amp; E25 &amp; "X"</f>
        <v>D3X</v>
      </c>
    </row>
    <row r="411" spans="1:8" ht="19.95" customHeight="1" x14ac:dyDescent="0.3">
      <c r="G411" s="96">
        <f>IFERROR(VLOOKUP(H411, A$334:D$345, 4, FALSE), 0)</f>
        <v>-0.44012574700568041</v>
      </c>
      <c r="H411" s="12" t="str">
        <f>"D" &amp; F25 &amp; "Y"</f>
        <v>D3Y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4.7619047619047568E-2</v>
      </c>
      <c r="H416" s="12" t="str">
        <f>"D" &amp; C26 &amp; "X"</f>
        <v>D6X</v>
      </c>
    </row>
    <row r="417" spans="1:8" ht="19.95" customHeight="1" x14ac:dyDescent="0.3">
      <c r="A417" s="99" t="s">
        <v>530</v>
      </c>
      <c r="B417" s="97">
        <f>(MMULT(C416:F416, G416:G419)*A416)</f>
        <v>-8485.2813742385788</v>
      </c>
      <c r="G417" s="96">
        <f>IFERROR(VLOOKUP(H417, A$334:D$345, 4, FALSE), 0)</f>
        <v>-0.36869717557710902</v>
      </c>
      <c r="H417" s="12" t="str">
        <f>"D" &amp; D26 &amp; "Y"</f>
        <v>D6Y</v>
      </c>
    </row>
    <row r="418" spans="1:8" ht="19.95" customHeight="1" x14ac:dyDescent="0.3">
      <c r="G418" s="96">
        <f>IFERROR(VLOOKUP(H418, A$334:D$345, 4, FALSE), 0)</f>
        <v>0.21428571428571425</v>
      </c>
      <c r="H418" s="12" t="str">
        <f>"D" &amp; E26 &amp; "X"</f>
        <v>D4X</v>
      </c>
    </row>
    <row r="419" spans="1:8" ht="19.95" customHeight="1" x14ac:dyDescent="0.3">
      <c r="G419" s="96">
        <f>IFERROR(VLOOKUP(H419, A$334:D$345, 4, FALSE), 0)</f>
        <v>0</v>
      </c>
      <c r="H419" s="12" t="str">
        <f>"D" &amp; F26 &amp; "Y"</f>
        <v>D4Y</v>
      </c>
    </row>
    <row r="420" spans="1:8" ht="19.95" customHeight="1" x14ac:dyDescent="0.3">
      <c r="B420" s="99" t="s">
        <v>273</v>
      </c>
      <c r="C420" s="178" t="str">
        <f>IF(B417&gt;0.001,"BARRA A TRACCIÓN (+)",IF(B417&lt;-0.001,"BARRA A COMPRESIÓN (-)","BARRA DE FUERZA NULA"))</f>
        <v>BARRA A COMPRESIÓN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5999.9999999999973</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6000.0000000000018</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5999.9999999999973</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-6000.0000000000018</v>
      </c>
      <c r="H428" s="84" t="str">
        <f>C380</f>
        <v>BARRA A COMPRESIÓN (-)</v>
      </c>
    </row>
    <row r="429" spans="1:8" ht="19.95" customHeight="1" x14ac:dyDescent="0.3">
      <c r="B429" s="44">
        <v>5</v>
      </c>
      <c r="C429" s="86">
        <f t="shared" si="49"/>
        <v>1</v>
      </c>
      <c r="D429" s="86">
        <f t="shared" si="50"/>
        <v>5</v>
      </c>
      <c r="E429" s="9">
        <f t="shared" si="51"/>
        <v>424.26406871192853</v>
      </c>
      <c r="F429" s="9">
        <f t="shared" si="52"/>
        <v>12</v>
      </c>
      <c r="G429" s="97">
        <f>B385</f>
        <v>-8485.2813742385733</v>
      </c>
      <c r="H429" s="84" t="str">
        <f>C388</f>
        <v>BARRA A COMPRESIÓN (-)</v>
      </c>
    </row>
    <row r="430" spans="1:8" ht="19.95" customHeight="1" x14ac:dyDescent="0.3">
      <c r="B430" s="51">
        <v>6</v>
      </c>
      <c r="C430" s="86">
        <f t="shared" si="49"/>
        <v>5</v>
      </c>
      <c r="D430" s="86">
        <f t="shared" si="50"/>
        <v>2</v>
      </c>
      <c r="E430" s="9">
        <f t="shared" si="51"/>
        <v>300</v>
      </c>
      <c r="F430" s="9">
        <f t="shared" si="52"/>
        <v>12</v>
      </c>
      <c r="G430" s="97">
        <f>B393</f>
        <v>6000.0000000000018</v>
      </c>
      <c r="H430" s="84" t="str">
        <f>C396</f>
        <v>BARRA A TRACCIÓN (+)</v>
      </c>
    </row>
    <row r="431" spans="1:8" ht="19.95" customHeight="1" x14ac:dyDescent="0.3">
      <c r="B431" s="52">
        <v>7</v>
      </c>
      <c r="C431" s="86">
        <f t="shared" si="49"/>
        <v>2</v>
      </c>
      <c r="D431" s="86">
        <f t="shared" si="50"/>
        <v>6</v>
      </c>
      <c r="E431" s="9">
        <f t="shared" si="51"/>
        <v>424.26406871192853</v>
      </c>
      <c r="F431" s="9">
        <f t="shared" si="52"/>
        <v>12</v>
      </c>
      <c r="G431" s="97">
        <f>B401</f>
        <v>-6.5943883264718548E-12</v>
      </c>
      <c r="H431" s="84" t="str">
        <f>C404</f>
        <v>BARRA DE FUERZA NULA</v>
      </c>
    </row>
    <row r="432" spans="1:8" ht="19.95" customHeight="1" x14ac:dyDescent="0.3">
      <c r="B432" s="59">
        <v>8</v>
      </c>
      <c r="C432" s="86">
        <f t="shared" si="49"/>
        <v>6</v>
      </c>
      <c r="D432" s="86">
        <f t="shared" si="50"/>
        <v>3</v>
      </c>
      <c r="E432" s="9">
        <f t="shared" si="51"/>
        <v>300</v>
      </c>
      <c r="F432" s="9">
        <f t="shared" si="52"/>
        <v>12</v>
      </c>
      <c r="G432" s="97">
        <f>B409</f>
        <v>5999.9999999999973</v>
      </c>
      <c r="H432" s="84" t="str">
        <f>C412</f>
        <v>BARRA A TRACCIÓN (+)</v>
      </c>
    </row>
    <row r="433" spans="2:8" ht="19.95" customHeight="1" x14ac:dyDescent="0.3">
      <c r="B433" s="60">
        <v>9</v>
      </c>
      <c r="C433" s="86">
        <f t="shared" si="49"/>
        <v>6</v>
      </c>
      <c r="D433" s="86">
        <f t="shared" si="50"/>
        <v>4</v>
      </c>
      <c r="E433" s="9">
        <f t="shared" si="51"/>
        <v>424.26406871192853</v>
      </c>
      <c r="F433" s="9">
        <f t="shared" si="52"/>
        <v>12</v>
      </c>
      <c r="G433" s="97">
        <f>B417</f>
        <v>-8485.2813742385788</v>
      </c>
      <c r="H433" s="84" t="str">
        <f>C420</f>
        <v>BARRA A COMPRESIÓN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531</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-7000</v>
      </c>
      <c r="J15" s="205" t="s">
        <v>532</v>
      </c>
      <c r="K15" s="172"/>
      <c r="L15" s="172"/>
      <c r="M15" s="172"/>
      <c r="N15" s="172"/>
      <c r="O15" s="173"/>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-7000</v>
      </c>
      <c r="J16" s="205" t="s">
        <v>532</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435</v>
      </c>
      <c r="K17" s="172"/>
      <c r="L17" s="172"/>
      <c r="M17" s="172"/>
      <c r="N17" s="172"/>
      <c r="O17" s="173"/>
      <c r="AA17" s="20">
        <f>IF(E32="","",E32)</f>
        <v>300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205" t="s">
        <v>525</v>
      </c>
      <c r="K18" s="172"/>
      <c r="L18" s="172"/>
      <c r="M18" s="172"/>
      <c r="N18" s="172"/>
      <c r="O18" s="173"/>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205" t="s">
        <v>526</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600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0</v>
      </c>
      <c r="AB23" s="20">
        <f>IF(F34="","",F34)</f>
        <v>0</v>
      </c>
      <c r="AC23" t="s">
        <v>338</v>
      </c>
    </row>
    <row r="24" spans="2:29" x14ac:dyDescent="0.3">
      <c r="AA24" s="20">
        <f>IF(G34="","",G34)</f>
        <v>300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900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300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2</v>
      </c>
      <c r="D32" s="23">
        <v>5</v>
      </c>
      <c r="E32" s="5">
        <f t="shared" si="2"/>
        <v>300</v>
      </c>
      <c r="F32" s="5">
        <f t="shared" si="3"/>
        <v>0</v>
      </c>
      <c r="G32" s="5">
        <f t="shared" si="4"/>
        <v>300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3</v>
      </c>
      <c r="D33" s="23">
        <v>6</v>
      </c>
      <c r="E33" s="5">
        <f t="shared" si="2"/>
        <v>600</v>
      </c>
      <c r="F33" s="5">
        <f t="shared" si="3"/>
        <v>0</v>
      </c>
      <c r="G33" s="5">
        <f t="shared" si="4"/>
        <v>600</v>
      </c>
      <c r="H33" s="5">
        <f t="shared" si="5"/>
        <v>300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1</v>
      </c>
      <c r="D34" s="23">
        <v>5</v>
      </c>
      <c r="E34" s="5">
        <f t="shared" si="2"/>
        <v>0</v>
      </c>
      <c r="F34" s="5">
        <f t="shared" si="3"/>
        <v>0</v>
      </c>
      <c r="G34" s="5">
        <f t="shared" si="4"/>
        <v>300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4</v>
      </c>
      <c r="D35" s="23">
        <v>6</v>
      </c>
      <c r="E35" s="5">
        <f t="shared" si="2"/>
        <v>900</v>
      </c>
      <c r="F35" s="5">
        <f t="shared" si="3"/>
        <v>0</v>
      </c>
      <c r="G35" s="5">
        <f t="shared" si="4"/>
        <v>600</v>
      </c>
      <c r="H35" s="5">
        <f t="shared" si="5"/>
        <v>300</v>
      </c>
      <c r="I35" s="9">
        <f t="shared" si="6"/>
        <v>-300</v>
      </c>
      <c r="J35" s="9">
        <f t="shared" si="7"/>
        <v>300</v>
      </c>
      <c r="K35" s="9">
        <f t="shared" si="8"/>
        <v>424.26406871192853</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v>2</v>
      </c>
      <c r="D36" s="23">
        <v>6</v>
      </c>
      <c r="E36" s="5">
        <f t="shared" si="2"/>
        <v>300</v>
      </c>
      <c r="F36" s="5">
        <f t="shared" si="3"/>
        <v>0</v>
      </c>
      <c r="G36" s="5">
        <f t="shared" si="4"/>
        <v>600</v>
      </c>
      <c r="H36" s="5">
        <f t="shared" si="5"/>
        <v>300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700-000000000000}">
      <formula1>"Fijo (articulado),Rodillo Y (despl. X libre),Rodillo X (despl. Y libre),Libre (0 reac.)"</formula1>
    </dataValidation>
  </dataValidations>
  <pageMargins left="0.75" right="0.75" top="1" bottom="1" header="0.5" footer="0.5"/>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533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GRAFICA_27!E28</f>
        <v>0</v>
      </c>
      <c r="D6" s="22">
        <f>GRAFICA_27!F28</f>
        <v>0</v>
      </c>
      <c r="E6" s="22">
        <f>GRAFICA_27!G28</f>
        <v>300</v>
      </c>
      <c r="F6" s="22">
        <f>GRAFICA_27!H28</f>
        <v>0</v>
      </c>
      <c r="G6" s="9">
        <f t="shared" ref="G6:G14" si="0">E6-C6</f>
        <v>300</v>
      </c>
      <c r="H6" s="9">
        <f t="shared" ref="H6:H14" si="1">F6-D6</f>
        <v>0</v>
      </c>
      <c r="I6" s="9">
        <f t="shared" ref="I6:I14" si="2">SQRT(G6*G6+H6*H6)</f>
        <v>300</v>
      </c>
      <c r="J6" s="92">
        <f t="shared" ref="J6:J14" si="3">G6/I6</f>
        <v>1</v>
      </c>
      <c r="K6" s="92">
        <f t="shared" ref="K6:K14" si="4">H6/I6</f>
        <v>0</v>
      </c>
      <c r="L6" s="22">
        <f>GRAFICA_27!N28</f>
        <v>12</v>
      </c>
      <c r="M6" s="22">
        <f>GRAFICA_27!O28</f>
        <v>2100000</v>
      </c>
      <c r="N6" s="6">
        <f t="shared" ref="N6:N14" si="5">L6*M6/I6</f>
        <v>84000</v>
      </c>
    </row>
    <row r="7" spans="2:14" ht="19.05" customHeight="1" x14ac:dyDescent="0.3">
      <c r="B7" s="25">
        <v>2</v>
      </c>
      <c r="C7" s="22">
        <f>GRAFICA_27!E29</f>
        <v>300</v>
      </c>
      <c r="D7" s="22">
        <f>GRAFICA_27!F29</f>
        <v>0</v>
      </c>
      <c r="E7" s="22">
        <f>GRAFICA_27!G29</f>
        <v>600</v>
      </c>
      <c r="F7" s="22">
        <f>GRAFICA_27!H29</f>
        <v>0</v>
      </c>
      <c r="G7" s="9">
        <f t="shared" si="0"/>
        <v>300</v>
      </c>
      <c r="H7" s="9">
        <f t="shared" si="1"/>
        <v>0</v>
      </c>
      <c r="I7" s="9">
        <f t="shared" si="2"/>
        <v>300</v>
      </c>
      <c r="J7" s="92">
        <f t="shared" si="3"/>
        <v>1</v>
      </c>
      <c r="K7" s="92">
        <f t="shared" si="4"/>
        <v>0</v>
      </c>
      <c r="L7" s="22">
        <f>GRAFICA_27!N29</f>
        <v>12</v>
      </c>
      <c r="M7" s="22">
        <f>GRAFICA_27!O29</f>
        <v>2100000</v>
      </c>
      <c r="N7" s="6">
        <f t="shared" si="5"/>
        <v>84000</v>
      </c>
    </row>
    <row r="8" spans="2:14" ht="19.05" customHeight="1" x14ac:dyDescent="0.3">
      <c r="B8" s="26">
        <v>3</v>
      </c>
      <c r="C8" s="22">
        <f>GRAFICA_27!E30</f>
        <v>600</v>
      </c>
      <c r="D8" s="22">
        <f>GRAFICA_27!F30</f>
        <v>0</v>
      </c>
      <c r="E8" s="22">
        <f>GRAFICA_27!G30</f>
        <v>900</v>
      </c>
      <c r="F8" s="22">
        <f>GRAFICA_27!H30</f>
        <v>0</v>
      </c>
      <c r="G8" s="9">
        <f t="shared" si="0"/>
        <v>300</v>
      </c>
      <c r="H8" s="9">
        <f t="shared" si="1"/>
        <v>0</v>
      </c>
      <c r="I8" s="9">
        <f t="shared" si="2"/>
        <v>300</v>
      </c>
      <c r="J8" s="92">
        <f t="shared" si="3"/>
        <v>1</v>
      </c>
      <c r="K8" s="92">
        <f t="shared" si="4"/>
        <v>0</v>
      </c>
      <c r="L8" s="22">
        <f>GRAFICA_27!N30</f>
        <v>12</v>
      </c>
      <c r="M8" s="22">
        <f>GRAFICA_27!O30</f>
        <v>2100000</v>
      </c>
      <c r="N8" s="6">
        <f t="shared" si="5"/>
        <v>84000</v>
      </c>
    </row>
    <row r="9" spans="2:14" ht="19.05" customHeight="1" x14ac:dyDescent="0.3">
      <c r="B9" s="43">
        <v>4</v>
      </c>
      <c r="C9" s="22">
        <f>GRAFICA_27!E31</f>
        <v>300</v>
      </c>
      <c r="D9" s="22">
        <f>GRAFICA_27!F31</f>
        <v>300</v>
      </c>
      <c r="E9" s="22">
        <f>GRAFICA_27!G31</f>
        <v>600</v>
      </c>
      <c r="F9" s="22">
        <f>GRAFICA_27!H31</f>
        <v>300</v>
      </c>
      <c r="G9" s="9">
        <f t="shared" si="0"/>
        <v>300</v>
      </c>
      <c r="H9" s="9">
        <f t="shared" si="1"/>
        <v>0</v>
      </c>
      <c r="I9" s="9">
        <f t="shared" si="2"/>
        <v>300</v>
      </c>
      <c r="J9" s="92">
        <f t="shared" si="3"/>
        <v>1</v>
      </c>
      <c r="K9" s="92">
        <f t="shared" si="4"/>
        <v>0</v>
      </c>
      <c r="L9" s="22">
        <f>GRAFICA_27!N31</f>
        <v>12</v>
      </c>
      <c r="M9" s="22">
        <f>GRAFICA_27!O31</f>
        <v>2100000</v>
      </c>
      <c r="N9" s="6">
        <f t="shared" si="5"/>
        <v>84000</v>
      </c>
    </row>
    <row r="10" spans="2:14" ht="19.05" customHeight="1" x14ac:dyDescent="0.3">
      <c r="B10" s="44">
        <v>5</v>
      </c>
      <c r="C10" s="22">
        <f>GRAFICA_27!E32</f>
        <v>300</v>
      </c>
      <c r="D10" s="22">
        <f>GRAFICA_27!F32</f>
        <v>0</v>
      </c>
      <c r="E10" s="22">
        <f>GRAFICA_27!G32</f>
        <v>300</v>
      </c>
      <c r="F10" s="22">
        <f>GRAFICA_27!H32</f>
        <v>300</v>
      </c>
      <c r="G10" s="9">
        <f t="shared" si="0"/>
        <v>0</v>
      </c>
      <c r="H10" s="9">
        <f t="shared" si="1"/>
        <v>300</v>
      </c>
      <c r="I10" s="9">
        <f t="shared" si="2"/>
        <v>300</v>
      </c>
      <c r="J10" s="92">
        <f t="shared" si="3"/>
        <v>0</v>
      </c>
      <c r="K10" s="92">
        <f t="shared" si="4"/>
        <v>1</v>
      </c>
      <c r="L10" s="22">
        <f>GRAFICA_27!N32</f>
        <v>12</v>
      </c>
      <c r="M10" s="22">
        <f>GRAFICA_27!O32</f>
        <v>2100000</v>
      </c>
      <c r="N10" s="6">
        <f t="shared" si="5"/>
        <v>84000</v>
      </c>
    </row>
    <row r="11" spans="2:14" ht="19.05" customHeight="1" x14ac:dyDescent="0.3">
      <c r="B11" s="51">
        <v>6</v>
      </c>
      <c r="C11" s="22">
        <f>GRAFICA_27!E33</f>
        <v>600</v>
      </c>
      <c r="D11" s="22">
        <f>GRAFICA_27!F33</f>
        <v>0</v>
      </c>
      <c r="E11" s="22">
        <f>GRAFICA_27!G33</f>
        <v>600</v>
      </c>
      <c r="F11" s="22">
        <f>GRAFICA_27!H33</f>
        <v>300</v>
      </c>
      <c r="G11" s="9">
        <f t="shared" si="0"/>
        <v>0</v>
      </c>
      <c r="H11" s="9">
        <f t="shared" si="1"/>
        <v>300</v>
      </c>
      <c r="I11" s="9">
        <f t="shared" si="2"/>
        <v>300</v>
      </c>
      <c r="J11" s="92">
        <f t="shared" si="3"/>
        <v>0</v>
      </c>
      <c r="K11" s="92">
        <f t="shared" si="4"/>
        <v>1</v>
      </c>
      <c r="L11" s="22">
        <f>GRAFICA_27!N33</f>
        <v>12</v>
      </c>
      <c r="M11" s="22">
        <f>GRAFICA_27!O33</f>
        <v>2100000</v>
      </c>
      <c r="N11" s="6">
        <f t="shared" si="5"/>
        <v>84000</v>
      </c>
    </row>
    <row r="12" spans="2:14" ht="19.05" customHeight="1" x14ac:dyDescent="0.3">
      <c r="B12" s="52">
        <v>7</v>
      </c>
      <c r="C12" s="22">
        <f>GRAFICA_27!E34</f>
        <v>0</v>
      </c>
      <c r="D12" s="22">
        <f>GRAFICA_27!F34</f>
        <v>0</v>
      </c>
      <c r="E12" s="22">
        <f>GRAFICA_27!G34</f>
        <v>300</v>
      </c>
      <c r="F12" s="22">
        <f>GRAFICA_27!H34</f>
        <v>300</v>
      </c>
      <c r="G12" s="9">
        <f t="shared" si="0"/>
        <v>300</v>
      </c>
      <c r="H12" s="9">
        <f t="shared" si="1"/>
        <v>300</v>
      </c>
      <c r="I12" s="9">
        <f t="shared" si="2"/>
        <v>424.26406871192853</v>
      </c>
      <c r="J12" s="92">
        <f t="shared" si="3"/>
        <v>0.70710678118654746</v>
      </c>
      <c r="K12" s="92">
        <f t="shared" si="4"/>
        <v>0.70710678118654746</v>
      </c>
      <c r="L12" s="22">
        <f>GRAFICA_27!N34</f>
        <v>12</v>
      </c>
      <c r="M12" s="22">
        <f>GRAFICA_27!O34</f>
        <v>2100000</v>
      </c>
      <c r="N12" s="6">
        <f t="shared" si="5"/>
        <v>59396.969619669988</v>
      </c>
    </row>
    <row r="13" spans="2:14" ht="19.05" customHeight="1" x14ac:dyDescent="0.3">
      <c r="B13" s="59">
        <v>8</v>
      </c>
      <c r="C13" s="22">
        <f>GRAFICA_27!E35</f>
        <v>900</v>
      </c>
      <c r="D13" s="22">
        <f>GRAFICA_27!F35</f>
        <v>0</v>
      </c>
      <c r="E13" s="22">
        <f>GRAFICA_27!G35</f>
        <v>600</v>
      </c>
      <c r="F13" s="22">
        <f>GRAFICA_27!H35</f>
        <v>300</v>
      </c>
      <c r="G13" s="9">
        <f t="shared" si="0"/>
        <v>-300</v>
      </c>
      <c r="H13" s="9">
        <f t="shared" si="1"/>
        <v>300</v>
      </c>
      <c r="I13" s="9">
        <f t="shared" si="2"/>
        <v>424.26406871192853</v>
      </c>
      <c r="J13" s="92">
        <f t="shared" si="3"/>
        <v>-0.70710678118654746</v>
      </c>
      <c r="K13" s="92">
        <f t="shared" si="4"/>
        <v>0.70710678118654746</v>
      </c>
      <c r="L13" s="22">
        <f>GRAFICA_27!N35</f>
        <v>12</v>
      </c>
      <c r="M13" s="22">
        <f>GRAFICA_27!O35</f>
        <v>2100000</v>
      </c>
      <c r="N13" s="6">
        <f t="shared" si="5"/>
        <v>59396.969619669988</v>
      </c>
    </row>
    <row r="14" spans="2:14" ht="19.05" customHeight="1" x14ac:dyDescent="0.3">
      <c r="B14" s="60">
        <v>9</v>
      </c>
      <c r="C14" s="22">
        <f>GRAFICA_27!E36</f>
        <v>300</v>
      </c>
      <c r="D14" s="22">
        <f>GRAFICA_27!F36</f>
        <v>0</v>
      </c>
      <c r="E14" s="22">
        <f>GRAFICA_27!G36</f>
        <v>600</v>
      </c>
      <c r="F14" s="22">
        <f>GRAFICA_27!H36</f>
        <v>300</v>
      </c>
      <c r="G14" s="9">
        <f t="shared" si="0"/>
        <v>300</v>
      </c>
      <c r="H14" s="9">
        <f t="shared" si="1"/>
        <v>300</v>
      </c>
      <c r="I14" s="9">
        <f t="shared" si="2"/>
        <v>424.26406871192853</v>
      </c>
      <c r="J14" s="92">
        <f t="shared" si="3"/>
        <v>0.70710678118654746</v>
      </c>
      <c r="K14" s="92">
        <f t="shared" si="4"/>
        <v>0.70710678118654746</v>
      </c>
      <c r="L14" s="22">
        <f>GRAFICA_27!N36</f>
        <v>12</v>
      </c>
      <c r="M14" s="22">
        <f>GRAFICA_27!O36</f>
        <v>2100000</v>
      </c>
      <c r="N14" s="6">
        <f t="shared" si="5"/>
        <v>59396.969619669988</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GRAFICA_27!C28</f>
        <v>1</v>
      </c>
      <c r="D18" s="23">
        <f>GRAFICA_27!C28</f>
        <v>1</v>
      </c>
      <c r="E18" s="23">
        <f>GRAFICA_27!D28</f>
        <v>2</v>
      </c>
      <c r="F18" s="23">
        <f>GRAFICA_27!D28</f>
        <v>2</v>
      </c>
    </row>
    <row r="19" spans="1:6" ht="19.05" customHeight="1" x14ac:dyDescent="0.3">
      <c r="B19" s="25">
        <v>2</v>
      </c>
      <c r="C19" s="23">
        <f>GRAFICA_27!C29</f>
        <v>2</v>
      </c>
      <c r="D19" s="23">
        <f>GRAFICA_27!C29</f>
        <v>2</v>
      </c>
      <c r="E19" s="23">
        <f>GRAFICA_27!D29</f>
        <v>3</v>
      </c>
      <c r="F19" s="23">
        <f>GRAFICA_27!D29</f>
        <v>3</v>
      </c>
    </row>
    <row r="20" spans="1:6" ht="19.05" customHeight="1" x14ac:dyDescent="0.3">
      <c r="B20" s="26">
        <v>3</v>
      </c>
      <c r="C20" s="23">
        <f>GRAFICA_27!C30</f>
        <v>3</v>
      </c>
      <c r="D20" s="23">
        <f>GRAFICA_27!C30</f>
        <v>3</v>
      </c>
      <c r="E20" s="23">
        <f>GRAFICA_27!D30</f>
        <v>4</v>
      </c>
      <c r="F20" s="23">
        <f>GRAFICA_27!D30</f>
        <v>4</v>
      </c>
    </row>
    <row r="21" spans="1:6" ht="19.05" customHeight="1" x14ac:dyDescent="0.3">
      <c r="B21" s="43">
        <v>4</v>
      </c>
      <c r="C21" s="23">
        <f>GRAFICA_27!C31</f>
        <v>5</v>
      </c>
      <c r="D21" s="23">
        <f>GRAFICA_27!C31</f>
        <v>5</v>
      </c>
      <c r="E21" s="23">
        <f>GRAFICA_27!D31</f>
        <v>6</v>
      </c>
      <c r="F21" s="23">
        <f>GRAFICA_27!D31</f>
        <v>6</v>
      </c>
    </row>
    <row r="22" spans="1:6" ht="19.05" customHeight="1" x14ac:dyDescent="0.3">
      <c r="B22" s="44">
        <v>5</v>
      </c>
      <c r="C22" s="23">
        <f>GRAFICA_27!C32</f>
        <v>2</v>
      </c>
      <c r="D22" s="23">
        <f>GRAFICA_27!C32</f>
        <v>2</v>
      </c>
      <c r="E22" s="23">
        <f>GRAFICA_27!D32</f>
        <v>5</v>
      </c>
      <c r="F22" s="23">
        <f>GRAFICA_27!D32</f>
        <v>5</v>
      </c>
    </row>
    <row r="23" spans="1:6" ht="19.05" customHeight="1" x14ac:dyDescent="0.3">
      <c r="B23" s="51">
        <v>6</v>
      </c>
      <c r="C23" s="23">
        <f>GRAFICA_27!C33</f>
        <v>3</v>
      </c>
      <c r="D23" s="23">
        <f>GRAFICA_27!C33</f>
        <v>3</v>
      </c>
      <c r="E23" s="23">
        <f>GRAFICA_27!D33</f>
        <v>6</v>
      </c>
      <c r="F23" s="23">
        <f>GRAFICA_27!D33</f>
        <v>6</v>
      </c>
    </row>
    <row r="24" spans="1:6" ht="19.05" customHeight="1" x14ac:dyDescent="0.3">
      <c r="B24" s="52">
        <v>7</v>
      </c>
      <c r="C24" s="23">
        <f>GRAFICA_27!C34</f>
        <v>1</v>
      </c>
      <c r="D24" s="23">
        <f>GRAFICA_27!C34</f>
        <v>1</v>
      </c>
      <c r="E24" s="23">
        <f>GRAFICA_27!D34</f>
        <v>5</v>
      </c>
      <c r="F24" s="23">
        <f>GRAFICA_27!D34</f>
        <v>5</v>
      </c>
    </row>
    <row r="25" spans="1:6" ht="19.05" customHeight="1" x14ac:dyDescent="0.3">
      <c r="B25" s="59">
        <v>8</v>
      </c>
      <c r="C25" s="23">
        <f>GRAFICA_27!C35</f>
        <v>4</v>
      </c>
      <c r="D25" s="23">
        <f>GRAFICA_27!C35</f>
        <v>4</v>
      </c>
      <c r="E25" s="23">
        <f>GRAFICA_27!D35</f>
        <v>6</v>
      </c>
      <c r="F25" s="23">
        <f>GRAFICA_27!D35</f>
        <v>6</v>
      </c>
    </row>
    <row r="26" spans="1:6" ht="19.05" customHeight="1" x14ac:dyDescent="0.3">
      <c r="B26" s="60">
        <v>9</v>
      </c>
      <c r="C26" s="23">
        <f>GRAFICA_27!C36</f>
        <v>2</v>
      </c>
      <c r="D26" s="23">
        <f>GRAFICA_27!C36</f>
        <v>2</v>
      </c>
      <c r="E26" s="23">
        <f>GRAFICA_27!D36</f>
        <v>6</v>
      </c>
      <c r="F26" s="23">
        <f>GRAFICA_27!D36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U2X</v>
      </c>
      <c r="C113" s="48" t="str">
        <f>CONCATENATE("U",D22,D$17)</f>
        <v>U2Y</v>
      </c>
      <c r="D113" s="48" t="str">
        <f>CONCATENATE("U",E22,E$17)</f>
        <v>U5X</v>
      </c>
      <c r="E113" s="48" t="str">
        <f>CONCATENATE("U",F22,F$17)</f>
        <v>U5Y</v>
      </c>
    </row>
    <row r="114" spans="1:14" x14ac:dyDescent="0.3">
      <c r="B114" s="49">
        <f>J10*J10*N10</f>
        <v>0</v>
      </c>
      <c r="C114" s="49">
        <f>J10*K10*N10</f>
        <v>0</v>
      </c>
      <c r="D114" s="49">
        <f>-B114</f>
        <v>0</v>
      </c>
      <c r="E114" s="49">
        <f>-C114</f>
        <v>0</v>
      </c>
      <c r="F114" s="48" t="str">
        <f>B113</f>
        <v>U2X</v>
      </c>
    </row>
    <row r="115" spans="1:14" ht="16.8" customHeight="1" x14ac:dyDescent="0.3">
      <c r="A115" s="28" t="s">
        <v>197</v>
      </c>
      <c r="B115" s="49">
        <f>C114</f>
        <v>0</v>
      </c>
      <c r="C115" s="49">
        <f>K10*K10*N10</f>
        <v>84000</v>
      </c>
      <c r="D115" s="49">
        <f>-B115</f>
        <v>0</v>
      </c>
      <c r="E115" s="49">
        <f>-C115</f>
        <v>-84000</v>
      </c>
      <c r="F115" s="48" t="str">
        <f>C113</f>
        <v>U2Y</v>
      </c>
    </row>
    <row r="116" spans="1:14" x14ac:dyDescent="0.3">
      <c r="B116" s="49">
        <f>D114</f>
        <v>0</v>
      </c>
      <c r="C116" s="49">
        <f>E114</f>
        <v>0</v>
      </c>
      <c r="D116" s="49">
        <f>B114</f>
        <v>0</v>
      </c>
      <c r="E116" s="49">
        <f>C114</f>
        <v>0</v>
      </c>
      <c r="F116" s="48" t="str">
        <f>D113</f>
        <v>U5X</v>
      </c>
    </row>
    <row r="117" spans="1:14" x14ac:dyDescent="0.3">
      <c r="B117" s="49">
        <f>D115</f>
        <v>0</v>
      </c>
      <c r="C117" s="49">
        <f>E115</f>
        <v>-84000</v>
      </c>
      <c r="D117" s="49">
        <f>B115</f>
        <v>0</v>
      </c>
      <c r="E117" s="49">
        <f>C115</f>
        <v>84000</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50">
        <f t="shared" si="10"/>
        <v>0</v>
      </c>
      <c r="E122" s="50">
        <f t="shared" si="10"/>
        <v>0</v>
      </c>
      <c r="F122" s="9">
        <f t="shared" si="10"/>
        <v>0</v>
      </c>
      <c r="G122" s="9">
        <f t="shared" si="10"/>
        <v>0</v>
      </c>
      <c r="H122" s="9">
        <f t="shared" si="10"/>
        <v>0</v>
      </c>
      <c r="I122" s="9">
        <f t="shared" si="10"/>
        <v>0</v>
      </c>
      <c r="J122" s="50">
        <f t="shared" si="10"/>
        <v>0</v>
      </c>
      <c r="K122" s="50">
        <f t="shared" si="10"/>
        <v>0</v>
      </c>
      <c r="L122" s="9">
        <f t="shared" si="10"/>
        <v>0</v>
      </c>
      <c r="M122" s="9">
        <f t="shared" si="10"/>
        <v>0</v>
      </c>
      <c r="N122" s="48" t="s">
        <v>180</v>
      </c>
    </row>
    <row r="123" spans="1:14" ht="19.05" customHeight="1" x14ac:dyDescent="0.3">
      <c r="B123" s="9">
        <f t="shared" si="10"/>
        <v>0</v>
      </c>
      <c r="C123" s="9">
        <f t="shared" si="10"/>
        <v>0</v>
      </c>
      <c r="D123" s="50">
        <f t="shared" si="10"/>
        <v>0</v>
      </c>
      <c r="E123" s="50">
        <f t="shared" si="10"/>
        <v>84000</v>
      </c>
      <c r="F123" s="9">
        <f t="shared" si="10"/>
        <v>0</v>
      </c>
      <c r="G123" s="9">
        <f t="shared" si="10"/>
        <v>0</v>
      </c>
      <c r="H123" s="9">
        <f t="shared" si="10"/>
        <v>0</v>
      </c>
      <c r="I123" s="9">
        <f t="shared" si="10"/>
        <v>0</v>
      </c>
      <c r="J123" s="50">
        <f t="shared" si="10"/>
        <v>0</v>
      </c>
      <c r="K123" s="50">
        <f t="shared" si="10"/>
        <v>-84000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50">
        <f t="shared" si="10"/>
        <v>0</v>
      </c>
      <c r="E128" s="50">
        <f t="shared" si="10"/>
        <v>0</v>
      </c>
      <c r="F128" s="9">
        <f t="shared" si="10"/>
        <v>0</v>
      </c>
      <c r="G128" s="9">
        <f t="shared" si="10"/>
        <v>0</v>
      </c>
      <c r="H128" s="9">
        <f t="shared" si="10"/>
        <v>0</v>
      </c>
      <c r="I128" s="9">
        <f t="shared" si="10"/>
        <v>0</v>
      </c>
      <c r="J128" s="50">
        <f t="shared" si="10"/>
        <v>0</v>
      </c>
      <c r="K128" s="50">
        <f t="shared" si="10"/>
        <v>0</v>
      </c>
      <c r="L128" s="9">
        <f t="shared" si="10"/>
        <v>0</v>
      </c>
      <c r="M128" s="9">
        <f t="shared" si="10"/>
        <v>0</v>
      </c>
      <c r="N128" s="48" t="s">
        <v>186</v>
      </c>
    </row>
    <row r="129" spans="1:14" ht="19.05" customHeight="1" x14ac:dyDescent="0.3">
      <c r="B129" s="9">
        <f t="shared" si="10"/>
        <v>0</v>
      </c>
      <c r="C129" s="9">
        <f t="shared" si="10"/>
        <v>0</v>
      </c>
      <c r="D129" s="50">
        <f t="shared" si="10"/>
        <v>0</v>
      </c>
      <c r="E129" s="50">
        <f t="shared" si="10"/>
        <v>-84000</v>
      </c>
      <c r="F129" s="9">
        <f t="shared" si="10"/>
        <v>0</v>
      </c>
      <c r="G129" s="9">
        <f t="shared" si="10"/>
        <v>0</v>
      </c>
      <c r="H129" s="9">
        <f t="shared" si="10"/>
        <v>0</v>
      </c>
      <c r="I129" s="9">
        <f t="shared" si="10"/>
        <v>0</v>
      </c>
      <c r="J129" s="50">
        <f t="shared" si="10"/>
        <v>0</v>
      </c>
      <c r="K129" s="50">
        <f t="shared" si="10"/>
        <v>84000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U3X</v>
      </c>
      <c r="C134" s="53" t="str">
        <f>CONCATENATE("U",D23,D$17)</f>
        <v>U3Y</v>
      </c>
      <c r="D134" s="53" t="str">
        <f>CONCATENATE("U",E23,E$17)</f>
        <v>U6X</v>
      </c>
      <c r="E134" s="53" t="str">
        <f>CONCATENATE("U",F23,F$17)</f>
        <v>U6Y</v>
      </c>
    </row>
    <row r="135" spans="1:14" x14ac:dyDescent="0.3">
      <c r="B135" s="54">
        <f>J11*J11*N11</f>
        <v>0</v>
      </c>
      <c r="C135" s="54">
        <f>J11*K11*N11</f>
        <v>0</v>
      </c>
      <c r="D135" s="54">
        <f>-B135</f>
        <v>0</v>
      </c>
      <c r="E135" s="54">
        <f>-C135</f>
        <v>0</v>
      </c>
      <c r="F135" s="53" t="str">
        <f>B134</f>
        <v>U3X</v>
      </c>
    </row>
    <row r="136" spans="1:14" ht="16.8" customHeight="1" x14ac:dyDescent="0.3">
      <c r="A136" s="28" t="s">
        <v>199</v>
      </c>
      <c r="B136" s="54">
        <f>C135</f>
        <v>0</v>
      </c>
      <c r="C136" s="54">
        <f>K11*K11*N11</f>
        <v>84000</v>
      </c>
      <c r="D136" s="54">
        <f>-B136</f>
        <v>0</v>
      </c>
      <c r="E136" s="54">
        <f>-C136</f>
        <v>-84000</v>
      </c>
      <c r="F136" s="53" t="str">
        <f>C134</f>
        <v>U3Y</v>
      </c>
    </row>
    <row r="137" spans="1:14" x14ac:dyDescent="0.3">
      <c r="B137" s="54">
        <f>D135</f>
        <v>0</v>
      </c>
      <c r="C137" s="54">
        <f>E135</f>
        <v>0</v>
      </c>
      <c r="D137" s="54">
        <f>B135</f>
        <v>0</v>
      </c>
      <c r="E137" s="54">
        <f>C135</f>
        <v>0</v>
      </c>
      <c r="F137" s="53" t="str">
        <f>D134</f>
        <v>U6X</v>
      </c>
    </row>
    <row r="138" spans="1:14" x14ac:dyDescent="0.3">
      <c r="B138" s="54">
        <f>D136</f>
        <v>0</v>
      </c>
      <c r="C138" s="54">
        <f>E136</f>
        <v>-84000</v>
      </c>
      <c r="D138" s="54">
        <f>B136</f>
        <v>0</v>
      </c>
      <c r="E138" s="54">
        <f>C136</f>
        <v>84000</v>
      </c>
      <c r="F138" s="53" t="str">
        <f>E134</f>
        <v>U6Y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0</v>
      </c>
      <c r="G145" s="55">
        <f t="shared" si="11"/>
        <v>0</v>
      </c>
      <c r="H145" s="9">
        <f t="shared" si="11"/>
        <v>0</v>
      </c>
      <c r="I145" s="9">
        <f t="shared" si="11"/>
        <v>0</v>
      </c>
      <c r="J145" s="9">
        <f t="shared" si="11"/>
        <v>0</v>
      </c>
      <c r="K145" s="9">
        <f t="shared" si="11"/>
        <v>0</v>
      </c>
      <c r="L145" s="55">
        <f t="shared" si="11"/>
        <v>0</v>
      </c>
      <c r="M145" s="55">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0</v>
      </c>
      <c r="G146" s="55">
        <f t="shared" si="11"/>
        <v>84000</v>
      </c>
      <c r="H146" s="9">
        <f t="shared" si="11"/>
        <v>0</v>
      </c>
      <c r="I146" s="9">
        <f t="shared" si="11"/>
        <v>0</v>
      </c>
      <c r="J146" s="9">
        <f t="shared" si="11"/>
        <v>0</v>
      </c>
      <c r="K146" s="9">
        <f t="shared" si="11"/>
        <v>0</v>
      </c>
      <c r="L146" s="55">
        <f t="shared" si="11"/>
        <v>0</v>
      </c>
      <c r="M146" s="55">
        <f t="shared" si="11"/>
        <v>-84000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0</v>
      </c>
      <c r="G151" s="55">
        <f t="shared" si="11"/>
        <v>0</v>
      </c>
      <c r="H151" s="9">
        <f t="shared" si="11"/>
        <v>0</v>
      </c>
      <c r="I151" s="9">
        <f t="shared" si="11"/>
        <v>0</v>
      </c>
      <c r="J151" s="9">
        <f t="shared" si="11"/>
        <v>0</v>
      </c>
      <c r="K151" s="9">
        <f t="shared" si="11"/>
        <v>0</v>
      </c>
      <c r="L151" s="55">
        <f t="shared" si="11"/>
        <v>0</v>
      </c>
      <c r="M151" s="55">
        <f t="shared" si="11"/>
        <v>0</v>
      </c>
      <c r="N151" s="53" t="s">
        <v>188</v>
      </c>
    </row>
    <row r="152" spans="1:14" ht="19.05" customHeight="1" x14ac:dyDescent="0.3">
      <c r="B152" s="9">
        <f t="shared" si="11"/>
        <v>0</v>
      </c>
      <c r="C152" s="9">
        <f t="shared" si="11"/>
        <v>0</v>
      </c>
      <c r="D152" s="9">
        <f t="shared" si="11"/>
        <v>0</v>
      </c>
      <c r="E152" s="9">
        <f t="shared" si="11"/>
        <v>0</v>
      </c>
      <c r="F152" s="55">
        <f t="shared" si="11"/>
        <v>0</v>
      </c>
      <c r="G152" s="55">
        <f t="shared" si="11"/>
        <v>-84000</v>
      </c>
      <c r="H152" s="9">
        <f t="shared" si="11"/>
        <v>0</v>
      </c>
      <c r="I152" s="9">
        <f t="shared" si="11"/>
        <v>0</v>
      </c>
      <c r="J152" s="9">
        <f t="shared" si="11"/>
        <v>0</v>
      </c>
      <c r="K152" s="9">
        <f t="shared" si="11"/>
        <v>0</v>
      </c>
      <c r="L152" s="55">
        <f t="shared" si="11"/>
        <v>0</v>
      </c>
      <c r="M152" s="55">
        <f t="shared" si="11"/>
        <v>84000</v>
      </c>
      <c r="N152" s="53" t="s">
        <v>189</v>
      </c>
    </row>
    <row r="155" spans="1:14" ht="18" customHeight="1" x14ac:dyDescent="0.3">
      <c r="B155" s="56" t="str">
        <f>CONCATENATE("U",C24,C$17)</f>
        <v>U1X</v>
      </c>
      <c r="C155" s="56" t="str">
        <f>CONCATENATE("U",D24,D$17)</f>
        <v>U1Y</v>
      </c>
      <c r="D155" s="56" t="str">
        <f>CONCATENATE("U",E24,E$17)</f>
        <v>U5X</v>
      </c>
      <c r="E155" s="56" t="str">
        <f>CONCATENATE("U",F24,F$17)</f>
        <v>U5Y</v>
      </c>
    </row>
    <row r="156" spans="1:14" x14ac:dyDescent="0.3">
      <c r="B156" s="57">
        <f>J12*J12*N12</f>
        <v>29698.484809834987</v>
      </c>
      <c r="C156" s="57">
        <f>J12*K12*N12</f>
        <v>29698.484809834987</v>
      </c>
      <c r="D156" s="57">
        <f>-B156</f>
        <v>-29698.484809834987</v>
      </c>
      <c r="E156" s="57">
        <f>-C156</f>
        <v>-29698.484809834987</v>
      </c>
      <c r="F156" s="56" t="str">
        <f>B155</f>
        <v>U1X</v>
      </c>
    </row>
    <row r="157" spans="1:14" ht="16.8" customHeight="1" x14ac:dyDescent="0.3">
      <c r="A157" s="28" t="s">
        <v>201</v>
      </c>
      <c r="B157" s="57">
        <f>C156</f>
        <v>29698.484809834987</v>
      </c>
      <c r="C157" s="57">
        <f>K12*K12*N12</f>
        <v>29698.484809834987</v>
      </c>
      <c r="D157" s="57">
        <f>-B157</f>
        <v>-29698.484809834987</v>
      </c>
      <c r="E157" s="57">
        <f>-C157</f>
        <v>-29698.484809834987</v>
      </c>
      <c r="F157" s="56" t="str">
        <f>C155</f>
        <v>U1Y</v>
      </c>
    </row>
    <row r="158" spans="1:14" x14ac:dyDescent="0.3">
      <c r="B158" s="57">
        <f>D156</f>
        <v>-29698.484809834987</v>
      </c>
      <c r="C158" s="57">
        <f>E156</f>
        <v>-29698.484809834987</v>
      </c>
      <c r="D158" s="57">
        <f>B156</f>
        <v>29698.484809834987</v>
      </c>
      <c r="E158" s="57">
        <f>C156</f>
        <v>29698.484809834987</v>
      </c>
      <c r="F158" s="56" t="str">
        <f>D155</f>
        <v>U5X</v>
      </c>
    </row>
    <row r="159" spans="1:14" x14ac:dyDescent="0.3">
      <c r="B159" s="57">
        <f>D157</f>
        <v>-29698.484809834987</v>
      </c>
      <c r="C159" s="57">
        <f>E157</f>
        <v>-29698.484809834987</v>
      </c>
      <c r="D159" s="57">
        <f>B157</f>
        <v>29698.484809834987</v>
      </c>
      <c r="E159" s="57">
        <f>C157</f>
        <v>29698.484809834987</v>
      </c>
      <c r="F159" s="56" t="str">
        <f>E155</f>
        <v>U5Y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58">
        <f t="shared" ref="B162:M173" si="12">IFERROR(INDEX($B$156:$E$159, MATCH($N162, $B$155:$E$155, 0), MATCH(B$161, $B$155:$E$155, 0)), 0)</f>
        <v>29698.484809834987</v>
      </c>
      <c r="C162" s="58">
        <f t="shared" si="12"/>
        <v>29698.484809834987</v>
      </c>
      <c r="D162" s="9">
        <f t="shared" si="12"/>
        <v>0</v>
      </c>
      <c r="E162" s="9">
        <f t="shared" si="12"/>
        <v>0</v>
      </c>
      <c r="F162" s="9">
        <f t="shared" si="12"/>
        <v>0</v>
      </c>
      <c r="G162" s="9">
        <f t="shared" si="12"/>
        <v>0</v>
      </c>
      <c r="H162" s="9">
        <f t="shared" si="12"/>
        <v>0</v>
      </c>
      <c r="I162" s="9">
        <f t="shared" si="12"/>
        <v>0</v>
      </c>
      <c r="J162" s="58">
        <f t="shared" si="12"/>
        <v>-29698.484809834987</v>
      </c>
      <c r="K162" s="58">
        <f t="shared" si="12"/>
        <v>-29698.484809834987</v>
      </c>
      <c r="L162" s="9">
        <f t="shared" si="12"/>
        <v>0</v>
      </c>
      <c r="M162" s="9">
        <f t="shared" si="12"/>
        <v>0</v>
      </c>
      <c r="N162" s="56" t="s">
        <v>178</v>
      </c>
    </row>
    <row r="163" spans="1:14" ht="19.05" customHeight="1" x14ac:dyDescent="0.3">
      <c r="B163" s="58">
        <f t="shared" si="12"/>
        <v>29698.484809834987</v>
      </c>
      <c r="C163" s="58">
        <f t="shared" si="12"/>
        <v>29698.484809834987</v>
      </c>
      <c r="D163" s="9">
        <f t="shared" si="12"/>
        <v>0</v>
      </c>
      <c r="E163" s="9">
        <f t="shared" si="12"/>
        <v>0</v>
      </c>
      <c r="F163" s="9">
        <f t="shared" si="12"/>
        <v>0</v>
      </c>
      <c r="G163" s="9">
        <f t="shared" si="12"/>
        <v>0</v>
      </c>
      <c r="H163" s="9">
        <f t="shared" si="12"/>
        <v>0</v>
      </c>
      <c r="I163" s="9">
        <f t="shared" si="12"/>
        <v>0</v>
      </c>
      <c r="J163" s="58">
        <f t="shared" si="12"/>
        <v>-29698.484809834987</v>
      </c>
      <c r="K163" s="58">
        <f t="shared" si="12"/>
        <v>-29698.484809834987</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58">
        <f t="shared" si="12"/>
        <v>-29698.484809834987</v>
      </c>
      <c r="C170" s="58">
        <f t="shared" si="12"/>
        <v>-29698.484809834987</v>
      </c>
      <c r="D170" s="9">
        <f t="shared" si="12"/>
        <v>0</v>
      </c>
      <c r="E170" s="9">
        <f t="shared" si="12"/>
        <v>0</v>
      </c>
      <c r="F170" s="9">
        <f t="shared" si="12"/>
        <v>0</v>
      </c>
      <c r="G170" s="9">
        <f t="shared" si="12"/>
        <v>0</v>
      </c>
      <c r="H170" s="9">
        <f t="shared" si="12"/>
        <v>0</v>
      </c>
      <c r="I170" s="9">
        <f t="shared" si="12"/>
        <v>0</v>
      </c>
      <c r="J170" s="58">
        <f t="shared" si="12"/>
        <v>29698.484809834987</v>
      </c>
      <c r="K170" s="58">
        <f t="shared" si="12"/>
        <v>29698.484809834987</v>
      </c>
      <c r="L170" s="9">
        <f t="shared" si="12"/>
        <v>0</v>
      </c>
      <c r="M170" s="9">
        <f t="shared" si="12"/>
        <v>0</v>
      </c>
      <c r="N170" s="56" t="s">
        <v>186</v>
      </c>
    </row>
    <row r="171" spans="1:14" ht="19.05" customHeight="1" x14ac:dyDescent="0.3">
      <c r="B171" s="58">
        <f t="shared" si="12"/>
        <v>-29698.484809834987</v>
      </c>
      <c r="C171" s="58">
        <f t="shared" si="12"/>
        <v>-29698.484809834987</v>
      </c>
      <c r="D171" s="9">
        <f t="shared" si="12"/>
        <v>0</v>
      </c>
      <c r="E171" s="9">
        <f t="shared" si="12"/>
        <v>0</v>
      </c>
      <c r="F171" s="9">
        <f t="shared" si="12"/>
        <v>0</v>
      </c>
      <c r="G171" s="9">
        <f t="shared" si="12"/>
        <v>0</v>
      </c>
      <c r="H171" s="9">
        <f t="shared" si="12"/>
        <v>0</v>
      </c>
      <c r="I171" s="9">
        <f t="shared" si="12"/>
        <v>0</v>
      </c>
      <c r="J171" s="58">
        <f t="shared" si="12"/>
        <v>29698.484809834987</v>
      </c>
      <c r="K171" s="58">
        <f t="shared" si="12"/>
        <v>29698.484809834987</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U4X</v>
      </c>
      <c r="C176" s="61" t="str">
        <f>CONCATENATE("U",D25,D$17)</f>
        <v>U4Y</v>
      </c>
      <c r="D176" s="61" t="str">
        <f>CONCATENATE("U",E25,E$17)</f>
        <v>U6X</v>
      </c>
      <c r="E176" s="61" t="str">
        <f>CONCATENATE("U",F25,F$17)</f>
        <v>U6Y</v>
      </c>
    </row>
    <row r="177" spans="1:14" x14ac:dyDescent="0.3">
      <c r="B177" s="62">
        <f>J13*J13*N13</f>
        <v>29698.484809834987</v>
      </c>
      <c r="C177" s="62">
        <f>J13*K13*N13</f>
        <v>-29698.484809834987</v>
      </c>
      <c r="D177" s="62">
        <f>-B177</f>
        <v>-29698.484809834987</v>
      </c>
      <c r="E177" s="62">
        <f>-C177</f>
        <v>29698.484809834987</v>
      </c>
      <c r="F177" s="61" t="str">
        <f>B176</f>
        <v>U4X</v>
      </c>
    </row>
    <row r="178" spans="1:14" ht="16.8" customHeight="1" x14ac:dyDescent="0.3">
      <c r="A178" s="28" t="s">
        <v>203</v>
      </c>
      <c r="B178" s="62">
        <f>C177</f>
        <v>-29698.484809834987</v>
      </c>
      <c r="C178" s="62">
        <f>K13*K13*N13</f>
        <v>29698.484809834987</v>
      </c>
      <c r="D178" s="62">
        <f>-B178</f>
        <v>29698.484809834987</v>
      </c>
      <c r="E178" s="62">
        <f>-C178</f>
        <v>-29698.484809834987</v>
      </c>
      <c r="F178" s="61" t="str">
        <f>C176</f>
        <v>U4Y</v>
      </c>
    </row>
    <row r="179" spans="1:14" x14ac:dyDescent="0.3">
      <c r="B179" s="62">
        <f>D177</f>
        <v>-29698.484809834987</v>
      </c>
      <c r="C179" s="62">
        <f>E177</f>
        <v>29698.484809834987</v>
      </c>
      <c r="D179" s="62">
        <f>B177</f>
        <v>29698.484809834987</v>
      </c>
      <c r="E179" s="62">
        <f>C177</f>
        <v>-29698.484809834987</v>
      </c>
      <c r="F179" s="61" t="str">
        <f>D176</f>
        <v>U6X</v>
      </c>
    </row>
    <row r="180" spans="1:14" x14ac:dyDescent="0.3">
      <c r="B180" s="62">
        <f>D178</f>
        <v>29698.484809834987</v>
      </c>
      <c r="C180" s="62">
        <f>E178</f>
        <v>-29698.484809834987</v>
      </c>
      <c r="D180" s="62">
        <f>B178</f>
        <v>-29698.484809834987</v>
      </c>
      <c r="E180" s="62">
        <f>C178</f>
        <v>29698.484809834987</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63">
        <f t="shared" si="13"/>
        <v>29698.484809834987</v>
      </c>
      <c r="I189" s="63">
        <f t="shared" si="13"/>
        <v>-29698.484809834987</v>
      </c>
      <c r="J189" s="9">
        <f t="shared" si="13"/>
        <v>0</v>
      </c>
      <c r="K189" s="9">
        <f t="shared" si="13"/>
        <v>0</v>
      </c>
      <c r="L189" s="63">
        <f t="shared" si="13"/>
        <v>-29698.484809834987</v>
      </c>
      <c r="M189" s="63">
        <f t="shared" si="13"/>
        <v>29698.484809834987</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63">
        <f t="shared" si="13"/>
        <v>-29698.484809834987</v>
      </c>
      <c r="I190" s="63">
        <f t="shared" si="13"/>
        <v>29698.484809834987</v>
      </c>
      <c r="J190" s="9">
        <f t="shared" si="13"/>
        <v>0</v>
      </c>
      <c r="K190" s="9">
        <f t="shared" si="13"/>
        <v>0</v>
      </c>
      <c r="L190" s="63">
        <f t="shared" si="13"/>
        <v>29698.484809834987</v>
      </c>
      <c r="M190" s="63">
        <f t="shared" si="13"/>
        <v>-29698.484809834987</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-29698.484809834987</v>
      </c>
      <c r="I193" s="63">
        <f t="shared" si="13"/>
        <v>29698.484809834987</v>
      </c>
      <c r="J193" s="9">
        <f t="shared" si="13"/>
        <v>0</v>
      </c>
      <c r="K193" s="9">
        <f t="shared" si="13"/>
        <v>0</v>
      </c>
      <c r="L193" s="63">
        <f t="shared" si="13"/>
        <v>29698.484809834987</v>
      </c>
      <c r="M193" s="63">
        <f t="shared" si="13"/>
        <v>-29698.484809834987</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29698.484809834987</v>
      </c>
      <c r="I194" s="63">
        <f t="shared" si="13"/>
        <v>-29698.484809834987</v>
      </c>
      <c r="J194" s="9">
        <f t="shared" si="13"/>
        <v>0</v>
      </c>
      <c r="K194" s="9">
        <f t="shared" si="13"/>
        <v>0</v>
      </c>
      <c r="L194" s="63">
        <f t="shared" si="13"/>
        <v>-29698.484809834987</v>
      </c>
      <c r="M194" s="63">
        <f t="shared" si="13"/>
        <v>29698.484809834987</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29698.484809834987</v>
      </c>
      <c r="C198" s="65">
        <f>J14*K14*N14</f>
        <v>29698.484809834987</v>
      </c>
      <c r="D198" s="65">
        <f>-B198</f>
        <v>-29698.484809834987</v>
      </c>
      <c r="E198" s="65">
        <f>-C198</f>
        <v>-29698.484809834987</v>
      </c>
      <c r="F198" s="64" t="str">
        <f>B197</f>
        <v>U2X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U2Y</v>
      </c>
    </row>
    <row r="200" spans="1:14" x14ac:dyDescent="0.3">
      <c r="B200" s="65">
        <f>D198</f>
        <v>-29698.484809834987</v>
      </c>
      <c r="C200" s="65">
        <f>E198</f>
        <v>-29698.484809834987</v>
      </c>
      <c r="D200" s="65">
        <f>B198</f>
        <v>29698.484809834987</v>
      </c>
      <c r="E200" s="65">
        <f>C198</f>
        <v>29698.484809834987</v>
      </c>
      <c r="F200" s="64" t="str">
        <f>D197</f>
        <v>U6X</v>
      </c>
    </row>
    <row r="201" spans="1:14" x14ac:dyDescent="0.3">
      <c r="B201" s="65">
        <f>D199</f>
        <v>-29698.484809834987</v>
      </c>
      <c r="C201" s="65">
        <f>E199</f>
        <v>-29698.484809834987</v>
      </c>
      <c r="D201" s="65">
        <f>B199</f>
        <v>29698.484809834987</v>
      </c>
      <c r="E201" s="65">
        <f>C199</f>
        <v>29698.484809834987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29698.484809834987</v>
      </c>
      <c r="E206" s="66">
        <f t="shared" si="14"/>
        <v>29698.484809834987</v>
      </c>
      <c r="F206" s="9">
        <f t="shared" si="14"/>
        <v>0</v>
      </c>
      <c r="G206" s="9">
        <f t="shared" si="14"/>
        <v>0</v>
      </c>
      <c r="H206" s="9">
        <f t="shared" si="14"/>
        <v>0</v>
      </c>
      <c r="I206" s="9">
        <f t="shared" si="14"/>
        <v>0</v>
      </c>
      <c r="J206" s="9">
        <f t="shared" si="14"/>
        <v>0</v>
      </c>
      <c r="K206" s="9">
        <f t="shared" si="14"/>
        <v>0</v>
      </c>
      <c r="L206" s="66">
        <f t="shared" si="14"/>
        <v>-29698.484809834987</v>
      </c>
      <c r="M206" s="66">
        <f t="shared" si="14"/>
        <v>-29698.484809834987</v>
      </c>
      <c r="N206" s="64" t="s">
        <v>180</v>
      </c>
    </row>
    <row r="207" spans="1:14" ht="19.05" customHeight="1" x14ac:dyDescent="0.3">
      <c r="B207" s="9">
        <f t="shared" si="14"/>
        <v>0</v>
      </c>
      <c r="C207" s="9">
        <f t="shared" si="14"/>
        <v>0</v>
      </c>
      <c r="D207" s="66">
        <f t="shared" si="14"/>
        <v>29698.484809834987</v>
      </c>
      <c r="E207" s="66">
        <f t="shared" si="14"/>
        <v>29698.484809834987</v>
      </c>
      <c r="F207" s="9">
        <f t="shared" si="14"/>
        <v>0</v>
      </c>
      <c r="G207" s="9">
        <f t="shared" si="14"/>
        <v>0</v>
      </c>
      <c r="H207" s="9">
        <f t="shared" si="14"/>
        <v>0</v>
      </c>
      <c r="I207" s="9">
        <f t="shared" si="14"/>
        <v>0</v>
      </c>
      <c r="J207" s="9">
        <f t="shared" si="14"/>
        <v>0</v>
      </c>
      <c r="K207" s="9">
        <f t="shared" si="14"/>
        <v>0</v>
      </c>
      <c r="L207" s="66">
        <f t="shared" si="14"/>
        <v>-29698.484809834987</v>
      </c>
      <c r="M207" s="66">
        <f t="shared" si="14"/>
        <v>-29698.484809834987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-29698.484809834987</v>
      </c>
      <c r="E214" s="66">
        <f t="shared" si="14"/>
        <v>-29698.484809834987</v>
      </c>
      <c r="F214" s="9">
        <f t="shared" si="14"/>
        <v>0</v>
      </c>
      <c r="G214" s="9">
        <f t="shared" si="14"/>
        <v>0</v>
      </c>
      <c r="H214" s="9">
        <f t="shared" si="14"/>
        <v>0</v>
      </c>
      <c r="I214" s="9">
        <f t="shared" si="14"/>
        <v>0</v>
      </c>
      <c r="J214" s="9">
        <f t="shared" si="14"/>
        <v>0</v>
      </c>
      <c r="K214" s="9">
        <f t="shared" si="14"/>
        <v>0</v>
      </c>
      <c r="L214" s="66">
        <f t="shared" si="14"/>
        <v>29698.484809834987</v>
      </c>
      <c r="M214" s="66">
        <f t="shared" si="14"/>
        <v>29698.484809834987</v>
      </c>
      <c r="N214" s="64" t="s">
        <v>188</v>
      </c>
    </row>
    <row r="215" spans="1:14" ht="19.05" customHeight="1" x14ac:dyDescent="0.3">
      <c r="B215" s="9">
        <f t="shared" si="14"/>
        <v>0</v>
      </c>
      <c r="C215" s="9">
        <f t="shared" si="14"/>
        <v>0</v>
      </c>
      <c r="D215" s="66">
        <f t="shared" si="14"/>
        <v>-29698.484809834987</v>
      </c>
      <c r="E215" s="66">
        <f t="shared" si="14"/>
        <v>-29698.484809834987</v>
      </c>
      <c r="F215" s="9">
        <f t="shared" si="14"/>
        <v>0</v>
      </c>
      <c r="G215" s="9">
        <f t="shared" si="14"/>
        <v>0</v>
      </c>
      <c r="H215" s="9">
        <f t="shared" si="14"/>
        <v>0</v>
      </c>
      <c r="I215" s="9">
        <f t="shared" si="14"/>
        <v>0</v>
      </c>
      <c r="J215" s="9">
        <f t="shared" si="14"/>
        <v>0</v>
      </c>
      <c r="K215" s="9">
        <f t="shared" si="14"/>
        <v>0</v>
      </c>
      <c r="L215" s="66">
        <f t="shared" si="14"/>
        <v>29698.484809834987</v>
      </c>
      <c r="M215" s="66">
        <f t="shared" si="14"/>
        <v>29698.484809834987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197698.48480983498</v>
      </c>
      <c r="E221" s="36">
        <f t="shared" si="17"/>
        <v>29698.484809834987</v>
      </c>
      <c r="F221" s="9">
        <f t="shared" si="17"/>
        <v>-84000</v>
      </c>
      <c r="G221" s="9">
        <f t="shared" si="17"/>
        <v>0</v>
      </c>
      <c r="H221" s="9">
        <f t="shared" si="17"/>
        <v>0</v>
      </c>
      <c r="I221" s="9">
        <f t="shared" si="17"/>
        <v>0</v>
      </c>
      <c r="J221" s="9">
        <f t="shared" si="17"/>
        <v>0</v>
      </c>
      <c r="K221" s="9">
        <f t="shared" si="17"/>
        <v>0</v>
      </c>
      <c r="L221" s="9">
        <f t="shared" si="17"/>
        <v>-29698.484809834987</v>
      </c>
      <c r="M221" s="9">
        <f t="shared" si="17"/>
        <v>-29698.484809834987</v>
      </c>
      <c r="N221" s="89" t="s">
        <v>180</v>
      </c>
    </row>
    <row r="222" spans="1:14" ht="19.95" customHeight="1" x14ac:dyDescent="0.3">
      <c r="B222" s="9">
        <f t="shared" ref="B222:M222" si="18">B39+B60+B81+B102+B123+B144+B165+B186+B207</f>
        <v>0</v>
      </c>
      <c r="C222" s="9">
        <f t="shared" si="18"/>
        <v>0</v>
      </c>
      <c r="D222" s="36">
        <f t="shared" si="18"/>
        <v>29698.484809834987</v>
      </c>
      <c r="E222" s="35">
        <f t="shared" si="18"/>
        <v>113698.48480983499</v>
      </c>
      <c r="F222" s="9">
        <f t="shared" si="18"/>
        <v>0</v>
      </c>
      <c r="G222" s="9">
        <f t="shared" si="18"/>
        <v>0</v>
      </c>
      <c r="H222" s="9">
        <f t="shared" si="18"/>
        <v>0</v>
      </c>
      <c r="I222" s="9">
        <f t="shared" si="18"/>
        <v>0</v>
      </c>
      <c r="J222" s="9">
        <f t="shared" si="18"/>
        <v>0</v>
      </c>
      <c r="K222" s="9">
        <f t="shared" si="18"/>
        <v>-84000</v>
      </c>
      <c r="L222" s="9">
        <f t="shared" si="18"/>
        <v>-29698.484809834987</v>
      </c>
      <c r="M222" s="9">
        <f t="shared" si="18"/>
        <v>-29698.484809834987</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84000</v>
      </c>
      <c r="H224" s="9">
        <f t="shared" si="20"/>
        <v>0</v>
      </c>
      <c r="I224" s="9">
        <f t="shared" si="20"/>
        <v>0</v>
      </c>
      <c r="J224" s="9">
        <f t="shared" si="20"/>
        <v>0</v>
      </c>
      <c r="K224" s="9">
        <f t="shared" si="20"/>
        <v>0</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0</v>
      </c>
      <c r="G227" s="9">
        <f t="shared" si="23"/>
        <v>0</v>
      </c>
      <c r="H227" s="9">
        <f t="shared" si="23"/>
        <v>0</v>
      </c>
      <c r="I227" s="9">
        <f t="shared" si="23"/>
        <v>0</v>
      </c>
      <c r="J227" s="35">
        <f t="shared" si="23"/>
        <v>113698.48480983499</v>
      </c>
      <c r="K227" s="36">
        <f t="shared" si="23"/>
        <v>29698.484809834987</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0</v>
      </c>
      <c r="G228" s="9">
        <f t="shared" si="24"/>
        <v>0</v>
      </c>
      <c r="H228" s="9">
        <f t="shared" si="24"/>
        <v>0</v>
      </c>
      <c r="I228" s="9">
        <f t="shared" si="24"/>
        <v>0</v>
      </c>
      <c r="J228" s="36">
        <f t="shared" si="24"/>
        <v>29698.484809834987</v>
      </c>
      <c r="K228" s="35">
        <f t="shared" si="24"/>
        <v>113698.48480983499</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-29698.484809834987</v>
      </c>
      <c r="E229" s="9">
        <f t="shared" si="25"/>
        <v>-29698.484809834987</v>
      </c>
      <c r="F229" s="9">
        <f t="shared" si="25"/>
        <v>0</v>
      </c>
      <c r="G229" s="9">
        <f t="shared" si="25"/>
        <v>0</v>
      </c>
      <c r="H229" s="9">
        <f t="shared" si="25"/>
        <v>-29698.484809834987</v>
      </c>
      <c r="I229" s="9">
        <f t="shared" si="25"/>
        <v>29698.484809834987</v>
      </c>
      <c r="J229" s="9">
        <f t="shared" si="25"/>
        <v>-84000</v>
      </c>
      <c r="K229" s="9">
        <f t="shared" si="25"/>
        <v>0</v>
      </c>
      <c r="L229" s="35">
        <f t="shared" si="25"/>
        <v>143396.96961966998</v>
      </c>
      <c r="M229" s="36">
        <f t="shared" si="25"/>
        <v>0</v>
      </c>
      <c r="N229" s="89" t="s">
        <v>188</v>
      </c>
    </row>
    <row r="230" spans="1:21" ht="19.95" customHeight="1" x14ac:dyDescent="0.3">
      <c r="B230" s="9">
        <f t="shared" ref="B230:M230" si="26">B47+B68+B89+B110+B131+B152+B173+B194+B215</f>
        <v>0</v>
      </c>
      <c r="C230" s="9">
        <f t="shared" si="26"/>
        <v>0</v>
      </c>
      <c r="D230" s="9">
        <f t="shared" si="26"/>
        <v>-29698.484809834987</v>
      </c>
      <c r="E230" s="9">
        <f t="shared" si="26"/>
        <v>-29698.484809834987</v>
      </c>
      <c r="F230" s="9">
        <f t="shared" si="26"/>
        <v>0</v>
      </c>
      <c r="G230" s="9">
        <f t="shared" si="26"/>
        <v>-84000</v>
      </c>
      <c r="H230" s="9">
        <f t="shared" si="26"/>
        <v>29698.484809834987</v>
      </c>
      <c r="I230" s="9">
        <f t="shared" si="26"/>
        <v>-29698.484809834987</v>
      </c>
      <c r="J230" s="9">
        <f t="shared" si="26"/>
        <v>0</v>
      </c>
      <c r="K230" s="9">
        <f t="shared" si="26"/>
        <v>0</v>
      </c>
      <c r="L230" s="36">
        <f t="shared" si="26"/>
        <v>0</v>
      </c>
      <c r="M230" s="35">
        <f t="shared" si="26"/>
        <v>143396.96961966998</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IF(GRAFICA_27!F14=1, B234, GRAFICA_27!H14)</f>
        <v>C1X</v>
      </c>
      <c r="P234" s="215" t="s">
        <v>376</v>
      </c>
      <c r="Q234" s="172"/>
      <c r="R234" s="172"/>
      <c r="S234" s="172"/>
      <c r="T234" s="172"/>
      <c r="U234" s="173"/>
    </row>
    <row r="235" spans="1:21" ht="16.95" customHeight="1" x14ac:dyDescent="0.3">
      <c r="B235" s="12" t="s">
        <v>210</v>
      </c>
      <c r="C235" s="12" t="s">
        <v>179</v>
      </c>
      <c r="E235" s="37" t="str">
        <f>IF(GRAFICA_27!G14=1, B235, GRAFICA_27!I14)</f>
        <v>C1Y</v>
      </c>
      <c r="P235" s="215" t="s">
        <v>211</v>
      </c>
      <c r="Q235" s="172"/>
      <c r="R235" s="172"/>
      <c r="S235" s="172"/>
      <c r="T235" s="172"/>
      <c r="U235" s="173"/>
    </row>
    <row r="236" spans="1:21" ht="16.95" customHeight="1" x14ac:dyDescent="0.3">
      <c r="B236" s="12" t="s">
        <v>212</v>
      </c>
      <c r="C236" s="12" t="s">
        <v>180</v>
      </c>
      <c r="E236" s="37">
        <f>IF(GRAFICA_27!F15=1, B236, GRAFICA_27!H15)</f>
        <v>0</v>
      </c>
      <c r="P236" s="215" t="s">
        <v>377</v>
      </c>
      <c r="Q236" s="172"/>
      <c r="R236" s="172"/>
      <c r="S236" s="172"/>
      <c r="T236" s="172"/>
      <c r="U236" s="173"/>
    </row>
    <row r="237" spans="1:21" ht="16.95" customHeight="1" x14ac:dyDescent="0.3">
      <c r="B237" s="12" t="s">
        <v>214</v>
      </c>
      <c r="C237" s="12" t="s">
        <v>181</v>
      </c>
      <c r="E237" s="37">
        <f>IF(GRAFICA_27!G15=1, B237, GRAFICA_27!I15)</f>
        <v>-7000</v>
      </c>
      <c r="P237" s="215" t="s">
        <v>215</v>
      </c>
      <c r="Q237" s="172"/>
      <c r="R237" s="172"/>
      <c r="S237" s="172"/>
      <c r="T237" s="172"/>
      <c r="U237" s="173"/>
    </row>
    <row r="238" spans="1:21" ht="16.95" customHeight="1" x14ac:dyDescent="0.3">
      <c r="B238" s="12" t="s">
        <v>216</v>
      </c>
      <c r="C238" s="12" t="s">
        <v>182</v>
      </c>
      <c r="E238" s="37">
        <f>IF(GRAFICA_27!F16=1, B238, GRAFICA_27!H16)</f>
        <v>0</v>
      </c>
      <c r="P238" s="215" t="s">
        <v>378</v>
      </c>
      <c r="Q238" s="172"/>
      <c r="R238" s="172"/>
      <c r="S238" s="172"/>
      <c r="T238" s="172"/>
      <c r="U238" s="173"/>
    </row>
    <row r="239" spans="1:21" ht="16.95" customHeight="1" x14ac:dyDescent="0.3">
      <c r="A239" s="38" t="s">
        <v>218</v>
      </c>
      <c r="B239" s="12" t="s">
        <v>219</v>
      </c>
      <c r="C239" s="12" t="s">
        <v>183</v>
      </c>
      <c r="D239" s="13" t="s">
        <v>220</v>
      </c>
      <c r="E239" s="37">
        <f>IF(GRAFICA_27!G16=1, B239, GRAFICA_27!I16)</f>
        <v>-7000</v>
      </c>
      <c r="P239" s="215" t="s">
        <v>379</v>
      </c>
      <c r="Q239" s="172"/>
      <c r="R239" s="172"/>
      <c r="S239" s="172"/>
      <c r="T239" s="172"/>
      <c r="U239" s="173"/>
    </row>
    <row r="240" spans="1:21" ht="16.95" customHeight="1" x14ac:dyDescent="0.3">
      <c r="B240" s="12" t="s">
        <v>221</v>
      </c>
      <c r="C240" s="12" t="s">
        <v>184</v>
      </c>
      <c r="E240" s="37">
        <f>IF(GRAFICA_27!F17=1, B240, GRAFICA_27!H17)</f>
        <v>0</v>
      </c>
      <c r="P240" s="215"/>
      <c r="Q240" s="172"/>
      <c r="R240" s="172"/>
      <c r="S240" s="172"/>
      <c r="T240" s="172"/>
      <c r="U240" s="173"/>
    </row>
    <row r="241" spans="1:21" ht="16.95" customHeight="1" x14ac:dyDescent="0.3">
      <c r="B241" s="12" t="s">
        <v>222</v>
      </c>
      <c r="C241" s="12" t="s">
        <v>185</v>
      </c>
      <c r="E241" s="37" t="str">
        <f>IF(GRAFICA_27!G17=1, B241, GRAFICA_27!I17)</f>
        <v>C4Y</v>
      </c>
      <c r="P241" s="215"/>
      <c r="Q241" s="172"/>
      <c r="R241" s="172"/>
      <c r="S241" s="172"/>
      <c r="T241" s="172"/>
      <c r="U241" s="173"/>
    </row>
    <row r="242" spans="1:21" ht="16.95" customHeight="1" x14ac:dyDescent="0.3">
      <c r="B242" s="12" t="s">
        <v>223</v>
      </c>
      <c r="C242" s="12" t="s">
        <v>186</v>
      </c>
      <c r="E242" s="37">
        <f>IF(GRAFICA_27!F18=1, B242, GRAFICA_27!H18)</f>
        <v>0</v>
      </c>
      <c r="P242" s="215"/>
      <c r="Q242" s="172"/>
      <c r="R242" s="172"/>
      <c r="S242" s="172"/>
      <c r="T242" s="172"/>
      <c r="U242" s="173"/>
    </row>
    <row r="243" spans="1:21" ht="16.95" customHeight="1" x14ac:dyDescent="0.3">
      <c r="B243" s="12" t="s">
        <v>224</v>
      </c>
      <c r="C243" s="12" t="s">
        <v>187</v>
      </c>
      <c r="E243" s="37">
        <f>IF(GRAFICA_27!G18=1, B243, GRAFICA_27!I18)</f>
        <v>0</v>
      </c>
      <c r="P243" s="215"/>
      <c r="Q243" s="172"/>
      <c r="R243" s="172"/>
      <c r="S243" s="172"/>
      <c r="T243" s="172"/>
      <c r="U243" s="173"/>
    </row>
    <row r="244" spans="1:21" ht="16.95" customHeight="1" x14ac:dyDescent="0.3">
      <c r="B244" s="12" t="s">
        <v>225</v>
      </c>
      <c r="C244" s="12" t="s">
        <v>188</v>
      </c>
      <c r="E244" s="37">
        <f>IF(GRAFICA_27!F19=1, B244, GRAFICA_27!H19)</f>
        <v>0</v>
      </c>
      <c r="P244" s="215"/>
      <c r="Q244" s="172"/>
      <c r="R244" s="172"/>
      <c r="S244" s="172"/>
      <c r="T244" s="172"/>
      <c r="U244" s="173"/>
    </row>
    <row r="245" spans="1:21" ht="16.95" customHeight="1" x14ac:dyDescent="0.3">
      <c r="B245" s="12" t="s">
        <v>226</v>
      </c>
      <c r="C245" s="12" t="s">
        <v>189</v>
      </c>
      <c r="E245" s="37">
        <f>IF(GRAFICA_27!G19=1, B245, GRAFICA_27!I19)</f>
        <v>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IF(GRAFICA_27!F14=1,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IF(GRAFICA_27!G14=1,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IF(GRAFICA_27!F15=1,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IF(GRAFICA_27!G15=1,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IF(GRAFICA_27!F16=1,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IF(GRAFICA_27!G16=1, 0, B253)</f>
        <v>D3Y</v>
      </c>
      <c r="F253" s="14">
        <f>IF(E253&lt;&gt;0, COUNTIF(E$248:E253, "&lt;&gt;0"), "")</f>
        <v>4</v>
      </c>
      <c r="G253" s="14" t="str">
        <f>IF(E253=0, COUNTIF(E$248:E253, 0), "")</f>
        <v/>
      </c>
      <c r="P253" s="215"/>
      <c r="Q253" s="172"/>
      <c r="R253" s="172"/>
      <c r="S253" s="172"/>
      <c r="T253" s="172"/>
      <c r="U253" s="173"/>
    </row>
    <row r="254" spans="1:21" ht="16.95" customHeight="1" x14ac:dyDescent="0.3">
      <c r="B254" s="12" t="s">
        <v>235</v>
      </c>
      <c r="C254" s="12" t="s">
        <v>184</v>
      </c>
      <c r="E254" s="39" t="str">
        <f>IF(GRAFICA_27!F17=1, 0, B254)</f>
        <v>D4X</v>
      </c>
      <c r="F254" s="14">
        <f>IF(E254&lt;&gt;0, COUNTIF(E$248:E254, "&lt;&gt;0"), "")</f>
        <v>5</v>
      </c>
      <c r="G254" s="14" t="str">
        <f>IF(E254=0, COUNTIF(E$248:E254, 0), "")</f>
        <v/>
      </c>
      <c r="P254" s="215"/>
      <c r="Q254" s="172"/>
      <c r="R254" s="172"/>
      <c r="S254" s="172"/>
      <c r="T254" s="172"/>
      <c r="U254" s="173"/>
    </row>
    <row r="255" spans="1:21" ht="16.95" customHeight="1" x14ac:dyDescent="0.3">
      <c r="B255" s="12" t="s">
        <v>236</v>
      </c>
      <c r="C255" s="12" t="s">
        <v>185</v>
      </c>
      <c r="E255" s="39">
        <f>IF(GRAFICA_27!G17=1, 0, B255)</f>
        <v>0</v>
      </c>
      <c r="F255" s="14" t="str">
        <f>IF(E255&lt;&gt;0, COUNTIF(E$248:E255, "&lt;&gt;0"), "")</f>
        <v/>
      </c>
      <c r="G255" s="14">
        <f>IF(E255=0, COUNTIF(E$248:E255, 0), "")</f>
        <v>3</v>
      </c>
      <c r="P255" s="215"/>
      <c r="Q255" s="172"/>
      <c r="R255" s="172"/>
      <c r="S255" s="172"/>
      <c r="T255" s="172"/>
      <c r="U255" s="173"/>
    </row>
    <row r="256" spans="1:21" ht="16.95" customHeight="1" x14ac:dyDescent="0.3">
      <c r="B256" s="12" t="s">
        <v>237</v>
      </c>
      <c r="C256" s="12" t="s">
        <v>186</v>
      </c>
      <c r="E256" s="39" t="str">
        <f>IF(GRAFICA_27!F18=1,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IF(GRAFICA_27!G18=1,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IF(GRAFICA_27!F19=1,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IF(GRAFICA_27!G19=1,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-84000</v>
      </c>
      <c r="D266" s="9">
        <f t="shared" si="30"/>
        <v>0</v>
      </c>
      <c r="E266" s="41">
        <f t="shared" si="30"/>
        <v>197698.48480983498</v>
      </c>
      <c r="F266" s="41">
        <f t="shared" si="30"/>
        <v>29698.484809834987</v>
      </c>
      <c r="G266" s="41">
        <f t="shared" si="30"/>
        <v>-84000</v>
      </c>
      <c r="H266" s="41">
        <f t="shared" si="30"/>
        <v>0</v>
      </c>
      <c r="I266" s="41">
        <f t="shared" si="30"/>
        <v>0</v>
      </c>
      <c r="J266" s="9">
        <f t="shared" si="30"/>
        <v>0</v>
      </c>
      <c r="K266" s="41">
        <f t="shared" si="30"/>
        <v>0</v>
      </c>
      <c r="L266" s="41">
        <f t="shared" si="30"/>
        <v>0</v>
      </c>
      <c r="M266" s="41">
        <f t="shared" si="30"/>
        <v>-29698.484809834987</v>
      </c>
      <c r="N266" s="41">
        <f t="shared" si="30"/>
        <v>-29698.484809834987</v>
      </c>
      <c r="O266" s="13" t="s">
        <v>251</v>
      </c>
      <c r="P266" s="215" t="s">
        <v>254</v>
      </c>
      <c r="Q266" s="172"/>
      <c r="R266" s="172"/>
      <c r="S266" s="172"/>
      <c r="T266" s="172"/>
      <c r="U266" s="173"/>
    </row>
    <row r="267" spans="1:21" ht="16.95" customHeight="1" x14ac:dyDescent="0.3">
      <c r="A267" s="41">
        <f t="shared" si="27"/>
        <v>-7000</v>
      </c>
      <c r="C267" s="9">
        <f t="shared" ref="C267:N267" si="31">B222</f>
        <v>0</v>
      </c>
      <c r="D267" s="9">
        <f t="shared" si="31"/>
        <v>0</v>
      </c>
      <c r="E267" s="41">
        <f t="shared" si="31"/>
        <v>29698.484809834987</v>
      </c>
      <c r="F267" s="41">
        <f t="shared" si="31"/>
        <v>113698.48480983499</v>
      </c>
      <c r="G267" s="41">
        <f t="shared" si="31"/>
        <v>0</v>
      </c>
      <c r="H267" s="41">
        <f t="shared" si="31"/>
        <v>0</v>
      </c>
      <c r="I267" s="41">
        <f t="shared" si="31"/>
        <v>0</v>
      </c>
      <c r="J267" s="9">
        <f t="shared" si="31"/>
        <v>0</v>
      </c>
      <c r="K267" s="41">
        <f t="shared" si="31"/>
        <v>0</v>
      </c>
      <c r="L267" s="41">
        <f t="shared" si="31"/>
        <v>-84000</v>
      </c>
      <c r="M267" s="41">
        <f t="shared" si="31"/>
        <v>-29698.484809834987</v>
      </c>
      <c r="N267" s="41">
        <f t="shared" si="31"/>
        <v>-29698.484809834987</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215" t="s">
        <v>382</v>
      </c>
      <c r="Q268" s="172"/>
      <c r="R268" s="172"/>
      <c r="S268" s="172"/>
      <c r="T268" s="172"/>
      <c r="U268" s="173"/>
    </row>
    <row r="269" spans="1:21" ht="16.95" customHeight="1" x14ac:dyDescent="0.3">
      <c r="A269" s="41">
        <f t="shared" si="27"/>
        <v>-7000</v>
      </c>
      <c r="C269" s="9">
        <f t="shared" ref="C269:N269" si="33">B224</f>
        <v>0</v>
      </c>
      <c r="D269" s="9">
        <f t="shared" si="33"/>
        <v>0</v>
      </c>
      <c r="E269" s="41">
        <f t="shared" si="33"/>
        <v>0</v>
      </c>
      <c r="F269" s="41">
        <f t="shared" si="33"/>
        <v>0</v>
      </c>
      <c r="G269" s="41">
        <f t="shared" si="33"/>
        <v>0</v>
      </c>
      <c r="H269" s="41">
        <f t="shared" si="33"/>
        <v>84000</v>
      </c>
      <c r="I269" s="41">
        <f t="shared" si="33"/>
        <v>0</v>
      </c>
      <c r="J269" s="9">
        <f t="shared" si="33"/>
        <v>0</v>
      </c>
      <c r="K269" s="41">
        <f t="shared" si="33"/>
        <v>0</v>
      </c>
      <c r="L269" s="41">
        <f t="shared" si="33"/>
        <v>0</v>
      </c>
      <c r="M269" s="41">
        <f t="shared" si="33"/>
        <v>0</v>
      </c>
      <c r="N269" s="41">
        <f t="shared" si="33"/>
        <v>-84000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215" t="str">
        <f t="shared" si="34"/>
        <v>D4X</v>
      </c>
      <c r="Q270" s="172"/>
      <c r="R270" s="172"/>
      <c r="S270" s="172"/>
      <c r="T270" s="172"/>
      <c r="U270" s="173"/>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219">
        <f t="shared" si="34"/>
        <v>0</v>
      </c>
      <c r="Q271" s="172"/>
      <c r="R271" s="172"/>
      <c r="S271" s="172"/>
      <c r="T271" s="172"/>
      <c r="U271" s="173"/>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0</v>
      </c>
      <c r="H272" s="41">
        <f t="shared" si="37"/>
        <v>0</v>
      </c>
      <c r="I272" s="41">
        <f t="shared" si="37"/>
        <v>0</v>
      </c>
      <c r="J272" s="9">
        <f t="shared" si="37"/>
        <v>0</v>
      </c>
      <c r="K272" s="41">
        <f t="shared" si="37"/>
        <v>113698.48480983499</v>
      </c>
      <c r="L272" s="41">
        <f t="shared" si="37"/>
        <v>29698.484809834987</v>
      </c>
      <c r="M272" s="41">
        <f t="shared" si="37"/>
        <v>-84000</v>
      </c>
      <c r="N272" s="41">
        <f t="shared" si="37"/>
        <v>0</v>
      </c>
      <c r="O272" s="13" t="s">
        <v>251</v>
      </c>
      <c r="P272" s="215" t="str">
        <f t="shared" si="34"/>
        <v>D5X</v>
      </c>
      <c r="Q272" s="172"/>
      <c r="R272" s="172"/>
      <c r="S272" s="172"/>
      <c r="T272" s="172"/>
      <c r="U272" s="173"/>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0</v>
      </c>
      <c r="H273" s="41">
        <f t="shared" si="38"/>
        <v>0</v>
      </c>
      <c r="I273" s="41">
        <f t="shared" si="38"/>
        <v>0</v>
      </c>
      <c r="J273" s="9">
        <f t="shared" si="38"/>
        <v>0</v>
      </c>
      <c r="K273" s="41">
        <f t="shared" si="38"/>
        <v>29698.484809834987</v>
      </c>
      <c r="L273" s="41">
        <f t="shared" si="38"/>
        <v>113698.48480983499</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0</v>
      </c>
      <c r="C274" s="9">
        <f t="shared" ref="C274:N274" si="39">B229</f>
        <v>0</v>
      </c>
      <c r="D274" s="9">
        <f t="shared" si="39"/>
        <v>0</v>
      </c>
      <c r="E274" s="41">
        <f t="shared" si="39"/>
        <v>-29698.484809834987</v>
      </c>
      <c r="F274" s="41">
        <f t="shared" si="39"/>
        <v>-29698.484809834987</v>
      </c>
      <c r="G274" s="41">
        <f t="shared" si="39"/>
        <v>0</v>
      </c>
      <c r="H274" s="41">
        <f t="shared" si="39"/>
        <v>0</v>
      </c>
      <c r="I274" s="41">
        <f t="shared" si="39"/>
        <v>-29698.484809834987</v>
      </c>
      <c r="J274" s="9">
        <f t="shared" si="39"/>
        <v>29698.484809834987</v>
      </c>
      <c r="K274" s="41">
        <f t="shared" si="39"/>
        <v>-84000</v>
      </c>
      <c r="L274" s="41">
        <f t="shared" si="39"/>
        <v>0</v>
      </c>
      <c r="M274" s="41">
        <f t="shared" si="39"/>
        <v>143396.96961966998</v>
      </c>
      <c r="N274" s="41">
        <f t="shared" si="39"/>
        <v>0</v>
      </c>
      <c r="O274" s="13" t="s">
        <v>251</v>
      </c>
      <c r="P274" s="215" t="str">
        <f t="shared" si="34"/>
        <v>D6X</v>
      </c>
      <c r="Q274" s="172"/>
      <c r="R274" s="172"/>
      <c r="S274" s="172"/>
      <c r="T274" s="172"/>
      <c r="U274" s="173"/>
    </row>
    <row r="275" spans="1:21" ht="16.95" customHeight="1" x14ac:dyDescent="0.3">
      <c r="A275" s="41">
        <f t="shared" si="27"/>
        <v>0</v>
      </c>
      <c r="C275" s="9">
        <f t="shared" ref="C275:N275" si="40">B230</f>
        <v>0</v>
      </c>
      <c r="D275" s="9">
        <f t="shared" si="40"/>
        <v>0</v>
      </c>
      <c r="E275" s="41">
        <f t="shared" si="40"/>
        <v>-29698.484809834987</v>
      </c>
      <c r="F275" s="41">
        <f t="shared" si="40"/>
        <v>-29698.484809834987</v>
      </c>
      <c r="G275" s="41">
        <f t="shared" si="40"/>
        <v>0</v>
      </c>
      <c r="H275" s="41">
        <f t="shared" si="40"/>
        <v>-84000</v>
      </c>
      <c r="I275" s="41">
        <f t="shared" si="40"/>
        <v>29698.484809834987</v>
      </c>
      <c r="J275" s="9">
        <f t="shared" si="40"/>
        <v>-29698.484809834987</v>
      </c>
      <c r="K275" s="41">
        <f t="shared" si="40"/>
        <v>0</v>
      </c>
      <c r="L275" s="41">
        <f t="shared" si="40"/>
        <v>0</v>
      </c>
      <c r="M275" s="41">
        <f t="shared" si="40"/>
        <v>0</v>
      </c>
      <c r="N275" s="41">
        <f t="shared" si="40"/>
        <v>143396.96961966998</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197698.48480983498</v>
      </c>
      <c r="D280" s="41">
        <f t="shared" si="42"/>
        <v>29698.484809834987</v>
      </c>
      <c r="E280" s="41">
        <f t="shared" si="42"/>
        <v>-84000</v>
      </c>
      <c r="F280" s="41">
        <f t="shared" si="42"/>
        <v>0</v>
      </c>
      <c r="G280" s="41">
        <f t="shared" si="42"/>
        <v>0</v>
      </c>
      <c r="H280" s="41">
        <f t="shared" si="42"/>
        <v>0</v>
      </c>
      <c r="I280" s="41">
        <f t="shared" si="42"/>
        <v>0</v>
      </c>
      <c r="J280" s="41">
        <f t="shared" si="42"/>
        <v>-29698.484809834987</v>
      </c>
      <c r="K280" s="41">
        <f t="shared" si="42"/>
        <v>-29698.484809834987</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-7000</v>
      </c>
      <c r="C281" s="41">
        <f t="shared" si="42"/>
        <v>29698.484809834987</v>
      </c>
      <c r="D281" s="41">
        <f t="shared" si="42"/>
        <v>113698.48480983499</v>
      </c>
      <c r="E281" s="41">
        <f t="shared" si="42"/>
        <v>0</v>
      </c>
      <c r="F281" s="41">
        <f t="shared" si="42"/>
        <v>0</v>
      </c>
      <c r="G281" s="41">
        <f t="shared" si="42"/>
        <v>0</v>
      </c>
      <c r="H281" s="41">
        <f t="shared" si="42"/>
        <v>0</v>
      </c>
      <c r="I281" s="41">
        <f t="shared" si="42"/>
        <v>-84000</v>
      </c>
      <c r="J281" s="41">
        <f t="shared" si="42"/>
        <v>-29698.484809834987</v>
      </c>
      <c r="K281" s="41">
        <f t="shared" si="42"/>
        <v>-29698.484809834987</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-7000</v>
      </c>
      <c r="C283" s="41">
        <f t="shared" si="42"/>
        <v>0</v>
      </c>
      <c r="D283" s="41">
        <f t="shared" si="42"/>
        <v>0</v>
      </c>
      <c r="E283" s="41">
        <f t="shared" si="42"/>
        <v>0</v>
      </c>
      <c r="F283" s="41">
        <f t="shared" si="42"/>
        <v>84000</v>
      </c>
      <c r="G283" s="41">
        <f t="shared" si="42"/>
        <v>0</v>
      </c>
      <c r="H283" s="41">
        <f t="shared" si="42"/>
        <v>0</v>
      </c>
      <c r="I283" s="41">
        <f t="shared" si="42"/>
        <v>0</v>
      </c>
      <c r="J283" s="41">
        <f t="shared" si="42"/>
        <v>0</v>
      </c>
      <c r="K283" s="41">
        <f t="shared" si="42"/>
        <v>-84000</v>
      </c>
      <c r="L283" s="13" t="s">
        <v>251</v>
      </c>
      <c r="M283" s="38" t="str">
        <f>INDEX(B$248:B$259, MATCH(4, F$248:F$259, 0))</f>
        <v>D3Y</v>
      </c>
      <c r="N283" s="14" t="str">
        <f>INDEX(C$248:C$259, MATCH(4, F$248:F$259, 0))</f>
        <v>U3Y</v>
      </c>
      <c r="P283" s="215" t="s">
        <v>387</v>
      </c>
      <c r="Q283" s="172"/>
      <c r="R283" s="172"/>
      <c r="S283" s="172"/>
      <c r="T283" s="172"/>
      <c r="U283" s="173"/>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113698.48480983499</v>
      </c>
      <c r="I285" s="41">
        <f t="shared" si="42"/>
        <v>29698.484809834987</v>
      </c>
      <c r="J285" s="41">
        <f t="shared" si="42"/>
        <v>-84000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0</v>
      </c>
      <c r="C286" s="41">
        <f t="shared" si="42"/>
        <v>0</v>
      </c>
      <c r="D286" s="41">
        <f t="shared" si="42"/>
        <v>-84000</v>
      </c>
      <c r="E286" s="41">
        <f t="shared" si="42"/>
        <v>0</v>
      </c>
      <c r="F286" s="41">
        <f t="shared" si="42"/>
        <v>0</v>
      </c>
      <c r="G286" s="41">
        <f t="shared" si="42"/>
        <v>0</v>
      </c>
      <c r="H286" s="41">
        <f t="shared" si="42"/>
        <v>29698.484809834987</v>
      </c>
      <c r="I286" s="41">
        <f t="shared" si="42"/>
        <v>113698.48480983499</v>
      </c>
      <c r="J286" s="41">
        <f t="shared" si="42"/>
        <v>0</v>
      </c>
      <c r="K286" s="41">
        <f t="shared" si="42"/>
        <v>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0</v>
      </c>
      <c r="C287" s="41">
        <f t="shared" si="42"/>
        <v>-29698.484809834987</v>
      </c>
      <c r="D287" s="41">
        <f t="shared" si="42"/>
        <v>-29698.484809834987</v>
      </c>
      <c r="E287" s="41">
        <f t="shared" si="42"/>
        <v>0</v>
      </c>
      <c r="F287" s="41">
        <f t="shared" si="42"/>
        <v>0</v>
      </c>
      <c r="G287" s="41">
        <f t="shared" si="42"/>
        <v>-29698.484809834987</v>
      </c>
      <c r="H287" s="41">
        <f t="shared" si="42"/>
        <v>-84000</v>
      </c>
      <c r="I287" s="41">
        <f t="shared" si="42"/>
        <v>0</v>
      </c>
      <c r="J287" s="41">
        <f t="shared" si="42"/>
        <v>143396.96961966998</v>
      </c>
      <c r="K287" s="41">
        <f t="shared" si="42"/>
        <v>0</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0</v>
      </c>
      <c r="C288" s="41">
        <f t="shared" si="42"/>
        <v>-29698.484809834987</v>
      </c>
      <c r="D288" s="41">
        <f t="shared" si="42"/>
        <v>-29698.484809834987</v>
      </c>
      <c r="E288" s="41">
        <f t="shared" si="42"/>
        <v>0</v>
      </c>
      <c r="F288" s="41">
        <f t="shared" si="42"/>
        <v>-84000</v>
      </c>
      <c r="G288" s="41">
        <f t="shared" si="42"/>
        <v>29698.484809834987</v>
      </c>
      <c r="H288" s="41">
        <f t="shared" si="42"/>
        <v>0</v>
      </c>
      <c r="I288" s="41">
        <f t="shared" si="42"/>
        <v>0</v>
      </c>
      <c r="J288" s="41">
        <f t="shared" si="42"/>
        <v>0</v>
      </c>
      <c r="K288" s="41">
        <f t="shared" si="42"/>
        <v>143396.96961966998</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1.1904761904761902E-5</v>
      </c>
      <c r="D292" s="93">
        <v>-7.9365079365079328E-6</v>
      </c>
      <c r="E292" s="93">
        <v>1.1904761904761902E-5</v>
      </c>
      <c r="F292" s="93">
        <v>-3.9682539682539672E-6</v>
      </c>
      <c r="G292" s="93">
        <v>1.1904761904761898E-5</v>
      </c>
      <c r="H292" s="93">
        <v>7.9365079365079345E-6</v>
      </c>
      <c r="I292" s="93">
        <v>-7.9365079365079362E-6</v>
      </c>
      <c r="J292" s="93">
        <v>7.9365079365079345E-6</v>
      </c>
      <c r="K292" s="93">
        <v>-3.9682539682539672E-6</v>
      </c>
      <c r="M292" s="17">
        <f t="shared" ref="M292:M300" si="44">A280</f>
        <v>0</v>
      </c>
      <c r="P292" s="215"/>
      <c r="Q292" s="172"/>
      <c r="R292" s="172"/>
      <c r="S292" s="172"/>
      <c r="T292" s="172"/>
      <c r="U292" s="173"/>
    </row>
    <row r="293" spans="1:21" ht="16.95" customHeight="1" x14ac:dyDescent="0.3">
      <c r="A293" s="12" t="str">
        <f t="shared" si="43"/>
        <v>D2Y</v>
      </c>
      <c r="C293" s="93">
        <v>-7.9365079365079345E-6</v>
      </c>
      <c r="D293" s="93">
        <v>4.0966352841900995E-5</v>
      </c>
      <c r="E293" s="93">
        <v>-1.19047619047619E-5</v>
      </c>
      <c r="F293" s="93">
        <v>2.4451430389204466E-5</v>
      </c>
      <c r="G293" s="93">
        <v>-1.5873015873015872E-5</v>
      </c>
      <c r="H293" s="93">
        <v>-1.0582010582010577E-5</v>
      </c>
      <c r="I293" s="93">
        <v>3.3029844905393057E-5</v>
      </c>
      <c r="J293" s="93">
        <v>-2.6455026455026383E-6</v>
      </c>
      <c r="K293" s="93">
        <v>2.4451430389204466E-5</v>
      </c>
      <c r="M293" s="17">
        <f t="shared" si="44"/>
        <v>-7000</v>
      </c>
      <c r="P293" s="215"/>
      <c r="Q293" s="172"/>
      <c r="R293" s="172"/>
      <c r="S293" s="172"/>
      <c r="T293" s="172"/>
      <c r="U293" s="173"/>
    </row>
    <row r="294" spans="1:21" ht="16.95" customHeight="1" x14ac:dyDescent="0.3">
      <c r="A294" s="12" t="str">
        <f t="shared" si="43"/>
        <v>D3X</v>
      </c>
      <c r="C294" s="93">
        <v>1.19047619047619E-5</v>
      </c>
      <c r="D294" s="93">
        <v>-1.1904761904761902E-5</v>
      </c>
      <c r="E294" s="93">
        <v>2.3809523809523803E-5</v>
      </c>
      <c r="F294" s="93">
        <v>-1.1904761904761905E-5</v>
      </c>
      <c r="G294" s="93">
        <v>2.38095238095238E-5</v>
      </c>
      <c r="H294" s="93">
        <v>1.1904761904761902E-5</v>
      </c>
      <c r="I294" s="93">
        <v>-1.19047619047619E-5</v>
      </c>
      <c r="J294" s="93">
        <v>1.19047619047619E-5</v>
      </c>
      <c r="K294" s="93">
        <v>-1.1904761904761905E-5</v>
      </c>
      <c r="M294" s="17">
        <f t="shared" si="44"/>
        <v>0</v>
      </c>
      <c r="P294" s="215"/>
      <c r="Q294" s="172"/>
      <c r="R294" s="172"/>
      <c r="S294" s="172"/>
      <c r="T294" s="172"/>
      <c r="U294" s="173"/>
    </row>
    <row r="295" spans="1:21" ht="16.95" customHeight="1" x14ac:dyDescent="0.3">
      <c r="A295" s="12" t="str">
        <f t="shared" si="43"/>
        <v>D3Y</v>
      </c>
      <c r="C295" s="93">
        <v>-3.9682539682539655E-6</v>
      </c>
      <c r="D295" s="93">
        <v>2.4451430389204473E-5</v>
      </c>
      <c r="E295" s="93">
        <v>-1.19047619047619E-5</v>
      </c>
      <c r="F295" s="93">
        <v>4.8902860778408933E-5</v>
      </c>
      <c r="G295" s="93">
        <v>-1.9841269841269841E-5</v>
      </c>
      <c r="H295" s="93">
        <v>-9.2592592592592574E-6</v>
      </c>
      <c r="I295" s="93">
        <v>2.0483176420950497E-5</v>
      </c>
      <c r="J295" s="93">
        <v>-5.291005291005286E-6</v>
      </c>
      <c r="K295" s="93">
        <v>3.6998098873647029E-5</v>
      </c>
      <c r="M295" s="17">
        <f t="shared" si="44"/>
        <v>-7000</v>
      </c>
      <c r="P295" s="215"/>
      <c r="Q295" s="172"/>
      <c r="R295" s="172"/>
      <c r="S295" s="172"/>
      <c r="T295" s="172"/>
      <c r="U295" s="173"/>
    </row>
    <row r="296" spans="1:21" ht="16.95" customHeight="1" x14ac:dyDescent="0.3">
      <c r="A296" s="12" t="str">
        <f t="shared" si="43"/>
        <v>D4X</v>
      </c>
      <c r="B296" s="13" t="s">
        <v>220</v>
      </c>
      <c r="C296" s="93">
        <v>1.19047619047619E-5</v>
      </c>
      <c r="D296" s="93">
        <v>-1.5873015873015869E-5</v>
      </c>
      <c r="E296" s="93">
        <v>2.38095238095238E-5</v>
      </c>
      <c r="F296" s="93">
        <v>-1.9841269841269841E-5</v>
      </c>
      <c r="G296" s="93">
        <v>3.5714285714285703E-5</v>
      </c>
      <c r="H296" s="93">
        <v>1.5873015873015866E-5</v>
      </c>
      <c r="I296" s="93">
        <v>-1.5873015873015866E-5</v>
      </c>
      <c r="J296" s="93">
        <v>1.5873015873015866E-5</v>
      </c>
      <c r="K296" s="93">
        <v>-1.9841269841269841E-5</v>
      </c>
      <c r="M296" s="17">
        <f t="shared" si="44"/>
        <v>0</v>
      </c>
      <c r="P296" s="215"/>
      <c r="Q296" s="172"/>
      <c r="R296" s="172"/>
      <c r="S296" s="172"/>
      <c r="T296" s="172"/>
      <c r="U296" s="173"/>
    </row>
    <row r="297" spans="1:21" ht="16.95" customHeight="1" x14ac:dyDescent="0.3">
      <c r="A297" s="12" t="str">
        <f t="shared" si="43"/>
        <v>D5X</v>
      </c>
      <c r="C297" s="93">
        <v>7.9365079365079345E-6</v>
      </c>
      <c r="D297" s="93">
        <v>-1.0582010582010577E-5</v>
      </c>
      <c r="E297" s="93">
        <v>1.19047619047619E-5</v>
      </c>
      <c r="F297" s="93">
        <v>-9.2592592592592574E-6</v>
      </c>
      <c r="G297" s="93">
        <v>1.5873015873015869E-5</v>
      </c>
      <c r="H297" s="93">
        <v>2.5774181711955779E-5</v>
      </c>
      <c r="I297" s="93">
        <v>-1.4550264550264544E-5</v>
      </c>
      <c r="J297" s="93">
        <v>1.7837673775447841E-5</v>
      </c>
      <c r="K297" s="93">
        <v>-9.2592592592592574E-6</v>
      </c>
      <c r="M297" s="17">
        <f t="shared" si="44"/>
        <v>0</v>
      </c>
      <c r="P297" s="215"/>
      <c r="Q297" s="172"/>
      <c r="R297" s="172"/>
      <c r="S297" s="172"/>
      <c r="T297" s="172"/>
      <c r="U297" s="173"/>
    </row>
    <row r="298" spans="1:21" ht="16.95" customHeight="1" x14ac:dyDescent="0.3">
      <c r="A298" s="12" t="str">
        <f t="shared" si="43"/>
        <v>D5Y</v>
      </c>
      <c r="C298" s="93">
        <v>-7.9365079365079328E-6</v>
      </c>
      <c r="D298" s="93">
        <v>3.302984490539305E-5</v>
      </c>
      <c r="E298" s="93">
        <v>-1.19047619047619E-5</v>
      </c>
      <c r="F298" s="93">
        <v>2.0483176420950497E-5</v>
      </c>
      <c r="G298" s="93">
        <v>-1.5873015873015872E-5</v>
      </c>
      <c r="H298" s="93">
        <v>-1.4550264550264544E-5</v>
      </c>
      <c r="I298" s="93">
        <v>3.6998098873647016E-5</v>
      </c>
      <c r="J298" s="93">
        <v>-6.6137566137566064E-6</v>
      </c>
      <c r="K298" s="93">
        <v>2.0483176420950497E-5</v>
      </c>
      <c r="M298" s="17">
        <f t="shared" si="44"/>
        <v>0</v>
      </c>
      <c r="P298" s="215"/>
      <c r="Q298" s="172"/>
      <c r="R298" s="172"/>
      <c r="S298" s="172"/>
      <c r="T298" s="172"/>
      <c r="U298" s="173"/>
    </row>
    <row r="299" spans="1:21" ht="16.95" customHeight="1" x14ac:dyDescent="0.3">
      <c r="A299" s="12" t="str">
        <f t="shared" si="43"/>
        <v>D6X</v>
      </c>
      <c r="C299" s="93">
        <v>7.9365079365079345E-6</v>
      </c>
      <c r="D299" s="93">
        <v>-2.6455026455026404E-6</v>
      </c>
      <c r="E299" s="93">
        <v>1.1904761904761898E-5</v>
      </c>
      <c r="F299" s="93">
        <v>-5.2910052910052877E-6</v>
      </c>
      <c r="G299" s="93">
        <v>1.5873015873015869E-5</v>
      </c>
      <c r="H299" s="93">
        <v>1.7837673775447845E-5</v>
      </c>
      <c r="I299" s="93">
        <v>-6.613756613756609E-6</v>
      </c>
      <c r="J299" s="93">
        <v>2.1805927743701814E-5</v>
      </c>
      <c r="K299" s="93">
        <v>-5.2910052910052877E-6</v>
      </c>
      <c r="M299" s="17">
        <f t="shared" si="44"/>
        <v>0</v>
      </c>
      <c r="P299" s="215"/>
      <c r="Q299" s="172"/>
      <c r="R299" s="172"/>
      <c r="S299" s="172"/>
      <c r="T299" s="172"/>
      <c r="U299" s="173"/>
    </row>
    <row r="300" spans="1:21" ht="16.95" customHeight="1" x14ac:dyDescent="0.3">
      <c r="A300" s="12" t="str">
        <f t="shared" si="43"/>
        <v>D6Y</v>
      </c>
      <c r="C300" s="93">
        <v>-3.9682539682539655E-6</v>
      </c>
      <c r="D300" s="93">
        <v>2.445143038920447E-5</v>
      </c>
      <c r="E300" s="93">
        <v>-1.19047619047619E-5</v>
      </c>
      <c r="F300" s="93">
        <v>3.6998098873647029E-5</v>
      </c>
      <c r="G300" s="93">
        <v>-1.9841269841269841E-5</v>
      </c>
      <c r="H300" s="93">
        <v>-9.2592592592592574E-6</v>
      </c>
      <c r="I300" s="93">
        <v>2.0483176420950497E-5</v>
      </c>
      <c r="J300" s="93">
        <v>-5.291005291005286E-6</v>
      </c>
      <c r="K300" s="93">
        <v>3.6998098873647029E-5</v>
      </c>
      <c r="M300" s="17">
        <f t="shared" si="44"/>
        <v>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8.3333333333333301E-2</v>
      </c>
      <c r="D304" s="12" t="s">
        <v>267</v>
      </c>
      <c r="P304" s="215"/>
      <c r="Q304" s="172"/>
      <c r="R304" s="172"/>
      <c r="S304" s="172"/>
      <c r="T304" s="172"/>
      <c r="U304" s="173"/>
    </row>
    <row r="305" spans="1:21" ht="16.95" customHeight="1" x14ac:dyDescent="0.3">
      <c r="A305" s="12" t="str">
        <f t="shared" si="45"/>
        <v>D2Y</v>
      </c>
      <c r="C305" s="94">
        <v>-0.45792448261773822</v>
      </c>
      <c r="D305" s="12" t="s">
        <v>267</v>
      </c>
      <c r="P305" s="215"/>
      <c r="Q305" s="172"/>
      <c r="R305" s="172"/>
      <c r="S305" s="172"/>
      <c r="T305" s="172"/>
      <c r="U305" s="173"/>
    </row>
    <row r="306" spans="1:21" ht="16.95" customHeight="1" x14ac:dyDescent="0.3">
      <c r="A306" s="12" t="str">
        <f t="shared" si="45"/>
        <v>D3X</v>
      </c>
      <c r="C306" s="94">
        <v>0.16666666666666663</v>
      </c>
      <c r="D306" s="12" t="s">
        <v>267</v>
      </c>
      <c r="P306" s="215"/>
      <c r="Q306" s="172"/>
      <c r="R306" s="172"/>
      <c r="S306" s="172"/>
      <c r="T306" s="172"/>
      <c r="U306" s="173"/>
    </row>
    <row r="307" spans="1:21" ht="16.95" customHeight="1" x14ac:dyDescent="0.3">
      <c r="A307" s="12" t="str">
        <f t="shared" si="45"/>
        <v>D3Y</v>
      </c>
      <c r="C307" s="94">
        <v>-0.5134800381732938</v>
      </c>
      <c r="D307" s="12" t="s">
        <v>267</v>
      </c>
      <c r="P307" s="215"/>
      <c r="Q307" s="172"/>
      <c r="R307" s="172"/>
      <c r="S307" s="172"/>
      <c r="T307" s="172"/>
      <c r="U307" s="173"/>
    </row>
    <row r="308" spans="1:21" ht="16.95" customHeight="1" x14ac:dyDescent="0.3">
      <c r="A308" s="12" t="str">
        <f t="shared" si="45"/>
        <v>D4X</v>
      </c>
      <c r="B308" s="13" t="s">
        <v>220</v>
      </c>
      <c r="C308" s="94">
        <v>0.24999999999999997</v>
      </c>
      <c r="D308" s="12" t="s">
        <v>267</v>
      </c>
      <c r="P308" s="215"/>
      <c r="Q308" s="172"/>
      <c r="R308" s="172"/>
      <c r="S308" s="172"/>
      <c r="T308" s="172"/>
      <c r="U308" s="173"/>
    </row>
    <row r="309" spans="1:21" ht="16.95" customHeight="1" x14ac:dyDescent="0.3">
      <c r="A309" s="12" t="str">
        <f t="shared" si="45"/>
        <v>D5X</v>
      </c>
      <c r="C309" s="94">
        <v>0.13888888888888884</v>
      </c>
      <c r="D309" s="12" t="s">
        <v>267</v>
      </c>
      <c r="P309" s="215"/>
      <c r="Q309" s="172"/>
      <c r="R309" s="172"/>
      <c r="S309" s="172"/>
      <c r="T309" s="172"/>
      <c r="U309" s="173"/>
    </row>
    <row r="310" spans="1:21" ht="16.95" customHeight="1" x14ac:dyDescent="0.3">
      <c r="A310" s="12" t="str">
        <f t="shared" si="45"/>
        <v>D5Y</v>
      </c>
      <c r="C310" s="94">
        <v>-0.37459114928440485</v>
      </c>
      <c r="D310" s="12" t="s">
        <v>267</v>
      </c>
      <c r="P310" s="215"/>
      <c r="Q310" s="172"/>
      <c r="R310" s="172"/>
      <c r="S310" s="172"/>
      <c r="T310" s="172"/>
      <c r="U310" s="173"/>
    </row>
    <row r="311" spans="1:21" ht="16.95" customHeight="1" x14ac:dyDescent="0.3">
      <c r="A311" s="12" t="str">
        <f t="shared" si="45"/>
        <v>D6X</v>
      </c>
      <c r="C311" s="94">
        <v>5.5555555555555497E-2</v>
      </c>
      <c r="D311" s="12" t="s">
        <v>267</v>
      </c>
      <c r="P311" s="215"/>
      <c r="Q311" s="172"/>
      <c r="R311" s="172"/>
      <c r="S311" s="172"/>
      <c r="T311" s="172"/>
      <c r="U311" s="173"/>
    </row>
    <row r="312" spans="1:21" ht="16.95" customHeight="1" x14ac:dyDescent="0.3">
      <c r="A312" s="12" t="str">
        <f t="shared" si="45"/>
        <v>D6Y</v>
      </c>
      <c r="C312" s="94">
        <v>-0.43014670483996054</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8.3333333333333301E-2</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-0.45792448261773822</v>
      </c>
      <c r="N318" s="14" t="str">
        <f>INDEX(C$248:C$259, MATCH(2, G$248:G$259, 0))</f>
        <v>U1Y</v>
      </c>
      <c r="P318" s="215" t="s">
        <v>391</v>
      </c>
      <c r="Q318" s="172"/>
      <c r="R318" s="172"/>
      <c r="S318" s="172"/>
      <c r="T318" s="172"/>
      <c r="U318" s="173"/>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0.16666666666666663</v>
      </c>
      <c r="N319" s="14" t="str">
        <f>INDEX(C$248:C$259, MATCH(3, G$248:G$259, 0))</f>
        <v>U4Y</v>
      </c>
      <c r="P319" s="215" t="s">
        <v>392</v>
      </c>
      <c r="Q319" s="172"/>
      <c r="R319" s="172"/>
      <c r="S319" s="172"/>
      <c r="T319" s="172"/>
      <c r="U319" s="173"/>
    </row>
    <row r="320" spans="1:21" ht="16.95" customHeight="1" x14ac:dyDescent="0.3">
      <c r="M320" s="95">
        <f t="shared" si="47"/>
        <v>-0.5134800381732938</v>
      </c>
      <c r="P320" s="215" t="s">
        <v>393</v>
      </c>
      <c r="Q320" s="172"/>
      <c r="R320" s="172"/>
      <c r="S320" s="172"/>
      <c r="T320" s="172"/>
      <c r="U320" s="173"/>
    </row>
    <row r="321" spans="1:21" ht="16.95" customHeight="1" x14ac:dyDescent="0.3">
      <c r="M321" s="95">
        <f t="shared" si="47"/>
        <v>0.24999999999999997</v>
      </c>
      <c r="P321" s="215" t="s">
        <v>394</v>
      </c>
      <c r="Q321" s="172"/>
      <c r="R321" s="172"/>
      <c r="S321" s="172"/>
      <c r="T321" s="172"/>
      <c r="U321" s="173"/>
    </row>
    <row r="322" spans="1:21" ht="16.95" customHeight="1" x14ac:dyDescent="0.3">
      <c r="M322" s="95">
        <f t="shared" si="47"/>
        <v>0.13888888888888884</v>
      </c>
      <c r="P322" s="215"/>
      <c r="Q322" s="172"/>
      <c r="R322" s="172"/>
      <c r="S322" s="172"/>
      <c r="T322" s="172"/>
      <c r="U322" s="173"/>
    </row>
    <row r="323" spans="1:21" ht="16.95" customHeight="1" x14ac:dyDescent="0.3">
      <c r="M323" s="95">
        <f t="shared" si="47"/>
        <v>-0.37459114928440485</v>
      </c>
      <c r="P323" s="215"/>
      <c r="Q323" s="172"/>
      <c r="R323" s="172"/>
      <c r="S323" s="172"/>
      <c r="T323" s="172"/>
      <c r="U323" s="173"/>
    </row>
    <row r="324" spans="1:21" ht="16.95" customHeight="1" x14ac:dyDescent="0.3">
      <c r="M324" s="95">
        <f t="shared" si="47"/>
        <v>5.5555555555555497E-2</v>
      </c>
      <c r="P324" s="215"/>
      <c r="Q324" s="172"/>
      <c r="R324" s="172"/>
      <c r="S324" s="172"/>
      <c r="T324" s="172"/>
      <c r="U324" s="173"/>
    </row>
    <row r="325" spans="1:21" ht="16.95" customHeight="1" x14ac:dyDescent="0.3">
      <c r="M325" s="95">
        <f t="shared" si="47"/>
        <v>-0.43014670483996054</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5.4569682106375694E-12</v>
      </c>
      <c r="D327" s="12" t="s">
        <v>273</v>
      </c>
      <c r="P327" s="215"/>
      <c r="Q327" s="172"/>
      <c r="R327" s="172"/>
      <c r="S327" s="172"/>
      <c r="T327" s="172"/>
      <c r="U327" s="173"/>
    </row>
    <row r="328" spans="1:21" ht="16.95" customHeight="1" x14ac:dyDescent="0.3">
      <c r="A328" s="12" t="str">
        <f>A318</f>
        <v>C1Y</v>
      </c>
      <c r="B328" s="13" t="s">
        <v>220</v>
      </c>
      <c r="C328" s="17">
        <v>7000.0000000000027</v>
      </c>
      <c r="D328" s="12" t="s">
        <v>273</v>
      </c>
      <c r="P328" s="215"/>
      <c r="Q328" s="172"/>
      <c r="R328" s="172"/>
      <c r="S328" s="172"/>
      <c r="T328" s="172"/>
      <c r="U328" s="173"/>
    </row>
    <row r="329" spans="1:21" ht="16.95" customHeight="1" x14ac:dyDescent="0.3">
      <c r="A329" s="12" t="str">
        <f>A319</f>
        <v>C4Y</v>
      </c>
      <c r="C329" s="17">
        <v>7000.0000000000045</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8.3333333333333301E-2</v>
      </c>
    </row>
    <row r="337" spans="1:21" ht="19.05" customHeight="1" x14ac:dyDescent="0.3">
      <c r="A337" s="12" t="s">
        <v>231</v>
      </c>
      <c r="B337" s="12" t="s">
        <v>181</v>
      </c>
      <c r="D337" s="94">
        <f t="shared" si="48"/>
        <v>-0.45792448261773822</v>
      </c>
    </row>
    <row r="338" spans="1:21" ht="19.05" customHeight="1" x14ac:dyDescent="0.3">
      <c r="A338" s="12" t="s">
        <v>232</v>
      </c>
      <c r="B338" s="12" t="s">
        <v>182</v>
      </c>
      <c r="D338" s="94">
        <f t="shared" si="48"/>
        <v>0.16666666666666663</v>
      </c>
    </row>
    <row r="339" spans="1:21" ht="19.05" customHeight="1" x14ac:dyDescent="0.3">
      <c r="A339" s="12" t="s">
        <v>234</v>
      </c>
      <c r="B339" s="12" t="s">
        <v>183</v>
      </c>
      <c r="D339" s="94">
        <f t="shared" si="48"/>
        <v>-0.5134800381732938</v>
      </c>
    </row>
    <row r="340" spans="1:21" ht="19.05" customHeight="1" x14ac:dyDescent="0.3">
      <c r="A340" s="12" t="s">
        <v>235</v>
      </c>
      <c r="B340" s="12" t="s">
        <v>184</v>
      </c>
      <c r="D340" s="94">
        <f t="shared" si="48"/>
        <v>0.24999999999999997</v>
      </c>
    </row>
    <row r="341" spans="1:21" ht="19.05" customHeight="1" x14ac:dyDescent="0.3">
      <c r="A341" s="12" t="s">
        <v>236</v>
      </c>
      <c r="B341" s="12" t="s">
        <v>185</v>
      </c>
      <c r="D341" s="94">
        <f t="shared" si="48"/>
        <v>0</v>
      </c>
    </row>
    <row r="342" spans="1:21" ht="19.05" customHeight="1" x14ac:dyDescent="0.3">
      <c r="A342" s="12" t="s">
        <v>237</v>
      </c>
      <c r="B342" s="12" t="s">
        <v>186</v>
      </c>
      <c r="D342" s="94">
        <f t="shared" si="48"/>
        <v>0.13888888888888884</v>
      </c>
    </row>
    <row r="343" spans="1:21" ht="19.05" customHeight="1" x14ac:dyDescent="0.3">
      <c r="A343" s="12" t="s">
        <v>238</v>
      </c>
      <c r="B343" s="12" t="s">
        <v>187</v>
      </c>
      <c r="D343" s="94">
        <f t="shared" si="48"/>
        <v>-0.37459114928440485</v>
      </c>
    </row>
    <row r="344" spans="1:21" ht="19.05" customHeight="1" x14ac:dyDescent="0.3">
      <c r="A344" s="12" t="s">
        <v>239</v>
      </c>
      <c r="B344" s="12" t="s">
        <v>188</v>
      </c>
      <c r="D344" s="94">
        <f t="shared" si="48"/>
        <v>5.5555555555555497E-2</v>
      </c>
    </row>
    <row r="345" spans="1:21" ht="19.05" customHeight="1" x14ac:dyDescent="0.3">
      <c r="A345" s="12" t="s">
        <v>240</v>
      </c>
      <c r="B345" s="12" t="s">
        <v>189</v>
      </c>
      <c r="D345" s="94">
        <f t="shared" si="48"/>
        <v>-0.43014670483996054</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6999.9999999999973</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8.3333333333333301E-2</v>
      </c>
      <c r="H354" s="12" t="str">
        <f>"D" &amp; E18 &amp; "X"</f>
        <v>D2X</v>
      </c>
      <c r="P354" s="215" t="s">
        <v>400</v>
      </c>
      <c r="Q354" s="172"/>
      <c r="R354" s="172"/>
      <c r="S354" s="172"/>
      <c r="T354" s="172"/>
      <c r="U354" s="173"/>
    </row>
    <row r="355" spans="1:21" ht="16.95" customHeight="1" x14ac:dyDescent="0.3">
      <c r="G355" s="96">
        <f>IFERROR(VLOOKUP(H355, A$334:D$345, 4, FALSE), 0)</f>
        <v>-0.45792448261773822</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84000</v>
      </c>
      <c r="C360" s="92">
        <f>-J7</f>
        <v>-1</v>
      </c>
      <c r="D360" s="92">
        <f>-K7</f>
        <v>0</v>
      </c>
      <c r="E360" s="92">
        <f>J7</f>
        <v>1</v>
      </c>
      <c r="F360" s="92">
        <f>K7</f>
        <v>0</v>
      </c>
      <c r="G360" s="96">
        <f>IFERROR(VLOOKUP(H360, A$334:D$345, 4, FALSE), 0)</f>
        <v>8.3333333333333301E-2</v>
      </c>
      <c r="H360" s="12" t="str">
        <f>"D" &amp; C19 &amp; "X"</f>
        <v>D2X</v>
      </c>
      <c r="P360" s="215"/>
      <c r="Q360" s="172"/>
      <c r="R360" s="172"/>
      <c r="S360" s="172"/>
      <c r="T360" s="172"/>
      <c r="U360" s="173"/>
    </row>
    <row r="361" spans="1:21" ht="16.95" customHeight="1" x14ac:dyDescent="0.3">
      <c r="A361" s="99" t="s">
        <v>286</v>
      </c>
      <c r="B361" s="97">
        <f>(MMULT(C360:F360, G360:G363)*A360)</f>
        <v>7000</v>
      </c>
      <c r="G361" s="96">
        <f>IFERROR(VLOOKUP(H361, A$334:D$345, 4, FALSE), 0)</f>
        <v>-0.45792448261773822</v>
      </c>
      <c r="H361" s="12" t="str">
        <f>"D" &amp; D19 &amp; "Y"</f>
        <v>D2Y</v>
      </c>
      <c r="P361" s="215"/>
      <c r="Q361" s="172"/>
      <c r="R361" s="172"/>
      <c r="S361" s="172"/>
      <c r="T361" s="172"/>
      <c r="U361" s="173"/>
    </row>
    <row r="362" spans="1:21" ht="16.95" customHeight="1" x14ac:dyDescent="0.3">
      <c r="G362" s="96">
        <f>IFERROR(VLOOKUP(H362, A$334:D$345, 4, FALSE), 0)</f>
        <v>0.16666666666666663</v>
      </c>
      <c r="H362" s="12" t="str">
        <f>"D" &amp; E19 &amp; "X"</f>
        <v>D3X</v>
      </c>
      <c r="P362" s="215"/>
      <c r="Q362" s="172"/>
      <c r="R362" s="172"/>
      <c r="S362" s="172"/>
      <c r="T362" s="172"/>
      <c r="U362" s="173"/>
    </row>
    <row r="363" spans="1:21" ht="16.95" customHeight="1" x14ac:dyDescent="0.3">
      <c r="G363" s="96">
        <f>IFERROR(VLOOKUP(H363, A$334:D$345, 4, FALSE), 0)</f>
        <v>-0.5134800381732938</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84000</v>
      </c>
      <c r="C368" s="92">
        <f>-J8</f>
        <v>-1</v>
      </c>
      <c r="D368" s="92">
        <f>-K8</f>
        <v>0</v>
      </c>
      <c r="E368" s="92">
        <f>J8</f>
        <v>1</v>
      </c>
      <c r="F368" s="92">
        <f>K8</f>
        <v>0</v>
      </c>
      <c r="G368" s="96">
        <f>IFERROR(VLOOKUP(H368, A$334:D$345, 4, FALSE), 0)</f>
        <v>0.16666666666666663</v>
      </c>
      <c r="H368" s="12" t="str">
        <f>"D" &amp; C20 &amp; "X"</f>
        <v>D3X</v>
      </c>
      <c r="P368" s="215"/>
      <c r="Q368" s="172"/>
      <c r="R368" s="172"/>
      <c r="S368" s="172"/>
      <c r="T368" s="172"/>
      <c r="U368" s="173"/>
    </row>
    <row r="369" spans="1:21" ht="16.95" customHeight="1" x14ac:dyDescent="0.3">
      <c r="A369" s="99" t="s">
        <v>287</v>
      </c>
      <c r="B369" s="97">
        <f>(MMULT(C368:F368, G368:G371)*A368)</f>
        <v>7000.0000000000009</v>
      </c>
      <c r="G369" s="96">
        <f>IFERROR(VLOOKUP(H369, A$334:D$345, 4, FALSE), 0)</f>
        <v>-0.5134800381732938</v>
      </c>
      <c r="H369" s="12" t="str">
        <f>"D" &amp; D20 &amp; "Y"</f>
        <v>D3Y</v>
      </c>
      <c r="P369" s="215"/>
      <c r="Q369" s="172"/>
      <c r="R369" s="172"/>
      <c r="S369" s="172"/>
      <c r="T369" s="172"/>
      <c r="U369" s="173"/>
    </row>
    <row r="370" spans="1:21" ht="16.95" customHeight="1" x14ac:dyDescent="0.3">
      <c r="G370" s="96">
        <f>IFERROR(VLOOKUP(H370, A$334:D$345, 4, FALSE), 0)</f>
        <v>0.24999999999999997</v>
      </c>
      <c r="H370" s="12" t="str">
        <f>"D" &amp; E20 &amp; "X"</f>
        <v>D4X</v>
      </c>
      <c r="P370" s="215"/>
      <c r="Q370" s="172"/>
      <c r="R370" s="172"/>
      <c r="S370" s="172"/>
      <c r="T370" s="172"/>
      <c r="U370" s="173"/>
    </row>
    <row r="371" spans="1:21" ht="16.95" customHeight="1" x14ac:dyDescent="0.3">
      <c r="G371" s="96">
        <f>IFERROR(VLOOKUP(H371, A$334:D$345, 4, FALSE), 0)</f>
        <v>0</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TRACCIÓN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0.13888888888888884</v>
      </c>
      <c r="H376" s="12" t="str">
        <f>"D" &amp; C21 &amp; "X"</f>
        <v>D5X</v>
      </c>
    </row>
    <row r="377" spans="1:21" ht="19.95" customHeight="1" x14ac:dyDescent="0.3">
      <c r="A377" s="99" t="s">
        <v>288</v>
      </c>
      <c r="B377" s="97">
        <f>(MMULT(C376:F376, G376:G379)*A376)</f>
        <v>-7000.0000000000009</v>
      </c>
      <c r="G377" s="96">
        <f>IFERROR(VLOOKUP(H377, A$334:D$345, 4, FALSE), 0)</f>
        <v>-0.37459114928440485</v>
      </c>
      <c r="H377" s="12" t="str">
        <f>"D" &amp; D21 &amp; "Y"</f>
        <v>D5Y</v>
      </c>
    </row>
    <row r="378" spans="1:21" ht="19.95" customHeight="1" x14ac:dyDescent="0.3">
      <c r="G378" s="96">
        <f>IFERROR(VLOOKUP(H378, A$334:D$345, 4, FALSE), 0)</f>
        <v>5.5555555555555497E-2</v>
      </c>
      <c r="H378" s="12" t="str">
        <f>"D" &amp; E21 &amp; "X"</f>
        <v>D6X</v>
      </c>
    </row>
    <row r="379" spans="1:21" ht="19.95" customHeight="1" x14ac:dyDescent="0.3">
      <c r="G379" s="96">
        <f>IFERROR(VLOOKUP(H379, A$334:D$345, 4, FALSE), 0)</f>
        <v>-0.43014670483996054</v>
      </c>
      <c r="H379" s="12" t="str">
        <f>"D" &amp; F21 &amp; "Y"</f>
        <v>D6Y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0</v>
      </c>
      <c r="D384" s="92">
        <f>-K10</f>
        <v>-1</v>
      </c>
      <c r="E384" s="92">
        <f>J10</f>
        <v>0</v>
      </c>
      <c r="F384" s="92">
        <f>K10</f>
        <v>1</v>
      </c>
      <c r="G384" s="96">
        <f>IFERROR(VLOOKUP(H384, A$334:D$345, 4, FALSE), 0)</f>
        <v>8.3333333333333301E-2</v>
      </c>
      <c r="H384" s="12" t="str">
        <f>"D" &amp; C22 &amp; "X"</f>
        <v>D2X</v>
      </c>
    </row>
    <row r="385" spans="1:8" ht="19.95" customHeight="1" x14ac:dyDescent="0.3">
      <c r="A385" s="99" t="s">
        <v>289</v>
      </c>
      <c r="B385" s="97">
        <f>(MMULT(C384:F384, G384:G387)*A384)</f>
        <v>7000.0000000000027</v>
      </c>
      <c r="G385" s="96">
        <f>IFERROR(VLOOKUP(H385, A$334:D$345, 4, FALSE), 0)</f>
        <v>-0.45792448261773822</v>
      </c>
      <c r="H385" s="12" t="str">
        <f>"D" &amp; D22 &amp; "Y"</f>
        <v>D2Y</v>
      </c>
    </row>
    <row r="386" spans="1:8" ht="19.95" customHeight="1" x14ac:dyDescent="0.3">
      <c r="G386" s="96">
        <f>IFERROR(VLOOKUP(H386, A$334:D$345, 4, FALSE), 0)</f>
        <v>0.13888888888888884</v>
      </c>
      <c r="H386" s="12" t="str">
        <f>"D" &amp; E22 &amp; "X"</f>
        <v>D5X</v>
      </c>
    </row>
    <row r="387" spans="1:8" ht="19.95" customHeight="1" x14ac:dyDescent="0.3">
      <c r="G387" s="96">
        <f>IFERROR(VLOOKUP(H387, A$334:D$345, 4, FALSE), 0)</f>
        <v>-0.37459114928440485</v>
      </c>
      <c r="H387" s="12" t="str">
        <f>"D" &amp; F22 &amp; "Y"</f>
        <v>D5Y</v>
      </c>
    </row>
    <row r="388" spans="1:8" ht="19.95" customHeight="1" x14ac:dyDescent="0.3">
      <c r="B388" s="99" t="s">
        <v>273</v>
      </c>
      <c r="C388" s="178" t="str">
        <f>IF(B385&gt;0.001,"BARRA A TRACCIÓN (+)",IF(B385&lt;-0.001,"BARRA A COMPRESIÓN (-)","BARRA DE FUERZA NULA"))</f>
        <v>BARRA A TRACCIÓN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84000</v>
      </c>
      <c r="C392" s="92">
        <f>-J11</f>
        <v>0</v>
      </c>
      <c r="D392" s="92">
        <f>-K11</f>
        <v>-1</v>
      </c>
      <c r="E392" s="92">
        <f>J11</f>
        <v>0</v>
      </c>
      <c r="F392" s="92">
        <f>K11</f>
        <v>1</v>
      </c>
      <c r="G392" s="96">
        <f>IFERROR(VLOOKUP(H392, A$334:D$345, 4, FALSE), 0)</f>
        <v>0.16666666666666663</v>
      </c>
      <c r="H392" s="12" t="str">
        <f>"D" &amp; C23 &amp; "X"</f>
        <v>D3X</v>
      </c>
    </row>
    <row r="393" spans="1:8" ht="19.95" customHeight="1" x14ac:dyDescent="0.3">
      <c r="A393" s="99" t="s">
        <v>290</v>
      </c>
      <c r="B393" s="97">
        <f>(MMULT(C392:F392, G392:G395)*A392)</f>
        <v>6999.9999999999936</v>
      </c>
      <c r="G393" s="96">
        <f>IFERROR(VLOOKUP(H393, A$334:D$345, 4, FALSE), 0)</f>
        <v>-0.5134800381732938</v>
      </c>
      <c r="H393" s="12" t="str">
        <f>"D" &amp; D23 &amp; "Y"</f>
        <v>D3Y</v>
      </c>
    </row>
    <row r="394" spans="1:8" ht="19.95" customHeight="1" x14ac:dyDescent="0.3">
      <c r="G394" s="96">
        <f>IFERROR(VLOOKUP(H394, A$334:D$345, 4, FALSE), 0)</f>
        <v>5.5555555555555497E-2</v>
      </c>
      <c r="H394" s="12" t="str">
        <f>"D" &amp; E23 &amp; "X"</f>
        <v>D6X</v>
      </c>
    </row>
    <row r="395" spans="1:8" ht="19.95" customHeight="1" x14ac:dyDescent="0.3">
      <c r="G395" s="96">
        <f>IFERROR(VLOOKUP(H395, A$334:D$345, 4, FALSE), 0)</f>
        <v>-0.43014670483996054</v>
      </c>
      <c r="H395" s="12" t="str">
        <f>"D" &amp; F23 &amp; "Y"</f>
        <v>D6Y</v>
      </c>
    </row>
    <row r="396" spans="1:8" ht="19.95" customHeight="1" x14ac:dyDescent="0.3">
      <c r="B396" s="99" t="s">
        <v>273</v>
      </c>
      <c r="C396" s="178" t="str">
        <f>IF(B393&gt;0.001,"BARRA A TRACCIÓN (+)",IF(B393&lt;-0.001,"BARRA A COMPRESIÓN (-)","BARRA DE FUERZA NULA"))</f>
        <v>BARRA A TRACCIÓN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59396.969619669988</v>
      </c>
      <c r="C400" s="92">
        <f>-J12</f>
        <v>-0.70710678118654746</v>
      </c>
      <c r="D400" s="92">
        <f>-K12</f>
        <v>-0.70710678118654746</v>
      </c>
      <c r="E400" s="92">
        <f>J12</f>
        <v>0.70710678118654746</v>
      </c>
      <c r="F400" s="92">
        <f>K12</f>
        <v>0.70710678118654746</v>
      </c>
      <c r="G400" s="96">
        <f>IFERROR(VLOOKUP(H400, A$334:D$345, 4, FALSE), 0)</f>
        <v>0</v>
      </c>
      <c r="H400" s="12" t="str">
        <f>"D" &amp; C24 &amp; "X"</f>
        <v>D1X</v>
      </c>
    </row>
    <row r="401" spans="1:8" ht="19.95" customHeight="1" x14ac:dyDescent="0.3">
      <c r="A401" s="99" t="s">
        <v>291</v>
      </c>
      <c r="B401" s="97">
        <f>(MMULT(C400:F400, G400:G403)*A400)</f>
        <v>-9899.4949366116725</v>
      </c>
      <c r="G401" s="96">
        <f>IFERROR(VLOOKUP(H401, A$334:D$345, 4, FALSE), 0)</f>
        <v>0</v>
      </c>
      <c r="H401" s="12" t="str">
        <f>"D" &amp; D24 &amp; "Y"</f>
        <v>D1Y</v>
      </c>
    </row>
    <row r="402" spans="1:8" ht="19.95" customHeight="1" x14ac:dyDescent="0.3">
      <c r="G402" s="96">
        <f>IFERROR(VLOOKUP(H402, A$334:D$345, 4, FALSE), 0)</f>
        <v>0.13888888888888884</v>
      </c>
      <c r="H402" s="12" t="str">
        <f>"D" &amp; E24 &amp; "X"</f>
        <v>D5X</v>
      </c>
    </row>
    <row r="403" spans="1:8" ht="19.95" customHeight="1" x14ac:dyDescent="0.3">
      <c r="G403" s="96">
        <f>IFERROR(VLOOKUP(H403, A$334:D$345, 4, FALSE), 0)</f>
        <v>-0.37459114928440485</v>
      </c>
      <c r="H403" s="12" t="str">
        <f>"D" &amp; F24 &amp; "Y"</f>
        <v>D5Y</v>
      </c>
    </row>
    <row r="404" spans="1:8" ht="19.95" customHeight="1" x14ac:dyDescent="0.3">
      <c r="B404" s="99" t="s">
        <v>273</v>
      </c>
      <c r="C404" s="178" t="str">
        <f>IF(B401&gt;0.001,"BARRA A TRACCIÓN (+)",IF(B401&lt;-0.001,"BARRA A COMPRESIÓN (-)","BARRA DE FUERZA NULA"))</f>
        <v>BARRA A COMPRESIÓN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59396.969619669988</v>
      </c>
      <c r="C408" s="92">
        <f>-J13</f>
        <v>0.70710678118654746</v>
      </c>
      <c r="D408" s="92">
        <f>-K13</f>
        <v>-0.70710678118654746</v>
      </c>
      <c r="E408" s="92">
        <f>J13</f>
        <v>-0.70710678118654746</v>
      </c>
      <c r="F408" s="92">
        <f>K13</f>
        <v>0.70710678118654746</v>
      </c>
      <c r="G408" s="96">
        <f>IFERROR(VLOOKUP(H408, A$334:D$345, 4, FALSE), 0)</f>
        <v>0.24999999999999997</v>
      </c>
      <c r="H408" s="12" t="str">
        <f>"D" &amp; C25 &amp; "X"</f>
        <v>D4X</v>
      </c>
    </row>
    <row r="409" spans="1:8" ht="19.95" customHeight="1" x14ac:dyDescent="0.3">
      <c r="A409" s="99" t="s">
        <v>292</v>
      </c>
      <c r="B409" s="97">
        <f>(MMULT(C408:F408, G408:G411)*A408)</f>
        <v>-9899.4949366116725</v>
      </c>
      <c r="G409" s="96">
        <f>IFERROR(VLOOKUP(H409, A$334:D$345, 4, FALSE), 0)</f>
        <v>0</v>
      </c>
      <c r="H409" s="12" t="str">
        <f>"D" &amp; D25 &amp; "Y"</f>
        <v>D4Y</v>
      </c>
    </row>
    <row r="410" spans="1:8" ht="19.95" customHeight="1" x14ac:dyDescent="0.3">
      <c r="G410" s="96">
        <f>IFERROR(VLOOKUP(H410, A$334:D$345, 4, FALSE), 0)</f>
        <v>5.5555555555555497E-2</v>
      </c>
      <c r="H410" s="12" t="str">
        <f>"D" &amp; E25 &amp; "X"</f>
        <v>D6X</v>
      </c>
    </row>
    <row r="411" spans="1:8" ht="19.95" customHeight="1" x14ac:dyDescent="0.3">
      <c r="G411" s="96">
        <f>IFERROR(VLOOKUP(H411, A$334:D$345, 4, FALSE), 0)</f>
        <v>-0.43014670483996054</v>
      </c>
      <c r="H411" s="12" t="str">
        <f>"D" &amp; F25 &amp; "Y"</f>
        <v>D6Y</v>
      </c>
    </row>
    <row r="412" spans="1:8" ht="19.95" customHeight="1" x14ac:dyDescent="0.3">
      <c r="B412" s="99" t="s">
        <v>273</v>
      </c>
      <c r="C412" s="178" t="str">
        <f>IF(B409&gt;0.001,"BARRA A TRACCIÓN (+)",IF(B409&lt;-0.001,"BARRA A COMPRESIÓN (-)","BARRA DE FUERZA NULA"))</f>
        <v>BARRA A COMPRESIÓN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8.3333333333333301E-2</v>
      </c>
      <c r="H416" s="12" t="str">
        <f>"D" &amp; C26 &amp; "X"</f>
        <v>D2X</v>
      </c>
    </row>
    <row r="417" spans="1:8" ht="19.95" customHeight="1" x14ac:dyDescent="0.3">
      <c r="A417" s="99" t="s">
        <v>530</v>
      </c>
      <c r="B417" s="97">
        <f>(MMULT(C416:F416, G416:G419)*A416)</f>
        <v>-3.2971941632359274E-12</v>
      </c>
      <c r="G417" s="96">
        <f>IFERROR(VLOOKUP(H417, A$334:D$345, 4, FALSE), 0)</f>
        <v>-0.45792448261773822</v>
      </c>
      <c r="H417" s="12" t="str">
        <f>"D" &amp; D26 &amp; "Y"</f>
        <v>D2Y</v>
      </c>
    </row>
    <row r="418" spans="1:8" ht="19.95" customHeight="1" x14ac:dyDescent="0.3">
      <c r="G418" s="96">
        <f>IFERROR(VLOOKUP(H418, A$334:D$345, 4, FALSE), 0)</f>
        <v>5.5555555555555497E-2</v>
      </c>
      <c r="H418" s="12" t="str">
        <f>"D" &amp; E26 &amp; "X"</f>
        <v>D6X</v>
      </c>
    </row>
    <row r="419" spans="1:8" ht="19.95" customHeight="1" x14ac:dyDescent="0.3">
      <c r="G419" s="96">
        <f>IFERROR(VLOOKUP(H419, A$334:D$345, 4, FALSE), 0)</f>
        <v>-0.43014670483996054</v>
      </c>
      <c r="H419" s="12" t="str">
        <f>"D" &amp; F26 &amp; "Y"</f>
        <v>D6Y</v>
      </c>
    </row>
    <row r="420" spans="1:8" ht="19.95" customHeight="1" x14ac:dyDescent="0.3">
      <c r="B420" s="99" t="s">
        <v>273</v>
      </c>
      <c r="C420" s="178" t="str">
        <f>IF(B417&gt;0.001,"BARRA A TRACCIÓN (+)",IF(B417&lt;-0.001,"BARRA A COMPRESIÓN (-)","BARRA DE FUERZA NULA"))</f>
        <v>BARRA DE FUERZA NULA</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6999.9999999999973</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7000</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7000.0000000000009</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-7000.0000000000009</v>
      </c>
      <c r="H428" s="84" t="str">
        <f>C380</f>
        <v>BARRA A COMPRESIÓN (-)</v>
      </c>
    </row>
    <row r="429" spans="1:8" ht="19.95" customHeight="1" x14ac:dyDescent="0.3">
      <c r="B429" s="44">
        <v>5</v>
      </c>
      <c r="C429" s="86">
        <f t="shared" si="49"/>
        <v>2</v>
      </c>
      <c r="D429" s="86">
        <f t="shared" si="50"/>
        <v>5</v>
      </c>
      <c r="E429" s="9">
        <f t="shared" si="51"/>
        <v>300</v>
      </c>
      <c r="F429" s="9">
        <f t="shared" si="52"/>
        <v>12</v>
      </c>
      <c r="G429" s="97">
        <f>B385</f>
        <v>7000.0000000000027</v>
      </c>
      <c r="H429" s="84" t="str">
        <f>C388</f>
        <v>BARRA A TRACCIÓN (+)</v>
      </c>
    </row>
    <row r="430" spans="1:8" ht="19.95" customHeight="1" x14ac:dyDescent="0.3">
      <c r="B430" s="51">
        <v>6</v>
      </c>
      <c r="C430" s="86">
        <f t="shared" si="49"/>
        <v>3</v>
      </c>
      <c r="D430" s="86">
        <f t="shared" si="50"/>
        <v>6</v>
      </c>
      <c r="E430" s="9">
        <f t="shared" si="51"/>
        <v>300</v>
      </c>
      <c r="F430" s="9">
        <f t="shared" si="52"/>
        <v>12</v>
      </c>
      <c r="G430" s="97">
        <f>B393</f>
        <v>6999.9999999999936</v>
      </c>
      <c r="H430" s="84" t="str">
        <f>C396</f>
        <v>BARRA A TRACCIÓN (+)</v>
      </c>
    </row>
    <row r="431" spans="1:8" ht="19.95" customHeight="1" x14ac:dyDescent="0.3">
      <c r="B431" s="52">
        <v>7</v>
      </c>
      <c r="C431" s="86">
        <f t="shared" si="49"/>
        <v>1</v>
      </c>
      <c r="D431" s="86">
        <f t="shared" si="50"/>
        <v>5</v>
      </c>
      <c r="E431" s="9">
        <f t="shared" si="51"/>
        <v>424.26406871192853</v>
      </c>
      <c r="F431" s="9">
        <f t="shared" si="52"/>
        <v>12</v>
      </c>
      <c r="G431" s="97">
        <f>B401</f>
        <v>-9899.4949366116725</v>
      </c>
      <c r="H431" s="84" t="str">
        <f>C404</f>
        <v>BARRA A COMPRESIÓN (-)</v>
      </c>
    </row>
    <row r="432" spans="1:8" ht="19.95" customHeight="1" x14ac:dyDescent="0.3">
      <c r="B432" s="59">
        <v>8</v>
      </c>
      <c r="C432" s="86">
        <f t="shared" si="49"/>
        <v>4</v>
      </c>
      <c r="D432" s="86">
        <f t="shared" si="50"/>
        <v>6</v>
      </c>
      <c r="E432" s="9">
        <f t="shared" si="51"/>
        <v>424.26406871192853</v>
      </c>
      <c r="F432" s="9">
        <f t="shared" si="52"/>
        <v>12</v>
      </c>
      <c r="G432" s="97">
        <f>B409</f>
        <v>-9899.4949366116725</v>
      </c>
      <c r="H432" s="84" t="str">
        <f>C412</f>
        <v>BARRA A COMPRESIÓN (-)</v>
      </c>
    </row>
    <row r="433" spans="2:8" ht="19.95" customHeight="1" x14ac:dyDescent="0.3">
      <c r="B433" s="60">
        <v>9</v>
      </c>
      <c r="C433" s="86">
        <f t="shared" si="49"/>
        <v>2</v>
      </c>
      <c r="D433" s="86">
        <f t="shared" si="50"/>
        <v>6</v>
      </c>
      <c r="E433" s="9">
        <f t="shared" si="51"/>
        <v>424.26406871192853</v>
      </c>
      <c r="F433" s="9">
        <f t="shared" si="52"/>
        <v>12</v>
      </c>
      <c r="G433" s="97">
        <f>B417</f>
        <v>-3.2971941632359274E-12</v>
      </c>
      <c r="H433" s="84" t="str">
        <f>C420</f>
        <v>BARRA DE FUERZA NULA</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534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0</v>
      </c>
      <c r="AB14" s="20">
        <f>IF(F31="","",F31)</f>
        <v>0</v>
      </c>
      <c r="AC14" t="s">
        <v>328</v>
      </c>
    </row>
    <row r="15" spans="2:29" ht="19.05" customHeight="1" x14ac:dyDescent="0.3">
      <c r="B15" s="89">
        <v>2</v>
      </c>
      <c r="C15" s="21">
        <v>300</v>
      </c>
      <c r="D15" s="21">
        <v>0</v>
      </c>
      <c r="E15" s="21" t="s">
        <v>326</v>
      </c>
      <c r="F15" s="88">
        <f t="shared" si="0"/>
        <v>0</v>
      </c>
      <c r="G15" s="88">
        <f t="shared" si="1"/>
        <v>0</v>
      </c>
      <c r="H15" s="22">
        <v>0</v>
      </c>
      <c r="I15" s="22">
        <v>-6500</v>
      </c>
      <c r="J15" s="205" t="s">
        <v>497</v>
      </c>
      <c r="K15" s="172"/>
      <c r="L15" s="172"/>
      <c r="M15" s="172"/>
      <c r="N15" s="172"/>
      <c r="O15" s="173"/>
      <c r="AA15" s="20">
        <f>IF(G31="","",G31)</f>
        <v>300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-6500</v>
      </c>
      <c r="J16" s="205" t="s">
        <v>497</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407</v>
      </c>
      <c r="K17" s="172"/>
      <c r="L17" s="172"/>
      <c r="M17" s="172"/>
      <c r="N17" s="172"/>
      <c r="O17" s="173"/>
      <c r="AA17" s="20">
        <f>IF(E32="","",E32)</f>
        <v>300</v>
      </c>
      <c r="AB17" s="20">
        <f>IF(F32="","",F32)</f>
        <v>300</v>
      </c>
      <c r="AC17" t="s">
        <v>334</v>
      </c>
    </row>
    <row r="18" spans="2:29" ht="19.05" customHeight="1" x14ac:dyDescent="0.3">
      <c r="B18" s="89">
        <v>5</v>
      </c>
      <c r="C18" s="21">
        <v>300</v>
      </c>
      <c r="D18" s="21">
        <v>300</v>
      </c>
      <c r="E18" s="21" t="s">
        <v>326</v>
      </c>
      <c r="F18" s="88">
        <f t="shared" si="0"/>
        <v>0</v>
      </c>
      <c r="G18" s="88">
        <f t="shared" si="1"/>
        <v>0</v>
      </c>
      <c r="H18" s="22">
        <v>0</v>
      </c>
      <c r="I18" s="22">
        <v>0</v>
      </c>
      <c r="J18" s="205" t="s">
        <v>496</v>
      </c>
      <c r="K18" s="172"/>
      <c r="L18" s="172"/>
      <c r="M18" s="172"/>
      <c r="N18" s="172"/>
      <c r="O18" s="173"/>
      <c r="AA18" s="20">
        <f>IF(G32="","",G32)</f>
        <v>600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205" t="s">
        <v>496</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600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300</v>
      </c>
      <c r="AB23" s="20">
        <f>IF(F34="","",F34)</f>
        <v>300</v>
      </c>
      <c r="AC23" t="s">
        <v>338</v>
      </c>
    </row>
    <row r="24" spans="2:29" x14ac:dyDescent="0.3">
      <c r="AA24" s="20">
        <f>IF(G34="","",G34)</f>
        <v>300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0</v>
      </c>
      <c r="AC30" t="s">
        <v>354</v>
      </c>
    </row>
    <row r="31" spans="2:29" ht="19.05" customHeight="1" x14ac:dyDescent="0.3">
      <c r="B31" s="89">
        <v>4</v>
      </c>
      <c r="C31" s="23">
        <v>1</v>
      </c>
      <c r="D31" s="23">
        <v>5</v>
      </c>
      <c r="E31" s="5">
        <f t="shared" si="2"/>
        <v>0</v>
      </c>
      <c r="F31" s="5">
        <f t="shared" si="3"/>
        <v>0</v>
      </c>
      <c r="G31" s="5">
        <f t="shared" si="4"/>
        <v>300</v>
      </c>
      <c r="H31" s="5">
        <f t="shared" si="5"/>
        <v>300</v>
      </c>
      <c r="I31" s="9">
        <f t="shared" si="6"/>
        <v>300</v>
      </c>
      <c r="J31" s="9">
        <f t="shared" si="7"/>
        <v>300</v>
      </c>
      <c r="K31" s="9">
        <f t="shared" si="8"/>
        <v>424.26406871192853</v>
      </c>
      <c r="L31" s="92">
        <f t="shared" si="9"/>
        <v>0.70710678118654746</v>
      </c>
      <c r="M31" s="92">
        <f t="shared" si="10"/>
        <v>0.70710678118654746</v>
      </c>
      <c r="N31" s="22">
        <v>12</v>
      </c>
      <c r="O31" s="24">
        <v>2100000</v>
      </c>
    </row>
    <row r="32" spans="2:29" ht="19.05" customHeight="1" x14ac:dyDescent="0.3">
      <c r="B32" s="89">
        <v>5</v>
      </c>
      <c r="C32" s="23">
        <v>5</v>
      </c>
      <c r="D32" s="23">
        <v>6</v>
      </c>
      <c r="E32" s="5">
        <f t="shared" si="2"/>
        <v>300</v>
      </c>
      <c r="F32" s="5">
        <f t="shared" si="3"/>
        <v>300</v>
      </c>
      <c r="G32" s="5">
        <f t="shared" si="4"/>
        <v>600</v>
      </c>
      <c r="H32" s="5">
        <f t="shared" si="5"/>
        <v>300</v>
      </c>
      <c r="I32" s="9">
        <f t="shared" si="6"/>
        <v>300</v>
      </c>
      <c r="J32" s="9">
        <f t="shared" si="7"/>
        <v>0</v>
      </c>
      <c r="K32" s="9">
        <f t="shared" si="8"/>
        <v>300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6</v>
      </c>
      <c r="D33" s="23">
        <v>4</v>
      </c>
      <c r="E33" s="5">
        <f t="shared" si="2"/>
        <v>600</v>
      </c>
      <c r="F33" s="5">
        <f t="shared" si="3"/>
        <v>300</v>
      </c>
      <c r="G33" s="5">
        <f t="shared" si="4"/>
        <v>900</v>
      </c>
      <c r="H33" s="5">
        <f t="shared" si="5"/>
        <v>0</v>
      </c>
      <c r="I33" s="9">
        <f t="shared" si="6"/>
        <v>300</v>
      </c>
      <c r="J33" s="9">
        <f t="shared" si="7"/>
        <v>-300</v>
      </c>
      <c r="K33" s="9">
        <f t="shared" si="8"/>
        <v>424.26406871192853</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5</v>
      </c>
      <c r="D34" s="23">
        <v>2</v>
      </c>
      <c r="E34" s="5">
        <f t="shared" si="2"/>
        <v>300</v>
      </c>
      <c r="F34" s="5">
        <f t="shared" si="3"/>
        <v>300</v>
      </c>
      <c r="G34" s="5">
        <f t="shared" si="4"/>
        <v>300</v>
      </c>
      <c r="H34" s="5">
        <f t="shared" si="5"/>
        <v>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300</v>
      </c>
      <c r="F36" s="5">
        <f t="shared" si="3"/>
        <v>300</v>
      </c>
      <c r="G36" s="5">
        <f t="shared" si="4"/>
        <v>600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900-000000000000}">
      <formula1>"Fijo (articulado),Rodillo Y (despl. X libre),Rodillo X (despl. Y libre),Libre (0 reac.)"</formula1>
    </dataValidation>
  </dataValidations>
  <pageMargins left="0.75" right="0.75" top="1" bottom="1" header="0.5" footer="0.5"/>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535</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GRAFICA_28!E28</f>
        <v>0</v>
      </c>
      <c r="D6" s="22">
        <f>GRAFICA_28!F28</f>
        <v>0</v>
      </c>
      <c r="E6" s="22">
        <f>GRAFICA_28!G28</f>
        <v>300</v>
      </c>
      <c r="F6" s="22">
        <f>GRAFICA_28!H28</f>
        <v>0</v>
      </c>
      <c r="G6" s="9">
        <f t="shared" ref="G6:G14" si="0">E6-C6</f>
        <v>300</v>
      </c>
      <c r="H6" s="9">
        <f t="shared" ref="H6:H14" si="1">F6-D6</f>
        <v>0</v>
      </c>
      <c r="I6" s="9">
        <f t="shared" ref="I6:I14" si="2">SQRT(G6*G6+H6*H6)</f>
        <v>300</v>
      </c>
      <c r="J6" s="92">
        <f t="shared" ref="J6:J14" si="3">G6/I6</f>
        <v>1</v>
      </c>
      <c r="K6" s="92">
        <f t="shared" ref="K6:K14" si="4">H6/I6</f>
        <v>0</v>
      </c>
      <c r="L6" s="22">
        <f>GRAFICA_28!N28</f>
        <v>12</v>
      </c>
      <c r="M6" s="22">
        <f>GRAFICA_28!O28</f>
        <v>2100000</v>
      </c>
      <c r="N6" s="6">
        <f t="shared" ref="N6:N14" si="5">L6*M6/I6</f>
        <v>84000</v>
      </c>
    </row>
    <row r="7" spans="2:14" ht="19.05" customHeight="1" x14ac:dyDescent="0.3">
      <c r="B7" s="25">
        <v>2</v>
      </c>
      <c r="C7" s="22">
        <f>GRAFICA_28!E29</f>
        <v>300</v>
      </c>
      <c r="D7" s="22">
        <f>GRAFICA_28!F29</f>
        <v>0</v>
      </c>
      <c r="E7" s="22">
        <f>GRAFICA_28!G29</f>
        <v>600</v>
      </c>
      <c r="F7" s="22">
        <f>GRAFICA_28!H29</f>
        <v>0</v>
      </c>
      <c r="G7" s="9">
        <f t="shared" si="0"/>
        <v>300</v>
      </c>
      <c r="H7" s="9">
        <f t="shared" si="1"/>
        <v>0</v>
      </c>
      <c r="I7" s="9">
        <f t="shared" si="2"/>
        <v>300</v>
      </c>
      <c r="J7" s="92">
        <f t="shared" si="3"/>
        <v>1</v>
      </c>
      <c r="K7" s="92">
        <f t="shared" si="4"/>
        <v>0</v>
      </c>
      <c r="L7" s="22">
        <f>GRAFICA_28!N29</f>
        <v>12</v>
      </c>
      <c r="M7" s="22">
        <f>GRAFICA_28!O29</f>
        <v>2100000</v>
      </c>
      <c r="N7" s="6">
        <f t="shared" si="5"/>
        <v>84000</v>
      </c>
    </row>
    <row r="8" spans="2:14" ht="19.05" customHeight="1" x14ac:dyDescent="0.3">
      <c r="B8" s="26">
        <v>3</v>
      </c>
      <c r="C8" s="22">
        <f>GRAFICA_28!E30</f>
        <v>600</v>
      </c>
      <c r="D8" s="22">
        <f>GRAFICA_28!F30</f>
        <v>0</v>
      </c>
      <c r="E8" s="22">
        <f>GRAFICA_28!G30</f>
        <v>900</v>
      </c>
      <c r="F8" s="22">
        <f>GRAFICA_28!H30</f>
        <v>0</v>
      </c>
      <c r="G8" s="9">
        <f t="shared" si="0"/>
        <v>300</v>
      </c>
      <c r="H8" s="9">
        <f t="shared" si="1"/>
        <v>0</v>
      </c>
      <c r="I8" s="9">
        <f t="shared" si="2"/>
        <v>300</v>
      </c>
      <c r="J8" s="92">
        <f t="shared" si="3"/>
        <v>1</v>
      </c>
      <c r="K8" s="92">
        <f t="shared" si="4"/>
        <v>0</v>
      </c>
      <c r="L8" s="22">
        <f>GRAFICA_28!N30</f>
        <v>12</v>
      </c>
      <c r="M8" s="22">
        <f>GRAFICA_28!O30</f>
        <v>2100000</v>
      </c>
      <c r="N8" s="6">
        <f t="shared" si="5"/>
        <v>84000</v>
      </c>
    </row>
    <row r="9" spans="2:14" ht="19.05" customHeight="1" x14ac:dyDescent="0.3">
      <c r="B9" s="43">
        <v>4</v>
      </c>
      <c r="C9" s="22">
        <f>GRAFICA_28!E31</f>
        <v>0</v>
      </c>
      <c r="D9" s="22">
        <f>GRAFICA_28!F31</f>
        <v>0</v>
      </c>
      <c r="E9" s="22">
        <f>GRAFICA_28!G31</f>
        <v>300</v>
      </c>
      <c r="F9" s="22">
        <f>GRAFICA_28!H31</f>
        <v>300</v>
      </c>
      <c r="G9" s="9">
        <f t="shared" si="0"/>
        <v>300</v>
      </c>
      <c r="H9" s="9">
        <f t="shared" si="1"/>
        <v>300</v>
      </c>
      <c r="I9" s="9">
        <f t="shared" si="2"/>
        <v>424.26406871192853</v>
      </c>
      <c r="J9" s="92">
        <f t="shared" si="3"/>
        <v>0.70710678118654746</v>
      </c>
      <c r="K9" s="92">
        <f t="shared" si="4"/>
        <v>0.70710678118654746</v>
      </c>
      <c r="L9" s="22">
        <f>GRAFICA_28!N31</f>
        <v>12</v>
      </c>
      <c r="M9" s="22">
        <f>GRAFICA_28!O31</f>
        <v>2100000</v>
      </c>
      <c r="N9" s="6">
        <f t="shared" si="5"/>
        <v>59396.969619669988</v>
      </c>
    </row>
    <row r="10" spans="2:14" ht="19.05" customHeight="1" x14ac:dyDescent="0.3">
      <c r="B10" s="44">
        <v>5</v>
      </c>
      <c r="C10" s="22">
        <f>GRAFICA_28!E32</f>
        <v>300</v>
      </c>
      <c r="D10" s="22">
        <f>GRAFICA_28!F32</f>
        <v>300</v>
      </c>
      <c r="E10" s="22">
        <f>GRAFICA_28!G32</f>
        <v>600</v>
      </c>
      <c r="F10" s="22">
        <f>GRAFICA_28!H32</f>
        <v>300</v>
      </c>
      <c r="G10" s="9">
        <f t="shared" si="0"/>
        <v>300</v>
      </c>
      <c r="H10" s="9">
        <f t="shared" si="1"/>
        <v>0</v>
      </c>
      <c r="I10" s="9">
        <f t="shared" si="2"/>
        <v>300</v>
      </c>
      <c r="J10" s="92">
        <f t="shared" si="3"/>
        <v>1</v>
      </c>
      <c r="K10" s="92">
        <f t="shared" si="4"/>
        <v>0</v>
      </c>
      <c r="L10" s="22">
        <f>GRAFICA_28!N32</f>
        <v>12</v>
      </c>
      <c r="M10" s="22">
        <f>GRAFICA_28!O32</f>
        <v>2100000</v>
      </c>
      <c r="N10" s="6">
        <f t="shared" si="5"/>
        <v>84000</v>
      </c>
    </row>
    <row r="11" spans="2:14" ht="19.05" customHeight="1" x14ac:dyDescent="0.3">
      <c r="B11" s="51">
        <v>6</v>
      </c>
      <c r="C11" s="22">
        <f>GRAFICA_28!E33</f>
        <v>600</v>
      </c>
      <c r="D11" s="22">
        <f>GRAFICA_28!F33</f>
        <v>300</v>
      </c>
      <c r="E11" s="22">
        <f>GRAFICA_28!G33</f>
        <v>900</v>
      </c>
      <c r="F11" s="22">
        <f>GRAFICA_28!H33</f>
        <v>0</v>
      </c>
      <c r="G11" s="9">
        <f t="shared" si="0"/>
        <v>300</v>
      </c>
      <c r="H11" s="9">
        <f t="shared" si="1"/>
        <v>-300</v>
      </c>
      <c r="I11" s="9">
        <f t="shared" si="2"/>
        <v>424.26406871192853</v>
      </c>
      <c r="J11" s="92">
        <f t="shared" si="3"/>
        <v>0.70710678118654746</v>
      </c>
      <c r="K11" s="92">
        <f t="shared" si="4"/>
        <v>-0.70710678118654746</v>
      </c>
      <c r="L11" s="22">
        <f>GRAFICA_28!N33</f>
        <v>12</v>
      </c>
      <c r="M11" s="22">
        <f>GRAFICA_28!O33</f>
        <v>2100000</v>
      </c>
      <c r="N11" s="6">
        <f t="shared" si="5"/>
        <v>59396.969619669988</v>
      </c>
    </row>
    <row r="12" spans="2:14" ht="19.05" customHeight="1" x14ac:dyDescent="0.3">
      <c r="B12" s="52">
        <v>7</v>
      </c>
      <c r="C12" s="22">
        <f>GRAFICA_28!E34</f>
        <v>300</v>
      </c>
      <c r="D12" s="22">
        <f>GRAFICA_28!F34</f>
        <v>300</v>
      </c>
      <c r="E12" s="22">
        <f>GRAFICA_28!G34</f>
        <v>300</v>
      </c>
      <c r="F12" s="22">
        <f>GRAFICA_28!H34</f>
        <v>0</v>
      </c>
      <c r="G12" s="9">
        <f t="shared" si="0"/>
        <v>0</v>
      </c>
      <c r="H12" s="9">
        <f t="shared" si="1"/>
        <v>-300</v>
      </c>
      <c r="I12" s="9">
        <f t="shared" si="2"/>
        <v>300</v>
      </c>
      <c r="J12" s="92">
        <f t="shared" si="3"/>
        <v>0</v>
      </c>
      <c r="K12" s="92">
        <f t="shared" si="4"/>
        <v>-1</v>
      </c>
      <c r="L12" s="22">
        <f>GRAFICA_28!N34</f>
        <v>12</v>
      </c>
      <c r="M12" s="22">
        <f>GRAFICA_28!O34</f>
        <v>2100000</v>
      </c>
      <c r="N12" s="6">
        <f t="shared" si="5"/>
        <v>84000</v>
      </c>
    </row>
    <row r="13" spans="2:14" ht="19.05" customHeight="1" x14ac:dyDescent="0.3">
      <c r="B13" s="59">
        <v>8</v>
      </c>
      <c r="C13" s="22">
        <f>GRAFICA_28!E35</f>
        <v>600</v>
      </c>
      <c r="D13" s="22">
        <f>GRAFICA_28!F35</f>
        <v>300</v>
      </c>
      <c r="E13" s="22">
        <f>GRAFICA_28!G35</f>
        <v>600</v>
      </c>
      <c r="F13" s="22">
        <f>GRAFICA_28!H35</f>
        <v>0</v>
      </c>
      <c r="G13" s="9">
        <f t="shared" si="0"/>
        <v>0</v>
      </c>
      <c r="H13" s="9">
        <f t="shared" si="1"/>
        <v>-300</v>
      </c>
      <c r="I13" s="9">
        <f t="shared" si="2"/>
        <v>300</v>
      </c>
      <c r="J13" s="92">
        <f t="shared" si="3"/>
        <v>0</v>
      </c>
      <c r="K13" s="92">
        <f t="shared" si="4"/>
        <v>-1</v>
      </c>
      <c r="L13" s="22">
        <f>GRAFICA_28!N35</f>
        <v>12</v>
      </c>
      <c r="M13" s="22">
        <f>GRAFICA_28!O35</f>
        <v>2100000</v>
      </c>
      <c r="N13" s="6">
        <f t="shared" si="5"/>
        <v>84000</v>
      </c>
    </row>
    <row r="14" spans="2:14" ht="19.05" customHeight="1" x14ac:dyDescent="0.3">
      <c r="B14" s="60">
        <v>9</v>
      </c>
      <c r="C14" s="22">
        <f>GRAFICA_28!E36</f>
        <v>300</v>
      </c>
      <c r="D14" s="22">
        <f>GRAFICA_28!F36</f>
        <v>300</v>
      </c>
      <c r="E14" s="22">
        <f>GRAFICA_28!G36</f>
        <v>600</v>
      </c>
      <c r="F14" s="22">
        <f>GRAFICA_28!H36</f>
        <v>0</v>
      </c>
      <c r="G14" s="9">
        <f t="shared" si="0"/>
        <v>300</v>
      </c>
      <c r="H14" s="9">
        <f t="shared" si="1"/>
        <v>-300</v>
      </c>
      <c r="I14" s="9">
        <f t="shared" si="2"/>
        <v>424.26406871192853</v>
      </c>
      <c r="J14" s="92">
        <f t="shared" si="3"/>
        <v>0.70710678118654746</v>
      </c>
      <c r="K14" s="92">
        <f t="shared" si="4"/>
        <v>-0.70710678118654746</v>
      </c>
      <c r="L14" s="22">
        <f>GRAFICA_28!N36</f>
        <v>12</v>
      </c>
      <c r="M14" s="22">
        <f>GRAFICA_28!O36</f>
        <v>2100000</v>
      </c>
      <c r="N14" s="6">
        <f t="shared" si="5"/>
        <v>59396.969619669988</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GRAFICA_28!C28</f>
        <v>1</v>
      </c>
      <c r="D18" s="23">
        <f>GRAFICA_28!C28</f>
        <v>1</v>
      </c>
      <c r="E18" s="23">
        <f>GRAFICA_28!D28</f>
        <v>2</v>
      </c>
      <c r="F18" s="23">
        <f>GRAFICA_28!D28</f>
        <v>2</v>
      </c>
    </row>
    <row r="19" spans="1:6" ht="19.05" customHeight="1" x14ac:dyDescent="0.3">
      <c r="B19" s="25">
        <v>2</v>
      </c>
      <c r="C19" s="23">
        <f>GRAFICA_28!C29</f>
        <v>2</v>
      </c>
      <c r="D19" s="23">
        <f>GRAFICA_28!C29</f>
        <v>2</v>
      </c>
      <c r="E19" s="23">
        <f>GRAFICA_28!D29</f>
        <v>3</v>
      </c>
      <c r="F19" s="23">
        <f>GRAFICA_28!D29</f>
        <v>3</v>
      </c>
    </row>
    <row r="20" spans="1:6" ht="19.05" customHeight="1" x14ac:dyDescent="0.3">
      <c r="B20" s="26">
        <v>3</v>
      </c>
      <c r="C20" s="23">
        <f>GRAFICA_28!C30</f>
        <v>3</v>
      </c>
      <c r="D20" s="23">
        <f>GRAFICA_28!C30</f>
        <v>3</v>
      </c>
      <c r="E20" s="23">
        <f>GRAFICA_28!D30</f>
        <v>4</v>
      </c>
      <c r="F20" s="23">
        <f>GRAFICA_28!D30</f>
        <v>4</v>
      </c>
    </row>
    <row r="21" spans="1:6" ht="19.05" customHeight="1" x14ac:dyDescent="0.3">
      <c r="B21" s="43">
        <v>4</v>
      </c>
      <c r="C21" s="23">
        <f>GRAFICA_28!C31</f>
        <v>1</v>
      </c>
      <c r="D21" s="23">
        <f>GRAFICA_28!C31</f>
        <v>1</v>
      </c>
      <c r="E21" s="23">
        <f>GRAFICA_28!D31</f>
        <v>5</v>
      </c>
      <c r="F21" s="23">
        <f>GRAFICA_28!D31</f>
        <v>5</v>
      </c>
    </row>
    <row r="22" spans="1:6" ht="19.05" customHeight="1" x14ac:dyDescent="0.3">
      <c r="B22" s="44">
        <v>5</v>
      </c>
      <c r="C22" s="23">
        <f>GRAFICA_28!C32</f>
        <v>5</v>
      </c>
      <c r="D22" s="23">
        <f>GRAFICA_28!C32</f>
        <v>5</v>
      </c>
      <c r="E22" s="23">
        <f>GRAFICA_28!D32</f>
        <v>6</v>
      </c>
      <c r="F22" s="23">
        <f>GRAFICA_28!D32</f>
        <v>6</v>
      </c>
    </row>
    <row r="23" spans="1:6" ht="19.05" customHeight="1" x14ac:dyDescent="0.3">
      <c r="B23" s="51">
        <v>6</v>
      </c>
      <c r="C23" s="23">
        <f>GRAFICA_28!C33</f>
        <v>6</v>
      </c>
      <c r="D23" s="23">
        <f>GRAFICA_28!C33</f>
        <v>6</v>
      </c>
      <c r="E23" s="23">
        <f>GRAFICA_28!D33</f>
        <v>4</v>
      </c>
      <c r="F23" s="23">
        <f>GRAFICA_28!D33</f>
        <v>4</v>
      </c>
    </row>
    <row r="24" spans="1:6" ht="19.05" customHeight="1" x14ac:dyDescent="0.3">
      <c r="B24" s="52">
        <v>7</v>
      </c>
      <c r="C24" s="23">
        <f>GRAFICA_28!C34</f>
        <v>5</v>
      </c>
      <c r="D24" s="23">
        <f>GRAFICA_28!C34</f>
        <v>5</v>
      </c>
      <c r="E24" s="23">
        <f>GRAFICA_28!D34</f>
        <v>2</v>
      </c>
      <c r="F24" s="23">
        <f>GRAFICA_28!D34</f>
        <v>2</v>
      </c>
    </row>
    <row r="25" spans="1:6" ht="19.05" customHeight="1" x14ac:dyDescent="0.3">
      <c r="B25" s="59">
        <v>8</v>
      </c>
      <c r="C25" s="23">
        <f>GRAFICA_28!C35</f>
        <v>6</v>
      </c>
      <c r="D25" s="23">
        <f>GRAFICA_28!C35</f>
        <v>6</v>
      </c>
      <c r="E25" s="23">
        <f>GRAFICA_28!D35</f>
        <v>3</v>
      </c>
      <c r="F25" s="23">
        <f>GRAFICA_28!D35</f>
        <v>3</v>
      </c>
    </row>
    <row r="26" spans="1:6" ht="19.05" customHeight="1" x14ac:dyDescent="0.3">
      <c r="B26" s="60">
        <v>9</v>
      </c>
      <c r="C26" s="23">
        <f>GRAFICA_28!C36</f>
        <v>5</v>
      </c>
      <c r="D26" s="23">
        <f>GRAFICA_28!C36</f>
        <v>5</v>
      </c>
      <c r="E26" s="23">
        <f>GRAFICA_28!D36</f>
        <v>3</v>
      </c>
      <c r="F26" s="23">
        <f>GRAFICA_28!D36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U1X</v>
      </c>
      <c r="C92" s="45" t="str">
        <f>CONCATENATE("U",D21,D$17)</f>
        <v>U1Y</v>
      </c>
      <c r="D92" s="45" t="str">
        <f>CONCATENATE("U",E21,E$17)</f>
        <v>U5X</v>
      </c>
      <c r="E92" s="45" t="str">
        <f>CONCATENATE("U",F21,F$17)</f>
        <v>U5Y</v>
      </c>
    </row>
    <row r="93" spans="1:14" x14ac:dyDescent="0.3">
      <c r="B93" s="46">
        <f>J9*J9*N9</f>
        <v>29698.484809834987</v>
      </c>
      <c r="C93" s="46">
        <f>J9*K9*N9</f>
        <v>29698.484809834987</v>
      </c>
      <c r="D93" s="46">
        <f>-B93</f>
        <v>-29698.484809834987</v>
      </c>
      <c r="E93" s="46">
        <f>-C93</f>
        <v>-29698.484809834987</v>
      </c>
      <c r="F93" s="45" t="str">
        <f>B92</f>
        <v>U1X</v>
      </c>
    </row>
    <row r="94" spans="1:14" ht="16.8" customHeight="1" x14ac:dyDescent="0.3">
      <c r="A94" s="28" t="s">
        <v>195</v>
      </c>
      <c r="B94" s="46">
        <f>C93</f>
        <v>29698.484809834987</v>
      </c>
      <c r="C94" s="46">
        <f>K9*K9*N9</f>
        <v>29698.484809834987</v>
      </c>
      <c r="D94" s="46">
        <f>-B94</f>
        <v>-29698.484809834987</v>
      </c>
      <c r="E94" s="46">
        <f>-C94</f>
        <v>-29698.484809834987</v>
      </c>
      <c r="F94" s="45" t="str">
        <f>C92</f>
        <v>U1Y</v>
      </c>
    </row>
    <row r="95" spans="1:14" x14ac:dyDescent="0.3">
      <c r="B95" s="46">
        <f>D93</f>
        <v>-29698.484809834987</v>
      </c>
      <c r="C95" s="46">
        <f>E93</f>
        <v>-29698.484809834987</v>
      </c>
      <c r="D95" s="46">
        <f>B93</f>
        <v>29698.484809834987</v>
      </c>
      <c r="E95" s="46">
        <f>C93</f>
        <v>29698.484809834987</v>
      </c>
      <c r="F95" s="45" t="str">
        <f>D92</f>
        <v>U5X</v>
      </c>
    </row>
    <row r="96" spans="1:14" x14ac:dyDescent="0.3">
      <c r="B96" s="46">
        <f>D94</f>
        <v>-29698.484809834987</v>
      </c>
      <c r="C96" s="46">
        <f>E94</f>
        <v>-29698.484809834987</v>
      </c>
      <c r="D96" s="46">
        <f>B94</f>
        <v>29698.484809834987</v>
      </c>
      <c r="E96" s="46">
        <f>C94</f>
        <v>29698.484809834987</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47">
        <f t="shared" ref="B99:M110" si="9">IFERROR(INDEX($B$93:$E$96, MATCH($N99, $B$92:$E$92, 0), MATCH(B$98, $B$92:$E$92, 0)), 0)</f>
        <v>29698.484809834987</v>
      </c>
      <c r="C99" s="47">
        <f t="shared" si="9"/>
        <v>29698.484809834987</v>
      </c>
      <c r="D99" s="9">
        <f t="shared" si="9"/>
        <v>0</v>
      </c>
      <c r="E99" s="9">
        <f t="shared" si="9"/>
        <v>0</v>
      </c>
      <c r="F99" s="9">
        <f t="shared" si="9"/>
        <v>0</v>
      </c>
      <c r="G99" s="9">
        <f t="shared" si="9"/>
        <v>0</v>
      </c>
      <c r="H99" s="9">
        <f t="shared" si="9"/>
        <v>0</v>
      </c>
      <c r="I99" s="9">
        <f t="shared" si="9"/>
        <v>0</v>
      </c>
      <c r="J99" s="47">
        <f t="shared" si="9"/>
        <v>-29698.484809834987</v>
      </c>
      <c r="K99" s="47">
        <f t="shared" si="9"/>
        <v>-29698.484809834987</v>
      </c>
      <c r="L99" s="9">
        <f t="shared" si="9"/>
        <v>0</v>
      </c>
      <c r="M99" s="9">
        <f t="shared" si="9"/>
        <v>0</v>
      </c>
      <c r="N99" s="45" t="s">
        <v>178</v>
      </c>
    </row>
    <row r="100" spans="1:14" ht="19.05" customHeight="1" x14ac:dyDescent="0.3">
      <c r="B100" s="47">
        <f t="shared" si="9"/>
        <v>29698.484809834987</v>
      </c>
      <c r="C100" s="47">
        <f t="shared" si="9"/>
        <v>29698.484809834987</v>
      </c>
      <c r="D100" s="9">
        <f t="shared" si="9"/>
        <v>0</v>
      </c>
      <c r="E100" s="9">
        <f t="shared" si="9"/>
        <v>0</v>
      </c>
      <c r="F100" s="9">
        <f t="shared" si="9"/>
        <v>0</v>
      </c>
      <c r="G100" s="9">
        <f t="shared" si="9"/>
        <v>0</v>
      </c>
      <c r="H100" s="9">
        <f t="shared" si="9"/>
        <v>0</v>
      </c>
      <c r="I100" s="9">
        <f t="shared" si="9"/>
        <v>0</v>
      </c>
      <c r="J100" s="47">
        <f t="shared" si="9"/>
        <v>-29698.484809834987</v>
      </c>
      <c r="K100" s="47">
        <f t="shared" si="9"/>
        <v>-29698.484809834987</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47">
        <f t="shared" si="9"/>
        <v>-29698.484809834987</v>
      </c>
      <c r="C107" s="47">
        <f t="shared" si="9"/>
        <v>-29698.484809834987</v>
      </c>
      <c r="D107" s="9">
        <f t="shared" si="9"/>
        <v>0</v>
      </c>
      <c r="E107" s="9">
        <f t="shared" si="9"/>
        <v>0</v>
      </c>
      <c r="F107" s="9">
        <f t="shared" si="9"/>
        <v>0</v>
      </c>
      <c r="G107" s="9">
        <f t="shared" si="9"/>
        <v>0</v>
      </c>
      <c r="H107" s="9">
        <f t="shared" si="9"/>
        <v>0</v>
      </c>
      <c r="I107" s="9">
        <f t="shared" si="9"/>
        <v>0</v>
      </c>
      <c r="J107" s="47">
        <f t="shared" si="9"/>
        <v>29698.484809834987</v>
      </c>
      <c r="K107" s="47">
        <f t="shared" si="9"/>
        <v>29698.484809834987</v>
      </c>
      <c r="L107" s="9">
        <f t="shared" si="9"/>
        <v>0</v>
      </c>
      <c r="M107" s="9">
        <f t="shared" si="9"/>
        <v>0</v>
      </c>
      <c r="N107" s="45" t="s">
        <v>186</v>
      </c>
    </row>
    <row r="108" spans="1:14" ht="19.05" customHeight="1" x14ac:dyDescent="0.3">
      <c r="B108" s="47">
        <f t="shared" si="9"/>
        <v>-29698.484809834987</v>
      </c>
      <c r="C108" s="47">
        <f t="shared" si="9"/>
        <v>-29698.484809834987</v>
      </c>
      <c r="D108" s="9">
        <f t="shared" si="9"/>
        <v>0</v>
      </c>
      <c r="E108" s="9">
        <f t="shared" si="9"/>
        <v>0</v>
      </c>
      <c r="F108" s="9">
        <f t="shared" si="9"/>
        <v>0</v>
      </c>
      <c r="G108" s="9">
        <f t="shared" si="9"/>
        <v>0</v>
      </c>
      <c r="H108" s="9">
        <f t="shared" si="9"/>
        <v>0</v>
      </c>
      <c r="I108" s="9">
        <f t="shared" si="9"/>
        <v>0</v>
      </c>
      <c r="J108" s="47">
        <f t="shared" si="9"/>
        <v>29698.484809834987</v>
      </c>
      <c r="K108" s="47">
        <f t="shared" si="9"/>
        <v>29698.484809834987</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84000</v>
      </c>
      <c r="C114" s="49">
        <f>J10*K10*N10</f>
        <v>0</v>
      </c>
      <c r="D114" s="49">
        <f>-B114</f>
        <v>-84000</v>
      </c>
      <c r="E114" s="49">
        <f>-C114</f>
        <v>0</v>
      </c>
      <c r="F114" s="48" t="str">
        <f>B113</f>
        <v>U5X</v>
      </c>
    </row>
    <row r="115" spans="1:14" ht="16.8" customHeight="1" x14ac:dyDescent="0.3">
      <c r="A115" s="28" t="s">
        <v>197</v>
      </c>
      <c r="B115" s="49">
        <f>C114</f>
        <v>0</v>
      </c>
      <c r="C115" s="49">
        <f>K10*K10*N10</f>
        <v>0</v>
      </c>
      <c r="D115" s="49">
        <f>-B115</f>
        <v>0</v>
      </c>
      <c r="E115" s="49">
        <f>-C115</f>
        <v>0</v>
      </c>
      <c r="F115" s="48" t="str">
        <f>C113</f>
        <v>U5Y</v>
      </c>
    </row>
    <row r="116" spans="1:14" x14ac:dyDescent="0.3">
      <c r="B116" s="49">
        <f>D114</f>
        <v>-84000</v>
      </c>
      <c r="C116" s="49">
        <f>E114</f>
        <v>0</v>
      </c>
      <c r="D116" s="49">
        <f>B114</f>
        <v>84000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84000</v>
      </c>
      <c r="K128" s="50">
        <f t="shared" si="10"/>
        <v>0</v>
      </c>
      <c r="L128" s="50">
        <f t="shared" si="10"/>
        <v>-84000</v>
      </c>
      <c r="M128" s="50">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0</v>
      </c>
      <c r="K129" s="50">
        <f t="shared" si="10"/>
        <v>0</v>
      </c>
      <c r="L129" s="50">
        <f t="shared" si="10"/>
        <v>0</v>
      </c>
      <c r="M129" s="50">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-84000</v>
      </c>
      <c r="K130" s="50">
        <f t="shared" si="10"/>
        <v>0</v>
      </c>
      <c r="L130" s="50">
        <f t="shared" si="10"/>
        <v>84000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0</v>
      </c>
      <c r="K131" s="50">
        <f t="shared" si="10"/>
        <v>0</v>
      </c>
      <c r="L131" s="50">
        <f t="shared" si="10"/>
        <v>0</v>
      </c>
      <c r="M131" s="50">
        <f t="shared" si="10"/>
        <v>0</v>
      </c>
      <c r="N131" s="48" t="s">
        <v>189</v>
      </c>
    </row>
    <row r="134" spans="1:14" ht="18" customHeight="1" x14ac:dyDescent="0.3">
      <c r="B134" s="53" t="str">
        <f>CONCATENATE("U",C23,C$17)</f>
        <v>U6X</v>
      </c>
      <c r="C134" s="53" t="str">
        <f>CONCATENATE("U",D23,D$17)</f>
        <v>U6Y</v>
      </c>
      <c r="D134" s="53" t="str">
        <f>CONCATENATE("U",E23,E$17)</f>
        <v>U4X</v>
      </c>
      <c r="E134" s="53" t="str">
        <f>CONCATENATE("U",F23,F$17)</f>
        <v>U4Y</v>
      </c>
    </row>
    <row r="135" spans="1:14" x14ac:dyDescent="0.3">
      <c r="B135" s="54">
        <f>J11*J11*N11</f>
        <v>29698.484809834987</v>
      </c>
      <c r="C135" s="54">
        <f>J11*K11*N11</f>
        <v>-29698.484809834987</v>
      </c>
      <c r="D135" s="54">
        <f>-B135</f>
        <v>-29698.484809834987</v>
      </c>
      <c r="E135" s="54">
        <f>-C135</f>
        <v>29698.484809834987</v>
      </c>
      <c r="F135" s="53" t="str">
        <f>B134</f>
        <v>U6X</v>
      </c>
    </row>
    <row r="136" spans="1:14" ht="16.8" customHeight="1" x14ac:dyDescent="0.3">
      <c r="A136" s="28" t="s">
        <v>199</v>
      </c>
      <c r="B136" s="54">
        <f>C135</f>
        <v>-29698.484809834987</v>
      </c>
      <c r="C136" s="54">
        <f>K11*K11*N11</f>
        <v>29698.484809834987</v>
      </c>
      <c r="D136" s="54">
        <f>-B136</f>
        <v>29698.484809834987</v>
      </c>
      <c r="E136" s="54">
        <f>-C136</f>
        <v>-29698.484809834987</v>
      </c>
      <c r="F136" s="53" t="str">
        <f>C134</f>
        <v>U6Y</v>
      </c>
    </row>
    <row r="137" spans="1:14" x14ac:dyDescent="0.3">
      <c r="B137" s="54">
        <f>D135</f>
        <v>-29698.484809834987</v>
      </c>
      <c r="C137" s="54">
        <f>E135</f>
        <v>29698.484809834987</v>
      </c>
      <c r="D137" s="54">
        <f>B135</f>
        <v>29698.484809834987</v>
      </c>
      <c r="E137" s="54">
        <f>C135</f>
        <v>-29698.484809834987</v>
      </c>
      <c r="F137" s="53" t="str">
        <f>D134</f>
        <v>U4X</v>
      </c>
    </row>
    <row r="138" spans="1:14" x14ac:dyDescent="0.3">
      <c r="B138" s="54">
        <f>D136</f>
        <v>29698.484809834987</v>
      </c>
      <c r="C138" s="54">
        <f>E136</f>
        <v>-29698.484809834987</v>
      </c>
      <c r="D138" s="54">
        <f>B136</f>
        <v>-29698.484809834987</v>
      </c>
      <c r="E138" s="54">
        <f>C136</f>
        <v>29698.484809834987</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55">
        <f t="shared" si="11"/>
        <v>29698.484809834987</v>
      </c>
      <c r="I147" s="55">
        <f t="shared" si="11"/>
        <v>-29698.484809834987</v>
      </c>
      <c r="J147" s="9">
        <f t="shared" si="11"/>
        <v>0</v>
      </c>
      <c r="K147" s="9">
        <f t="shared" si="11"/>
        <v>0</v>
      </c>
      <c r="L147" s="55">
        <f t="shared" si="11"/>
        <v>-29698.484809834987</v>
      </c>
      <c r="M147" s="55">
        <f t="shared" si="11"/>
        <v>29698.484809834987</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55">
        <f t="shared" si="11"/>
        <v>-29698.484809834987</v>
      </c>
      <c r="I148" s="55">
        <f t="shared" si="11"/>
        <v>29698.484809834987</v>
      </c>
      <c r="J148" s="9">
        <f t="shared" si="11"/>
        <v>0</v>
      </c>
      <c r="K148" s="9">
        <f t="shared" si="11"/>
        <v>0</v>
      </c>
      <c r="L148" s="55">
        <f t="shared" si="11"/>
        <v>29698.484809834987</v>
      </c>
      <c r="M148" s="55">
        <f t="shared" si="11"/>
        <v>-29698.484809834987</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55">
        <f t="shared" si="11"/>
        <v>-29698.484809834987</v>
      </c>
      <c r="I151" s="55">
        <f t="shared" si="11"/>
        <v>29698.484809834987</v>
      </c>
      <c r="J151" s="9">
        <f t="shared" si="11"/>
        <v>0</v>
      </c>
      <c r="K151" s="9">
        <f t="shared" si="11"/>
        <v>0</v>
      </c>
      <c r="L151" s="55">
        <f t="shared" si="11"/>
        <v>29698.484809834987</v>
      </c>
      <c r="M151" s="55">
        <f t="shared" si="11"/>
        <v>-29698.484809834987</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55">
        <f t="shared" si="11"/>
        <v>29698.484809834987</v>
      </c>
      <c r="I152" s="55">
        <f t="shared" si="11"/>
        <v>-29698.484809834987</v>
      </c>
      <c r="J152" s="9">
        <f t="shared" si="11"/>
        <v>0</v>
      </c>
      <c r="K152" s="9">
        <f t="shared" si="11"/>
        <v>0</v>
      </c>
      <c r="L152" s="55">
        <f t="shared" si="11"/>
        <v>-29698.484809834987</v>
      </c>
      <c r="M152" s="55">
        <f t="shared" si="11"/>
        <v>29698.484809834987</v>
      </c>
      <c r="N152" s="53" t="s">
        <v>189</v>
      </c>
    </row>
    <row r="155" spans="1:14" ht="18" customHeight="1" x14ac:dyDescent="0.3">
      <c r="B155" s="56" t="str">
        <f>CONCATENATE("U",C24,C$17)</f>
        <v>U5X</v>
      </c>
      <c r="C155" s="56" t="str">
        <f>CONCATENATE("U",D24,D$17)</f>
        <v>U5Y</v>
      </c>
      <c r="D155" s="56" t="str">
        <f>CONCATENATE("U",E24,E$17)</f>
        <v>U2X</v>
      </c>
      <c r="E155" s="56" t="str">
        <f>CONCATENATE("U",F24,F$17)</f>
        <v>U2Y</v>
      </c>
    </row>
    <row r="156" spans="1:14" x14ac:dyDescent="0.3">
      <c r="B156" s="57">
        <f>J12*J12*N12</f>
        <v>0</v>
      </c>
      <c r="C156" s="57">
        <f>J12*K12*N12</f>
        <v>0</v>
      </c>
      <c r="D156" s="57">
        <f>-B156</f>
        <v>0</v>
      </c>
      <c r="E156" s="57">
        <f>-C156</f>
        <v>0</v>
      </c>
      <c r="F156" s="56" t="str">
        <f>B155</f>
        <v>U5X</v>
      </c>
    </row>
    <row r="157" spans="1:14" ht="16.8" customHeight="1" x14ac:dyDescent="0.3">
      <c r="A157" s="28" t="s">
        <v>201</v>
      </c>
      <c r="B157" s="57">
        <f>C156</f>
        <v>0</v>
      </c>
      <c r="C157" s="57">
        <f>K12*K12*N12</f>
        <v>84000</v>
      </c>
      <c r="D157" s="57">
        <f>-B157</f>
        <v>0</v>
      </c>
      <c r="E157" s="57">
        <f>-C157</f>
        <v>-84000</v>
      </c>
      <c r="F157" s="56" t="str">
        <f>C155</f>
        <v>U5Y</v>
      </c>
    </row>
    <row r="158" spans="1:14" x14ac:dyDescent="0.3">
      <c r="B158" s="57">
        <f>D156</f>
        <v>0</v>
      </c>
      <c r="C158" s="57">
        <f>E156</f>
        <v>0</v>
      </c>
      <c r="D158" s="57">
        <f>B156</f>
        <v>0</v>
      </c>
      <c r="E158" s="57">
        <f>C156</f>
        <v>0</v>
      </c>
      <c r="F158" s="56" t="str">
        <f>D155</f>
        <v>U2X</v>
      </c>
    </row>
    <row r="159" spans="1:14" x14ac:dyDescent="0.3">
      <c r="B159" s="57">
        <f>D157</f>
        <v>0</v>
      </c>
      <c r="C159" s="57">
        <f>E157</f>
        <v>-84000</v>
      </c>
      <c r="D159" s="57">
        <f>B157</f>
        <v>0</v>
      </c>
      <c r="E159" s="57">
        <f>C157</f>
        <v>84000</v>
      </c>
      <c r="F159" s="56" t="str">
        <f>E155</f>
        <v>U2Y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0</v>
      </c>
      <c r="E164" s="58">
        <f t="shared" si="12"/>
        <v>0</v>
      </c>
      <c r="F164" s="9">
        <f t="shared" si="12"/>
        <v>0</v>
      </c>
      <c r="G164" s="9">
        <f t="shared" si="12"/>
        <v>0</v>
      </c>
      <c r="H164" s="9">
        <f t="shared" si="12"/>
        <v>0</v>
      </c>
      <c r="I164" s="9">
        <f t="shared" si="12"/>
        <v>0</v>
      </c>
      <c r="J164" s="58">
        <f t="shared" si="12"/>
        <v>0</v>
      </c>
      <c r="K164" s="58">
        <f t="shared" si="12"/>
        <v>0</v>
      </c>
      <c r="L164" s="9">
        <f t="shared" si="12"/>
        <v>0</v>
      </c>
      <c r="M164" s="9">
        <f t="shared" si="12"/>
        <v>0</v>
      </c>
      <c r="N164" s="56" t="s">
        <v>180</v>
      </c>
    </row>
    <row r="165" spans="1:14" ht="19.05" customHeight="1" x14ac:dyDescent="0.3">
      <c r="B165" s="9">
        <f t="shared" si="12"/>
        <v>0</v>
      </c>
      <c r="C165" s="9">
        <f t="shared" si="12"/>
        <v>0</v>
      </c>
      <c r="D165" s="58">
        <f t="shared" si="12"/>
        <v>0</v>
      </c>
      <c r="E165" s="58">
        <f t="shared" si="12"/>
        <v>84000</v>
      </c>
      <c r="F165" s="9">
        <f t="shared" si="12"/>
        <v>0</v>
      </c>
      <c r="G165" s="9">
        <f t="shared" si="12"/>
        <v>0</v>
      </c>
      <c r="H165" s="9">
        <f t="shared" si="12"/>
        <v>0</v>
      </c>
      <c r="I165" s="9">
        <f t="shared" si="12"/>
        <v>0</v>
      </c>
      <c r="J165" s="58">
        <f t="shared" si="12"/>
        <v>0</v>
      </c>
      <c r="K165" s="58">
        <f t="shared" si="12"/>
        <v>-84000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58">
        <f t="shared" si="12"/>
        <v>0</v>
      </c>
      <c r="E170" s="58">
        <f t="shared" si="12"/>
        <v>0</v>
      </c>
      <c r="F170" s="9">
        <f t="shared" si="12"/>
        <v>0</v>
      </c>
      <c r="G170" s="9">
        <f t="shared" si="12"/>
        <v>0</v>
      </c>
      <c r="H170" s="9">
        <f t="shared" si="12"/>
        <v>0</v>
      </c>
      <c r="I170" s="9">
        <f t="shared" si="12"/>
        <v>0</v>
      </c>
      <c r="J170" s="58">
        <f t="shared" si="12"/>
        <v>0</v>
      </c>
      <c r="K170" s="58">
        <f t="shared" si="12"/>
        <v>0</v>
      </c>
      <c r="L170" s="9">
        <f t="shared" si="12"/>
        <v>0</v>
      </c>
      <c r="M170" s="9">
        <f t="shared" si="12"/>
        <v>0</v>
      </c>
      <c r="N170" s="56" t="s">
        <v>186</v>
      </c>
    </row>
    <row r="171" spans="1:14" ht="19.05" customHeight="1" x14ac:dyDescent="0.3">
      <c r="B171" s="9">
        <f t="shared" si="12"/>
        <v>0</v>
      </c>
      <c r="C171" s="9">
        <f t="shared" si="12"/>
        <v>0</v>
      </c>
      <c r="D171" s="58">
        <f t="shared" si="12"/>
        <v>0</v>
      </c>
      <c r="E171" s="58">
        <f t="shared" si="12"/>
        <v>-84000</v>
      </c>
      <c r="F171" s="9">
        <f t="shared" si="12"/>
        <v>0</v>
      </c>
      <c r="G171" s="9">
        <f t="shared" si="12"/>
        <v>0</v>
      </c>
      <c r="H171" s="9">
        <f t="shared" si="12"/>
        <v>0</v>
      </c>
      <c r="I171" s="9">
        <f t="shared" si="12"/>
        <v>0</v>
      </c>
      <c r="J171" s="58">
        <f t="shared" si="12"/>
        <v>0</v>
      </c>
      <c r="K171" s="58">
        <f t="shared" si="12"/>
        <v>84000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84000</v>
      </c>
      <c r="D178" s="62">
        <f>-B178</f>
        <v>0</v>
      </c>
      <c r="E178" s="62">
        <f>-C178</f>
        <v>-84000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-84000</v>
      </c>
      <c r="D180" s="62">
        <f>B178</f>
        <v>0</v>
      </c>
      <c r="E180" s="62">
        <f>C178</f>
        <v>84000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84000</v>
      </c>
      <c r="H188" s="9">
        <f t="shared" si="13"/>
        <v>0</v>
      </c>
      <c r="I188" s="9">
        <f t="shared" si="13"/>
        <v>0</v>
      </c>
      <c r="J188" s="9">
        <f t="shared" si="13"/>
        <v>0</v>
      </c>
      <c r="K188" s="9">
        <f t="shared" si="13"/>
        <v>0</v>
      </c>
      <c r="L188" s="63">
        <f t="shared" si="13"/>
        <v>0</v>
      </c>
      <c r="M188" s="63">
        <f t="shared" si="13"/>
        <v>-84000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-84000</v>
      </c>
      <c r="H194" s="9">
        <f t="shared" si="13"/>
        <v>0</v>
      </c>
      <c r="I194" s="9">
        <f t="shared" si="13"/>
        <v>0</v>
      </c>
      <c r="J194" s="9">
        <f t="shared" si="13"/>
        <v>0</v>
      </c>
      <c r="K194" s="9">
        <f t="shared" si="13"/>
        <v>0</v>
      </c>
      <c r="L194" s="63">
        <f t="shared" si="13"/>
        <v>0</v>
      </c>
      <c r="M194" s="63">
        <f t="shared" si="13"/>
        <v>84000</v>
      </c>
      <c r="N194" s="61" t="s">
        <v>189</v>
      </c>
    </row>
    <row r="197" spans="1:14" ht="18" customHeight="1" x14ac:dyDescent="0.3">
      <c r="B197" s="64" t="str">
        <f>CONCATENATE("U",C26,C$17)</f>
        <v>U5X</v>
      </c>
      <c r="C197" s="64" t="str">
        <f>CONCATENATE("U",D26,D$17)</f>
        <v>U5Y</v>
      </c>
      <c r="D197" s="64" t="str">
        <f>CONCATENATE("U",E26,E$17)</f>
        <v>U3X</v>
      </c>
      <c r="E197" s="64" t="str">
        <f>CONCATENATE("U",F26,F$17)</f>
        <v>U3Y</v>
      </c>
    </row>
    <row r="198" spans="1:14" x14ac:dyDescent="0.3">
      <c r="B198" s="65">
        <f>J14*J14*N14</f>
        <v>29698.484809834987</v>
      </c>
      <c r="C198" s="65">
        <f>J14*K14*N14</f>
        <v>-29698.484809834987</v>
      </c>
      <c r="D198" s="65">
        <f>-B198</f>
        <v>-29698.484809834987</v>
      </c>
      <c r="E198" s="65">
        <f>-C198</f>
        <v>29698.484809834987</v>
      </c>
      <c r="F198" s="64" t="str">
        <f>B197</f>
        <v>U5X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U5Y</v>
      </c>
    </row>
    <row r="200" spans="1:14" x14ac:dyDescent="0.3">
      <c r="B200" s="65">
        <f>D198</f>
        <v>-29698.484809834987</v>
      </c>
      <c r="C200" s="65">
        <f>E198</f>
        <v>29698.484809834987</v>
      </c>
      <c r="D200" s="65">
        <f>B198</f>
        <v>29698.484809834987</v>
      </c>
      <c r="E200" s="65">
        <f>C198</f>
        <v>-29698.484809834987</v>
      </c>
      <c r="F200" s="64" t="str">
        <f>D197</f>
        <v>U3X</v>
      </c>
    </row>
    <row r="201" spans="1:14" x14ac:dyDescent="0.3">
      <c r="B201" s="65">
        <f>D199</f>
        <v>29698.484809834987</v>
      </c>
      <c r="C201" s="65">
        <f>E199</f>
        <v>-29698.484809834987</v>
      </c>
      <c r="D201" s="65">
        <f>B199</f>
        <v>-29698.484809834987</v>
      </c>
      <c r="E201" s="65">
        <f>C199</f>
        <v>29698.484809834987</v>
      </c>
      <c r="F201" s="64" t="str">
        <f>E197</f>
        <v>U3Y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29698.484809834987</v>
      </c>
      <c r="G208" s="66">
        <f t="shared" si="14"/>
        <v>-29698.484809834987</v>
      </c>
      <c r="H208" s="9">
        <f t="shared" si="14"/>
        <v>0</v>
      </c>
      <c r="I208" s="9">
        <f t="shared" si="14"/>
        <v>0</v>
      </c>
      <c r="J208" s="66">
        <f t="shared" si="14"/>
        <v>-29698.484809834987</v>
      </c>
      <c r="K208" s="66">
        <f t="shared" si="14"/>
        <v>29698.484809834987</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66">
        <f t="shared" si="14"/>
        <v>-29698.484809834987</v>
      </c>
      <c r="G209" s="66">
        <f t="shared" si="14"/>
        <v>29698.484809834987</v>
      </c>
      <c r="H209" s="9">
        <f t="shared" si="14"/>
        <v>0</v>
      </c>
      <c r="I209" s="9">
        <f t="shared" si="14"/>
        <v>0</v>
      </c>
      <c r="J209" s="66">
        <f t="shared" si="14"/>
        <v>29698.484809834987</v>
      </c>
      <c r="K209" s="66">
        <f t="shared" si="14"/>
        <v>-29698.484809834987</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66">
        <f t="shared" si="14"/>
        <v>-29698.484809834987</v>
      </c>
      <c r="G212" s="66">
        <f t="shared" si="14"/>
        <v>29698.484809834987</v>
      </c>
      <c r="H212" s="9">
        <f t="shared" si="14"/>
        <v>0</v>
      </c>
      <c r="I212" s="9">
        <f t="shared" si="14"/>
        <v>0</v>
      </c>
      <c r="J212" s="66">
        <f t="shared" si="14"/>
        <v>29698.484809834987</v>
      </c>
      <c r="K212" s="66">
        <f t="shared" si="14"/>
        <v>-29698.484809834987</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66">
        <f t="shared" si="14"/>
        <v>29698.484809834987</v>
      </c>
      <c r="G213" s="66">
        <f t="shared" si="14"/>
        <v>-29698.484809834987</v>
      </c>
      <c r="H213" s="9">
        <f t="shared" si="14"/>
        <v>0</v>
      </c>
      <c r="I213" s="9">
        <f t="shared" si="14"/>
        <v>0</v>
      </c>
      <c r="J213" s="66">
        <f t="shared" si="14"/>
        <v>-29698.484809834987</v>
      </c>
      <c r="K213" s="66">
        <f t="shared" si="14"/>
        <v>29698.484809834987</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168000</v>
      </c>
      <c r="E221" s="36">
        <f t="shared" si="17"/>
        <v>0</v>
      </c>
      <c r="F221" s="9">
        <f t="shared" si="17"/>
        <v>-84000</v>
      </c>
      <c r="G221" s="9">
        <f t="shared" si="17"/>
        <v>0</v>
      </c>
      <c r="H221" s="9">
        <f t="shared" si="17"/>
        <v>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0</v>
      </c>
      <c r="E222" s="35">
        <f t="shared" si="18"/>
        <v>84000</v>
      </c>
      <c r="F222" s="9">
        <f t="shared" si="18"/>
        <v>0</v>
      </c>
      <c r="G222" s="9">
        <f t="shared" si="18"/>
        <v>0</v>
      </c>
      <c r="H222" s="9">
        <f t="shared" si="18"/>
        <v>0</v>
      </c>
      <c r="I222" s="9">
        <f t="shared" si="18"/>
        <v>0</v>
      </c>
      <c r="J222" s="9">
        <f t="shared" si="18"/>
        <v>0</v>
      </c>
      <c r="K222" s="9">
        <f t="shared" si="18"/>
        <v>-84000</v>
      </c>
      <c r="L222" s="9">
        <f t="shared" si="18"/>
        <v>0</v>
      </c>
      <c r="M222" s="9">
        <f t="shared" si="18"/>
        <v>0</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197698.48480983498</v>
      </c>
      <c r="G223" s="36">
        <f t="shared" si="19"/>
        <v>-29698.484809834987</v>
      </c>
      <c r="H223" s="9">
        <f t="shared" si="19"/>
        <v>-84000</v>
      </c>
      <c r="I223" s="9">
        <f t="shared" si="19"/>
        <v>0</v>
      </c>
      <c r="J223" s="9">
        <f t="shared" si="19"/>
        <v>-29698.484809834987</v>
      </c>
      <c r="K223" s="9">
        <f t="shared" si="19"/>
        <v>29698.484809834987</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-29698.484809834987</v>
      </c>
      <c r="G224" s="35">
        <f t="shared" si="20"/>
        <v>113698.48480983499</v>
      </c>
      <c r="H224" s="9">
        <f t="shared" si="20"/>
        <v>0</v>
      </c>
      <c r="I224" s="9">
        <f t="shared" si="20"/>
        <v>0</v>
      </c>
      <c r="J224" s="9">
        <f t="shared" si="20"/>
        <v>29698.484809834987</v>
      </c>
      <c r="K224" s="9">
        <f t="shared" si="20"/>
        <v>-29698.484809834987</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-29698.484809834987</v>
      </c>
      <c r="G227" s="9">
        <f t="shared" si="23"/>
        <v>29698.484809834987</v>
      </c>
      <c r="H227" s="9">
        <f t="shared" si="23"/>
        <v>0</v>
      </c>
      <c r="I227" s="9">
        <f t="shared" si="23"/>
        <v>0</v>
      </c>
      <c r="J227" s="35">
        <f t="shared" si="23"/>
        <v>143396.96961966998</v>
      </c>
      <c r="K227" s="36">
        <f t="shared" si="23"/>
        <v>0</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29698.484809834987</v>
      </c>
      <c r="G228" s="9">
        <f t="shared" si="24"/>
        <v>-29698.484809834987</v>
      </c>
      <c r="H228" s="9">
        <f t="shared" si="24"/>
        <v>0</v>
      </c>
      <c r="I228" s="9">
        <f t="shared" si="24"/>
        <v>0</v>
      </c>
      <c r="J228" s="36">
        <f t="shared" si="24"/>
        <v>0</v>
      </c>
      <c r="K228" s="35">
        <f t="shared" si="24"/>
        <v>143396.96961966998</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-29698.484809834987</v>
      </c>
      <c r="I229" s="9">
        <f t="shared" si="25"/>
        <v>29698.484809834987</v>
      </c>
      <c r="J229" s="9">
        <f t="shared" si="25"/>
        <v>-84000</v>
      </c>
      <c r="K229" s="9">
        <f t="shared" si="25"/>
        <v>0</v>
      </c>
      <c r="L229" s="35">
        <f t="shared" si="25"/>
        <v>113698.48480983499</v>
      </c>
      <c r="M229" s="36">
        <f t="shared" si="25"/>
        <v>-29698.484809834987</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-84000</v>
      </c>
      <c r="H230" s="9">
        <f t="shared" si="26"/>
        <v>29698.484809834987</v>
      </c>
      <c r="I230" s="9">
        <f t="shared" si="26"/>
        <v>-29698.484809834987</v>
      </c>
      <c r="J230" s="9">
        <f t="shared" si="26"/>
        <v>0</v>
      </c>
      <c r="K230" s="9">
        <f t="shared" si="26"/>
        <v>0</v>
      </c>
      <c r="L230" s="36">
        <f t="shared" si="26"/>
        <v>-29698.484809834987</v>
      </c>
      <c r="M230" s="35">
        <f t="shared" si="26"/>
        <v>113698.48480983499</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IF(GRAFICA_28!F14=1, B234, GRAFICA_28!H14)</f>
        <v>C1X</v>
      </c>
      <c r="P234" s="215" t="s">
        <v>376</v>
      </c>
      <c r="Q234" s="172"/>
      <c r="R234" s="172"/>
      <c r="S234" s="172"/>
      <c r="T234" s="172"/>
      <c r="U234" s="173"/>
    </row>
    <row r="235" spans="1:21" ht="16.95" customHeight="1" x14ac:dyDescent="0.3">
      <c r="B235" s="12" t="s">
        <v>210</v>
      </c>
      <c r="C235" s="12" t="s">
        <v>179</v>
      </c>
      <c r="E235" s="37" t="str">
        <f>IF(GRAFICA_28!G14=1, B235, GRAFICA_28!I14)</f>
        <v>C1Y</v>
      </c>
      <c r="P235" s="215" t="s">
        <v>211</v>
      </c>
      <c r="Q235" s="172"/>
      <c r="R235" s="172"/>
      <c r="S235" s="172"/>
      <c r="T235" s="172"/>
      <c r="U235" s="173"/>
    </row>
    <row r="236" spans="1:21" ht="16.95" customHeight="1" x14ac:dyDescent="0.3">
      <c r="B236" s="12" t="s">
        <v>212</v>
      </c>
      <c r="C236" s="12" t="s">
        <v>180</v>
      </c>
      <c r="E236" s="37">
        <f>IF(GRAFICA_28!F15=1, B236, GRAFICA_28!H15)</f>
        <v>0</v>
      </c>
      <c r="P236" s="215" t="s">
        <v>377</v>
      </c>
      <c r="Q236" s="172"/>
      <c r="R236" s="172"/>
      <c r="S236" s="172"/>
      <c r="T236" s="172"/>
      <c r="U236" s="173"/>
    </row>
    <row r="237" spans="1:21" ht="16.95" customHeight="1" x14ac:dyDescent="0.3">
      <c r="B237" s="12" t="s">
        <v>214</v>
      </c>
      <c r="C237" s="12" t="s">
        <v>181</v>
      </c>
      <c r="E237" s="37">
        <f>IF(GRAFICA_28!G15=1, B237, GRAFICA_28!I15)</f>
        <v>-6500</v>
      </c>
      <c r="P237" s="215" t="s">
        <v>215</v>
      </c>
      <c r="Q237" s="172"/>
      <c r="R237" s="172"/>
      <c r="S237" s="172"/>
      <c r="T237" s="172"/>
      <c r="U237" s="173"/>
    </row>
    <row r="238" spans="1:21" ht="16.95" customHeight="1" x14ac:dyDescent="0.3">
      <c r="B238" s="12" t="s">
        <v>216</v>
      </c>
      <c r="C238" s="12" t="s">
        <v>182</v>
      </c>
      <c r="E238" s="37">
        <f>IF(GRAFICA_28!F16=1, B238, GRAFICA_28!H16)</f>
        <v>0</v>
      </c>
      <c r="P238" s="215" t="s">
        <v>378</v>
      </c>
      <c r="Q238" s="172"/>
      <c r="R238" s="172"/>
      <c r="S238" s="172"/>
      <c r="T238" s="172"/>
      <c r="U238" s="173"/>
    </row>
    <row r="239" spans="1:21" ht="16.95" customHeight="1" x14ac:dyDescent="0.3">
      <c r="A239" s="38" t="s">
        <v>218</v>
      </c>
      <c r="B239" s="12" t="s">
        <v>219</v>
      </c>
      <c r="C239" s="12" t="s">
        <v>183</v>
      </c>
      <c r="D239" s="13" t="s">
        <v>220</v>
      </c>
      <c r="E239" s="37">
        <f>IF(GRAFICA_28!G16=1, B239, GRAFICA_28!I16)</f>
        <v>-6500</v>
      </c>
      <c r="P239" s="215" t="s">
        <v>379</v>
      </c>
      <c r="Q239" s="172"/>
      <c r="R239" s="172"/>
      <c r="S239" s="172"/>
      <c r="T239" s="172"/>
      <c r="U239" s="173"/>
    </row>
    <row r="240" spans="1:21" ht="16.95" customHeight="1" x14ac:dyDescent="0.3">
      <c r="B240" s="12" t="s">
        <v>221</v>
      </c>
      <c r="C240" s="12" t="s">
        <v>184</v>
      </c>
      <c r="E240" s="37">
        <f>IF(GRAFICA_28!F17=1, B240, GRAFICA_28!H17)</f>
        <v>0</v>
      </c>
      <c r="P240" s="215"/>
      <c r="Q240" s="172"/>
      <c r="R240" s="172"/>
      <c r="S240" s="172"/>
      <c r="T240" s="172"/>
      <c r="U240" s="173"/>
    </row>
    <row r="241" spans="1:21" ht="16.95" customHeight="1" x14ac:dyDescent="0.3">
      <c r="B241" s="12" t="s">
        <v>222</v>
      </c>
      <c r="C241" s="12" t="s">
        <v>185</v>
      </c>
      <c r="E241" s="37" t="str">
        <f>IF(GRAFICA_28!G17=1, B241, GRAFICA_28!I17)</f>
        <v>C4Y</v>
      </c>
      <c r="P241" s="215"/>
      <c r="Q241" s="172"/>
      <c r="R241" s="172"/>
      <c r="S241" s="172"/>
      <c r="T241" s="172"/>
      <c r="U241" s="173"/>
    </row>
    <row r="242" spans="1:21" ht="16.95" customHeight="1" x14ac:dyDescent="0.3">
      <c r="B242" s="12" t="s">
        <v>223</v>
      </c>
      <c r="C242" s="12" t="s">
        <v>186</v>
      </c>
      <c r="E242" s="37">
        <f>IF(GRAFICA_28!F18=1, B242, GRAFICA_28!H18)</f>
        <v>0</v>
      </c>
      <c r="P242" s="215"/>
      <c r="Q242" s="172"/>
      <c r="R242" s="172"/>
      <c r="S242" s="172"/>
      <c r="T242" s="172"/>
      <c r="U242" s="173"/>
    </row>
    <row r="243" spans="1:21" ht="16.95" customHeight="1" x14ac:dyDescent="0.3">
      <c r="B243" s="12" t="s">
        <v>224</v>
      </c>
      <c r="C243" s="12" t="s">
        <v>187</v>
      </c>
      <c r="E243" s="37">
        <f>IF(GRAFICA_28!G18=1, B243, GRAFICA_28!I18)</f>
        <v>0</v>
      </c>
      <c r="P243" s="215"/>
      <c r="Q243" s="172"/>
      <c r="R243" s="172"/>
      <c r="S243" s="172"/>
      <c r="T243" s="172"/>
      <c r="U243" s="173"/>
    </row>
    <row r="244" spans="1:21" ht="16.95" customHeight="1" x14ac:dyDescent="0.3">
      <c r="B244" s="12" t="s">
        <v>225</v>
      </c>
      <c r="C244" s="12" t="s">
        <v>188</v>
      </c>
      <c r="E244" s="37">
        <f>IF(GRAFICA_28!F19=1, B244, GRAFICA_28!H19)</f>
        <v>0</v>
      </c>
      <c r="P244" s="215"/>
      <c r="Q244" s="172"/>
      <c r="R244" s="172"/>
      <c r="S244" s="172"/>
      <c r="T244" s="172"/>
      <c r="U244" s="173"/>
    </row>
    <row r="245" spans="1:21" ht="16.95" customHeight="1" x14ac:dyDescent="0.3">
      <c r="B245" s="12" t="s">
        <v>226</v>
      </c>
      <c r="C245" s="12" t="s">
        <v>189</v>
      </c>
      <c r="E245" s="37">
        <f>IF(GRAFICA_28!G19=1, B245, GRAFICA_28!I19)</f>
        <v>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IF(GRAFICA_28!F14=1,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IF(GRAFICA_28!G14=1,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IF(GRAFICA_28!F15=1,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IF(GRAFICA_28!G15=1,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IF(GRAFICA_28!F16=1,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IF(GRAFICA_28!G16=1, 0, B253)</f>
        <v>D3Y</v>
      </c>
      <c r="F253" s="14">
        <f>IF(E253&lt;&gt;0, COUNTIF(E$248:E253, "&lt;&gt;0"), "")</f>
        <v>4</v>
      </c>
      <c r="G253" s="14" t="str">
        <f>IF(E253=0, COUNTIF(E$248:E253, 0), "")</f>
        <v/>
      </c>
      <c r="P253" s="215"/>
      <c r="Q253" s="172"/>
      <c r="R253" s="172"/>
      <c r="S253" s="172"/>
      <c r="T253" s="172"/>
      <c r="U253" s="173"/>
    </row>
    <row r="254" spans="1:21" ht="16.95" customHeight="1" x14ac:dyDescent="0.3">
      <c r="B254" s="12" t="s">
        <v>235</v>
      </c>
      <c r="C254" s="12" t="s">
        <v>184</v>
      </c>
      <c r="E254" s="39" t="str">
        <f>IF(GRAFICA_28!F17=1, 0, B254)</f>
        <v>D4X</v>
      </c>
      <c r="F254" s="14">
        <f>IF(E254&lt;&gt;0, COUNTIF(E$248:E254, "&lt;&gt;0"), "")</f>
        <v>5</v>
      </c>
      <c r="G254" s="14" t="str">
        <f>IF(E254=0, COUNTIF(E$248:E254, 0), "")</f>
        <v/>
      </c>
      <c r="P254" s="215"/>
      <c r="Q254" s="172"/>
      <c r="R254" s="172"/>
      <c r="S254" s="172"/>
      <c r="T254" s="172"/>
      <c r="U254" s="173"/>
    </row>
    <row r="255" spans="1:21" ht="16.95" customHeight="1" x14ac:dyDescent="0.3">
      <c r="B255" s="12" t="s">
        <v>236</v>
      </c>
      <c r="C255" s="12" t="s">
        <v>185</v>
      </c>
      <c r="E255" s="39">
        <f>IF(GRAFICA_28!G17=1, 0, B255)</f>
        <v>0</v>
      </c>
      <c r="F255" s="14" t="str">
        <f>IF(E255&lt;&gt;0, COUNTIF(E$248:E255, "&lt;&gt;0"), "")</f>
        <v/>
      </c>
      <c r="G255" s="14">
        <f>IF(E255=0, COUNTIF(E$248:E255, 0), "")</f>
        <v>3</v>
      </c>
      <c r="P255" s="215"/>
      <c r="Q255" s="172"/>
      <c r="R255" s="172"/>
      <c r="S255" s="172"/>
      <c r="T255" s="172"/>
      <c r="U255" s="173"/>
    </row>
    <row r="256" spans="1:21" ht="16.95" customHeight="1" x14ac:dyDescent="0.3">
      <c r="B256" s="12" t="s">
        <v>237</v>
      </c>
      <c r="C256" s="12" t="s">
        <v>186</v>
      </c>
      <c r="E256" s="39" t="str">
        <f>IF(GRAFICA_28!F18=1,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IF(GRAFICA_28!G18=1,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IF(GRAFICA_28!F19=1,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IF(GRAFICA_28!G19=1,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-84000</v>
      </c>
      <c r="D266" s="9">
        <f t="shared" si="30"/>
        <v>0</v>
      </c>
      <c r="E266" s="41">
        <f t="shared" si="30"/>
        <v>168000</v>
      </c>
      <c r="F266" s="41">
        <f t="shared" si="30"/>
        <v>0</v>
      </c>
      <c r="G266" s="41">
        <f t="shared" si="30"/>
        <v>-84000</v>
      </c>
      <c r="H266" s="41">
        <f t="shared" si="30"/>
        <v>0</v>
      </c>
      <c r="I266" s="41">
        <f t="shared" si="30"/>
        <v>0</v>
      </c>
      <c r="J266" s="9">
        <f t="shared" si="30"/>
        <v>0</v>
      </c>
      <c r="K266" s="41">
        <f t="shared" si="30"/>
        <v>0</v>
      </c>
      <c r="L266" s="41">
        <f t="shared" si="30"/>
        <v>0</v>
      </c>
      <c r="M266" s="41">
        <f t="shared" si="30"/>
        <v>0</v>
      </c>
      <c r="N266" s="41">
        <f t="shared" si="30"/>
        <v>0</v>
      </c>
      <c r="O266" s="13" t="s">
        <v>251</v>
      </c>
      <c r="P266" s="215" t="s">
        <v>254</v>
      </c>
      <c r="Q266" s="172"/>
      <c r="R266" s="172"/>
      <c r="S266" s="172"/>
      <c r="T266" s="172"/>
      <c r="U266" s="173"/>
    </row>
    <row r="267" spans="1:21" ht="16.95" customHeight="1" x14ac:dyDescent="0.3">
      <c r="A267" s="41">
        <f t="shared" si="27"/>
        <v>-6500</v>
      </c>
      <c r="C267" s="9">
        <f t="shared" ref="C267:N267" si="31">B222</f>
        <v>0</v>
      </c>
      <c r="D267" s="9">
        <f t="shared" si="31"/>
        <v>0</v>
      </c>
      <c r="E267" s="41">
        <f t="shared" si="31"/>
        <v>0</v>
      </c>
      <c r="F267" s="41">
        <f t="shared" si="31"/>
        <v>84000</v>
      </c>
      <c r="G267" s="41">
        <f t="shared" si="31"/>
        <v>0</v>
      </c>
      <c r="H267" s="41">
        <f t="shared" si="31"/>
        <v>0</v>
      </c>
      <c r="I267" s="41">
        <f t="shared" si="31"/>
        <v>0</v>
      </c>
      <c r="J267" s="9">
        <f t="shared" si="31"/>
        <v>0</v>
      </c>
      <c r="K267" s="41">
        <f t="shared" si="31"/>
        <v>0</v>
      </c>
      <c r="L267" s="41">
        <f t="shared" si="31"/>
        <v>-84000</v>
      </c>
      <c r="M267" s="41">
        <f t="shared" si="31"/>
        <v>0</v>
      </c>
      <c r="N267" s="41">
        <f t="shared" si="31"/>
        <v>0</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-84000</v>
      </c>
      <c r="F268" s="41">
        <f t="shared" si="32"/>
        <v>0</v>
      </c>
      <c r="G268" s="41">
        <f t="shared" si="32"/>
        <v>197698.48480983498</v>
      </c>
      <c r="H268" s="41">
        <f t="shared" si="32"/>
        <v>-29698.484809834987</v>
      </c>
      <c r="I268" s="41">
        <f t="shared" si="32"/>
        <v>-84000</v>
      </c>
      <c r="J268" s="9">
        <f t="shared" si="32"/>
        <v>0</v>
      </c>
      <c r="K268" s="41">
        <f t="shared" si="32"/>
        <v>-29698.484809834987</v>
      </c>
      <c r="L268" s="41">
        <f t="shared" si="32"/>
        <v>29698.484809834987</v>
      </c>
      <c r="M268" s="41">
        <f t="shared" si="32"/>
        <v>0</v>
      </c>
      <c r="N268" s="41">
        <f t="shared" si="32"/>
        <v>0</v>
      </c>
      <c r="O268" s="13" t="s">
        <v>251</v>
      </c>
      <c r="P268" s="215" t="s">
        <v>382</v>
      </c>
      <c r="Q268" s="172"/>
      <c r="R268" s="172"/>
      <c r="S268" s="172"/>
      <c r="T268" s="172"/>
      <c r="U268" s="173"/>
    </row>
    <row r="269" spans="1:21" ht="16.95" customHeight="1" x14ac:dyDescent="0.3">
      <c r="A269" s="41">
        <f t="shared" si="27"/>
        <v>-6500</v>
      </c>
      <c r="C269" s="9">
        <f t="shared" ref="C269:N269" si="33">B224</f>
        <v>0</v>
      </c>
      <c r="D269" s="9">
        <f t="shared" si="33"/>
        <v>0</v>
      </c>
      <c r="E269" s="41">
        <f t="shared" si="33"/>
        <v>0</v>
      </c>
      <c r="F269" s="41">
        <f t="shared" si="33"/>
        <v>0</v>
      </c>
      <c r="G269" s="41">
        <f t="shared" si="33"/>
        <v>-29698.484809834987</v>
      </c>
      <c r="H269" s="41">
        <f t="shared" si="33"/>
        <v>113698.48480983499</v>
      </c>
      <c r="I269" s="41">
        <f t="shared" si="33"/>
        <v>0</v>
      </c>
      <c r="J269" s="9">
        <f t="shared" si="33"/>
        <v>0</v>
      </c>
      <c r="K269" s="41">
        <f t="shared" si="33"/>
        <v>29698.484809834987</v>
      </c>
      <c r="L269" s="41">
        <f t="shared" si="33"/>
        <v>-29698.484809834987</v>
      </c>
      <c r="M269" s="41">
        <f t="shared" si="33"/>
        <v>0</v>
      </c>
      <c r="N269" s="41">
        <f t="shared" si="33"/>
        <v>-84000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215" t="str">
        <f t="shared" si="34"/>
        <v>D4X</v>
      </c>
      <c r="Q270" s="172"/>
      <c r="R270" s="172"/>
      <c r="S270" s="172"/>
      <c r="T270" s="172"/>
      <c r="U270" s="173"/>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219">
        <f t="shared" si="34"/>
        <v>0</v>
      </c>
      <c r="Q271" s="172"/>
      <c r="R271" s="172"/>
      <c r="S271" s="172"/>
      <c r="T271" s="172"/>
      <c r="U271" s="173"/>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-29698.484809834987</v>
      </c>
      <c r="H272" s="41">
        <f t="shared" si="37"/>
        <v>29698.484809834987</v>
      </c>
      <c r="I272" s="41">
        <f t="shared" si="37"/>
        <v>0</v>
      </c>
      <c r="J272" s="9">
        <f t="shared" si="37"/>
        <v>0</v>
      </c>
      <c r="K272" s="41">
        <f t="shared" si="37"/>
        <v>143396.96961966998</v>
      </c>
      <c r="L272" s="41">
        <f t="shared" si="37"/>
        <v>0</v>
      </c>
      <c r="M272" s="41">
        <f t="shared" si="37"/>
        <v>-84000</v>
      </c>
      <c r="N272" s="41">
        <f t="shared" si="37"/>
        <v>0</v>
      </c>
      <c r="O272" s="13" t="s">
        <v>251</v>
      </c>
      <c r="P272" s="215" t="str">
        <f t="shared" si="34"/>
        <v>D5X</v>
      </c>
      <c r="Q272" s="172"/>
      <c r="R272" s="172"/>
      <c r="S272" s="172"/>
      <c r="T272" s="172"/>
      <c r="U272" s="173"/>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29698.484809834987</v>
      </c>
      <c r="H273" s="41">
        <f t="shared" si="38"/>
        <v>-29698.484809834987</v>
      </c>
      <c r="I273" s="41">
        <f t="shared" si="38"/>
        <v>0</v>
      </c>
      <c r="J273" s="9">
        <f t="shared" si="38"/>
        <v>0</v>
      </c>
      <c r="K273" s="41">
        <f t="shared" si="38"/>
        <v>0</v>
      </c>
      <c r="L273" s="41">
        <f t="shared" si="38"/>
        <v>143396.96961966998</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0</v>
      </c>
      <c r="C274" s="9">
        <f t="shared" ref="C274:N274" si="39">B229</f>
        <v>0</v>
      </c>
      <c r="D274" s="9">
        <f t="shared" si="39"/>
        <v>0</v>
      </c>
      <c r="E274" s="41">
        <f t="shared" si="39"/>
        <v>0</v>
      </c>
      <c r="F274" s="41">
        <f t="shared" si="39"/>
        <v>0</v>
      </c>
      <c r="G274" s="41">
        <f t="shared" si="39"/>
        <v>0</v>
      </c>
      <c r="H274" s="41">
        <f t="shared" si="39"/>
        <v>0</v>
      </c>
      <c r="I274" s="41">
        <f t="shared" si="39"/>
        <v>-29698.484809834987</v>
      </c>
      <c r="J274" s="9">
        <f t="shared" si="39"/>
        <v>29698.484809834987</v>
      </c>
      <c r="K274" s="41">
        <f t="shared" si="39"/>
        <v>-84000</v>
      </c>
      <c r="L274" s="41">
        <f t="shared" si="39"/>
        <v>0</v>
      </c>
      <c r="M274" s="41">
        <f t="shared" si="39"/>
        <v>113698.48480983499</v>
      </c>
      <c r="N274" s="41">
        <f t="shared" si="39"/>
        <v>-29698.484809834987</v>
      </c>
      <c r="O274" s="13" t="s">
        <v>251</v>
      </c>
      <c r="P274" s="215" t="str">
        <f t="shared" si="34"/>
        <v>D6X</v>
      </c>
      <c r="Q274" s="172"/>
      <c r="R274" s="172"/>
      <c r="S274" s="172"/>
      <c r="T274" s="172"/>
      <c r="U274" s="173"/>
    </row>
    <row r="275" spans="1:21" ht="16.95" customHeight="1" x14ac:dyDescent="0.3">
      <c r="A275" s="41">
        <f t="shared" si="27"/>
        <v>0</v>
      </c>
      <c r="C275" s="9">
        <f t="shared" ref="C275:N275" si="40">B230</f>
        <v>0</v>
      </c>
      <c r="D275" s="9">
        <f t="shared" si="40"/>
        <v>0</v>
      </c>
      <c r="E275" s="41">
        <f t="shared" si="40"/>
        <v>0</v>
      </c>
      <c r="F275" s="41">
        <f t="shared" si="40"/>
        <v>0</v>
      </c>
      <c r="G275" s="41">
        <f t="shared" si="40"/>
        <v>0</v>
      </c>
      <c r="H275" s="41">
        <f t="shared" si="40"/>
        <v>-84000</v>
      </c>
      <c r="I275" s="41">
        <f t="shared" si="40"/>
        <v>29698.484809834987</v>
      </c>
      <c r="J275" s="9">
        <f t="shared" si="40"/>
        <v>-29698.484809834987</v>
      </c>
      <c r="K275" s="41">
        <f t="shared" si="40"/>
        <v>0</v>
      </c>
      <c r="L275" s="41">
        <f t="shared" si="40"/>
        <v>0</v>
      </c>
      <c r="M275" s="41">
        <f t="shared" si="40"/>
        <v>-29698.484809834987</v>
      </c>
      <c r="N275" s="41">
        <f t="shared" si="40"/>
        <v>113698.48480983499</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168000</v>
      </c>
      <c r="D280" s="41">
        <f t="shared" si="42"/>
        <v>0</v>
      </c>
      <c r="E280" s="41">
        <f t="shared" si="42"/>
        <v>-84000</v>
      </c>
      <c r="F280" s="41">
        <f t="shared" si="42"/>
        <v>0</v>
      </c>
      <c r="G280" s="41">
        <f t="shared" si="42"/>
        <v>0</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-6500</v>
      </c>
      <c r="C281" s="41">
        <f t="shared" si="42"/>
        <v>0</v>
      </c>
      <c r="D281" s="41">
        <f t="shared" si="42"/>
        <v>84000</v>
      </c>
      <c r="E281" s="41">
        <f t="shared" si="42"/>
        <v>0</v>
      </c>
      <c r="F281" s="41">
        <f t="shared" si="42"/>
        <v>0</v>
      </c>
      <c r="G281" s="41">
        <f t="shared" si="42"/>
        <v>0</v>
      </c>
      <c r="H281" s="41">
        <f t="shared" si="42"/>
        <v>0</v>
      </c>
      <c r="I281" s="41">
        <f t="shared" si="42"/>
        <v>-84000</v>
      </c>
      <c r="J281" s="41">
        <f t="shared" si="42"/>
        <v>0</v>
      </c>
      <c r="K281" s="41">
        <f t="shared" si="42"/>
        <v>0</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-84000</v>
      </c>
      <c r="D282" s="41">
        <f t="shared" si="42"/>
        <v>0</v>
      </c>
      <c r="E282" s="41">
        <f t="shared" si="42"/>
        <v>197698.48480983498</v>
      </c>
      <c r="F282" s="41">
        <f t="shared" si="42"/>
        <v>-29698.484809834987</v>
      </c>
      <c r="G282" s="41">
        <f t="shared" si="42"/>
        <v>-84000</v>
      </c>
      <c r="H282" s="41">
        <f t="shared" si="42"/>
        <v>-29698.484809834987</v>
      </c>
      <c r="I282" s="41">
        <f t="shared" si="42"/>
        <v>29698.484809834987</v>
      </c>
      <c r="J282" s="41">
        <f t="shared" si="42"/>
        <v>0</v>
      </c>
      <c r="K282" s="41">
        <f t="shared" si="42"/>
        <v>0</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-6500</v>
      </c>
      <c r="C283" s="41">
        <f t="shared" si="42"/>
        <v>0</v>
      </c>
      <c r="D283" s="41">
        <f t="shared" si="42"/>
        <v>0</v>
      </c>
      <c r="E283" s="41">
        <f t="shared" si="42"/>
        <v>-29698.484809834987</v>
      </c>
      <c r="F283" s="41">
        <f t="shared" si="42"/>
        <v>113698.48480983499</v>
      </c>
      <c r="G283" s="41">
        <f t="shared" si="42"/>
        <v>0</v>
      </c>
      <c r="H283" s="41">
        <f t="shared" si="42"/>
        <v>29698.484809834987</v>
      </c>
      <c r="I283" s="41">
        <f t="shared" si="42"/>
        <v>-29698.484809834987</v>
      </c>
      <c r="J283" s="41">
        <f t="shared" si="42"/>
        <v>0</v>
      </c>
      <c r="K283" s="41">
        <f t="shared" si="42"/>
        <v>-84000</v>
      </c>
      <c r="L283" s="13" t="s">
        <v>251</v>
      </c>
      <c r="M283" s="38" t="str">
        <f>INDEX(B$248:B$259, MATCH(4, F$248:F$259, 0))</f>
        <v>D3Y</v>
      </c>
      <c r="N283" s="14" t="str">
        <f>INDEX(C$248:C$259, MATCH(4, F$248:F$259, 0))</f>
        <v>U3Y</v>
      </c>
      <c r="P283" s="215" t="s">
        <v>387</v>
      </c>
      <c r="Q283" s="172"/>
      <c r="R283" s="172"/>
      <c r="S283" s="172"/>
      <c r="T283" s="172"/>
      <c r="U283" s="173"/>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-29698.484809834987</v>
      </c>
      <c r="F285" s="41">
        <f t="shared" si="42"/>
        <v>29698.484809834987</v>
      </c>
      <c r="G285" s="41">
        <f t="shared" si="42"/>
        <v>0</v>
      </c>
      <c r="H285" s="41">
        <f t="shared" si="42"/>
        <v>143396.96961966998</v>
      </c>
      <c r="I285" s="41">
        <f t="shared" si="42"/>
        <v>0</v>
      </c>
      <c r="J285" s="41">
        <f t="shared" si="42"/>
        <v>-84000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0</v>
      </c>
      <c r="C286" s="41">
        <f t="shared" si="42"/>
        <v>0</v>
      </c>
      <c r="D286" s="41">
        <f t="shared" si="42"/>
        <v>-84000</v>
      </c>
      <c r="E286" s="41">
        <f t="shared" si="42"/>
        <v>29698.484809834987</v>
      </c>
      <c r="F286" s="41">
        <f t="shared" si="42"/>
        <v>-29698.484809834987</v>
      </c>
      <c r="G286" s="41">
        <f t="shared" si="42"/>
        <v>0</v>
      </c>
      <c r="H286" s="41">
        <f t="shared" si="42"/>
        <v>0</v>
      </c>
      <c r="I286" s="41">
        <f t="shared" si="42"/>
        <v>143396.96961966998</v>
      </c>
      <c r="J286" s="41">
        <f t="shared" si="42"/>
        <v>0</v>
      </c>
      <c r="K286" s="41">
        <f t="shared" si="42"/>
        <v>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0</v>
      </c>
      <c r="C287" s="41">
        <f t="shared" si="42"/>
        <v>0</v>
      </c>
      <c r="D287" s="41">
        <f t="shared" si="42"/>
        <v>0</v>
      </c>
      <c r="E287" s="41">
        <f t="shared" si="42"/>
        <v>0</v>
      </c>
      <c r="F287" s="41">
        <f t="shared" si="42"/>
        <v>0</v>
      </c>
      <c r="G287" s="41">
        <f t="shared" si="42"/>
        <v>-29698.484809834987</v>
      </c>
      <c r="H287" s="41">
        <f t="shared" si="42"/>
        <v>-84000</v>
      </c>
      <c r="I287" s="41">
        <f t="shared" si="42"/>
        <v>0</v>
      </c>
      <c r="J287" s="41">
        <f t="shared" si="42"/>
        <v>113698.48480983499</v>
      </c>
      <c r="K287" s="41">
        <f t="shared" si="42"/>
        <v>-29698.484809834987</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0</v>
      </c>
      <c r="C288" s="41">
        <f t="shared" si="42"/>
        <v>0</v>
      </c>
      <c r="D288" s="41">
        <f t="shared" si="42"/>
        <v>0</v>
      </c>
      <c r="E288" s="41">
        <f t="shared" si="42"/>
        <v>0</v>
      </c>
      <c r="F288" s="41">
        <f t="shared" si="42"/>
        <v>-84000</v>
      </c>
      <c r="G288" s="41">
        <f t="shared" si="42"/>
        <v>29698.484809834987</v>
      </c>
      <c r="H288" s="41">
        <f t="shared" si="42"/>
        <v>0</v>
      </c>
      <c r="I288" s="41">
        <f t="shared" si="42"/>
        <v>0</v>
      </c>
      <c r="J288" s="41">
        <f t="shared" si="42"/>
        <v>-29698.484809834987</v>
      </c>
      <c r="K288" s="41">
        <f t="shared" si="42"/>
        <v>113698.48480983499</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1.1904761904761905E-5</v>
      </c>
      <c r="D292" s="93">
        <v>-7.9365079365079362E-6</v>
      </c>
      <c r="E292" s="93">
        <v>1.1904761904761907E-5</v>
      </c>
      <c r="F292" s="93">
        <v>-3.9682539682539698E-6</v>
      </c>
      <c r="G292" s="93">
        <v>1.1904761904761907E-5</v>
      </c>
      <c r="H292" s="93">
        <v>7.9365079365079379E-6</v>
      </c>
      <c r="I292" s="93">
        <v>-7.9365079365079362E-6</v>
      </c>
      <c r="J292" s="93">
        <v>7.9365079365079379E-6</v>
      </c>
      <c r="K292" s="93">
        <v>-3.9682539682539681E-6</v>
      </c>
      <c r="M292" s="17">
        <f t="shared" ref="M292:M300" si="44">A280</f>
        <v>0</v>
      </c>
      <c r="P292" s="215"/>
      <c r="Q292" s="172"/>
      <c r="R292" s="172"/>
      <c r="S292" s="172"/>
      <c r="T292" s="172"/>
      <c r="U292" s="173"/>
    </row>
    <row r="293" spans="1:21" ht="16.95" customHeight="1" x14ac:dyDescent="0.3">
      <c r="A293" s="12" t="str">
        <f t="shared" si="43"/>
        <v>D2Y</v>
      </c>
      <c r="C293" s="93">
        <v>-7.9365079365079362E-6</v>
      </c>
      <c r="D293" s="93">
        <v>4.8902860778408919E-5</v>
      </c>
      <c r="E293" s="93">
        <v>-1.5873015873015872E-5</v>
      </c>
      <c r="F293" s="93">
        <v>2.4451430389204449E-5</v>
      </c>
      <c r="G293" s="93">
        <v>-1.9841269841269834E-5</v>
      </c>
      <c r="H293" s="93">
        <v>-1.4550264550264554E-5</v>
      </c>
      <c r="I293" s="93">
        <v>3.6998098873647016E-5</v>
      </c>
      <c r="J293" s="93">
        <v>-1.058201058201058E-5</v>
      </c>
      <c r="K293" s="93">
        <v>2.0483176420950487E-5</v>
      </c>
      <c r="M293" s="17">
        <f t="shared" si="44"/>
        <v>-6500</v>
      </c>
      <c r="P293" s="215"/>
      <c r="Q293" s="172"/>
      <c r="R293" s="172"/>
      <c r="S293" s="172"/>
      <c r="T293" s="172"/>
      <c r="U293" s="173"/>
    </row>
    <row r="294" spans="1:21" ht="16.95" customHeight="1" x14ac:dyDescent="0.3">
      <c r="A294" s="12" t="str">
        <f t="shared" si="43"/>
        <v>D3X</v>
      </c>
      <c r="C294" s="93">
        <v>1.1904761904761907E-5</v>
      </c>
      <c r="D294" s="93">
        <v>-1.5873015873015872E-5</v>
      </c>
      <c r="E294" s="93">
        <v>2.3809523809523814E-5</v>
      </c>
      <c r="F294" s="93">
        <v>-7.9365079365079396E-6</v>
      </c>
      <c r="G294" s="93">
        <v>2.3809523809523814E-5</v>
      </c>
      <c r="H294" s="93">
        <v>1.5873015873015876E-5</v>
      </c>
      <c r="I294" s="93">
        <v>-1.5873015873015872E-5</v>
      </c>
      <c r="J294" s="93">
        <v>1.5873015873015876E-5</v>
      </c>
      <c r="K294" s="93">
        <v>-7.9365079365079362E-6</v>
      </c>
      <c r="M294" s="17">
        <f t="shared" si="44"/>
        <v>0</v>
      </c>
      <c r="P294" s="215"/>
      <c r="Q294" s="172"/>
      <c r="R294" s="172"/>
      <c r="S294" s="172"/>
      <c r="T294" s="172"/>
      <c r="U294" s="173"/>
    </row>
    <row r="295" spans="1:21" ht="16.95" customHeight="1" x14ac:dyDescent="0.3">
      <c r="A295" s="12" t="str">
        <f t="shared" si="43"/>
        <v>D3Y</v>
      </c>
      <c r="C295" s="93">
        <v>-3.9682539682539672E-6</v>
      </c>
      <c r="D295" s="93">
        <v>2.4451430389204456E-5</v>
      </c>
      <c r="E295" s="93">
        <v>-7.9365079365079345E-6</v>
      </c>
      <c r="F295" s="93">
        <v>4.0966352841900968E-5</v>
      </c>
      <c r="G295" s="93">
        <v>-1.5873015873015859E-5</v>
      </c>
      <c r="H295" s="93">
        <v>-1.3227513227513228E-5</v>
      </c>
      <c r="I295" s="93">
        <v>2.4451430389204456E-5</v>
      </c>
      <c r="J295" s="93">
        <v>-5.2910052910052902E-6</v>
      </c>
      <c r="K295" s="93">
        <v>3.3029844905393037E-5</v>
      </c>
      <c r="M295" s="17">
        <f t="shared" si="44"/>
        <v>-6500</v>
      </c>
      <c r="P295" s="215"/>
      <c r="Q295" s="172"/>
      <c r="R295" s="172"/>
      <c r="S295" s="172"/>
      <c r="T295" s="172"/>
      <c r="U295" s="173"/>
    </row>
    <row r="296" spans="1:21" ht="16.95" customHeight="1" x14ac:dyDescent="0.3">
      <c r="A296" s="12" t="str">
        <f t="shared" si="43"/>
        <v>D4X</v>
      </c>
      <c r="B296" s="13" t="s">
        <v>220</v>
      </c>
      <c r="C296" s="93">
        <v>1.1904761904761903E-5</v>
      </c>
      <c r="D296" s="93">
        <v>-1.9841269841269838E-5</v>
      </c>
      <c r="E296" s="93">
        <v>2.3809523809523807E-5</v>
      </c>
      <c r="F296" s="93">
        <v>-1.5873015873015872E-5</v>
      </c>
      <c r="G296" s="93">
        <v>3.571428571428571E-5</v>
      </c>
      <c r="H296" s="93">
        <v>1.9841269841269845E-5</v>
      </c>
      <c r="I296" s="93">
        <v>-1.9841269841269838E-5</v>
      </c>
      <c r="J296" s="93">
        <v>1.9841269841269841E-5</v>
      </c>
      <c r="K296" s="93">
        <v>-1.5873015873015872E-5</v>
      </c>
      <c r="M296" s="17">
        <f t="shared" si="44"/>
        <v>0</v>
      </c>
      <c r="P296" s="215"/>
      <c r="Q296" s="172"/>
      <c r="R296" s="172"/>
      <c r="S296" s="172"/>
      <c r="T296" s="172"/>
      <c r="U296" s="173"/>
    </row>
    <row r="297" spans="1:21" ht="16.95" customHeight="1" x14ac:dyDescent="0.3">
      <c r="A297" s="12" t="str">
        <f t="shared" si="43"/>
        <v>D5X</v>
      </c>
      <c r="C297" s="93">
        <v>7.9365079365079379E-6</v>
      </c>
      <c r="D297" s="93">
        <v>-1.4550264550264551E-5</v>
      </c>
      <c r="E297" s="93">
        <v>1.5873015873015876E-5</v>
      </c>
      <c r="F297" s="93">
        <v>-1.3227513227513226E-5</v>
      </c>
      <c r="G297" s="93">
        <v>1.9841269841269841E-5</v>
      </c>
      <c r="H297" s="93">
        <v>2.5774181711955793E-5</v>
      </c>
      <c r="I297" s="93">
        <v>-1.4550264550264551E-5</v>
      </c>
      <c r="J297" s="93">
        <v>2.180592774370182E-5</v>
      </c>
      <c r="K297" s="93">
        <v>-9.2592592592592591E-6</v>
      </c>
      <c r="M297" s="17">
        <f t="shared" si="44"/>
        <v>0</v>
      </c>
      <c r="P297" s="215"/>
      <c r="Q297" s="172"/>
      <c r="R297" s="172"/>
      <c r="S297" s="172"/>
      <c r="T297" s="172"/>
      <c r="U297" s="173"/>
    </row>
    <row r="298" spans="1:21" ht="16.95" customHeight="1" x14ac:dyDescent="0.3">
      <c r="A298" s="12" t="str">
        <f t="shared" si="43"/>
        <v>D5Y</v>
      </c>
      <c r="C298" s="93">
        <v>-7.9365079365079362E-6</v>
      </c>
      <c r="D298" s="93">
        <v>3.6998098873647016E-5</v>
      </c>
      <c r="E298" s="93">
        <v>-1.5873015873015872E-5</v>
      </c>
      <c r="F298" s="93">
        <v>2.4451430389204453E-5</v>
      </c>
      <c r="G298" s="93">
        <v>-1.9841269841269834E-5</v>
      </c>
      <c r="H298" s="93">
        <v>-1.4550264550264554E-5</v>
      </c>
      <c r="I298" s="93">
        <v>3.6998098873647016E-5</v>
      </c>
      <c r="J298" s="93">
        <v>-1.058201058201058E-5</v>
      </c>
      <c r="K298" s="93">
        <v>2.0483176420950487E-5</v>
      </c>
      <c r="M298" s="17">
        <f t="shared" si="44"/>
        <v>0</v>
      </c>
      <c r="P298" s="215"/>
      <c r="Q298" s="172"/>
      <c r="R298" s="172"/>
      <c r="S298" s="172"/>
      <c r="T298" s="172"/>
      <c r="U298" s="173"/>
    </row>
    <row r="299" spans="1:21" ht="16.95" customHeight="1" x14ac:dyDescent="0.3">
      <c r="A299" s="12" t="str">
        <f t="shared" si="43"/>
        <v>D6X</v>
      </c>
      <c r="C299" s="93">
        <v>7.9365079365079379E-6</v>
      </c>
      <c r="D299" s="93">
        <v>-1.0582010582010586E-5</v>
      </c>
      <c r="E299" s="93">
        <v>1.5873015873015876E-5</v>
      </c>
      <c r="F299" s="93">
        <v>-5.2910052910052944E-6</v>
      </c>
      <c r="G299" s="93">
        <v>1.9841269841269845E-5</v>
      </c>
      <c r="H299" s="93">
        <v>2.1805927743701827E-5</v>
      </c>
      <c r="I299" s="93">
        <v>-1.0582010582010586E-5</v>
      </c>
      <c r="J299" s="93">
        <v>2.9742435680209755E-5</v>
      </c>
      <c r="K299" s="93">
        <v>-1.3227513227513249E-6</v>
      </c>
      <c r="M299" s="17">
        <f t="shared" si="44"/>
        <v>0</v>
      </c>
      <c r="P299" s="215"/>
      <c r="Q299" s="172"/>
      <c r="R299" s="172"/>
      <c r="S299" s="172"/>
      <c r="T299" s="172"/>
      <c r="U299" s="173"/>
    </row>
    <row r="300" spans="1:21" ht="16.95" customHeight="1" x14ac:dyDescent="0.3">
      <c r="A300" s="12" t="str">
        <f t="shared" si="43"/>
        <v>D6Y</v>
      </c>
      <c r="C300" s="93">
        <v>-3.9682539682539672E-6</v>
      </c>
      <c r="D300" s="93">
        <v>2.0483176420950487E-5</v>
      </c>
      <c r="E300" s="93">
        <v>-7.9365079365079345E-6</v>
      </c>
      <c r="F300" s="93">
        <v>3.3029844905393037E-5</v>
      </c>
      <c r="G300" s="93">
        <v>-1.5873015873015862E-5</v>
      </c>
      <c r="H300" s="93">
        <v>-9.2592592592592574E-6</v>
      </c>
      <c r="I300" s="93">
        <v>2.0483176420950487E-5</v>
      </c>
      <c r="J300" s="93">
        <v>-1.3227513227513217E-6</v>
      </c>
      <c r="K300" s="93">
        <v>3.6998098873647009E-5</v>
      </c>
      <c r="M300" s="17">
        <f t="shared" si="44"/>
        <v>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7.7380952380952384E-2</v>
      </c>
      <c r="D304" s="12" t="s">
        <v>267</v>
      </c>
      <c r="P304" s="215"/>
      <c r="Q304" s="172"/>
      <c r="R304" s="172"/>
      <c r="S304" s="172"/>
      <c r="T304" s="172"/>
      <c r="U304" s="173"/>
    </row>
    <row r="305" spans="1:21" ht="16.95" customHeight="1" x14ac:dyDescent="0.3">
      <c r="A305" s="12" t="str">
        <f t="shared" si="45"/>
        <v>D2Y</v>
      </c>
      <c r="C305" s="94">
        <v>-0.47680289258948694</v>
      </c>
      <c r="D305" s="12" t="s">
        <v>267</v>
      </c>
      <c r="P305" s="215"/>
      <c r="Q305" s="172"/>
      <c r="R305" s="172"/>
      <c r="S305" s="172"/>
      <c r="T305" s="172"/>
      <c r="U305" s="173"/>
    </row>
    <row r="306" spans="1:21" ht="16.95" customHeight="1" x14ac:dyDescent="0.3">
      <c r="A306" s="12" t="str">
        <f t="shared" si="45"/>
        <v>D3X</v>
      </c>
      <c r="C306" s="94">
        <v>0.15476190476190477</v>
      </c>
      <c r="D306" s="12" t="s">
        <v>267</v>
      </c>
      <c r="P306" s="215"/>
      <c r="Q306" s="172"/>
      <c r="R306" s="172"/>
      <c r="S306" s="172"/>
      <c r="T306" s="172"/>
      <c r="U306" s="173"/>
    </row>
    <row r="307" spans="1:21" ht="16.95" customHeight="1" x14ac:dyDescent="0.3">
      <c r="A307" s="12" t="str">
        <f t="shared" si="45"/>
        <v>D3Y</v>
      </c>
      <c r="C307" s="94">
        <v>-0.42521559100218526</v>
      </c>
      <c r="D307" s="12" t="s">
        <v>267</v>
      </c>
      <c r="P307" s="215"/>
      <c r="Q307" s="172"/>
      <c r="R307" s="172"/>
      <c r="S307" s="172"/>
      <c r="T307" s="172"/>
      <c r="U307" s="173"/>
    </row>
    <row r="308" spans="1:21" ht="16.95" customHeight="1" x14ac:dyDescent="0.3">
      <c r="A308" s="12" t="str">
        <f t="shared" si="45"/>
        <v>D4X</v>
      </c>
      <c r="B308" s="13" t="s">
        <v>220</v>
      </c>
      <c r="C308" s="94">
        <v>0.23214285714285712</v>
      </c>
      <c r="D308" s="12" t="s">
        <v>267</v>
      </c>
      <c r="P308" s="215"/>
      <c r="Q308" s="172"/>
      <c r="R308" s="172"/>
      <c r="S308" s="172"/>
      <c r="T308" s="172"/>
      <c r="U308" s="173"/>
    </row>
    <row r="309" spans="1:21" ht="16.95" customHeight="1" x14ac:dyDescent="0.3">
      <c r="A309" s="12" t="str">
        <f t="shared" si="45"/>
        <v>D5X</v>
      </c>
      <c r="C309" s="94">
        <v>0.18055555555555555</v>
      </c>
      <c r="D309" s="12" t="s">
        <v>267</v>
      </c>
      <c r="P309" s="215"/>
      <c r="Q309" s="172"/>
      <c r="R309" s="172"/>
      <c r="S309" s="172"/>
      <c r="T309" s="172"/>
      <c r="U309" s="173"/>
    </row>
    <row r="310" spans="1:21" ht="16.95" customHeight="1" x14ac:dyDescent="0.3">
      <c r="A310" s="12" t="str">
        <f t="shared" si="45"/>
        <v>D5Y</v>
      </c>
      <c r="C310" s="94">
        <v>-0.3994219402085345</v>
      </c>
      <c r="D310" s="12" t="s">
        <v>267</v>
      </c>
      <c r="P310" s="215"/>
      <c r="Q310" s="172"/>
      <c r="R310" s="172"/>
      <c r="S310" s="172"/>
      <c r="T310" s="172"/>
      <c r="U310" s="173"/>
    </row>
    <row r="311" spans="1:21" ht="16.95" customHeight="1" x14ac:dyDescent="0.3">
      <c r="A311" s="12" t="str">
        <f t="shared" si="45"/>
        <v>D6X</v>
      </c>
      <c r="C311" s="94">
        <v>0.10317460317460322</v>
      </c>
      <c r="D311" s="12" t="s">
        <v>267</v>
      </c>
      <c r="P311" s="215"/>
      <c r="Q311" s="172"/>
      <c r="R311" s="172"/>
      <c r="S311" s="172"/>
      <c r="T311" s="172"/>
      <c r="U311" s="173"/>
    </row>
    <row r="312" spans="1:21" ht="16.95" customHeight="1" x14ac:dyDescent="0.3">
      <c r="A312" s="12" t="str">
        <f t="shared" si="45"/>
        <v>D6Y</v>
      </c>
      <c r="C312" s="94">
        <v>-0.34783463862123287</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7.7380952380952384E-2</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-0.47680289258948694</v>
      </c>
      <c r="N318" s="14" t="str">
        <f>INDEX(C$248:C$259, MATCH(2, G$248:G$259, 0))</f>
        <v>U1Y</v>
      </c>
      <c r="P318" s="215" t="s">
        <v>391</v>
      </c>
      <c r="Q318" s="172"/>
      <c r="R318" s="172"/>
      <c r="S318" s="172"/>
      <c r="T318" s="172"/>
      <c r="U318" s="173"/>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0.15476190476190477</v>
      </c>
      <c r="N319" s="14" t="str">
        <f>INDEX(C$248:C$259, MATCH(3, G$248:G$259, 0))</f>
        <v>U4Y</v>
      </c>
      <c r="P319" s="215" t="s">
        <v>392</v>
      </c>
      <c r="Q319" s="172"/>
      <c r="R319" s="172"/>
      <c r="S319" s="172"/>
      <c r="T319" s="172"/>
      <c r="U319" s="173"/>
    </row>
    <row r="320" spans="1:21" ht="16.95" customHeight="1" x14ac:dyDescent="0.3">
      <c r="M320" s="95">
        <f t="shared" si="47"/>
        <v>-0.42521559100218526</v>
      </c>
      <c r="P320" s="215" t="s">
        <v>393</v>
      </c>
      <c r="Q320" s="172"/>
      <c r="R320" s="172"/>
      <c r="S320" s="172"/>
      <c r="T320" s="172"/>
      <c r="U320" s="173"/>
    </row>
    <row r="321" spans="1:21" ht="16.95" customHeight="1" x14ac:dyDescent="0.3">
      <c r="M321" s="95">
        <f t="shared" si="47"/>
        <v>0.23214285714285712</v>
      </c>
      <c r="P321" s="215" t="s">
        <v>394</v>
      </c>
      <c r="Q321" s="172"/>
      <c r="R321" s="172"/>
      <c r="S321" s="172"/>
      <c r="T321" s="172"/>
      <c r="U321" s="173"/>
    </row>
    <row r="322" spans="1:21" ht="16.95" customHeight="1" x14ac:dyDescent="0.3">
      <c r="M322" s="95">
        <f t="shared" si="47"/>
        <v>0.18055555555555555</v>
      </c>
      <c r="P322" s="215"/>
      <c r="Q322" s="172"/>
      <c r="R322" s="172"/>
      <c r="S322" s="172"/>
      <c r="T322" s="172"/>
      <c r="U322" s="173"/>
    </row>
    <row r="323" spans="1:21" ht="16.95" customHeight="1" x14ac:dyDescent="0.3">
      <c r="M323" s="95">
        <f t="shared" si="47"/>
        <v>-0.3994219402085345</v>
      </c>
      <c r="P323" s="215"/>
      <c r="Q323" s="172"/>
      <c r="R323" s="172"/>
      <c r="S323" s="172"/>
      <c r="T323" s="172"/>
      <c r="U323" s="173"/>
    </row>
    <row r="324" spans="1:21" ht="16.95" customHeight="1" x14ac:dyDescent="0.3">
      <c r="M324" s="95">
        <f t="shared" si="47"/>
        <v>0.10317460317460322</v>
      </c>
      <c r="P324" s="215"/>
      <c r="Q324" s="172"/>
      <c r="R324" s="172"/>
      <c r="S324" s="172"/>
      <c r="T324" s="172"/>
      <c r="U324" s="173"/>
    </row>
    <row r="325" spans="1:21" ht="16.95" customHeight="1" x14ac:dyDescent="0.3">
      <c r="M325" s="95">
        <f t="shared" si="47"/>
        <v>-0.34783463862123287</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-5.4569682106375694E-12</v>
      </c>
      <c r="D327" s="12" t="s">
        <v>273</v>
      </c>
      <c r="P327" s="215"/>
      <c r="Q327" s="172"/>
      <c r="R327" s="172"/>
      <c r="S327" s="172"/>
      <c r="T327" s="172"/>
      <c r="U327" s="173"/>
    </row>
    <row r="328" spans="1:21" ht="16.95" customHeight="1" x14ac:dyDescent="0.3">
      <c r="A328" s="12" t="str">
        <f>A318</f>
        <v>C1Y</v>
      </c>
      <c r="B328" s="13" t="s">
        <v>220</v>
      </c>
      <c r="C328" s="17">
        <v>6499.9999999999955</v>
      </c>
      <c r="D328" s="12" t="s">
        <v>273</v>
      </c>
      <c r="P328" s="215"/>
      <c r="Q328" s="172"/>
      <c r="R328" s="172"/>
      <c r="S328" s="172"/>
      <c r="T328" s="172"/>
      <c r="U328" s="173"/>
    </row>
    <row r="329" spans="1:21" ht="16.95" customHeight="1" x14ac:dyDescent="0.3">
      <c r="A329" s="12" t="str">
        <f>A319</f>
        <v>C4Y</v>
      </c>
      <c r="C329" s="17">
        <v>6499.9999999999964</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7.7380952380952384E-2</v>
      </c>
    </row>
    <row r="337" spans="1:21" ht="19.05" customHeight="1" x14ac:dyDescent="0.3">
      <c r="A337" s="12" t="s">
        <v>231</v>
      </c>
      <c r="B337" s="12" t="s">
        <v>181</v>
      </c>
      <c r="D337" s="94">
        <f t="shared" si="48"/>
        <v>-0.47680289258948694</v>
      </c>
    </row>
    <row r="338" spans="1:21" ht="19.05" customHeight="1" x14ac:dyDescent="0.3">
      <c r="A338" s="12" t="s">
        <v>232</v>
      </c>
      <c r="B338" s="12" t="s">
        <v>182</v>
      </c>
      <c r="D338" s="94">
        <f t="shared" si="48"/>
        <v>0.15476190476190477</v>
      </c>
    </row>
    <row r="339" spans="1:21" ht="19.05" customHeight="1" x14ac:dyDescent="0.3">
      <c r="A339" s="12" t="s">
        <v>234</v>
      </c>
      <c r="B339" s="12" t="s">
        <v>183</v>
      </c>
      <c r="D339" s="94">
        <f t="shared" si="48"/>
        <v>-0.42521559100218526</v>
      </c>
    </row>
    <row r="340" spans="1:21" ht="19.05" customHeight="1" x14ac:dyDescent="0.3">
      <c r="A340" s="12" t="s">
        <v>235</v>
      </c>
      <c r="B340" s="12" t="s">
        <v>184</v>
      </c>
      <c r="D340" s="94">
        <f t="shared" si="48"/>
        <v>0.23214285714285712</v>
      </c>
    </row>
    <row r="341" spans="1:21" ht="19.05" customHeight="1" x14ac:dyDescent="0.3">
      <c r="A341" s="12" t="s">
        <v>236</v>
      </c>
      <c r="B341" s="12" t="s">
        <v>185</v>
      </c>
      <c r="D341" s="94">
        <f t="shared" si="48"/>
        <v>0</v>
      </c>
    </row>
    <row r="342" spans="1:21" ht="19.05" customHeight="1" x14ac:dyDescent="0.3">
      <c r="A342" s="12" t="s">
        <v>237</v>
      </c>
      <c r="B342" s="12" t="s">
        <v>186</v>
      </c>
      <c r="D342" s="94">
        <f t="shared" si="48"/>
        <v>0.18055555555555555</v>
      </c>
    </row>
    <row r="343" spans="1:21" ht="19.05" customHeight="1" x14ac:dyDescent="0.3">
      <c r="A343" s="12" t="s">
        <v>238</v>
      </c>
      <c r="B343" s="12" t="s">
        <v>187</v>
      </c>
      <c r="D343" s="94">
        <f t="shared" si="48"/>
        <v>-0.3994219402085345</v>
      </c>
    </row>
    <row r="344" spans="1:21" ht="19.05" customHeight="1" x14ac:dyDescent="0.3">
      <c r="A344" s="12" t="s">
        <v>239</v>
      </c>
      <c r="B344" s="12" t="s">
        <v>188</v>
      </c>
      <c r="D344" s="94">
        <f t="shared" si="48"/>
        <v>0.10317460317460322</v>
      </c>
    </row>
    <row r="345" spans="1:21" ht="19.05" customHeight="1" x14ac:dyDescent="0.3">
      <c r="A345" s="12" t="s">
        <v>240</v>
      </c>
      <c r="B345" s="12" t="s">
        <v>189</v>
      </c>
      <c r="D345" s="94">
        <f t="shared" si="48"/>
        <v>-0.34783463862123287</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6500</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7.7380952380952384E-2</v>
      </c>
      <c r="H354" s="12" t="str">
        <f>"D" &amp; E18 &amp; "X"</f>
        <v>D2X</v>
      </c>
      <c r="P354" s="215" t="s">
        <v>400</v>
      </c>
      <c r="Q354" s="172"/>
      <c r="R354" s="172"/>
      <c r="S354" s="172"/>
      <c r="T354" s="172"/>
      <c r="U354" s="173"/>
    </row>
    <row r="355" spans="1:21" ht="16.95" customHeight="1" x14ac:dyDescent="0.3">
      <c r="G355" s="96">
        <f>IFERROR(VLOOKUP(H355, A$334:D$345, 4, FALSE), 0)</f>
        <v>-0.47680289258948694</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84000</v>
      </c>
      <c r="C360" s="92">
        <f>-J7</f>
        <v>-1</v>
      </c>
      <c r="D360" s="92">
        <f>-K7</f>
        <v>0</v>
      </c>
      <c r="E360" s="92">
        <f>J7</f>
        <v>1</v>
      </c>
      <c r="F360" s="92">
        <f>K7</f>
        <v>0</v>
      </c>
      <c r="G360" s="96">
        <f>IFERROR(VLOOKUP(H360, A$334:D$345, 4, FALSE), 0)</f>
        <v>7.7380952380952384E-2</v>
      </c>
      <c r="H360" s="12" t="str">
        <f>"D" &amp; C19 &amp; "X"</f>
        <v>D2X</v>
      </c>
      <c r="P360" s="215"/>
      <c r="Q360" s="172"/>
      <c r="R360" s="172"/>
      <c r="S360" s="172"/>
      <c r="T360" s="172"/>
      <c r="U360" s="173"/>
    </row>
    <row r="361" spans="1:21" ht="16.95" customHeight="1" x14ac:dyDescent="0.3">
      <c r="A361" s="99" t="s">
        <v>286</v>
      </c>
      <c r="B361" s="97">
        <f>(MMULT(C360:F360, G360:G363)*A360)</f>
        <v>6500</v>
      </c>
      <c r="G361" s="96">
        <f>IFERROR(VLOOKUP(H361, A$334:D$345, 4, FALSE), 0)</f>
        <v>-0.47680289258948694</v>
      </c>
      <c r="H361" s="12" t="str">
        <f>"D" &amp; D19 &amp; "Y"</f>
        <v>D2Y</v>
      </c>
      <c r="P361" s="215"/>
      <c r="Q361" s="172"/>
      <c r="R361" s="172"/>
      <c r="S361" s="172"/>
      <c r="T361" s="172"/>
      <c r="U361" s="173"/>
    </row>
    <row r="362" spans="1:21" ht="16.95" customHeight="1" x14ac:dyDescent="0.3">
      <c r="G362" s="96">
        <f>IFERROR(VLOOKUP(H362, A$334:D$345, 4, FALSE), 0)</f>
        <v>0.15476190476190477</v>
      </c>
      <c r="H362" s="12" t="str">
        <f>"D" &amp; E19 &amp; "X"</f>
        <v>D3X</v>
      </c>
      <c r="P362" s="215"/>
      <c r="Q362" s="172"/>
      <c r="R362" s="172"/>
      <c r="S362" s="172"/>
      <c r="T362" s="172"/>
      <c r="U362" s="173"/>
    </row>
    <row r="363" spans="1:21" ht="16.95" customHeight="1" x14ac:dyDescent="0.3">
      <c r="G363" s="96">
        <f>IFERROR(VLOOKUP(H363, A$334:D$345, 4, FALSE), 0)</f>
        <v>-0.42521559100218526</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84000</v>
      </c>
      <c r="C368" s="92">
        <f>-J8</f>
        <v>-1</v>
      </c>
      <c r="D368" s="92">
        <f>-K8</f>
        <v>0</v>
      </c>
      <c r="E368" s="92">
        <f>J8</f>
        <v>1</v>
      </c>
      <c r="F368" s="92">
        <f>K8</f>
        <v>0</v>
      </c>
      <c r="G368" s="96">
        <f>IFERROR(VLOOKUP(H368, A$334:D$345, 4, FALSE), 0)</f>
        <v>0.15476190476190477</v>
      </c>
      <c r="H368" s="12" t="str">
        <f>"D" &amp; C20 &amp; "X"</f>
        <v>D3X</v>
      </c>
      <c r="P368" s="215"/>
      <c r="Q368" s="172"/>
      <c r="R368" s="172"/>
      <c r="S368" s="172"/>
      <c r="T368" s="172"/>
      <c r="U368" s="173"/>
    </row>
    <row r="369" spans="1:21" ht="16.95" customHeight="1" x14ac:dyDescent="0.3">
      <c r="A369" s="99" t="s">
        <v>287</v>
      </c>
      <c r="B369" s="97">
        <f>(MMULT(C368:F368, G368:G371)*A368)</f>
        <v>6499.9999999999982</v>
      </c>
      <c r="G369" s="96">
        <f>IFERROR(VLOOKUP(H369, A$334:D$345, 4, FALSE), 0)</f>
        <v>-0.42521559100218526</v>
      </c>
      <c r="H369" s="12" t="str">
        <f>"D" &amp; D20 &amp; "Y"</f>
        <v>D3Y</v>
      </c>
      <c r="P369" s="215"/>
      <c r="Q369" s="172"/>
      <c r="R369" s="172"/>
      <c r="S369" s="172"/>
      <c r="T369" s="172"/>
      <c r="U369" s="173"/>
    </row>
    <row r="370" spans="1:21" ht="16.95" customHeight="1" x14ac:dyDescent="0.3">
      <c r="G370" s="96">
        <f>IFERROR(VLOOKUP(H370, A$334:D$345, 4, FALSE), 0)</f>
        <v>0.23214285714285712</v>
      </c>
      <c r="H370" s="12" t="str">
        <f>"D" &amp; E20 &amp; "X"</f>
        <v>D4X</v>
      </c>
      <c r="P370" s="215"/>
      <c r="Q370" s="172"/>
      <c r="R370" s="172"/>
      <c r="S370" s="172"/>
      <c r="T370" s="172"/>
      <c r="U370" s="173"/>
    </row>
    <row r="371" spans="1:21" ht="16.95" customHeight="1" x14ac:dyDescent="0.3">
      <c r="G371" s="96">
        <f>IFERROR(VLOOKUP(H371, A$334:D$345, 4, FALSE), 0)</f>
        <v>0</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TRACCIÓN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59396.969619669988</v>
      </c>
      <c r="C376" s="92">
        <f>-J9</f>
        <v>-0.70710678118654746</v>
      </c>
      <c r="D376" s="92">
        <f>-K9</f>
        <v>-0.70710678118654746</v>
      </c>
      <c r="E376" s="92">
        <f>J9</f>
        <v>0.70710678118654746</v>
      </c>
      <c r="F376" s="92">
        <f>K9</f>
        <v>0.70710678118654746</v>
      </c>
      <c r="G376" s="96">
        <f>IFERROR(VLOOKUP(H376, A$334:D$345, 4, FALSE), 0)</f>
        <v>0</v>
      </c>
      <c r="H376" s="12" t="str">
        <f>"D" &amp; C21 &amp; "X"</f>
        <v>D1X</v>
      </c>
    </row>
    <row r="377" spans="1:21" ht="19.95" customHeight="1" x14ac:dyDescent="0.3">
      <c r="A377" s="99" t="s">
        <v>288</v>
      </c>
      <c r="B377" s="97">
        <f>(MMULT(C376:F376, G376:G379)*A376)</f>
        <v>-9192.3881554251147</v>
      </c>
      <c r="G377" s="96">
        <f>IFERROR(VLOOKUP(H377, A$334:D$345, 4, FALSE), 0)</f>
        <v>0</v>
      </c>
      <c r="H377" s="12" t="str">
        <f>"D" &amp; D21 &amp; "Y"</f>
        <v>D1Y</v>
      </c>
    </row>
    <row r="378" spans="1:21" ht="19.95" customHeight="1" x14ac:dyDescent="0.3">
      <c r="G378" s="96">
        <f>IFERROR(VLOOKUP(H378, A$334:D$345, 4, FALSE), 0)</f>
        <v>0.18055555555555555</v>
      </c>
      <c r="H378" s="12" t="str">
        <f>"D" &amp; E21 &amp; "X"</f>
        <v>D5X</v>
      </c>
    </row>
    <row r="379" spans="1:21" ht="19.95" customHeight="1" x14ac:dyDescent="0.3">
      <c r="G379" s="96">
        <f>IFERROR(VLOOKUP(H379, A$334:D$345, 4, FALSE), 0)</f>
        <v>-0.3994219402085345</v>
      </c>
      <c r="H379" s="12" t="str">
        <f>"D" &amp; F21 &amp; "Y"</f>
        <v>D5Y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-1</v>
      </c>
      <c r="D384" s="92">
        <f>-K10</f>
        <v>0</v>
      </c>
      <c r="E384" s="92">
        <f>J10</f>
        <v>1</v>
      </c>
      <c r="F384" s="92">
        <f>K10</f>
        <v>0</v>
      </c>
      <c r="G384" s="96">
        <f>IFERROR(VLOOKUP(H384, A$334:D$345, 4, FALSE), 0)</f>
        <v>0.18055555555555555</v>
      </c>
      <c r="H384" s="12" t="str">
        <f>"D" &amp; C22 &amp; "X"</f>
        <v>D5X</v>
      </c>
    </row>
    <row r="385" spans="1:8" ht="19.95" customHeight="1" x14ac:dyDescent="0.3">
      <c r="A385" s="99" t="s">
        <v>289</v>
      </c>
      <c r="B385" s="97">
        <f>(MMULT(C384:F384, G384:G387)*A384)</f>
        <v>-6499.9999999999955</v>
      </c>
      <c r="G385" s="96">
        <f>IFERROR(VLOOKUP(H385, A$334:D$345, 4, FALSE), 0)</f>
        <v>-0.3994219402085345</v>
      </c>
      <c r="H385" s="12" t="str">
        <f>"D" &amp; D22 &amp; "Y"</f>
        <v>D5Y</v>
      </c>
    </row>
    <row r="386" spans="1:8" ht="19.95" customHeight="1" x14ac:dyDescent="0.3">
      <c r="G386" s="96">
        <f>IFERROR(VLOOKUP(H386, A$334:D$345, 4, FALSE), 0)</f>
        <v>0.10317460317460322</v>
      </c>
      <c r="H386" s="12" t="str">
        <f>"D" &amp; E22 &amp; "X"</f>
        <v>D6X</v>
      </c>
    </row>
    <row r="387" spans="1:8" ht="19.95" customHeight="1" x14ac:dyDescent="0.3">
      <c r="G387" s="96">
        <f>IFERROR(VLOOKUP(H387, A$334:D$345, 4, FALSE), 0)</f>
        <v>-0.34783463862123287</v>
      </c>
      <c r="H387" s="12" t="str">
        <f>"D" &amp; F22 &amp; "Y"</f>
        <v>D6Y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59396.969619669988</v>
      </c>
      <c r="C392" s="92">
        <f>-J11</f>
        <v>-0.70710678118654746</v>
      </c>
      <c r="D392" s="92">
        <f>-K11</f>
        <v>0.70710678118654746</v>
      </c>
      <c r="E392" s="92">
        <f>J11</f>
        <v>0.70710678118654746</v>
      </c>
      <c r="F392" s="92">
        <f>K11</f>
        <v>-0.70710678118654746</v>
      </c>
      <c r="G392" s="96">
        <f>IFERROR(VLOOKUP(H392, A$334:D$345, 4, FALSE), 0)</f>
        <v>0.10317460317460322</v>
      </c>
      <c r="H392" s="12" t="str">
        <f>"D" &amp; C23 &amp; "X"</f>
        <v>D6X</v>
      </c>
    </row>
    <row r="393" spans="1:8" ht="19.95" customHeight="1" x14ac:dyDescent="0.3">
      <c r="A393" s="99" t="s">
        <v>290</v>
      </c>
      <c r="B393" s="97">
        <f>(MMULT(C392:F392, G392:G395)*A392)</f>
        <v>-9192.3881554251147</v>
      </c>
      <c r="G393" s="96">
        <f>IFERROR(VLOOKUP(H393, A$334:D$345, 4, FALSE), 0)</f>
        <v>-0.34783463862123287</v>
      </c>
      <c r="H393" s="12" t="str">
        <f>"D" &amp; D23 &amp; "Y"</f>
        <v>D6Y</v>
      </c>
    </row>
    <row r="394" spans="1:8" ht="19.95" customHeight="1" x14ac:dyDescent="0.3">
      <c r="G394" s="96">
        <f>IFERROR(VLOOKUP(H394, A$334:D$345, 4, FALSE), 0)</f>
        <v>0.23214285714285712</v>
      </c>
      <c r="H394" s="12" t="str">
        <f>"D" &amp; E23 &amp; "X"</f>
        <v>D4X</v>
      </c>
    </row>
    <row r="395" spans="1:8" ht="19.95" customHeight="1" x14ac:dyDescent="0.3">
      <c r="G395" s="96">
        <f>IFERROR(VLOOKUP(H395, A$334:D$345, 4, FALSE), 0)</f>
        <v>0</v>
      </c>
      <c r="H395" s="12" t="str">
        <f>"D" &amp; F23 &amp; "Y"</f>
        <v>D4Y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84000</v>
      </c>
      <c r="C400" s="92">
        <f>-J12</f>
        <v>0</v>
      </c>
      <c r="D400" s="92">
        <f>-K12</f>
        <v>1</v>
      </c>
      <c r="E400" s="92">
        <f>J12</f>
        <v>0</v>
      </c>
      <c r="F400" s="92">
        <f>K12</f>
        <v>-1</v>
      </c>
      <c r="G400" s="96">
        <f>IFERROR(VLOOKUP(H400, A$334:D$345, 4, FALSE), 0)</f>
        <v>0.18055555555555555</v>
      </c>
      <c r="H400" s="12" t="str">
        <f>"D" &amp; C24 &amp; "X"</f>
        <v>D5X</v>
      </c>
    </row>
    <row r="401" spans="1:8" ht="19.95" customHeight="1" x14ac:dyDescent="0.3">
      <c r="A401" s="99" t="s">
        <v>291</v>
      </c>
      <c r="B401" s="97">
        <f>(MMULT(C400:F400, G400:G403)*A400)</f>
        <v>6500.0000000000045</v>
      </c>
      <c r="G401" s="96">
        <f>IFERROR(VLOOKUP(H401, A$334:D$345, 4, FALSE), 0)</f>
        <v>-0.3994219402085345</v>
      </c>
      <c r="H401" s="12" t="str">
        <f>"D" &amp; D24 &amp; "Y"</f>
        <v>D5Y</v>
      </c>
    </row>
    <row r="402" spans="1:8" ht="19.95" customHeight="1" x14ac:dyDescent="0.3">
      <c r="G402" s="96">
        <f>IFERROR(VLOOKUP(H402, A$334:D$345, 4, FALSE), 0)</f>
        <v>7.7380952380952384E-2</v>
      </c>
      <c r="H402" s="12" t="str">
        <f>"D" &amp; E24 &amp; "X"</f>
        <v>D2X</v>
      </c>
    </row>
    <row r="403" spans="1:8" ht="19.95" customHeight="1" x14ac:dyDescent="0.3">
      <c r="G403" s="96">
        <f>IFERROR(VLOOKUP(H403, A$334:D$345, 4, FALSE), 0)</f>
        <v>-0.47680289258948694</v>
      </c>
      <c r="H403" s="12" t="str">
        <f>"D" &amp; F24 &amp; "Y"</f>
        <v>D2Y</v>
      </c>
    </row>
    <row r="404" spans="1:8" ht="19.95" customHeight="1" x14ac:dyDescent="0.3">
      <c r="B404" s="99" t="s">
        <v>273</v>
      </c>
      <c r="C404" s="178" t="str">
        <f>IF(B401&gt;0.001,"BARRA A TRACCIÓN (+)",IF(B401&lt;-0.001,"BARRA A COMPRESIÓN (-)","BARRA DE FUERZA NULA"))</f>
        <v>BARRA A TRACCIÓN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84000</v>
      </c>
      <c r="C408" s="92">
        <f>-J13</f>
        <v>0</v>
      </c>
      <c r="D408" s="92">
        <f>-K13</f>
        <v>1</v>
      </c>
      <c r="E408" s="92">
        <f>J13</f>
        <v>0</v>
      </c>
      <c r="F408" s="92">
        <f>K13</f>
        <v>-1</v>
      </c>
      <c r="G408" s="96">
        <f>IFERROR(VLOOKUP(H408, A$334:D$345, 4, FALSE), 0)</f>
        <v>0.10317460317460322</v>
      </c>
      <c r="H408" s="12" t="str">
        <f>"D" &amp; C25 &amp; "X"</f>
        <v>D6X</v>
      </c>
    </row>
    <row r="409" spans="1:8" ht="19.95" customHeight="1" x14ac:dyDescent="0.3">
      <c r="A409" s="99" t="s">
        <v>292</v>
      </c>
      <c r="B409" s="97">
        <f>(MMULT(C408:F408, G408:G411)*A408)</f>
        <v>6500</v>
      </c>
      <c r="G409" s="96">
        <f>IFERROR(VLOOKUP(H409, A$334:D$345, 4, FALSE), 0)</f>
        <v>-0.34783463862123287</v>
      </c>
      <c r="H409" s="12" t="str">
        <f>"D" &amp; D25 &amp; "Y"</f>
        <v>D6Y</v>
      </c>
    </row>
    <row r="410" spans="1:8" ht="19.95" customHeight="1" x14ac:dyDescent="0.3">
      <c r="G410" s="96">
        <f>IFERROR(VLOOKUP(H410, A$334:D$345, 4, FALSE), 0)</f>
        <v>0.15476190476190477</v>
      </c>
      <c r="H410" s="12" t="str">
        <f>"D" &amp; E25 &amp; "X"</f>
        <v>D3X</v>
      </c>
    </row>
    <row r="411" spans="1:8" ht="19.95" customHeight="1" x14ac:dyDescent="0.3">
      <c r="G411" s="96">
        <f>IFERROR(VLOOKUP(H411, A$334:D$345, 4, FALSE), 0)</f>
        <v>-0.42521559100218526</v>
      </c>
      <c r="H411" s="12" t="str">
        <f>"D" &amp; F25 &amp; "Y"</f>
        <v>D3Y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0.18055555555555555</v>
      </c>
      <c r="H416" s="12" t="str">
        <f>"D" &amp; C26 &amp; "X"</f>
        <v>D5X</v>
      </c>
    </row>
    <row r="417" spans="1:8" ht="19.95" customHeight="1" x14ac:dyDescent="0.3">
      <c r="A417" s="99" t="s">
        <v>530</v>
      </c>
      <c r="B417" s="97">
        <f>(MMULT(C416:F416, G416:G419)*A416)</f>
        <v>-3.2971941632359274E-12</v>
      </c>
      <c r="G417" s="96">
        <f>IFERROR(VLOOKUP(H417, A$334:D$345, 4, FALSE), 0)</f>
        <v>-0.3994219402085345</v>
      </c>
      <c r="H417" s="12" t="str">
        <f>"D" &amp; D26 &amp; "Y"</f>
        <v>D5Y</v>
      </c>
    </row>
    <row r="418" spans="1:8" ht="19.95" customHeight="1" x14ac:dyDescent="0.3">
      <c r="G418" s="96">
        <f>IFERROR(VLOOKUP(H418, A$334:D$345, 4, FALSE), 0)</f>
        <v>0.15476190476190477</v>
      </c>
      <c r="H418" s="12" t="str">
        <f>"D" &amp; E26 &amp; "X"</f>
        <v>D3X</v>
      </c>
    </row>
    <row r="419" spans="1:8" ht="19.95" customHeight="1" x14ac:dyDescent="0.3">
      <c r="G419" s="96">
        <f>IFERROR(VLOOKUP(H419, A$334:D$345, 4, FALSE), 0)</f>
        <v>-0.42521559100218526</v>
      </c>
      <c r="H419" s="12" t="str">
        <f>"D" &amp; F26 &amp; "Y"</f>
        <v>D3Y</v>
      </c>
    </row>
    <row r="420" spans="1:8" ht="19.95" customHeight="1" x14ac:dyDescent="0.3">
      <c r="B420" s="99" t="s">
        <v>273</v>
      </c>
      <c r="C420" s="178" t="str">
        <f>IF(B417&gt;0.001,"BARRA A TRACCIÓN (+)",IF(B417&lt;-0.001,"BARRA A COMPRESIÓN (-)","BARRA DE FUERZA NULA"))</f>
        <v>BARRA DE FUERZA NULA</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6500</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6500</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6499.9999999999982</v>
      </c>
      <c r="H427" s="84" t="str">
        <f>C372</f>
        <v>BARRA A TRACCIÓN (+)</v>
      </c>
    </row>
    <row r="428" spans="1:8" ht="19.95" customHeight="1" x14ac:dyDescent="0.3">
      <c r="B428" s="43">
        <v>4</v>
      </c>
      <c r="C428" s="86">
        <f t="shared" si="49"/>
        <v>1</v>
      </c>
      <c r="D428" s="86">
        <f t="shared" si="50"/>
        <v>5</v>
      </c>
      <c r="E428" s="9">
        <f t="shared" si="51"/>
        <v>424.26406871192853</v>
      </c>
      <c r="F428" s="9">
        <f t="shared" si="52"/>
        <v>12</v>
      </c>
      <c r="G428" s="97">
        <f>B377</f>
        <v>-9192.3881554251147</v>
      </c>
      <c r="H428" s="84" t="str">
        <f>C380</f>
        <v>BARRA A COMPRESIÓN (-)</v>
      </c>
    </row>
    <row r="429" spans="1:8" ht="19.95" customHeight="1" x14ac:dyDescent="0.3">
      <c r="B429" s="44">
        <v>5</v>
      </c>
      <c r="C429" s="86">
        <f t="shared" si="49"/>
        <v>5</v>
      </c>
      <c r="D429" s="86">
        <f t="shared" si="50"/>
        <v>6</v>
      </c>
      <c r="E429" s="9">
        <f t="shared" si="51"/>
        <v>300</v>
      </c>
      <c r="F429" s="9">
        <f t="shared" si="52"/>
        <v>12</v>
      </c>
      <c r="G429" s="97">
        <f>B385</f>
        <v>-6499.9999999999955</v>
      </c>
      <c r="H429" s="84" t="str">
        <f>C388</f>
        <v>BARRA A COMPRESIÓN (-)</v>
      </c>
    </row>
    <row r="430" spans="1:8" ht="19.95" customHeight="1" x14ac:dyDescent="0.3">
      <c r="B430" s="51">
        <v>6</v>
      </c>
      <c r="C430" s="86">
        <f t="shared" si="49"/>
        <v>6</v>
      </c>
      <c r="D430" s="86">
        <f t="shared" si="50"/>
        <v>4</v>
      </c>
      <c r="E430" s="9">
        <f t="shared" si="51"/>
        <v>424.26406871192853</v>
      </c>
      <c r="F430" s="9">
        <f t="shared" si="52"/>
        <v>12</v>
      </c>
      <c r="G430" s="97">
        <f>B393</f>
        <v>-9192.3881554251147</v>
      </c>
      <c r="H430" s="84" t="str">
        <f>C396</f>
        <v>BARRA A COMPRESIÓN (-)</v>
      </c>
    </row>
    <row r="431" spans="1:8" ht="19.95" customHeight="1" x14ac:dyDescent="0.3">
      <c r="B431" s="52">
        <v>7</v>
      </c>
      <c r="C431" s="86">
        <f t="shared" si="49"/>
        <v>5</v>
      </c>
      <c r="D431" s="86">
        <f t="shared" si="50"/>
        <v>2</v>
      </c>
      <c r="E431" s="9">
        <f t="shared" si="51"/>
        <v>300</v>
      </c>
      <c r="F431" s="9">
        <f t="shared" si="52"/>
        <v>12</v>
      </c>
      <c r="G431" s="97">
        <f>B401</f>
        <v>6500.0000000000045</v>
      </c>
      <c r="H431" s="84" t="str">
        <f>C404</f>
        <v>BARRA A TRACCIÓN (+)</v>
      </c>
    </row>
    <row r="432" spans="1:8" ht="19.95" customHeight="1" x14ac:dyDescent="0.3">
      <c r="B432" s="59">
        <v>8</v>
      </c>
      <c r="C432" s="86">
        <f t="shared" si="49"/>
        <v>6</v>
      </c>
      <c r="D432" s="86">
        <f t="shared" si="50"/>
        <v>3</v>
      </c>
      <c r="E432" s="9">
        <f t="shared" si="51"/>
        <v>300</v>
      </c>
      <c r="F432" s="9">
        <f t="shared" si="52"/>
        <v>12</v>
      </c>
      <c r="G432" s="97">
        <f>B409</f>
        <v>6500</v>
      </c>
      <c r="H432" s="84" t="str">
        <f>C412</f>
        <v>BARRA A TRACCIÓN (+)</v>
      </c>
    </row>
    <row r="433" spans="2:8" ht="19.95" customHeight="1" x14ac:dyDescent="0.3">
      <c r="B433" s="60">
        <v>9</v>
      </c>
      <c r="C433" s="86">
        <f t="shared" si="49"/>
        <v>5</v>
      </c>
      <c r="D433" s="86">
        <f t="shared" si="50"/>
        <v>3</v>
      </c>
      <c r="E433" s="9">
        <f t="shared" si="51"/>
        <v>424.26406871192853</v>
      </c>
      <c r="F433" s="9">
        <f t="shared" si="52"/>
        <v>12</v>
      </c>
      <c r="G433" s="97">
        <f>B417</f>
        <v>-3.2971941632359274E-12</v>
      </c>
      <c r="H433" s="84" t="str">
        <f>C420</f>
        <v>BARRA DE FUERZA NULA</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536</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HYPERLINK("#'AUTOMATIZADA_29'!A1",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450</v>
      </c>
      <c r="AB8" s="20">
        <f>IF(F29="","",F29)</f>
        <v>0</v>
      </c>
      <c r="AC8" t="s">
        <v>316</v>
      </c>
    </row>
    <row r="9" spans="2:29" x14ac:dyDescent="0.3">
      <c r="AA9" s="20">
        <f>IF(G29="","",G29)</f>
        <v>900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225</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225</v>
      </c>
      <c r="AB14" s="20">
        <f>IF(F31="","",F31)</f>
        <v>200</v>
      </c>
      <c r="AC14" t="s">
        <v>328</v>
      </c>
    </row>
    <row r="15" spans="2:29" ht="19.05" customHeight="1" x14ac:dyDescent="0.3">
      <c r="B15" s="89">
        <v>2</v>
      </c>
      <c r="C15" s="21">
        <v>450</v>
      </c>
      <c r="D15" s="21">
        <v>0</v>
      </c>
      <c r="E15" s="21" t="s">
        <v>326</v>
      </c>
      <c r="F15" s="88">
        <f t="shared" si="0"/>
        <v>0</v>
      </c>
      <c r="G15" s="88">
        <f t="shared" si="1"/>
        <v>0</v>
      </c>
      <c r="H15" s="22">
        <v>0</v>
      </c>
      <c r="I15" s="22">
        <v>-5000</v>
      </c>
      <c r="J15" s="205" t="s">
        <v>490</v>
      </c>
      <c r="K15" s="172"/>
      <c r="L15" s="172"/>
      <c r="M15" s="172"/>
      <c r="N15" s="172"/>
      <c r="O15" s="173"/>
      <c r="AA15" s="20">
        <f>IF(G31="","",G31)</f>
        <v>450</v>
      </c>
      <c r="AB15" s="20">
        <f>IF(H31="","",H31)</f>
        <v>420</v>
      </c>
      <c r="AC15" t="s">
        <v>331</v>
      </c>
    </row>
    <row r="16" spans="2:29" ht="19.05" customHeight="1" x14ac:dyDescent="0.3">
      <c r="B16" s="89">
        <v>3</v>
      </c>
      <c r="C16" s="21">
        <v>900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225</v>
      </c>
      <c r="D17" s="21">
        <v>200</v>
      </c>
      <c r="E17" s="21" t="s">
        <v>326</v>
      </c>
      <c r="F17" s="88">
        <f t="shared" si="0"/>
        <v>0</v>
      </c>
      <c r="G17" s="88">
        <f t="shared" si="1"/>
        <v>0</v>
      </c>
      <c r="H17" s="22">
        <v>1500</v>
      </c>
      <c r="I17" s="22">
        <v>-4000</v>
      </c>
      <c r="J17" s="205" t="s">
        <v>537</v>
      </c>
      <c r="K17" s="172"/>
      <c r="L17" s="172"/>
      <c r="M17" s="172"/>
      <c r="N17" s="172"/>
      <c r="O17" s="173"/>
      <c r="AA17" s="20">
        <f>IF(E32="","",E32)</f>
        <v>450</v>
      </c>
      <c r="AB17" s="20">
        <f>IF(F32="","",F32)</f>
        <v>420</v>
      </c>
      <c r="AC17" t="s">
        <v>334</v>
      </c>
    </row>
    <row r="18" spans="2:29" ht="19.05" customHeight="1" x14ac:dyDescent="0.3">
      <c r="B18" s="89">
        <v>5</v>
      </c>
      <c r="C18" s="21">
        <v>450</v>
      </c>
      <c r="D18" s="21">
        <v>420</v>
      </c>
      <c r="E18" s="21" t="s">
        <v>326</v>
      </c>
      <c r="F18" s="88">
        <f t="shared" si="0"/>
        <v>0</v>
      </c>
      <c r="G18" s="88">
        <f t="shared" si="1"/>
        <v>0</v>
      </c>
      <c r="H18" s="22">
        <v>0</v>
      </c>
      <c r="I18" s="22">
        <v>-8500</v>
      </c>
      <c r="J18" s="205" t="s">
        <v>436</v>
      </c>
      <c r="K18" s="172"/>
      <c r="L18" s="172"/>
      <c r="M18" s="172"/>
      <c r="N18" s="172"/>
      <c r="O18" s="173"/>
      <c r="AA18" s="20">
        <f>IF(G32="","",G32)</f>
        <v>675</v>
      </c>
      <c r="AB18" s="20">
        <f>IF(H32="","",H32)</f>
        <v>200</v>
      </c>
      <c r="AC18" t="s">
        <v>335</v>
      </c>
    </row>
    <row r="19" spans="2:29" ht="19.05" customHeight="1" x14ac:dyDescent="0.3">
      <c r="B19" s="89">
        <v>6</v>
      </c>
      <c r="C19" s="21">
        <v>675</v>
      </c>
      <c r="D19" s="21">
        <v>200</v>
      </c>
      <c r="E19" s="21" t="s">
        <v>326</v>
      </c>
      <c r="F19" s="88">
        <f t="shared" si="0"/>
        <v>0</v>
      </c>
      <c r="G19" s="88">
        <f t="shared" si="1"/>
        <v>0</v>
      </c>
      <c r="H19" s="22">
        <v>-1500</v>
      </c>
      <c r="I19" s="22">
        <v>-4000</v>
      </c>
      <c r="J19" s="205" t="s">
        <v>538</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675</v>
      </c>
      <c r="AB20" s="20">
        <f>IF(F33="","",F33)</f>
        <v>200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450</v>
      </c>
      <c r="AB23" s="20">
        <f>IF(F34="","",F34)</f>
        <v>0</v>
      </c>
      <c r="AC23" t="s">
        <v>338</v>
      </c>
    </row>
    <row r="24" spans="2:29" x14ac:dyDescent="0.3">
      <c r="AA24" s="20">
        <f>IF(G34="","",G34)</f>
        <v>225</v>
      </c>
      <c r="AB24" s="20">
        <f>IF(H34="","",H34)</f>
        <v>200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450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450</v>
      </c>
      <c r="AB27" s="20">
        <f>IF(H35="","",H35)</f>
        <v>420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450</v>
      </c>
      <c r="AB29" s="20">
        <f>IF(F36="","",F36)</f>
        <v>0</v>
      </c>
      <c r="AC29" t="s">
        <v>353</v>
      </c>
    </row>
    <row r="30" spans="2:29" ht="19.05" customHeight="1" x14ac:dyDescent="0.3">
      <c r="B30" s="89">
        <v>3</v>
      </c>
      <c r="C30" s="23">
        <v>1</v>
      </c>
      <c r="D30" s="23">
        <v>4</v>
      </c>
      <c r="E30" s="5">
        <f t="shared" si="2"/>
        <v>0</v>
      </c>
      <c r="F30" s="5">
        <f t="shared" si="3"/>
        <v>0</v>
      </c>
      <c r="G30" s="5">
        <f t="shared" si="4"/>
        <v>225</v>
      </c>
      <c r="H30" s="5">
        <f t="shared" si="5"/>
        <v>200</v>
      </c>
      <c r="I30" s="9">
        <f t="shared" si="6"/>
        <v>225</v>
      </c>
      <c r="J30" s="9">
        <f t="shared" si="7"/>
        <v>200</v>
      </c>
      <c r="K30" s="9">
        <f t="shared" si="8"/>
        <v>301.03986446980741</v>
      </c>
      <c r="L30" s="92">
        <f t="shared" si="9"/>
        <v>0.74740931868365967</v>
      </c>
      <c r="M30" s="92">
        <f t="shared" si="10"/>
        <v>0.66436383882991967</v>
      </c>
      <c r="N30" s="22">
        <v>12</v>
      </c>
      <c r="O30" s="24">
        <v>2100000</v>
      </c>
      <c r="AA30" s="20">
        <f>IF(G36="","",G36)</f>
        <v>675</v>
      </c>
      <c r="AB30" s="20">
        <f>IF(H36="","",H36)</f>
        <v>200</v>
      </c>
      <c r="AC30" t="s">
        <v>354</v>
      </c>
    </row>
    <row r="31" spans="2:29" ht="19.05" customHeight="1" x14ac:dyDescent="0.3">
      <c r="B31" s="89">
        <v>4</v>
      </c>
      <c r="C31" s="23">
        <v>4</v>
      </c>
      <c r="D31" s="23">
        <v>5</v>
      </c>
      <c r="E31" s="5">
        <f t="shared" si="2"/>
        <v>225</v>
      </c>
      <c r="F31" s="5">
        <f t="shared" si="3"/>
        <v>200</v>
      </c>
      <c r="G31" s="5">
        <f t="shared" si="4"/>
        <v>450</v>
      </c>
      <c r="H31" s="5">
        <f t="shared" si="5"/>
        <v>420</v>
      </c>
      <c r="I31" s="9">
        <f t="shared" si="6"/>
        <v>225</v>
      </c>
      <c r="J31" s="9">
        <f t="shared" si="7"/>
        <v>220</v>
      </c>
      <c r="K31" s="9">
        <f t="shared" si="8"/>
        <v>314.68237955119127</v>
      </c>
      <c r="L31" s="92">
        <f t="shared" si="9"/>
        <v>0.71500666901305765</v>
      </c>
      <c r="M31" s="92">
        <f t="shared" si="10"/>
        <v>0.69911763192387855</v>
      </c>
      <c r="N31" s="22">
        <v>12</v>
      </c>
      <c r="O31" s="24">
        <v>2100000</v>
      </c>
    </row>
    <row r="32" spans="2:29" ht="19.05" customHeight="1" x14ac:dyDescent="0.3">
      <c r="B32" s="89">
        <v>5</v>
      </c>
      <c r="C32" s="23">
        <v>5</v>
      </c>
      <c r="D32" s="23">
        <v>6</v>
      </c>
      <c r="E32" s="5">
        <f t="shared" si="2"/>
        <v>450</v>
      </c>
      <c r="F32" s="5">
        <f t="shared" si="3"/>
        <v>420</v>
      </c>
      <c r="G32" s="5">
        <f t="shared" si="4"/>
        <v>675</v>
      </c>
      <c r="H32" s="5">
        <f t="shared" si="5"/>
        <v>200</v>
      </c>
      <c r="I32" s="9">
        <f t="shared" si="6"/>
        <v>225</v>
      </c>
      <c r="J32" s="9">
        <f t="shared" si="7"/>
        <v>-220</v>
      </c>
      <c r="K32" s="9">
        <f t="shared" si="8"/>
        <v>314.68237955119127</v>
      </c>
      <c r="L32" s="92">
        <f t="shared" si="9"/>
        <v>0.71500666901305765</v>
      </c>
      <c r="M32" s="92">
        <f t="shared" si="10"/>
        <v>-0.69911763192387855</v>
      </c>
      <c r="N32" s="22">
        <v>12</v>
      </c>
      <c r="O32" s="24">
        <v>2100000</v>
      </c>
      <c r="AA32" s="20" t="str">
        <f>IF(E37="","",E37)</f>
        <v/>
      </c>
      <c r="AB32" s="20" t="str">
        <f>IF(F37="","",F37)</f>
        <v/>
      </c>
      <c r="AC32" t="s">
        <v>355</v>
      </c>
    </row>
    <row r="33" spans="2:29" ht="19.05" customHeight="1" x14ac:dyDescent="0.3">
      <c r="B33" s="89">
        <v>6</v>
      </c>
      <c r="C33" s="23">
        <v>6</v>
      </c>
      <c r="D33" s="23">
        <v>3</v>
      </c>
      <c r="E33" s="5">
        <f t="shared" si="2"/>
        <v>675</v>
      </c>
      <c r="F33" s="5">
        <f t="shared" si="3"/>
        <v>200</v>
      </c>
      <c r="G33" s="5">
        <f t="shared" si="4"/>
        <v>900</v>
      </c>
      <c r="H33" s="5">
        <f t="shared" si="5"/>
        <v>0</v>
      </c>
      <c r="I33" s="9">
        <f t="shared" si="6"/>
        <v>225</v>
      </c>
      <c r="J33" s="9">
        <f t="shared" si="7"/>
        <v>-200</v>
      </c>
      <c r="K33" s="9">
        <f t="shared" si="8"/>
        <v>301.03986446980741</v>
      </c>
      <c r="L33" s="92">
        <f t="shared" si="9"/>
        <v>0.74740931868365967</v>
      </c>
      <c r="M33" s="92">
        <f t="shared" si="10"/>
        <v>-0.66436383882991967</v>
      </c>
      <c r="N33" s="22">
        <v>12</v>
      </c>
      <c r="O33" s="24">
        <v>2100000</v>
      </c>
      <c r="AA33" s="20" t="str">
        <f>IF(G37="","",G37)</f>
        <v/>
      </c>
      <c r="AB33" s="20" t="str">
        <f>IF(H37="","",H37)</f>
        <v/>
      </c>
      <c r="AC33" t="s">
        <v>356</v>
      </c>
    </row>
    <row r="34" spans="2:29" ht="19.05" customHeight="1" x14ac:dyDescent="0.3">
      <c r="B34" s="89">
        <v>7</v>
      </c>
      <c r="C34" s="23">
        <v>2</v>
      </c>
      <c r="D34" s="23">
        <v>4</v>
      </c>
      <c r="E34" s="5">
        <f t="shared" si="2"/>
        <v>450</v>
      </c>
      <c r="F34" s="5">
        <f t="shared" si="3"/>
        <v>0</v>
      </c>
      <c r="G34" s="5">
        <f t="shared" si="4"/>
        <v>225</v>
      </c>
      <c r="H34" s="5">
        <f t="shared" si="5"/>
        <v>200</v>
      </c>
      <c r="I34" s="9">
        <f t="shared" si="6"/>
        <v>-225</v>
      </c>
      <c r="J34" s="9">
        <f t="shared" si="7"/>
        <v>200</v>
      </c>
      <c r="K34" s="9">
        <f t="shared" si="8"/>
        <v>301.03986446980741</v>
      </c>
      <c r="L34" s="92">
        <f t="shared" si="9"/>
        <v>-0.74740931868365967</v>
      </c>
      <c r="M34" s="92">
        <f t="shared" si="10"/>
        <v>0.66436383882991967</v>
      </c>
      <c r="N34" s="22">
        <v>12</v>
      </c>
      <c r="O34" s="24">
        <v>2100000</v>
      </c>
    </row>
    <row r="35" spans="2:29" ht="19.05" customHeight="1" x14ac:dyDescent="0.3">
      <c r="B35" s="89">
        <v>8</v>
      </c>
      <c r="C35" s="23">
        <v>2</v>
      </c>
      <c r="D35" s="23">
        <v>5</v>
      </c>
      <c r="E35" s="5">
        <f t="shared" si="2"/>
        <v>450</v>
      </c>
      <c r="F35" s="5">
        <f t="shared" si="3"/>
        <v>0</v>
      </c>
      <c r="G35" s="5">
        <f t="shared" si="4"/>
        <v>450</v>
      </c>
      <c r="H35" s="5">
        <f t="shared" si="5"/>
        <v>420</v>
      </c>
      <c r="I35" s="9">
        <f t="shared" si="6"/>
        <v>0</v>
      </c>
      <c r="J35" s="9">
        <f t="shared" si="7"/>
        <v>420</v>
      </c>
      <c r="K35" s="9">
        <f t="shared" si="8"/>
        <v>420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2</v>
      </c>
      <c r="D36" s="23">
        <v>6</v>
      </c>
      <c r="E36" s="5">
        <f t="shared" si="2"/>
        <v>450</v>
      </c>
      <c r="F36" s="5">
        <f t="shared" si="3"/>
        <v>0</v>
      </c>
      <c r="G36" s="5">
        <f t="shared" si="4"/>
        <v>675</v>
      </c>
      <c r="H36" s="5">
        <f t="shared" si="5"/>
        <v>200</v>
      </c>
      <c r="I36" s="9">
        <f t="shared" si="6"/>
        <v>225</v>
      </c>
      <c r="J36" s="9">
        <f t="shared" si="7"/>
        <v>200</v>
      </c>
      <c r="K36" s="9">
        <f t="shared" si="8"/>
        <v>301.03986446980741</v>
      </c>
      <c r="L36" s="92">
        <f t="shared" si="9"/>
        <v>0.74740931868365967</v>
      </c>
      <c r="M36" s="92">
        <f t="shared" si="10"/>
        <v>0.66436383882991967</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B00-000000000000}">
      <formula1>"Fijo (articulado),Rodillo Y (despl. X libre),Rodillo X (despl. Y libre),Libre (0 reac.)"</formula1>
    </dataValidation>
  </dataValidations>
  <pageMargins left="0.75" right="0.75" top="1" bottom="1" header="0.5" footer="0.5"/>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539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HYPERLINK("#'GRAFICA_29'!A1",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GRAFICA_29!E28</f>
        <v>0</v>
      </c>
      <c r="D6" s="22">
        <f>GRAFICA_29!F28</f>
        <v>0</v>
      </c>
      <c r="E6" s="22">
        <f>GRAFICA_29!G28</f>
        <v>450</v>
      </c>
      <c r="F6" s="22">
        <f>GRAFICA_29!H28</f>
        <v>0</v>
      </c>
      <c r="G6" s="9">
        <f t="shared" ref="G6:G14" si="0">E6-C6</f>
        <v>450</v>
      </c>
      <c r="H6" s="9">
        <f t="shared" ref="H6:H14" si="1">F6-D6</f>
        <v>0</v>
      </c>
      <c r="I6" s="9">
        <f t="shared" ref="I6:I14" si="2">SQRT(G6*G6+H6*H6)</f>
        <v>450</v>
      </c>
      <c r="J6" s="92">
        <f t="shared" ref="J6:J14" si="3">G6/I6</f>
        <v>1</v>
      </c>
      <c r="K6" s="92">
        <f t="shared" ref="K6:K14" si="4">H6/I6</f>
        <v>0</v>
      </c>
      <c r="L6" s="22">
        <f>GRAFICA_29!N28</f>
        <v>12</v>
      </c>
      <c r="M6" s="22">
        <f>GRAFICA_29!O28</f>
        <v>2100000</v>
      </c>
      <c r="N6" s="6">
        <f t="shared" ref="N6:N14" si="5">L6*M6/I6</f>
        <v>56000</v>
      </c>
    </row>
    <row r="7" spans="2:14" ht="19.05" customHeight="1" x14ac:dyDescent="0.3">
      <c r="B7" s="25">
        <v>2</v>
      </c>
      <c r="C7" s="22">
        <f>GRAFICA_29!E29</f>
        <v>450</v>
      </c>
      <c r="D7" s="22">
        <f>GRAFICA_29!F29</f>
        <v>0</v>
      </c>
      <c r="E7" s="22">
        <f>GRAFICA_29!G29</f>
        <v>900</v>
      </c>
      <c r="F7" s="22">
        <f>GRAFICA_29!H29</f>
        <v>0</v>
      </c>
      <c r="G7" s="9">
        <f t="shared" si="0"/>
        <v>450</v>
      </c>
      <c r="H7" s="9">
        <f t="shared" si="1"/>
        <v>0</v>
      </c>
      <c r="I7" s="9">
        <f t="shared" si="2"/>
        <v>450</v>
      </c>
      <c r="J7" s="92">
        <f t="shared" si="3"/>
        <v>1</v>
      </c>
      <c r="K7" s="92">
        <f t="shared" si="4"/>
        <v>0</v>
      </c>
      <c r="L7" s="22">
        <f>GRAFICA_29!N29</f>
        <v>12</v>
      </c>
      <c r="M7" s="22">
        <f>GRAFICA_29!O29</f>
        <v>2100000</v>
      </c>
      <c r="N7" s="6">
        <f t="shared" si="5"/>
        <v>56000</v>
      </c>
    </row>
    <row r="8" spans="2:14" ht="19.05" customHeight="1" x14ac:dyDescent="0.3">
      <c r="B8" s="26">
        <v>3</v>
      </c>
      <c r="C8" s="22">
        <f>GRAFICA_29!E30</f>
        <v>0</v>
      </c>
      <c r="D8" s="22">
        <f>GRAFICA_29!F30</f>
        <v>0</v>
      </c>
      <c r="E8" s="22">
        <f>GRAFICA_29!G30</f>
        <v>225</v>
      </c>
      <c r="F8" s="22">
        <f>GRAFICA_29!H30</f>
        <v>200</v>
      </c>
      <c r="G8" s="9">
        <f t="shared" si="0"/>
        <v>225</v>
      </c>
      <c r="H8" s="9">
        <f t="shared" si="1"/>
        <v>200</v>
      </c>
      <c r="I8" s="9">
        <f t="shared" si="2"/>
        <v>301.03986446980741</v>
      </c>
      <c r="J8" s="92">
        <f t="shared" si="3"/>
        <v>0.74740931868365967</v>
      </c>
      <c r="K8" s="92">
        <f t="shared" si="4"/>
        <v>0.66436383882991967</v>
      </c>
      <c r="L8" s="22">
        <f>GRAFICA_29!N30</f>
        <v>12</v>
      </c>
      <c r="M8" s="22">
        <f>GRAFICA_29!O30</f>
        <v>2100000</v>
      </c>
      <c r="N8" s="6">
        <f t="shared" si="5"/>
        <v>83709.843692569877</v>
      </c>
    </row>
    <row r="9" spans="2:14" ht="19.05" customHeight="1" x14ac:dyDescent="0.3">
      <c r="B9" s="43">
        <v>4</v>
      </c>
      <c r="C9" s="22">
        <f>GRAFICA_29!E31</f>
        <v>225</v>
      </c>
      <c r="D9" s="22">
        <f>GRAFICA_29!F31</f>
        <v>200</v>
      </c>
      <c r="E9" s="22">
        <f>GRAFICA_29!G31</f>
        <v>450</v>
      </c>
      <c r="F9" s="22">
        <f>GRAFICA_29!H31</f>
        <v>420</v>
      </c>
      <c r="G9" s="9">
        <f t="shared" si="0"/>
        <v>225</v>
      </c>
      <c r="H9" s="9">
        <f t="shared" si="1"/>
        <v>220</v>
      </c>
      <c r="I9" s="9">
        <f t="shared" si="2"/>
        <v>314.68237955119127</v>
      </c>
      <c r="J9" s="92">
        <f t="shared" si="3"/>
        <v>0.71500666901305765</v>
      </c>
      <c r="K9" s="92">
        <f t="shared" si="4"/>
        <v>0.69911763192387855</v>
      </c>
      <c r="L9" s="22">
        <f>GRAFICA_29!N31</f>
        <v>12</v>
      </c>
      <c r="M9" s="22">
        <f>GRAFICA_29!O31</f>
        <v>2100000</v>
      </c>
      <c r="N9" s="6">
        <f t="shared" si="5"/>
        <v>80080.746929462461</v>
      </c>
    </row>
    <row r="10" spans="2:14" ht="19.05" customHeight="1" x14ac:dyDescent="0.3">
      <c r="B10" s="44">
        <v>5</v>
      </c>
      <c r="C10" s="22">
        <f>GRAFICA_29!E32</f>
        <v>450</v>
      </c>
      <c r="D10" s="22">
        <f>GRAFICA_29!F32</f>
        <v>420</v>
      </c>
      <c r="E10" s="22">
        <f>GRAFICA_29!G32</f>
        <v>675</v>
      </c>
      <c r="F10" s="22">
        <f>GRAFICA_29!H32</f>
        <v>200</v>
      </c>
      <c r="G10" s="9">
        <f t="shared" si="0"/>
        <v>225</v>
      </c>
      <c r="H10" s="9">
        <f t="shared" si="1"/>
        <v>-220</v>
      </c>
      <c r="I10" s="9">
        <f t="shared" si="2"/>
        <v>314.68237955119127</v>
      </c>
      <c r="J10" s="92">
        <f t="shared" si="3"/>
        <v>0.71500666901305765</v>
      </c>
      <c r="K10" s="92">
        <f t="shared" si="4"/>
        <v>-0.69911763192387855</v>
      </c>
      <c r="L10" s="22">
        <f>GRAFICA_29!N32</f>
        <v>12</v>
      </c>
      <c r="M10" s="22">
        <f>GRAFICA_29!O32</f>
        <v>2100000</v>
      </c>
      <c r="N10" s="6">
        <f t="shared" si="5"/>
        <v>80080.746929462461</v>
      </c>
    </row>
    <row r="11" spans="2:14" ht="19.05" customHeight="1" x14ac:dyDescent="0.3">
      <c r="B11" s="51">
        <v>6</v>
      </c>
      <c r="C11" s="22">
        <f>GRAFICA_29!E33</f>
        <v>675</v>
      </c>
      <c r="D11" s="22">
        <f>GRAFICA_29!F33</f>
        <v>200</v>
      </c>
      <c r="E11" s="22">
        <f>GRAFICA_29!G33</f>
        <v>900</v>
      </c>
      <c r="F11" s="22">
        <f>GRAFICA_29!H33</f>
        <v>0</v>
      </c>
      <c r="G11" s="9">
        <f t="shared" si="0"/>
        <v>225</v>
      </c>
      <c r="H11" s="9">
        <f t="shared" si="1"/>
        <v>-200</v>
      </c>
      <c r="I11" s="9">
        <f t="shared" si="2"/>
        <v>301.03986446980741</v>
      </c>
      <c r="J11" s="92">
        <f t="shared" si="3"/>
        <v>0.74740931868365967</v>
      </c>
      <c r="K11" s="92">
        <f t="shared" si="4"/>
        <v>-0.66436383882991967</v>
      </c>
      <c r="L11" s="22">
        <f>GRAFICA_29!N33</f>
        <v>12</v>
      </c>
      <c r="M11" s="22">
        <f>GRAFICA_29!O33</f>
        <v>2100000</v>
      </c>
      <c r="N11" s="6">
        <f t="shared" si="5"/>
        <v>83709.843692569877</v>
      </c>
    </row>
    <row r="12" spans="2:14" ht="19.05" customHeight="1" x14ac:dyDescent="0.3">
      <c r="B12" s="52">
        <v>7</v>
      </c>
      <c r="C12" s="22">
        <f>GRAFICA_29!E34</f>
        <v>450</v>
      </c>
      <c r="D12" s="22">
        <f>GRAFICA_29!F34</f>
        <v>0</v>
      </c>
      <c r="E12" s="22">
        <f>GRAFICA_29!G34</f>
        <v>225</v>
      </c>
      <c r="F12" s="22">
        <f>GRAFICA_29!H34</f>
        <v>200</v>
      </c>
      <c r="G12" s="9">
        <f t="shared" si="0"/>
        <v>-225</v>
      </c>
      <c r="H12" s="9">
        <f t="shared" si="1"/>
        <v>200</v>
      </c>
      <c r="I12" s="9">
        <f t="shared" si="2"/>
        <v>301.03986446980741</v>
      </c>
      <c r="J12" s="92">
        <f t="shared" si="3"/>
        <v>-0.74740931868365967</v>
      </c>
      <c r="K12" s="92">
        <f t="shared" si="4"/>
        <v>0.66436383882991967</v>
      </c>
      <c r="L12" s="22">
        <f>GRAFICA_29!N34</f>
        <v>12</v>
      </c>
      <c r="M12" s="22">
        <f>GRAFICA_29!O34</f>
        <v>2100000</v>
      </c>
      <c r="N12" s="6">
        <f t="shared" si="5"/>
        <v>83709.843692569877</v>
      </c>
    </row>
    <row r="13" spans="2:14" ht="19.05" customHeight="1" x14ac:dyDescent="0.3">
      <c r="B13" s="59">
        <v>8</v>
      </c>
      <c r="C13" s="22">
        <f>GRAFICA_29!E35</f>
        <v>450</v>
      </c>
      <c r="D13" s="22">
        <f>GRAFICA_29!F35</f>
        <v>0</v>
      </c>
      <c r="E13" s="22">
        <f>GRAFICA_29!G35</f>
        <v>450</v>
      </c>
      <c r="F13" s="22">
        <f>GRAFICA_29!H35</f>
        <v>420</v>
      </c>
      <c r="G13" s="9">
        <f t="shared" si="0"/>
        <v>0</v>
      </c>
      <c r="H13" s="9">
        <f t="shared" si="1"/>
        <v>420</v>
      </c>
      <c r="I13" s="9">
        <f t="shared" si="2"/>
        <v>420</v>
      </c>
      <c r="J13" s="92">
        <f t="shared" si="3"/>
        <v>0</v>
      </c>
      <c r="K13" s="92">
        <f t="shared" si="4"/>
        <v>1</v>
      </c>
      <c r="L13" s="22">
        <f>GRAFICA_29!N35</f>
        <v>12</v>
      </c>
      <c r="M13" s="22">
        <f>GRAFICA_29!O35</f>
        <v>2100000</v>
      </c>
      <c r="N13" s="6">
        <f t="shared" si="5"/>
        <v>60000</v>
      </c>
    </row>
    <row r="14" spans="2:14" ht="19.05" customHeight="1" x14ac:dyDescent="0.3">
      <c r="B14" s="60">
        <v>9</v>
      </c>
      <c r="C14" s="22">
        <f>GRAFICA_29!E36</f>
        <v>450</v>
      </c>
      <c r="D14" s="22">
        <f>GRAFICA_29!F36</f>
        <v>0</v>
      </c>
      <c r="E14" s="22">
        <f>GRAFICA_29!G36</f>
        <v>675</v>
      </c>
      <c r="F14" s="22">
        <f>GRAFICA_29!H36</f>
        <v>200</v>
      </c>
      <c r="G14" s="9">
        <f t="shared" si="0"/>
        <v>225</v>
      </c>
      <c r="H14" s="9">
        <f t="shared" si="1"/>
        <v>200</v>
      </c>
      <c r="I14" s="9">
        <f t="shared" si="2"/>
        <v>301.03986446980741</v>
      </c>
      <c r="J14" s="92">
        <f t="shared" si="3"/>
        <v>0.74740931868365967</v>
      </c>
      <c r="K14" s="92">
        <f t="shared" si="4"/>
        <v>0.66436383882991967</v>
      </c>
      <c r="L14" s="22">
        <f>GRAFICA_29!N36</f>
        <v>12</v>
      </c>
      <c r="M14" s="22">
        <f>GRAFICA_29!O36</f>
        <v>2100000</v>
      </c>
      <c r="N14" s="6">
        <f t="shared" si="5"/>
        <v>83709.843692569877</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GRAFICA_29!C28</f>
        <v>1</v>
      </c>
      <c r="D18" s="23">
        <f>GRAFICA_29!C28</f>
        <v>1</v>
      </c>
      <c r="E18" s="23">
        <f>GRAFICA_29!D28</f>
        <v>2</v>
      </c>
      <c r="F18" s="23">
        <f>GRAFICA_29!D28</f>
        <v>2</v>
      </c>
    </row>
    <row r="19" spans="1:6" ht="19.05" customHeight="1" x14ac:dyDescent="0.3">
      <c r="B19" s="25">
        <v>2</v>
      </c>
      <c r="C19" s="23">
        <f>GRAFICA_29!C29</f>
        <v>2</v>
      </c>
      <c r="D19" s="23">
        <f>GRAFICA_29!C29</f>
        <v>2</v>
      </c>
      <c r="E19" s="23">
        <f>GRAFICA_29!D29</f>
        <v>3</v>
      </c>
      <c r="F19" s="23">
        <f>GRAFICA_29!D29</f>
        <v>3</v>
      </c>
    </row>
    <row r="20" spans="1:6" ht="19.05" customHeight="1" x14ac:dyDescent="0.3">
      <c r="B20" s="26">
        <v>3</v>
      </c>
      <c r="C20" s="23">
        <f>GRAFICA_29!C30</f>
        <v>1</v>
      </c>
      <c r="D20" s="23">
        <f>GRAFICA_29!C30</f>
        <v>1</v>
      </c>
      <c r="E20" s="23">
        <f>GRAFICA_29!D30</f>
        <v>4</v>
      </c>
      <c r="F20" s="23">
        <f>GRAFICA_29!D30</f>
        <v>4</v>
      </c>
    </row>
    <row r="21" spans="1:6" ht="19.05" customHeight="1" x14ac:dyDescent="0.3">
      <c r="B21" s="43">
        <v>4</v>
      </c>
      <c r="C21" s="23">
        <f>GRAFICA_29!C31</f>
        <v>4</v>
      </c>
      <c r="D21" s="23">
        <f>GRAFICA_29!C31</f>
        <v>4</v>
      </c>
      <c r="E21" s="23">
        <f>GRAFICA_29!D31</f>
        <v>5</v>
      </c>
      <c r="F21" s="23">
        <f>GRAFICA_29!D31</f>
        <v>5</v>
      </c>
    </row>
    <row r="22" spans="1:6" ht="19.05" customHeight="1" x14ac:dyDescent="0.3">
      <c r="B22" s="44">
        <v>5</v>
      </c>
      <c r="C22" s="23">
        <f>GRAFICA_29!C32</f>
        <v>5</v>
      </c>
      <c r="D22" s="23">
        <f>GRAFICA_29!C32</f>
        <v>5</v>
      </c>
      <c r="E22" s="23">
        <f>GRAFICA_29!D32</f>
        <v>6</v>
      </c>
      <c r="F22" s="23">
        <f>GRAFICA_29!D32</f>
        <v>6</v>
      </c>
    </row>
    <row r="23" spans="1:6" ht="19.05" customHeight="1" x14ac:dyDescent="0.3">
      <c r="B23" s="51">
        <v>6</v>
      </c>
      <c r="C23" s="23">
        <f>GRAFICA_29!C33</f>
        <v>6</v>
      </c>
      <c r="D23" s="23">
        <f>GRAFICA_29!C33</f>
        <v>6</v>
      </c>
      <c r="E23" s="23">
        <f>GRAFICA_29!D33</f>
        <v>3</v>
      </c>
      <c r="F23" s="23">
        <f>GRAFICA_29!D33</f>
        <v>3</v>
      </c>
    </row>
    <row r="24" spans="1:6" ht="19.05" customHeight="1" x14ac:dyDescent="0.3">
      <c r="B24" s="52">
        <v>7</v>
      </c>
      <c r="C24" s="23">
        <f>GRAFICA_29!C34</f>
        <v>2</v>
      </c>
      <c r="D24" s="23">
        <f>GRAFICA_29!C34</f>
        <v>2</v>
      </c>
      <c r="E24" s="23">
        <f>GRAFICA_29!D34</f>
        <v>4</v>
      </c>
      <c r="F24" s="23">
        <f>GRAFICA_29!D34</f>
        <v>4</v>
      </c>
    </row>
    <row r="25" spans="1:6" ht="19.05" customHeight="1" x14ac:dyDescent="0.3">
      <c r="B25" s="59">
        <v>8</v>
      </c>
      <c r="C25" s="23">
        <f>GRAFICA_29!C35</f>
        <v>2</v>
      </c>
      <c r="D25" s="23">
        <f>GRAFICA_29!C35</f>
        <v>2</v>
      </c>
      <c r="E25" s="23">
        <f>GRAFICA_29!D35</f>
        <v>5</v>
      </c>
      <c r="F25" s="23">
        <f>GRAFICA_29!D35</f>
        <v>5</v>
      </c>
    </row>
    <row r="26" spans="1:6" ht="19.05" customHeight="1" x14ac:dyDescent="0.3">
      <c r="B26" s="60">
        <v>9</v>
      </c>
      <c r="C26" s="23">
        <f>GRAFICA_29!C36</f>
        <v>2</v>
      </c>
      <c r="D26" s="23">
        <f>GRAFICA_29!C36</f>
        <v>2</v>
      </c>
      <c r="E26" s="23">
        <f>GRAFICA_29!D36</f>
        <v>6</v>
      </c>
      <c r="F26" s="23">
        <f>GRAFICA_29!D36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56000</v>
      </c>
      <c r="C30" s="7">
        <f>J6*K6*N6</f>
        <v>0</v>
      </c>
      <c r="D30" s="7">
        <f>-B30</f>
        <v>-56000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-56000</v>
      </c>
      <c r="C32" s="7">
        <f>E30</f>
        <v>0</v>
      </c>
      <c r="D32" s="7">
        <f>B30</f>
        <v>56000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56000</v>
      </c>
      <c r="C36" s="8">
        <f t="shared" si="6"/>
        <v>0</v>
      </c>
      <c r="D36" s="8">
        <f t="shared" si="6"/>
        <v>-56000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-56000</v>
      </c>
      <c r="C38" s="8">
        <f t="shared" si="6"/>
        <v>0</v>
      </c>
      <c r="D38" s="8">
        <f t="shared" si="6"/>
        <v>56000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56000</v>
      </c>
      <c r="C51" s="30">
        <f>J7*K7*N7</f>
        <v>0</v>
      </c>
      <c r="D51" s="30">
        <f>-B51</f>
        <v>-56000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-56000</v>
      </c>
      <c r="C53" s="30">
        <f>E51</f>
        <v>0</v>
      </c>
      <c r="D53" s="30">
        <f>B51</f>
        <v>56000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56000</v>
      </c>
      <c r="E59" s="31">
        <f t="shared" si="7"/>
        <v>0</v>
      </c>
      <c r="F59" s="31">
        <f t="shared" si="7"/>
        <v>-56000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-56000</v>
      </c>
      <c r="E61" s="31">
        <f t="shared" si="7"/>
        <v>0</v>
      </c>
      <c r="F61" s="31">
        <f t="shared" si="7"/>
        <v>56000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U1X</v>
      </c>
      <c r="C71" s="32" t="str">
        <f>CONCATENATE("U",D20,D$17)</f>
        <v>U1Y</v>
      </c>
      <c r="D71" s="32" t="str">
        <f>CONCATENATE("U",E20,E$17)</f>
        <v>U4X</v>
      </c>
      <c r="E71" s="32" t="str">
        <f>CONCATENATE("U",F20,F$17)</f>
        <v>U4Y</v>
      </c>
    </row>
    <row r="72" spans="1:14" x14ac:dyDescent="0.3">
      <c r="B72" s="33">
        <f>J8*J8*N8</f>
        <v>46762.050614470063</v>
      </c>
      <c r="C72" s="33">
        <f>J8*K8*N8</f>
        <v>41566.26721286228</v>
      </c>
      <c r="D72" s="33">
        <f>-B72</f>
        <v>-46762.050614470063</v>
      </c>
      <c r="E72" s="33">
        <f>-C72</f>
        <v>-41566.26721286228</v>
      </c>
      <c r="F72" s="32" t="str">
        <f>B71</f>
        <v>U1X</v>
      </c>
    </row>
    <row r="73" spans="1:14" ht="16.8" customHeight="1" x14ac:dyDescent="0.3">
      <c r="A73" s="28" t="s">
        <v>193</v>
      </c>
      <c r="B73" s="33">
        <f>C72</f>
        <v>41566.26721286228</v>
      </c>
      <c r="C73" s="33">
        <f>K8*K8*N8</f>
        <v>36947.793078099799</v>
      </c>
      <c r="D73" s="33">
        <f>-B73</f>
        <v>-41566.26721286228</v>
      </c>
      <c r="E73" s="33">
        <f>-C73</f>
        <v>-36947.793078099799</v>
      </c>
      <c r="F73" s="32" t="str">
        <f>C71</f>
        <v>U1Y</v>
      </c>
    </row>
    <row r="74" spans="1:14" x14ac:dyDescent="0.3">
      <c r="B74" s="33">
        <f>D72</f>
        <v>-46762.050614470063</v>
      </c>
      <c r="C74" s="33">
        <f>E72</f>
        <v>-41566.26721286228</v>
      </c>
      <c r="D74" s="33">
        <f>B72</f>
        <v>46762.050614470063</v>
      </c>
      <c r="E74" s="33">
        <f>C72</f>
        <v>41566.26721286228</v>
      </c>
      <c r="F74" s="32" t="str">
        <f>D71</f>
        <v>U4X</v>
      </c>
    </row>
    <row r="75" spans="1:14" x14ac:dyDescent="0.3">
      <c r="B75" s="33">
        <f>D73</f>
        <v>-41566.26721286228</v>
      </c>
      <c r="C75" s="33">
        <f>E73</f>
        <v>-36947.793078099799</v>
      </c>
      <c r="D75" s="33">
        <f>B73</f>
        <v>41566.26721286228</v>
      </c>
      <c r="E75" s="33">
        <f>C73</f>
        <v>36947.793078099799</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34">
        <f t="shared" ref="B78:M89" si="8">IFERROR(INDEX($B$72:$E$75, MATCH($N78, $B$71:$E$71, 0), MATCH(B$77, $B$71:$E$71, 0)), 0)</f>
        <v>46762.050614470063</v>
      </c>
      <c r="C78" s="34">
        <f t="shared" si="8"/>
        <v>41566.26721286228</v>
      </c>
      <c r="D78" s="9">
        <f t="shared" si="8"/>
        <v>0</v>
      </c>
      <c r="E78" s="9">
        <f t="shared" si="8"/>
        <v>0</v>
      </c>
      <c r="F78" s="9">
        <f t="shared" si="8"/>
        <v>0</v>
      </c>
      <c r="G78" s="9">
        <f t="shared" si="8"/>
        <v>0</v>
      </c>
      <c r="H78" s="34">
        <f t="shared" si="8"/>
        <v>-46762.050614470063</v>
      </c>
      <c r="I78" s="34">
        <f t="shared" si="8"/>
        <v>-41566.26721286228</v>
      </c>
      <c r="J78" s="9">
        <f t="shared" si="8"/>
        <v>0</v>
      </c>
      <c r="K78" s="9">
        <f t="shared" si="8"/>
        <v>0</v>
      </c>
      <c r="L78" s="9">
        <f t="shared" si="8"/>
        <v>0</v>
      </c>
      <c r="M78" s="9">
        <f t="shared" si="8"/>
        <v>0</v>
      </c>
      <c r="N78" s="32" t="s">
        <v>178</v>
      </c>
    </row>
    <row r="79" spans="1:14" ht="19.05" customHeight="1" x14ac:dyDescent="0.3">
      <c r="B79" s="34">
        <f t="shared" si="8"/>
        <v>41566.26721286228</v>
      </c>
      <c r="C79" s="34">
        <f t="shared" si="8"/>
        <v>36947.793078099799</v>
      </c>
      <c r="D79" s="9">
        <f t="shared" si="8"/>
        <v>0</v>
      </c>
      <c r="E79" s="9">
        <f t="shared" si="8"/>
        <v>0</v>
      </c>
      <c r="F79" s="9">
        <f t="shared" si="8"/>
        <v>0</v>
      </c>
      <c r="G79" s="9">
        <f t="shared" si="8"/>
        <v>0</v>
      </c>
      <c r="H79" s="34">
        <f t="shared" si="8"/>
        <v>-41566.26721286228</v>
      </c>
      <c r="I79" s="34">
        <f t="shared" si="8"/>
        <v>-36947.793078099799</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34">
        <f t="shared" si="8"/>
        <v>-46762.050614470063</v>
      </c>
      <c r="C84" s="34">
        <f t="shared" si="8"/>
        <v>-41566.26721286228</v>
      </c>
      <c r="D84" s="9">
        <f t="shared" si="8"/>
        <v>0</v>
      </c>
      <c r="E84" s="9">
        <f t="shared" si="8"/>
        <v>0</v>
      </c>
      <c r="F84" s="9">
        <f t="shared" si="8"/>
        <v>0</v>
      </c>
      <c r="G84" s="9">
        <f t="shared" si="8"/>
        <v>0</v>
      </c>
      <c r="H84" s="34">
        <f t="shared" si="8"/>
        <v>46762.050614470063</v>
      </c>
      <c r="I84" s="34">
        <f t="shared" si="8"/>
        <v>41566.26721286228</v>
      </c>
      <c r="J84" s="9">
        <f t="shared" si="8"/>
        <v>0</v>
      </c>
      <c r="K84" s="9">
        <f t="shared" si="8"/>
        <v>0</v>
      </c>
      <c r="L84" s="9">
        <f t="shared" si="8"/>
        <v>0</v>
      </c>
      <c r="M84" s="9">
        <f t="shared" si="8"/>
        <v>0</v>
      </c>
      <c r="N84" s="32" t="s">
        <v>184</v>
      </c>
    </row>
    <row r="85" spans="1:14" ht="19.05" customHeight="1" x14ac:dyDescent="0.3">
      <c r="B85" s="34">
        <f t="shared" si="8"/>
        <v>-41566.26721286228</v>
      </c>
      <c r="C85" s="34">
        <f t="shared" si="8"/>
        <v>-36947.793078099799</v>
      </c>
      <c r="D85" s="9">
        <f t="shared" si="8"/>
        <v>0</v>
      </c>
      <c r="E85" s="9">
        <f t="shared" si="8"/>
        <v>0</v>
      </c>
      <c r="F85" s="9">
        <f t="shared" si="8"/>
        <v>0</v>
      </c>
      <c r="G85" s="9">
        <f t="shared" si="8"/>
        <v>0</v>
      </c>
      <c r="H85" s="34">
        <f t="shared" si="8"/>
        <v>41566.26721286228</v>
      </c>
      <c r="I85" s="34">
        <f t="shared" si="8"/>
        <v>36947.793078099799</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U5X</v>
      </c>
      <c r="E92" s="45" t="str">
        <f>CONCATENATE("U",F21,F$17)</f>
        <v>U5Y</v>
      </c>
    </row>
    <row r="93" spans="1:14" x14ac:dyDescent="0.3">
      <c r="B93" s="46">
        <f>J9*J9*N9</f>
        <v>40940.043557728226</v>
      </c>
      <c r="C93" s="46">
        <f>J9*K9*N9</f>
        <v>40030.264812000925</v>
      </c>
      <c r="D93" s="46">
        <f>-B93</f>
        <v>-40940.043557728226</v>
      </c>
      <c r="E93" s="46">
        <f>-C93</f>
        <v>-40030.264812000925</v>
      </c>
      <c r="F93" s="45" t="str">
        <f>B92</f>
        <v>U4X</v>
      </c>
    </row>
    <row r="94" spans="1:14" ht="16.8" customHeight="1" x14ac:dyDescent="0.3">
      <c r="A94" s="28" t="s">
        <v>195</v>
      </c>
      <c r="B94" s="46">
        <f>C93</f>
        <v>40030.264812000925</v>
      </c>
      <c r="C94" s="46">
        <f>K9*K9*N9</f>
        <v>39140.703371734235</v>
      </c>
      <c r="D94" s="46">
        <f>-B94</f>
        <v>-40030.264812000925</v>
      </c>
      <c r="E94" s="46">
        <f>-C94</f>
        <v>-39140.703371734235</v>
      </c>
      <c r="F94" s="45" t="str">
        <f>C92</f>
        <v>U4Y</v>
      </c>
    </row>
    <row r="95" spans="1:14" x14ac:dyDescent="0.3">
      <c r="B95" s="46">
        <f>D93</f>
        <v>-40940.043557728226</v>
      </c>
      <c r="C95" s="46">
        <f>E93</f>
        <v>-40030.264812000925</v>
      </c>
      <c r="D95" s="46">
        <f>B93</f>
        <v>40940.043557728226</v>
      </c>
      <c r="E95" s="46">
        <f>C93</f>
        <v>40030.264812000925</v>
      </c>
      <c r="F95" s="45" t="str">
        <f>D92</f>
        <v>U5X</v>
      </c>
    </row>
    <row r="96" spans="1:14" x14ac:dyDescent="0.3">
      <c r="B96" s="46">
        <f>D94</f>
        <v>-40030.264812000925</v>
      </c>
      <c r="C96" s="46">
        <f>E94</f>
        <v>-39140.703371734235</v>
      </c>
      <c r="D96" s="46">
        <f>B94</f>
        <v>40030.264812000925</v>
      </c>
      <c r="E96" s="46">
        <f>C94</f>
        <v>39140.703371734235</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47">
        <f t="shared" si="9"/>
        <v>40940.043557728226</v>
      </c>
      <c r="I105" s="47">
        <f t="shared" si="9"/>
        <v>40030.264812000925</v>
      </c>
      <c r="J105" s="47">
        <f t="shared" si="9"/>
        <v>-40940.043557728226</v>
      </c>
      <c r="K105" s="47">
        <f t="shared" si="9"/>
        <v>-40030.264812000925</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47">
        <f t="shared" si="9"/>
        <v>40030.264812000925</v>
      </c>
      <c r="I106" s="47">
        <f t="shared" si="9"/>
        <v>39140.703371734235</v>
      </c>
      <c r="J106" s="47">
        <f t="shared" si="9"/>
        <v>-40030.264812000925</v>
      </c>
      <c r="K106" s="47">
        <f t="shared" si="9"/>
        <v>-39140.703371734235</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47">
        <f t="shared" si="9"/>
        <v>-40940.043557728226</v>
      </c>
      <c r="I107" s="47">
        <f t="shared" si="9"/>
        <v>-40030.264812000925</v>
      </c>
      <c r="J107" s="47">
        <f t="shared" si="9"/>
        <v>40940.043557728226</v>
      </c>
      <c r="K107" s="47">
        <f t="shared" si="9"/>
        <v>40030.264812000925</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47">
        <f t="shared" si="9"/>
        <v>-40030.264812000925</v>
      </c>
      <c r="I108" s="47">
        <f t="shared" si="9"/>
        <v>-39140.703371734235</v>
      </c>
      <c r="J108" s="47">
        <f t="shared" si="9"/>
        <v>40030.264812000925</v>
      </c>
      <c r="K108" s="47">
        <f t="shared" si="9"/>
        <v>39140.703371734235</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40940.043557728226</v>
      </c>
      <c r="C114" s="49">
        <f>J10*K10*N10</f>
        <v>-40030.264812000925</v>
      </c>
      <c r="D114" s="49">
        <f>-B114</f>
        <v>-40940.043557728226</v>
      </c>
      <c r="E114" s="49">
        <f>-C114</f>
        <v>40030.264812000925</v>
      </c>
      <c r="F114" s="48" t="str">
        <f>B113</f>
        <v>U5X</v>
      </c>
    </row>
    <row r="115" spans="1:14" ht="16.8" customHeight="1" x14ac:dyDescent="0.3">
      <c r="A115" s="28" t="s">
        <v>197</v>
      </c>
      <c r="B115" s="49">
        <f>C114</f>
        <v>-40030.264812000925</v>
      </c>
      <c r="C115" s="49">
        <f>K10*K10*N10</f>
        <v>39140.703371734235</v>
      </c>
      <c r="D115" s="49">
        <f>-B115</f>
        <v>40030.264812000925</v>
      </c>
      <c r="E115" s="49">
        <f>-C115</f>
        <v>-39140.703371734235</v>
      </c>
      <c r="F115" s="48" t="str">
        <f>C113</f>
        <v>U5Y</v>
      </c>
    </row>
    <row r="116" spans="1:14" x14ac:dyDescent="0.3">
      <c r="B116" s="49">
        <f>D114</f>
        <v>-40940.043557728226</v>
      </c>
      <c r="C116" s="49">
        <f>E114</f>
        <v>40030.264812000925</v>
      </c>
      <c r="D116" s="49">
        <f>B114</f>
        <v>40940.043557728226</v>
      </c>
      <c r="E116" s="49">
        <f>C114</f>
        <v>-40030.264812000925</v>
      </c>
      <c r="F116" s="48" t="str">
        <f>D113</f>
        <v>U6X</v>
      </c>
    </row>
    <row r="117" spans="1:14" x14ac:dyDescent="0.3">
      <c r="B117" s="49">
        <f>D115</f>
        <v>40030.264812000925</v>
      </c>
      <c r="C117" s="49">
        <f>E115</f>
        <v>-39140.703371734235</v>
      </c>
      <c r="D117" s="49">
        <f>B115</f>
        <v>-40030.264812000925</v>
      </c>
      <c r="E117" s="49">
        <f>C115</f>
        <v>39140.703371734235</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40940.043557728226</v>
      </c>
      <c r="K128" s="50">
        <f t="shared" si="10"/>
        <v>-40030.264812000925</v>
      </c>
      <c r="L128" s="50">
        <f t="shared" si="10"/>
        <v>-40940.043557728226</v>
      </c>
      <c r="M128" s="50">
        <f t="shared" si="10"/>
        <v>40030.264812000925</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-40030.264812000925</v>
      </c>
      <c r="K129" s="50">
        <f t="shared" si="10"/>
        <v>39140.703371734235</v>
      </c>
      <c r="L129" s="50">
        <f t="shared" si="10"/>
        <v>40030.264812000925</v>
      </c>
      <c r="M129" s="50">
        <f t="shared" si="10"/>
        <v>-39140.703371734235</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-40940.043557728226</v>
      </c>
      <c r="K130" s="50">
        <f t="shared" si="10"/>
        <v>40030.264812000925</v>
      </c>
      <c r="L130" s="50">
        <f t="shared" si="10"/>
        <v>40940.043557728226</v>
      </c>
      <c r="M130" s="50">
        <f t="shared" si="10"/>
        <v>-40030.264812000925</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40030.264812000925</v>
      </c>
      <c r="K131" s="50">
        <f t="shared" si="10"/>
        <v>-39140.703371734235</v>
      </c>
      <c r="L131" s="50">
        <f t="shared" si="10"/>
        <v>-40030.264812000925</v>
      </c>
      <c r="M131" s="50">
        <f t="shared" si="10"/>
        <v>39140.703371734235</v>
      </c>
      <c r="N131" s="48" t="s">
        <v>189</v>
      </c>
    </row>
    <row r="134" spans="1:14" ht="18" customHeight="1" x14ac:dyDescent="0.3">
      <c r="B134" s="53" t="str">
        <f>CONCATENATE("U",C23,C$17)</f>
        <v>U6X</v>
      </c>
      <c r="C134" s="53" t="str">
        <f>CONCATENATE("U",D23,D$17)</f>
        <v>U6Y</v>
      </c>
      <c r="D134" s="53" t="str">
        <f>CONCATENATE("U",E23,E$17)</f>
        <v>U3X</v>
      </c>
      <c r="E134" s="53" t="str">
        <f>CONCATENATE("U",F23,F$17)</f>
        <v>U3Y</v>
      </c>
    </row>
    <row r="135" spans="1:14" x14ac:dyDescent="0.3">
      <c r="B135" s="54">
        <f>J11*J11*N11</f>
        <v>46762.050614470063</v>
      </c>
      <c r="C135" s="54">
        <f>J11*K11*N11</f>
        <v>-41566.26721286228</v>
      </c>
      <c r="D135" s="54">
        <f>-B135</f>
        <v>-46762.050614470063</v>
      </c>
      <c r="E135" s="54">
        <f>-C135</f>
        <v>41566.26721286228</v>
      </c>
      <c r="F135" s="53" t="str">
        <f>B134</f>
        <v>U6X</v>
      </c>
    </row>
    <row r="136" spans="1:14" ht="16.8" customHeight="1" x14ac:dyDescent="0.3">
      <c r="A136" s="28" t="s">
        <v>199</v>
      </c>
      <c r="B136" s="54">
        <f>C135</f>
        <v>-41566.26721286228</v>
      </c>
      <c r="C136" s="54">
        <f>K11*K11*N11</f>
        <v>36947.793078099799</v>
      </c>
      <c r="D136" s="54">
        <f>-B136</f>
        <v>41566.26721286228</v>
      </c>
      <c r="E136" s="54">
        <f>-C136</f>
        <v>-36947.793078099799</v>
      </c>
      <c r="F136" s="53" t="str">
        <f>C134</f>
        <v>U6Y</v>
      </c>
    </row>
    <row r="137" spans="1:14" x14ac:dyDescent="0.3">
      <c r="B137" s="54">
        <f>D135</f>
        <v>-46762.050614470063</v>
      </c>
      <c r="C137" s="54">
        <f>E135</f>
        <v>41566.26721286228</v>
      </c>
      <c r="D137" s="54">
        <f>B135</f>
        <v>46762.050614470063</v>
      </c>
      <c r="E137" s="54">
        <f>C135</f>
        <v>-41566.26721286228</v>
      </c>
      <c r="F137" s="53" t="str">
        <f>D134</f>
        <v>U3X</v>
      </c>
    </row>
    <row r="138" spans="1:14" x14ac:dyDescent="0.3">
      <c r="B138" s="54">
        <f>D136</f>
        <v>41566.26721286228</v>
      </c>
      <c r="C138" s="54">
        <f>E136</f>
        <v>-36947.793078099799</v>
      </c>
      <c r="D138" s="54">
        <f>B136</f>
        <v>-41566.26721286228</v>
      </c>
      <c r="E138" s="54">
        <f>C136</f>
        <v>36947.793078099799</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46762.050614470063</v>
      </c>
      <c r="G145" s="55">
        <f t="shared" si="11"/>
        <v>-41566.26721286228</v>
      </c>
      <c r="H145" s="9">
        <f t="shared" si="11"/>
        <v>0</v>
      </c>
      <c r="I145" s="9">
        <f t="shared" si="11"/>
        <v>0</v>
      </c>
      <c r="J145" s="9">
        <f t="shared" si="11"/>
        <v>0</v>
      </c>
      <c r="K145" s="9">
        <f t="shared" si="11"/>
        <v>0</v>
      </c>
      <c r="L145" s="55">
        <f t="shared" si="11"/>
        <v>-46762.050614470063</v>
      </c>
      <c r="M145" s="55">
        <f t="shared" si="11"/>
        <v>41566.26721286228</v>
      </c>
      <c r="N145" s="53" t="s">
        <v>182</v>
      </c>
    </row>
    <row r="146" spans="1:14" ht="19.05" customHeight="1" x14ac:dyDescent="0.3">
      <c r="A146" s="28" t="s">
        <v>200</v>
      </c>
      <c r="B146" s="9">
        <f t="shared" si="11"/>
        <v>0</v>
      </c>
      <c r="C146" s="9">
        <f t="shared" si="11"/>
        <v>0</v>
      </c>
      <c r="D146" s="9">
        <f t="shared" si="11"/>
        <v>0</v>
      </c>
      <c r="E146" s="9">
        <f t="shared" si="11"/>
        <v>0</v>
      </c>
      <c r="F146" s="55">
        <f t="shared" si="11"/>
        <v>-41566.26721286228</v>
      </c>
      <c r="G146" s="55">
        <f t="shared" si="11"/>
        <v>36947.793078099799</v>
      </c>
      <c r="H146" s="9">
        <f t="shared" si="11"/>
        <v>0</v>
      </c>
      <c r="I146" s="9">
        <f t="shared" si="11"/>
        <v>0</v>
      </c>
      <c r="J146" s="9">
        <f t="shared" si="11"/>
        <v>0</v>
      </c>
      <c r="K146" s="9">
        <f t="shared" si="11"/>
        <v>0</v>
      </c>
      <c r="L146" s="55">
        <f t="shared" si="11"/>
        <v>41566.26721286228</v>
      </c>
      <c r="M146" s="55">
        <f t="shared" si="11"/>
        <v>-36947.793078099799</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-46762.050614470063</v>
      </c>
      <c r="G151" s="55">
        <f t="shared" si="11"/>
        <v>41566.26721286228</v>
      </c>
      <c r="H151" s="9">
        <f t="shared" si="11"/>
        <v>0</v>
      </c>
      <c r="I151" s="9">
        <f t="shared" si="11"/>
        <v>0</v>
      </c>
      <c r="J151" s="9">
        <f t="shared" si="11"/>
        <v>0</v>
      </c>
      <c r="K151" s="9">
        <f t="shared" si="11"/>
        <v>0</v>
      </c>
      <c r="L151" s="55">
        <f t="shared" si="11"/>
        <v>46762.050614470063</v>
      </c>
      <c r="M151" s="55">
        <f t="shared" si="11"/>
        <v>-41566.26721286228</v>
      </c>
      <c r="N151" s="53" t="s">
        <v>188</v>
      </c>
    </row>
    <row r="152" spans="1:14" ht="19.05" customHeight="1" x14ac:dyDescent="0.3">
      <c r="B152" s="9">
        <f t="shared" si="11"/>
        <v>0</v>
      </c>
      <c r="C152" s="9">
        <f t="shared" si="11"/>
        <v>0</v>
      </c>
      <c r="D152" s="9">
        <f t="shared" si="11"/>
        <v>0</v>
      </c>
      <c r="E152" s="9">
        <f t="shared" si="11"/>
        <v>0</v>
      </c>
      <c r="F152" s="55">
        <f t="shared" si="11"/>
        <v>41566.26721286228</v>
      </c>
      <c r="G152" s="55">
        <f t="shared" si="11"/>
        <v>-36947.793078099799</v>
      </c>
      <c r="H152" s="9">
        <f t="shared" si="11"/>
        <v>0</v>
      </c>
      <c r="I152" s="9">
        <f t="shared" si="11"/>
        <v>0</v>
      </c>
      <c r="J152" s="9">
        <f t="shared" si="11"/>
        <v>0</v>
      </c>
      <c r="K152" s="9">
        <f t="shared" si="11"/>
        <v>0</v>
      </c>
      <c r="L152" s="55">
        <f t="shared" si="11"/>
        <v>-41566.26721286228</v>
      </c>
      <c r="M152" s="55">
        <f t="shared" si="11"/>
        <v>36947.793078099799</v>
      </c>
      <c r="N152" s="53" t="s">
        <v>189</v>
      </c>
    </row>
    <row r="155" spans="1:14" ht="18" customHeight="1" x14ac:dyDescent="0.3">
      <c r="B155" s="56" t="str">
        <f>CONCATENATE("U",C24,C$17)</f>
        <v>U2X</v>
      </c>
      <c r="C155" s="56" t="str">
        <f>CONCATENATE("U",D24,D$17)</f>
        <v>U2Y</v>
      </c>
      <c r="D155" s="56" t="str">
        <f>CONCATENATE("U",E24,E$17)</f>
        <v>U4X</v>
      </c>
      <c r="E155" s="56" t="str">
        <f>CONCATENATE("U",F24,F$17)</f>
        <v>U4Y</v>
      </c>
    </row>
    <row r="156" spans="1:14" x14ac:dyDescent="0.3">
      <c r="B156" s="57">
        <f>J12*J12*N12</f>
        <v>46762.050614470063</v>
      </c>
      <c r="C156" s="57">
        <f>J12*K12*N12</f>
        <v>-41566.26721286228</v>
      </c>
      <c r="D156" s="57">
        <f>-B156</f>
        <v>-46762.050614470063</v>
      </c>
      <c r="E156" s="57">
        <f>-C156</f>
        <v>41566.26721286228</v>
      </c>
      <c r="F156" s="56" t="str">
        <f>B155</f>
        <v>U2X</v>
      </c>
    </row>
    <row r="157" spans="1:14" ht="16.8" customHeight="1" x14ac:dyDescent="0.3">
      <c r="A157" s="28" t="s">
        <v>201</v>
      </c>
      <c r="B157" s="57">
        <f>C156</f>
        <v>-41566.26721286228</v>
      </c>
      <c r="C157" s="57">
        <f>K12*K12*N12</f>
        <v>36947.793078099799</v>
      </c>
      <c r="D157" s="57">
        <f>-B157</f>
        <v>41566.26721286228</v>
      </c>
      <c r="E157" s="57">
        <f>-C157</f>
        <v>-36947.793078099799</v>
      </c>
      <c r="F157" s="56" t="str">
        <f>C155</f>
        <v>U2Y</v>
      </c>
    </row>
    <row r="158" spans="1:14" x14ac:dyDescent="0.3">
      <c r="B158" s="57">
        <f>D156</f>
        <v>-46762.050614470063</v>
      </c>
      <c r="C158" s="57">
        <f>E156</f>
        <v>41566.26721286228</v>
      </c>
      <c r="D158" s="57">
        <f>B156</f>
        <v>46762.050614470063</v>
      </c>
      <c r="E158" s="57">
        <f>C156</f>
        <v>-41566.26721286228</v>
      </c>
      <c r="F158" s="56" t="str">
        <f>D155</f>
        <v>U4X</v>
      </c>
    </row>
    <row r="159" spans="1:14" x14ac:dyDescent="0.3">
      <c r="B159" s="57">
        <f>D157</f>
        <v>41566.26721286228</v>
      </c>
      <c r="C159" s="57">
        <f>E157</f>
        <v>-36947.793078099799</v>
      </c>
      <c r="D159" s="57">
        <f>B157</f>
        <v>-41566.26721286228</v>
      </c>
      <c r="E159" s="57">
        <f>C157</f>
        <v>36947.793078099799</v>
      </c>
      <c r="F159" s="56" t="str">
        <f>E155</f>
        <v>U4Y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46762.050614470063</v>
      </c>
      <c r="E164" s="58">
        <f t="shared" si="12"/>
        <v>-41566.26721286228</v>
      </c>
      <c r="F164" s="9">
        <f t="shared" si="12"/>
        <v>0</v>
      </c>
      <c r="G164" s="9">
        <f t="shared" si="12"/>
        <v>0</v>
      </c>
      <c r="H164" s="58">
        <f t="shared" si="12"/>
        <v>-46762.050614470063</v>
      </c>
      <c r="I164" s="58">
        <f t="shared" si="12"/>
        <v>41566.26721286228</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-41566.26721286228</v>
      </c>
      <c r="E165" s="58">
        <f t="shared" si="12"/>
        <v>36947.793078099799</v>
      </c>
      <c r="F165" s="9">
        <f t="shared" si="12"/>
        <v>0</v>
      </c>
      <c r="G165" s="9">
        <f t="shared" si="12"/>
        <v>0</v>
      </c>
      <c r="H165" s="58">
        <f t="shared" si="12"/>
        <v>41566.26721286228</v>
      </c>
      <c r="I165" s="58">
        <f t="shared" si="12"/>
        <v>-36947.793078099799</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58">
        <f t="shared" si="12"/>
        <v>-46762.050614470063</v>
      </c>
      <c r="E168" s="58">
        <f t="shared" si="12"/>
        <v>41566.26721286228</v>
      </c>
      <c r="F168" s="9">
        <f t="shared" si="12"/>
        <v>0</v>
      </c>
      <c r="G168" s="9">
        <f t="shared" si="12"/>
        <v>0</v>
      </c>
      <c r="H168" s="58">
        <f t="shared" si="12"/>
        <v>46762.050614470063</v>
      </c>
      <c r="I168" s="58">
        <f t="shared" si="12"/>
        <v>-41566.26721286228</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58">
        <f t="shared" si="12"/>
        <v>41566.26721286228</v>
      </c>
      <c r="E169" s="58">
        <f t="shared" si="12"/>
        <v>-36947.793078099799</v>
      </c>
      <c r="F169" s="9">
        <f t="shared" si="12"/>
        <v>0</v>
      </c>
      <c r="G169" s="9">
        <f t="shared" si="12"/>
        <v>0</v>
      </c>
      <c r="H169" s="58">
        <f t="shared" si="12"/>
        <v>-41566.26721286228</v>
      </c>
      <c r="I169" s="58">
        <f t="shared" si="12"/>
        <v>36947.793078099799</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U2X</v>
      </c>
      <c r="C176" s="61" t="str">
        <f>CONCATENATE("U",D25,D$17)</f>
        <v>U2Y</v>
      </c>
      <c r="D176" s="61" t="str">
        <f>CONCATENATE("U",E25,E$17)</f>
        <v>U5X</v>
      </c>
      <c r="E176" s="61" t="str">
        <f>CONCATENATE("U",F25,F$17)</f>
        <v>U5Y</v>
      </c>
    </row>
    <row r="177" spans="1:14" x14ac:dyDescent="0.3">
      <c r="B177" s="62">
        <f>J13*J13*N13</f>
        <v>0</v>
      </c>
      <c r="C177" s="62">
        <f>J13*K13*N13</f>
        <v>0</v>
      </c>
      <c r="D177" s="62">
        <f>-B177</f>
        <v>0</v>
      </c>
      <c r="E177" s="62">
        <f>-C177</f>
        <v>0</v>
      </c>
      <c r="F177" s="61" t="str">
        <f>B176</f>
        <v>U2X</v>
      </c>
    </row>
    <row r="178" spans="1:14" ht="16.8" customHeight="1" x14ac:dyDescent="0.3">
      <c r="A178" s="28" t="s">
        <v>203</v>
      </c>
      <c r="B178" s="62">
        <f>C177</f>
        <v>0</v>
      </c>
      <c r="C178" s="62">
        <f>K13*K13*N13</f>
        <v>60000</v>
      </c>
      <c r="D178" s="62">
        <f>-B178</f>
        <v>0</v>
      </c>
      <c r="E178" s="62">
        <f>-C178</f>
        <v>-60000</v>
      </c>
      <c r="F178" s="61" t="str">
        <f>C176</f>
        <v>U2Y</v>
      </c>
    </row>
    <row r="179" spans="1:14" x14ac:dyDescent="0.3">
      <c r="B179" s="62">
        <f>D177</f>
        <v>0</v>
      </c>
      <c r="C179" s="62">
        <f>E177</f>
        <v>0</v>
      </c>
      <c r="D179" s="62">
        <f>B177</f>
        <v>0</v>
      </c>
      <c r="E179" s="62">
        <f>C177</f>
        <v>0</v>
      </c>
      <c r="F179" s="61" t="str">
        <f>D176</f>
        <v>U5X</v>
      </c>
    </row>
    <row r="180" spans="1:14" x14ac:dyDescent="0.3">
      <c r="B180" s="62">
        <f>D178</f>
        <v>0</v>
      </c>
      <c r="C180" s="62">
        <f>E178</f>
        <v>-60000</v>
      </c>
      <c r="D180" s="62">
        <f>B178</f>
        <v>0</v>
      </c>
      <c r="E180" s="62">
        <f>C178</f>
        <v>60000</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0</v>
      </c>
      <c r="E185" s="63">
        <f t="shared" si="13"/>
        <v>0</v>
      </c>
      <c r="F185" s="9">
        <f t="shared" si="13"/>
        <v>0</v>
      </c>
      <c r="G185" s="9">
        <f t="shared" si="13"/>
        <v>0</v>
      </c>
      <c r="H185" s="9">
        <f t="shared" si="13"/>
        <v>0</v>
      </c>
      <c r="I185" s="9">
        <f t="shared" si="13"/>
        <v>0</v>
      </c>
      <c r="J185" s="63">
        <f t="shared" si="13"/>
        <v>0</v>
      </c>
      <c r="K185" s="63">
        <f t="shared" si="13"/>
        <v>0</v>
      </c>
      <c r="L185" s="9">
        <f t="shared" si="13"/>
        <v>0</v>
      </c>
      <c r="M185" s="9">
        <f t="shared" si="13"/>
        <v>0</v>
      </c>
      <c r="N185" s="61" t="s">
        <v>180</v>
      </c>
    </row>
    <row r="186" spans="1:14" ht="19.05" customHeight="1" x14ac:dyDescent="0.3">
      <c r="B186" s="9">
        <f t="shared" si="13"/>
        <v>0</v>
      </c>
      <c r="C186" s="9">
        <f t="shared" si="13"/>
        <v>0</v>
      </c>
      <c r="D186" s="63">
        <f t="shared" si="13"/>
        <v>0</v>
      </c>
      <c r="E186" s="63">
        <f t="shared" si="13"/>
        <v>60000</v>
      </c>
      <c r="F186" s="9">
        <f t="shared" si="13"/>
        <v>0</v>
      </c>
      <c r="G186" s="9">
        <f t="shared" si="13"/>
        <v>0</v>
      </c>
      <c r="H186" s="9">
        <f t="shared" si="13"/>
        <v>0</v>
      </c>
      <c r="I186" s="9">
        <f t="shared" si="13"/>
        <v>0</v>
      </c>
      <c r="J186" s="63">
        <f t="shared" si="13"/>
        <v>0</v>
      </c>
      <c r="K186" s="63">
        <f t="shared" si="13"/>
        <v>-60000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63">
        <f t="shared" si="13"/>
        <v>0</v>
      </c>
      <c r="E191" s="63">
        <f t="shared" si="13"/>
        <v>0</v>
      </c>
      <c r="F191" s="9">
        <f t="shared" si="13"/>
        <v>0</v>
      </c>
      <c r="G191" s="9">
        <f t="shared" si="13"/>
        <v>0</v>
      </c>
      <c r="H191" s="9">
        <f t="shared" si="13"/>
        <v>0</v>
      </c>
      <c r="I191" s="9">
        <f t="shared" si="13"/>
        <v>0</v>
      </c>
      <c r="J191" s="63">
        <f t="shared" si="13"/>
        <v>0</v>
      </c>
      <c r="K191" s="63">
        <f t="shared" si="13"/>
        <v>0</v>
      </c>
      <c r="L191" s="9">
        <f t="shared" si="13"/>
        <v>0</v>
      </c>
      <c r="M191" s="9">
        <f t="shared" si="13"/>
        <v>0</v>
      </c>
      <c r="N191" s="61" t="s">
        <v>186</v>
      </c>
    </row>
    <row r="192" spans="1:14" ht="19.05" customHeight="1" x14ac:dyDescent="0.3">
      <c r="B192" s="9">
        <f t="shared" si="13"/>
        <v>0</v>
      </c>
      <c r="C192" s="9">
        <f t="shared" si="13"/>
        <v>0</v>
      </c>
      <c r="D192" s="63">
        <f t="shared" si="13"/>
        <v>0</v>
      </c>
      <c r="E192" s="63">
        <f t="shared" si="13"/>
        <v>-60000</v>
      </c>
      <c r="F192" s="9">
        <f t="shared" si="13"/>
        <v>0</v>
      </c>
      <c r="G192" s="9">
        <f t="shared" si="13"/>
        <v>0</v>
      </c>
      <c r="H192" s="9">
        <f t="shared" si="13"/>
        <v>0</v>
      </c>
      <c r="I192" s="9">
        <f t="shared" si="13"/>
        <v>0</v>
      </c>
      <c r="J192" s="63">
        <f t="shared" si="13"/>
        <v>0</v>
      </c>
      <c r="K192" s="63">
        <f t="shared" si="13"/>
        <v>60000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46762.050614470063</v>
      </c>
      <c r="C198" s="65">
        <f>J14*K14*N14</f>
        <v>41566.26721286228</v>
      </c>
      <c r="D198" s="65">
        <f>-B198</f>
        <v>-46762.050614470063</v>
      </c>
      <c r="E198" s="65">
        <f>-C198</f>
        <v>-41566.26721286228</v>
      </c>
      <c r="F198" s="64" t="str">
        <f>B197</f>
        <v>U2X</v>
      </c>
    </row>
    <row r="199" spans="1:14" ht="16.8" customHeight="1" x14ac:dyDescent="0.3">
      <c r="A199" s="28" t="s">
        <v>528</v>
      </c>
      <c r="B199" s="65">
        <f>C198</f>
        <v>41566.26721286228</v>
      </c>
      <c r="C199" s="65">
        <f>K14*K14*N14</f>
        <v>36947.793078099799</v>
      </c>
      <c r="D199" s="65">
        <f>-B199</f>
        <v>-41566.26721286228</v>
      </c>
      <c r="E199" s="65">
        <f>-C199</f>
        <v>-36947.793078099799</v>
      </c>
      <c r="F199" s="64" t="str">
        <f>C197</f>
        <v>U2Y</v>
      </c>
    </row>
    <row r="200" spans="1:14" x14ac:dyDescent="0.3">
      <c r="B200" s="65">
        <f>D198</f>
        <v>-46762.050614470063</v>
      </c>
      <c r="C200" s="65">
        <f>E198</f>
        <v>-41566.26721286228</v>
      </c>
      <c r="D200" s="65">
        <f>B198</f>
        <v>46762.050614470063</v>
      </c>
      <c r="E200" s="65">
        <f>C198</f>
        <v>41566.26721286228</v>
      </c>
      <c r="F200" s="64" t="str">
        <f>D197</f>
        <v>U6X</v>
      </c>
    </row>
    <row r="201" spans="1:14" x14ac:dyDescent="0.3">
      <c r="B201" s="65">
        <f>D199</f>
        <v>-41566.26721286228</v>
      </c>
      <c r="C201" s="65">
        <f>E199</f>
        <v>-36947.793078099799</v>
      </c>
      <c r="D201" s="65">
        <f>B199</f>
        <v>41566.26721286228</v>
      </c>
      <c r="E201" s="65">
        <f>C199</f>
        <v>36947.793078099799</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46762.050614470063</v>
      </c>
      <c r="E206" s="66">
        <f t="shared" si="14"/>
        <v>41566.26721286228</v>
      </c>
      <c r="F206" s="9">
        <f t="shared" si="14"/>
        <v>0</v>
      </c>
      <c r="G206" s="9">
        <f t="shared" si="14"/>
        <v>0</v>
      </c>
      <c r="H206" s="9">
        <f t="shared" si="14"/>
        <v>0</v>
      </c>
      <c r="I206" s="9">
        <f t="shared" si="14"/>
        <v>0</v>
      </c>
      <c r="J206" s="9">
        <f t="shared" si="14"/>
        <v>0</v>
      </c>
      <c r="K206" s="9">
        <f t="shared" si="14"/>
        <v>0</v>
      </c>
      <c r="L206" s="66">
        <f t="shared" si="14"/>
        <v>-46762.050614470063</v>
      </c>
      <c r="M206" s="66">
        <f t="shared" si="14"/>
        <v>-41566.26721286228</v>
      </c>
      <c r="N206" s="64" t="s">
        <v>180</v>
      </c>
    </row>
    <row r="207" spans="1:14" ht="19.05" customHeight="1" x14ac:dyDescent="0.3">
      <c r="B207" s="9">
        <f t="shared" si="14"/>
        <v>0</v>
      </c>
      <c r="C207" s="9">
        <f t="shared" si="14"/>
        <v>0</v>
      </c>
      <c r="D207" s="66">
        <f t="shared" si="14"/>
        <v>41566.26721286228</v>
      </c>
      <c r="E207" s="66">
        <f t="shared" si="14"/>
        <v>36947.793078099799</v>
      </c>
      <c r="F207" s="9">
        <f t="shared" si="14"/>
        <v>0</v>
      </c>
      <c r="G207" s="9">
        <f t="shared" si="14"/>
        <v>0</v>
      </c>
      <c r="H207" s="9">
        <f t="shared" si="14"/>
        <v>0</v>
      </c>
      <c r="I207" s="9">
        <f t="shared" si="14"/>
        <v>0</v>
      </c>
      <c r="J207" s="9">
        <f t="shared" si="14"/>
        <v>0</v>
      </c>
      <c r="K207" s="9">
        <f t="shared" si="14"/>
        <v>0</v>
      </c>
      <c r="L207" s="66">
        <f t="shared" si="14"/>
        <v>-41566.26721286228</v>
      </c>
      <c r="M207" s="66">
        <f t="shared" si="14"/>
        <v>-36947.793078099799</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-46762.050614470063</v>
      </c>
      <c r="E214" s="66">
        <f t="shared" si="14"/>
        <v>-41566.26721286228</v>
      </c>
      <c r="F214" s="9">
        <f t="shared" si="14"/>
        <v>0</v>
      </c>
      <c r="G214" s="9">
        <f t="shared" si="14"/>
        <v>0</v>
      </c>
      <c r="H214" s="9">
        <f t="shared" si="14"/>
        <v>0</v>
      </c>
      <c r="I214" s="9">
        <f t="shared" si="14"/>
        <v>0</v>
      </c>
      <c r="J214" s="9">
        <f t="shared" si="14"/>
        <v>0</v>
      </c>
      <c r="K214" s="9">
        <f t="shared" si="14"/>
        <v>0</v>
      </c>
      <c r="L214" s="66">
        <f t="shared" si="14"/>
        <v>46762.050614470063</v>
      </c>
      <c r="M214" s="66">
        <f t="shared" si="14"/>
        <v>41566.26721286228</v>
      </c>
      <c r="N214" s="64" t="s">
        <v>188</v>
      </c>
    </row>
    <row r="215" spans="1:14" ht="19.05" customHeight="1" x14ac:dyDescent="0.3">
      <c r="B215" s="9">
        <f t="shared" si="14"/>
        <v>0</v>
      </c>
      <c r="C215" s="9">
        <f t="shared" si="14"/>
        <v>0</v>
      </c>
      <c r="D215" s="66">
        <f t="shared" si="14"/>
        <v>-41566.26721286228</v>
      </c>
      <c r="E215" s="66">
        <f t="shared" si="14"/>
        <v>-36947.793078099799</v>
      </c>
      <c r="F215" s="9">
        <f t="shared" si="14"/>
        <v>0</v>
      </c>
      <c r="G215" s="9">
        <f t="shared" si="14"/>
        <v>0</v>
      </c>
      <c r="H215" s="9">
        <f t="shared" si="14"/>
        <v>0</v>
      </c>
      <c r="I215" s="9">
        <f t="shared" si="14"/>
        <v>0</v>
      </c>
      <c r="J215" s="9">
        <f t="shared" si="14"/>
        <v>0</v>
      </c>
      <c r="K215" s="9">
        <f t="shared" si="14"/>
        <v>0</v>
      </c>
      <c r="L215" s="66">
        <f t="shared" si="14"/>
        <v>41566.26721286228</v>
      </c>
      <c r="M215" s="66">
        <f t="shared" si="14"/>
        <v>36947.793078099799</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102762.05061447006</v>
      </c>
      <c r="C219" s="36">
        <f t="shared" si="15"/>
        <v>41566.26721286228</v>
      </c>
      <c r="D219" s="9">
        <f t="shared" si="15"/>
        <v>-56000</v>
      </c>
      <c r="E219" s="9">
        <f t="shared" si="15"/>
        <v>0</v>
      </c>
      <c r="F219" s="9">
        <f t="shared" si="15"/>
        <v>0</v>
      </c>
      <c r="G219" s="9">
        <f t="shared" si="15"/>
        <v>0</v>
      </c>
      <c r="H219" s="9">
        <f t="shared" si="15"/>
        <v>-46762.050614470063</v>
      </c>
      <c r="I219" s="9">
        <f t="shared" si="15"/>
        <v>-41566.26721286228</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41566.26721286228</v>
      </c>
      <c r="C220" s="35">
        <f t="shared" si="16"/>
        <v>36947.793078099799</v>
      </c>
      <c r="D220" s="9">
        <f t="shared" si="16"/>
        <v>0</v>
      </c>
      <c r="E220" s="9">
        <f t="shared" si="16"/>
        <v>0</v>
      </c>
      <c r="F220" s="9">
        <f t="shared" si="16"/>
        <v>0</v>
      </c>
      <c r="G220" s="9">
        <f t="shared" si="16"/>
        <v>0</v>
      </c>
      <c r="H220" s="9">
        <f t="shared" si="16"/>
        <v>-41566.26721286228</v>
      </c>
      <c r="I220" s="9">
        <f t="shared" si="16"/>
        <v>-36947.793078099799</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-56000</v>
      </c>
      <c r="C221" s="9">
        <f t="shared" si="17"/>
        <v>0</v>
      </c>
      <c r="D221" s="35">
        <f t="shared" si="17"/>
        <v>205524.10122894013</v>
      </c>
      <c r="E221" s="36">
        <f t="shared" si="17"/>
        <v>0</v>
      </c>
      <c r="F221" s="9">
        <f t="shared" si="17"/>
        <v>-56000</v>
      </c>
      <c r="G221" s="9">
        <f t="shared" si="17"/>
        <v>0</v>
      </c>
      <c r="H221" s="9">
        <f t="shared" si="17"/>
        <v>-46762.050614470063</v>
      </c>
      <c r="I221" s="9">
        <f t="shared" si="17"/>
        <v>41566.26721286228</v>
      </c>
      <c r="J221" s="9">
        <f t="shared" si="17"/>
        <v>0</v>
      </c>
      <c r="K221" s="9">
        <f t="shared" si="17"/>
        <v>0</v>
      </c>
      <c r="L221" s="9">
        <f t="shared" si="17"/>
        <v>-46762.050614470063</v>
      </c>
      <c r="M221" s="9">
        <f t="shared" si="17"/>
        <v>-41566.26721286228</v>
      </c>
      <c r="N221" s="89" t="s">
        <v>180</v>
      </c>
    </row>
    <row r="222" spans="1:14" ht="19.95" customHeight="1" x14ac:dyDescent="0.3">
      <c r="B222" s="9">
        <f t="shared" ref="B222:M222" si="18">B39+B60+B81+B102+B123+B144+B165+B186+B207</f>
        <v>0</v>
      </c>
      <c r="C222" s="9">
        <f t="shared" si="18"/>
        <v>0</v>
      </c>
      <c r="D222" s="36">
        <f t="shared" si="18"/>
        <v>0</v>
      </c>
      <c r="E222" s="35">
        <f t="shared" si="18"/>
        <v>133895.5861561996</v>
      </c>
      <c r="F222" s="9">
        <f t="shared" si="18"/>
        <v>0</v>
      </c>
      <c r="G222" s="9">
        <f t="shared" si="18"/>
        <v>0</v>
      </c>
      <c r="H222" s="9">
        <f t="shared" si="18"/>
        <v>41566.26721286228</v>
      </c>
      <c r="I222" s="9">
        <f t="shared" si="18"/>
        <v>-36947.793078099799</v>
      </c>
      <c r="J222" s="9">
        <f t="shared" si="18"/>
        <v>0</v>
      </c>
      <c r="K222" s="9">
        <f t="shared" si="18"/>
        <v>-60000</v>
      </c>
      <c r="L222" s="9">
        <f t="shared" si="18"/>
        <v>-41566.26721286228</v>
      </c>
      <c r="M222" s="9">
        <f t="shared" si="18"/>
        <v>-36947.793078099799</v>
      </c>
      <c r="N222" s="89" t="s">
        <v>181</v>
      </c>
    </row>
    <row r="223" spans="1:14" ht="19.95" customHeight="1" x14ac:dyDescent="0.3">
      <c r="B223" s="9">
        <f t="shared" ref="B223:M223" si="19">B40+B61+B82+B103+B124+B145+B166+B187+B208</f>
        <v>0</v>
      </c>
      <c r="C223" s="9">
        <f t="shared" si="19"/>
        <v>0</v>
      </c>
      <c r="D223" s="9">
        <f t="shared" si="19"/>
        <v>-56000</v>
      </c>
      <c r="E223" s="9">
        <f t="shared" si="19"/>
        <v>0</v>
      </c>
      <c r="F223" s="35">
        <f t="shared" si="19"/>
        <v>102762.05061447006</v>
      </c>
      <c r="G223" s="36">
        <f t="shared" si="19"/>
        <v>-41566.26721286228</v>
      </c>
      <c r="H223" s="9">
        <f t="shared" si="19"/>
        <v>0</v>
      </c>
      <c r="I223" s="9">
        <f t="shared" si="19"/>
        <v>0</v>
      </c>
      <c r="J223" s="9">
        <f t="shared" si="19"/>
        <v>0</v>
      </c>
      <c r="K223" s="9">
        <f t="shared" si="19"/>
        <v>0</v>
      </c>
      <c r="L223" s="9">
        <f t="shared" si="19"/>
        <v>-46762.050614470063</v>
      </c>
      <c r="M223" s="9">
        <f t="shared" si="19"/>
        <v>41566.26721286228</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-41566.26721286228</v>
      </c>
      <c r="G224" s="35">
        <f t="shared" si="20"/>
        <v>36947.793078099799</v>
      </c>
      <c r="H224" s="9">
        <f t="shared" si="20"/>
        <v>0</v>
      </c>
      <c r="I224" s="9">
        <f t="shared" si="20"/>
        <v>0</v>
      </c>
      <c r="J224" s="9">
        <f t="shared" si="20"/>
        <v>0</v>
      </c>
      <c r="K224" s="9">
        <f t="shared" si="20"/>
        <v>0</v>
      </c>
      <c r="L224" s="9">
        <f t="shared" si="20"/>
        <v>41566.26721286228</v>
      </c>
      <c r="M224" s="9">
        <f t="shared" si="20"/>
        <v>-36947.793078099799</v>
      </c>
      <c r="N224" s="89" t="s">
        <v>183</v>
      </c>
    </row>
    <row r="225" spans="1:21" ht="19.95" customHeight="1" x14ac:dyDescent="0.3">
      <c r="B225" s="9">
        <f t="shared" ref="B225:M225" si="21">B42+B63+B84+B105+B126+B147+B168+B189+B210</f>
        <v>-46762.050614470063</v>
      </c>
      <c r="C225" s="9">
        <f t="shared" si="21"/>
        <v>-41566.26721286228</v>
      </c>
      <c r="D225" s="9">
        <f t="shared" si="21"/>
        <v>-46762.050614470063</v>
      </c>
      <c r="E225" s="9">
        <f t="shared" si="21"/>
        <v>41566.26721286228</v>
      </c>
      <c r="F225" s="9">
        <f t="shared" si="21"/>
        <v>0</v>
      </c>
      <c r="G225" s="9">
        <f t="shared" si="21"/>
        <v>0</v>
      </c>
      <c r="H225" s="35">
        <f t="shared" si="21"/>
        <v>134464.14478666836</v>
      </c>
      <c r="I225" s="36">
        <f t="shared" si="21"/>
        <v>40030.264812000925</v>
      </c>
      <c r="J225" s="9">
        <f t="shared" si="21"/>
        <v>-40940.043557728226</v>
      </c>
      <c r="K225" s="9">
        <f t="shared" si="21"/>
        <v>-40030.264812000925</v>
      </c>
      <c r="L225" s="9">
        <f t="shared" si="21"/>
        <v>0</v>
      </c>
      <c r="M225" s="9">
        <f t="shared" si="21"/>
        <v>0</v>
      </c>
      <c r="N225" s="89" t="s">
        <v>184</v>
      </c>
    </row>
    <row r="226" spans="1:21" ht="19.95" customHeight="1" x14ac:dyDescent="0.3">
      <c r="B226" s="9">
        <f t="shared" ref="B226:M226" si="22">B43+B64+B85+B106+B127+B148+B169+B190+B211</f>
        <v>-41566.26721286228</v>
      </c>
      <c r="C226" s="9">
        <f t="shared" si="22"/>
        <v>-36947.793078099799</v>
      </c>
      <c r="D226" s="9">
        <f t="shared" si="22"/>
        <v>41566.26721286228</v>
      </c>
      <c r="E226" s="9">
        <f t="shared" si="22"/>
        <v>-36947.793078099799</v>
      </c>
      <c r="F226" s="9">
        <f t="shared" si="22"/>
        <v>0</v>
      </c>
      <c r="G226" s="9">
        <f t="shared" si="22"/>
        <v>0</v>
      </c>
      <c r="H226" s="36">
        <f t="shared" si="22"/>
        <v>40030.264812000925</v>
      </c>
      <c r="I226" s="35">
        <f t="shared" si="22"/>
        <v>113036.28952793383</v>
      </c>
      <c r="J226" s="9">
        <f t="shared" si="22"/>
        <v>-40030.264812000925</v>
      </c>
      <c r="K226" s="9">
        <f t="shared" si="22"/>
        <v>-39140.703371734235</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0</v>
      </c>
      <c r="G227" s="9">
        <f t="shared" si="23"/>
        <v>0</v>
      </c>
      <c r="H227" s="9">
        <f t="shared" si="23"/>
        <v>-40940.043557728226</v>
      </c>
      <c r="I227" s="9">
        <f t="shared" si="23"/>
        <v>-40030.264812000925</v>
      </c>
      <c r="J227" s="35">
        <f t="shared" si="23"/>
        <v>81880.087115456452</v>
      </c>
      <c r="K227" s="36">
        <f t="shared" si="23"/>
        <v>0</v>
      </c>
      <c r="L227" s="9">
        <f t="shared" si="23"/>
        <v>-40940.043557728226</v>
      </c>
      <c r="M227" s="9">
        <f t="shared" si="23"/>
        <v>40030.264812000925</v>
      </c>
      <c r="N227" s="89" t="s">
        <v>186</v>
      </c>
    </row>
    <row r="228" spans="1:21" ht="19.95" customHeight="1" x14ac:dyDescent="0.3">
      <c r="B228" s="9">
        <f t="shared" ref="B228:M228" si="24">B45+B66+B87+B108+B129+B150+B171+B192+B213</f>
        <v>0</v>
      </c>
      <c r="C228" s="9">
        <f t="shared" si="24"/>
        <v>0</v>
      </c>
      <c r="D228" s="9">
        <f t="shared" si="24"/>
        <v>0</v>
      </c>
      <c r="E228" s="9">
        <f t="shared" si="24"/>
        <v>-60000</v>
      </c>
      <c r="F228" s="9">
        <f t="shared" si="24"/>
        <v>0</v>
      </c>
      <c r="G228" s="9">
        <f t="shared" si="24"/>
        <v>0</v>
      </c>
      <c r="H228" s="9">
        <f t="shared" si="24"/>
        <v>-40030.264812000925</v>
      </c>
      <c r="I228" s="9">
        <f t="shared" si="24"/>
        <v>-39140.703371734235</v>
      </c>
      <c r="J228" s="36">
        <f t="shared" si="24"/>
        <v>0</v>
      </c>
      <c r="K228" s="35">
        <f t="shared" si="24"/>
        <v>138281.40674346848</v>
      </c>
      <c r="L228" s="9">
        <f t="shared" si="24"/>
        <v>40030.264812000925</v>
      </c>
      <c r="M228" s="9">
        <f t="shared" si="24"/>
        <v>-39140.703371734235</v>
      </c>
      <c r="N228" s="89" t="s">
        <v>187</v>
      </c>
    </row>
    <row r="229" spans="1:21" ht="19.95" customHeight="1" x14ac:dyDescent="0.3">
      <c r="B229" s="9">
        <f t="shared" ref="B229:M229" si="25">B46+B67+B88+B109+B130+B151+B172+B193+B214</f>
        <v>0</v>
      </c>
      <c r="C229" s="9">
        <f t="shared" si="25"/>
        <v>0</v>
      </c>
      <c r="D229" s="9">
        <f t="shared" si="25"/>
        <v>-46762.050614470063</v>
      </c>
      <c r="E229" s="9">
        <f t="shared" si="25"/>
        <v>-41566.26721286228</v>
      </c>
      <c r="F229" s="9">
        <f t="shared" si="25"/>
        <v>-46762.050614470063</v>
      </c>
      <c r="G229" s="9">
        <f t="shared" si="25"/>
        <v>41566.26721286228</v>
      </c>
      <c r="H229" s="9">
        <f t="shared" si="25"/>
        <v>0</v>
      </c>
      <c r="I229" s="9">
        <f t="shared" si="25"/>
        <v>0</v>
      </c>
      <c r="J229" s="9">
        <f t="shared" si="25"/>
        <v>-40940.043557728226</v>
      </c>
      <c r="K229" s="9">
        <f t="shared" si="25"/>
        <v>40030.264812000925</v>
      </c>
      <c r="L229" s="35">
        <f t="shared" si="25"/>
        <v>134464.14478666836</v>
      </c>
      <c r="M229" s="36">
        <f t="shared" si="25"/>
        <v>-40030.264812000925</v>
      </c>
      <c r="N229" s="89" t="s">
        <v>188</v>
      </c>
    </row>
    <row r="230" spans="1:21" ht="19.95" customHeight="1" x14ac:dyDescent="0.3">
      <c r="B230" s="9">
        <f t="shared" ref="B230:M230" si="26">B47+B68+B89+B110+B131+B152+B173+B194+B215</f>
        <v>0</v>
      </c>
      <c r="C230" s="9">
        <f t="shared" si="26"/>
        <v>0</v>
      </c>
      <c r="D230" s="9">
        <f t="shared" si="26"/>
        <v>-41566.26721286228</v>
      </c>
      <c r="E230" s="9">
        <f t="shared" si="26"/>
        <v>-36947.793078099799</v>
      </c>
      <c r="F230" s="9">
        <f t="shared" si="26"/>
        <v>41566.26721286228</v>
      </c>
      <c r="G230" s="9">
        <f t="shared" si="26"/>
        <v>-36947.793078099799</v>
      </c>
      <c r="H230" s="9">
        <f t="shared" si="26"/>
        <v>0</v>
      </c>
      <c r="I230" s="9">
        <f t="shared" si="26"/>
        <v>0</v>
      </c>
      <c r="J230" s="9">
        <f t="shared" si="26"/>
        <v>40030.264812000925</v>
      </c>
      <c r="K230" s="9">
        <f t="shared" si="26"/>
        <v>-39140.703371734235</v>
      </c>
      <c r="L230" s="36">
        <f t="shared" si="26"/>
        <v>-40030.264812000925</v>
      </c>
      <c r="M230" s="35">
        <f t="shared" si="26"/>
        <v>113036.28952793383</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IF(GRAFICA_29!F14=1, B234, GRAFICA_29!H14)</f>
        <v>C1X</v>
      </c>
      <c r="P234" s="215" t="s">
        <v>376</v>
      </c>
      <c r="Q234" s="172"/>
      <c r="R234" s="172"/>
      <c r="S234" s="172"/>
      <c r="T234" s="172"/>
      <c r="U234" s="173"/>
    </row>
    <row r="235" spans="1:21" ht="16.95" customHeight="1" x14ac:dyDescent="0.3">
      <c r="B235" s="12" t="s">
        <v>210</v>
      </c>
      <c r="C235" s="12" t="s">
        <v>179</v>
      </c>
      <c r="E235" s="37" t="str">
        <f>IF(GRAFICA_29!G14=1, B235, GRAFICA_29!I14)</f>
        <v>C1Y</v>
      </c>
      <c r="P235" s="215" t="s">
        <v>211</v>
      </c>
      <c r="Q235" s="172"/>
      <c r="R235" s="172"/>
      <c r="S235" s="172"/>
      <c r="T235" s="172"/>
      <c r="U235" s="173"/>
    </row>
    <row r="236" spans="1:21" ht="16.95" customHeight="1" x14ac:dyDescent="0.3">
      <c r="B236" s="12" t="s">
        <v>212</v>
      </c>
      <c r="C236" s="12" t="s">
        <v>180</v>
      </c>
      <c r="E236" s="37">
        <f>IF(GRAFICA_29!F15=1, B236, GRAFICA_29!H15)</f>
        <v>0</v>
      </c>
      <c r="P236" s="215" t="s">
        <v>377</v>
      </c>
      <c r="Q236" s="172"/>
      <c r="R236" s="172"/>
      <c r="S236" s="172"/>
      <c r="T236" s="172"/>
      <c r="U236" s="173"/>
    </row>
    <row r="237" spans="1:21" ht="16.95" customHeight="1" x14ac:dyDescent="0.3">
      <c r="B237" s="12" t="s">
        <v>214</v>
      </c>
      <c r="C237" s="12" t="s">
        <v>181</v>
      </c>
      <c r="E237" s="37">
        <f>IF(GRAFICA_29!G15=1, B237, GRAFICA_29!I15)</f>
        <v>-5000</v>
      </c>
      <c r="P237" s="215" t="s">
        <v>215</v>
      </c>
      <c r="Q237" s="172"/>
      <c r="R237" s="172"/>
      <c r="S237" s="172"/>
      <c r="T237" s="172"/>
      <c r="U237" s="173"/>
    </row>
    <row r="238" spans="1:21" ht="16.95" customHeight="1" x14ac:dyDescent="0.3">
      <c r="B238" s="12" t="s">
        <v>216</v>
      </c>
      <c r="C238" s="12" t="s">
        <v>182</v>
      </c>
      <c r="E238" s="37">
        <f>IF(GRAFICA_29!F16=1, B238, GRAFICA_29!H16)</f>
        <v>0</v>
      </c>
      <c r="P238" s="215" t="s">
        <v>378</v>
      </c>
      <c r="Q238" s="172"/>
      <c r="R238" s="172"/>
      <c r="S238" s="172"/>
      <c r="T238" s="172"/>
      <c r="U238" s="173"/>
    </row>
    <row r="239" spans="1:21" ht="16.95" customHeight="1" x14ac:dyDescent="0.3">
      <c r="A239" s="38" t="s">
        <v>218</v>
      </c>
      <c r="B239" s="12" t="s">
        <v>219</v>
      </c>
      <c r="C239" s="12" t="s">
        <v>183</v>
      </c>
      <c r="D239" s="13" t="s">
        <v>220</v>
      </c>
      <c r="E239" s="37" t="str">
        <f>IF(GRAFICA_29!G16=1, B239, GRAFICA_29!I16)</f>
        <v>C3Y</v>
      </c>
      <c r="P239" s="215" t="s">
        <v>379</v>
      </c>
      <c r="Q239" s="172"/>
      <c r="R239" s="172"/>
      <c r="S239" s="172"/>
      <c r="T239" s="172"/>
      <c r="U239" s="173"/>
    </row>
    <row r="240" spans="1:21" ht="16.95" customHeight="1" x14ac:dyDescent="0.3">
      <c r="B240" s="12" t="s">
        <v>221</v>
      </c>
      <c r="C240" s="12" t="s">
        <v>184</v>
      </c>
      <c r="E240" s="37">
        <f>IF(GRAFICA_29!F17=1, B240, GRAFICA_29!H17)</f>
        <v>1500</v>
      </c>
      <c r="P240" s="215"/>
      <c r="Q240" s="172"/>
      <c r="R240" s="172"/>
      <c r="S240" s="172"/>
      <c r="T240" s="172"/>
      <c r="U240" s="173"/>
    </row>
    <row r="241" spans="1:21" ht="16.95" customHeight="1" x14ac:dyDescent="0.3">
      <c r="B241" s="12" t="s">
        <v>222</v>
      </c>
      <c r="C241" s="12" t="s">
        <v>185</v>
      </c>
      <c r="E241" s="37">
        <f>IF(GRAFICA_29!G17=1, B241, GRAFICA_29!I17)</f>
        <v>-4000</v>
      </c>
      <c r="P241" s="215"/>
      <c r="Q241" s="172"/>
      <c r="R241" s="172"/>
      <c r="S241" s="172"/>
      <c r="T241" s="172"/>
      <c r="U241" s="173"/>
    </row>
    <row r="242" spans="1:21" ht="16.95" customHeight="1" x14ac:dyDescent="0.3">
      <c r="B242" s="12" t="s">
        <v>223</v>
      </c>
      <c r="C242" s="12" t="s">
        <v>186</v>
      </c>
      <c r="E242" s="37">
        <f>IF(GRAFICA_29!F18=1, B242, GRAFICA_29!H18)</f>
        <v>0</v>
      </c>
      <c r="P242" s="215"/>
      <c r="Q242" s="172"/>
      <c r="R242" s="172"/>
      <c r="S242" s="172"/>
      <c r="T242" s="172"/>
      <c r="U242" s="173"/>
    </row>
    <row r="243" spans="1:21" ht="16.95" customHeight="1" x14ac:dyDescent="0.3">
      <c r="B243" s="12" t="s">
        <v>224</v>
      </c>
      <c r="C243" s="12" t="s">
        <v>187</v>
      </c>
      <c r="E243" s="37">
        <f>IF(GRAFICA_29!G18=1, B243, GRAFICA_29!I18)</f>
        <v>-8500</v>
      </c>
      <c r="P243" s="215"/>
      <c r="Q243" s="172"/>
      <c r="R243" s="172"/>
      <c r="S243" s="172"/>
      <c r="T243" s="172"/>
      <c r="U243" s="173"/>
    </row>
    <row r="244" spans="1:21" ht="16.95" customHeight="1" x14ac:dyDescent="0.3">
      <c r="B244" s="12" t="s">
        <v>225</v>
      </c>
      <c r="C244" s="12" t="s">
        <v>188</v>
      </c>
      <c r="E244" s="37">
        <f>IF(GRAFICA_29!F19=1, B244, GRAFICA_29!H19)</f>
        <v>-1500</v>
      </c>
      <c r="P244" s="215"/>
      <c r="Q244" s="172"/>
      <c r="R244" s="172"/>
      <c r="S244" s="172"/>
      <c r="T244" s="172"/>
      <c r="U244" s="173"/>
    </row>
    <row r="245" spans="1:21" ht="16.95" customHeight="1" x14ac:dyDescent="0.3">
      <c r="B245" s="12" t="s">
        <v>226</v>
      </c>
      <c r="C245" s="12" t="s">
        <v>189</v>
      </c>
      <c r="E245" s="37">
        <f>IF(GRAFICA_29!G19=1, B245, GRAFICA_29!I19)</f>
        <v>-4000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IF(GRAFICA_29!F14=1,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IF(GRAFICA_29!G14=1,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IF(GRAFICA_29!F15=1,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IF(GRAFICA_29!G15=1,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IF(GRAFICA_29!F16=1,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f>IF(GRAFICA_29!G16=1, 0, B253)</f>
        <v>0</v>
      </c>
      <c r="F253" s="14" t="str">
        <f>IF(E253&lt;&gt;0, COUNTIF(E$248:E253, "&lt;&gt;0"), "")</f>
        <v/>
      </c>
      <c r="G253" s="14">
        <f>IF(E253=0, COUNTIF(E$248:E253, 0), "")</f>
        <v>3</v>
      </c>
      <c r="P253" s="215"/>
      <c r="Q253" s="172"/>
      <c r="R253" s="172"/>
      <c r="S253" s="172"/>
      <c r="T253" s="172"/>
      <c r="U253" s="173"/>
    </row>
    <row r="254" spans="1:21" ht="16.95" customHeight="1" x14ac:dyDescent="0.3">
      <c r="B254" s="12" t="s">
        <v>235</v>
      </c>
      <c r="C254" s="12" t="s">
        <v>184</v>
      </c>
      <c r="E254" s="39" t="str">
        <f>IF(GRAFICA_29!F17=1, 0, B254)</f>
        <v>D4X</v>
      </c>
      <c r="F254" s="14">
        <f>IF(E254&lt;&gt;0, COUNTIF(E$248:E254, "&lt;&gt;0"), "")</f>
        <v>4</v>
      </c>
      <c r="G254" s="14" t="str">
        <f>IF(E254=0, COUNTIF(E$248:E254, 0), "")</f>
        <v/>
      </c>
      <c r="P254" s="215"/>
      <c r="Q254" s="172"/>
      <c r="R254" s="172"/>
      <c r="S254" s="172"/>
      <c r="T254" s="172"/>
      <c r="U254" s="173"/>
    </row>
    <row r="255" spans="1:21" ht="16.95" customHeight="1" x14ac:dyDescent="0.3">
      <c r="B255" s="12" t="s">
        <v>236</v>
      </c>
      <c r="C255" s="12" t="s">
        <v>185</v>
      </c>
      <c r="E255" s="39" t="str">
        <f>IF(GRAFICA_29!G17=1, 0, B255)</f>
        <v>D4Y</v>
      </c>
      <c r="F255" s="14">
        <f>IF(E255&lt;&gt;0, COUNTIF(E$248:E255, "&lt;&gt;0"), "")</f>
        <v>5</v>
      </c>
      <c r="G255" s="14" t="str">
        <f>IF(E255=0, COUNTIF(E$248:E255, 0), "")</f>
        <v/>
      </c>
      <c r="P255" s="215"/>
      <c r="Q255" s="172"/>
      <c r="R255" s="172"/>
      <c r="S255" s="172"/>
      <c r="T255" s="172"/>
      <c r="U255" s="173"/>
    </row>
    <row r="256" spans="1:21" ht="16.95" customHeight="1" x14ac:dyDescent="0.3">
      <c r="B256" s="12" t="s">
        <v>237</v>
      </c>
      <c r="C256" s="12" t="s">
        <v>186</v>
      </c>
      <c r="E256" s="39" t="str">
        <f>IF(GRAFICA_29!F18=1,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IF(GRAFICA_29!G18=1,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IF(GRAFICA_29!F19=1,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IF(GRAFICA_29!G19=1,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102762.05061447006</v>
      </c>
      <c r="D264" s="9">
        <f t="shared" si="28"/>
        <v>41566.26721286228</v>
      </c>
      <c r="E264" s="9">
        <f t="shared" si="28"/>
        <v>-56000</v>
      </c>
      <c r="F264" s="9">
        <f t="shared" si="28"/>
        <v>0</v>
      </c>
      <c r="G264" s="9">
        <f t="shared" si="28"/>
        <v>0</v>
      </c>
      <c r="H264" s="9">
        <f t="shared" si="28"/>
        <v>0</v>
      </c>
      <c r="I264" s="9">
        <f t="shared" si="28"/>
        <v>-46762.050614470063</v>
      </c>
      <c r="J264" s="9">
        <f t="shared" si="28"/>
        <v>-41566.26721286228</v>
      </c>
      <c r="K264" s="9">
        <f t="shared" si="28"/>
        <v>0</v>
      </c>
      <c r="L264" s="9">
        <f t="shared" si="28"/>
        <v>0</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41566.26721286228</v>
      </c>
      <c r="D265" s="9">
        <f t="shared" si="29"/>
        <v>36947.793078099799</v>
      </c>
      <c r="E265" s="9">
        <f t="shared" si="29"/>
        <v>0</v>
      </c>
      <c r="F265" s="9">
        <f t="shared" si="29"/>
        <v>0</v>
      </c>
      <c r="G265" s="9">
        <f t="shared" si="29"/>
        <v>0</v>
      </c>
      <c r="H265" s="9">
        <f t="shared" si="29"/>
        <v>0</v>
      </c>
      <c r="I265" s="9">
        <f t="shared" si="29"/>
        <v>-41566.26721286228</v>
      </c>
      <c r="J265" s="9">
        <f t="shared" si="29"/>
        <v>-36947.793078099799</v>
      </c>
      <c r="K265" s="9">
        <f t="shared" si="29"/>
        <v>0</v>
      </c>
      <c r="L265" s="9">
        <f t="shared" si="29"/>
        <v>0</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-56000</v>
      </c>
      <c r="D266" s="9">
        <f t="shared" si="30"/>
        <v>0</v>
      </c>
      <c r="E266" s="41">
        <f t="shared" si="30"/>
        <v>205524.10122894013</v>
      </c>
      <c r="F266" s="41">
        <f t="shared" si="30"/>
        <v>0</v>
      </c>
      <c r="G266" s="41">
        <f t="shared" si="30"/>
        <v>-56000</v>
      </c>
      <c r="H266" s="9">
        <f t="shared" si="30"/>
        <v>0</v>
      </c>
      <c r="I266" s="41">
        <f t="shared" si="30"/>
        <v>-46762.050614470063</v>
      </c>
      <c r="J266" s="41">
        <f t="shared" si="30"/>
        <v>41566.26721286228</v>
      </c>
      <c r="K266" s="41">
        <f t="shared" si="30"/>
        <v>0</v>
      </c>
      <c r="L266" s="41">
        <f t="shared" si="30"/>
        <v>0</v>
      </c>
      <c r="M266" s="41">
        <f t="shared" si="30"/>
        <v>-46762.050614470063</v>
      </c>
      <c r="N266" s="41">
        <f t="shared" si="30"/>
        <v>-41566.26721286228</v>
      </c>
      <c r="O266" s="13" t="s">
        <v>251</v>
      </c>
      <c r="P266" s="215" t="s">
        <v>254</v>
      </c>
      <c r="Q266" s="172"/>
      <c r="R266" s="172"/>
      <c r="S266" s="172"/>
      <c r="T266" s="172"/>
      <c r="U266" s="173"/>
    </row>
    <row r="267" spans="1:21" ht="16.95" customHeight="1" x14ac:dyDescent="0.3">
      <c r="A267" s="41">
        <f t="shared" si="27"/>
        <v>-5000</v>
      </c>
      <c r="C267" s="9">
        <f t="shared" ref="C267:N267" si="31">B222</f>
        <v>0</v>
      </c>
      <c r="D267" s="9">
        <f t="shared" si="31"/>
        <v>0</v>
      </c>
      <c r="E267" s="41">
        <f t="shared" si="31"/>
        <v>0</v>
      </c>
      <c r="F267" s="41">
        <f t="shared" si="31"/>
        <v>133895.5861561996</v>
      </c>
      <c r="G267" s="41">
        <f t="shared" si="31"/>
        <v>0</v>
      </c>
      <c r="H267" s="9">
        <f t="shared" si="31"/>
        <v>0</v>
      </c>
      <c r="I267" s="41">
        <f t="shared" si="31"/>
        <v>41566.26721286228</v>
      </c>
      <c r="J267" s="41">
        <f t="shared" si="31"/>
        <v>-36947.793078099799</v>
      </c>
      <c r="K267" s="41">
        <f t="shared" si="31"/>
        <v>0</v>
      </c>
      <c r="L267" s="41">
        <f t="shared" si="31"/>
        <v>-60000</v>
      </c>
      <c r="M267" s="41">
        <f t="shared" si="31"/>
        <v>-41566.26721286228</v>
      </c>
      <c r="N267" s="41">
        <f t="shared" si="31"/>
        <v>-36947.793078099799</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-56000</v>
      </c>
      <c r="F268" s="41">
        <f t="shared" si="32"/>
        <v>0</v>
      </c>
      <c r="G268" s="41">
        <f t="shared" si="32"/>
        <v>102762.05061447006</v>
      </c>
      <c r="H268" s="9">
        <f t="shared" si="32"/>
        <v>-41566.26721286228</v>
      </c>
      <c r="I268" s="41">
        <f t="shared" si="32"/>
        <v>0</v>
      </c>
      <c r="J268" s="41">
        <f t="shared" si="32"/>
        <v>0</v>
      </c>
      <c r="K268" s="41">
        <f t="shared" si="32"/>
        <v>0</v>
      </c>
      <c r="L268" s="41">
        <f t="shared" si="32"/>
        <v>0</v>
      </c>
      <c r="M268" s="41">
        <f t="shared" si="32"/>
        <v>-46762.050614470063</v>
      </c>
      <c r="N268" s="41">
        <f t="shared" si="32"/>
        <v>41566.26721286228</v>
      </c>
      <c r="O268" s="13" t="s">
        <v>251</v>
      </c>
      <c r="P268" s="215" t="s">
        <v>382</v>
      </c>
      <c r="Q268" s="172"/>
      <c r="R268" s="172"/>
      <c r="S268" s="172"/>
      <c r="T268" s="172"/>
      <c r="U268" s="173"/>
    </row>
    <row r="269" spans="1:21" ht="16.95" customHeight="1" x14ac:dyDescent="0.3">
      <c r="A269" s="12" t="str">
        <f t="shared" si="27"/>
        <v>C3Y</v>
      </c>
      <c r="C269" s="9">
        <f t="shared" ref="C269:N269" si="33">B224</f>
        <v>0</v>
      </c>
      <c r="D269" s="9">
        <f t="shared" si="33"/>
        <v>0</v>
      </c>
      <c r="E269" s="9">
        <f t="shared" si="33"/>
        <v>0</v>
      </c>
      <c r="F269" s="9">
        <f t="shared" si="33"/>
        <v>0</v>
      </c>
      <c r="G269" s="9">
        <f t="shared" si="33"/>
        <v>-41566.26721286228</v>
      </c>
      <c r="H269" s="9">
        <f t="shared" si="33"/>
        <v>36947.793078099799</v>
      </c>
      <c r="I269" s="9">
        <f t="shared" si="33"/>
        <v>0</v>
      </c>
      <c r="J269" s="9">
        <f t="shared" si="33"/>
        <v>0</v>
      </c>
      <c r="K269" s="9">
        <f t="shared" si="33"/>
        <v>0</v>
      </c>
      <c r="L269" s="9">
        <f t="shared" si="33"/>
        <v>0</v>
      </c>
      <c r="M269" s="9">
        <f t="shared" si="33"/>
        <v>41566.26721286228</v>
      </c>
      <c r="N269" s="9">
        <f t="shared" si="33"/>
        <v>-36947.793078099799</v>
      </c>
      <c r="O269" s="13" t="s">
        <v>251</v>
      </c>
      <c r="P269" s="219">
        <f t="shared" ref="P269:P275" si="34">E253</f>
        <v>0</v>
      </c>
      <c r="Q269" s="172"/>
      <c r="R269" s="172"/>
      <c r="S269" s="172"/>
      <c r="T269" s="172"/>
      <c r="U269" s="173"/>
    </row>
    <row r="270" spans="1:21" ht="16.95" customHeight="1" x14ac:dyDescent="0.3">
      <c r="A270" s="41">
        <f t="shared" si="27"/>
        <v>1500</v>
      </c>
      <c r="B270" s="13" t="s">
        <v>220</v>
      </c>
      <c r="C270" s="9">
        <f t="shared" ref="C270:N270" si="35">B225</f>
        <v>-46762.050614470063</v>
      </c>
      <c r="D270" s="9">
        <f t="shared" si="35"/>
        <v>-41566.26721286228</v>
      </c>
      <c r="E270" s="41">
        <f t="shared" si="35"/>
        <v>-46762.050614470063</v>
      </c>
      <c r="F270" s="41">
        <f t="shared" si="35"/>
        <v>41566.26721286228</v>
      </c>
      <c r="G270" s="41">
        <f t="shared" si="35"/>
        <v>0</v>
      </c>
      <c r="H270" s="9">
        <f t="shared" si="35"/>
        <v>0</v>
      </c>
      <c r="I270" s="41">
        <f t="shared" si="35"/>
        <v>134464.14478666836</v>
      </c>
      <c r="J270" s="41">
        <f t="shared" si="35"/>
        <v>40030.264812000925</v>
      </c>
      <c r="K270" s="41">
        <f t="shared" si="35"/>
        <v>-40940.043557728226</v>
      </c>
      <c r="L270" s="41">
        <f t="shared" si="35"/>
        <v>-40030.264812000925</v>
      </c>
      <c r="M270" s="41">
        <f t="shared" si="35"/>
        <v>0</v>
      </c>
      <c r="N270" s="41">
        <f t="shared" si="35"/>
        <v>0</v>
      </c>
      <c r="O270" s="13" t="s">
        <v>251</v>
      </c>
      <c r="P270" s="215" t="str">
        <f t="shared" si="34"/>
        <v>D4X</v>
      </c>
      <c r="Q270" s="172"/>
      <c r="R270" s="172"/>
      <c r="S270" s="172"/>
      <c r="T270" s="172"/>
      <c r="U270" s="173"/>
    </row>
    <row r="271" spans="1:21" ht="16.95" customHeight="1" x14ac:dyDescent="0.3">
      <c r="A271" s="41">
        <f t="shared" si="27"/>
        <v>-4000</v>
      </c>
      <c r="C271" s="9">
        <f t="shared" ref="C271:N271" si="36">B226</f>
        <v>-41566.26721286228</v>
      </c>
      <c r="D271" s="9">
        <f t="shared" si="36"/>
        <v>-36947.793078099799</v>
      </c>
      <c r="E271" s="41">
        <f t="shared" si="36"/>
        <v>41566.26721286228</v>
      </c>
      <c r="F271" s="41">
        <f t="shared" si="36"/>
        <v>-36947.793078099799</v>
      </c>
      <c r="G271" s="41">
        <f t="shared" si="36"/>
        <v>0</v>
      </c>
      <c r="H271" s="9">
        <f t="shared" si="36"/>
        <v>0</v>
      </c>
      <c r="I271" s="41">
        <f t="shared" si="36"/>
        <v>40030.264812000925</v>
      </c>
      <c r="J271" s="41">
        <f t="shared" si="36"/>
        <v>113036.28952793383</v>
      </c>
      <c r="K271" s="41">
        <f t="shared" si="36"/>
        <v>-40030.264812000925</v>
      </c>
      <c r="L271" s="41">
        <f t="shared" si="36"/>
        <v>-39140.703371734235</v>
      </c>
      <c r="M271" s="41">
        <f t="shared" si="36"/>
        <v>0</v>
      </c>
      <c r="N271" s="41">
        <f t="shared" si="36"/>
        <v>0</v>
      </c>
      <c r="O271" s="13" t="s">
        <v>251</v>
      </c>
      <c r="P271" s="215" t="str">
        <f t="shared" si="34"/>
        <v>D4Y</v>
      </c>
      <c r="Q271" s="172"/>
      <c r="R271" s="172"/>
      <c r="S271" s="172"/>
      <c r="T271" s="172"/>
      <c r="U271" s="173"/>
    </row>
    <row r="272" spans="1:21" ht="16.95" customHeight="1" x14ac:dyDescent="0.3">
      <c r="A272" s="41">
        <f t="shared" si="27"/>
        <v>0</v>
      </c>
      <c r="C272" s="9">
        <f t="shared" ref="C272:N272" si="37">B227</f>
        <v>0</v>
      </c>
      <c r="D272" s="9">
        <f t="shared" si="37"/>
        <v>0</v>
      </c>
      <c r="E272" s="41">
        <f t="shared" si="37"/>
        <v>0</v>
      </c>
      <c r="F272" s="41">
        <f t="shared" si="37"/>
        <v>0</v>
      </c>
      <c r="G272" s="41">
        <f t="shared" si="37"/>
        <v>0</v>
      </c>
      <c r="H272" s="9">
        <f t="shared" si="37"/>
        <v>0</v>
      </c>
      <c r="I272" s="41">
        <f t="shared" si="37"/>
        <v>-40940.043557728226</v>
      </c>
      <c r="J272" s="41">
        <f t="shared" si="37"/>
        <v>-40030.264812000925</v>
      </c>
      <c r="K272" s="41">
        <f t="shared" si="37"/>
        <v>81880.087115456452</v>
      </c>
      <c r="L272" s="41">
        <f t="shared" si="37"/>
        <v>0</v>
      </c>
      <c r="M272" s="41">
        <f t="shared" si="37"/>
        <v>-40940.043557728226</v>
      </c>
      <c r="N272" s="41">
        <f t="shared" si="37"/>
        <v>40030.264812000925</v>
      </c>
      <c r="O272" s="13" t="s">
        <v>251</v>
      </c>
      <c r="P272" s="215" t="str">
        <f t="shared" si="34"/>
        <v>D5X</v>
      </c>
      <c r="Q272" s="172"/>
      <c r="R272" s="172"/>
      <c r="S272" s="172"/>
      <c r="T272" s="172"/>
      <c r="U272" s="173"/>
    </row>
    <row r="273" spans="1:21" ht="16.95" customHeight="1" x14ac:dyDescent="0.3">
      <c r="A273" s="41">
        <f t="shared" si="27"/>
        <v>-8500</v>
      </c>
      <c r="C273" s="9">
        <f t="shared" ref="C273:N273" si="38">B228</f>
        <v>0</v>
      </c>
      <c r="D273" s="9">
        <f t="shared" si="38"/>
        <v>0</v>
      </c>
      <c r="E273" s="41">
        <f t="shared" si="38"/>
        <v>0</v>
      </c>
      <c r="F273" s="41">
        <f t="shared" si="38"/>
        <v>-60000</v>
      </c>
      <c r="G273" s="41">
        <f t="shared" si="38"/>
        <v>0</v>
      </c>
      <c r="H273" s="9">
        <f t="shared" si="38"/>
        <v>0</v>
      </c>
      <c r="I273" s="41">
        <f t="shared" si="38"/>
        <v>-40030.264812000925</v>
      </c>
      <c r="J273" s="41">
        <f t="shared" si="38"/>
        <v>-39140.703371734235</v>
      </c>
      <c r="K273" s="41">
        <f t="shared" si="38"/>
        <v>0</v>
      </c>
      <c r="L273" s="41">
        <f t="shared" si="38"/>
        <v>138281.40674346848</v>
      </c>
      <c r="M273" s="41">
        <f t="shared" si="38"/>
        <v>40030.264812000925</v>
      </c>
      <c r="N273" s="41">
        <f t="shared" si="38"/>
        <v>-39140.703371734235</v>
      </c>
      <c r="O273" s="13" t="s">
        <v>251</v>
      </c>
      <c r="P273" s="215" t="str">
        <f t="shared" si="34"/>
        <v>D5Y</v>
      </c>
      <c r="Q273" s="172"/>
      <c r="R273" s="172"/>
      <c r="S273" s="172"/>
      <c r="T273" s="172"/>
      <c r="U273" s="173"/>
    </row>
    <row r="274" spans="1:21" ht="16.95" customHeight="1" x14ac:dyDescent="0.3">
      <c r="A274" s="41">
        <f t="shared" si="27"/>
        <v>-1500</v>
      </c>
      <c r="C274" s="9">
        <f t="shared" ref="C274:N274" si="39">B229</f>
        <v>0</v>
      </c>
      <c r="D274" s="9">
        <f t="shared" si="39"/>
        <v>0</v>
      </c>
      <c r="E274" s="41">
        <f t="shared" si="39"/>
        <v>-46762.050614470063</v>
      </c>
      <c r="F274" s="41">
        <f t="shared" si="39"/>
        <v>-41566.26721286228</v>
      </c>
      <c r="G274" s="41">
        <f t="shared" si="39"/>
        <v>-46762.050614470063</v>
      </c>
      <c r="H274" s="9">
        <f t="shared" si="39"/>
        <v>41566.26721286228</v>
      </c>
      <c r="I274" s="41">
        <f t="shared" si="39"/>
        <v>0</v>
      </c>
      <c r="J274" s="41">
        <f t="shared" si="39"/>
        <v>0</v>
      </c>
      <c r="K274" s="41">
        <f t="shared" si="39"/>
        <v>-40940.043557728226</v>
      </c>
      <c r="L274" s="41">
        <f t="shared" si="39"/>
        <v>40030.264812000925</v>
      </c>
      <c r="M274" s="41">
        <f t="shared" si="39"/>
        <v>134464.14478666836</v>
      </c>
      <c r="N274" s="41">
        <f t="shared" si="39"/>
        <v>-40030.264812000925</v>
      </c>
      <c r="O274" s="13" t="s">
        <v>251</v>
      </c>
      <c r="P274" s="215" t="str">
        <f t="shared" si="34"/>
        <v>D6X</v>
      </c>
      <c r="Q274" s="172"/>
      <c r="R274" s="172"/>
      <c r="S274" s="172"/>
      <c r="T274" s="172"/>
      <c r="U274" s="173"/>
    </row>
    <row r="275" spans="1:21" ht="16.95" customHeight="1" x14ac:dyDescent="0.3">
      <c r="A275" s="41">
        <f t="shared" si="27"/>
        <v>-4000</v>
      </c>
      <c r="C275" s="9">
        <f t="shared" ref="C275:N275" si="40">B230</f>
        <v>0</v>
      </c>
      <c r="D275" s="9">
        <f t="shared" si="40"/>
        <v>0</v>
      </c>
      <c r="E275" s="41">
        <f t="shared" si="40"/>
        <v>-41566.26721286228</v>
      </c>
      <c r="F275" s="41">
        <f t="shared" si="40"/>
        <v>-36947.793078099799</v>
      </c>
      <c r="G275" s="41">
        <f t="shared" si="40"/>
        <v>41566.26721286228</v>
      </c>
      <c r="H275" s="9">
        <f t="shared" si="40"/>
        <v>-36947.793078099799</v>
      </c>
      <c r="I275" s="41">
        <f t="shared" si="40"/>
        <v>0</v>
      </c>
      <c r="J275" s="41">
        <f t="shared" si="40"/>
        <v>0</v>
      </c>
      <c r="K275" s="41">
        <f t="shared" si="40"/>
        <v>40030.264812000925</v>
      </c>
      <c r="L275" s="41">
        <f t="shared" si="40"/>
        <v>-39140.703371734235</v>
      </c>
      <c r="M275" s="41">
        <f t="shared" si="40"/>
        <v>-40030.264812000925</v>
      </c>
      <c r="N275" s="41">
        <f t="shared" si="40"/>
        <v>113036.28952793383</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205524.10122894013</v>
      </c>
      <c r="D280" s="41">
        <f t="shared" si="42"/>
        <v>0</v>
      </c>
      <c r="E280" s="41">
        <f t="shared" si="42"/>
        <v>-56000</v>
      </c>
      <c r="F280" s="41">
        <f t="shared" si="42"/>
        <v>-46762.050614470063</v>
      </c>
      <c r="G280" s="41">
        <f t="shared" si="42"/>
        <v>41566.26721286228</v>
      </c>
      <c r="H280" s="41">
        <f t="shared" si="42"/>
        <v>0</v>
      </c>
      <c r="I280" s="41">
        <f t="shared" si="42"/>
        <v>0</v>
      </c>
      <c r="J280" s="41">
        <f t="shared" si="42"/>
        <v>-46762.050614470063</v>
      </c>
      <c r="K280" s="41">
        <f t="shared" si="42"/>
        <v>-41566.26721286228</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-5000</v>
      </c>
      <c r="C281" s="41">
        <f t="shared" si="42"/>
        <v>0</v>
      </c>
      <c r="D281" s="41">
        <f t="shared" si="42"/>
        <v>133895.5861561996</v>
      </c>
      <c r="E281" s="41">
        <f t="shared" si="42"/>
        <v>0</v>
      </c>
      <c r="F281" s="41">
        <f t="shared" si="42"/>
        <v>41566.26721286228</v>
      </c>
      <c r="G281" s="41">
        <f t="shared" si="42"/>
        <v>-36947.793078099799</v>
      </c>
      <c r="H281" s="41">
        <f t="shared" si="42"/>
        <v>0</v>
      </c>
      <c r="I281" s="41">
        <f t="shared" si="42"/>
        <v>-60000</v>
      </c>
      <c r="J281" s="41">
        <f t="shared" si="42"/>
        <v>-41566.26721286228</v>
      </c>
      <c r="K281" s="41">
        <f t="shared" si="42"/>
        <v>-36947.793078099799</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-56000</v>
      </c>
      <c r="D282" s="41">
        <f t="shared" si="42"/>
        <v>0</v>
      </c>
      <c r="E282" s="41">
        <f t="shared" si="42"/>
        <v>102762.05061447006</v>
      </c>
      <c r="F282" s="41">
        <f t="shared" si="42"/>
        <v>0</v>
      </c>
      <c r="G282" s="41">
        <f t="shared" si="42"/>
        <v>0</v>
      </c>
      <c r="H282" s="41">
        <f t="shared" si="42"/>
        <v>0</v>
      </c>
      <c r="I282" s="41">
        <f t="shared" si="42"/>
        <v>0</v>
      </c>
      <c r="J282" s="41">
        <f t="shared" si="42"/>
        <v>-46762.050614470063</v>
      </c>
      <c r="K282" s="41">
        <f t="shared" si="42"/>
        <v>41566.26721286228</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1500</v>
      </c>
      <c r="C283" s="41">
        <f t="shared" si="42"/>
        <v>-46762.050614470063</v>
      </c>
      <c r="D283" s="41">
        <f t="shared" si="42"/>
        <v>41566.26721286228</v>
      </c>
      <c r="E283" s="41">
        <f t="shared" si="42"/>
        <v>0</v>
      </c>
      <c r="F283" s="41">
        <f t="shared" si="42"/>
        <v>134464.14478666836</v>
      </c>
      <c r="G283" s="41">
        <f t="shared" si="42"/>
        <v>40030.264812000925</v>
      </c>
      <c r="H283" s="41">
        <f t="shared" si="42"/>
        <v>-40940.043557728226</v>
      </c>
      <c r="I283" s="41">
        <f t="shared" si="42"/>
        <v>-40030.264812000925</v>
      </c>
      <c r="J283" s="41">
        <f t="shared" si="42"/>
        <v>0</v>
      </c>
      <c r="K283" s="41">
        <f t="shared" si="42"/>
        <v>0</v>
      </c>
      <c r="L283" s="13" t="s">
        <v>251</v>
      </c>
      <c r="M283" s="38" t="str">
        <f>INDEX(B$248:B$259, MATCH(4, F$248:F$259, 0))</f>
        <v>D4X</v>
      </c>
      <c r="N283" s="14" t="str">
        <f>INDEX(C$248:C$259, MATCH(4, F$248:F$259, 0))</f>
        <v>U4X</v>
      </c>
      <c r="P283" s="215" t="s">
        <v>387</v>
      </c>
      <c r="Q283" s="172"/>
      <c r="R283" s="172"/>
      <c r="S283" s="172"/>
      <c r="T283" s="172"/>
      <c r="U283" s="173"/>
    </row>
    <row r="284" spans="1:21" ht="16.95" customHeight="1" x14ac:dyDescent="0.3">
      <c r="A284" s="41">
        <f t="shared" si="41"/>
        <v>-4000</v>
      </c>
      <c r="B284" s="13" t="s">
        <v>220</v>
      </c>
      <c r="C284" s="41">
        <f t="shared" si="42"/>
        <v>41566.26721286228</v>
      </c>
      <c r="D284" s="41">
        <f t="shared" si="42"/>
        <v>-36947.793078099799</v>
      </c>
      <c r="E284" s="41">
        <f t="shared" si="42"/>
        <v>0</v>
      </c>
      <c r="F284" s="41">
        <f t="shared" si="42"/>
        <v>40030.264812000925</v>
      </c>
      <c r="G284" s="41">
        <f t="shared" si="42"/>
        <v>113036.28952793383</v>
      </c>
      <c r="H284" s="41">
        <f t="shared" si="42"/>
        <v>-40030.264812000925</v>
      </c>
      <c r="I284" s="41">
        <f t="shared" si="42"/>
        <v>-39140.703371734235</v>
      </c>
      <c r="J284" s="41">
        <f t="shared" si="42"/>
        <v>0</v>
      </c>
      <c r="K284" s="41">
        <f t="shared" si="42"/>
        <v>0</v>
      </c>
      <c r="L284" s="13" t="s">
        <v>251</v>
      </c>
      <c r="M284" s="38" t="str">
        <f>INDEX(B$248:B$259, MATCH(5, F$248:F$259, 0))</f>
        <v>D4Y</v>
      </c>
      <c r="N284" s="14" t="str">
        <f>INDEX(C$248:C$259, MATCH(5, F$248:F$259, 0))</f>
        <v>U4Y</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0</v>
      </c>
      <c r="F285" s="41">
        <f t="shared" si="42"/>
        <v>-40940.043557728226</v>
      </c>
      <c r="G285" s="41">
        <f t="shared" si="42"/>
        <v>-40030.264812000925</v>
      </c>
      <c r="H285" s="41">
        <f t="shared" si="42"/>
        <v>81880.087115456452</v>
      </c>
      <c r="I285" s="41">
        <f t="shared" si="42"/>
        <v>0</v>
      </c>
      <c r="J285" s="41">
        <f t="shared" si="42"/>
        <v>-40940.043557728226</v>
      </c>
      <c r="K285" s="41">
        <f t="shared" si="42"/>
        <v>40030.264812000925</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-8500</v>
      </c>
      <c r="C286" s="41">
        <f t="shared" si="42"/>
        <v>0</v>
      </c>
      <c r="D286" s="41">
        <f t="shared" si="42"/>
        <v>-60000</v>
      </c>
      <c r="E286" s="41">
        <f t="shared" si="42"/>
        <v>0</v>
      </c>
      <c r="F286" s="41">
        <f t="shared" si="42"/>
        <v>-40030.264812000925</v>
      </c>
      <c r="G286" s="41">
        <f t="shared" si="42"/>
        <v>-39140.703371734235</v>
      </c>
      <c r="H286" s="41">
        <f t="shared" si="42"/>
        <v>0</v>
      </c>
      <c r="I286" s="41">
        <f t="shared" si="42"/>
        <v>138281.40674346848</v>
      </c>
      <c r="J286" s="41">
        <f t="shared" si="42"/>
        <v>40030.264812000925</v>
      </c>
      <c r="K286" s="41">
        <f t="shared" si="42"/>
        <v>-39140.703371734235</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-1500</v>
      </c>
      <c r="C287" s="41">
        <f t="shared" si="42"/>
        <v>-46762.050614470063</v>
      </c>
      <c r="D287" s="41">
        <f t="shared" si="42"/>
        <v>-41566.26721286228</v>
      </c>
      <c r="E287" s="41">
        <f t="shared" si="42"/>
        <v>-46762.050614470063</v>
      </c>
      <c r="F287" s="41">
        <f t="shared" si="42"/>
        <v>0</v>
      </c>
      <c r="G287" s="41">
        <f t="shared" si="42"/>
        <v>0</v>
      </c>
      <c r="H287" s="41">
        <f t="shared" si="42"/>
        <v>-40940.043557728226</v>
      </c>
      <c r="I287" s="41">
        <f t="shared" si="42"/>
        <v>40030.264812000925</v>
      </c>
      <c r="J287" s="41">
        <f t="shared" si="42"/>
        <v>134464.14478666836</v>
      </c>
      <c r="K287" s="41">
        <f t="shared" si="42"/>
        <v>-40030.264812000925</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-4000</v>
      </c>
      <c r="C288" s="41">
        <f t="shared" si="42"/>
        <v>-41566.26721286228</v>
      </c>
      <c r="D288" s="41">
        <f t="shared" si="42"/>
        <v>-36947.793078099799</v>
      </c>
      <c r="E288" s="41">
        <f t="shared" si="42"/>
        <v>41566.26721286228</v>
      </c>
      <c r="F288" s="41">
        <f t="shared" si="42"/>
        <v>0</v>
      </c>
      <c r="G288" s="41">
        <f t="shared" si="42"/>
        <v>0</v>
      </c>
      <c r="H288" s="41">
        <f t="shared" si="42"/>
        <v>40030.264812000925</v>
      </c>
      <c r="I288" s="41">
        <f t="shared" si="42"/>
        <v>-39140.703371734235</v>
      </c>
      <c r="J288" s="41">
        <f t="shared" si="42"/>
        <v>-40030.264812000925</v>
      </c>
      <c r="K288" s="41">
        <f t="shared" si="42"/>
        <v>113036.28952793383</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1.7857142857142858E-5</v>
      </c>
      <c r="D292" s="93">
        <v>-1.0044642857142858E-5</v>
      </c>
      <c r="E292" s="93">
        <v>1.7857142857142855E-5</v>
      </c>
      <c r="F292" s="93">
        <v>1.3392857142857142E-5</v>
      </c>
      <c r="G292" s="93">
        <v>-1.5066964285714291E-5</v>
      </c>
      <c r="H292" s="93">
        <v>8.4821428571428525E-6</v>
      </c>
      <c r="I292" s="93">
        <v>-1.0044642857142858E-5</v>
      </c>
      <c r="J292" s="93">
        <v>1.3392857142857139E-5</v>
      </c>
      <c r="K292" s="93">
        <v>-5.0223214285714266E-6</v>
      </c>
      <c r="M292" s="17">
        <f t="shared" ref="M292:M300" si="44">A280</f>
        <v>0</v>
      </c>
      <c r="P292" s="215"/>
      <c r="Q292" s="172"/>
      <c r="R292" s="172"/>
      <c r="S292" s="172"/>
      <c r="T292" s="172"/>
      <c r="U292" s="173"/>
    </row>
    <row r="293" spans="1:21" ht="16.95" customHeight="1" x14ac:dyDescent="0.3">
      <c r="A293" s="12" t="str">
        <f t="shared" si="43"/>
        <v>D2Y</v>
      </c>
      <c r="C293" s="93">
        <v>-1.0044642857142863E-5</v>
      </c>
      <c r="D293" s="93">
        <v>5.7175282968892195E-5</v>
      </c>
      <c r="E293" s="93">
        <v>-2.008928571428572E-5</v>
      </c>
      <c r="F293" s="93">
        <v>-2.4705470263495152E-5</v>
      </c>
      <c r="G293" s="93">
        <v>4.1326262041261577E-5</v>
      </c>
      <c r="H293" s="93">
        <v>-1.0044642857142857E-5</v>
      </c>
      <c r="I293" s="93">
        <v>3.9714965508574735E-5</v>
      </c>
      <c r="J293" s="93">
        <v>4.6161845492094328E-6</v>
      </c>
      <c r="K293" s="93">
        <v>4.1326262041261564E-5</v>
      </c>
      <c r="M293" s="17">
        <f t="shared" si="44"/>
        <v>-5000</v>
      </c>
      <c r="P293" s="215"/>
      <c r="Q293" s="172"/>
      <c r="R293" s="172"/>
      <c r="S293" s="172"/>
      <c r="T293" s="172"/>
      <c r="U293" s="173"/>
    </row>
    <row r="294" spans="1:21" ht="16.95" customHeight="1" x14ac:dyDescent="0.3">
      <c r="A294" s="12" t="str">
        <f t="shared" si="43"/>
        <v>D3X</v>
      </c>
      <c r="C294" s="93">
        <v>1.7857142857142855E-5</v>
      </c>
      <c r="D294" s="93">
        <v>-2.0089285714285717E-5</v>
      </c>
      <c r="E294" s="93">
        <v>3.571428571428571E-5</v>
      </c>
      <c r="F294" s="93">
        <v>1.7857142857142852E-5</v>
      </c>
      <c r="G294" s="93">
        <v>-2.008928571428572E-5</v>
      </c>
      <c r="H294" s="93">
        <v>1.7857142857142848E-5</v>
      </c>
      <c r="I294" s="93">
        <v>-2.0089285714285713E-5</v>
      </c>
      <c r="J294" s="93">
        <v>1.7857142857142852E-5</v>
      </c>
      <c r="K294" s="93">
        <v>-2.008928571428571E-5</v>
      </c>
      <c r="M294" s="17">
        <f t="shared" si="44"/>
        <v>0</v>
      </c>
      <c r="P294" s="215"/>
      <c r="Q294" s="172"/>
      <c r="R294" s="172"/>
      <c r="S294" s="172"/>
      <c r="T294" s="172"/>
      <c r="U294" s="173"/>
    </row>
    <row r="295" spans="1:21" ht="16.95" customHeight="1" x14ac:dyDescent="0.3">
      <c r="A295" s="12" t="str">
        <f t="shared" si="43"/>
        <v>D4X</v>
      </c>
      <c r="C295" s="93">
        <v>1.3392857142857146E-5</v>
      </c>
      <c r="D295" s="93">
        <v>-2.4705470263495152E-5</v>
      </c>
      <c r="E295" s="93">
        <v>1.7857142857142858E-5</v>
      </c>
      <c r="F295" s="93">
        <v>2.5823251678958114E-5</v>
      </c>
      <c r="G295" s="93">
        <v>-2.3036665696681441E-5</v>
      </c>
      <c r="H295" s="93">
        <v>1.4051572646987316E-5</v>
      </c>
      <c r="I295" s="93">
        <v>-1.6945329170020723E-5</v>
      </c>
      <c r="J295" s="93">
        <v>7.1906079007308095E-6</v>
      </c>
      <c r="K295" s="93">
        <v>-1.8014344268109995E-5</v>
      </c>
      <c r="M295" s="17">
        <f t="shared" si="44"/>
        <v>1500</v>
      </c>
      <c r="P295" s="215"/>
      <c r="Q295" s="172"/>
      <c r="R295" s="172"/>
      <c r="S295" s="172"/>
      <c r="T295" s="172"/>
      <c r="U295" s="173"/>
    </row>
    <row r="296" spans="1:21" ht="16.95" customHeight="1" x14ac:dyDescent="0.3">
      <c r="A296" s="12" t="str">
        <f t="shared" si="43"/>
        <v>D4Y</v>
      </c>
      <c r="B296" s="13" t="s">
        <v>220</v>
      </c>
      <c r="C296" s="93">
        <v>-1.5066964285714293E-5</v>
      </c>
      <c r="D296" s="93">
        <v>4.1326262041261564E-5</v>
      </c>
      <c r="E296" s="93">
        <v>-2.008928571428572E-5</v>
      </c>
      <c r="F296" s="93">
        <v>-2.3036665696681435E-5</v>
      </c>
      <c r="G296" s="93">
        <v>4.6215160901010903E-5</v>
      </c>
      <c r="H296" s="93">
        <v>-3.1775850993531921E-6</v>
      </c>
      <c r="I296" s="93">
        <v>3.2596103311102841E-5</v>
      </c>
      <c r="J296" s="93">
        <v>-2.074941446175714E-6</v>
      </c>
      <c r="K296" s="93">
        <v>2.7032441299038515E-5</v>
      </c>
      <c r="M296" s="17">
        <f t="shared" si="44"/>
        <v>-4000</v>
      </c>
      <c r="P296" s="215"/>
      <c r="Q296" s="172"/>
      <c r="R296" s="172"/>
      <c r="S296" s="172"/>
      <c r="T296" s="172"/>
      <c r="U296" s="173"/>
    </row>
    <row r="297" spans="1:21" ht="16.95" customHeight="1" x14ac:dyDescent="0.3">
      <c r="A297" s="12" t="str">
        <f t="shared" si="43"/>
        <v>D5X</v>
      </c>
      <c r="C297" s="93">
        <v>8.4821428571428559E-6</v>
      </c>
      <c r="D297" s="93">
        <v>-1.0044642857142852E-5</v>
      </c>
      <c r="E297" s="93">
        <v>1.7857142857142852E-5</v>
      </c>
      <c r="F297" s="93">
        <v>1.4051572646987319E-5</v>
      </c>
      <c r="G297" s="93">
        <v>-3.1775850993531875E-6</v>
      </c>
      <c r="H297" s="93">
        <v>3.2979010753665879E-5</v>
      </c>
      <c r="I297" s="93">
        <v>-1.0044642857142852E-5</v>
      </c>
      <c r="J297" s="93">
        <v>1.4051572646987312E-5</v>
      </c>
      <c r="K297" s="93">
        <v>-1.6911700614932516E-5</v>
      </c>
      <c r="M297" s="17">
        <f t="shared" si="44"/>
        <v>0</v>
      </c>
      <c r="P297" s="215"/>
      <c r="Q297" s="172"/>
      <c r="R297" s="172"/>
      <c r="S297" s="172"/>
      <c r="T297" s="172"/>
      <c r="U297" s="173"/>
    </row>
    <row r="298" spans="1:21" ht="16.95" customHeight="1" x14ac:dyDescent="0.3">
      <c r="A298" s="12" t="str">
        <f t="shared" si="43"/>
        <v>D5Y</v>
      </c>
      <c r="C298" s="93">
        <v>-1.0044642857142862E-5</v>
      </c>
      <c r="D298" s="93">
        <v>3.9714965508574729E-5</v>
      </c>
      <c r="E298" s="93">
        <v>-2.0089285714285717E-5</v>
      </c>
      <c r="F298" s="93">
        <v>-1.694532917002072E-5</v>
      </c>
      <c r="G298" s="93">
        <v>3.2596103311102834E-5</v>
      </c>
      <c r="H298" s="93">
        <v>-1.0044642857142857E-5</v>
      </c>
      <c r="I298" s="93">
        <v>3.8921314714923937E-5</v>
      </c>
      <c r="J298" s="93">
        <v>-3.1439565442649928E-6</v>
      </c>
      <c r="K298" s="93">
        <v>3.2596103311102827E-5</v>
      </c>
      <c r="M298" s="17">
        <f t="shared" si="44"/>
        <v>-8500</v>
      </c>
      <c r="P298" s="215"/>
      <c r="Q298" s="172"/>
      <c r="R298" s="172"/>
      <c r="S298" s="172"/>
      <c r="T298" s="172"/>
      <c r="U298" s="173"/>
    </row>
    <row r="299" spans="1:21" ht="16.95" customHeight="1" x14ac:dyDescent="0.3">
      <c r="A299" s="12" t="str">
        <f t="shared" si="43"/>
        <v>D6X</v>
      </c>
      <c r="C299" s="93">
        <v>1.339285714285714E-5</v>
      </c>
      <c r="D299" s="93">
        <v>4.6161845492094345E-6</v>
      </c>
      <c r="E299" s="93">
        <v>1.7857142857142852E-5</v>
      </c>
      <c r="F299" s="93">
        <v>7.1906079007308104E-6</v>
      </c>
      <c r="G299" s="93">
        <v>-2.0749414461757115E-6</v>
      </c>
      <c r="H299" s="93">
        <v>1.4051572646987314E-5</v>
      </c>
      <c r="I299" s="93">
        <v>-3.1439565442649894E-6</v>
      </c>
      <c r="J299" s="93">
        <v>2.5823251678958107E-5</v>
      </c>
      <c r="K299" s="93">
        <v>2.9473799823957189E-6</v>
      </c>
      <c r="M299" s="17">
        <f t="shared" si="44"/>
        <v>-1500</v>
      </c>
      <c r="P299" s="215"/>
      <c r="Q299" s="172"/>
      <c r="R299" s="172"/>
      <c r="S299" s="172"/>
      <c r="T299" s="172"/>
      <c r="U299" s="173"/>
    </row>
    <row r="300" spans="1:21" ht="16.95" customHeight="1" x14ac:dyDescent="0.3">
      <c r="A300" s="12" t="str">
        <f t="shared" si="43"/>
        <v>D6Y</v>
      </c>
      <c r="C300" s="93">
        <v>-5.0223214285714325E-6</v>
      </c>
      <c r="D300" s="93">
        <v>4.1326262041261557E-5</v>
      </c>
      <c r="E300" s="93">
        <v>-2.0089285714285713E-5</v>
      </c>
      <c r="F300" s="93">
        <v>-1.8014344268110002E-5</v>
      </c>
      <c r="G300" s="93">
        <v>2.7032441299038515E-5</v>
      </c>
      <c r="H300" s="93">
        <v>-1.6911700614932522E-5</v>
      </c>
      <c r="I300" s="93">
        <v>3.2596103311102827E-5</v>
      </c>
      <c r="J300" s="93">
        <v>2.9473799823957164E-6</v>
      </c>
      <c r="K300" s="93">
        <v>4.6215160901010882E-5</v>
      </c>
      <c r="M300" s="17">
        <f t="shared" si="44"/>
        <v>-4000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0.21595982142857145</v>
      </c>
      <c r="D304" s="12" t="s">
        <v>267</v>
      </c>
      <c r="P304" s="215"/>
      <c r="Q304" s="172"/>
      <c r="R304" s="172"/>
      <c r="S304" s="172"/>
      <c r="T304" s="172"/>
      <c r="U304" s="173"/>
    </row>
    <row r="305" spans="1:21" ht="16.95" customHeight="1" x14ac:dyDescent="0.3">
      <c r="A305" s="12" t="str">
        <f t="shared" si="45"/>
        <v>D2Y</v>
      </c>
      <c r="C305" s="94">
        <v>-0.99804620021649582</v>
      </c>
      <c r="D305" s="12" t="s">
        <v>267</v>
      </c>
      <c r="P305" s="215"/>
      <c r="Q305" s="172"/>
      <c r="R305" s="172"/>
      <c r="S305" s="172"/>
      <c r="T305" s="172"/>
      <c r="U305" s="173"/>
    </row>
    <row r="306" spans="1:21" ht="16.95" customHeight="1" x14ac:dyDescent="0.3">
      <c r="A306" s="12" t="str">
        <f t="shared" si="45"/>
        <v>D3X</v>
      </c>
      <c r="C306" s="94">
        <v>0.43191964285714285</v>
      </c>
      <c r="D306" s="12" t="s">
        <v>267</v>
      </c>
      <c r="P306" s="215"/>
      <c r="Q306" s="172"/>
      <c r="R306" s="172"/>
      <c r="S306" s="172"/>
      <c r="T306" s="172"/>
      <c r="U306" s="173"/>
    </row>
    <row r="307" spans="1:21" ht="16.95" customHeight="1" x14ac:dyDescent="0.3">
      <c r="A307" s="12" t="str">
        <f t="shared" si="45"/>
        <v>D4X</v>
      </c>
      <c r="C307" s="94">
        <v>0.45971565478915855</v>
      </c>
      <c r="D307" s="12" t="s">
        <v>267</v>
      </c>
      <c r="P307" s="215"/>
      <c r="Q307" s="172"/>
      <c r="R307" s="172"/>
      <c r="S307" s="172"/>
      <c r="T307" s="172"/>
      <c r="U307" s="173"/>
    </row>
    <row r="308" spans="1:21" ht="16.95" customHeight="1" x14ac:dyDescent="0.3">
      <c r="A308" s="12" t="str">
        <f t="shared" si="45"/>
        <v>D4Y</v>
      </c>
      <c r="B308" s="13" t="s">
        <v>220</v>
      </c>
      <c r="C308" s="94">
        <v>-0.80813118352663815</v>
      </c>
      <c r="D308" s="12" t="s">
        <v>267</v>
      </c>
      <c r="P308" s="215"/>
      <c r="Q308" s="172"/>
      <c r="R308" s="172"/>
      <c r="S308" s="172"/>
      <c r="T308" s="172"/>
      <c r="U308" s="173"/>
    </row>
    <row r="309" spans="1:21" ht="16.95" customHeight="1" x14ac:dyDescent="0.3">
      <c r="A309" s="12" t="str">
        <f t="shared" si="45"/>
        <v>D5X</v>
      </c>
      <c r="C309" s="94">
        <v>0.21595982142857131</v>
      </c>
      <c r="D309" s="12" t="s">
        <v>267</v>
      </c>
      <c r="P309" s="215"/>
      <c r="Q309" s="172"/>
      <c r="R309" s="172"/>
      <c r="S309" s="172"/>
      <c r="T309" s="172"/>
      <c r="U309" s="173"/>
    </row>
    <row r="310" spans="1:21" ht="16.95" customHeight="1" x14ac:dyDescent="0.3">
      <c r="A310" s="12" t="str">
        <f t="shared" si="45"/>
        <v>D5Y</v>
      </c>
      <c r="C310" s="94">
        <v>-0.81087688804718328</v>
      </c>
      <c r="D310" s="12" t="s">
        <v>267</v>
      </c>
      <c r="P310" s="215"/>
      <c r="Q310" s="172"/>
      <c r="R310" s="172"/>
      <c r="S310" s="172"/>
      <c r="T310" s="172"/>
      <c r="U310" s="173"/>
    </row>
    <row r="311" spans="1:21" ht="16.95" customHeight="1" x14ac:dyDescent="0.3">
      <c r="A311" s="12" t="str">
        <f t="shared" si="45"/>
        <v>D6X</v>
      </c>
      <c r="C311" s="94">
        <v>-2.7796011932015738E-2</v>
      </c>
      <c r="D311" s="12" t="s">
        <v>267</v>
      </c>
      <c r="P311" s="215"/>
      <c r="Q311" s="172"/>
      <c r="R311" s="172"/>
      <c r="S311" s="172"/>
      <c r="T311" s="172"/>
      <c r="U311" s="173"/>
    </row>
    <row r="312" spans="1:21" ht="16.95" customHeight="1" x14ac:dyDescent="0.3">
      <c r="A312" s="12" t="str">
        <f t="shared" si="45"/>
        <v>D6Y</v>
      </c>
      <c r="C312" s="94">
        <v>-0.80813118352663793</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-56000</v>
      </c>
      <c r="D317" s="9">
        <f t="shared" si="46"/>
        <v>0</v>
      </c>
      <c r="E317" s="9">
        <f t="shared" si="46"/>
        <v>0</v>
      </c>
      <c r="F317" s="9">
        <f t="shared" si="46"/>
        <v>-46762.050614470063</v>
      </c>
      <c r="G317" s="9">
        <f t="shared" si="46"/>
        <v>-41566.26721286228</v>
      </c>
      <c r="H317" s="9">
        <f t="shared" si="46"/>
        <v>0</v>
      </c>
      <c r="I317" s="9">
        <f t="shared" si="46"/>
        <v>0</v>
      </c>
      <c r="J317" s="9">
        <f t="shared" si="46"/>
        <v>0</v>
      </c>
      <c r="K317" s="9">
        <f t="shared" si="46"/>
        <v>0</v>
      </c>
      <c r="M317" s="95">
        <f t="shared" ref="M317:M325" si="47">C304</f>
        <v>0.21595982142857145</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-41566.26721286228</v>
      </c>
      <c r="G318" s="9">
        <f t="shared" si="46"/>
        <v>-36947.793078099799</v>
      </c>
      <c r="H318" s="9">
        <f t="shared" si="46"/>
        <v>0</v>
      </c>
      <c r="I318" s="9">
        <f t="shared" si="46"/>
        <v>0</v>
      </c>
      <c r="J318" s="9">
        <f t="shared" si="46"/>
        <v>0</v>
      </c>
      <c r="K318" s="9">
        <f t="shared" si="46"/>
        <v>0</v>
      </c>
      <c r="M318" s="95">
        <f t="shared" si="47"/>
        <v>-0.99804620021649582</v>
      </c>
      <c r="N318" s="14" t="str">
        <f>INDEX(C$248:C$259, MATCH(2, G$248:G$259, 0))</f>
        <v>U1Y</v>
      </c>
      <c r="P318" s="215" t="s">
        <v>391</v>
      </c>
      <c r="Q318" s="172"/>
      <c r="R318" s="172"/>
      <c r="S318" s="172"/>
      <c r="T318" s="172"/>
      <c r="U318" s="173"/>
    </row>
    <row r="319" spans="1:21" ht="16.95" customHeight="1" x14ac:dyDescent="0.3">
      <c r="A319" s="18" t="str">
        <f>INDEX(B$234:B$245, MATCH(N319, C$234:C$245, 0))</f>
        <v>C3Y</v>
      </c>
      <c r="C319" s="9">
        <f t="shared" si="46"/>
        <v>0</v>
      </c>
      <c r="D319" s="9">
        <f t="shared" si="46"/>
        <v>0</v>
      </c>
      <c r="E319" s="9">
        <f t="shared" si="46"/>
        <v>-41566.26721286228</v>
      </c>
      <c r="F319" s="9">
        <f t="shared" si="46"/>
        <v>0</v>
      </c>
      <c r="G319" s="9">
        <f t="shared" si="46"/>
        <v>0</v>
      </c>
      <c r="H319" s="9">
        <f t="shared" si="46"/>
        <v>0</v>
      </c>
      <c r="I319" s="9">
        <f t="shared" si="46"/>
        <v>0</v>
      </c>
      <c r="J319" s="9">
        <f t="shared" si="46"/>
        <v>41566.26721286228</v>
      </c>
      <c r="K319" s="9">
        <f t="shared" si="46"/>
        <v>-36947.793078099799</v>
      </c>
      <c r="M319" s="95">
        <f t="shared" si="47"/>
        <v>0.43191964285714285</v>
      </c>
      <c r="N319" s="14" t="str">
        <f>INDEX(C$248:C$259, MATCH(3, G$248:G$259, 0))</f>
        <v>U3Y</v>
      </c>
      <c r="P319" s="215" t="s">
        <v>392</v>
      </c>
      <c r="Q319" s="172"/>
      <c r="R319" s="172"/>
      <c r="S319" s="172"/>
      <c r="T319" s="172"/>
      <c r="U319" s="173"/>
    </row>
    <row r="320" spans="1:21" ht="16.95" customHeight="1" x14ac:dyDescent="0.3">
      <c r="M320" s="95">
        <f t="shared" si="47"/>
        <v>0.45971565478915855</v>
      </c>
      <c r="P320" s="215" t="s">
        <v>393</v>
      </c>
      <c r="Q320" s="172"/>
      <c r="R320" s="172"/>
      <c r="S320" s="172"/>
      <c r="T320" s="172"/>
      <c r="U320" s="173"/>
    </row>
    <row r="321" spans="1:21" ht="16.95" customHeight="1" x14ac:dyDescent="0.3">
      <c r="M321" s="95">
        <f t="shared" si="47"/>
        <v>-0.80813118352663815</v>
      </c>
      <c r="P321" s="215" t="s">
        <v>394</v>
      </c>
      <c r="Q321" s="172"/>
      <c r="R321" s="172"/>
      <c r="S321" s="172"/>
      <c r="T321" s="172"/>
      <c r="U321" s="173"/>
    </row>
    <row r="322" spans="1:21" ht="16.95" customHeight="1" x14ac:dyDescent="0.3">
      <c r="M322" s="95">
        <f t="shared" si="47"/>
        <v>0.21595982142857131</v>
      </c>
      <c r="P322" s="215"/>
      <c r="Q322" s="172"/>
      <c r="R322" s="172"/>
      <c r="S322" s="172"/>
      <c r="T322" s="172"/>
      <c r="U322" s="173"/>
    </row>
    <row r="323" spans="1:21" ht="16.95" customHeight="1" x14ac:dyDescent="0.3">
      <c r="M323" s="95">
        <f t="shared" si="47"/>
        <v>-0.81087688804718328</v>
      </c>
      <c r="P323" s="215"/>
      <c r="Q323" s="172"/>
      <c r="R323" s="172"/>
      <c r="S323" s="172"/>
      <c r="T323" s="172"/>
      <c r="U323" s="173"/>
    </row>
    <row r="324" spans="1:21" ht="16.95" customHeight="1" x14ac:dyDescent="0.3">
      <c r="M324" s="95">
        <f t="shared" si="47"/>
        <v>-2.7796011932015738E-2</v>
      </c>
      <c r="P324" s="215"/>
      <c r="Q324" s="172"/>
      <c r="R324" s="172"/>
      <c r="S324" s="172"/>
      <c r="T324" s="172"/>
      <c r="U324" s="173"/>
    </row>
    <row r="325" spans="1:21" ht="16.95" customHeight="1" x14ac:dyDescent="0.3">
      <c r="M325" s="95">
        <f t="shared" si="47"/>
        <v>-0.80813118352663793</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1.4551915228366852E-11</v>
      </c>
      <c r="D327" s="12" t="s">
        <v>273</v>
      </c>
      <c r="P327" s="215"/>
      <c r="Q327" s="172"/>
      <c r="R327" s="172"/>
      <c r="S327" s="172"/>
      <c r="T327" s="172"/>
      <c r="U327" s="173"/>
    </row>
    <row r="328" spans="1:21" ht="16.95" customHeight="1" x14ac:dyDescent="0.3">
      <c r="A328" s="12" t="str">
        <f>A318</f>
        <v>C1Y</v>
      </c>
      <c r="B328" s="13" t="s">
        <v>220</v>
      </c>
      <c r="C328" s="17">
        <v>10750.000000000004</v>
      </c>
      <c r="D328" s="12" t="s">
        <v>273</v>
      </c>
      <c r="P328" s="215"/>
      <c r="Q328" s="172"/>
      <c r="R328" s="172"/>
      <c r="S328" s="172"/>
      <c r="T328" s="172"/>
      <c r="U328" s="173"/>
    </row>
    <row r="329" spans="1:21" ht="16.95" customHeight="1" x14ac:dyDescent="0.3">
      <c r="A329" s="12" t="str">
        <f>A319</f>
        <v>C3Y</v>
      </c>
      <c r="C329" s="17">
        <v>10749.999999999993</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0.21595982142857145</v>
      </c>
    </row>
    <row r="337" spans="1:21" ht="19.05" customHeight="1" x14ac:dyDescent="0.3">
      <c r="A337" s="12" t="s">
        <v>231</v>
      </c>
      <c r="B337" s="12" t="s">
        <v>181</v>
      </c>
      <c r="D337" s="94">
        <f t="shared" si="48"/>
        <v>-0.99804620021649582</v>
      </c>
    </row>
    <row r="338" spans="1:21" ht="19.05" customHeight="1" x14ac:dyDescent="0.3">
      <c r="A338" s="12" t="s">
        <v>232</v>
      </c>
      <c r="B338" s="12" t="s">
        <v>182</v>
      </c>
      <c r="D338" s="94">
        <f t="shared" si="48"/>
        <v>0.43191964285714285</v>
      </c>
    </row>
    <row r="339" spans="1:21" ht="19.05" customHeight="1" x14ac:dyDescent="0.3">
      <c r="A339" s="12" t="s">
        <v>234</v>
      </c>
      <c r="B339" s="12" t="s">
        <v>183</v>
      </c>
      <c r="D339" s="94">
        <f t="shared" si="48"/>
        <v>0</v>
      </c>
    </row>
    <row r="340" spans="1:21" ht="19.05" customHeight="1" x14ac:dyDescent="0.3">
      <c r="A340" s="12" t="s">
        <v>235</v>
      </c>
      <c r="B340" s="12" t="s">
        <v>184</v>
      </c>
      <c r="D340" s="94">
        <f t="shared" si="48"/>
        <v>0.45971565478915855</v>
      </c>
    </row>
    <row r="341" spans="1:21" ht="19.05" customHeight="1" x14ac:dyDescent="0.3">
      <c r="A341" s="12" t="s">
        <v>236</v>
      </c>
      <c r="B341" s="12" t="s">
        <v>185</v>
      </c>
      <c r="D341" s="94">
        <f t="shared" si="48"/>
        <v>-0.80813118352663815</v>
      </c>
    </row>
    <row r="342" spans="1:21" ht="19.05" customHeight="1" x14ac:dyDescent="0.3">
      <c r="A342" s="12" t="s">
        <v>237</v>
      </c>
      <c r="B342" s="12" t="s">
        <v>186</v>
      </c>
      <c r="D342" s="94">
        <f t="shared" si="48"/>
        <v>0.21595982142857131</v>
      </c>
    </row>
    <row r="343" spans="1:21" ht="19.05" customHeight="1" x14ac:dyDescent="0.3">
      <c r="A343" s="12" t="s">
        <v>238</v>
      </c>
      <c r="B343" s="12" t="s">
        <v>187</v>
      </c>
      <c r="D343" s="94">
        <f t="shared" si="48"/>
        <v>-0.81087688804718328</v>
      </c>
    </row>
    <row r="344" spans="1:21" ht="19.05" customHeight="1" x14ac:dyDescent="0.3">
      <c r="A344" s="12" t="s">
        <v>239</v>
      </c>
      <c r="B344" s="12" t="s">
        <v>188</v>
      </c>
      <c r="D344" s="94">
        <f t="shared" si="48"/>
        <v>-2.7796011932015738E-2</v>
      </c>
    </row>
    <row r="345" spans="1:21" ht="19.05" customHeight="1" x14ac:dyDescent="0.3">
      <c r="A345" s="12" t="s">
        <v>240</v>
      </c>
      <c r="B345" s="12" t="s">
        <v>189</v>
      </c>
      <c r="D345" s="94">
        <f t="shared" si="48"/>
        <v>-0.80813118352663793</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56000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12093.750000000002</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0.21595982142857145</v>
      </c>
      <c r="H354" s="12" t="str">
        <f>"D" &amp; E18 &amp; "X"</f>
        <v>D2X</v>
      </c>
      <c r="P354" s="215" t="s">
        <v>400</v>
      </c>
      <c r="Q354" s="172"/>
      <c r="R354" s="172"/>
      <c r="S354" s="172"/>
      <c r="T354" s="172"/>
      <c r="U354" s="173"/>
    </row>
    <row r="355" spans="1:21" ht="16.95" customHeight="1" x14ac:dyDescent="0.3">
      <c r="G355" s="96">
        <f>IFERROR(VLOOKUP(H355, A$334:D$345, 4, FALSE), 0)</f>
        <v>-0.99804620021649582</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56000</v>
      </c>
      <c r="C360" s="92">
        <f>-J7</f>
        <v>-1</v>
      </c>
      <c r="D360" s="92">
        <f>-K7</f>
        <v>0</v>
      </c>
      <c r="E360" s="92">
        <f>J7</f>
        <v>1</v>
      </c>
      <c r="F360" s="92">
        <f>K7</f>
        <v>0</v>
      </c>
      <c r="G360" s="96">
        <f>IFERROR(VLOOKUP(H360, A$334:D$345, 4, FALSE), 0)</f>
        <v>0.21595982142857145</v>
      </c>
      <c r="H360" s="12" t="str">
        <f>"D" &amp; C19 &amp; "X"</f>
        <v>D2X</v>
      </c>
      <c r="P360" s="215"/>
      <c r="Q360" s="172"/>
      <c r="R360" s="172"/>
      <c r="S360" s="172"/>
      <c r="T360" s="172"/>
      <c r="U360" s="173"/>
    </row>
    <row r="361" spans="1:21" ht="16.95" customHeight="1" x14ac:dyDescent="0.3">
      <c r="A361" s="99" t="s">
        <v>286</v>
      </c>
      <c r="B361" s="97">
        <f>(MMULT(C360:F360, G360:G363)*A360)</f>
        <v>12093.749999999998</v>
      </c>
      <c r="G361" s="96">
        <f>IFERROR(VLOOKUP(H361, A$334:D$345, 4, FALSE), 0)</f>
        <v>-0.99804620021649582</v>
      </c>
      <c r="H361" s="12" t="str">
        <f>"D" &amp; D19 &amp; "Y"</f>
        <v>D2Y</v>
      </c>
      <c r="P361" s="215"/>
      <c r="Q361" s="172"/>
      <c r="R361" s="172"/>
      <c r="S361" s="172"/>
      <c r="T361" s="172"/>
      <c r="U361" s="173"/>
    </row>
    <row r="362" spans="1:21" ht="16.95" customHeight="1" x14ac:dyDescent="0.3">
      <c r="G362" s="96">
        <f>IFERROR(VLOOKUP(H362, A$334:D$345, 4, FALSE), 0)</f>
        <v>0.43191964285714285</v>
      </c>
      <c r="H362" s="12" t="str">
        <f>"D" &amp; E19 &amp; "X"</f>
        <v>D3X</v>
      </c>
      <c r="P362" s="215"/>
      <c r="Q362" s="172"/>
      <c r="R362" s="172"/>
      <c r="S362" s="172"/>
      <c r="T362" s="172"/>
      <c r="U362" s="173"/>
    </row>
    <row r="363" spans="1:21" ht="16.95" customHeight="1" x14ac:dyDescent="0.3">
      <c r="G363" s="96">
        <f>IFERROR(VLOOKUP(H363, A$334:D$345, 4, FALSE), 0)</f>
        <v>0</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83709.843692569877</v>
      </c>
      <c r="C368" s="92">
        <f>-J8</f>
        <v>-0.74740931868365967</v>
      </c>
      <c r="D368" s="92">
        <f>-K8</f>
        <v>-0.66436383882991967</v>
      </c>
      <c r="E368" s="92">
        <f>J8</f>
        <v>0.74740931868365967</v>
      </c>
      <c r="F368" s="92">
        <f>K8</f>
        <v>0.66436383882991967</v>
      </c>
      <c r="G368" s="96">
        <f>IFERROR(VLOOKUP(H368, A$334:D$345, 4, FALSE), 0)</f>
        <v>0</v>
      </c>
      <c r="H368" s="12" t="str">
        <f>"D" &amp; C20 &amp; "X"</f>
        <v>D1X</v>
      </c>
      <c r="P368" s="215"/>
      <c r="Q368" s="172"/>
      <c r="R368" s="172"/>
      <c r="S368" s="172"/>
      <c r="T368" s="172"/>
      <c r="U368" s="173"/>
    </row>
    <row r="369" spans="1:21" ht="16.95" customHeight="1" x14ac:dyDescent="0.3">
      <c r="A369" s="99" t="s">
        <v>287</v>
      </c>
      <c r="B369" s="97">
        <f>(MMULT(C368:F368, G368:G371)*A368)</f>
        <v>-16180.892715252156</v>
      </c>
      <c r="G369" s="96">
        <f>IFERROR(VLOOKUP(H369, A$334:D$345, 4, FALSE), 0)</f>
        <v>0</v>
      </c>
      <c r="H369" s="12" t="str">
        <f>"D" &amp; D20 &amp; "Y"</f>
        <v>D1Y</v>
      </c>
      <c r="P369" s="215"/>
      <c r="Q369" s="172"/>
      <c r="R369" s="172"/>
      <c r="S369" s="172"/>
      <c r="T369" s="172"/>
      <c r="U369" s="173"/>
    </row>
    <row r="370" spans="1:21" ht="16.95" customHeight="1" x14ac:dyDescent="0.3">
      <c r="G370" s="96">
        <f>IFERROR(VLOOKUP(H370, A$334:D$345, 4, FALSE), 0)</f>
        <v>0.45971565478915855</v>
      </c>
      <c r="H370" s="12" t="str">
        <f>"D" &amp; E20 &amp; "X"</f>
        <v>D4X</v>
      </c>
      <c r="P370" s="215"/>
      <c r="Q370" s="172"/>
      <c r="R370" s="172"/>
      <c r="S370" s="172"/>
      <c r="T370" s="172"/>
      <c r="U370" s="173"/>
    </row>
    <row r="371" spans="1:21" ht="16.95" customHeight="1" x14ac:dyDescent="0.3">
      <c r="G371" s="96">
        <f>IFERROR(VLOOKUP(H371, A$334:D$345, 4, FALSE), 0)</f>
        <v>-0.80813118352663815</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COMPRESIÓN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80080.746929462461</v>
      </c>
      <c r="C376" s="92">
        <f>-J9</f>
        <v>-0.71500666901305765</v>
      </c>
      <c r="D376" s="92">
        <f>-K9</f>
        <v>-0.69911763192387855</v>
      </c>
      <c r="E376" s="92">
        <f>J9</f>
        <v>0.71500666901305765</v>
      </c>
      <c r="F376" s="92">
        <f>K9</f>
        <v>0.69911763192387855</v>
      </c>
      <c r="G376" s="96">
        <f>IFERROR(VLOOKUP(H376, A$334:D$345, 4, FALSE), 0)</f>
        <v>0.45971565478915855</v>
      </c>
      <c r="H376" s="12" t="str">
        <f>"D" &amp; C21 &amp; "X"</f>
        <v>D4X</v>
      </c>
    </row>
    <row r="377" spans="1:21" ht="19.95" customHeight="1" x14ac:dyDescent="0.3">
      <c r="A377" s="99" t="s">
        <v>288</v>
      </c>
      <c r="B377" s="97">
        <f>(MMULT(C376:F376, G376:G379)*A376)</f>
        <v>-14110.757495747865</v>
      </c>
      <c r="G377" s="96">
        <f>IFERROR(VLOOKUP(H377, A$334:D$345, 4, FALSE), 0)</f>
        <v>-0.80813118352663815</v>
      </c>
      <c r="H377" s="12" t="str">
        <f>"D" &amp; D21 &amp; "Y"</f>
        <v>D4Y</v>
      </c>
    </row>
    <row r="378" spans="1:21" ht="19.95" customHeight="1" x14ac:dyDescent="0.3">
      <c r="G378" s="96">
        <f>IFERROR(VLOOKUP(H378, A$334:D$345, 4, FALSE), 0)</f>
        <v>0.21595982142857131</v>
      </c>
      <c r="H378" s="12" t="str">
        <f>"D" &amp; E21 &amp; "X"</f>
        <v>D5X</v>
      </c>
    </row>
    <row r="379" spans="1:21" ht="19.95" customHeight="1" x14ac:dyDescent="0.3">
      <c r="G379" s="96">
        <f>IFERROR(VLOOKUP(H379, A$334:D$345, 4, FALSE), 0)</f>
        <v>-0.81087688804718328</v>
      </c>
      <c r="H379" s="12" t="str">
        <f>"D" &amp; F21 &amp; "Y"</f>
        <v>D5Y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80080.746929462461</v>
      </c>
      <c r="C384" s="92">
        <f>-J10</f>
        <v>-0.71500666901305765</v>
      </c>
      <c r="D384" s="92">
        <f>-K10</f>
        <v>0.69911763192387855</v>
      </c>
      <c r="E384" s="92">
        <f>J10</f>
        <v>0.71500666901305765</v>
      </c>
      <c r="F384" s="92">
        <f>K10</f>
        <v>-0.69911763192387855</v>
      </c>
      <c r="G384" s="96">
        <f>IFERROR(VLOOKUP(H384, A$334:D$345, 4, FALSE), 0)</f>
        <v>0.21595982142857131</v>
      </c>
      <c r="H384" s="12" t="str">
        <f>"D" &amp; C22 &amp; "X"</f>
        <v>D5X</v>
      </c>
    </row>
    <row r="385" spans="1:8" ht="19.95" customHeight="1" x14ac:dyDescent="0.3">
      <c r="A385" s="99" t="s">
        <v>289</v>
      </c>
      <c r="B385" s="97">
        <f>(MMULT(C384:F384, G384:G387)*A384)</f>
        <v>-14110.757495747865</v>
      </c>
      <c r="G385" s="96">
        <f>IFERROR(VLOOKUP(H385, A$334:D$345, 4, FALSE), 0)</f>
        <v>-0.81087688804718328</v>
      </c>
      <c r="H385" s="12" t="str">
        <f>"D" &amp; D22 &amp; "Y"</f>
        <v>D5Y</v>
      </c>
    </row>
    <row r="386" spans="1:8" ht="19.95" customHeight="1" x14ac:dyDescent="0.3">
      <c r="G386" s="96">
        <f>IFERROR(VLOOKUP(H386, A$334:D$345, 4, FALSE), 0)</f>
        <v>-2.7796011932015738E-2</v>
      </c>
      <c r="H386" s="12" t="str">
        <f>"D" &amp; E22 &amp; "X"</f>
        <v>D6X</v>
      </c>
    </row>
    <row r="387" spans="1:8" ht="19.95" customHeight="1" x14ac:dyDescent="0.3">
      <c r="G387" s="96">
        <f>IFERROR(VLOOKUP(H387, A$334:D$345, 4, FALSE), 0)</f>
        <v>-0.80813118352663793</v>
      </c>
      <c r="H387" s="12" t="str">
        <f>"D" &amp; F22 &amp; "Y"</f>
        <v>D6Y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83709.843692569877</v>
      </c>
      <c r="C392" s="92">
        <f>-J11</f>
        <v>-0.74740931868365967</v>
      </c>
      <c r="D392" s="92">
        <f>-K11</f>
        <v>0.66436383882991967</v>
      </c>
      <c r="E392" s="92">
        <f>J11</f>
        <v>0.74740931868365967</v>
      </c>
      <c r="F392" s="92">
        <f>K11</f>
        <v>-0.66436383882991967</v>
      </c>
      <c r="G392" s="96">
        <f>IFERROR(VLOOKUP(H392, A$334:D$345, 4, FALSE), 0)</f>
        <v>-2.7796011932015738E-2</v>
      </c>
      <c r="H392" s="12" t="str">
        <f>"D" &amp; C23 &amp; "X"</f>
        <v>D6X</v>
      </c>
    </row>
    <row r="393" spans="1:8" ht="19.95" customHeight="1" x14ac:dyDescent="0.3">
      <c r="A393" s="99" t="s">
        <v>290</v>
      </c>
      <c r="B393" s="97">
        <f>(MMULT(C392:F392, G392:G395)*A392)</f>
        <v>-16180.892715252141</v>
      </c>
      <c r="G393" s="96">
        <f>IFERROR(VLOOKUP(H393, A$334:D$345, 4, FALSE), 0)</f>
        <v>-0.80813118352663793</v>
      </c>
      <c r="H393" s="12" t="str">
        <f>"D" &amp; D23 &amp; "Y"</f>
        <v>D6Y</v>
      </c>
    </row>
    <row r="394" spans="1:8" ht="19.95" customHeight="1" x14ac:dyDescent="0.3">
      <c r="G394" s="96">
        <f>IFERROR(VLOOKUP(H394, A$334:D$345, 4, FALSE), 0)</f>
        <v>0.43191964285714285</v>
      </c>
      <c r="H394" s="12" t="str">
        <f>"D" &amp; E23 &amp; "X"</f>
        <v>D3X</v>
      </c>
    </row>
    <row r="395" spans="1:8" ht="19.95" customHeight="1" x14ac:dyDescent="0.3">
      <c r="G395" s="96">
        <f>IFERROR(VLOOKUP(H395, A$334:D$345, 4, FALSE), 0)</f>
        <v>0</v>
      </c>
      <c r="H395" s="12" t="str">
        <f>"D" &amp; F23 &amp; "Y"</f>
        <v>D3Y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83709.843692569877</v>
      </c>
      <c r="C400" s="92">
        <f>-J12</f>
        <v>0.74740931868365967</v>
      </c>
      <c r="D400" s="92">
        <f>-K12</f>
        <v>-0.66436383882991967</v>
      </c>
      <c r="E400" s="92">
        <f>J12</f>
        <v>-0.74740931868365967</v>
      </c>
      <c r="F400" s="92">
        <f>K12</f>
        <v>0.66436383882991967</v>
      </c>
      <c r="G400" s="96">
        <f>IFERROR(VLOOKUP(H400, A$334:D$345, 4, FALSE), 0)</f>
        <v>0.21595982142857145</v>
      </c>
      <c r="H400" s="12" t="str">
        <f>"D" &amp; C24 &amp; "X"</f>
        <v>D2X</v>
      </c>
    </row>
    <row r="401" spans="1:8" ht="19.95" customHeight="1" x14ac:dyDescent="0.3">
      <c r="A401" s="99" t="s">
        <v>291</v>
      </c>
      <c r="B401" s="97">
        <f>(MMULT(C400:F400, G400:G403)*A400)</f>
        <v>-4688.8153493809223</v>
      </c>
      <c r="G401" s="96">
        <f>IFERROR(VLOOKUP(H401, A$334:D$345, 4, FALSE), 0)</f>
        <v>-0.99804620021649582</v>
      </c>
      <c r="H401" s="12" t="str">
        <f>"D" &amp; D24 &amp; "Y"</f>
        <v>D2Y</v>
      </c>
    </row>
    <row r="402" spans="1:8" ht="19.95" customHeight="1" x14ac:dyDescent="0.3">
      <c r="G402" s="96">
        <f>IFERROR(VLOOKUP(H402, A$334:D$345, 4, FALSE), 0)</f>
        <v>0.45971565478915855</v>
      </c>
      <c r="H402" s="12" t="str">
        <f>"D" &amp; E24 &amp; "X"</f>
        <v>D4X</v>
      </c>
    </row>
    <row r="403" spans="1:8" ht="19.95" customHeight="1" x14ac:dyDescent="0.3">
      <c r="G403" s="96">
        <f>IFERROR(VLOOKUP(H403, A$334:D$345, 4, FALSE), 0)</f>
        <v>-0.80813118352663815</v>
      </c>
      <c r="H403" s="12" t="str">
        <f>"D" &amp; F24 &amp; "Y"</f>
        <v>D4Y</v>
      </c>
    </row>
    <row r="404" spans="1:8" ht="19.95" customHeight="1" x14ac:dyDescent="0.3">
      <c r="B404" s="99" t="s">
        <v>273</v>
      </c>
      <c r="C404" s="178" t="str">
        <f>IF(B401&gt;0.001,"BARRA A TRACCIÓN (+)",IF(B401&lt;-0.001,"BARRA A COMPRESIÓN (-)","BARRA DE FUERZA NULA"))</f>
        <v>BARRA A COMPRESIÓN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60000</v>
      </c>
      <c r="C408" s="92">
        <f>-J13</f>
        <v>0</v>
      </c>
      <c r="D408" s="92">
        <f>-K13</f>
        <v>-1</v>
      </c>
      <c r="E408" s="92">
        <f>J13</f>
        <v>0</v>
      </c>
      <c r="F408" s="92">
        <f>K13</f>
        <v>1</v>
      </c>
      <c r="G408" s="96">
        <f>IFERROR(VLOOKUP(H408, A$334:D$345, 4, FALSE), 0)</f>
        <v>0.21595982142857145</v>
      </c>
      <c r="H408" s="12" t="str">
        <f>"D" &amp; C25 &amp; "X"</f>
        <v>D2X</v>
      </c>
    </row>
    <row r="409" spans="1:8" ht="19.95" customHeight="1" x14ac:dyDescent="0.3">
      <c r="A409" s="99" t="s">
        <v>292</v>
      </c>
      <c r="B409" s="97">
        <f>(MMULT(C408:F408, G408:G411)*A408)</f>
        <v>11230.158730158753</v>
      </c>
      <c r="G409" s="96">
        <f>IFERROR(VLOOKUP(H409, A$334:D$345, 4, FALSE), 0)</f>
        <v>-0.99804620021649582</v>
      </c>
      <c r="H409" s="12" t="str">
        <f>"D" &amp; D25 &amp; "Y"</f>
        <v>D2Y</v>
      </c>
    </row>
    <row r="410" spans="1:8" ht="19.95" customHeight="1" x14ac:dyDescent="0.3">
      <c r="G410" s="96">
        <f>IFERROR(VLOOKUP(H410, A$334:D$345, 4, FALSE), 0)</f>
        <v>0.21595982142857131</v>
      </c>
      <c r="H410" s="12" t="str">
        <f>"D" &amp; E25 &amp; "X"</f>
        <v>D5X</v>
      </c>
    </row>
    <row r="411" spans="1:8" ht="19.95" customHeight="1" x14ac:dyDescent="0.3">
      <c r="G411" s="96">
        <f>IFERROR(VLOOKUP(H411, A$334:D$345, 4, FALSE), 0)</f>
        <v>-0.81087688804718328</v>
      </c>
      <c r="H411" s="12" t="str">
        <f>"D" &amp; F25 &amp; "Y"</f>
        <v>D5Y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83709.843692569877</v>
      </c>
      <c r="C416" s="92">
        <f>-J14</f>
        <v>-0.74740931868365967</v>
      </c>
      <c r="D416" s="92">
        <f>-K14</f>
        <v>-0.66436383882991967</v>
      </c>
      <c r="E416" s="92">
        <f>J14</f>
        <v>0.74740931868365967</v>
      </c>
      <c r="F416" s="92">
        <f>K14</f>
        <v>0.66436383882991967</v>
      </c>
      <c r="G416" s="96">
        <f>IFERROR(VLOOKUP(H416, A$334:D$345, 4, FALSE), 0)</f>
        <v>0.21595982142857145</v>
      </c>
      <c r="H416" s="12" t="str">
        <f>"D" &amp; C26 &amp; "X"</f>
        <v>D2X</v>
      </c>
    </row>
    <row r="417" spans="1:8" ht="19.95" customHeight="1" x14ac:dyDescent="0.3">
      <c r="A417" s="99" t="s">
        <v>530</v>
      </c>
      <c r="B417" s="97">
        <f>(MMULT(C416:F416, G416:G419)*A416)</f>
        <v>-4688.8153493809223</v>
      </c>
      <c r="G417" s="96">
        <f>IFERROR(VLOOKUP(H417, A$334:D$345, 4, FALSE), 0)</f>
        <v>-0.99804620021649582</v>
      </c>
      <c r="H417" s="12" t="str">
        <f>"D" &amp; D26 &amp; "Y"</f>
        <v>D2Y</v>
      </c>
    </row>
    <row r="418" spans="1:8" ht="19.95" customHeight="1" x14ac:dyDescent="0.3">
      <c r="G418" s="96">
        <f>IFERROR(VLOOKUP(H418, A$334:D$345, 4, FALSE), 0)</f>
        <v>-2.7796011932015738E-2</v>
      </c>
      <c r="H418" s="12" t="str">
        <f>"D" &amp; E26 &amp; "X"</f>
        <v>D6X</v>
      </c>
    </row>
    <row r="419" spans="1:8" ht="19.95" customHeight="1" x14ac:dyDescent="0.3">
      <c r="G419" s="96">
        <f>IFERROR(VLOOKUP(H419, A$334:D$345, 4, FALSE), 0)</f>
        <v>-0.80813118352663793</v>
      </c>
      <c r="H419" s="12" t="str">
        <f>"D" &amp; F26 &amp; "Y"</f>
        <v>D6Y</v>
      </c>
    </row>
    <row r="420" spans="1:8" ht="19.95" customHeight="1" x14ac:dyDescent="0.3">
      <c r="B420" s="99" t="s">
        <v>273</v>
      </c>
      <c r="C420" s="178" t="str">
        <f>IF(B417&gt;0.001,"BARRA A TRACCIÓN (+)",IF(B417&lt;-0.001,"BARRA A COMPRESIÓN (-)","BARRA DE FUERZA NULA"))</f>
        <v>BARRA A COMPRESIÓN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450</v>
      </c>
      <c r="F425" s="9">
        <f t="shared" ref="F425:F433" si="52">L6</f>
        <v>12</v>
      </c>
      <c r="G425" s="97">
        <f>B353</f>
        <v>12093.750000000002</v>
      </c>
      <c r="H425" s="84" t="str">
        <f>C356</f>
        <v>BARRA A TRACCIÓN (+)</v>
      </c>
    </row>
    <row r="426" spans="1:8" ht="19.95" customHeight="1" x14ac:dyDescent="0.3">
      <c r="B426" s="25">
        <v>2</v>
      </c>
      <c r="C426" s="86">
        <f t="shared" si="49"/>
        <v>2</v>
      </c>
      <c r="D426" s="86">
        <f t="shared" si="50"/>
        <v>3</v>
      </c>
      <c r="E426" s="9">
        <f t="shared" si="51"/>
        <v>450</v>
      </c>
      <c r="F426" s="9">
        <f t="shared" si="52"/>
        <v>12</v>
      </c>
      <c r="G426" s="97">
        <f>B361</f>
        <v>12093.749999999998</v>
      </c>
      <c r="H426" s="84" t="str">
        <f>C364</f>
        <v>BARRA A TRACCIÓN (+)</v>
      </c>
    </row>
    <row r="427" spans="1:8" ht="19.95" customHeight="1" x14ac:dyDescent="0.3">
      <c r="B427" s="26">
        <v>3</v>
      </c>
      <c r="C427" s="86">
        <f t="shared" si="49"/>
        <v>1</v>
      </c>
      <c r="D427" s="86">
        <f t="shared" si="50"/>
        <v>4</v>
      </c>
      <c r="E427" s="9">
        <f t="shared" si="51"/>
        <v>301.03986446980741</v>
      </c>
      <c r="F427" s="9">
        <f t="shared" si="52"/>
        <v>12</v>
      </c>
      <c r="G427" s="97">
        <f>B369</f>
        <v>-16180.892715252156</v>
      </c>
      <c r="H427" s="84" t="str">
        <f>C372</f>
        <v>BARRA A COMPRESIÓN (-)</v>
      </c>
    </row>
    <row r="428" spans="1:8" ht="19.95" customHeight="1" x14ac:dyDescent="0.3">
      <c r="B428" s="43">
        <v>4</v>
      </c>
      <c r="C428" s="86">
        <f t="shared" si="49"/>
        <v>4</v>
      </c>
      <c r="D428" s="86">
        <f t="shared" si="50"/>
        <v>5</v>
      </c>
      <c r="E428" s="9">
        <f t="shared" si="51"/>
        <v>314.68237955119127</v>
      </c>
      <c r="F428" s="9">
        <f t="shared" si="52"/>
        <v>12</v>
      </c>
      <c r="G428" s="97">
        <f>B377</f>
        <v>-14110.757495747865</v>
      </c>
      <c r="H428" s="84" t="str">
        <f>C380</f>
        <v>BARRA A COMPRESIÓN (-)</v>
      </c>
    </row>
    <row r="429" spans="1:8" ht="19.95" customHeight="1" x14ac:dyDescent="0.3">
      <c r="B429" s="44">
        <v>5</v>
      </c>
      <c r="C429" s="86">
        <f t="shared" si="49"/>
        <v>5</v>
      </c>
      <c r="D429" s="86">
        <f t="shared" si="50"/>
        <v>6</v>
      </c>
      <c r="E429" s="9">
        <f t="shared" si="51"/>
        <v>314.68237955119127</v>
      </c>
      <c r="F429" s="9">
        <f t="shared" si="52"/>
        <v>12</v>
      </c>
      <c r="G429" s="97">
        <f>B385</f>
        <v>-14110.757495747865</v>
      </c>
      <c r="H429" s="84" t="str">
        <f>C388</f>
        <v>BARRA A COMPRESIÓN (-)</v>
      </c>
    </row>
    <row r="430" spans="1:8" ht="19.95" customHeight="1" x14ac:dyDescent="0.3">
      <c r="B430" s="51">
        <v>6</v>
      </c>
      <c r="C430" s="86">
        <f t="shared" si="49"/>
        <v>6</v>
      </c>
      <c r="D430" s="86">
        <f t="shared" si="50"/>
        <v>3</v>
      </c>
      <c r="E430" s="9">
        <f t="shared" si="51"/>
        <v>301.03986446980741</v>
      </c>
      <c r="F430" s="9">
        <f t="shared" si="52"/>
        <v>12</v>
      </c>
      <c r="G430" s="97">
        <f>B393</f>
        <v>-16180.892715252141</v>
      </c>
      <c r="H430" s="84" t="str">
        <f>C396</f>
        <v>BARRA A COMPRESIÓN (-)</v>
      </c>
    </row>
    <row r="431" spans="1:8" ht="19.95" customHeight="1" x14ac:dyDescent="0.3">
      <c r="B431" s="52">
        <v>7</v>
      </c>
      <c r="C431" s="86">
        <f t="shared" si="49"/>
        <v>2</v>
      </c>
      <c r="D431" s="86">
        <f t="shared" si="50"/>
        <v>4</v>
      </c>
      <c r="E431" s="9">
        <f t="shared" si="51"/>
        <v>301.03986446980741</v>
      </c>
      <c r="F431" s="9">
        <f t="shared" si="52"/>
        <v>12</v>
      </c>
      <c r="G431" s="97">
        <f>B401</f>
        <v>-4688.8153493809223</v>
      </c>
      <c r="H431" s="84" t="str">
        <f>C404</f>
        <v>BARRA A COMPRESIÓN (-)</v>
      </c>
    </row>
    <row r="432" spans="1:8" ht="19.95" customHeight="1" x14ac:dyDescent="0.3">
      <c r="B432" s="59">
        <v>8</v>
      </c>
      <c r="C432" s="86">
        <f t="shared" si="49"/>
        <v>2</v>
      </c>
      <c r="D432" s="86">
        <f t="shared" si="50"/>
        <v>5</v>
      </c>
      <c r="E432" s="9">
        <f t="shared" si="51"/>
        <v>420</v>
      </c>
      <c r="F432" s="9">
        <f t="shared" si="52"/>
        <v>12</v>
      </c>
      <c r="G432" s="97">
        <f>B409</f>
        <v>11230.158730158753</v>
      </c>
      <c r="H432" s="84" t="str">
        <f>C412</f>
        <v>BARRA A TRACCIÓN (+)</v>
      </c>
    </row>
    <row r="433" spans="2:8" ht="19.95" customHeight="1" x14ac:dyDescent="0.3">
      <c r="B433" s="60">
        <v>9</v>
      </c>
      <c r="C433" s="86">
        <f t="shared" si="49"/>
        <v>2</v>
      </c>
      <c r="D433" s="86">
        <f t="shared" si="50"/>
        <v>6</v>
      </c>
      <c r="E433" s="9">
        <f t="shared" si="51"/>
        <v>301.03986446980741</v>
      </c>
      <c r="F433" s="9">
        <f t="shared" si="52"/>
        <v>12</v>
      </c>
      <c r="G433" s="97">
        <f>B417</f>
        <v>-4688.8153493809223</v>
      </c>
      <c r="H433" s="84" t="str">
        <f>C420</f>
        <v>BARRA A COMPRESIÓN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540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400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400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400</v>
      </c>
      <c r="AC11" t="s">
        <v>324</v>
      </c>
    </row>
    <row r="12" spans="2:29" x14ac:dyDescent="0.3">
      <c r="AA12" s="20">
        <f>IF(G30="","",G30)</f>
        <v>400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513</v>
      </c>
      <c r="K14" s="172"/>
      <c r="L14" s="172"/>
      <c r="M14" s="172"/>
      <c r="N14" s="172"/>
      <c r="O14" s="173"/>
      <c r="AA14" s="20">
        <f>IF(E31="","",E31)</f>
        <v>400</v>
      </c>
      <c r="AB14" s="20">
        <f>IF(F31="","",F31)</f>
        <v>0</v>
      </c>
      <c r="AC14" t="s">
        <v>328</v>
      </c>
    </row>
    <row r="15" spans="2:29" ht="19.05" customHeight="1" x14ac:dyDescent="0.3">
      <c r="B15" s="89">
        <v>2</v>
      </c>
      <c r="C15" s="21">
        <v>0</v>
      </c>
      <c r="D15" s="21">
        <v>400</v>
      </c>
      <c r="E15" s="21" t="s">
        <v>417</v>
      </c>
      <c r="F15" s="88">
        <f t="shared" si="0"/>
        <v>1</v>
      </c>
      <c r="G15" s="88">
        <f t="shared" si="1"/>
        <v>0</v>
      </c>
      <c r="H15" s="22">
        <v>0</v>
      </c>
      <c r="I15" s="22">
        <v>0</v>
      </c>
      <c r="J15" s="205" t="s">
        <v>514</v>
      </c>
      <c r="K15" s="172"/>
      <c r="L15" s="172"/>
      <c r="M15" s="172"/>
      <c r="N15" s="172"/>
      <c r="O15" s="173"/>
      <c r="AA15" s="20">
        <f>IF(G31="","",G31)</f>
        <v>400</v>
      </c>
      <c r="AB15" s="20">
        <f>IF(H31="","",H31)</f>
        <v>200</v>
      </c>
      <c r="AC15" t="s">
        <v>331</v>
      </c>
    </row>
    <row r="16" spans="2:29" ht="19.05" customHeight="1" x14ac:dyDescent="0.3">
      <c r="B16" s="89">
        <v>3</v>
      </c>
      <c r="C16" s="21">
        <v>400</v>
      </c>
      <c r="D16" s="21">
        <v>200</v>
      </c>
      <c r="E16" s="21" t="s">
        <v>326</v>
      </c>
      <c r="F16" s="88">
        <f t="shared" si="0"/>
        <v>0</v>
      </c>
      <c r="G16" s="88">
        <f t="shared" si="1"/>
        <v>0</v>
      </c>
      <c r="H16" s="22">
        <v>0</v>
      </c>
      <c r="I16" s="22">
        <v>-4000</v>
      </c>
      <c r="J16" s="205" t="s">
        <v>541</v>
      </c>
      <c r="K16" s="172"/>
      <c r="L16" s="172"/>
      <c r="M16" s="172"/>
      <c r="N16" s="172"/>
      <c r="O16" s="173"/>
    </row>
    <row r="17" spans="2:29" ht="19.05" customHeight="1" x14ac:dyDescent="0.3">
      <c r="B17" s="89">
        <v>4</v>
      </c>
      <c r="C17" s="21">
        <v>400</v>
      </c>
      <c r="D17" s="21">
        <v>0</v>
      </c>
      <c r="E17" s="21" t="s">
        <v>326</v>
      </c>
      <c r="F17" s="88">
        <f t="shared" si="0"/>
        <v>0</v>
      </c>
      <c r="G17" s="88">
        <f t="shared" si="1"/>
        <v>0</v>
      </c>
      <c r="H17" s="22">
        <v>0</v>
      </c>
      <c r="I17" s="22">
        <v>-3500</v>
      </c>
      <c r="J17" s="205" t="s">
        <v>497</v>
      </c>
      <c r="K17" s="172"/>
      <c r="L17" s="172"/>
      <c r="M17" s="172"/>
      <c r="N17" s="172"/>
      <c r="O17" s="173"/>
      <c r="AA17" s="20">
        <f>IF(E32="","",E32)</f>
        <v>400</v>
      </c>
      <c r="AB17" s="20">
        <f>IF(F32="","",F32)</f>
        <v>400</v>
      </c>
      <c r="AC17" t="s">
        <v>334</v>
      </c>
    </row>
    <row r="18" spans="2:29" ht="19.05" customHeight="1" x14ac:dyDescent="0.3">
      <c r="B18" s="89">
        <v>5</v>
      </c>
      <c r="C18" s="21">
        <v>400</v>
      </c>
      <c r="D18" s="21">
        <v>400</v>
      </c>
      <c r="E18" s="21" t="s">
        <v>326</v>
      </c>
      <c r="F18" s="88">
        <f t="shared" si="0"/>
        <v>0</v>
      </c>
      <c r="G18" s="88">
        <f t="shared" si="1"/>
        <v>0</v>
      </c>
      <c r="H18" s="22">
        <v>0</v>
      </c>
      <c r="I18" s="22">
        <v>-3500</v>
      </c>
      <c r="J18" s="205" t="s">
        <v>496</v>
      </c>
      <c r="K18" s="172"/>
      <c r="L18" s="172"/>
      <c r="M18" s="172"/>
      <c r="N18" s="172"/>
      <c r="O18" s="173"/>
      <c r="AA18" s="20">
        <f>IF(G32="","",G32)</f>
        <v>400</v>
      </c>
      <c r="AB18" s="20">
        <f>IF(H32="","",H32)</f>
        <v>200</v>
      </c>
      <c r="AC18" t="s">
        <v>335</v>
      </c>
    </row>
    <row r="19" spans="2:29" ht="19.05" customHeight="1" x14ac:dyDescent="0.3">
      <c r="B19" s="89">
        <v>6</v>
      </c>
      <c r="C19" s="21">
        <v>800</v>
      </c>
      <c r="D19" s="21">
        <v>200</v>
      </c>
      <c r="E19" s="21" t="s">
        <v>326</v>
      </c>
      <c r="F19" s="88">
        <f t="shared" si="0"/>
        <v>0</v>
      </c>
      <c r="G19" s="88">
        <f t="shared" si="1"/>
        <v>0</v>
      </c>
      <c r="H19" s="22">
        <v>2000</v>
      </c>
      <c r="I19" s="22">
        <v>-6000</v>
      </c>
      <c r="J19" s="205" t="s">
        <v>542</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200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0</v>
      </c>
      <c r="AB23" s="20">
        <f>IF(F34="","",F34)</f>
        <v>400</v>
      </c>
      <c r="AC23" t="s">
        <v>338</v>
      </c>
    </row>
    <row r="24" spans="2:29" x14ac:dyDescent="0.3">
      <c r="AA24" s="20">
        <f>IF(G34="","",G34)</f>
        <v>400</v>
      </c>
      <c r="AB24" s="20">
        <f>IF(H34="","",H34)</f>
        <v>200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400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800</v>
      </c>
      <c r="AB27" s="20">
        <f>IF(H35="","",H35)</f>
        <v>200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1</v>
      </c>
      <c r="D29" s="23">
        <v>4</v>
      </c>
      <c r="E29" s="5">
        <f t="shared" si="2"/>
        <v>0</v>
      </c>
      <c r="F29" s="5">
        <f t="shared" si="3"/>
        <v>0</v>
      </c>
      <c r="G29" s="5">
        <f t="shared" si="4"/>
        <v>400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400</v>
      </c>
      <c r="AC29" t="s">
        <v>353</v>
      </c>
    </row>
    <row r="30" spans="2:29" ht="19.05" customHeight="1" x14ac:dyDescent="0.3">
      <c r="B30" s="89">
        <v>3</v>
      </c>
      <c r="C30" s="23">
        <v>2</v>
      </c>
      <c r="D30" s="23">
        <v>5</v>
      </c>
      <c r="E30" s="5">
        <f t="shared" si="2"/>
        <v>0</v>
      </c>
      <c r="F30" s="5">
        <f t="shared" si="3"/>
        <v>400</v>
      </c>
      <c r="G30" s="5">
        <f t="shared" si="4"/>
        <v>400</v>
      </c>
      <c r="H30" s="5">
        <f t="shared" si="5"/>
        <v>400</v>
      </c>
      <c r="I30" s="9">
        <f t="shared" si="6"/>
        <v>400</v>
      </c>
      <c r="J30" s="9">
        <f t="shared" si="7"/>
        <v>0</v>
      </c>
      <c r="K30" s="9">
        <f t="shared" si="8"/>
        <v>400</v>
      </c>
      <c r="L30" s="92">
        <f t="shared" si="9"/>
        <v>1</v>
      </c>
      <c r="M30" s="92">
        <f t="shared" si="10"/>
        <v>0</v>
      </c>
      <c r="N30" s="22">
        <v>12</v>
      </c>
      <c r="O30" s="24">
        <v>2100000</v>
      </c>
      <c r="AA30" s="20">
        <f>IF(G36="","",G36)</f>
        <v>800</v>
      </c>
      <c r="AB30" s="20">
        <f>IF(H36="","",H36)</f>
        <v>200</v>
      </c>
      <c r="AC30" t="s">
        <v>354</v>
      </c>
    </row>
    <row r="31" spans="2:29" ht="19.05" customHeight="1" x14ac:dyDescent="0.3">
      <c r="B31" s="89">
        <v>4</v>
      </c>
      <c r="C31" s="23">
        <v>4</v>
      </c>
      <c r="D31" s="23">
        <v>3</v>
      </c>
      <c r="E31" s="5">
        <f t="shared" si="2"/>
        <v>400</v>
      </c>
      <c r="F31" s="5">
        <f t="shared" si="3"/>
        <v>0</v>
      </c>
      <c r="G31" s="5">
        <f t="shared" si="4"/>
        <v>400</v>
      </c>
      <c r="H31" s="5">
        <f t="shared" si="5"/>
        <v>200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3</v>
      </c>
      <c r="E32" s="5">
        <f t="shared" si="2"/>
        <v>400</v>
      </c>
      <c r="F32" s="5">
        <f t="shared" si="3"/>
        <v>400</v>
      </c>
      <c r="G32" s="5">
        <f t="shared" si="4"/>
        <v>400</v>
      </c>
      <c r="H32" s="5">
        <f t="shared" si="5"/>
        <v>200</v>
      </c>
      <c r="I32" s="9">
        <f t="shared" si="6"/>
        <v>0</v>
      </c>
      <c r="J32" s="9">
        <f t="shared" si="7"/>
        <v>-200</v>
      </c>
      <c r="K32" s="9">
        <f t="shared" si="8"/>
        <v>200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1</v>
      </c>
      <c r="D33" s="23">
        <v>3</v>
      </c>
      <c r="E33" s="5">
        <f t="shared" si="2"/>
        <v>0</v>
      </c>
      <c r="F33" s="5">
        <f t="shared" si="3"/>
        <v>0</v>
      </c>
      <c r="G33" s="5">
        <f t="shared" si="4"/>
        <v>400</v>
      </c>
      <c r="H33" s="5">
        <f t="shared" si="5"/>
        <v>200</v>
      </c>
      <c r="I33" s="9">
        <f t="shared" si="6"/>
        <v>400</v>
      </c>
      <c r="J33" s="9">
        <f t="shared" si="7"/>
        <v>200</v>
      </c>
      <c r="K33" s="9">
        <f t="shared" si="8"/>
        <v>447.21359549995793</v>
      </c>
      <c r="L33" s="92">
        <f t="shared" si="9"/>
        <v>0.89442719099991586</v>
      </c>
      <c r="M33" s="92">
        <f t="shared" si="10"/>
        <v>0.44721359549995793</v>
      </c>
      <c r="N33" s="22">
        <v>12</v>
      </c>
      <c r="O33" s="24">
        <v>2100000</v>
      </c>
      <c r="AA33" s="20" t="str">
        <f>IF(G37="","",G37)</f>
        <v/>
      </c>
      <c r="AB33" s="20" t="str">
        <f>IF(H37="","",H37)</f>
        <v/>
      </c>
      <c r="AC33" t="s">
        <v>356</v>
      </c>
    </row>
    <row r="34" spans="2:29" ht="19.05" customHeight="1" x14ac:dyDescent="0.3">
      <c r="B34" s="89">
        <v>7</v>
      </c>
      <c r="C34" s="23">
        <v>2</v>
      </c>
      <c r="D34" s="23">
        <v>3</v>
      </c>
      <c r="E34" s="5">
        <f t="shared" si="2"/>
        <v>0</v>
      </c>
      <c r="F34" s="5">
        <f t="shared" si="3"/>
        <v>400</v>
      </c>
      <c r="G34" s="5">
        <f t="shared" si="4"/>
        <v>400</v>
      </c>
      <c r="H34" s="5">
        <f t="shared" si="5"/>
        <v>200</v>
      </c>
      <c r="I34" s="9">
        <f t="shared" si="6"/>
        <v>400</v>
      </c>
      <c r="J34" s="9">
        <f t="shared" si="7"/>
        <v>-200</v>
      </c>
      <c r="K34" s="9">
        <f t="shared" si="8"/>
        <v>447.21359549995793</v>
      </c>
      <c r="L34" s="92">
        <f t="shared" si="9"/>
        <v>0.89442719099991586</v>
      </c>
      <c r="M34" s="92">
        <f t="shared" si="10"/>
        <v>-0.44721359549995793</v>
      </c>
      <c r="N34" s="22">
        <v>12</v>
      </c>
      <c r="O34" s="24">
        <v>2100000</v>
      </c>
    </row>
    <row r="35" spans="2:29" ht="19.05" customHeight="1" x14ac:dyDescent="0.3">
      <c r="B35" s="89">
        <v>8</v>
      </c>
      <c r="C35" s="23">
        <v>4</v>
      </c>
      <c r="D35" s="23">
        <v>6</v>
      </c>
      <c r="E35" s="5">
        <f t="shared" si="2"/>
        <v>400</v>
      </c>
      <c r="F35" s="5">
        <f t="shared" si="3"/>
        <v>0</v>
      </c>
      <c r="G35" s="5">
        <f t="shared" si="4"/>
        <v>800</v>
      </c>
      <c r="H35" s="5">
        <f t="shared" si="5"/>
        <v>200</v>
      </c>
      <c r="I35" s="9">
        <f t="shared" si="6"/>
        <v>400</v>
      </c>
      <c r="J35" s="9">
        <f t="shared" si="7"/>
        <v>200</v>
      </c>
      <c r="K35" s="9">
        <f t="shared" si="8"/>
        <v>447.21359549995793</v>
      </c>
      <c r="L35" s="92">
        <f t="shared" si="9"/>
        <v>0.89442719099991586</v>
      </c>
      <c r="M35" s="92">
        <f t="shared" si="10"/>
        <v>0.44721359549995793</v>
      </c>
      <c r="N35" s="22">
        <v>12</v>
      </c>
      <c r="O35" s="24">
        <v>2100000</v>
      </c>
      <c r="AA35" s="20" t="str">
        <f>IF(E38="","",E38)</f>
        <v/>
      </c>
      <c r="AB35" s="20" t="str">
        <f>IF(F38="","",F38)</f>
        <v/>
      </c>
      <c r="AC35" t="s">
        <v>357</v>
      </c>
    </row>
    <row r="36" spans="2:29" ht="19.05" customHeight="1" x14ac:dyDescent="0.3">
      <c r="B36" s="89">
        <v>9</v>
      </c>
      <c r="C36" s="23">
        <v>5</v>
      </c>
      <c r="D36" s="23">
        <v>6</v>
      </c>
      <c r="E36" s="5">
        <f t="shared" si="2"/>
        <v>400</v>
      </c>
      <c r="F36" s="5">
        <f t="shared" si="3"/>
        <v>400</v>
      </c>
      <c r="G36" s="5">
        <f t="shared" si="4"/>
        <v>800</v>
      </c>
      <c r="H36" s="5">
        <f t="shared" si="5"/>
        <v>200</v>
      </c>
      <c r="I36" s="9">
        <f t="shared" si="6"/>
        <v>400</v>
      </c>
      <c r="J36" s="9">
        <f t="shared" si="7"/>
        <v>-200</v>
      </c>
      <c r="K36" s="9">
        <f t="shared" si="8"/>
        <v>447.21359549995793</v>
      </c>
      <c r="L36" s="92">
        <f t="shared" si="9"/>
        <v>0.89442719099991586</v>
      </c>
      <c r="M36" s="92">
        <f t="shared" si="10"/>
        <v>-0.44721359549995793</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D00-000000000000}">
      <formula1>"Fijo (articulado),Rodillo Y (despl. X libre),Rodillo X (despl. Y libre),Libre (0 reac.)"</formula1>
    </dataValidation>
  </dataValidations>
  <pageMargins left="0.75" right="0.75" top="1" bottom="1" header="0.5" footer="0.5"/>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543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GRAFICA_30!E28</f>
        <v>0</v>
      </c>
      <c r="D6" s="22">
        <f>GRAFICA_30!F28</f>
        <v>0</v>
      </c>
      <c r="E6" s="22">
        <f>GRAFICA_30!G28</f>
        <v>0</v>
      </c>
      <c r="F6" s="22">
        <f>GRAFICA_30!H28</f>
        <v>400</v>
      </c>
      <c r="G6" s="9">
        <f t="shared" ref="G6:G14" si="0">E6-C6</f>
        <v>0</v>
      </c>
      <c r="H6" s="9">
        <f t="shared" ref="H6:H14" si="1">F6-D6</f>
        <v>400</v>
      </c>
      <c r="I6" s="9">
        <f t="shared" ref="I6:I14" si="2">SQRT(G6*G6+H6*H6)</f>
        <v>400</v>
      </c>
      <c r="J6" s="92">
        <f t="shared" ref="J6:J14" si="3">G6/I6</f>
        <v>0</v>
      </c>
      <c r="K6" s="92">
        <f t="shared" ref="K6:K14" si="4">H6/I6</f>
        <v>1</v>
      </c>
      <c r="L6" s="22">
        <f>GRAFICA_30!N28</f>
        <v>12</v>
      </c>
      <c r="M6" s="22">
        <f>GRAFICA_30!O28</f>
        <v>2100000</v>
      </c>
      <c r="N6" s="6">
        <f t="shared" ref="N6:N14" si="5">L6*M6/I6</f>
        <v>63000</v>
      </c>
    </row>
    <row r="7" spans="2:14" ht="19.05" customHeight="1" x14ac:dyDescent="0.3">
      <c r="B7" s="25">
        <v>2</v>
      </c>
      <c r="C7" s="22">
        <f>GRAFICA_30!E29</f>
        <v>0</v>
      </c>
      <c r="D7" s="22">
        <f>GRAFICA_30!F29</f>
        <v>0</v>
      </c>
      <c r="E7" s="22">
        <f>GRAFICA_30!G29</f>
        <v>400</v>
      </c>
      <c r="F7" s="22">
        <f>GRAFICA_30!H29</f>
        <v>0</v>
      </c>
      <c r="G7" s="9">
        <f t="shared" si="0"/>
        <v>400</v>
      </c>
      <c r="H7" s="9">
        <f t="shared" si="1"/>
        <v>0</v>
      </c>
      <c r="I7" s="9">
        <f t="shared" si="2"/>
        <v>400</v>
      </c>
      <c r="J7" s="92">
        <f t="shared" si="3"/>
        <v>1</v>
      </c>
      <c r="K7" s="92">
        <f t="shared" si="4"/>
        <v>0</v>
      </c>
      <c r="L7" s="22">
        <f>GRAFICA_30!N29</f>
        <v>12</v>
      </c>
      <c r="M7" s="22">
        <f>GRAFICA_30!O29</f>
        <v>2100000</v>
      </c>
      <c r="N7" s="6">
        <f t="shared" si="5"/>
        <v>63000</v>
      </c>
    </row>
    <row r="8" spans="2:14" ht="19.05" customHeight="1" x14ac:dyDescent="0.3">
      <c r="B8" s="26">
        <v>3</v>
      </c>
      <c r="C8" s="22">
        <f>GRAFICA_30!E30</f>
        <v>0</v>
      </c>
      <c r="D8" s="22">
        <f>GRAFICA_30!F30</f>
        <v>400</v>
      </c>
      <c r="E8" s="22">
        <f>GRAFICA_30!G30</f>
        <v>400</v>
      </c>
      <c r="F8" s="22">
        <f>GRAFICA_30!H30</f>
        <v>400</v>
      </c>
      <c r="G8" s="9">
        <f t="shared" si="0"/>
        <v>400</v>
      </c>
      <c r="H8" s="9">
        <f t="shared" si="1"/>
        <v>0</v>
      </c>
      <c r="I8" s="9">
        <f t="shared" si="2"/>
        <v>400</v>
      </c>
      <c r="J8" s="92">
        <f t="shared" si="3"/>
        <v>1</v>
      </c>
      <c r="K8" s="92">
        <f t="shared" si="4"/>
        <v>0</v>
      </c>
      <c r="L8" s="22">
        <f>GRAFICA_30!N30</f>
        <v>12</v>
      </c>
      <c r="M8" s="22">
        <f>GRAFICA_30!O30</f>
        <v>2100000</v>
      </c>
      <c r="N8" s="6">
        <f t="shared" si="5"/>
        <v>63000</v>
      </c>
    </row>
    <row r="9" spans="2:14" ht="19.05" customHeight="1" x14ac:dyDescent="0.3">
      <c r="B9" s="43">
        <v>4</v>
      </c>
      <c r="C9" s="22">
        <f>GRAFICA_30!E31</f>
        <v>400</v>
      </c>
      <c r="D9" s="22">
        <f>GRAFICA_30!F31</f>
        <v>0</v>
      </c>
      <c r="E9" s="22">
        <f>GRAFICA_30!G31</f>
        <v>400</v>
      </c>
      <c r="F9" s="22">
        <f>GRAFICA_30!H31</f>
        <v>200</v>
      </c>
      <c r="G9" s="9">
        <f t="shared" si="0"/>
        <v>0</v>
      </c>
      <c r="H9" s="9">
        <f t="shared" si="1"/>
        <v>200</v>
      </c>
      <c r="I9" s="9">
        <f t="shared" si="2"/>
        <v>200</v>
      </c>
      <c r="J9" s="92">
        <f t="shared" si="3"/>
        <v>0</v>
      </c>
      <c r="K9" s="92">
        <f t="shared" si="4"/>
        <v>1</v>
      </c>
      <c r="L9" s="22">
        <f>GRAFICA_30!N31</f>
        <v>12</v>
      </c>
      <c r="M9" s="22">
        <f>GRAFICA_30!O31</f>
        <v>2100000</v>
      </c>
      <c r="N9" s="6">
        <f t="shared" si="5"/>
        <v>126000</v>
      </c>
    </row>
    <row r="10" spans="2:14" ht="19.05" customHeight="1" x14ac:dyDescent="0.3">
      <c r="B10" s="44">
        <v>5</v>
      </c>
      <c r="C10" s="22">
        <f>GRAFICA_30!E32</f>
        <v>400</v>
      </c>
      <c r="D10" s="22">
        <f>GRAFICA_30!F32</f>
        <v>400</v>
      </c>
      <c r="E10" s="22">
        <f>GRAFICA_30!G32</f>
        <v>400</v>
      </c>
      <c r="F10" s="22">
        <f>GRAFICA_30!H32</f>
        <v>200</v>
      </c>
      <c r="G10" s="9">
        <f t="shared" si="0"/>
        <v>0</v>
      </c>
      <c r="H10" s="9">
        <f t="shared" si="1"/>
        <v>-200</v>
      </c>
      <c r="I10" s="9">
        <f t="shared" si="2"/>
        <v>200</v>
      </c>
      <c r="J10" s="92">
        <f t="shared" si="3"/>
        <v>0</v>
      </c>
      <c r="K10" s="92">
        <f t="shared" si="4"/>
        <v>-1</v>
      </c>
      <c r="L10" s="22">
        <f>GRAFICA_30!N32</f>
        <v>12</v>
      </c>
      <c r="M10" s="22">
        <f>GRAFICA_30!O32</f>
        <v>2100000</v>
      </c>
      <c r="N10" s="6">
        <f t="shared" si="5"/>
        <v>126000</v>
      </c>
    </row>
    <row r="11" spans="2:14" ht="19.05" customHeight="1" x14ac:dyDescent="0.3">
      <c r="B11" s="51">
        <v>6</v>
      </c>
      <c r="C11" s="22">
        <f>GRAFICA_30!E33</f>
        <v>0</v>
      </c>
      <c r="D11" s="22">
        <f>GRAFICA_30!F33</f>
        <v>0</v>
      </c>
      <c r="E11" s="22">
        <f>GRAFICA_30!G33</f>
        <v>400</v>
      </c>
      <c r="F11" s="22">
        <f>GRAFICA_30!H33</f>
        <v>200</v>
      </c>
      <c r="G11" s="9">
        <f t="shared" si="0"/>
        <v>400</v>
      </c>
      <c r="H11" s="9">
        <f t="shared" si="1"/>
        <v>200</v>
      </c>
      <c r="I11" s="9">
        <f t="shared" si="2"/>
        <v>447.21359549995793</v>
      </c>
      <c r="J11" s="92">
        <f t="shared" si="3"/>
        <v>0.89442719099991586</v>
      </c>
      <c r="K11" s="92">
        <f t="shared" si="4"/>
        <v>0.44721359549995793</v>
      </c>
      <c r="L11" s="22">
        <f>GRAFICA_30!N33</f>
        <v>12</v>
      </c>
      <c r="M11" s="22">
        <f>GRAFICA_30!O33</f>
        <v>2100000</v>
      </c>
      <c r="N11" s="6">
        <f t="shared" si="5"/>
        <v>56348.9130329947</v>
      </c>
    </row>
    <row r="12" spans="2:14" ht="19.05" customHeight="1" x14ac:dyDescent="0.3">
      <c r="B12" s="52">
        <v>7</v>
      </c>
      <c r="C12" s="22">
        <f>GRAFICA_30!E34</f>
        <v>0</v>
      </c>
      <c r="D12" s="22">
        <f>GRAFICA_30!F34</f>
        <v>400</v>
      </c>
      <c r="E12" s="22">
        <f>GRAFICA_30!G34</f>
        <v>400</v>
      </c>
      <c r="F12" s="22">
        <f>GRAFICA_30!H34</f>
        <v>200</v>
      </c>
      <c r="G12" s="9">
        <f t="shared" si="0"/>
        <v>400</v>
      </c>
      <c r="H12" s="9">
        <f t="shared" si="1"/>
        <v>-200</v>
      </c>
      <c r="I12" s="9">
        <f t="shared" si="2"/>
        <v>447.21359549995793</v>
      </c>
      <c r="J12" s="92">
        <f t="shared" si="3"/>
        <v>0.89442719099991586</v>
      </c>
      <c r="K12" s="92">
        <f t="shared" si="4"/>
        <v>-0.44721359549995793</v>
      </c>
      <c r="L12" s="22">
        <f>GRAFICA_30!N34</f>
        <v>12</v>
      </c>
      <c r="M12" s="22">
        <f>GRAFICA_30!O34</f>
        <v>2100000</v>
      </c>
      <c r="N12" s="6">
        <f t="shared" si="5"/>
        <v>56348.9130329947</v>
      </c>
    </row>
    <row r="13" spans="2:14" ht="19.05" customHeight="1" x14ac:dyDescent="0.3">
      <c r="B13" s="59">
        <v>8</v>
      </c>
      <c r="C13" s="22">
        <f>GRAFICA_30!E35</f>
        <v>400</v>
      </c>
      <c r="D13" s="22">
        <f>GRAFICA_30!F35</f>
        <v>0</v>
      </c>
      <c r="E13" s="22">
        <f>GRAFICA_30!G35</f>
        <v>800</v>
      </c>
      <c r="F13" s="22">
        <f>GRAFICA_30!H35</f>
        <v>200</v>
      </c>
      <c r="G13" s="9">
        <f t="shared" si="0"/>
        <v>400</v>
      </c>
      <c r="H13" s="9">
        <f t="shared" si="1"/>
        <v>200</v>
      </c>
      <c r="I13" s="9">
        <f t="shared" si="2"/>
        <v>447.21359549995793</v>
      </c>
      <c r="J13" s="92">
        <f t="shared" si="3"/>
        <v>0.89442719099991586</v>
      </c>
      <c r="K13" s="92">
        <f t="shared" si="4"/>
        <v>0.44721359549995793</v>
      </c>
      <c r="L13" s="22">
        <f>GRAFICA_30!N35</f>
        <v>12</v>
      </c>
      <c r="M13" s="22">
        <f>GRAFICA_30!O35</f>
        <v>2100000</v>
      </c>
      <c r="N13" s="6">
        <f t="shared" si="5"/>
        <v>56348.9130329947</v>
      </c>
    </row>
    <row r="14" spans="2:14" ht="19.05" customHeight="1" x14ac:dyDescent="0.3">
      <c r="B14" s="60">
        <v>9</v>
      </c>
      <c r="C14" s="22">
        <f>GRAFICA_30!E36</f>
        <v>400</v>
      </c>
      <c r="D14" s="22">
        <f>GRAFICA_30!F36</f>
        <v>400</v>
      </c>
      <c r="E14" s="22">
        <f>GRAFICA_30!G36</f>
        <v>800</v>
      </c>
      <c r="F14" s="22">
        <f>GRAFICA_30!H36</f>
        <v>200</v>
      </c>
      <c r="G14" s="9">
        <f t="shared" si="0"/>
        <v>400</v>
      </c>
      <c r="H14" s="9">
        <f t="shared" si="1"/>
        <v>-200</v>
      </c>
      <c r="I14" s="9">
        <f t="shared" si="2"/>
        <v>447.21359549995793</v>
      </c>
      <c r="J14" s="92">
        <f t="shared" si="3"/>
        <v>0.89442719099991586</v>
      </c>
      <c r="K14" s="92">
        <f t="shared" si="4"/>
        <v>-0.44721359549995793</v>
      </c>
      <c r="L14" s="22">
        <f>GRAFICA_30!N36</f>
        <v>12</v>
      </c>
      <c r="M14" s="22">
        <f>GRAFICA_30!O36</f>
        <v>2100000</v>
      </c>
      <c r="N14" s="6">
        <f t="shared" si="5"/>
        <v>56348.9130329947</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GRAFICA_30!C28</f>
        <v>1</v>
      </c>
      <c r="D18" s="23">
        <f>GRAFICA_30!C28</f>
        <v>1</v>
      </c>
      <c r="E18" s="23">
        <f>GRAFICA_30!D28</f>
        <v>2</v>
      </c>
      <c r="F18" s="23">
        <f>GRAFICA_30!D28</f>
        <v>2</v>
      </c>
    </row>
    <row r="19" spans="1:6" ht="19.05" customHeight="1" x14ac:dyDescent="0.3">
      <c r="B19" s="25">
        <v>2</v>
      </c>
      <c r="C19" s="23">
        <f>GRAFICA_30!C29</f>
        <v>1</v>
      </c>
      <c r="D19" s="23">
        <f>GRAFICA_30!C29</f>
        <v>1</v>
      </c>
      <c r="E19" s="23">
        <f>GRAFICA_30!D29</f>
        <v>4</v>
      </c>
      <c r="F19" s="23">
        <f>GRAFICA_30!D29</f>
        <v>4</v>
      </c>
    </row>
    <row r="20" spans="1:6" ht="19.05" customHeight="1" x14ac:dyDescent="0.3">
      <c r="B20" s="26">
        <v>3</v>
      </c>
      <c r="C20" s="23">
        <f>GRAFICA_30!C30</f>
        <v>2</v>
      </c>
      <c r="D20" s="23">
        <f>GRAFICA_30!C30</f>
        <v>2</v>
      </c>
      <c r="E20" s="23">
        <f>GRAFICA_30!D30</f>
        <v>5</v>
      </c>
      <c r="F20" s="23">
        <f>GRAFICA_30!D30</f>
        <v>5</v>
      </c>
    </row>
    <row r="21" spans="1:6" ht="19.05" customHeight="1" x14ac:dyDescent="0.3">
      <c r="B21" s="43">
        <v>4</v>
      </c>
      <c r="C21" s="23">
        <f>GRAFICA_30!C31</f>
        <v>4</v>
      </c>
      <c r="D21" s="23">
        <f>GRAFICA_30!C31</f>
        <v>4</v>
      </c>
      <c r="E21" s="23">
        <f>GRAFICA_30!D31</f>
        <v>3</v>
      </c>
      <c r="F21" s="23">
        <f>GRAFICA_30!D31</f>
        <v>3</v>
      </c>
    </row>
    <row r="22" spans="1:6" ht="19.05" customHeight="1" x14ac:dyDescent="0.3">
      <c r="B22" s="44">
        <v>5</v>
      </c>
      <c r="C22" s="23">
        <f>GRAFICA_30!C32</f>
        <v>5</v>
      </c>
      <c r="D22" s="23">
        <f>GRAFICA_30!C32</f>
        <v>5</v>
      </c>
      <c r="E22" s="23">
        <f>GRAFICA_30!D32</f>
        <v>3</v>
      </c>
      <c r="F22" s="23">
        <f>GRAFICA_30!D32</f>
        <v>3</v>
      </c>
    </row>
    <row r="23" spans="1:6" ht="19.05" customHeight="1" x14ac:dyDescent="0.3">
      <c r="B23" s="51">
        <v>6</v>
      </c>
      <c r="C23" s="23">
        <f>GRAFICA_30!C33</f>
        <v>1</v>
      </c>
      <c r="D23" s="23">
        <f>GRAFICA_30!C33</f>
        <v>1</v>
      </c>
      <c r="E23" s="23">
        <f>GRAFICA_30!D33</f>
        <v>3</v>
      </c>
      <c r="F23" s="23">
        <f>GRAFICA_30!D33</f>
        <v>3</v>
      </c>
    </row>
    <row r="24" spans="1:6" ht="19.05" customHeight="1" x14ac:dyDescent="0.3">
      <c r="B24" s="52">
        <v>7</v>
      </c>
      <c r="C24" s="23">
        <f>GRAFICA_30!C34</f>
        <v>2</v>
      </c>
      <c r="D24" s="23">
        <f>GRAFICA_30!C34</f>
        <v>2</v>
      </c>
      <c r="E24" s="23">
        <f>GRAFICA_30!D34</f>
        <v>3</v>
      </c>
      <c r="F24" s="23">
        <f>GRAFICA_30!D34</f>
        <v>3</v>
      </c>
    </row>
    <row r="25" spans="1:6" ht="19.05" customHeight="1" x14ac:dyDescent="0.3">
      <c r="B25" s="59">
        <v>8</v>
      </c>
      <c r="C25" s="23">
        <f>GRAFICA_30!C35</f>
        <v>4</v>
      </c>
      <c r="D25" s="23">
        <f>GRAFICA_30!C35</f>
        <v>4</v>
      </c>
      <c r="E25" s="23">
        <f>GRAFICA_30!D35</f>
        <v>6</v>
      </c>
      <c r="F25" s="23">
        <f>GRAFICA_30!D35</f>
        <v>6</v>
      </c>
    </row>
    <row r="26" spans="1:6" ht="19.05" customHeight="1" x14ac:dyDescent="0.3">
      <c r="B26" s="60">
        <v>9</v>
      </c>
      <c r="C26" s="23">
        <f>GRAFICA_30!C36</f>
        <v>5</v>
      </c>
      <c r="D26" s="23">
        <f>GRAFICA_30!C36</f>
        <v>5</v>
      </c>
      <c r="E26" s="23">
        <f>GRAFICA_30!D36</f>
        <v>6</v>
      </c>
      <c r="F26" s="23">
        <f>GRAFICA_30!D36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0</v>
      </c>
      <c r="C30" s="7">
        <f>J6*K6*N6</f>
        <v>0</v>
      </c>
      <c r="D30" s="7">
        <f>-B30</f>
        <v>0</v>
      </c>
      <c r="E30" s="7">
        <f>-C30</f>
        <v>0</v>
      </c>
      <c r="F30" s="27" t="str">
        <f>B29</f>
        <v>U1X</v>
      </c>
    </row>
    <row r="31" spans="1:6" ht="16.8" customHeight="1" x14ac:dyDescent="0.3">
      <c r="A31" s="28" t="s">
        <v>177</v>
      </c>
      <c r="B31" s="7">
        <f>C30</f>
        <v>0</v>
      </c>
      <c r="C31" s="7">
        <f>K6*K6*N6</f>
        <v>63000</v>
      </c>
      <c r="D31" s="7">
        <f>-B31</f>
        <v>0</v>
      </c>
      <c r="E31" s="7">
        <f>-C31</f>
        <v>-63000</v>
      </c>
      <c r="F31" s="27" t="str">
        <f>C29</f>
        <v>U1Y</v>
      </c>
    </row>
    <row r="32" spans="1:6" x14ac:dyDescent="0.3">
      <c r="B32" s="7">
        <f>D30</f>
        <v>0</v>
      </c>
      <c r="C32" s="7">
        <f>E30</f>
        <v>0</v>
      </c>
      <c r="D32" s="7">
        <f>B30</f>
        <v>0</v>
      </c>
      <c r="E32" s="7">
        <f>C30</f>
        <v>0</v>
      </c>
      <c r="F32" s="27" t="str">
        <f>D29</f>
        <v>U2X</v>
      </c>
    </row>
    <row r="33" spans="1:14" x14ac:dyDescent="0.3">
      <c r="B33" s="7">
        <f>D31</f>
        <v>0</v>
      </c>
      <c r="C33" s="7">
        <f>E31</f>
        <v>-63000</v>
      </c>
      <c r="D33" s="7">
        <f>B31</f>
        <v>0</v>
      </c>
      <c r="E33" s="7">
        <f>C31</f>
        <v>63000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0</v>
      </c>
      <c r="C36" s="8">
        <f t="shared" si="6"/>
        <v>0</v>
      </c>
      <c r="D36" s="8">
        <f t="shared" si="6"/>
        <v>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63000</v>
      </c>
      <c r="D37" s="8">
        <f t="shared" si="6"/>
        <v>0</v>
      </c>
      <c r="E37" s="8">
        <f t="shared" si="6"/>
        <v>-63000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0</v>
      </c>
      <c r="C38" s="8">
        <f t="shared" si="6"/>
        <v>0</v>
      </c>
      <c r="D38" s="8">
        <f t="shared" si="6"/>
        <v>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-63000</v>
      </c>
      <c r="D39" s="8">
        <f t="shared" si="6"/>
        <v>0</v>
      </c>
      <c r="E39" s="8">
        <f t="shared" si="6"/>
        <v>63000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U4X</v>
      </c>
      <c r="E50" s="29" t="str">
        <f>CONCATENATE("U",F19,F$17)</f>
        <v>U4Y</v>
      </c>
    </row>
    <row r="51" spans="1:14" x14ac:dyDescent="0.3">
      <c r="B51" s="30">
        <f>J7*J7*N7</f>
        <v>63000</v>
      </c>
      <c r="C51" s="30">
        <f>J7*K7*N7</f>
        <v>0</v>
      </c>
      <c r="D51" s="30">
        <f>-B51</f>
        <v>-63000</v>
      </c>
      <c r="E51" s="30">
        <f>-C51</f>
        <v>0</v>
      </c>
      <c r="F51" s="29" t="str">
        <f>B50</f>
        <v>U1X</v>
      </c>
    </row>
    <row r="52" spans="1:14" ht="16.8" customHeight="1" x14ac:dyDescent="0.3">
      <c r="A52" s="28" t="s">
        <v>191</v>
      </c>
      <c r="B52" s="30">
        <f>C51</f>
        <v>0</v>
      </c>
      <c r="C52" s="30">
        <f>K7*K7*N7</f>
        <v>0</v>
      </c>
      <c r="D52" s="30">
        <f>-B52</f>
        <v>0</v>
      </c>
      <c r="E52" s="30">
        <f>-C52</f>
        <v>0</v>
      </c>
      <c r="F52" s="29" t="str">
        <f>C50</f>
        <v>U1Y</v>
      </c>
    </row>
    <row r="53" spans="1:14" x14ac:dyDescent="0.3">
      <c r="B53" s="30">
        <f>D51</f>
        <v>-63000</v>
      </c>
      <c r="C53" s="30">
        <f>E51</f>
        <v>0</v>
      </c>
      <c r="D53" s="30">
        <f>B51</f>
        <v>63000</v>
      </c>
      <c r="E53" s="30">
        <f>C51</f>
        <v>0</v>
      </c>
      <c r="F53" s="29" t="str">
        <f>D50</f>
        <v>U4X</v>
      </c>
    </row>
    <row r="54" spans="1:14" x14ac:dyDescent="0.3">
      <c r="B54" s="30">
        <f>D52</f>
        <v>0</v>
      </c>
      <c r="C54" s="30">
        <f>E52</f>
        <v>0</v>
      </c>
      <c r="D54" s="30">
        <f>B52</f>
        <v>0</v>
      </c>
      <c r="E54" s="30">
        <f>C52</f>
        <v>0</v>
      </c>
      <c r="F54" s="29" t="str">
        <f>E50</f>
        <v>U4Y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63000</v>
      </c>
      <c r="C57" s="31">
        <f t="shared" si="7"/>
        <v>0</v>
      </c>
      <c r="D57" s="9">
        <f t="shared" si="7"/>
        <v>0</v>
      </c>
      <c r="E57" s="9">
        <f t="shared" si="7"/>
        <v>0</v>
      </c>
      <c r="F57" s="9">
        <f t="shared" si="7"/>
        <v>0</v>
      </c>
      <c r="G57" s="9">
        <f t="shared" si="7"/>
        <v>0</v>
      </c>
      <c r="H57" s="31">
        <f t="shared" si="7"/>
        <v>-63000</v>
      </c>
      <c r="I57" s="31">
        <f t="shared" si="7"/>
        <v>0</v>
      </c>
      <c r="J57" s="9">
        <f t="shared" si="7"/>
        <v>0</v>
      </c>
      <c r="K57" s="9">
        <f t="shared" si="7"/>
        <v>0</v>
      </c>
      <c r="L57" s="9">
        <f t="shared" si="7"/>
        <v>0</v>
      </c>
      <c r="M57" s="9">
        <f t="shared" si="7"/>
        <v>0</v>
      </c>
      <c r="N57" s="29" t="s">
        <v>178</v>
      </c>
    </row>
    <row r="58" spans="1:14" ht="19.05" customHeight="1" x14ac:dyDescent="0.3">
      <c r="B58" s="31">
        <f t="shared" si="7"/>
        <v>0</v>
      </c>
      <c r="C58" s="31">
        <f t="shared" si="7"/>
        <v>0</v>
      </c>
      <c r="D58" s="9">
        <f t="shared" si="7"/>
        <v>0</v>
      </c>
      <c r="E58" s="9">
        <f t="shared" si="7"/>
        <v>0</v>
      </c>
      <c r="F58" s="9">
        <f t="shared" si="7"/>
        <v>0</v>
      </c>
      <c r="G58" s="9">
        <f t="shared" si="7"/>
        <v>0</v>
      </c>
      <c r="H58" s="31">
        <f t="shared" si="7"/>
        <v>0</v>
      </c>
      <c r="I58" s="31">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31">
        <f t="shared" si="7"/>
        <v>-63000</v>
      </c>
      <c r="C63" s="31">
        <f t="shared" si="7"/>
        <v>0</v>
      </c>
      <c r="D63" s="9">
        <f t="shared" si="7"/>
        <v>0</v>
      </c>
      <c r="E63" s="9">
        <f t="shared" si="7"/>
        <v>0</v>
      </c>
      <c r="F63" s="9">
        <f t="shared" si="7"/>
        <v>0</v>
      </c>
      <c r="G63" s="9">
        <f t="shared" si="7"/>
        <v>0</v>
      </c>
      <c r="H63" s="31">
        <f t="shared" si="7"/>
        <v>63000</v>
      </c>
      <c r="I63" s="31">
        <f t="shared" si="7"/>
        <v>0</v>
      </c>
      <c r="J63" s="9">
        <f t="shared" si="7"/>
        <v>0</v>
      </c>
      <c r="K63" s="9">
        <f t="shared" si="7"/>
        <v>0</v>
      </c>
      <c r="L63" s="9">
        <f t="shared" si="7"/>
        <v>0</v>
      </c>
      <c r="M63" s="9">
        <f t="shared" si="7"/>
        <v>0</v>
      </c>
      <c r="N63" s="29" t="s">
        <v>184</v>
      </c>
    </row>
    <row r="64" spans="1:14" ht="19.05" customHeight="1" x14ac:dyDescent="0.3">
      <c r="B64" s="31">
        <f t="shared" si="7"/>
        <v>0</v>
      </c>
      <c r="C64" s="31">
        <f t="shared" si="7"/>
        <v>0</v>
      </c>
      <c r="D64" s="9">
        <f t="shared" si="7"/>
        <v>0</v>
      </c>
      <c r="E64" s="9">
        <f t="shared" si="7"/>
        <v>0</v>
      </c>
      <c r="F64" s="9">
        <f t="shared" si="7"/>
        <v>0</v>
      </c>
      <c r="G64" s="9">
        <f t="shared" si="7"/>
        <v>0</v>
      </c>
      <c r="H64" s="31">
        <f t="shared" si="7"/>
        <v>0</v>
      </c>
      <c r="I64" s="31">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U2X</v>
      </c>
      <c r="C71" s="32" t="str">
        <f>CONCATENATE("U",D20,D$17)</f>
        <v>U2Y</v>
      </c>
      <c r="D71" s="32" t="str">
        <f>CONCATENATE("U",E20,E$17)</f>
        <v>U5X</v>
      </c>
      <c r="E71" s="32" t="str">
        <f>CONCATENATE("U",F20,F$17)</f>
        <v>U5Y</v>
      </c>
    </row>
    <row r="72" spans="1:14" x14ac:dyDescent="0.3">
      <c r="B72" s="33">
        <f>J8*J8*N8</f>
        <v>63000</v>
      </c>
      <c r="C72" s="33">
        <f>J8*K8*N8</f>
        <v>0</v>
      </c>
      <c r="D72" s="33">
        <f>-B72</f>
        <v>-63000</v>
      </c>
      <c r="E72" s="33">
        <f>-C72</f>
        <v>0</v>
      </c>
      <c r="F72" s="32" t="str">
        <f>B71</f>
        <v>U2X</v>
      </c>
    </row>
    <row r="73" spans="1:14" ht="16.8" customHeight="1" x14ac:dyDescent="0.3">
      <c r="A73" s="28" t="s">
        <v>193</v>
      </c>
      <c r="B73" s="33">
        <f>C72</f>
        <v>0</v>
      </c>
      <c r="C73" s="33">
        <f>K8*K8*N8</f>
        <v>0</v>
      </c>
      <c r="D73" s="33">
        <f>-B73</f>
        <v>0</v>
      </c>
      <c r="E73" s="33">
        <f>-C73</f>
        <v>0</v>
      </c>
      <c r="F73" s="32" t="str">
        <f>C71</f>
        <v>U2Y</v>
      </c>
    </row>
    <row r="74" spans="1:14" x14ac:dyDescent="0.3">
      <c r="B74" s="33">
        <f>D72</f>
        <v>-63000</v>
      </c>
      <c r="C74" s="33">
        <f>E72</f>
        <v>0</v>
      </c>
      <c r="D74" s="33">
        <f>B72</f>
        <v>63000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34">
        <f t="shared" si="8"/>
        <v>63000</v>
      </c>
      <c r="E80" s="34">
        <f t="shared" si="8"/>
        <v>0</v>
      </c>
      <c r="F80" s="9">
        <f t="shared" si="8"/>
        <v>0</v>
      </c>
      <c r="G80" s="9">
        <f t="shared" si="8"/>
        <v>0</v>
      </c>
      <c r="H80" s="9">
        <f t="shared" si="8"/>
        <v>0</v>
      </c>
      <c r="I80" s="9">
        <f t="shared" si="8"/>
        <v>0</v>
      </c>
      <c r="J80" s="34">
        <f t="shared" si="8"/>
        <v>-63000</v>
      </c>
      <c r="K80" s="34">
        <f t="shared" si="8"/>
        <v>0</v>
      </c>
      <c r="L80" s="9">
        <f t="shared" si="8"/>
        <v>0</v>
      </c>
      <c r="M80" s="9">
        <f t="shared" si="8"/>
        <v>0</v>
      </c>
      <c r="N80" s="32" t="s">
        <v>180</v>
      </c>
    </row>
    <row r="81" spans="1:14" ht="19.05" customHeight="1" x14ac:dyDescent="0.3">
      <c r="B81" s="9">
        <f t="shared" si="8"/>
        <v>0</v>
      </c>
      <c r="C81" s="9">
        <f t="shared" si="8"/>
        <v>0</v>
      </c>
      <c r="D81" s="34">
        <f t="shared" si="8"/>
        <v>0</v>
      </c>
      <c r="E81" s="34">
        <f t="shared" si="8"/>
        <v>0</v>
      </c>
      <c r="F81" s="9">
        <f t="shared" si="8"/>
        <v>0</v>
      </c>
      <c r="G81" s="9">
        <f t="shared" si="8"/>
        <v>0</v>
      </c>
      <c r="H81" s="9">
        <f t="shared" si="8"/>
        <v>0</v>
      </c>
      <c r="I81" s="9">
        <f t="shared" si="8"/>
        <v>0</v>
      </c>
      <c r="J81" s="34">
        <f t="shared" si="8"/>
        <v>0</v>
      </c>
      <c r="K81" s="34">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34">
        <f t="shared" si="8"/>
        <v>-63000</v>
      </c>
      <c r="E86" s="34">
        <f t="shared" si="8"/>
        <v>0</v>
      </c>
      <c r="F86" s="9">
        <f t="shared" si="8"/>
        <v>0</v>
      </c>
      <c r="G86" s="9">
        <f t="shared" si="8"/>
        <v>0</v>
      </c>
      <c r="H86" s="9">
        <f t="shared" si="8"/>
        <v>0</v>
      </c>
      <c r="I86" s="9">
        <f t="shared" si="8"/>
        <v>0</v>
      </c>
      <c r="J86" s="34">
        <f t="shared" si="8"/>
        <v>63000</v>
      </c>
      <c r="K86" s="34">
        <f t="shared" si="8"/>
        <v>0</v>
      </c>
      <c r="L86" s="9">
        <f t="shared" si="8"/>
        <v>0</v>
      </c>
      <c r="M86" s="9">
        <f t="shared" si="8"/>
        <v>0</v>
      </c>
      <c r="N86" s="32" t="s">
        <v>186</v>
      </c>
    </row>
    <row r="87" spans="1:14" ht="19.05" customHeight="1" x14ac:dyDescent="0.3">
      <c r="B87" s="9">
        <f t="shared" si="8"/>
        <v>0</v>
      </c>
      <c r="C87" s="9">
        <f t="shared" si="8"/>
        <v>0</v>
      </c>
      <c r="D87" s="34">
        <f t="shared" si="8"/>
        <v>0</v>
      </c>
      <c r="E87" s="34">
        <f t="shared" si="8"/>
        <v>0</v>
      </c>
      <c r="F87" s="9">
        <f t="shared" si="8"/>
        <v>0</v>
      </c>
      <c r="G87" s="9">
        <f t="shared" si="8"/>
        <v>0</v>
      </c>
      <c r="H87" s="9">
        <f t="shared" si="8"/>
        <v>0</v>
      </c>
      <c r="I87" s="9">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U3X</v>
      </c>
      <c r="E92" s="45" t="str">
        <f>CONCATENATE("U",F21,F$17)</f>
        <v>U3Y</v>
      </c>
    </row>
    <row r="93" spans="1:14" x14ac:dyDescent="0.3">
      <c r="B93" s="46">
        <f>J9*J9*N9</f>
        <v>0</v>
      </c>
      <c r="C93" s="46">
        <f>J9*K9*N9</f>
        <v>0</v>
      </c>
      <c r="D93" s="46">
        <f>-B93</f>
        <v>0</v>
      </c>
      <c r="E93" s="46">
        <f>-C93</f>
        <v>0</v>
      </c>
      <c r="F93" s="45" t="str">
        <f>B92</f>
        <v>U4X</v>
      </c>
    </row>
    <row r="94" spans="1:14" ht="16.8" customHeight="1" x14ac:dyDescent="0.3">
      <c r="A94" s="28" t="s">
        <v>195</v>
      </c>
      <c r="B94" s="46">
        <f>C93</f>
        <v>0</v>
      </c>
      <c r="C94" s="46">
        <f>K9*K9*N9</f>
        <v>126000</v>
      </c>
      <c r="D94" s="46">
        <f>-B94</f>
        <v>0</v>
      </c>
      <c r="E94" s="46">
        <f>-C94</f>
        <v>-126000</v>
      </c>
      <c r="F94" s="45" t="str">
        <f>C92</f>
        <v>U4Y</v>
      </c>
    </row>
    <row r="95" spans="1:14" x14ac:dyDescent="0.3">
      <c r="B95" s="46">
        <f>D93</f>
        <v>0</v>
      </c>
      <c r="C95" s="46">
        <f>E93</f>
        <v>0</v>
      </c>
      <c r="D95" s="46">
        <f>B93</f>
        <v>0</v>
      </c>
      <c r="E95" s="46">
        <f>C93</f>
        <v>0</v>
      </c>
      <c r="F95" s="45" t="str">
        <f>D92</f>
        <v>U3X</v>
      </c>
    </row>
    <row r="96" spans="1:14" x14ac:dyDescent="0.3">
      <c r="B96" s="46">
        <f>D94</f>
        <v>0</v>
      </c>
      <c r="C96" s="46">
        <f>E94</f>
        <v>-126000</v>
      </c>
      <c r="D96" s="46">
        <f>B94</f>
        <v>0</v>
      </c>
      <c r="E96" s="46">
        <f>C94</f>
        <v>126000</v>
      </c>
      <c r="F96" s="45" t="str">
        <f>E92</f>
        <v>U3Y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47">
        <f t="shared" si="9"/>
        <v>0</v>
      </c>
      <c r="G103" s="47">
        <f t="shared" si="9"/>
        <v>0</v>
      </c>
      <c r="H103" s="47">
        <f t="shared" si="9"/>
        <v>0</v>
      </c>
      <c r="I103" s="47">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47">
        <f t="shared" si="9"/>
        <v>0</v>
      </c>
      <c r="G104" s="47">
        <f t="shared" si="9"/>
        <v>126000</v>
      </c>
      <c r="H104" s="47">
        <f t="shared" si="9"/>
        <v>0</v>
      </c>
      <c r="I104" s="47">
        <f t="shared" si="9"/>
        <v>-126000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47">
        <f t="shared" si="9"/>
        <v>0</v>
      </c>
      <c r="G105" s="47">
        <f t="shared" si="9"/>
        <v>0</v>
      </c>
      <c r="H105" s="47">
        <f t="shared" si="9"/>
        <v>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47">
        <f t="shared" si="9"/>
        <v>0</v>
      </c>
      <c r="G106" s="47">
        <f t="shared" si="9"/>
        <v>-126000</v>
      </c>
      <c r="H106" s="47">
        <f t="shared" si="9"/>
        <v>0</v>
      </c>
      <c r="I106" s="47">
        <f t="shared" si="9"/>
        <v>126000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U3X</v>
      </c>
      <c r="E113" s="48" t="str">
        <f>CONCATENATE("U",F22,F$17)</f>
        <v>U3Y</v>
      </c>
    </row>
    <row r="114" spans="1:14" x14ac:dyDescent="0.3">
      <c r="B114" s="49">
        <f>J10*J10*N10</f>
        <v>0</v>
      </c>
      <c r="C114" s="49">
        <f>J10*K10*N10</f>
        <v>0</v>
      </c>
      <c r="D114" s="49">
        <f>-B114</f>
        <v>0</v>
      </c>
      <c r="E114" s="49">
        <f>-C114</f>
        <v>0</v>
      </c>
      <c r="F114" s="48" t="str">
        <f>B113</f>
        <v>U5X</v>
      </c>
    </row>
    <row r="115" spans="1:14" ht="16.8" customHeight="1" x14ac:dyDescent="0.3">
      <c r="A115" s="28" t="s">
        <v>197</v>
      </c>
      <c r="B115" s="49">
        <f>C114</f>
        <v>0</v>
      </c>
      <c r="C115" s="49">
        <f>K10*K10*N10</f>
        <v>126000</v>
      </c>
      <c r="D115" s="49">
        <f>-B115</f>
        <v>0</v>
      </c>
      <c r="E115" s="49">
        <f>-C115</f>
        <v>-126000</v>
      </c>
      <c r="F115" s="48" t="str">
        <f>C113</f>
        <v>U5Y</v>
      </c>
    </row>
    <row r="116" spans="1:14" x14ac:dyDescent="0.3">
      <c r="B116" s="49">
        <f>D114</f>
        <v>0</v>
      </c>
      <c r="C116" s="49">
        <f>E114</f>
        <v>0</v>
      </c>
      <c r="D116" s="49">
        <f>B114</f>
        <v>0</v>
      </c>
      <c r="E116" s="49">
        <f>C114</f>
        <v>0</v>
      </c>
      <c r="F116" s="48" t="str">
        <f>D113</f>
        <v>U3X</v>
      </c>
    </row>
    <row r="117" spans="1:14" x14ac:dyDescent="0.3">
      <c r="B117" s="49">
        <f>D115</f>
        <v>0</v>
      </c>
      <c r="C117" s="49">
        <f>E115</f>
        <v>-126000</v>
      </c>
      <c r="D117" s="49">
        <f>B115</f>
        <v>0</v>
      </c>
      <c r="E117" s="49">
        <f>C115</f>
        <v>126000</v>
      </c>
      <c r="F117" s="48" t="str">
        <f>E113</f>
        <v>U3Y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50">
        <f t="shared" si="10"/>
        <v>0</v>
      </c>
      <c r="G124" s="50">
        <f t="shared" si="10"/>
        <v>0</v>
      </c>
      <c r="H124" s="9">
        <f t="shared" si="10"/>
        <v>0</v>
      </c>
      <c r="I124" s="9">
        <f t="shared" si="10"/>
        <v>0</v>
      </c>
      <c r="J124" s="50">
        <f t="shared" si="10"/>
        <v>0</v>
      </c>
      <c r="K124" s="50">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50">
        <f t="shared" si="10"/>
        <v>0</v>
      </c>
      <c r="G125" s="50">
        <f t="shared" si="10"/>
        <v>126000</v>
      </c>
      <c r="H125" s="9">
        <f t="shared" si="10"/>
        <v>0</v>
      </c>
      <c r="I125" s="9">
        <f t="shared" si="10"/>
        <v>0</v>
      </c>
      <c r="J125" s="50">
        <f t="shared" si="10"/>
        <v>0</v>
      </c>
      <c r="K125" s="50">
        <f t="shared" si="10"/>
        <v>-126000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50">
        <f t="shared" si="10"/>
        <v>0</v>
      </c>
      <c r="G128" s="50">
        <f t="shared" si="10"/>
        <v>0</v>
      </c>
      <c r="H128" s="9">
        <f t="shared" si="10"/>
        <v>0</v>
      </c>
      <c r="I128" s="9">
        <f t="shared" si="10"/>
        <v>0</v>
      </c>
      <c r="J128" s="50">
        <f t="shared" si="10"/>
        <v>0</v>
      </c>
      <c r="K128" s="50">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50">
        <f t="shared" si="10"/>
        <v>0</v>
      </c>
      <c r="G129" s="50">
        <f t="shared" si="10"/>
        <v>-126000</v>
      </c>
      <c r="H129" s="9">
        <f t="shared" si="10"/>
        <v>0</v>
      </c>
      <c r="I129" s="9">
        <f t="shared" si="10"/>
        <v>0</v>
      </c>
      <c r="J129" s="50">
        <f t="shared" si="10"/>
        <v>0</v>
      </c>
      <c r="K129" s="50">
        <f t="shared" si="10"/>
        <v>126000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U1X</v>
      </c>
      <c r="C134" s="53" t="str">
        <f>CONCATENATE("U",D23,D$17)</f>
        <v>U1Y</v>
      </c>
      <c r="D134" s="53" t="str">
        <f>CONCATENATE("U",E23,E$17)</f>
        <v>U3X</v>
      </c>
      <c r="E134" s="53" t="str">
        <f>CONCATENATE("U",F23,F$17)</f>
        <v>U3Y</v>
      </c>
    </row>
    <row r="135" spans="1:14" x14ac:dyDescent="0.3">
      <c r="B135" s="54">
        <f>J11*J11*N11</f>
        <v>45079.130426395757</v>
      </c>
      <c r="C135" s="54">
        <f>J11*K11*N11</f>
        <v>22539.565213197879</v>
      </c>
      <c r="D135" s="54">
        <f>-B135</f>
        <v>-45079.130426395757</v>
      </c>
      <c r="E135" s="54">
        <f>-C135</f>
        <v>-22539.565213197879</v>
      </c>
      <c r="F135" s="53" t="str">
        <f>B134</f>
        <v>U1X</v>
      </c>
    </row>
    <row r="136" spans="1:14" ht="16.8" customHeight="1" x14ac:dyDescent="0.3">
      <c r="A136" s="28" t="s">
        <v>199</v>
      </c>
      <c r="B136" s="54">
        <f>C135</f>
        <v>22539.565213197879</v>
      </c>
      <c r="C136" s="54">
        <f>K11*K11*N11</f>
        <v>11269.782606598939</v>
      </c>
      <c r="D136" s="54">
        <f>-B136</f>
        <v>-22539.565213197879</v>
      </c>
      <c r="E136" s="54">
        <f>-C136</f>
        <v>-11269.782606598939</v>
      </c>
      <c r="F136" s="53" t="str">
        <f>C134</f>
        <v>U1Y</v>
      </c>
    </row>
    <row r="137" spans="1:14" x14ac:dyDescent="0.3">
      <c r="B137" s="54">
        <f>D135</f>
        <v>-45079.130426395757</v>
      </c>
      <c r="C137" s="54">
        <f>E135</f>
        <v>-22539.565213197879</v>
      </c>
      <c r="D137" s="54">
        <f>B135</f>
        <v>45079.130426395757</v>
      </c>
      <c r="E137" s="54">
        <f>C135</f>
        <v>22539.565213197879</v>
      </c>
      <c r="F137" s="53" t="str">
        <f>D134</f>
        <v>U3X</v>
      </c>
    </row>
    <row r="138" spans="1:14" x14ac:dyDescent="0.3">
      <c r="B138" s="54">
        <f>D136</f>
        <v>-22539.565213197879</v>
      </c>
      <c r="C138" s="54">
        <f>E136</f>
        <v>-11269.782606598939</v>
      </c>
      <c r="D138" s="54">
        <f>B136</f>
        <v>22539.565213197879</v>
      </c>
      <c r="E138" s="54">
        <f>C136</f>
        <v>11269.782606598939</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55">
        <f t="shared" ref="B141:M152" si="11">IFERROR(INDEX($B$135:$E$138, MATCH($N141, $B$134:$E$134, 0), MATCH(B$140, $B$134:$E$134, 0)), 0)</f>
        <v>45079.130426395757</v>
      </c>
      <c r="C141" s="55">
        <f t="shared" si="11"/>
        <v>22539.565213197879</v>
      </c>
      <c r="D141" s="9">
        <f t="shared" si="11"/>
        <v>0</v>
      </c>
      <c r="E141" s="9">
        <f t="shared" si="11"/>
        <v>0</v>
      </c>
      <c r="F141" s="55">
        <f t="shared" si="11"/>
        <v>-45079.130426395757</v>
      </c>
      <c r="G141" s="55">
        <f t="shared" si="11"/>
        <v>-22539.565213197879</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55">
        <f t="shared" si="11"/>
        <v>22539.565213197879</v>
      </c>
      <c r="C142" s="55">
        <f t="shared" si="11"/>
        <v>11269.782606598939</v>
      </c>
      <c r="D142" s="9">
        <f t="shared" si="11"/>
        <v>0</v>
      </c>
      <c r="E142" s="9">
        <f t="shared" si="11"/>
        <v>0</v>
      </c>
      <c r="F142" s="55">
        <f t="shared" si="11"/>
        <v>-22539.565213197879</v>
      </c>
      <c r="G142" s="55">
        <f t="shared" si="11"/>
        <v>-11269.782606598939</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55">
        <f t="shared" si="11"/>
        <v>-45079.130426395757</v>
      </c>
      <c r="C145" s="55">
        <f t="shared" si="11"/>
        <v>-22539.565213197879</v>
      </c>
      <c r="D145" s="9">
        <f t="shared" si="11"/>
        <v>0</v>
      </c>
      <c r="E145" s="9">
        <f t="shared" si="11"/>
        <v>0</v>
      </c>
      <c r="F145" s="55">
        <f t="shared" si="11"/>
        <v>45079.130426395757</v>
      </c>
      <c r="G145" s="55">
        <f t="shared" si="11"/>
        <v>22539.565213197879</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55">
        <f t="shared" si="11"/>
        <v>-22539.565213197879</v>
      </c>
      <c r="C146" s="55">
        <f t="shared" si="11"/>
        <v>-11269.782606598939</v>
      </c>
      <c r="D146" s="9">
        <f t="shared" si="11"/>
        <v>0</v>
      </c>
      <c r="E146" s="9">
        <f t="shared" si="11"/>
        <v>0</v>
      </c>
      <c r="F146" s="55">
        <f t="shared" si="11"/>
        <v>22539.565213197879</v>
      </c>
      <c r="G146" s="55">
        <f t="shared" si="11"/>
        <v>11269.782606598939</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U3X</v>
      </c>
      <c r="E155" s="56" t="str">
        <f>CONCATENATE("U",F24,F$17)</f>
        <v>U3Y</v>
      </c>
    </row>
    <row r="156" spans="1:14" x14ac:dyDescent="0.3">
      <c r="B156" s="57">
        <f>J12*J12*N12</f>
        <v>45079.130426395757</v>
      </c>
      <c r="C156" s="57">
        <f>J12*K12*N12</f>
        <v>-22539.565213197879</v>
      </c>
      <c r="D156" s="57">
        <f>-B156</f>
        <v>-45079.130426395757</v>
      </c>
      <c r="E156" s="57">
        <f>-C156</f>
        <v>22539.565213197879</v>
      </c>
      <c r="F156" s="56" t="str">
        <f>B155</f>
        <v>U2X</v>
      </c>
    </row>
    <row r="157" spans="1:14" ht="16.8" customHeight="1" x14ac:dyDescent="0.3">
      <c r="A157" s="28" t="s">
        <v>201</v>
      </c>
      <c r="B157" s="57">
        <f>C156</f>
        <v>-22539.565213197879</v>
      </c>
      <c r="C157" s="57">
        <f>K12*K12*N12</f>
        <v>11269.782606598939</v>
      </c>
      <c r="D157" s="57">
        <f>-B157</f>
        <v>22539.565213197879</v>
      </c>
      <c r="E157" s="57">
        <f>-C157</f>
        <v>-11269.782606598939</v>
      </c>
      <c r="F157" s="56" t="str">
        <f>C155</f>
        <v>U2Y</v>
      </c>
    </row>
    <row r="158" spans="1:14" x14ac:dyDescent="0.3">
      <c r="B158" s="57">
        <f>D156</f>
        <v>-45079.130426395757</v>
      </c>
      <c r="C158" s="57">
        <f>E156</f>
        <v>22539.565213197879</v>
      </c>
      <c r="D158" s="57">
        <f>B156</f>
        <v>45079.130426395757</v>
      </c>
      <c r="E158" s="57">
        <f>C156</f>
        <v>-22539.565213197879</v>
      </c>
      <c r="F158" s="56" t="str">
        <f>D155</f>
        <v>U3X</v>
      </c>
    </row>
    <row r="159" spans="1:14" x14ac:dyDescent="0.3">
      <c r="B159" s="57">
        <f>D157</f>
        <v>22539.565213197879</v>
      </c>
      <c r="C159" s="57">
        <f>E157</f>
        <v>-11269.782606598939</v>
      </c>
      <c r="D159" s="57">
        <f>B157</f>
        <v>-22539.565213197879</v>
      </c>
      <c r="E159" s="57">
        <f>C157</f>
        <v>11269.782606598939</v>
      </c>
      <c r="F159" s="56" t="str">
        <f>E155</f>
        <v>U3Y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45079.130426395757</v>
      </c>
      <c r="E164" s="58">
        <f t="shared" si="12"/>
        <v>-22539.565213197879</v>
      </c>
      <c r="F164" s="58">
        <f t="shared" si="12"/>
        <v>-45079.130426395757</v>
      </c>
      <c r="G164" s="58">
        <f t="shared" si="12"/>
        <v>22539.565213197879</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-22539.565213197879</v>
      </c>
      <c r="E165" s="58">
        <f t="shared" si="12"/>
        <v>11269.782606598939</v>
      </c>
      <c r="F165" s="58">
        <f t="shared" si="12"/>
        <v>22539.565213197879</v>
      </c>
      <c r="G165" s="58">
        <f t="shared" si="12"/>
        <v>-11269.782606598939</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58">
        <f t="shared" si="12"/>
        <v>-45079.130426395757</v>
      </c>
      <c r="E166" s="58">
        <f t="shared" si="12"/>
        <v>22539.565213197879</v>
      </c>
      <c r="F166" s="58">
        <f t="shared" si="12"/>
        <v>45079.130426395757</v>
      </c>
      <c r="G166" s="58">
        <f t="shared" si="12"/>
        <v>-22539.565213197879</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58">
        <f t="shared" si="12"/>
        <v>22539.565213197879</v>
      </c>
      <c r="E167" s="58">
        <f t="shared" si="12"/>
        <v>-11269.782606598939</v>
      </c>
      <c r="F167" s="58">
        <f t="shared" si="12"/>
        <v>-22539.565213197879</v>
      </c>
      <c r="G167" s="58">
        <f t="shared" si="12"/>
        <v>11269.782606598939</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U4X</v>
      </c>
      <c r="C176" s="61" t="str">
        <f>CONCATENATE("U",D25,D$17)</f>
        <v>U4Y</v>
      </c>
      <c r="D176" s="61" t="str">
        <f>CONCATENATE("U",E25,E$17)</f>
        <v>U6X</v>
      </c>
      <c r="E176" s="61" t="str">
        <f>CONCATENATE("U",F25,F$17)</f>
        <v>U6Y</v>
      </c>
    </row>
    <row r="177" spans="1:14" x14ac:dyDescent="0.3">
      <c r="B177" s="62">
        <f>J13*J13*N13</f>
        <v>45079.130426395757</v>
      </c>
      <c r="C177" s="62">
        <f>J13*K13*N13</f>
        <v>22539.565213197879</v>
      </c>
      <c r="D177" s="62">
        <f>-B177</f>
        <v>-45079.130426395757</v>
      </c>
      <c r="E177" s="62">
        <f>-C177</f>
        <v>-22539.565213197879</v>
      </c>
      <c r="F177" s="61" t="str">
        <f>B176</f>
        <v>U4X</v>
      </c>
    </row>
    <row r="178" spans="1:14" ht="16.8" customHeight="1" x14ac:dyDescent="0.3">
      <c r="A178" s="28" t="s">
        <v>203</v>
      </c>
      <c r="B178" s="62">
        <f>C177</f>
        <v>22539.565213197879</v>
      </c>
      <c r="C178" s="62">
        <f>K13*K13*N13</f>
        <v>11269.782606598939</v>
      </c>
      <c r="D178" s="62">
        <f>-B178</f>
        <v>-22539.565213197879</v>
      </c>
      <c r="E178" s="62">
        <f>-C178</f>
        <v>-11269.782606598939</v>
      </c>
      <c r="F178" s="61" t="str">
        <f>C176</f>
        <v>U4Y</v>
      </c>
    </row>
    <row r="179" spans="1:14" x14ac:dyDescent="0.3">
      <c r="B179" s="62">
        <f>D177</f>
        <v>-45079.130426395757</v>
      </c>
      <c r="C179" s="62">
        <f>E177</f>
        <v>-22539.565213197879</v>
      </c>
      <c r="D179" s="62">
        <f>B177</f>
        <v>45079.130426395757</v>
      </c>
      <c r="E179" s="62">
        <f>C177</f>
        <v>22539.565213197879</v>
      </c>
      <c r="F179" s="61" t="str">
        <f>D176</f>
        <v>U6X</v>
      </c>
    </row>
    <row r="180" spans="1:14" x14ac:dyDescent="0.3">
      <c r="B180" s="62">
        <f>D178</f>
        <v>-22539.565213197879</v>
      </c>
      <c r="C180" s="62">
        <f>E178</f>
        <v>-11269.782606598939</v>
      </c>
      <c r="D180" s="62">
        <f>B178</f>
        <v>22539.565213197879</v>
      </c>
      <c r="E180" s="62">
        <f>C178</f>
        <v>11269.782606598939</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63">
        <f t="shared" si="13"/>
        <v>45079.130426395757</v>
      </c>
      <c r="I189" s="63">
        <f t="shared" si="13"/>
        <v>22539.565213197879</v>
      </c>
      <c r="J189" s="9">
        <f t="shared" si="13"/>
        <v>0</v>
      </c>
      <c r="K189" s="9">
        <f t="shared" si="13"/>
        <v>0</v>
      </c>
      <c r="L189" s="63">
        <f t="shared" si="13"/>
        <v>-45079.130426395757</v>
      </c>
      <c r="M189" s="63">
        <f t="shared" si="13"/>
        <v>-22539.565213197879</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63">
        <f t="shared" si="13"/>
        <v>22539.565213197879</v>
      </c>
      <c r="I190" s="63">
        <f t="shared" si="13"/>
        <v>11269.782606598939</v>
      </c>
      <c r="J190" s="9">
        <f t="shared" si="13"/>
        <v>0</v>
      </c>
      <c r="K190" s="9">
        <f t="shared" si="13"/>
        <v>0</v>
      </c>
      <c r="L190" s="63">
        <f t="shared" si="13"/>
        <v>-22539.565213197879</v>
      </c>
      <c r="M190" s="63">
        <f t="shared" si="13"/>
        <v>-11269.782606598939</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-45079.130426395757</v>
      </c>
      <c r="I193" s="63">
        <f t="shared" si="13"/>
        <v>-22539.565213197879</v>
      </c>
      <c r="J193" s="9">
        <f t="shared" si="13"/>
        <v>0</v>
      </c>
      <c r="K193" s="9">
        <f t="shared" si="13"/>
        <v>0</v>
      </c>
      <c r="L193" s="63">
        <f t="shared" si="13"/>
        <v>45079.130426395757</v>
      </c>
      <c r="M193" s="63">
        <f t="shared" si="13"/>
        <v>22539.565213197879</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-22539.565213197879</v>
      </c>
      <c r="I194" s="63">
        <f t="shared" si="13"/>
        <v>-11269.782606598939</v>
      </c>
      <c r="J194" s="9">
        <f t="shared" si="13"/>
        <v>0</v>
      </c>
      <c r="K194" s="9">
        <f t="shared" si="13"/>
        <v>0</v>
      </c>
      <c r="L194" s="63">
        <f t="shared" si="13"/>
        <v>22539.565213197879</v>
      </c>
      <c r="M194" s="63">
        <f t="shared" si="13"/>
        <v>11269.782606598939</v>
      </c>
      <c r="N194" s="61" t="s">
        <v>189</v>
      </c>
    </row>
    <row r="197" spans="1:14" ht="18" customHeight="1" x14ac:dyDescent="0.3">
      <c r="B197" s="64" t="str">
        <f>CONCATENATE("U",C26,C$17)</f>
        <v>U5X</v>
      </c>
      <c r="C197" s="64" t="str">
        <f>CONCATENATE("U",D26,D$17)</f>
        <v>U5Y</v>
      </c>
      <c r="D197" s="64" t="str">
        <f>CONCATENATE("U",E26,E$17)</f>
        <v>U6X</v>
      </c>
      <c r="E197" s="64" t="str">
        <f>CONCATENATE("U",F26,F$17)</f>
        <v>U6Y</v>
      </c>
    </row>
    <row r="198" spans="1:14" x14ac:dyDescent="0.3">
      <c r="B198" s="65">
        <f>J14*J14*N14</f>
        <v>45079.130426395757</v>
      </c>
      <c r="C198" s="65">
        <f>J14*K14*N14</f>
        <v>-22539.565213197879</v>
      </c>
      <c r="D198" s="65">
        <f>-B198</f>
        <v>-45079.130426395757</v>
      </c>
      <c r="E198" s="65">
        <f>-C198</f>
        <v>22539.565213197879</v>
      </c>
      <c r="F198" s="64" t="str">
        <f>B197</f>
        <v>U5X</v>
      </c>
    </row>
    <row r="199" spans="1:14" ht="16.8" customHeight="1" x14ac:dyDescent="0.3">
      <c r="A199" s="28" t="s">
        <v>528</v>
      </c>
      <c r="B199" s="65">
        <f>C198</f>
        <v>-22539.565213197879</v>
      </c>
      <c r="C199" s="65">
        <f>K14*K14*N14</f>
        <v>11269.782606598939</v>
      </c>
      <c r="D199" s="65">
        <f>-B199</f>
        <v>22539.565213197879</v>
      </c>
      <c r="E199" s="65">
        <f>-C199</f>
        <v>-11269.782606598939</v>
      </c>
      <c r="F199" s="64" t="str">
        <f>C197</f>
        <v>U5Y</v>
      </c>
    </row>
    <row r="200" spans="1:14" x14ac:dyDescent="0.3">
      <c r="B200" s="65">
        <f>D198</f>
        <v>-45079.130426395757</v>
      </c>
      <c r="C200" s="65">
        <f>E198</f>
        <v>22539.565213197879</v>
      </c>
      <c r="D200" s="65">
        <f>B198</f>
        <v>45079.130426395757</v>
      </c>
      <c r="E200" s="65">
        <f>C198</f>
        <v>-22539.565213197879</v>
      </c>
      <c r="F200" s="64" t="str">
        <f>D197</f>
        <v>U6X</v>
      </c>
    </row>
    <row r="201" spans="1:14" x14ac:dyDescent="0.3">
      <c r="B201" s="65">
        <f>D199</f>
        <v>22539.565213197879</v>
      </c>
      <c r="C201" s="65">
        <f>E199</f>
        <v>-11269.782606598939</v>
      </c>
      <c r="D201" s="65">
        <f>B199</f>
        <v>-22539.565213197879</v>
      </c>
      <c r="E201" s="65">
        <f>C199</f>
        <v>11269.782606598939</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66">
        <f t="shared" si="14"/>
        <v>45079.130426395757</v>
      </c>
      <c r="K212" s="66">
        <f t="shared" si="14"/>
        <v>-22539.565213197879</v>
      </c>
      <c r="L212" s="66">
        <f t="shared" si="14"/>
        <v>-45079.130426395757</v>
      </c>
      <c r="M212" s="66">
        <f t="shared" si="14"/>
        <v>22539.565213197879</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66">
        <f t="shared" si="14"/>
        <v>-22539.565213197879</v>
      </c>
      <c r="K213" s="66">
        <f t="shared" si="14"/>
        <v>11269.782606598939</v>
      </c>
      <c r="L213" s="66">
        <f t="shared" si="14"/>
        <v>22539.565213197879</v>
      </c>
      <c r="M213" s="66">
        <f t="shared" si="14"/>
        <v>-11269.782606598939</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66">
        <f t="shared" si="14"/>
        <v>-45079.130426395757</v>
      </c>
      <c r="K214" s="66">
        <f t="shared" si="14"/>
        <v>22539.565213197879</v>
      </c>
      <c r="L214" s="66">
        <f t="shared" si="14"/>
        <v>45079.130426395757</v>
      </c>
      <c r="M214" s="66">
        <f t="shared" si="14"/>
        <v>-22539.565213197879</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66">
        <f t="shared" si="14"/>
        <v>22539.565213197879</v>
      </c>
      <c r="K215" s="66">
        <f t="shared" si="14"/>
        <v>-11269.782606598939</v>
      </c>
      <c r="L215" s="66">
        <f t="shared" si="14"/>
        <v>-22539.565213197879</v>
      </c>
      <c r="M215" s="66">
        <f t="shared" si="14"/>
        <v>11269.782606598939</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108079.13042639576</v>
      </c>
      <c r="C219" s="36">
        <f t="shared" si="15"/>
        <v>22539.565213197879</v>
      </c>
      <c r="D219" s="9">
        <f t="shared" si="15"/>
        <v>0</v>
      </c>
      <c r="E219" s="9">
        <f t="shared" si="15"/>
        <v>0</v>
      </c>
      <c r="F219" s="9">
        <f t="shared" si="15"/>
        <v>-45079.130426395757</v>
      </c>
      <c r="G219" s="9">
        <f t="shared" si="15"/>
        <v>-22539.565213197879</v>
      </c>
      <c r="H219" s="9">
        <f t="shared" si="15"/>
        <v>-63000</v>
      </c>
      <c r="I219" s="9">
        <f t="shared" si="15"/>
        <v>0</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22539.565213197879</v>
      </c>
      <c r="C220" s="35">
        <f t="shared" si="16"/>
        <v>74269.782606598936</v>
      </c>
      <c r="D220" s="9">
        <f t="shared" si="16"/>
        <v>0</v>
      </c>
      <c r="E220" s="9">
        <f t="shared" si="16"/>
        <v>-63000</v>
      </c>
      <c r="F220" s="9">
        <f t="shared" si="16"/>
        <v>-22539.565213197879</v>
      </c>
      <c r="G220" s="9">
        <f t="shared" si="16"/>
        <v>-11269.782606598939</v>
      </c>
      <c r="H220" s="9">
        <f t="shared" si="16"/>
        <v>0</v>
      </c>
      <c r="I220" s="9">
        <f t="shared" si="16"/>
        <v>0</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0</v>
      </c>
      <c r="C221" s="9">
        <f t="shared" si="17"/>
        <v>0</v>
      </c>
      <c r="D221" s="35">
        <f t="shared" si="17"/>
        <v>108079.13042639576</v>
      </c>
      <c r="E221" s="36">
        <f t="shared" si="17"/>
        <v>-22539.565213197879</v>
      </c>
      <c r="F221" s="9">
        <f t="shared" si="17"/>
        <v>-45079.130426395757</v>
      </c>
      <c r="G221" s="9">
        <f t="shared" si="17"/>
        <v>22539.565213197879</v>
      </c>
      <c r="H221" s="9">
        <f t="shared" si="17"/>
        <v>0</v>
      </c>
      <c r="I221" s="9">
        <f t="shared" si="17"/>
        <v>0</v>
      </c>
      <c r="J221" s="9">
        <f t="shared" si="17"/>
        <v>-63000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-63000</v>
      </c>
      <c r="D222" s="36">
        <f t="shared" si="18"/>
        <v>-22539.565213197879</v>
      </c>
      <c r="E222" s="35">
        <f t="shared" si="18"/>
        <v>74269.782606598936</v>
      </c>
      <c r="F222" s="9">
        <f t="shared" si="18"/>
        <v>22539.565213197879</v>
      </c>
      <c r="G222" s="9">
        <f t="shared" si="18"/>
        <v>-11269.782606598939</v>
      </c>
      <c r="H222" s="9">
        <f t="shared" si="18"/>
        <v>0</v>
      </c>
      <c r="I222" s="9">
        <f t="shared" si="18"/>
        <v>0</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-45079.130426395757</v>
      </c>
      <c r="C223" s="9">
        <f t="shared" si="19"/>
        <v>-22539.565213197879</v>
      </c>
      <c r="D223" s="9">
        <f t="shared" si="19"/>
        <v>-45079.130426395757</v>
      </c>
      <c r="E223" s="9">
        <f t="shared" si="19"/>
        <v>22539.565213197879</v>
      </c>
      <c r="F223" s="35">
        <f t="shared" si="19"/>
        <v>90158.260852791514</v>
      </c>
      <c r="G223" s="36">
        <f t="shared" si="19"/>
        <v>0</v>
      </c>
      <c r="H223" s="9">
        <f t="shared" si="19"/>
        <v>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-22539.565213197879</v>
      </c>
      <c r="C224" s="9">
        <f t="shared" si="20"/>
        <v>-11269.782606598939</v>
      </c>
      <c r="D224" s="9">
        <f t="shared" si="20"/>
        <v>22539.565213197879</v>
      </c>
      <c r="E224" s="9">
        <f t="shared" si="20"/>
        <v>-11269.782606598939</v>
      </c>
      <c r="F224" s="36">
        <f t="shared" si="20"/>
        <v>0</v>
      </c>
      <c r="G224" s="35">
        <f t="shared" si="20"/>
        <v>274539.56521319784</v>
      </c>
      <c r="H224" s="9">
        <f t="shared" si="20"/>
        <v>0</v>
      </c>
      <c r="I224" s="9">
        <f t="shared" si="20"/>
        <v>-126000</v>
      </c>
      <c r="J224" s="9">
        <f t="shared" si="20"/>
        <v>0</v>
      </c>
      <c r="K224" s="9">
        <f t="shared" si="20"/>
        <v>-126000</v>
      </c>
      <c r="L224" s="9">
        <f t="shared" si="20"/>
        <v>0</v>
      </c>
      <c r="M224" s="9">
        <f t="shared" si="20"/>
        <v>0</v>
      </c>
      <c r="N224" s="89" t="s">
        <v>183</v>
      </c>
    </row>
    <row r="225" spans="1:21" ht="19.95" customHeight="1" x14ac:dyDescent="0.3">
      <c r="B225" s="9">
        <f t="shared" ref="B225:M225" si="21">B42+B63+B84+B105+B126+B147+B168+B189+B210</f>
        <v>-63000</v>
      </c>
      <c r="C225" s="9">
        <f t="shared" si="21"/>
        <v>0</v>
      </c>
      <c r="D225" s="9">
        <f t="shared" si="21"/>
        <v>0</v>
      </c>
      <c r="E225" s="9">
        <f t="shared" si="21"/>
        <v>0</v>
      </c>
      <c r="F225" s="9">
        <f t="shared" si="21"/>
        <v>0</v>
      </c>
      <c r="G225" s="9">
        <f t="shared" si="21"/>
        <v>0</v>
      </c>
      <c r="H225" s="35">
        <f t="shared" si="21"/>
        <v>108079.13042639576</v>
      </c>
      <c r="I225" s="36">
        <f t="shared" si="21"/>
        <v>22539.565213197879</v>
      </c>
      <c r="J225" s="9">
        <f t="shared" si="21"/>
        <v>0</v>
      </c>
      <c r="K225" s="9">
        <f t="shared" si="21"/>
        <v>0</v>
      </c>
      <c r="L225" s="9">
        <f t="shared" si="21"/>
        <v>-45079.130426395757</v>
      </c>
      <c r="M225" s="9">
        <f t="shared" si="21"/>
        <v>-22539.565213197879</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-126000</v>
      </c>
      <c r="H226" s="36">
        <f t="shared" si="22"/>
        <v>22539.565213197879</v>
      </c>
      <c r="I226" s="35">
        <f t="shared" si="22"/>
        <v>137269.78260659895</v>
      </c>
      <c r="J226" s="9">
        <f t="shared" si="22"/>
        <v>0</v>
      </c>
      <c r="K226" s="9">
        <f t="shared" si="22"/>
        <v>0</v>
      </c>
      <c r="L226" s="9">
        <f t="shared" si="22"/>
        <v>-22539.565213197879</v>
      </c>
      <c r="M226" s="9">
        <f t="shared" si="22"/>
        <v>-11269.782606598939</v>
      </c>
      <c r="N226" s="89" t="s">
        <v>185</v>
      </c>
    </row>
    <row r="227" spans="1:21" ht="19.95" customHeight="1" x14ac:dyDescent="0.3">
      <c r="B227" s="9">
        <f t="shared" ref="B227:M227" si="23">B44+B65+B86+B107+B128+B149+B170+B191+B212</f>
        <v>0</v>
      </c>
      <c r="C227" s="9">
        <f t="shared" si="23"/>
        <v>0</v>
      </c>
      <c r="D227" s="9">
        <f t="shared" si="23"/>
        <v>-63000</v>
      </c>
      <c r="E227" s="9">
        <f t="shared" si="23"/>
        <v>0</v>
      </c>
      <c r="F227" s="9">
        <f t="shared" si="23"/>
        <v>0</v>
      </c>
      <c r="G227" s="9">
        <f t="shared" si="23"/>
        <v>0</v>
      </c>
      <c r="H227" s="9">
        <f t="shared" si="23"/>
        <v>0</v>
      </c>
      <c r="I227" s="9">
        <f t="shared" si="23"/>
        <v>0</v>
      </c>
      <c r="J227" s="35">
        <f t="shared" si="23"/>
        <v>108079.13042639576</v>
      </c>
      <c r="K227" s="36">
        <f t="shared" si="23"/>
        <v>-22539.565213197879</v>
      </c>
      <c r="L227" s="9">
        <f t="shared" si="23"/>
        <v>-45079.130426395757</v>
      </c>
      <c r="M227" s="9">
        <f t="shared" si="23"/>
        <v>22539.565213197879</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0</v>
      </c>
      <c r="G228" s="9">
        <f t="shared" si="24"/>
        <v>-126000</v>
      </c>
      <c r="H228" s="9">
        <f t="shared" si="24"/>
        <v>0</v>
      </c>
      <c r="I228" s="9">
        <f t="shared" si="24"/>
        <v>0</v>
      </c>
      <c r="J228" s="36">
        <f t="shared" si="24"/>
        <v>-22539.565213197879</v>
      </c>
      <c r="K228" s="35">
        <f t="shared" si="24"/>
        <v>137269.78260659895</v>
      </c>
      <c r="L228" s="9">
        <f t="shared" si="24"/>
        <v>22539.565213197879</v>
      </c>
      <c r="M228" s="9">
        <f t="shared" si="24"/>
        <v>-11269.782606598939</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-45079.130426395757</v>
      </c>
      <c r="I229" s="9">
        <f t="shared" si="25"/>
        <v>-22539.565213197879</v>
      </c>
      <c r="J229" s="9">
        <f t="shared" si="25"/>
        <v>-45079.130426395757</v>
      </c>
      <c r="K229" s="9">
        <f t="shared" si="25"/>
        <v>22539.565213197879</v>
      </c>
      <c r="L229" s="35">
        <f t="shared" si="25"/>
        <v>90158.260852791514</v>
      </c>
      <c r="M229" s="36">
        <f t="shared" si="25"/>
        <v>0</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0</v>
      </c>
      <c r="H230" s="9">
        <f t="shared" si="26"/>
        <v>-22539.565213197879</v>
      </c>
      <c r="I230" s="9">
        <f t="shared" si="26"/>
        <v>-11269.782606598939</v>
      </c>
      <c r="J230" s="9">
        <f t="shared" si="26"/>
        <v>22539.565213197879</v>
      </c>
      <c r="K230" s="9">
        <f t="shared" si="26"/>
        <v>-11269.782606598939</v>
      </c>
      <c r="L230" s="36">
        <f t="shared" si="26"/>
        <v>0</v>
      </c>
      <c r="M230" s="35">
        <f t="shared" si="26"/>
        <v>22539.565213197879</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IF(GRAFICA_30!F14=1, B234, GRAFICA_30!H14)</f>
        <v>C1X</v>
      </c>
      <c r="P234" s="215" t="s">
        <v>376</v>
      </c>
      <c r="Q234" s="172"/>
      <c r="R234" s="172"/>
      <c r="S234" s="172"/>
      <c r="T234" s="172"/>
      <c r="U234" s="173"/>
    </row>
    <row r="235" spans="1:21" ht="16.95" customHeight="1" x14ac:dyDescent="0.3">
      <c r="B235" s="12" t="s">
        <v>210</v>
      </c>
      <c r="C235" s="12" t="s">
        <v>179</v>
      </c>
      <c r="E235" s="37" t="str">
        <f>IF(GRAFICA_30!G14=1, B235, GRAFICA_30!I14)</f>
        <v>C1Y</v>
      </c>
      <c r="P235" s="215" t="s">
        <v>211</v>
      </c>
      <c r="Q235" s="172"/>
      <c r="R235" s="172"/>
      <c r="S235" s="172"/>
      <c r="T235" s="172"/>
      <c r="U235" s="173"/>
    </row>
    <row r="236" spans="1:21" ht="16.95" customHeight="1" x14ac:dyDescent="0.3">
      <c r="B236" s="12" t="s">
        <v>212</v>
      </c>
      <c r="C236" s="12" t="s">
        <v>180</v>
      </c>
      <c r="E236" s="37" t="str">
        <f>IF(GRAFICA_30!F15=1, B236, GRAFICA_30!H15)</f>
        <v>C2X</v>
      </c>
      <c r="P236" s="215" t="s">
        <v>377</v>
      </c>
      <c r="Q236" s="172"/>
      <c r="R236" s="172"/>
      <c r="S236" s="172"/>
      <c r="T236" s="172"/>
      <c r="U236" s="173"/>
    </row>
    <row r="237" spans="1:21" ht="16.95" customHeight="1" x14ac:dyDescent="0.3">
      <c r="B237" s="12" t="s">
        <v>214</v>
      </c>
      <c r="C237" s="12" t="s">
        <v>181</v>
      </c>
      <c r="E237" s="37">
        <f>IF(GRAFICA_30!G15=1, B237, GRAFICA_30!I15)</f>
        <v>0</v>
      </c>
      <c r="P237" s="215" t="s">
        <v>215</v>
      </c>
      <c r="Q237" s="172"/>
      <c r="R237" s="172"/>
      <c r="S237" s="172"/>
      <c r="T237" s="172"/>
      <c r="U237" s="173"/>
    </row>
    <row r="238" spans="1:21" ht="16.95" customHeight="1" x14ac:dyDescent="0.3">
      <c r="B238" s="12" t="s">
        <v>216</v>
      </c>
      <c r="C238" s="12" t="s">
        <v>182</v>
      </c>
      <c r="E238" s="37">
        <f>IF(GRAFICA_30!F16=1, B238, GRAFICA_30!H16)</f>
        <v>0</v>
      </c>
      <c r="P238" s="215" t="s">
        <v>378</v>
      </c>
      <c r="Q238" s="172"/>
      <c r="R238" s="172"/>
      <c r="S238" s="172"/>
      <c r="T238" s="172"/>
      <c r="U238" s="173"/>
    </row>
    <row r="239" spans="1:21" ht="16.95" customHeight="1" x14ac:dyDescent="0.3">
      <c r="A239" s="38" t="s">
        <v>218</v>
      </c>
      <c r="B239" s="12" t="s">
        <v>219</v>
      </c>
      <c r="C239" s="12" t="s">
        <v>183</v>
      </c>
      <c r="D239" s="13" t="s">
        <v>220</v>
      </c>
      <c r="E239" s="37">
        <f>IF(GRAFICA_30!G16=1, B239, GRAFICA_30!I16)</f>
        <v>-4000</v>
      </c>
      <c r="P239" s="215" t="s">
        <v>379</v>
      </c>
      <c r="Q239" s="172"/>
      <c r="R239" s="172"/>
      <c r="S239" s="172"/>
      <c r="T239" s="172"/>
      <c r="U239" s="173"/>
    </row>
    <row r="240" spans="1:21" ht="16.95" customHeight="1" x14ac:dyDescent="0.3">
      <c r="B240" s="12" t="s">
        <v>221</v>
      </c>
      <c r="C240" s="12" t="s">
        <v>184</v>
      </c>
      <c r="E240" s="37">
        <f>IF(GRAFICA_30!F17=1, B240, GRAFICA_30!H17)</f>
        <v>0</v>
      </c>
      <c r="P240" s="215"/>
      <c r="Q240" s="172"/>
      <c r="R240" s="172"/>
      <c r="S240" s="172"/>
      <c r="T240" s="172"/>
      <c r="U240" s="173"/>
    </row>
    <row r="241" spans="1:21" ht="16.95" customHeight="1" x14ac:dyDescent="0.3">
      <c r="B241" s="12" t="s">
        <v>222</v>
      </c>
      <c r="C241" s="12" t="s">
        <v>185</v>
      </c>
      <c r="E241" s="37">
        <f>IF(GRAFICA_30!G17=1, B241, GRAFICA_30!I17)</f>
        <v>-3500</v>
      </c>
      <c r="P241" s="215"/>
      <c r="Q241" s="172"/>
      <c r="R241" s="172"/>
      <c r="S241" s="172"/>
      <c r="T241" s="172"/>
      <c r="U241" s="173"/>
    </row>
    <row r="242" spans="1:21" ht="16.95" customHeight="1" x14ac:dyDescent="0.3">
      <c r="B242" s="12" t="s">
        <v>223</v>
      </c>
      <c r="C242" s="12" t="s">
        <v>186</v>
      </c>
      <c r="E242" s="37">
        <f>IF(GRAFICA_30!F18=1, B242, GRAFICA_30!H18)</f>
        <v>0</v>
      </c>
      <c r="P242" s="215"/>
      <c r="Q242" s="172"/>
      <c r="R242" s="172"/>
      <c r="S242" s="172"/>
      <c r="T242" s="172"/>
      <c r="U242" s="173"/>
    </row>
    <row r="243" spans="1:21" ht="16.95" customHeight="1" x14ac:dyDescent="0.3">
      <c r="B243" s="12" t="s">
        <v>224</v>
      </c>
      <c r="C243" s="12" t="s">
        <v>187</v>
      </c>
      <c r="E243" s="37">
        <f>IF(GRAFICA_30!G18=1, B243, GRAFICA_30!I18)</f>
        <v>-3500</v>
      </c>
      <c r="P243" s="215"/>
      <c r="Q243" s="172"/>
      <c r="R243" s="172"/>
      <c r="S243" s="172"/>
      <c r="T243" s="172"/>
      <c r="U243" s="173"/>
    </row>
    <row r="244" spans="1:21" ht="16.95" customHeight="1" x14ac:dyDescent="0.3">
      <c r="B244" s="12" t="s">
        <v>225</v>
      </c>
      <c r="C244" s="12" t="s">
        <v>188</v>
      </c>
      <c r="E244" s="37">
        <f>IF(GRAFICA_30!F19=1, B244, GRAFICA_30!H19)</f>
        <v>2000</v>
      </c>
      <c r="P244" s="215"/>
      <c r="Q244" s="172"/>
      <c r="R244" s="172"/>
      <c r="S244" s="172"/>
      <c r="T244" s="172"/>
      <c r="U244" s="173"/>
    </row>
    <row r="245" spans="1:21" ht="16.95" customHeight="1" x14ac:dyDescent="0.3">
      <c r="B245" s="12" t="s">
        <v>226</v>
      </c>
      <c r="C245" s="12" t="s">
        <v>189</v>
      </c>
      <c r="E245" s="37">
        <f>IF(GRAFICA_30!G19=1, B245, GRAFICA_30!I19)</f>
        <v>-6000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IF(GRAFICA_30!F14=1,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IF(GRAFICA_30!G14=1,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f>IF(GRAFICA_30!F15=1, 0, B250)</f>
        <v>0</v>
      </c>
      <c r="F250" s="14" t="str">
        <f>IF(E250&lt;&gt;0, COUNTIF(E$248:E250, "&lt;&gt;0"), "")</f>
        <v/>
      </c>
      <c r="G250" s="14">
        <f>IF(E250=0, COUNTIF(E$248:E250, 0), "")</f>
        <v>3</v>
      </c>
      <c r="P250" s="215"/>
      <c r="Q250" s="172"/>
      <c r="R250" s="172"/>
      <c r="S250" s="172"/>
      <c r="T250" s="172"/>
      <c r="U250" s="173"/>
    </row>
    <row r="251" spans="1:21" ht="16.95" customHeight="1" x14ac:dyDescent="0.3">
      <c r="B251" s="12" t="s">
        <v>231</v>
      </c>
      <c r="C251" s="12" t="s">
        <v>181</v>
      </c>
      <c r="E251" s="39" t="str">
        <f>IF(GRAFICA_30!G15=1, 0, B251)</f>
        <v>D2Y</v>
      </c>
      <c r="F251" s="14">
        <f>IF(E251&lt;&gt;0, COUNTIF(E$248:E251, "&lt;&gt;0"), "")</f>
        <v>1</v>
      </c>
      <c r="G251" s="14" t="str">
        <f>IF(E251=0, COUNTIF(E$248:E251, 0), "")</f>
        <v/>
      </c>
      <c r="P251" s="215"/>
      <c r="Q251" s="172"/>
      <c r="R251" s="172"/>
      <c r="S251" s="172"/>
      <c r="T251" s="172"/>
      <c r="U251" s="173"/>
    </row>
    <row r="252" spans="1:21" ht="16.95" customHeight="1" x14ac:dyDescent="0.3">
      <c r="B252" s="12" t="s">
        <v>232</v>
      </c>
      <c r="C252" s="12" t="s">
        <v>182</v>
      </c>
      <c r="E252" s="39" t="str">
        <f>IF(GRAFICA_30!F16=1, 0, B252)</f>
        <v>D3X</v>
      </c>
      <c r="F252" s="14">
        <f>IF(E252&lt;&gt;0, COUNTIF(E$248:E252, "&lt;&gt;0"), "")</f>
        <v>2</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IF(GRAFICA_30!G16=1, 0, B253)</f>
        <v>D3Y</v>
      </c>
      <c r="F253" s="14">
        <f>IF(E253&lt;&gt;0, COUNTIF(E$248:E253, "&lt;&gt;0"), "")</f>
        <v>3</v>
      </c>
      <c r="G253" s="14" t="str">
        <f>IF(E253=0, COUNTIF(E$248:E253, 0), "")</f>
        <v/>
      </c>
      <c r="P253" s="215"/>
      <c r="Q253" s="172"/>
      <c r="R253" s="172"/>
      <c r="S253" s="172"/>
      <c r="T253" s="172"/>
      <c r="U253" s="173"/>
    </row>
    <row r="254" spans="1:21" ht="16.95" customHeight="1" x14ac:dyDescent="0.3">
      <c r="B254" s="12" t="s">
        <v>235</v>
      </c>
      <c r="C254" s="12" t="s">
        <v>184</v>
      </c>
      <c r="E254" s="39" t="str">
        <f>IF(GRAFICA_30!F17=1, 0, B254)</f>
        <v>D4X</v>
      </c>
      <c r="F254" s="14">
        <f>IF(E254&lt;&gt;0, COUNTIF(E$248:E254, "&lt;&gt;0"), "")</f>
        <v>4</v>
      </c>
      <c r="G254" s="14" t="str">
        <f>IF(E254=0, COUNTIF(E$248:E254, 0), "")</f>
        <v/>
      </c>
      <c r="P254" s="215"/>
      <c r="Q254" s="172"/>
      <c r="R254" s="172"/>
      <c r="S254" s="172"/>
      <c r="T254" s="172"/>
      <c r="U254" s="173"/>
    </row>
    <row r="255" spans="1:21" ht="16.95" customHeight="1" x14ac:dyDescent="0.3">
      <c r="B255" s="12" t="s">
        <v>236</v>
      </c>
      <c r="C255" s="12" t="s">
        <v>185</v>
      </c>
      <c r="E255" s="39" t="str">
        <f>IF(GRAFICA_30!G17=1, 0, B255)</f>
        <v>D4Y</v>
      </c>
      <c r="F255" s="14">
        <f>IF(E255&lt;&gt;0, COUNTIF(E$248:E255, "&lt;&gt;0"), "")</f>
        <v>5</v>
      </c>
      <c r="G255" s="14" t="str">
        <f>IF(E255=0, COUNTIF(E$248:E255, 0), "")</f>
        <v/>
      </c>
      <c r="P255" s="215"/>
      <c r="Q255" s="172"/>
      <c r="R255" s="172"/>
      <c r="S255" s="172"/>
      <c r="T255" s="172"/>
      <c r="U255" s="173"/>
    </row>
    <row r="256" spans="1:21" ht="16.95" customHeight="1" x14ac:dyDescent="0.3">
      <c r="B256" s="12" t="s">
        <v>237</v>
      </c>
      <c r="C256" s="12" t="s">
        <v>186</v>
      </c>
      <c r="E256" s="39" t="str">
        <f>IF(GRAFICA_30!F18=1,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IF(GRAFICA_30!G18=1,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IF(GRAFICA_30!F19=1,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IF(GRAFICA_30!G19=1,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108079.13042639576</v>
      </c>
      <c r="D264" s="9">
        <f t="shared" si="28"/>
        <v>22539.565213197879</v>
      </c>
      <c r="E264" s="9">
        <f t="shared" si="28"/>
        <v>0</v>
      </c>
      <c r="F264" s="9">
        <f t="shared" si="28"/>
        <v>0</v>
      </c>
      <c r="G264" s="9">
        <f t="shared" si="28"/>
        <v>-45079.130426395757</v>
      </c>
      <c r="H264" s="9">
        <f t="shared" si="28"/>
        <v>-22539.565213197879</v>
      </c>
      <c r="I264" s="9">
        <f t="shared" si="28"/>
        <v>-63000</v>
      </c>
      <c r="J264" s="9">
        <f t="shared" si="28"/>
        <v>0</v>
      </c>
      <c r="K264" s="9">
        <f t="shared" si="28"/>
        <v>0</v>
      </c>
      <c r="L264" s="9">
        <f t="shared" si="28"/>
        <v>0</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22539.565213197879</v>
      </c>
      <c r="D265" s="9">
        <f t="shared" si="29"/>
        <v>74269.782606598936</v>
      </c>
      <c r="E265" s="9">
        <f t="shared" si="29"/>
        <v>0</v>
      </c>
      <c r="F265" s="9">
        <f t="shared" si="29"/>
        <v>-63000</v>
      </c>
      <c r="G265" s="9">
        <f t="shared" si="29"/>
        <v>-22539.565213197879</v>
      </c>
      <c r="H265" s="9">
        <f t="shared" si="29"/>
        <v>-11269.782606598939</v>
      </c>
      <c r="I265" s="9">
        <f t="shared" si="29"/>
        <v>0</v>
      </c>
      <c r="J265" s="9">
        <f t="shared" si="29"/>
        <v>0</v>
      </c>
      <c r="K265" s="9">
        <f t="shared" si="29"/>
        <v>0</v>
      </c>
      <c r="L265" s="9">
        <f t="shared" si="29"/>
        <v>0</v>
      </c>
      <c r="M265" s="9">
        <f t="shared" si="29"/>
        <v>0</v>
      </c>
      <c r="N265" s="9">
        <f t="shared" si="29"/>
        <v>0</v>
      </c>
      <c r="O265" s="13" t="s">
        <v>251</v>
      </c>
      <c r="P265" s="219" t="s">
        <v>253</v>
      </c>
      <c r="Q265" s="172"/>
      <c r="R265" s="172"/>
      <c r="S265" s="172"/>
      <c r="T265" s="172"/>
      <c r="U265" s="173"/>
    </row>
    <row r="266" spans="1:21" ht="16.95" customHeight="1" x14ac:dyDescent="0.3">
      <c r="A266" s="12" t="str">
        <f t="shared" si="27"/>
        <v>C2X</v>
      </c>
      <c r="C266" s="9">
        <f t="shared" ref="C266:N266" si="30">B221</f>
        <v>0</v>
      </c>
      <c r="D266" s="9">
        <f t="shared" si="30"/>
        <v>0</v>
      </c>
      <c r="E266" s="9">
        <f t="shared" si="30"/>
        <v>108079.13042639576</v>
      </c>
      <c r="F266" s="9">
        <f t="shared" si="30"/>
        <v>-22539.565213197879</v>
      </c>
      <c r="G266" s="9">
        <f t="shared" si="30"/>
        <v>-45079.130426395757</v>
      </c>
      <c r="H266" s="9">
        <f t="shared" si="30"/>
        <v>22539.565213197879</v>
      </c>
      <c r="I266" s="9">
        <f t="shared" si="30"/>
        <v>0</v>
      </c>
      <c r="J266" s="9">
        <f t="shared" si="30"/>
        <v>0</v>
      </c>
      <c r="K266" s="9">
        <f t="shared" si="30"/>
        <v>-63000</v>
      </c>
      <c r="L266" s="9">
        <f t="shared" si="30"/>
        <v>0</v>
      </c>
      <c r="M266" s="9">
        <f t="shared" si="30"/>
        <v>0</v>
      </c>
      <c r="N266" s="9">
        <f t="shared" si="30"/>
        <v>0</v>
      </c>
      <c r="O266" s="13" t="s">
        <v>251</v>
      </c>
      <c r="P266" s="219" t="s">
        <v>254</v>
      </c>
      <c r="Q266" s="172"/>
      <c r="R266" s="172"/>
      <c r="S266" s="172"/>
      <c r="T266" s="172"/>
      <c r="U266" s="173"/>
    </row>
    <row r="267" spans="1:21" ht="16.95" customHeight="1" x14ac:dyDescent="0.3">
      <c r="A267" s="41">
        <f t="shared" si="27"/>
        <v>0</v>
      </c>
      <c r="C267" s="9">
        <f t="shared" ref="C267:N267" si="31">B222</f>
        <v>0</v>
      </c>
      <c r="D267" s="9">
        <f t="shared" si="31"/>
        <v>-63000</v>
      </c>
      <c r="E267" s="9">
        <f t="shared" si="31"/>
        <v>-22539.565213197879</v>
      </c>
      <c r="F267" s="41">
        <f t="shared" si="31"/>
        <v>74269.782606598936</v>
      </c>
      <c r="G267" s="41">
        <f t="shared" si="31"/>
        <v>22539.565213197879</v>
      </c>
      <c r="H267" s="41">
        <f t="shared" si="31"/>
        <v>-11269.782606598939</v>
      </c>
      <c r="I267" s="41">
        <f t="shared" si="31"/>
        <v>0</v>
      </c>
      <c r="J267" s="41">
        <f t="shared" si="31"/>
        <v>0</v>
      </c>
      <c r="K267" s="41">
        <f t="shared" si="31"/>
        <v>0</v>
      </c>
      <c r="L267" s="41">
        <f t="shared" si="31"/>
        <v>0</v>
      </c>
      <c r="M267" s="41">
        <f t="shared" si="31"/>
        <v>0</v>
      </c>
      <c r="N267" s="41">
        <f t="shared" si="31"/>
        <v>0</v>
      </c>
      <c r="O267" s="13" t="s">
        <v>251</v>
      </c>
      <c r="P267" s="215" t="s">
        <v>381</v>
      </c>
      <c r="Q267" s="172"/>
      <c r="R267" s="172"/>
      <c r="S267" s="172"/>
      <c r="T267" s="172"/>
      <c r="U267" s="173"/>
    </row>
    <row r="268" spans="1:21" ht="16.95" customHeight="1" x14ac:dyDescent="0.3">
      <c r="A268" s="41">
        <f t="shared" si="27"/>
        <v>0</v>
      </c>
      <c r="C268" s="9">
        <f t="shared" ref="C268:N268" si="32">B223</f>
        <v>-45079.130426395757</v>
      </c>
      <c r="D268" s="9">
        <f t="shared" si="32"/>
        <v>-22539.565213197879</v>
      </c>
      <c r="E268" s="9">
        <f t="shared" si="32"/>
        <v>-45079.130426395757</v>
      </c>
      <c r="F268" s="41">
        <f t="shared" si="32"/>
        <v>22539.565213197879</v>
      </c>
      <c r="G268" s="41">
        <f t="shared" si="32"/>
        <v>90158.260852791514</v>
      </c>
      <c r="H268" s="41">
        <f t="shared" si="32"/>
        <v>0</v>
      </c>
      <c r="I268" s="41">
        <f t="shared" si="32"/>
        <v>0</v>
      </c>
      <c r="J268" s="41">
        <f t="shared" si="32"/>
        <v>0</v>
      </c>
      <c r="K268" s="41">
        <f t="shared" si="32"/>
        <v>0</v>
      </c>
      <c r="L268" s="41">
        <f t="shared" si="32"/>
        <v>0</v>
      </c>
      <c r="M268" s="41">
        <f t="shared" si="32"/>
        <v>0</v>
      </c>
      <c r="N268" s="41">
        <f t="shared" si="32"/>
        <v>0</v>
      </c>
      <c r="O268" s="13" t="s">
        <v>251</v>
      </c>
      <c r="P268" s="215" t="s">
        <v>382</v>
      </c>
      <c r="Q268" s="172"/>
      <c r="R268" s="172"/>
      <c r="S268" s="172"/>
      <c r="T268" s="172"/>
      <c r="U268" s="173"/>
    </row>
    <row r="269" spans="1:21" ht="16.95" customHeight="1" x14ac:dyDescent="0.3">
      <c r="A269" s="41">
        <f t="shared" si="27"/>
        <v>-4000</v>
      </c>
      <c r="C269" s="9">
        <f t="shared" ref="C269:N269" si="33">B224</f>
        <v>-22539.565213197879</v>
      </c>
      <c r="D269" s="9">
        <f t="shared" si="33"/>
        <v>-11269.782606598939</v>
      </c>
      <c r="E269" s="9">
        <f t="shared" si="33"/>
        <v>22539.565213197879</v>
      </c>
      <c r="F269" s="41">
        <f t="shared" si="33"/>
        <v>-11269.782606598939</v>
      </c>
      <c r="G269" s="41">
        <f t="shared" si="33"/>
        <v>0</v>
      </c>
      <c r="H269" s="41">
        <f t="shared" si="33"/>
        <v>274539.56521319784</v>
      </c>
      <c r="I269" s="41">
        <f t="shared" si="33"/>
        <v>0</v>
      </c>
      <c r="J269" s="41">
        <f t="shared" si="33"/>
        <v>-126000</v>
      </c>
      <c r="K269" s="41">
        <f t="shared" si="33"/>
        <v>0</v>
      </c>
      <c r="L269" s="41">
        <f t="shared" si="33"/>
        <v>-126000</v>
      </c>
      <c r="M269" s="41">
        <f t="shared" si="33"/>
        <v>0</v>
      </c>
      <c r="N269" s="41">
        <f t="shared" si="33"/>
        <v>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-63000</v>
      </c>
      <c r="D270" s="9">
        <f t="shared" si="35"/>
        <v>0</v>
      </c>
      <c r="E270" s="9">
        <f t="shared" si="35"/>
        <v>0</v>
      </c>
      <c r="F270" s="41">
        <f t="shared" si="35"/>
        <v>0</v>
      </c>
      <c r="G270" s="41">
        <f t="shared" si="35"/>
        <v>0</v>
      </c>
      <c r="H270" s="41">
        <f t="shared" si="35"/>
        <v>0</v>
      </c>
      <c r="I270" s="41">
        <f t="shared" si="35"/>
        <v>108079.13042639576</v>
      </c>
      <c r="J270" s="41">
        <f t="shared" si="35"/>
        <v>22539.565213197879</v>
      </c>
      <c r="K270" s="41">
        <f t="shared" si="35"/>
        <v>0</v>
      </c>
      <c r="L270" s="41">
        <f t="shared" si="35"/>
        <v>0</v>
      </c>
      <c r="M270" s="41">
        <f t="shared" si="35"/>
        <v>-45079.130426395757</v>
      </c>
      <c r="N270" s="41">
        <f t="shared" si="35"/>
        <v>-22539.565213197879</v>
      </c>
      <c r="O270" s="13" t="s">
        <v>251</v>
      </c>
      <c r="P270" s="215" t="str">
        <f t="shared" si="34"/>
        <v>D4X</v>
      </c>
      <c r="Q270" s="172"/>
      <c r="R270" s="172"/>
      <c r="S270" s="172"/>
      <c r="T270" s="172"/>
      <c r="U270" s="173"/>
    </row>
    <row r="271" spans="1:21" ht="16.95" customHeight="1" x14ac:dyDescent="0.3">
      <c r="A271" s="41">
        <f t="shared" si="27"/>
        <v>-3500</v>
      </c>
      <c r="C271" s="9">
        <f t="shared" ref="C271:N271" si="36">B226</f>
        <v>0</v>
      </c>
      <c r="D271" s="9">
        <f t="shared" si="36"/>
        <v>0</v>
      </c>
      <c r="E271" s="9">
        <f t="shared" si="36"/>
        <v>0</v>
      </c>
      <c r="F271" s="41">
        <f t="shared" si="36"/>
        <v>0</v>
      </c>
      <c r="G271" s="41">
        <f t="shared" si="36"/>
        <v>0</v>
      </c>
      <c r="H271" s="41">
        <f t="shared" si="36"/>
        <v>-126000</v>
      </c>
      <c r="I271" s="41">
        <f t="shared" si="36"/>
        <v>22539.565213197879</v>
      </c>
      <c r="J271" s="41">
        <f t="shared" si="36"/>
        <v>137269.78260659895</v>
      </c>
      <c r="K271" s="41">
        <f t="shared" si="36"/>
        <v>0</v>
      </c>
      <c r="L271" s="41">
        <f t="shared" si="36"/>
        <v>0</v>
      </c>
      <c r="M271" s="41">
        <f t="shared" si="36"/>
        <v>-22539.565213197879</v>
      </c>
      <c r="N271" s="41">
        <f t="shared" si="36"/>
        <v>-11269.782606598939</v>
      </c>
      <c r="O271" s="13" t="s">
        <v>251</v>
      </c>
      <c r="P271" s="215" t="str">
        <f t="shared" si="34"/>
        <v>D4Y</v>
      </c>
      <c r="Q271" s="172"/>
      <c r="R271" s="172"/>
      <c r="S271" s="172"/>
      <c r="T271" s="172"/>
      <c r="U271" s="173"/>
    </row>
    <row r="272" spans="1:21" ht="16.95" customHeight="1" x14ac:dyDescent="0.3">
      <c r="A272" s="41">
        <f t="shared" si="27"/>
        <v>0</v>
      </c>
      <c r="C272" s="9">
        <f t="shared" ref="C272:N272" si="37">B227</f>
        <v>0</v>
      </c>
      <c r="D272" s="9">
        <f t="shared" si="37"/>
        <v>0</v>
      </c>
      <c r="E272" s="9">
        <f t="shared" si="37"/>
        <v>-63000</v>
      </c>
      <c r="F272" s="41">
        <f t="shared" si="37"/>
        <v>0</v>
      </c>
      <c r="G272" s="41">
        <f t="shared" si="37"/>
        <v>0</v>
      </c>
      <c r="H272" s="41">
        <f t="shared" si="37"/>
        <v>0</v>
      </c>
      <c r="I272" s="41">
        <f t="shared" si="37"/>
        <v>0</v>
      </c>
      <c r="J272" s="41">
        <f t="shared" si="37"/>
        <v>0</v>
      </c>
      <c r="K272" s="41">
        <f t="shared" si="37"/>
        <v>108079.13042639576</v>
      </c>
      <c r="L272" s="41">
        <f t="shared" si="37"/>
        <v>-22539.565213197879</v>
      </c>
      <c r="M272" s="41">
        <f t="shared" si="37"/>
        <v>-45079.130426395757</v>
      </c>
      <c r="N272" s="41">
        <f t="shared" si="37"/>
        <v>22539.565213197879</v>
      </c>
      <c r="O272" s="13" t="s">
        <v>251</v>
      </c>
      <c r="P272" s="215" t="str">
        <f t="shared" si="34"/>
        <v>D5X</v>
      </c>
      <c r="Q272" s="172"/>
      <c r="R272" s="172"/>
      <c r="S272" s="172"/>
      <c r="T272" s="172"/>
      <c r="U272" s="173"/>
    </row>
    <row r="273" spans="1:21" ht="16.95" customHeight="1" x14ac:dyDescent="0.3">
      <c r="A273" s="41">
        <f t="shared" si="27"/>
        <v>-3500</v>
      </c>
      <c r="C273" s="9">
        <f t="shared" ref="C273:N273" si="38">B228</f>
        <v>0</v>
      </c>
      <c r="D273" s="9">
        <f t="shared" si="38"/>
        <v>0</v>
      </c>
      <c r="E273" s="9">
        <f t="shared" si="38"/>
        <v>0</v>
      </c>
      <c r="F273" s="41">
        <f t="shared" si="38"/>
        <v>0</v>
      </c>
      <c r="G273" s="41">
        <f t="shared" si="38"/>
        <v>0</v>
      </c>
      <c r="H273" s="41">
        <f t="shared" si="38"/>
        <v>-126000</v>
      </c>
      <c r="I273" s="41">
        <f t="shared" si="38"/>
        <v>0</v>
      </c>
      <c r="J273" s="41">
        <f t="shared" si="38"/>
        <v>0</v>
      </c>
      <c r="K273" s="41">
        <f t="shared" si="38"/>
        <v>-22539.565213197879</v>
      </c>
      <c r="L273" s="41">
        <f t="shared" si="38"/>
        <v>137269.78260659895</v>
      </c>
      <c r="M273" s="41">
        <f t="shared" si="38"/>
        <v>22539.565213197879</v>
      </c>
      <c r="N273" s="41">
        <f t="shared" si="38"/>
        <v>-11269.782606598939</v>
      </c>
      <c r="O273" s="13" t="s">
        <v>251</v>
      </c>
      <c r="P273" s="215" t="str">
        <f t="shared" si="34"/>
        <v>D5Y</v>
      </c>
      <c r="Q273" s="172"/>
      <c r="R273" s="172"/>
      <c r="S273" s="172"/>
      <c r="T273" s="172"/>
      <c r="U273" s="173"/>
    </row>
    <row r="274" spans="1:21" ht="16.95" customHeight="1" x14ac:dyDescent="0.3">
      <c r="A274" s="41">
        <f t="shared" si="27"/>
        <v>2000</v>
      </c>
      <c r="C274" s="9">
        <f t="shared" ref="C274:N274" si="39">B229</f>
        <v>0</v>
      </c>
      <c r="D274" s="9">
        <f t="shared" si="39"/>
        <v>0</v>
      </c>
      <c r="E274" s="9">
        <f t="shared" si="39"/>
        <v>0</v>
      </c>
      <c r="F274" s="41">
        <f t="shared" si="39"/>
        <v>0</v>
      </c>
      <c r="G274" s="41">
        <f t="shared" si="39"/>
        <v>0</v>
      </c>
      <c r="H274" s="41">
        <f t="shared" si="39"/>
        <v>0</v>
      </c>
      <c r="I274" s="41">
        <f t="shared" si="39"/>
        <v>-45079.130426395757</v>
      </c>
      <c r="J274" s="41">
        <f t="shared" si="39"/>
        <v>-22539.565213197879</v>
      </c>
      <c r="K274" s="41">
        <f t="shared" si="39"/>
        <v>-45079.130426395757</v>
      </c>
      <c r="L274" s="41">
        <f t="shared" si="39"/>
        <v>22539.565213197879</v>
      </c>
      <c r="M274" s="41">
        <f t="shared" si="39"/>
        <v>90158.260852791514</v>
      </c>
      <c r="N274" s="41">
        <f t="shared" si="39"/>
        <v>0</v>
      </c>
      <c r="O274" s="13" t="s">
        <v>251</v>
      </c>
      <c r="P274" s="215" t="str">
        <f t="shared" si="34"/>
        <v>D6X</v>
      </c>
      <c r="Q274" s="172"/>
      <c r="R274" s="172"/>
      <c r="S274" s="172"/>
      <c r="T274" s="172"/>
      <c r="U274" s="173"/>
    </row>
    <row r="275" spans="1:21" ht="16.95" customHeight="1" x14ac:dyDescent="0.3">
      <c r="A275" s="41">
        <f t="shared" si="27"/>
        <v>-6000</v>
      </c>
      <c r="C275" s="9">
        <f t="shared" ref="C275:N275" si="40">B230</f>
        <v>0</v>
      </c>
      <c r="D275" s="9">
        <f t="shared" si="40"/>
        <v>0</v>
      </c>
      <c r="E275" s="9">
        <f t="shared" si="40"/>
        <v>0</v>
      </c>
      <c r="F275" s="41">
        <f t="shared" si="40"/>
        <v>0</v>
      </c>
      <c r="G275" s="41">
        <f t="shared" si="40"/>
        <v>0</v>
      </c>
      <c r="H275" s="41">
        <f t="shared" si="40"/>
        <v>0</v>
      </c>
      <c r="I275" s="41">
        <f t="shared" si="40"/>
        <v>-22539.565213197879</v>
      </c>
      <c r="J275" s="41">
        <f t="shared" si="40"/>
        <v>-11269.782606598939</v>
      </c>
      <c r="K275" s="41">
        <f t="shared" si="40"/>
        <v>22539.565213197879</v>
      </c>
      <c r="L275" s="41">
        <f t="shared" si="40"/>
        <v>-11269.782606598939</v>
      </c>
      <c r="M275" s="41">
        <f t="shared" si="40"/>
        <v>0</v>
      </c>
      <c r="N275" s="41">
        <f t="shared" si="40"/>
        <v>22539.565213197879</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U2Y</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74269.782606598936</v>
      </c>
      <c r="D280" s="41">
        <f t="shared" si="42"/>
        <v>22539.565213197879</v>
      </c>
      <c r="E280" s="41">
        <f t="shared" si="42"/>
        <v>-11269.782606598939</v>
      </c>
      <c r="F280" s="41">
        <f t="shared" si="42"/>
        <v>0</v>
      </c>
      <c r="G280" s="41">
        <f t="shared" si="42"/>
        <v>0</v>
      </c>
      <c r="H280" s="41">
        <f t="shared" si="42"/>
        <v>0</v>
      </c>
      <c r="I280" s="41">
        <f t="shared" si="42"/>
        <v>0</v>
      </c>
      <c r="J280" s="41">
        <f t="shared" si="42"/>
        <v>0</v>
      </c>
      <c r="K280" s="41">
        <f t="shared" si="42"/>
        <v>0</v>
      </c>
      <c r="L280" s="13" t="s">
        <v>251</v>
      </c>
      <c r="M280" s="38" t="str">
        <f>INDEX(B$248:B$259, MATCH(1, F$248:F$259, 0))</f>
        <v>D2Y</v>
      </c>
      <c r="N280" s="14" t="str">
        <f>INDEX(C$248:C$259, MATCH(1, F$248:F$259, 0))</f>
        <v>U2Y</v>
      </c>
      <c r="P280" s="215" t="s">
        <v>384</v>
      </c>
      <c r="Q280" s="172"/>
      <c r="R280" s="172"/>
      <c r="S280" s="172"/>
      <c r="T280" s="172"/>
      <c r="U280" s="173"/>
    </row>
    <row r="281" spans="1:21" ht="16.95" customHeight="1" x14ac:dyDescent="0.3">
      <c r="A281" s="41">
        <f t="shared" si="41"/>
        <v>0</v>
      </c>
      <c r="C281" s="41">
        <f t="shared" si="42"/>
        <v>22539.565213197879</v>
      </c>
      <c r="D281" s="41">
        <f t="shared" si="42"/>
        <v>90158.260852791514</v>
      </c>
      <c r="E281" s="41">
        <f t="shared" si="42"/>
        <v>0</v>
      </c>
      <c r="F281" s="41">
        <f t="shared" si="42"/>
        <v>0</v>
      </c>
      <c r="G281" s="41">
        <f t="shared" si="42"/>
        <v>0</v>
      </c>
      <c r="H281" s="41">
        <f t="shared" si="42"/>
        <v>0</v>
      </c>
      <c r="I281" s="41">
        <f t="shared" si="42"/>
        <v>0</v>
      </c>
      <c r="J281" s="41">
        <f t="shared" si="42"/>
        <v>0</v>
      </c>
      <c r="K281" s="41">
        <f t="shared" si="42"/>
        <v>0</v>
      </c>
      <c r="L281" s="13" t="s">
        <v>251</v>
      </c>
      <c r="M281" s="38" t="str">
        <f>INDEX(B$248:B$259, MATCH(2, F$248:F$259, 0))</f>
        <v>D3X</v>
      </c>
      <c r="N281" s="14" t="str">
        <f>INDEX(C$248:C$259, MATCH(2, F$248:F$259, 0))</f>
        <v>U3X</v>
      </c>
      <c r="P281" s="215" t="s">
        <v>385</v>
      </c>
      <c r="Q281" s="172"/>
      <c r="R281" s="172"/>
      <c r="S281" s="172"/>
      <c r="T281" s="172"/>
      <c r="U281" s="173"/>
    </row>
    <row r="282" spans="1:21" ht="16.95" customHeight="1" x14ac:dyDescent="0.3">
      <c r="A282" s="41">
        <f t="shared" si="41"/>
        <v>-4000</v>
      </c>
      <c r="C282" s="41">
        <f t="shared" si="42"/>
        <v>-11269.782606598939</v>
      </c>
      <c r="D282" s="41">
        <f t="shared" si="42"/>
        <v>0</v>
      </c>
      <c r="E282" s="41">
        <f t="shared" si="42"/>
        <v>274539.56521319784</v>
      </c>
      <c r="F282" s="41">
        <f t="shared" si="42"/>
        <v>0</v>
      </c>
      <c r="G282" s="41">
        <f t="shared" si="42"/>
        <v>-126000</v>
      </c>
      <c r="H282" s="41">
        <f t="shared" si="42"/>
        <v>0</v>
      </c>
      <c r="I282" s="41">
        <f t="shared" si="42"/>
        <v>-126000</v>
      </c>
      <c r="J282" s="41">
        <f t="shared" si="42"/>
        <v>0</v>
      </c>
      <c r="K282" s="41">
        <f t="shared" si="42"/>
        <v>0</v>
      </c>
      <c r="L282" s="13" t="s">
        <v>251</v>
      </c>
      <c r="M282" s="38" t="str">
        <f>INDEX(B$248:B$259, MATCH(3, F$248:F$259, 0))</f>
        <v>D3Y</v>
      </c>
      <c r="N282" s="14" t="str">
        <f>INDEX(C$248:C$259, MATCH(3, F$248:F$259, 0))</f>
        <v>U3Y</v>
      </c>
      <c r="P282" s="215" t="s">
        <v>386</v>
      </c>
      <c r="Q282" s="172"/>
      <c r="R282" s="172"/>
      <c r="S282" s="172"/>
      <c r="T282" s="172"/>
      <c r="U282" s="173"/>
    </row>
    <row r="283" spans="1:21" ht="16.95" customHeight="1" x14ac:dyDescent="0.3">
      <c r="A283" s="41">
        <f t="shared" si="41"/>
        <v>0</v>
      </c>
      <c r="C283" s="41">
        <f t="shared" si="42"/>
        <v>0</v>
      </c>
      <c r="D283" s="41">
        <f t="shared" si="42"/>
        <v>0</v>
      </c>
      <c r="E283" s="41">
        <f t="shared" si="42"/>
        <v>0</v>
      </c>
      <c r="F283" s="41">
        <f t="shared" si="42"/>
        <v>108079.13042639576</v>
      </c>
      <c r="G283" s="41">
        <f t="shared" si="42"/>
        <v>22539.565213197879</v>
      </c>
      <c r="H283" s="41">
        <f t="shared" si="42"/>
        <v>0</v>
      </c>
      <c r="I283" s="41">
        <f t="shared" si="42"/>
        <v>0</v>
      </c>
      <c r="J283" s="41">
        <f t="shared" si="42"/>
        <v>-45079.130426395757</v>
      </c>
      <c r="K283" s="41">
        <f t="shared" si="42"/>
        <v>-22539.565213197879</v>
      </c>
      <c r="L283" s="13" t="s">
        <v>251</v>
      </c>
      <c r="M283" s="38" t="str">
        <f>INDEX(B$248:B$259, MATCH(4, F$248:F$259, 0))</f>
        <v>D4X</v>
      </c>
      <c r="N283" s="14" t="str">
        <f>INDEX(C$248:C$259, MATCH(4, F$248:F$259, 0))</f>
        <v>U4X</v>
      </c>
      <c r="P283" s="215" t="s">
        <v>387</v>
      </c>
      <c r="Q283" s="172"/>
      <c r="R283" s="172"/>
      <c r="S283" s="172"/>
      <c r="T283" s="172"/>
      <c r="U283" s="173"/>
    </row>
    <row r="284" spans="1:21" ht="16.95" customHeight="1" x14ac:dyDescent="0.3">
      <c r="A284" s="41">
        <f t="shared" si="41"/>
        <v>-3500</v>
      </c>
      <c r="B284" s="13" t="s">
        <v>220</v>
      </c>
      <c r="C284" s="41">
        <f t="shared" si="42"/>
        <v>0</v>
      </c>
      <c r="D284" s="41">
        <f t="shared" si="42"/>
        <v>0</v>
      </c>
      <c r="E284" s="41">
        <f t="shared" si="42"/>
        <v>-126000</v>
      </c>
      <c r="F284" s="41">
        <f t="shared" si="42"/>
        <v>22539.565213197879</v>
      </c>
      <c r="G284" s="41">
        <f t="shared" si="42"/>
        <v>137269.78260659895</v>
      </c>
      <c r="H284" s="41">
        <f t="shared" si="42"/>
        <v>0</v>
      </c>
      <c r="I284" s="41">
        <f t="shared" si="42"/>
        <v>0</v>
      </c>
      <c r="J284" s="41">
        <f t="shared" si="42"/>
        <v>-22539.565213197879</v>
      </c>
      <c r="K284" s="41">
        <f t="shared" si="42"/>
        <v>-11269.782606598939</v>
      </c>
      <c r="L284" s="13" t="s">
        <v>251</v>
      </c>
      <c r="M284" s="38" t="str">
        <f>INDEX(B$248:B$259, MATCH(5, F$248:F$259, 0))</f>
        <v>D4Y</v>
      </c>
      <c r="N284" s="14" t="str">
        <f>INDEX(C$248:C$259, MATCH(5, F$248:F$259, 0))</f>
        <v>U4Y</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108079.13042639576</v>
      </c>
      <c r="I285" s="41">
        <f t="shared" si="42"/>
        <v>-22539.565213197879</v>
      </c>
      <c r="J285" s="41">
        <f t="shared" si="42"/>
        <v>-45079.130426395757</v>
      </c>
      <c r="K285" s="41">
        <f t="shared" si="42"/>
        <v>22539.565213197879</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-3500</v>
      </c>
      <c r="C286" s="41">
        <f t="shared" si="42"/>
        <v>0</v>
      </c>
      <c r="D286" s="41">
        <f t="shared" si="42"/>
        <v>0</v>
      </c>
      <c r="E286" s="41">
        <f t="shared" si="42"/>
        <v>-126000</v>
      </c>
      <c r="F286" s="41">
        <f t="shared" si="42"/>
        <v>0</v>
      </c>
      <c r="G286" s="41">
        <f t="shared" si="42"/>
        <v>0</v>
      </c>
      <c r="H286" s="41">
        <f t="shared" si="42"/>
        <v>-22539.565213197879</v>
      </c>
      <c r="I286" s="41">
        <f t="shared" si="42"/>
        <v>137269.78260659895</v>
      </c>
      <c r="J286" s="41">
        <f t="shared" si="42"/>
        <v>22539.565213197879</v>
      </c>
      <c r="K286" s="41">
        <f t="shared" si="42"/>
        <v>-11269.782606598939</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2000</v>
      </c>
      <c r="C287" s="41">
        <f t="shared" si="42"/>
        <v>0</v>
      </c>
      <c r="D287" s="41">
        <f t="shared" si="42"/>
        <v>0</v>
      </c>
      <c r="E287" s="41">
        <f t="shared" si="42"/>
        <v>0</v>
      </c>
      <c r="F287" s="41">
        <f t="shared" si="42"/>
        <v>-45079.130426395757</v>
      </c>
      <c r="G287" s="41">
        <f t="shared" si="42"/>
        <v>-22539.565213197879</v>
      </c>
      <c r="H287" s="41">
        <f t="shared" si="42"/>
        <v>-45079.130426395757</v>
      </c>
      <c r="I287" s="41">
        <f t="shared" si="42"/>
        <v>22539.565213197879</v>
      </c>
      <c r="J287" s="41">
        <f t="shared" si="42"/>
        <v>90158.260852791514</v>
      </c>
      <c r="K287" s="41">
        <f t="shared" si="42"/>
        <v>0</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-6000</v>
      </c>
      <c r="C288" s="41">
        <f t="shared" si="42"/>
        <v>0</v>
      </c>
      <c r="D288" s="41">
        <f t="shared" si="42"/>
        <v>0</v>
      </c>
      <c r="E288" s="41">
        <f t="shared" si="42"/>
        <v>0</v>
      </c>
      <c r="F288" s="41">
        <f t="shared" si="42"/>
        <v>-22539.565213197879</v>
      </c>
      <c r="G288" s="41">
        <f t="shared" si="42"/>
        <v>-11269.782606598939</v>
      </c>
      <c r="H288" s="41">
        <f t="shared" si="42"/>
        <v>22539.565213197879</v>
      </c>
      <c r="I288" s="41">
        <f t="shared" si="42"/>
        <v>-11269.782606598939</v>
      </c>
      <c r="J288" s="41">
        <f t="shared" si="42"/>
        <v>0</v>
      </c>
      <c r="K288" s="41">
        <f t="shared" si="42"/>
        <v>22539.565213197879</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D2Y</v>
      </c>
      <c r="C292" s="93">
        <f t="array" ref="C292:K300">MINVERSE(C280:K288)</f>
        <v>1.5873015873015872E-5</v>
      </c>
      <c r="D292" s="93">
        <v>-3.9682539682539681E-6</v>
      </c>
      <c r="E292" s="93">
        <v>7.9365079365079396E-6</v>
      </c>
      <c r="F292" s="93">
        <v>-4.4625945879462527E-22</v>
      </c>
      <c r="G292" s="93">
        <v>7.9365079365079379E-6</v>
      </c>
      <c r="H292" s="93">
        <v>4.1793588370516686E-22</v>
      </c>
      <c r="I292" s="93">
        <v>7.9365079365079396E-6</v>
      </c>
      <c r="J292" s="93">
        <v>3.3425897668195105E-23</v>
      </c>
      <c r="K292" s="93">
        <v>7.9365079365079345E-6</v>
      </c>
      <c r="M292" s="17">
        <f t="shared" ref="M292:M300" si="44">A280</f>
        <v>0</v>
      </c>
      <c r="P292" s="215"/>
      <c r="Q292" s="172"/>
      <c r="R292" s="172"/>
      <c r="S292" s="172"/>
      <c r="T292" s="172"/>
      <c r="U292" s="173"/>
    </row>
    <row r="293" spans="1:21" ht="16.95" customHeight="1" x14ac:dyDescent="0.3">
      <c r="A293" s="12" t="str">
        <f t="shared" si="43"/>
        <v>D3X</v>
      </c>
      <c r="C293" s="93">
        <v>-3.9682539682539681E-6</v>
      </c>
      <c r="D293" s="93">
        <v>1.2083670523312449E-5</v>
      </c>
      <c r="E293" s="93">
        <v>-1.9841269841269849E-6</v>
      </c>
      <c r="F293" s="93">
        <v>1.1156486469865632E-22</v>
      </c>
      <c r="G293" s="93">
        <v>-1.9841269841269845E-6</v>
      </c>
      <c r="H293" s="93">
        <v>-1.0448397092629171E-22</v>
      </c>
      <c r="I293" s="93">
        <v>-1.9841269841269849E-6</v>
      </c>
      <c r="J293" s="93">
        <v>-8.3564744170487762E-24</v>
      </c>
      <c r="K293" s="93">
        <v>-1.984126984126984E-6</v>
      </c>
      <c r="M293" s="17">
        <f t="shared" si="44"/>
        <v>0</v>
      </c>
      <c r="P293" s="215"/>
      <c r="Q293" s="172"/>
      <c r="R293" s="172"/>
      <c r="S293" s="172"/>
      <c r="T293" s="172"/>
      <c r="U293" s="173"/>
    </row>
    <row r="294" spans="1:21" ht="16.95" customHeight="1" x14ac:dyDescent="0.3">
      <c r="A294" s="12" t="str">
        <f t="shared" si="43"/>
        <v>D3Y</v>
      </c>
      <c r="C294" s="93">
        <v>7.9365079365079396E-6</v>
      </c>
      <c r="D294" s="93">
        <v>-1.9841269841269849E-6</v>
      </c>
      <c r="E294" s="93">
        <v>4.8334682093249817E-5</v>
      </c>
      <c r="F294" s="93">
        <v>-2.717795943064934E-21</v>
      </c>
      <c r="G294" s="93">
        <v>4.8334682093249804E-5</v>
      </c>
      <c r="H294" s="93">
        <v>2.5453005573555831E-21</v>
      </c>
      <c r="I294" s="93">
        <v>4.8334682093249817E-5</v>
      </c>
      <c r="J294" s="93">
        <v>2.0356939732168748E-22</v>
      </c>
      <c r="K294" s="93">
        <v>4.833468209324979E-5</v>
      </c>
      <c r="M294" s="17">
        <f t="shared" si="44"/>
        <v>-4000</v>
      </c>
      <c r="P294" s="215"/>
      <c r="Q294" s="172"/>
      <c r="R294" s="172"/>
      <c r="S294" s="172"/>
      <c r="T294" s="172"/>
      <c r="U294" s="173"/>
    </row>
    <row r="295" spans="1:21" ht="16.95" customHeight="1" x14ac:dyDescent="0.3">
      <c r="A295" s="12" t="str">
        <f t="shared" si="43"/>
        <v>D4X</v>
      </c>
      <c r="C295" s="93">
        <v>-7.7042373044991507E-22</v>
      </c>
      <c r="D295" s="93">
        <v>1.9260593261247877E-22</v>
      </c>
      <c r="E295" s="93">
        <v>0</v>
      </c>
      <c r="F295" s="93">
        <v>1.5873015873015872E-5</v>
      </c>
      <c r="G295" s="93">
        <v>0</v>
      </c>
      <c r="H295" s="93">
        <v>0</v>
      </c>
      <c r="I295" s="93">
        <v>-4.1089265623995471E-21</v>
      </c>
      <c r="J295" s="93">
        <v>7.9365079365079345E-6</v>
      </c>
      <c r="K295" s="93">
        <v>1.5873015873015869E-5</v>
      </c>
      <c r="M295" s="17">
        <f t="shared" si="44"/>
        <v>0</v>
      </c>
      <c r="P295" s="215"/>
      <c r="Q295" s="172"/>
      <c r="R295" s="172"/>
      <c r="S295" s="172"/>
      <c r="T295" s="172"/>
      <c r="U295" s="173"/>
    </row>
    <row r="296" spans="1:21" ht="16.95" customHeight="1" x14ac:dyDescent="0.3">
      <c r="A296" s="12" t="str">
        <f t="shared" si="43"/>
        <v>D4Y</v>
      </c>
      <c r="B296" s="13" t="s">
        <v>220</v>
      </c>
      <c r="C296" s="93">
        <v>7.9365079365079396E-6</v>
      </c>
      <c r="D296" s="93">
        <v>-1.9841269841269849E-6</v>
      </c>
      <c r="E296" s="93">
        <v>4.8334682093249804E-5</v>
      </c>
      <c r="F296" s="93">
        <v>-2.9865147720652845E-21</v>
      </c>
      <c r="G296" s="93">
        <v>5.6271190029757728E-5</v>
      </c>
      <c r="H296" s="93">
        <v>2.6132004255571239E-21</v>
      </c>
      <c r="I296" s="93">
        <v>4.833468209324981E-5</v>
      </c>
      <c r="J296" s="93">
        <v>1.9841269841269836E-6</v>
      </c>
      <c r="K296" s="93">
        <v>5.2302936061503749E-5</v>
      </c>
      <c r="M296" s="17">
        <f t="shared" si="44"/>
        <v>-3500</v>
      </c>
      <c r="P296" s="215"/>
      <c r="Q296" s="172"/>
      <c r="R296" s="172"/>
      <c r="S296" s="172"/>
      <c r="T296" s="172"/>
      <c r="U296" s="173"/>
    </row>
    <row r="297" spans="1:21" ht="16.95" customHeight="1" x14ac:dyDescent="0.3">
      <c r="A297" s="12" t="str">
        <f t="shared" si="43"/>
        <v>D5X</v>
      </c>
      <c r="C297" s="93">
        <v>7.7042373044991507E-22</v>
      </c>
      <c r="D297" s="93">
        <v>-1.9260593261247877E-22</v>
      </c>
      <c r="E297" s="93">
        <v>0</v>
      </c>
      <c r="F297" s="93">
        <v>0</v>
      </c>
      <c r="G297" s="93">
        <v>4.1089265623995471E-21</v>
      </c>
      <c r="H297" s="93">
        <v>1.5873015873015872E-5</v>
      </c>
      <c r="I297" s="93">
        <v>4.1089265623995471E-21</v>
      </c>
      <c r="J297" s="93">
        <v>7.9365079365079345E-6</v>
      </c>
      <c r="K297" s="93">
        <v>-1.5873015873015866E-5</v>
      </c>
      <c r="M297" s="17">
        <f t="shared" si="44"/>
        <v>0</v>
      </c>
      <c r="P297" s="215"/>
      <c r="Q297" s="172"/>
      <c r="R297" s="172"/>
      <c r="S297" s="172"/>
      <c r="T297" s="172"/>
      <c r="U297" s="173"/>
    </row>
    <row r="298" spans="1:21" ht="16.95" customHeight="1" x14ac:dyDescent="0.3">
      <c r="A298" s="12" t="str">
        <f t="shared" si="43"/>
        <v>D5Y</v>
      </c>
      <c r="C298" s="93">
        <v>7.9365079365079396E-6</v>
      </c>
      <c r="D298" s="93">
        <v>-1.9841269841269849E-6</v>
      </c>
      <c r="E298" s="93">
        <v>4.833468209324981E-5</v>
      </c>
      <c r="F298" s="93">
        <v>-2.8953365728592083E-21</v>
      </c>
      <c r="G298" s="93">
        <v>4.8334682093249804E-5</v>
      </c>
      <c r="H298" s="93">
        <v>2.8953365728592083E-21</v>
      </c>
      <c r="I298" s="93">
        <v>5.6271190029757748E-5</v>
      </c>
      <c r="J298" s="93">
        <v>-1.9841269841269832E-6</v>
      </c>
      <c r="K298" s="93">
        <v>5.2302936061503756E-5</v>
      </c>
      <c r="M298" s="17">
        <f t="shared" si="44"/>
        <v>-3500</v>
      </c>
      <c r="P298" s="215"/>
      <c r="Q298" s="172"/>
      <c r="R298" s="172"/>
      <c r="S298" s="172"/>
      <c r="T298" s="172"/>
      <c r="U298" s="173"/>
    </row>
    <row r="299" spans="1:21" ht="16.95" customHeight="1" x14ac:dyDescent="0.3">
      <c r="A299" s="12" t="str">
        <f t="shared" si="43"/>
        <v>D6X</v>
      </c>
      <c r="C299" s="93">
        <v>-3.4729473567495613E-23</v>
      </c>
      <c r="D299" s="93">
        <v>8.6823683918739033E-24</v>
      </c>
      <c r="E299" s="93">
        <v>-2.7783578853996491E-22</v>
      </c>
      <c r="F299" s="93">
        <v>7.9365079365079362E-6</v>
      </c>
      <c r="G299" s="93">
        <v>1.9841269841269832E-6</v>
      </c>
      <c r="H299" s="93">
        <v>7.9365079365079362E-6</v>
      </c>
      <c r="I299" s="93">
        <v>-1.9841269841269836E-6</v>
      </c>
      <c r="J299" s="93">
        <v>2.0020178459820382E-5</v>
      </c>
      <c r="K299" s="93">
        <v>0</v>
      </c>
      <c r="M299" s="17">
        <f t="shared" si="44"/>
        <v>2000</v>
      </c>
      <c r="P299" s="215"/>
      <c r="Q299" s="172"/>
      <c r="R299" s="172"/>
      <c r="S299" s="172"/>
      <c r="T299" s="172"/>
      <c r="U299" s="173"/>
    </row>
    <row r="300" spans="1:21" ht="16.95" customHeight="1" x14ac:dyDescent="0.3">
      <c r="A300" s="12" t="str">
        <f t="shared" si="43"/>
        <v>D6Y</v>
      </c>
      <c r="C300" s="93">
        <v>7.9365079365079362E-6</v>
      </c>
      <c r="D300" s="93">
        <v>-1.984126984126984E-6</v>
      </c>
      <c r="E300" s="93">
        <v>4.8334682093249804E-5</v>
      </c>
      <c r="F300" s="93">
        <v>1.5873015873015869E-5</v>
      </c>
      <c r="G300" s="93">
        <v>5.2302936061503756E-5</v>
      </c>
      <c r="H300" s="93">
        <v>-1.5873015873015869E-5</v>
      </c>
      <c r="I300" s="93">
        <v>5.2302936061503756E-5</v>
      </c>
      <c r="J300" s="93">
        <v>5.8455478746458751E-22</v>
      </c>
      <c r="K300" s="93">
        <v>1.284153959325313E-4</v>
      </c>
      <c r="M300" s="17">
        <f t="shared" si="44"/>
        <v>-6000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D2Y</v>
      </c>
      <c r="C304" s="94">
        <f t="array" ref="C304:C312">MMULT(C292:K300, M292:M300)</f>
        <v>-0.13492063492063494</v>
      </c>
      <c r="D304" s="12" t="s">
        <v>267</v>
      </c>
      <c r="P304" s="215"/>
      <c r="Q304" s="172"/>
      <c r="R304" s="172"/>
      <c r="S304" s="172"/>
      <c r="T304" s="172"/>
      <c r="U304" s="173"/>
    </row>
    <row r="305" spans="1:21" ht="16.95" customHeight="1" x14ac:dyDescent="0.3">
      <c r="A305" s="12" t="str">
        <f t="shared" si="45"/>
        <v>D3X</v>
      </c>
      <c r="C305" s="94">
        <v>3.3730158730158735E-2</v>
      </c>
      <c r="D305" s="12" t="s">
        <v>267</v>
      </c>
      <c r="P305" s="215"/>
      <c r="Q305" s="172"/>
      <c r="R305" s="172"/>
      <c r="S305" s="172"/>
      <c r="T305" s="172"/>
      <c r="U305" s="173"/>
    </row>
    <row r="306" spans="1:21" ht="16.95" customHeight="1" x14ac:dyDescent="0.3">
      <c r="A306" s="12" t="str">
        <f t="shared" si="45"/>
        <v>D3Y</v>
      </c>
      <c r="C306" s="94">
        <v>-0.82168959558524657</v>
      </c>
      <c r="D306" s="12" t="s">
        <v>267</v>
      </c>
      <c r="P306" s="215"/>
      <c r="Q306" s="172"/>
      <c r="R306" s="172"/>
      <c r="S306" s="172"/>
      <c r="T306" s="172"/>
      <c r="U306" s="173"/>
    </row>
    <row r="307" spans="1:21" ht="16.95" customHeight="1" x14ac:dyDescent="0.3">
      <c r="A307" s="12" t="str">
        <f t="shared" si="45"/>
        <v>D4X</v>
      </c>
      <c r="C307" s="94">
        <v>-7.9365079365079333E-2</v>
      </c>
      <c r="D307" s="12" t="s">
        <v>267</v>
      </c>
      <c r="P307" s="215"/>
      <c r="Q307" s="172"/>
      <c r="R307" s="172"/>
      <c r="S307" s="172"/>
      <c r="T307" s="172"/>
      <c r="U307" s="173"/>
    </row>
    <row r="308" spans="1:21" ht="16.95" customHeight="1" x14ac:dyDescent="0.3">
      <c r="A308" s="12" t="str">
        <f t="shared" si="45"/>
        <v>D4Y</v>
      </c>
      <c r="B308" s="13" t="s">
        <v>220</v>
      </c>
      <c r="C308" s="94">
        <v>-0.86930864320429413</v>
      </c>
      <c r="D308" s="12" t="s">
        <v>267</v>
      </c>
      <c r="P308" s="215"/>
      <c r="Q308" s="172"/>
      <c r="R308" s="172"/>
      <c r="S308" s="172"/>
      <c r="T308" s="172"/>
      <c r="U308" s="173"/>
    </row>
    <row r="309" spans="1:21" ht="16.95" customHeight="1" x14ac:dyDescent="0.3">
      <c r="A309" s="12" t="str">
        <f t="shared" si="45"/>
        <v>D5X</v>
      </c>
      <c r="C309" s="94">
        <v>0.11111111111111104</v>
      </c>
      <c r="D309" s="12" t="s">
        <v>267</v>
      </c>
      <c r="P309" s="215"/>
      <c r="Q309" s="172"/>
      <c r="R309" s="172"/>
      <c r="S309" s="172"/>
      <c r="T309" s="172"/>
      <c r="U309" s="173"/>
    </row>
    <row r="310" spans="1:21" ht="16.95" customHeight="1" x14ac:dyDescent="0.3">
      <c r="A310" s="12" t="str">
        <f t="shared" si="45"/>
        <v>D5Y</v>
      </c>
      <c r="C310" s="94">
        <v>-0.87724515114080215</v>
      </c>
      <c r="D310" s="12" t="s">
        <v>267</v>
      </c>
      <c r="P310" s="215"/>
      <c r="Q310" s="172"/>
      <c r="R310" s="172"/>
      <c r="S310" s="172"/>
      <c r="T310" s="172"/>
      <c r="U310" s="173"/>
    </row>
    <row r="311" spans="1:21" ht="16.95" customHeight="1" x14ac:dyDescent="0.3">
      <c r="A311" s="12" t="str">
        <f t="shared" si="45"/>
        <v>D6X</v>
      </c>
      <c r="C311" s="94">
        <v>4.0040356919640765E-2</v>
      </c>
      <c r="D311" s="12" t="s">
        <v>267</v>
      </c>
      <c r="P311" s="215"/>
      <c r="Q311" s="172"/>
      <c r="R311" s="172"/>
      <c r="S311" s="172"/>
      <c r="T311" s="172"/>
      <c r="U311" s="173"/>
    </row>
    <row r="312" spans="1:21" ht="16.95" customHeight="1" x14ac:dyDescent="0.3">
      <c r="A312" s="12" t="str">
        <f t="shared" si="45"/>
        <v>D6Y</v>
      </c>
      <c r="C312" s="94">
        <v>-1.3299516563987133</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0</v>
      </c>
      <c r="D317" s="9">
        <f t="shared" si="46"/>
        <v>-45079.130426395757</v>
      </c>
      <c r="E317" s="9">
        <f t="shared" si="46"/>
        <v>-22539.565213197879</v>
      </c>
      <c r="F317" s="9">
        <f t="shared" si="46"/>
        <v>-63000</v>
      </c>
      <c r="G317" s="9">
        <f t="shared" si="46"/>
        <v>0</v>
      </c>
      <c r="H317" s="9">
        <f t="shared" si="46"/>
        <v>0</v>
      </c>
      <c r="I317" s="9">
        <f t="shared" si="46"/>
        <v>0</v>
      </c>
      <c r="J317" s="9">
        <f t="shared" si="46"/>
        <v>0</v>
      </c>
      <c r="K317" s="9">
        <f t="shared" si="46"/>
        <v>0</v>
      </c>
      <c r="M317" s="95">
        <f t="shared" ref="M317:M325" si="47">C304</f>
        <v>-0.13492063492063494</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-63000</v>
      </c>
      <c r="D318" s="9">
        <f t="shared" si="46"/>
        <v>-22539.565213197879</v>
      </c>
      <c r="E318" s="9">
        <f t="shared" si="46"/>
        <v>-11269.782606598939</v>
      </c>
      <c r="F318" s="9">
        <f t="shared" si="46"/>
        <v>0</v>
      </c>
      <c r="G318" s="9">
        <f t="shared" si="46"/>
        <v>0</v>
      </c>
      <c r="H318" s="9">
        <f t="shared" si="46"/>
        <v>0</v>
      </c>
      <c r="I318" s="9">
        <f t="shared" si="46"/>
        <v>0</v>
      </c>
      <c r="J318" s="9">
        <f t="shared" si="46"/>
        <v>0</v>
      </c>
      <c r="K318" s="9">
        <f t="shared" si="46"/>
        <v>0</v>
      </c>
      <c r="M318" s="95">
        <f t="shared" si="47"/>
        <v>3.3730158730158735E-2</v>
      </c>
      <c r="N318" s="14" t="str">
        <f>INDEX(C$248:C$259, MATCH(2, G$248:G$259, 0))</f>
        <v>U1Y</v>
      </c>
      <c r="P318" s="215" t="s">
        <v>391</v>
      </c>
      <c r="Q318" s="172"/>
      <c r="R318" s="172"/>
      <c r="S318" s="172"/>
      <c r="T318" s="172"/>
      <c r="U318" s="173"/>
    </row>
    <row r="319" spans="1:21" ht="16.95" customHeight="1" x14ac:dyDescent="0.3">
      <c r="A319" s="18" t="str">
        <f>INDEX(B$234:B$245, MATCH(N319, C$234:C$245, 0))</f>
        <v>C2X</v>
      </c>
      <c r="C319" s="9">
        <f t="shared" si="46"/>
        <v>-22539.565213197879</v>
      </c>
      <c r="D319" s="9">
        <f t="shared" si="46"/>
        <v>-45079.130426395757</v>
      </c>
      <c r="E319" s="9">
        <f t="shared" si="46"/>
        <v>22539.565213197879</v>
      </c>
      <c r="F319" s="9">
        <f t="shared" si="46"/>
        <v>0</v>
      </c>
      <c r="G319" s="9">
        <f t="shared" si="46"/>
        <v>0</v>
      </c>
      <c r="H319" s="9">
        <f t="shared" si="46"/>
        <v>-63000</v>
      </c>
      <c r="I319" s="9">
        <f t="shared" si="46"/>
        <v>0</v>
      </c>
      <c r="J319" s="9">
        <f t="shared" si="46"/>
        <v>0</v>
      </c>
      <c r="K319" s="9">
        <f t="shared" si="46"/>
        <v>0</v>
      </c>
      <c r="M319" s="95">
        <f t="shared" si="47"/>
        <v>-0.82168959558524657</v>
      </c>
      <c r="N319" s="14" t="str">
        <f>INDEX(C$248:C$259, MATCH(3, G$248:G$259, 0))</f>
        <v>U2X</v>
      </c>
      <c r="P319" s="215" t="s">
        <v>392</v>
      </c>
      <c r="Q319" s="172"/>
      <c r="R319" s="172"/>
      <c r="S319" s="172"/>
      <c r="T319" s="172"/>
      <c r="U319" s="173"/>
    </row>
    <row r="320" spans="1:21" ht="16.95" customHeight="1" x14ac:dyDescent="0.3">
      <c r="M320" s="95">
        <f t="shared" si="47"/>
        <v>-7.9365079365079333E-2</v>
      </c>
      <c r="P320" s="215" t="s">
        <v>393</v>
      </c>
      <c r="Q320" s="172"/>
      <c r="R320" s="172"/>
      <c r="S320" s="172"/>
      <c r="T320" s="172"/>
      <c r="U320" s="173"/>
    </row>
    <row r="321" spans="1:21" ht="16.95" customHeight="1" x14ac:dyDescent="0.3">
      <c r="M321" s="95">
        <f t="shared" si="47"/>
        <v>-0.86930864320429413</v>
      </c>
      <c r="P321" s="215" t="s">
        <v>394</v>
      </c>
      <c r="Q321" s="172"/>
      <c r="R321" s="172"/>
      <c r="S321" s="172"/>
      <c r="T321" s="172"/>
      <c r="U321" s="173"/>
    </row>
    <row r="322" spans="1:21" ht="16.95" customHeight="1" x14ac:dyDescent="0.3">
      <c r="M322" s="95">
        <f t="shared" si="47"/>
        <v>0.11111111111111104</v>
      </c>
      <c r="P322" s="215"/>
      <c r="Q322" s="172"/>
      <c r="R322" s="172"/>
      <c r="S322" s="172"/>
      <c r="T322" s="172"/>
      <c r="U322" s="173"/>
    </row>
    <row r="323" spans="1:21" ht="16.95" customHeight="1" x14ac:dyDescent="0.3">
      <c r="M323" s="95">
        <f t="shared" si="47"/>
        <v>-0.87724515114080215</v>
      </c>
      <c r="P323" s="215"/>
      <c r="Q323" s="172"/>
      <c r="R323" s="172"/>
      <c r="S323" s="172"/>
      <c r="T323" s="172"/>
      <c r="U323" s="173"/>
    </row>
    <row r="324" spans="1:21" ht="16.95" customHeight="1" x14ac:dyDescent="0.3">
      <c r="M324" s="95">
        <f t="shared" si="47"/>
        <v>4.0040356919640765E-2</v>
      </c>
      <c r="P324" s="215"/>
      <c r="Q324" s="172"/>
      <c r="R324" s="172"/>
      <c r="S324" s="172"/>
      <c r="T324" s="172"/>
      <c r="U324" s="173"/>
    </row>
    <row r="325" spans="1:21" ht="16.95" customHeight="1" x14ac:dyDescent="0.3">
      <c r="M325" s="95">
        <f t="shared" si="47"/>
        <v>-1.3299516563987133</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22000</v>
      </c>
      <c r="D327" s="12" t="s">
        <v>273</v>
      </c>
      <c r="P327" s="215"/>
      <c r="Q327" s="172"/>
      <c r="R327" s="172"/>
      <c r="S327" s="172"/>
      <c r="T327" s="172"/>
      <c r="U327" s="173"/>
    </row>
    <row r="328" spans="1:21" ht="16.95" customHeight="1" x14ac:dyDescent="0.3">
      <c r="A328" s="12" t="str">
        <f>A318</f>
        <v>C1Y</v>
      </c>
      <c r="B328" s="13" t="s">
        <v>220</v>
      </c>
      <c r="C328" s="17">
        <v>17000</v>
      </c>
      <c r="D328" s="12" t="s">
        <v>273</v>
      </c>
      <c r="P328" s="215"/>
      <c r="Q328" s="172"/>
      <c r="R328" s="172"/>
      <c r="S328" s="172"/>
      <c r="T328" s="172"/>
      <c r="U328" s="173"/>
    </row>
    <row r="329" spans="1:21" ht="16.95" customHeight="1" x14ac:dyDescent="0.3">
      <c r="A329" s="12" t="str">
        <f>A319</f>
        <v>C2X</v>
      </c>
      <c r="C329" s="17">
        <v>-23999.999999999996</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v>
      </c>
    </row>
    <row r="337" spans="1:21" ht="19.05" customHeight="1" x14ac:dyDescent="0.3">
      <c r="A337" s="12" t="s">
        <v>231</v>
      </c>
      <c r="B337" s="12" t="s">
        <v>181</v>
      </c>
      <c r="D337" s="94">
        <f t="shared" si="48"/>
        <v>-0.13492063492063494</v>
      </c>
    </row>
    <row r="338" spans="1:21" ht="19.05" customHeight="1" x14ac:dyDescent="0.3">
      <c r="A338" s="12" t="s">
        <v>232</v>
      </c>
      <c r="B338" s="12" t="s">
        <v>182</v>
      </c>
      <c r="D338" s="94">
        <f t="shared" si="48"/>
        <v>3.3730158730158735E-2</v>
      </c>
    </row>
    <row r="339" spans="1:21" ht="19.05" customHeight="1" x14ac:dyDescent="0.3">
      <c r="A339" s="12" t="s">
        <v>234</v>
      </c>
      <c r="B339" s="12" t="s">
        <v>183</v>
      </c>
      <c r="D339" s="94">
        <f t="shared" si="48"/>
        <v>-0.82168959558524657</v>
      </c>
    </row>
    <row r="340" spans="1:21" ht="19.05" customHeight="1" x14ac:dyDescent="0.3">
      <c r="A340" s="12" t="s">
        <v>235</v>
      </c>
      <c r="B340" s="12" t="s">
        <v>184</v>
      </c>
      <c r="D340" s="94">
        <f t="shared" si="48"/>
        <v>-7.9365079365079333E-2</v>
      </c>
    </row>
    <row r="341" spans="1:21" ht="19.05" customHeight="1" x14ac:dyDescent="0.3">
      <c r="A341" s="12" t="s">
        <v>236</v>
      </c>
      <c r="B341" s="12" t="s">
        <v>185</v>
      </c>
      <c r="D341" s="94">
        <f t="shared" si="48"/>
        <v>-0.86930864320429413</v>
      </c>
    </row>
    <row r="342" spans="1:21" ht="19.05" customHeight="1" x14ac:dyDescent="0.3">
      <c r="A342" s="12" t="s">
        <v>237</v>
      </c>
      <c r="B342" s="12" t="s">
        <v>186</v>
      </c>
      <c r="D342" s="94">
        <f t="shared" si="48"/>
        <v>0.11111111111111104</v>
      </c>
    </row>
    <row r="343" spans="1:21" ht="19.05" customHeight="1" x14ac:dyDescent="0.3">
      <c r="A343" s="12" t="s">
        <v>238</v>
      </c>
      <c r="B343" s="12" t="s">
        <v>187</v>
      </c>
      <c r="D343" s="94">
        <f t="shared" si="48"/>
        <v>-0.87724515114080215</v>
      </c>
    </row>
    <row r="344" spans="1:21" ht="19.05" customHeight="1" x14ac:dyDescent="0.3">
      <c r="A344" s="12" t="s">
        <v>239</v>
      </c>
      <c r="B344" s="12" t="s">
        <v>188</v>
      </c>
      <c r="D344" s="94">
        <f t="shared" si="48"/>
        <v>4.0040356919640765E-2</v>
      </c>
    </row>
    <row r="345" spans="1:21" ht="19.05" customHeight="1" x14ac:dyDescent="0.3">
      <c r="A345" s="12" t="s">
        <v>240</v>
      </c>
      <c r="B345" s="12" t="s">
        <v>189</v>
      </c>
      <c r="D345" s="94">
        <f t="shared" si="48"/>
        <v>-1.3299516563987133</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63000</v>
      </c>
      <c r="C352" s="92">
        <f>-J6</f>
        <v>0</v>
      </c>
      <c r="D352" s="92">
        <f>-K6</f>
        <v>-1</v>
      </c>
      <c r="E352" s="92">
        <f>J6</f>
        <v>0</v>
      </c>
      <c r="F352" s="92">
        <f>K6</f>
        <v>1</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-8500.0000000000018</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0</v>
      </c>
      <c r="H354" s="12" t="str">
        <f>"D" &amp; E18 &amp; "X"</f>
        <v>D2X</v>
      </c>
      <c r="P354" s="215" t="s">
        <v>400</v>
      </c>
      <c r="Q354" s="172"/>
      <c r="R354" s="172"/>
      <c r="S354" s="172"/>
      <c r="T354" s="172"/>
      <c r="U354" s="173"/>
    </row>
    <row r="355" spans="1:21" ht="16.95" customHeight="1" x14ac:dyDescent="0.3">
      <c r="G355" s="96">
        <f>IFERROR(VLOOKUP(H355, A$334:D$345, 4, FALSE), 0)</f>
        <v>-0.13492063492063494</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COMPRESIÓN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63000</v>
      </c>
      <c r="C360" s="92">
        <f>-J7</f>
        <v>-1</v>
      </c>
      <c r="D360" s="92">
        <f>-K7</f>
        <v>0</v>
      </c>
      <c r="E360" s="92">
        <f>J7</f>
        <v>1</v>
      </c>
      <c r="F360" s="92">
        <f>K7</f>
        <v>0</v>
      </c>
      <c r="G360" s="96">
        <f>IFERROR(VLOOKUP(H360, A$334:D$345, 4, FALSE), 0)</f>
        <v>0</v>
      </c>
      <c r="H360" s="12" t="str">
        <f>"D" &amp; C19 &amp; "X"</f>
        <v>D1X</v>
      </c>
      <c r="P360" s="215"/>
      <c r="Q360" s="172"/>
      <c r="R360" s="172"/>
      <c r="S360" s="172"/>
      <c r="T360" s="172"/>
      <c r="U360" s="173"/>
    </row>
    <row r="361" spans="1:21" ht="16.95" customHeight="1" x14ac:dyDescent="0.3">
      <c r="A361" s="99" t="s">
        <v>286</v>
      </c>
      <c r="B361" s="97">
        <f>(MMULT(C360:F360, G360:G363)*A360)</f>
        <v>-4999.9999999999982</v>
      </c>
      <c r="G361" s="96">
        <f>IFERROR(VLOOKUP(H361, A$334:D$345, 4, FALSE), 0)</f>
        <v>0</v>
      </c>
      <c r="H361" s="12" t="str">
        <f>"D" &amp; D19 &amp; "Y"</f>
        <v>D1Y</v>
      </c>
      <c r="P361" s="215"/>
      <c r="Q361" s="172"/>
      <c r="R361" s="172"/>
      <c r="S361" s="172"/>
      <c r="T361" s="172"/>
      <c r="U361" s="173"/>
    </row>
    <row r="362" spans="1:21" ht="16.95" customHeight="1" x14ac:dyDescent="0.3">
      <c r="G362" s="96">
        <f>IFERROR(VLOOKUP(H362, A$334:D$345, 4, FALSE), 0)</f>
        <v>-7.9365079365079333E-2</v>
      </c>
      <c r="H362" s="12" t="str">
        <f>"D" &amp; E19 &amp; "X"</f>
        <v>D4X</v>
      </c>
      <c r="P362" s="215"/>
      <c r="Q362" s="172"/>
      <c r="R362" s="172"/>
      <c r="S362" s="172"/>
      <c r="T362" s="172"/>
      <c r="U362" s="173"/>
    </row>
    <row r="363" spans="1:21" ht="16.95" customHeight="1" x14ac:dyDescent="0.3">
      <c r="G363" s="96">
        <f>IFERROR(VLOOKUP(H363, A$334:D$345, 4, FALSE), 0)</f>
        <v>-0.86930864320429413</v>
      </c>
      <c r="H363" s="12" t="str">
        <f>"D" &amp; F19 &amp; "Y"</f>
        <v>D4Y</v>
      </c>
      <c r="P363" s="215"/>
      <c r="Q363" s="172"/>
      <c r="R363" s="172"/>
      <c r="S363" s="172"/>
      <c r="T363" s="172"/>
      <c r="U363" s="173"/>
    </row>
    <row r="364" spans="1:21" ht="16.95" customHeight="1" x14ac:dyDescent="0.3">
      <c r="B364" s="99" t="s">
        <v>273</v>
      </c>
      <c r="C364" s="178" t="str">
        <f>IF(B361&gt;0.001,"BARRA A TRACCIÓN (+)",IF(B361&lt;-0.001,"BARRA A COMPRESIÓN (-)","BARRA DE FUERZA NULA"))</f>
        <v>BARRA A COMPRESIÓN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63000</v>
      </c>
      <c r="C368" s="92">
        <f>-J8</f>
        <v>-1</v>
      </c>
      <c r="D368" s="92">
        <f>-K8</f>
        <v>0</v>
      </c>
      <c r="E368" s="92">
        <f>J8</f>
        <v>1</v>
      </c>
      <c r="F368" s="92">
        <f>K8</f>
        <v>0</v>
      </c>
      <c r="G368" s="96">
        <f>IFERROR(VLOOKUP(H368, A$334:D$345, 4, FALSE), 0)</f>
        <v>0</v>
      </c>
      <c r="H368" s="12" t="str">
        <f>"D" &amp; C20 &amp; "X"</f>
        <v>D2X</v>
      </c>
      <c r="P368" s="215"/>
      <c r="Q368" s="172"/>
      <c r="R368" s="172"/>
      <c r="S368" s="172"/>
      <c r="T368" s="172"/>
      <c r="U368" s="173"/>
    </row>
    <row r="369" spans="1:21" ht="16.95" customHeight="1" x14ac:dyDescent="0.3">
      <c r="A369" s="99" t="s">
        <v>287</v>
      </c>
      <c r="B369" s="97">
        <f>(MMULT(C368:F368, G368:G371)*A368)</f>
        <v>6999.9999999999955</v>
      </c>
      <c r="G369" s="96">
        <f>IFERROR(VLOOKUP(H369, A$334:D$345, 4, FALSE), 0)</f>
        <v>-0.13492063492063494</v>
      </c>
      <c r="H369" s="12" t="str">
        <f>"D" &amp; D20 &amp; "Y"</f>
        <v>D2Y</v>
      </c>
      <c r="P369" s="215"/>
      <c r="Q369" s="172"/>
      <c r="R369" s="172"/>
      <c r="S369" s="172"/>
      <c r="T369" s="172"/>
      <c r="U369" s="173"/>
    </row>
    <row r="370" spans="1:21" ht="16.95" customHeight="1" x14ac:dyDescent="0.3">
      <c r="G370" s="96">
        <f>IFERROR(VLOOKUP(H370, A$334:D$345, 4, FALSE), 0)</f>
        <v>0.11111111111111104</v>
      </c>
      <c r="H370" s="12" t="str">
        <f>"D" &amp; E20 &amp; "X"</f>
        <v>D5X</v>
      </c>
      <c r="P370" s="215"/>
      <c r="Q370" s="172"/>
      <c r="R370" s="172"/>
      <c r="S370" s="172"/>
      <c r="T370" s="172"/>
      <c r="U370" s="173"/>
    </row>
    <row r="371" spans="1:21" ht="16.95" customHeight="1" x14ac:dyDescent="0.3">
      <c r="G371" s="96">
        <f>IFERROR(VLOOKUP(H371, A$334:D$345, 4, FALSE), 0)</f>
        <v>-0.87724515114080215</v>
      </c>
      <c r="H371" s="12" t="str">
        <f>"D" &amp; F20 &amp; "Y"</f>
        <v>D5Y</v>
      </c>
      <c r="P371" s="215"/>
      <c r="Q371" s="172"/>
      <c r="R371" s="172"/>
      <c r="S371" s="172"/>
      <c r="T371" s="172"/>
      <c r="U371" s="173"/>
    </row>
    <row r="372" spans="1:21" ht="16.95" customHeight="1" x14ac:dyDescent="0.3">
      <c r="B372" s="99" t="s">
        <v>273</v>
      </c>
      <c r="C372" s="178" t="str">
        <f>IF(B369&gt;0.001,"BARRA A TRACCIÓN (+)",IF(B369&lt;-0.001,"BARRA A COMPRESIÓN (-)","BARRA DE FUERZA NULA"))</f>
        <v>BARRA A TRACCIÓN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126000</v>
      </c>
      <c r="C376" s="92">
        <f>-J9</f>
        <v>0</v>
      </c>
      <c r="D376" s="92">
        <f>-K9</f>
        <v>-1</v>
      </c>
      <c r="E376" s="92">
        <f>J9</f>
        <v>0</v>
      </c>
      <c r="F376" s="92">
        <f>K9</f>
        <v>1</v>
      </c>
      <c r="G376" s="96">
        <f>IFERROR(VLOOKUP(H376, A$334:D$345, 4, FALSE), 0)</f>
        <v>-7.9365079365079333E-2</v>
      </c>
      <c r="H376" s="12" t="str">
        <f>"D" &amp; C21 &amp; "X"</f>
        <v>D4X</v>
      </c>
    </row>
    <row r="377" spans="1:21" ht="19.95" customHeight="1" x14ac:dyDescent="0.3">
      <c r="A377" s="99" t="s">
        <v>288</v>
      </c>
      <c r="B377" s="97">
        <f>(MMULT(C376:F376, G376:G379)*A376)</f>
        <v>5999.9999999999927</v>
      </c>
      <c r="G377" s="96">
        <f>IFERROR(VLOOKUP(H377, A$334:D$345, 4, FALSE), 0)</f>
        <v>-0.86930864320429413</v>
      </c>
      <c r="H377" s="12" t="str">
        <f>"D" &amp; D21 &amp; "Y"</f>
        <v>D4Y</v>
      </c>
    </row>
    <row r="378" spans="1:21" ht="19.95" customHeight="1" x14ac:dyDescent="0.3">
      <c r="G378" s="96">
        <f>IFERROR(VLOOKUP(H378, A$334:D$345, 4, FALSE), 0)</f>
        <v>3.3730158730158735E-2</v>
      </c>
      <c r="H378" s="12" t="str">
        <f>"D" &amp; E21 &amp; "X"</f>
        <v>D3X</v>
      </c>
    </row>
    <row r="379" spans="1:21" ht="19.95" customHeight="1" x14ac:dyDescent="0.3">
      <c r="G379" s="96">
        <f>IFERROR(VLOOKUP(H379, A$334:D$345, 4, FALSE), 0)</f>
        <v>-0.82168959558524657</v>
      </c>
      <c r="H379" s="12" t="str">
        <f>"D" &amp; F21 &amp; "Y"</f>
        <v>D3Y</v>
      </c>
    </row>
    <row r="380" spans="1:21" ht="19.95" customHeight="1" x14ac:dyDescent="0.3">
      <c r="B380" s="99" t="s">
        <v>273</v>
      </c>
      <c r="C380" s="178" t="str">
        <f>IF(B377&gt;0.001,"BARRA A TRACCIÓN (+)",IF(B377&lt;-0.001,"BARRA A COMPRESIÓN (-)","BARRA DE FUERZA NULA"))</f>
        <v>BARRA A TRACCIÓN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126000</v>
      </c>
      <c r="C384" s="92">
        <f>-J10</f>
        <v>0</v>
      </c>
      <c r="D384" s="92">
        <f>-K10</f>
        <v>1</v>
      </c>
      <c r="E384" s="92">
        <f>J10</f>
        <v>0</v>
      </c>
      <c r="F384" s="92">
        <f>K10</f>
        <v>-1</v>
      </c>
      <c r="G384" s="96">
        <f>IFERROR(VLOOKUP(H384, A$334:D$345, 4, FALSE), 0)</f>
        <v>0.11111111111111104</v>
      </c>
      <c r="H384" s="12" t="str">
        <f>"D" &amp; C22 &amp; "X"</f>
        <v>D5X</v>
      </c>
    </row>
    <row r="385" spans="1:8" ht="19.95" customHeight="1" x14ac:dyDescent="0.3">
      <c r="A385" s="99" t="s">
        <v>289</v>
      </c>
      <c r="B385" s="97">
        <f>(MMULT(C384:F384, G384:G387)*A384)</f>
        <v>-7000.0000000000027</v>
      </c>
      <c r="G385" s="96">
        <f>IFERROR(VLOOKUP(H385, A$334:D$345, 4, FALSE), 0)</f>
        <v>-0.87724515114080215</v>
      </c>
      <c r="H385" s="12" t="str">
        <f>"D" &amp; D22 &amp; "Y"</f>
        <v>D5Y</v>
      </c>
    </row>
    <row r="386" spans="1:8" ht="19.95" customHeight="1" x14ac:dyDescent="0.3">
      <c r="G386" s="96">
        <f>IFERROR(VLOOKUP(H386, A$334:D$345, 4, FALSE), 0)</f>
        <v>3.3730158730158735E-2</v>
      </c>
      <c r="H386" s="12" t="str">
        <f>"D" &amp; E22 &amp; "X"</f>
        <v>D3X</v>
      </c>
    </row>
    <row r="387" spans="1:8" ht="19.95" customHeight="1" x14ac:dyDescent="0.3">
      <c r="G387" s="96">
        <f>IFERROR(VLOOKUP(H387, A$334:D$345, 4, FALSE), 0)</f>
        <v>-0.82168959558524657</v>
      </c>
      <c r="H387" s="12" t="str">
        <f>"D" &amp; F22 &amp; "Y"</f>
        <v>D3Y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56348.9130329947</v>
      </c>
      <c r="C392" s="92">
        <f>-J11</f>
        <v>-0.89442719099991586</v>
      </c>
      <c r="D392" s="92">
        <f>-K11</f>
        <v>-0.44721359549995793</v>
      </c>
      <c r="E392" s="92">
        <f>J11</f>
        <v>0.89442719099991586</v>
      </c>
      <c r="F392" s="92">
        <f>K11</f>
        <v>0.44721359549995793</v>
      </c>
      <c r="G392" s="96">
        <f>IFERROR(VLOOKUP(H392, A$334:D$345, 4, FALSE), 0)</f>
        <v>0</v>
      </c>
      <c r="H392" s="12" t="str">
        <f>"D" &amp; C23 &amp; "X"</f>
        <v>D1X</v>
      </c>
    </row>
    <row r="393" spans="1:8" ht="19.95" customHeight="1" x14ac:dyDescent="0.3">
      <c r="A393" s="99" t="s">
        <v>290</v>
      </c>
      <c r="B393" s="97">
        <f>(MMULT(C392:F392, G392:G395)*A392)</f>
        <v>-19006.577808748214</v>
      </c>
      <c r="G393" s="96">
        <f>IFERROR(VLOOKUP(H393, A$334:D$345, 4, FALSE), 0)</f>
        <v>0</v>
      </c>
      <c r="H393" s="12" t="str">
        <f>"D" &amp; D23 &amp; "Y"</f>
        <v>D1Y</v>
      </c>
    </row>
    <row r="394" spans="1:8" ht="19.95" customHeight="1" x14ac:dyDescent="0.3">
      <c r="G394" s="96">
        <f>IFERROR(VLOOKUP(H394, A$334:D$345, 4, FALSE), 0)</f>
        <v>3.3730158730158735E-2</v>
      </c>
      <c r="H394" s="12" t="str">
        <f>"D" &amp; E23 &amp; "X"</f>
        <v>D3X</v>
      </c>
    </row>
    <row r="395" spans="1:8" ht="19.95" customHeight="1" x14ac:dyDescent="0.3">
      <c r="G395" s="96">
        <f>IFERROR(VLOOKUP(H395, A$334:D$345, 4, FALSE), 0)</f>
        <v>-0.82168959558524657</v>
      </c>
      <c r="H395" s="12" t="str">
        <f>"D" &amp; F23 &amp; "Y"</f>
        <v>D3Y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56348.9130329947</v>
      </c>
      <c r="C400" s="92">
        <f>-J12</f>
        <v>-0.89442719099991586</v>
      </c>
      <c r="D400" s="92">
        <f>-K12</f>
        <v>0.44721359549995793</v>
      </c>
      <c r="E400" s="92">
        <f>J12</f>
        <v>0.89442719099991586</v>
      </c>
      <c r="F400" s="92">
        <f>K12</f>
        <v>-0.44721359549995793</v>
      </c>
      <c r="G400" s="96">
        <f>IFERROR(VLOOKUP(H400, A$334:D$345, 4, FALSE), 0)</f>
        <v>0</v>
      </c>
      <c r="H400" s="12" t="str">
        <f>"D" &amp; C24 &amp; "X"</f>
        <v>D2X</v>
      </c>
    </row>
    <row r="401" spans="1:8" ht="19.95" customHeight="1" x14ac:dyDescent="0.3">
      <c r="A401" s="99" t="s">
        <v>291</v>
      </c>
      <c r="B401" s="97">
        <f>(MMULT(C400:F400, G400:G403)*A400)</f>
        <v>19006.577808748214</v>
      </c>
      <c r="G401" s="96">
        <f>IFERROR(VLOOKUP(H401, A$334:D$345, 4, FALSE), 0)</f>
        <v>-0.13492063492063494</v>
      </c>
      <c r="H401" s="12" t="str">
        <f>"D" &amp; D24 &amp; "Y"</f>
        <v>D2Y</v>
      </c>
    </row>
    <row r="402" spans="1:8" ht="19.95" customHeight="1" x14ac:dyDescent="0.3">
      <c r="G402" s="96">
        <f>IFERROR(VLOOKUP(H402, A$334:D$345, 4, FALSE), 0)</f>
        <v>3.3730158730158735E-2</v>
      </c>
      <c r="H402" s="12" t="str">
        <f>"D" &amp; E24 &amp; "X"</f>
        <v>D3X</v>
      </c>
    </row>
    <row r="403" spans="1:8" ht="19.95" customHeight="1" x14ac:dyDescent="0.3">
      <c r="G403" s="96">
        <f>IFERROR(VLOOKUP(H403, A$334:D$345, 4, FALSE), 0)</f>
        <v>-0.82168959558524657</v>
      </c>
      <c r="H403" s="12" t="str">
        <f>"D" &amp; F24 &amp; "Y"</f>
        <v>D3Y</v>
      </c>
    </row>
    <row r="404" spans="1:8" ht="19.95" customHeight="1" x14ac:dyDescent="0.3">
      <c r="B404" s="99" t="s">
        <v>273</v>
      </c>
      <c r="C404" s="178" t="str">
        <f>IF(B401&gt;0.001,"BARRA A TRACCIÓN (+)",IF(B401&lt;-0.001,"BARRA A COMPRESIÓN (-)","BARRA DE FUERZA NULA"))</f>
        <v>BARRA A TRACCIÓN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56348.9130329947</v>
      </c>
      <c r="C408" s="92">
        <f>-J13</f>
        <v>-0.89442719099991586</v>
      </c>
      <c r="D408" s="92">
        <f>-K13</f>
        <v>-0.44721359549995793</v>
      </c>
      <c r="E408" s="92">
        <f>J13</f>
        <v>0.89442719099991586</v>
      </c>
      <c r="F408" s="92">
        <f>K13</f>
        <v>0.44721359549995793</v>
      </c>
      <c r="G408" s="96">
        <f>IFERROR(VLOOKUP(H408, A$334:D$345, 4, FALSE), 0)</f>
        <v>-7.9365079365079333E-2</v>
      </c>
      <c r="H408" s="12" t="str">
        <f>"D" &amp; C25 &amp; "X"</f>
        <v>D4X</v>
      </c>
    </row>
    <row r="409" spans="1:8" ht="19.95" customHeight="1" x14ac:dyDescent="0.3">
      <c r="A409" s="99" t="s">
        <v>292</v>
      </c>
      <c r="B409" s="97">
        <f>(MMULT(C408:F408, G408:G411)*A408)</f>
        <v>-5590.1699437494735</v>
      </c>
      <c r="G409" s="96">
        <f>IFERROR(VLOOKUP(H409, A$334:D$345, 4, FALSE), 0)</f>
        <v>-0.86930864320429413</v>
      </c>
      <c r="H409" s="12" t="str">
        <f>"D" &amp; D25 &amp; "Y"</f>
        <v>D4Y</v>
      </c>
    </row>
    <row r="410" spans="1:8" ht="19.95" customHeight="1" x14ac:dyDescent="0.3">
      <c r="G410" s="96">
        <f>IFERROR(VLOOKUP(H410, A$334:D$345, 4, FALSE), 0)</f>
        <v>4.0040356919640765E-2</v>
      </c>
      <c r="H410" s="12" t="str">
        <f>"D" &amp; E25 &amp; "X"</f>
        <v>D6X</v>
      </c>
    </row>
    <row r="411" spans="1:8" ht="19.95" customHeight="1" x14ac:dyDescent="0.3">
      <c r="G411" s="96">
        <f>IFERROR(VLOOKUP(H411, A$334:D$345, 4, FALSE), 0)</f>
        <v>-1.3299516563987133</v>
      </c>
      <c r="H411" s="12" t="str">
        <f>"D" &amp; F25 &amp; "Y"</f>
        <v>D6Y</v>
      </c>
    </row>
    <row r="412" spans="1:8" ht="19.95" customHeight="1" x14ac:dyDescent="0.3">
      <c r="B412" s="99" t="s">
        <v>273</v>
      </c>
      <c r="C412" s="178" t="str">
        <f>IF(B409&gt;0.001,"BARRA A TRACCIÓN (+)",IF(B409&lt;-0.001,"BARRA A COMPRESIÓN (-)","BARRA DE FUERZA NULA"))</f>
        <v>BARRA A COMPRESIÓN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56348.9130329947</v>
      </c>
      <c r="C416" s="92">
        <f>-J14</f>
        <v>-0.89442719099991586</v>
      </c>
      <c r="D416" s="92">
        <f>-K14</f>
        <v>0.44721359549995793</v>
      </c>
      <c r="E416" s="92">
        <f>J14</f>
        <v>0.89442719099991586</v>
      </c>
      <c r="F416" s="92">
        <f>K14</f>
        <v>-0.44721359549995793</v>
      </c>
      <c r="G416" s="96">
        <f>IFERROR(VLOOKUP(H416, A$334:D$345, 4, FALSE), 0)</f>
        <v>0.11111111111111104</v>
      </c>
      <c r="H416" s="12" t="str">
        <f>"D" &amp; C26 &amp; "X"</f>
        <v>D5X</v>
      </c>
    </row>
    <row r="417" spans="1:8" ht="19.95" customHeight="1" x14ac:dyDescent="0.3">
      <c r="A417" s="99" t="s">
        <v>530</v>
      </c>
      <c r="B417" s="97">
        <f>(MMULT(C416:F416, G416:G419)*A416)</f>
        <v>7826.2379212492579</v>
      </c>
      <c r="G417" s="96">
        <f>IFERROR(VLOOKUP(H417, A$334:D$345, 4, FALSE), 0)</f>
        <v>-0.87724515114080215</v>
      </c>
      <c r="H417" s="12" t="str">
        <f>"D" &amp; D26 &amp; "Y"</f>
        <v>D5Y</v>
      </c>
    </row>
    <row r="418" spans="1:8" ht="19.95" customHeight="1" x14ac:dyDescent="0.3">
      <c r="G418" s="96">
        <f>IFERROR(VLOOKUP(H418, A$334:D$345, 4, FALSE), 0)</f>
        <v>4.0040356919640765E-2</v>
      </c>
      <c r="H418" s="12" t="str">
        <f>"D" &amp; E26 &amp; "X"</f>
        <v>D6X</v>
      </c>
    </row>
    <row r="419" spans="1:8" ht="19.95" customHeight="1" x14ac:dyDescent="0.3">
      <c r="G419" s="96">
        <f>IFERROR(VLOOKUP(H419, A$334:D$345, 4, FALSE), 0)</f>
        <v>-1.3299516563987133</v>
      </c>
      <c r="H419" s="12" t="str">
        <f>"D" &amp; F26 &amp; "Y"</f>
        <v>D6Y</v>
      </c>
    </row>
    <row r="420" spans="1:8" ht="19.95" customHeight="1" x14ac:dyDescent="0.3">
      <c r="B420" s="99" t="s">
        <v>273</v>
      </c>
      <c r="C420" s="178" t="str">
        <f>IF(B417&gt;0.001,"BARRA A TRACCIÓN (+)",IF(B417&lt;-0.001,"BARRA A COMPRESIÓN (-)","BARRA DE FUERZA NULA"))</f>
        <v>BARRA A TRACCIÓN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400</v>
      </c>
      <c r="F425" s="9">
        <f t="shared" ref="F425:F433" si="52">L6</f>
        <v>12</v>
      </c>
      <c r="G425" s="97">
        <f>B353</f>
        <v>-8500.0000000000018</v>
      </c>
      <c r="H425" s="84" t="str">
        <f>C356</f>
        <v>BARRA A COMPRESIÓN (-)</v>
      </c>
    </row>
    <row r="426" spans="1:8" ht="19.95" customHeight="1" x14ac:dyDescent="0.3">
      <c r="B426" s="25">
        <v>2</v>
      </c>
      <c r="C426" s="86">
        <f t="shared" si="49"/>
        <v>1</v>
      </c>
      <c r="D426" s="86">
        <f t="shared" si="50"/>
        <v>4</v>
      </c>
      <c r="E426" s="9">
        <f t="shared" si="51"/>
        <v>400</v>
      </c>
      <c r="F426" s="9">
        <f t="shared" si="52"/>
        <v>12</v>
      </c>
      <c r="G426" s="97">
        <f>B361</f>
        <v>-4999.9999999999982</v>
      </c>
      <c r="H426" s="84" t="str">
        <f>C364</f>
        <v>BARRA A COMPRESIÓN (-)</v>
      </c>
    </row>
    <row r="427" spans="1:8" ht="19.95" customHeight="1" x14ac:dyDescent="0.3">
      <c r="B427" s="26">
        <v>3</v>
      </c>
      <c r="C427" s="86">
        <f t="shared" si="49"/>
        <v>2</v>
      </c>
      <c r="D427" s="86">
        <f t="shared" si="50"/>
        <v>5</v>
      </c>
      <c r="E427" s="9">
        <f t="shared" si="51"/>
        <v>400</v>
      </c>
      <c r="F427" s="9">
        <f t="shared" si="52"/>
        <v>12</v>
      </c>
      <c r="G427" s="97">
        <f>B369</f>
        <v>6999.9999999999955</v>
      </c>
      <c r="H427" s="84" t="str">
        <f>C372</f>
        <v>BARRA A TRACCIÓN (+)</v>
      </c>
    </row>
    <row r="428" spans="1:8" ht="19.95" customHeight="1" x14ac:dyDescent="0.3">
      <c r="B428" s="43">
        <v>4</v>
      </c>
      <c r="C428" s="86">
        <f t="shared" si="49"/>
        <v>4</v>
      </c>
      <c r="D428" s="86">
        <f t="shared" si="50"/>
        <v>3</v>
      </c>
      <c r="E428" s="9">
        <f t="shared" si="51"/>
        <v>200</v>
      </c>
      <c r="F428" s="9">
        <f t="shared" si="52"/>
        <v>12</v>
      </c>
      <c r="G428" s="97">
        <f>B377</f>
        <v>5999.9999999999927</v>
      </c>
      <c r="H428" s="84" t="str">
        <f>C380</f>
        <v>BARRA A TRACCIÓN (+)</v>
      </c>
    </row>
    <row r="429" spans="1:8" ht="19.95" customHeight="1" x14ac:dyDescent="0.3">
      <c r="B429" s="44">
        <v>5</v>
      </c>
      <c r="C429" s="86">
        <f t="shared" si="49"/>
        <v>5</v>
      </c>
      <c r="D429" s="86">
        <f t="shared" si="50"/>
        <v>3</v>
      </c>
      <c r="E429" s="9">
        <f t="shared" si="51"/>
        <v>200</v>
      </c>
      <c r="F429" s="9">
        <f t="shared" si="52"/>
        <v>12</v>
      </c>
      <c r="G429" s="97">
        <f>B385</f>
        <v>-7000.0000000000027</v>
      </c>
      <c r="H429" s="84" t="str">
        <f>C388</f>
        <v>BARRA A COMPRESIÓN (-)</v>
      </c>
    </row>
    <row r="430" spans="1:8" ht="19.95" customHeight="1" x14ac:dyDescent="0.3">
      <c r="B430" s="51">
        <v>6</v>
      </c>
      <c r="C430" s="86">
        <f t="shared" si="49"/>
        <v>1</v>
      </c>
      <c r="D430" s="86">
        <f t="shared" si="50"/>
        <v>3</v>
      </c>
      <c r="E430" s="9">
        <f t="shared" si="51"/>
        <v>447.21359549995793</v>
      </c>
      <c r="F430" s="9">
        <f t="shared" si="52"/>
        <v>12</v>
      </c>
      <c r="G430" s="97">
        <f>B393</f>
        <v>-19006.577808748214</v>
      </c>
      <c r="H430" s="84" t="str">
        <f>C396</f>
        <v>BARRA A COMPRESIÓN (-)</v>
      </c>
    </row>
    <row r="431" spans="1:8" ht="19.95" customHeight="1" x14ac:dyDescent="0.3">
      <c r="B431" s="52">
        <v>7</v>
      </c>
      <c r="C431" s="86">
        <f t="shared" si="49"/>
        <v>2</v>
      </c>
      <c r="D431" s="86">
        <f t="shared" si="50"/>
        <v>3</v>
      </c>
      <c r="E431" s="9">
        <f t="shared" si="51"/>
        <v>447.21359549995793</v>
      </c>
      <c r="F431" s="9">
        <f t="shared" si="52"/>
        <v>12</v>
      </c>
      <c r="G431" s="97">
        <f>B401</f>
        <v>19006.577808748214</v>
      </c>
      <c r="H431" s="84" t="str">
        <f>C404</f>
        <v>BARRA A TRACCIÓN (+)</v>
      </c>
    </row>
    <row r="432" spans="1:8" ht="19.95" customHeight="1" x14ac:dyDescent="0.3">
      <c r="B432" s="59">
        <v>8</v>
      </c>
      <c r="C432" s="86">
        <f t="shared" si="49"/>
        <v>4</v>
      </c>
      <c r="D432" s="86">
        <f t="shared" si="50"/>
        <v>6</v>
      </c>
      <c r="E432" s="9">
        <f t="shared" si="51"/>
        <v>447.21359549995793</v>
      </c>
      <c r="F432" s="9">
        <f t="shared" si="52"/>
        <v>12</v>
      </c>
      <c r="G432" s="97">
        <f>B409</f>
        <v>-5590.1699437494735</v>
      </c>
      <c r="H432" s="84" t="str">
        <f>C412</f>
        <v>BARRA A COMPRESIÓN (-)</v>
      </c>
    </row>
    <row r="433" spans="2:8" ht="19.95" customHeight="1" x14ac:dyDescent="0.3">
      <c r="B433" s="60">
        <v>9</v>
      </c>
      <c r="C433" s="86">
        <f t="shared" si="49"/>
        <v>5</v>
      </c>
      <c r="D433" s="86">
        <f t="shared" si="50"/>
        <v>6</v>
      </c>
      <c r="E433" s="9">
        <f t="shared" si="51"/>
        <v>447.21359549995793</v>
      </c>
      <c r="F433" s="9">
        <f t="shared" si="52"/>
        <v>12</v>
      </c>
      <c r="G433" s="97">
        <f>B417</f>
        <v>7826.2379212492579</v>
      </c>
      <c r="H433" s="84" t="str">
        <f>C420</f>
        <v>BARRA A TRACCIÓN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544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150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150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-5000</v>
      </c>
      <c r="J15" s="205" t="s">
        <v>490</v>
      </c>
      <c r="K15" s="172"/>
      <c r="L15" s="172"/>
      <c r="M15" s="172"/>
      <c r="N15" s="172"/>
      <c r="O15" s="173"/>
      <c r="AA15" s="20">
        <f>IF(G31="","",G31)</f>
        <v>400</v>
      </c>
      <c r="AB15" s="20">
        <f>IF(H31="","",H31)</f>
        <v>480</v>
      </c>
      <c r="AC15" t="s">
        <v>331</v>
      </c>
    </row>
    <row r="16" spans="2:29" ht="19.05" customHeight="1" x14ac:dyDescent="0.3">
      <c r="B16" s="89">
        <v>3</v>
      </c>
      <c r="C16" s="21">
        <v>800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150</v>
      </c>
      <c r="D17" s="21">
        <v>300</v>
      </c>
      <c r="E17" s="21" t="s">
        <v>326</v>
      </c>
      <c r="F17" s="88">
        <f t="shared" si="0"/>
        <v>0</v>
      </c>
      <c r="G17" s="88">
        <f t="shared" si="1"/>
        <v>0</v>
      </c>
      <c r="H17" s="22">
        <v>1500</v>
      </c>
      <c r="I17" s="22">
        <v>-4000</v>
      </c>
      <c r="J17" s="205" t="s">
        <v>545</v>
      </c>
      <c r="K17" s="172"/>
      <c r="L17" s="172"/>
      <c r="M17" s="172"/>
      <c r="N17" s="172"/>
      <c r="O17" s="173"/>
      <c r="AA17" s="20">
        <f>IF(E32="","",E32)</f>
        <v>400</v>
      </c>
      <c r="AB17" s="20">
        <f>IF(F32="","",F32)</f>
        <v>480</v>
      </c>
      <c r="AC17" t="s">
        <v>334</v>
      </c>
    </row>
    <row r="18" spans="2:29" ht="19.05" customHeight="1" x14ac:dyDescent="0.3">
      <c r="B18" s="89">
        <v>5</v>
      </c>
      <c r="C18" s="21">
        <v>400</v>
      </c>
      <c r="D18" s="21">
        <v>480</v>
      </c>
      <c r="E18" s="21" t="s">
        <v>326</v>
      </c>
      <c r="F18" s="88">
        <f t="shared" si="0"/>
        <v>0</v>
      </c>
      <c r="G18" s="88">
        <f t="shared" si="1"/>
        <v>0</v>
      </c>
      <c r="H18" s="22">
        <v>0</v>
      </c>
      <c r="I18" s="22">
        <v>-7500</v>
      </c>
      <c r="J18" s="205" t="s">
        <v>507</v>
      </c>
      <c r="K18" s="172"/>
      <c r="L18" s="172"/>
      <c r="M18" s="172"/>
      <c r="N18" s="172"/>
      <c r="O18" s="173"/>
      <c r="AA18" s="20">
        <f>IF(G32="","",G32)</f>
        <v>650</v>
      </c>
      <c r="AB18" s="20">
        <f>IF(H32="","",H32)</f>
        <v>300</v>
      </c>
      <c r="AC18" t="s">
        <v>335</v>
      </c>
    </row>
    <row r="19" spans="2:29" ht="19.05" customHeight="1" x14ac:dyDescent="0.3">
      <c r="B19" s="89">
        <v>6</v>
      </c>
      <c r="C19" s="21">
        <v>650</v>
      </c>
      <c r="D19" s="21">
        <v>300</v>
      </c>
      <c r="E19" s="21" t="s">
        <v>326</v>
      </c>
      <c r="F19" s="88">
        <f t="shared" si="0"/>
        <v>0</v>
      </c>
      <c r="G19" s="88">
        <f t="shared" si="1"/>
        <v>0</v>
      </c>
      <c r="H19" s="22">
        <v>-1500</v>
      </c>
      <c r="I19" s="22">
        <v>-4000</v>
      </c>
      <c r="J19" s="205" t="s">
        <v>546</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650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800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400</v>
      </c>
      <c r="AB23" s="20">
        <f>IF(F34="","",F34)</f>
        <v>0</v>
      </c>
      <c r="AC23" t="s">
        <v>338</v>
      </c>
    </row>
    <row r="24" spans="2:29" x14ac:dyDescent="0.3">
      <c r="AA24" s="20">
        <f>IF(G34="","",G34)</f>
        <v>150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400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400</v>
      </c>
      <c r="AB27" s="20">
        <f>IF(H35="","",H35)</f>
        <v>480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0</v>
      </c>
      <c r="AC29" t="s">
        <v>353</v>
      </c>
    </row>
    <row r="30" spans="2:29" ht="19.05" customHeight="1" x14ac:dyDescent="0.3">
      <c r="B30" s="89">
        <v>3</v>
      </c>
      <c r="C30" s="23">
        <v>1</v>
      </c>
      <c r="D30" s="23">
        <v>4</v>
      </c>
      <c r="E30" s="5">
        <f t="shared" si="2"/>
        <v>0</v>
      </c>
      <c r="F30" s="5">
        <f t="shared" si="3"/>
        <v>0</v>
      </c>
      <c r="G30" s="5">
        <f t="shared" si="4"/>
        <v>150</v>
      </c>
      <c r="H30" s="5">
        <f t="shared" si="5"/>
        <v>300</v>
      </c>
      <c r="I30" s="9">
        <f t="shared" si="6"/>
        <v>150</v>
      </c>
      <c r="J30" s="9">
        <f t="shared" si="7"/>
        <v>300</v>
      </c>
      <c r="K30" s="9">
        <f t="shared" si="8"/>
        <v>335.41019662496848</v>
      </c>
      <c r="L30" s="92">
        <f t="shared" si="9"/>
        <v>0.44721359549995793</v>
      </c>
      <c r="M30" s="92">
        <f t="shared" si="10"/>
        <v>0.89442719099991586</v>
      </c>
      <c r="N30" s="22">
        <v>12</v>
      </c>
      <c r="O30" s="24">
        <v>2100000</v>
      </c>
      <c r="AA30" s="20">
        <f>IF(G36="","",G36)</f>
        <v>650</v>
      </c>
      <c r="AB30" s="20">
        <f>IF(H36="","",H36)</f>
        <v>300</v>
      </c>
      <c r="AC30" t="s">
        <v>354</v>
      </c>
    </row>
    <row r="31" spans="2:29" ht="19.05" customHeight="1" x14ac:dyDescent="0.3">
      <c r="B31" s="89">
        <v>4</v>
      </c>
      <c r="C31" s="23">
        <v>4</v>
      </c>
      <c r="D31" s="23">
        <v>5</v>
      </c>
      <c r="E31" s="5">
        <f t="shared" si="2"/>
        <v>150</v>
      </c>
      <c r="F31" s="5">
        <f t="shared" si="3"/>
        <v>300</v>
      </c>
      <c r="G31" s="5">
        <f t="shared" si="4"/>
        <v>400</v>
      </c>
      <c r="H31" s="5">
        <f t="shared" si="5"/>
        <v>480</v>
      </c>
      <c r="I31" s="9">
        <f t="shared" si="6"/>
        <v>250</v>
      </c>
      <c r="J31" s="9">
        <f t="shared" si="7"/>
        <v>180</v>
      </c>
      <c r="K31" s="9">
        <f t="shared" si="8"/>
        <v>308.05843601498725</v>
      </c>
      <c r="L31" s="92">
        <f t="shared" si="9"/>
        <v>0.81153434145149439</v>
      </c>
      <c r="M31" s="92">
        <f t="shared" si="10"/>
        <v>0.58430472584507598</v>
      </c>
      <c r="N31" s="22">
        <v>12</v>
      </c>
      <c r="O31" s="24">
        <v>2100000</v>
      </c>
    </row>
    <row r="32" spans="2:29" ht="19.05" customHeight="1" x14ac:dyDescent="0.3">
      <c r="B32" s="89">
        <v>5</v>
      </c>
      <c r="C32" s="23">
        <v>5</v>
      </c>
      <c r="D32" s="23">
        <v>6</v>
      </c>
      <c r="E32" s="5">
        <f t="shared" si="2"/>
        <v>400</v>
      </c>
      <c r="F32" s="5">
        <f t="shared" si="3"/>
        <v>480</v>
      </c>
      <c r="G32" s="5">
        <f t="shared" si="4"/>
        <v>650</v>
      </c>
      <c r="H32" s="5">
        <f t="shared" si="5"/>
        <v>300</v>
      </c>
      <c r="I32" s="9">
        <f t="shared" si="6"/>
        <v>250</v>
      </c>
      <c r="J32" s="9">
        <f t="shared" si="7"/>
        <v>-180</v>
      </c>
      <c r="K32" s="9">
        <f t="shared" si="8"/>
        <v>308.05843601498725</v>
      </c>
      <c r="L32" s="92">
        <f t="shared" si="9"/>
        <v>0.81153434145149439</v>
      </c>
      <c r="M32" s="92">
        <f t="shared" si="10"/>
        <v>-0.58430472584507598</v>
      </c>
      <c r="N32" s="22">
        <v>12</v>
      </c>
      <c r="O32" s="24">
        <v>2100000</v>
      </c>
      <c r="AA32" s="20" t="str">
        <f>IF(E37="","",E37)</f>
        <v/>
      </c>
      <c r="AB32" s="20" t="str">
        <f>IF(F37="","",F37)</f>
        <v/>
      </c>
      <c r="AC32" t="s">
        <v>355</v>
      </c>
    </row>
    <row r="33" spans="2:29" ht="19.05" customHeight="1" x14ac:dyDescent="0.3">
      <c r="B33" s="89">
        <v>6</v>
      </c>
      <c r="C33" s="23">
        <v>6</v>
      </c>
      <c r="D33" s="23">
        <v>3</v>
      </c>
      <c r="E33" s="5">
        <f t="shared" si="2"/>
        <v>650</v>
      </c>
      <c r="F33" s="5">
        <f t="shared" si="3"/>
        <v>300</v>
      </c>
      <c r="G33" s="5">
        <f t="shared" si="4"/>
        <v>800</v>
      </c>
      <c r="H33" s="5">
        <f t="shared" si="5"/>
        <v>0</v>
      </c>
      <c r="I33" s="9">
        <f t="shared" si="6"/>
        <v>150</v>
      </c>
      <c r="J33" s="9">
        <f t="shared" si="7"/>
        <v>-300</v>
      </c>
      <c r="K33" s="9">
        <f t="shared" si="8"/>
        <v>335.41019662496848</v>
      </c>
      <c r="L33" s="92">
        <f t="shared" si="9"/>
        <v>0.44721359549995793</v>
      </c>
      <c r="M33" s="92">
        <f t="shared" si="10"/>
        <v>-0.89442719099991586</v>
      </c>
      <c r="N33" s="22">
        <v>12</v>
      </c>
      <c r="O33" s="24">
        <v>2100000</v>
      </c>
      <c r="AA33" s="20" t="str">
        <f>IF(G37="","",G37)</f>
        <v/>
      </c>
      <c r="AB33" s="20" t="str">
        <f>IF(H37="","",H37)</f>
        <v/>
      </c>
      <c r="AC33" t="s">
        <v>356</v>
      </c>
    </row>
    <row r="34" spans="2:29" ht="19.05" customHeight="1" x14ac:dyDescent="0.3">
      <c r="B34" s="89">
        <v>7</v>
      </c>
      <c r="C34" s="23">
        <v>2</v>
      </c>
      <c r="D34" s="23">
        <v>4</v>
      </c>
      <c r="E34" s="5">
        <f t="shared" si="2"/>
        <v>400</v>
      </c>
      <c r="F34" s="5">
        <f t="shared" si="3"/>
        <v>0</v>
      </c>
      <c r="G34" s="5">
        <f t="shared" si="4"/>
        <v>150</v>
      </c>
      <c r="H34" s="5">
        <f t="shared" si="5"/>
        <v>300</v>
      </c>
      <c r="I34" s="9">
        <f t="shared" si="6"/>
        <v>-250</v>
      </c>
      <c r="J34" s="9">
        <f t="shared" si="7"/>
        <v>300</v>
      </c>
      <c r="K34" s="9">
        <f t="shared" si="8"/>
        <v>390.51248379533274</v>
      </c>
      <c r="L34" s="92">
        <f t="shared" si="9"/>
        <v>-0.64018439966447982</v>
      </c>
      <c r="M34" s="92">
        <f t="shared" si="10"/>
        <v>0.76822127959737585</v>
      </c>
      <c r="N34" s="22">
        <v>12</v>
      </c>
      <c r="O34" s="24">
        <v>2100000</v>
      </c>
    </row>
    <row r="35" spans="2:29" ht="19.05" customHeight="1" x14ac:dyDescent="0.3">
      <c r="B35" s="89">
        <v>8</v>
      </c>
      <c r="C35" s="23">
        <v>2</v>
      </c>
      <c r="D35" s="23">
        <v>5</v>
      </c>
      <c r="E35" s="5">
        <f t="shared" si="2"/>
        <v>400</v>
      </c>
      <c r="F35" s="5">
        <f t="shared" si="3"/>
        <v>0</v>
      </c>
      <c r="G35" s="5">
        <f t="shared" si="4"/>
        <v>400</v>
      </c>
      <c r="H35" s="5">
        <f t="shared" si="5"/>
        <v>480</v>
      </c>
      <c r="I35" s="9">
        <f t="shared" si="6"/>
        <v>0</v>
      </c>
      <c r="J35" s="9">
        <f t="shared" si="7"/>
        <v>480</v>
      </c>
      <c r="K35" s="9">
        <f t="shared" si="8"/>
        <v>480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2</v>
      </c>
      <c r="D36" s="23">
        <v>6</v>
      </c>
      <c r="E36" s="5">
        <f t="shared" si="2"/>
        <v>400</v>
      </c>
      <c r="F36" s="5">
        <f t="shared" si="3"/>
        <v>0</v>
      </c>
      <c r="G36" s="5">
        <f t="shared" si="4"/>
        <v>650</v>
      </c>
      <c r="H36" s="5">
        <f t="shared" si="5"/>
        <v>300</v>
      </c>
      <c r="I36" s="9">
        <f t="shared" si="6"/>
        <v>250</v>
      </c>
      <c r="J36" s="9">
        <f t="shared" si="7"/>
        <v>300</v>
      </c>
      <c r="K36" s="9">
        <f t="shared" si="8"/>
        <v>390.51248379533274</v>
      </c>
      <c r="L36" s="92">
        <f t="shared" si="9"/>
        <v>0.64018439966447982</v>
      </c>
      <c r="M36" s="92">
        <f t="shared" si="10"/>
        <v>0.76822127959737585</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3F00-000000000000}">
      <formula1>"Fijo (articulado),Rodillo Y (despl. X libre),Rodillo X (despl. Y libre),Libre (0 reac.)"</formula1>
    </dataValidation>
  </dataValidations>
  <pageMargins left="0.75" right="0.75" top="1" bottom="1" header="0.5" footer="0.5"/>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547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GRAFICA_31!E28</f>
        <v>0</v>
      </c>
      <c r="D6" s="22">
        <f>GRAFICA_31!F28</f>
        <v>0</v>
      </c>
      <c r="E6" s="22">
        <f>GRAFICA_31!G28</f>
        <v>400</v>
      </c>
      <c r="F6" s="22">
        <f>GRAFICA_31!H28</f>
        <v>0</v>
      </c>
      <c r="G6" s="9">
        <f t="shared" ref="G6:G14" si="0">E6-C6</f>
        <v>400</v>
      </c>
      <c r="H6" s="9">
        <f t="shared" ref="H6:H14" si="1">F6-D6</f>
        <v>0</v>
      </c>
      <c r="I6" s="9">
        <f t="shared" ref="I6:I14" si="2">SQRT(G6*G6+H6*H6)</f>
        <v>400</v>
      </c>
      <c r="J6" s="92">
        <f t="shared" ref="J6:J14" si="3">G6/I6</f>
        <v>1</v>
      </c>
      <c r="K6" s="92">
        <f t="shared" ref="K6:K14" si="4">H6/I6</f>
        <v>0</v>
      </c>
      <c r="L6" s="22">
        <f>GRAFICA_31!N28</f>
        <v>12</v>
      </c>
      <c r="M6" s="22">
        <f>GRAFICA_31!O28</f>
        <v>2100000</v>
      </c>
      <c r="N6" s="6">
        <f t="shared" ref="N6:N14" si="5">L6*M6/I6</f>
        <v>63000</v>
      </c>
    </row>
    <row r="7" spans="2:14" ht="19.05" customHeight="1" x14ac:dyDescent="0.3">
      <c r="B7" s="25">
        <v>2</v>
      </c>
      <c r="C7" s="22">
        <f>GRAFICA_31!E29</f>
        <v>400</v>
      </c>
      <c r="D7" s="22">
        <f>GRAFICA_31!F29</f>
        <v>0</v>
      </c>
      <c r="E7" s="22">
        <f>GRAFICA_31!G29</f>
        <v>800</v>
      </c>
      <c r="F7" s="22">
        <f>GRAFICA_31!H29</f>
        <v>0</v>
      </c>
      <c r="G7" s="9">
        <f t="shared" si="0"/>
        <v>400</v>
      </c>
      <c r="H7" s="9">
        <f t="shared" si="1"/>
        <v>0</v>
      </c>
      <c r="I7" s="9">
        <f t="shared" si="2"/>
        <v>400</v>
      </c>
      <c r="J7" s="92">
        <f t="shared" si="3"/>
        <v>1</v>
      </c>
      <c r="K7" s="92">
        <f t="shared" si="4"/>
        <v>0</v>
      </c>
      <c r="L7" s="22">
        <f>GRAFICA_31!N29</f>
        <v>12</v>
      </c>
      <c r="M7" s="22">
        <f>GRAFICA_31!O29</f>
        <v>2100000</v>
      </c>
      <c r="N7" s="6">
        <f t="shared" si="5"/>
        <v>63000</v>
      </c>
    </row>
    <row r="8" spans="2:14" ht="19.05" customHeight="1" x14ac:dyDescent="0.3">
      <c r="B8" s="26">
        <v>3</v>
      </c>
      <c r="C8" s="22">
        <f>GRAFICA_31!E30</f>
        <v>0</v>
      </c>
      <c r="D8" s="22">
        <f>GRAFICA_31!F30</f>
        <v>0</v>
      </c>
      <c r="E8" s="22">
        <f>GRAFICA_31!G30</f>
        <v>150</v>
      </c>
      <c r="F8" s="22">
        <f>GRAFICA_31!H30</f>
        <v>300</v>
      </c>
      <c r="G8" s="9">
        <f t="shared" si="0"/>
        <v>150</v>
      </c>
      <c r="H8" s="9">
        <f t="shared" si="1"/>
        <v>300</v>
      </c>
      <c r="I8" s="9">
        <f t="shared" si="2"/>
        <v>335.41019662496848</v>
      </c>
      <c r="J8" s="92">
        <f t="shared" si="3"/>
        <v>0.44721359549995793</v>
      </c>
      <c r="K8" s="92">
        <f t="shared" si="4"/>
        <v>0.89442719099991586</v>
      </c>
      <c r="L8" s="22">
        <f>GRAFICA_31!N30</f>
        <v>12</v>
      </c>
      <c r="M8" s="22">
        <f>GRAFICA_31!O30</f>
        <v>2100000</v>
      </c>
      <c r="N8" s="6">
        <f t="shared" si="5"/>
        <v>75131.884043992934</v>
      </c>
    </row>
    <row r="9" spans="2:14" ht="19.05" customHeight="1" x14ac:dyDescent="0.3">
      <c r="B9" s="43">
        <v>4</v>
      </c>
      <c r="C9" s="22">
        <f>GRAFICA_31!E31</f>
        <v>150</v>
      </c>
      <c r="D9" s="22">
        <f>GRAFICA_31!F31</f>
        <v>300</v>
      </c>
      <c r="E9" s="22">
        <f>GRAFICA_31!G31</f>
        <v>400</v>
      </c>
      <c r="F9" s="22">
        <f>GRAFICA_31!H31</f>
        <v>480</v>
      </c>
      <c r="G9" s="9">
        <f t="shared" si="0"/>
        <v>250</v>
      </c>
      <c r="H9" s="9">
        <f t="shared" si="1"/>
        <v>180</v>
      </c>
      <c r="I9" s="9">
        <f t="shared" si="2"/>
        <v>308.05843601498725</v>
      </c>
      <c r="J9" s="92">
        <f t="shared" si="3"/>
        <v>0.81153434145149439</v>
      </c>
      <c r="K9" s="92">
        <f t="shared" si="4"/>
        <v>0.58430472584507598</v>
      </c>
      <c r="L9" s="22">
        <f>GRAFICA_31!N31</f>
        <v>12</v>
      </c>
      <c r="M9" s="22">
        <f>GRAFICA_31!O31</f>
        <v>2100000</v>
      </c>
      <c r="N9" s="6">
        <f t="shared" si="5"/>
        <v>81802.661618310638</v>
      </c>
    </row>
    <row r="10" spans="2:14" ht="19.05" customHeight="1" x14ac:dyDescent="0.3">
      <c r="B10" s="44">
        <v>5</v>
      </c>
      <c r="C10" s="22">
        <f>GRAFICA_31!E32</f>
        <v>400</v>
      </c>
      <c r="D10" s="22">
        <f>GRAFICA_31!F32</f>
        <v>480</v>
      </c>
      <c r="E10" s="22">
        <f>GRAFICA_31!G32</f>
        <v>650</v>
      </c>
      <c r="F10" s="22">
        <f>GRAFICA_31!H32</f>
        <v>300</v>
      </c>
      <c r="G10" s="9">
        <f t="shared" si="0"/>
        <v>250</v>
      </c>
      <c r="H10" s="9">
        <f t="shared" si="1"/>
        <v>-180</v>
      </c>
      <c r="I10" s="9">
        <f t="shared" si="2"/>
        <v>308.05843601498725</v>
      </c>
      <c r="J10" s="92">
        <f t="shared" si="3"/>
        <v>0.81153434145149439</v>
      </c>
      <c r="K10" s="92">
        <f t="shared" si="4"/>
        <v>-0.58430472584507598</v>
      </c>
      <c r="L10" s="22">
        <f>GRAFICA_31!N32</f>
        <v>12</v>
      </c>
      <c r="M10" s="22">
        <f>GRAFICA_31!O32</f>
        <v>2100000</v>
      </c>
      <c r="N10" s="6">
        <f t="shared" si="5"/>
        <v>81802.661618310638</v>
      </c>
    </row>
    <row r="11" spans="2:14" ht="19.05" customHeight="1" x14ac:dyDescent="0.3">
      <c r="B11" s="51">
        <v>6</v>
      </c>
      <c r="C11" s="22">
        <f>GRAFICA_31!E33</f>
        <v>650</v>
      </c>
      <c r="D11" s="22">
        <f>GRAFICA_31!F33</f>
        <v>300</v>
      </c>
      <c r="E11" s="22">
        <f>GRAFICA_31!G33</f>
        <v>800</v>
      </c>
      <c r="F11" s="22">
        <f>GRAFICA_31!H33</f>
        <v>0</v>
      </c>
      <c r="G11" s="9">
        <f t="shared" si="0"/>
        <v>150</v>
      </c>
      <c r="H11" s="9">
        <f t="shared" si="1"/>
        <v>-300</v>
      </c>
      <c r="I11" s="9">
        <f t="shared" si="2"/>
        <v>335.41019662496848</v>
      </c>
      <c r="J11" s="92">
        <f t="shared" si="3"/>
        <v>0.44721359549995793</v>
      </c>
      <c r="K11" s="92">
        <f t="shared" si="4"/>
        <v>-0.89442719099991586</v>
      </c>
      <c r="L11" s="22">
        <f>GRAFICA_31!N33</f>
        <v>12</v>
      </c>
      <c r="M11" s="22">
        <f>GRAFICA_31!O33</f>
        <v>2100000</v>
      </c>
      <c r="N11" s="6">
        <f t="shared" si="5"/>
        <v>75131.884043992934</v>
      </c>
    </row>
    <row r="12" spans="2:14" ht="19.05" customHeight="1" x14ac:dyDescent="0.3">
      <c r="B12" s="52">
        <v>7</v>
      </c>
      <c r="C12" s="22">
        <f>GRAFICA_31!E34</f>
        <v>400</v>
      </c>
      <c r="D12" s="22">
        <f>GRAFICA_31!F34</f>
        <v>0</v>
      </c>
      <c r="E12" s="22">
        <f>GRAFICA_31!G34</f>
        <v>150</v>
      </c>
      <c r="F12" s="22">
        <f>GRAFICA_31!H34</f>
        <v>300</v>
      </c>
      <c r="G12" s="9">
        <f t="shared" si="0"/>
        <v>-250</v>
      </c>
      <c r="H12" s="9">
        <f t="shared" si="1"/>
        <v>300</v>
      </c>
      <c r="I12" s="9">
        <f t="shared" si="2"/>
        <v>390.51248379533274</v>
      </c>
      <c r="J12" s="92">
        <f t="shared" si="3"/>
        <v>-0.64018439966447982</v>
      </c>
      <c r="K12" s="92">
        <f t="shared" si="4"/>
        <v>0.76822127959737585</v>
      </c>
      <c r="L12" s="22">
        <f>GRAFICA_31!N34</f>
        <v>12</v>
      </c>
      <c r="M12" s="22">
        <f>GRAFICA_31!O34</f>
        <v>2100000</v>
      </c>
      <c r="N12" s="6">
        <f t="shared" si="5"/>
        <v>64530.587486179567</v>
      </c>
    </row>
    <row r="13" spans="2:14" ht="19.05" customHeight="1" x14ac:dyDescent="0.3">
      <c r="B13" s="59">
        <v>8</v>
      </c>
      <c r="C13" s="22">
        <f>GRAFICA_31!E35</f>
        <v>400</v>
      </c>
      <c r="D13" s="22">
        <f>GRAFICA_31!F35</f>
        <v>0</v>
      </c>
      <c r="E13" s="22">
        <f>GRAFICA_31!G35</f>
        <v>400</v>
      </c>
      <c r="F13" s="22">
        <f>GRAFICA_31!H35</f>
        <v>480</v>
      </c>
      <c r="G13" s="9">
        <f t="shared" si="0"/>
        <v>0</v>
      </c>
      <c r="H13" s="9">
        <f t="shared" si="1"/>
        <v>480</v>
      </c>
      <c r="I13" s="9">
        <f t="shared" si="2"/>
        <v>480</v>
      </c>
      <c r="J13" s="92">
        <f t="shared" si="3"/>
        <v>0</v>
      </c>
      <c r="K13" s="92">
        <f t="shared" si="4"/>
        <v>1</v>
      </c>
      <c r="L13" s="22">
        <f>GRAFICA_31!N35</f>
        <v>12</v>
      </c>
      <c r="M13" s="22">
        <f>GRAFICA_31!O35</f>
        <v>2100000</v>
      </c>
      <c r="N13" s="6">
        <f t="shared" si="5"/>
        <v>52500</v>
      </c>
    </row>
    <row r="14" spans="2:14" ht="19.05" customHeight="1" x14ac:dyDescent="0.3">
      <c r="B14" s="60">
        <v>9</v>
      </c>
      <c r="C14" s="22">
        <f>GRAFICA_31!E36</f>
        <v>400</v>
      </c>
      <c r="D14" s="22">
        <f>GRAFICA_31!F36</f>
        <v>0</v>
      </c>
      <c r="E14" s="22">
        <f>GRAFICA_31!G36</f>
        <v>650</v>
      </c>
      <c r="F14" s="22">
        <f>GRAFICA_31!H36</f>
        <v>300</v>
      </c>
      <c r="G14" s="9">
        <f t="shared" si="0"/>
        <v>250</v>
      </c>
      <c r="H14" s="9">
        <f t="shared" si="1"/>
        <v>300</v>
      </c>
      <c r="I14" s="9">
        <f t="shared" si="2"/>
        <v>390.51248379533274</v>
      </c>
      <c r="J14" s="92">
        <f t="shared" si="3"/>
        <v>0.64018439966447982</v>
      </c>
      <c r="K14" s="92">
        <f t="shared" si="4"/>
        <v>0.76822127959737585</v>
      </c>
      <c r="L14" s="22">
        <f>GRAFICA_31!N36</f>
        <v>12</v>
      </c>
      <c r="M14" s="22">
        <f>GRAFICA_31!O36</f>
        <v>2100000</v>
      </c>
      <c r="N14" s="6">
        <f t="shared" si="5"/>
        <v>64530.587486179567</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GRAFICA_31!C28</f>
        <v>1</v>
      </c>
      <c r="D18" s="23">
        <f>GRAFICA_31!C28</f>
        <v>1</v>
      </c>
      <c r="E18" s="23">
        <f>GRAFICA_31!D28</f>
        <v>2</v>
      </c>
      <c r="F18" s="23">
        <f>GRAFICA_31!D28</f>
        <v>2</v>
      </c>
    </row>
    <row r="19" spans="1:6" ht="19.05" customHeight="1" x14ac:dyDescent="0.3">
      <c r="B19" s="25">
        <v>2</v>
      </c>
      <c r="C19" s="23">
        <f>GRAFICA_31!C29</f>
        <v>2</v>
      </c>
      <c r="D19" s="23">
        <f>GRAFICA_31!C29</f>
        <v>2</v>
      </c>
      <c r="E19" s="23">
        <f>GRAFICA_31!D29</f>
        <v>3</v>
      </c>
      <c r="F19" s="23">
        <f>GRAFICA_31!D29</f>
        <v>3</v>
      </c>
    </row>
    <row r="20" spans="1:6" ht="19.05" customHeight="1" x14ac:dyDescent="0.3">
      <c r="B20" s="26">
        <v>3</v>
      </c>
      <c r="C20" s="23">
        <f>GRAFICA_31!C30</f>
        <v>1</v>
      </c>
      <c r="D20" s="23">
        <f>GRAFICA_31!C30</f>
        <v>1</v>
      </c>
      <c r="E20" s="23">
        <f>GRAFICA_31!D30</f>
        <v>4</v>
      </c>
      <c r="F20" s="23">
        <f>GRAFICA_31!D30</f>
        <v>4</v>
      </c>
    </row>
    <row r="21" spans="1:6" ht="19.05" customHeight="1" x14ac:dyDescent="0.3">
      <c r="B21" s="43">
        <v>4</v>
      </c>
      <c r="C21" s="23">
        <f>GRAFICA_31!C31</f>
        <v>4</v>
      </c>
      <c r="D21" s="23">
        <f>GRAFICA_31!C31</f>
        <v>4</v>
      </c>
      <c r="E21" s="23">
        <f>GRAFICA_31!D31</f>
        <v>5</v>
      </c>
      <c r="F21" s="23">
        <f>GRAFICA_31!D31</f>
        <v>5</v>
      </c>
    </row>
    <row r="22" spans="1:6" ht="19.05" customHeight="1" x14ac:dyDescent="0.3">
      <c r="B22" s="44">
        <v>5</v>
      </c>
      <c r="C22" s="23">
        <f>GRAFICA_31!C32</f>
        <v>5</v>
      </c>
      <c r="D22" s="23">
        <f>GRAFICA_31!C32</f>
        <v>5</v>
      </c>
      <c r="E22" s="23">
        <f>GRAFICA_31!D32</f>
        <v>6</v>
      </c>
      <c r="F22" s="23">
        <f>GRAFICA_31!D32</f>
        <v>6</v>
      </c>
    </row>
    <row r="23" spans="1:6" ht="19.05" customHeight="1" x14ac:dyDescent="0.3">
      <c r="B23" s="51">
        <v>6</v>
      </c>
      <c r="C23" s="23">
        <f>GRAFICA_31!C33</f>
        <v>6</v>
      </c>
      <c r="D23" s="23">
        <f>GRAFICA_31!C33</f>
        <v>6</v>
      </c>
      <c r="E23" s="23">
        <f>GRAFICA_31!D33</f>
        <v>3</v>
      </c>
      <c r="F23" s="23">
        <f>GRAFICA_31!D33</f>
        <v>3</v>
      </c>
    </row>
    <row r="24" spans="1:6" ht="19.05" customHeight="1" x14ac:dyDescent="0.3">
      <c r="B24" s="52">
        <v>7</v>
      </c>
      <c r="C24" s="23">
        <f>GRAFICA_31!C34</f>
        <v>2</v>
      </c>
      <c r="D24" s="23">
        <f>GRAFICA_31!C34</f>
        <v>2</v>
      </c>
      <c r="E24" s="23">
        <f>GRAFICA_31!D34</f>
        <v>4</v>
      </c>
      <c r="F24" s="23">
        <f>GRAFICA_31!D34</f>
        <v>4</v>
      </c>
    </row>
    <row r="25" spans="1:6" ht="19.05" customHeight="1" x14ac:dyDescent="0.3">
      <c r="B25" s="59">
        <v>8</v>
      </c>
      <c r="C25" s="23">
        <f>GRAFICA_31!C35</f>
        <v>2</v>
      </c>
      <c r="D25" s="23">
        <f>GRAFICA_31!C35</f>
        <v>2</v>
      </c>
      <c r="E25" s="23">
        <f>GRAFICA_31!D35</f>
        <v>5</v>
      </c>
      <c r="F25" s="23">
        <f>GRAFICA_31!D35</f>
        <v>5</v>
      </c>
    </row>
    <row r="26" spans="1:6" ht="19.05" customHeight="1" x14ac:dyDescent="0.3">
      <c r="B26" s="60">
        <v>9</v>
      </c>
      <c r="C26" s="23">
        <f>GRAFICA_31!C36</f>
        <v>2</v>
      </c>
      <c r="D26" s="23">
        <f>GRAFICA_31!C36</f>
        <v>2</v>
      </c>
      <c r="E26" s="23">
        <f>GRAFICA_31!D36</f>
        <v>6</v>
      </c>
      <c r="F26" s="23">
        <f>GRAFICA_31!D36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63000</v>
      </c>
      <c r="C30" s="7">
        <f>J6*K6*N6</f>
        <v>0</v>
      </c>
      <c r="D30" s="7">
        <f>-B30</f>
        <v>-63000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-63000</v>
      </c>
      <c r="C32" s="7">
        <f>E30</f>
        <v>0</v>
      </c>
      <c r="D32" s="7">
        <f>B30</f>
        <v>63000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63000</v>
      </c>
      <c r="C36" s="8">
        <f t="shared" si="6"/>
        <v>0</v>
      </c>
      <c r="D36" s="8">
        <f t="shared" si="6"/>
        <v>-63000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63000</v>
      </c>
      <c r="C51" s="30">
        <f>J7*K7*N7</f>
        <v>0</v>
      </c>
      <c r="D51" s="30">
        <f>-B51</f>
        <v>-63000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-63000</v>
      </c>
      <c r="C53" s="30">
        <f>E51</f>
        <v>0</v>
      </c>
      <c r="D53" s="30">
        <f>B51</f>
        <v>63000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63000</v>
      </c>
      <c r="E59" s="31">
        <f t="shared" si="7"/>
        <v>0</v>
      </c>
      <c r="F59" s="31">
        <f t="shared" si="7"/>
        <v>-63000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-63000</v>
      </c>
      <c r="E61" s="31">
        <f t="shared" si="7"/>
        <v>0</v>
      </c>
      <c r="F61" s="31">
        <f t="shared" si="7"/>
        <v>63000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U1X</v>
      </c>
      <c r="C71" s="32" t="str">
        <f>CONCATENATE("U",D20,D$17)</f>
        <v>U1Y</v>
      </c>
      <c r="D71" s="32" t="str">
        <f>CONCATENATE("U",E20,E$17)</f>
        <v>U4X</v>
      </c>
      <c r="E71" s="32" t="str">
        <f>CONCATENATE("U",F20,F$17)</f>
        <v>U4Y</v>
      </c>
    </row>
    <row r="72" spans="1:14" x14ac:dyDescent="0.3">
      <c r="B72" s="33">
        <f>J8*J8*N8</f>
        <v>15026.376808798586</v>
      </c>
      <c r="C72" s="33">
        <f>J8*K8*N8</f>
        <v>30052.753617597173</v>
      </c>
      <c r="D72" s="33">
        <f>-B72</f>
        <v>-15026.376808798586</v>
      </c>
      <c r="E72" s="33">
        <f>-C72</f>
        <v>-30052.753617597173</v>
      </c>
      <c r="F72" s="32" t="str">
        <f>B71</f>
        <v>U1X</v>
      </c>
    </row>
    <row r="73" spans="1:14" ht="16.8" customHeight="1" x14ac:dyDescent="0.3">
      <c r="A73" s="28" t="s">
        <v>193</v>
      </c>
      <c r="B73" s="33">
        <f>C72</f>
        <v>30052.753617597173</v>
      </c>
      <c r="C73" s="33">
        <f>K8*K8*N8</f>
        <v>60105.507235194345</v>
      </c>
      <c r="D73" s="33">
        <f>-B73</f>
        <v>-30052.753617597173</v>
      </c>
      <c r="E73" s="33">
        <f>-C73</f>
        <v>-60105.507235194345</v>
      </c>
      <c r="F73" s="32" t="str">
        <f>C71</f>
        <v>U1Y</v>
      </c>
    </row>
    <row r="74" spans="1:14" x14ac:dyDescent="0.3">
      <c r="B74" s="33">
        <f>D72</f>
        <v>-15026.376808798586</v>
      </c>
      <c r="C74" s="33">
        <f>E72</f>
        <v>-30052.753617597173</v>
      </c>
      <c r="D74" s="33">
        <f>B72</f>
        <v>15026.376808798586</v>
      </c>
      <c r="E74" s="33">
        <f>C72</f>
        <v>30052.753617597173</v>
      </c>
      <c r="F74" s="32" t="str">
        <f>D71</f>
        <v>U4X</v>
      </c>
    </row>
    <row r="75" spans="1:14" x14ac:dyDescent="0.3">
      <c r="B75" s="33">
        <f>D73</f>
        <v>-30052.753617597173</v>
      </c>
      <c r="C75" s="33">
        <f>E73</f>
        <v>-60105.507235194345</v>
      </c>
      <c r="D75" s="33">
        <f>B73</f>
        <v>30052.753617597173</v>
      </c>
      <c r="E75" s="33">
        <f>C73</f>
        <v>60105.507235194345</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34">
        <f t="shared" ref="B78:M89" si="8">IFERROR(INDEX($B$72:$E$75, MATCH($N78, $B$71:$E$71, 0), MATCH(B$77, $B$71:$E$71, 0)), 0)</f>
        <v>15026.376808798586</v>
      </c>
      <c r="C78" s="34">
        <f t="shared" si="8"/>
        <v>30052.753617597173</v>
      </c>
      <c r="D78" s="9">
        <f t="shared" si="8"/>
        <v>0</v>
      </c>
      <c r="E78" s="9">
        <f t="shared" si="8"/>
        <v>0</v>
      </c>
      <c r="F78" s="9">
        <f t="shared" si="8"/>
        <v>0</v>
      </c>
      <c r="G78" s="9">
        <f t="shared" si="8"/>
        <v>0</v>
      </c>
      <c r="H78" s="34">
        <f t="shared" si="8"/>
        <v>-15026.376808798586</v>
      </c>
      <c r="I78" s="34">
        <f t="shared" si="8"/>
        <v>-30052.753617597173</v>
      </c>
      <c r="J78" s="9">
        <f t="shared" si="8"/>
        <v>0</v>
      </c>
      <c r="K78" s="9">
        <f t="shared" si="8"/>
        <v>0</v>
      </c>
      <c r="L78" s="9">
        <f t="shared" si="8"/>
        <v>0</v>
      </c>
      <c r="M78" s="9">
        <f t="shared" si="8"/>
        <v>0</v>
      </c>
      <c r="N78" s="32" t="s">
        <v>178</v>
      </c>
    </row>
    <row r="79" spans="1:14" ht="19.05" customHeight="1" x14ac:dyDescent="0.3">
      <c r="B79" s="34">
        <f t="shared" si="8"/>
        <v>30052.753617597173</v>
      </c>
      <c r="C79" s="34">
        <f t="shared" si="8"/>
        <v>60105.507235194345</v>
      </c>
      <c r="D79" s="9">
        <f t="shared" si="8"/>
        <v>0</v>
      </c>
      <c r="E79" s="9">
        <f t="shared" si="8"/>
        <v>0</v>
      </c>
      <c r="F79" s="9">
        <f t="shared" si="8"/>
        <v>0</v>
      </c>
      <c r="G79" s="9">
        <f t="shared" si="8"/>
        <v>0</v>
      </c>
      <c r="H79" s="34">
        <f t="shared" si="8"/>
        <v>-30052.753617597173</v>
      </c>
      <c r="I79" s="34">
        <f t="shared" si="8"/>
        <v>-60105.507235194345</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34">
        <f t="shared" si="8"/>
        <v>-15026.376808798586</v>
      </c>
      <c r="C84" s="34">
        <f t="shared" si="8"/>
        <v>-30052.753617597173</v>
      </c>
      <c r="D84" s="9">
        <f t="shared" si="8"/>
        <v>0</v>
      </c>
      <c r="E84" s="9">
        <f t="shared" si="8"/>
        <v>0</v>
      </c>
      <c r="F84" s="9">
        <f t="shared" si="8"/>
        <v>0</v>
      </c>
      <c r="G84" s="9">
        <f t="shared" si="8"/>
        <v>0</v>
      </c>
      <c r="H84" s="34">
        <f t="shared" si="8"/>
        <v>15026.376808798586</v>
      </c>
      <c r="I84" s="34">
        <f t="shared" si="8"/>
        <v>30052.753617597173</v>
      </c>
      <c r="J84" s="9">
        <f t="shared" si="8"/>
        <v>0</v>
      </c>
      <c r="K84" s="9">
        <f t="shared" si="8"/>
        <v>0</v>
      </c>
      <c r="L84" s="9">
        <f t="shared" si="8"/>
        <v>0</v>
      </c>
      <c r="M84" s="9">
        <f t="shared" si="8"/>
        <v>0</v>
      </c>
      <c r="N84" s="32" t="s">
        <v>184</v>
      </c>
    </row>
    <row r="85" spans="1:14" ht="19.05" customHeight="1" x14ac:dyDescent="0.3">
      <c r="B85" s="34">
        <f t="shared" si="8"/>
        <v>-30052.753617597173</v>
      </c>
      <c r="C85" s="34">
        <f t="shared" si="8"/>
        <v>-60105.507235194345</v>
      </c>
      <c r="D85" s="9">
        <f t="shared" si="8"/>
        <v>0</v>
      </c>
      <c r="E85" s="9">
        <f t="shared" si="8"/>
        <v>0</v>
      </c>
      <c r="F85" s="9">
        <f t="shared" si="8"/>
        <v>0</v>
      </c>
      <c r="G85" s="9">
        <f t="shared" si="8"/>
        <v>0</v>
      </c>
      <c r="H85" s="34">
        <f t="shared" si="8"/>
        <v>30052.753617597173</v>
      </c>
      <c r="I85" s="34">
        <f t="shared" si="8"/>
        <v>60105.507235194345</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U5X</v>
      </c>
      <c r="E92" s="45" t="str">
        <f>CONCATENATE("U",F21,F$17)</f>
        <v>U5Y</v>
      </c>
    </row>
    <row r="93" spans="1:14" x14ac:dyDescent="0.3">
      <c r="B93" s="46">
        <f>J9*J9*N9</f>
        <v>53874.250275494363</v>
      </c>
      <c r="C93" s="46">
        <f>J9*K9*N9</f>
        <v>38789.460198355941</v>
      </c>
      <c r="D93" s="46">
        <f>-B93</f>
        <v>-53874.250275494363</v>
      </c>
      <c r="E93" s="46">
        <f>-C93</f>
        <v>-38789.460198355941</v>
      </c>
      <c r="F93" s="45" t="str">
        <f>B92</f>
        <v>U4X</v>
      </c>
    </row>
    <row r="94" spans="1:14" ht="16.8" customHeight="1" x14ac:dyDescent="0.3">
      <c r="A94" s="28" t="s">
        <v>195</v>
      </c>
      <c r="B94" s="46">
        <f>C93</f>
        <v>38789.460198355941</v>
      </c>
      <c r="C94" s="46">
        <f>K9*K9*N9</f>
        <v>27928.411342816282</v>
      </c>
      <c r="D94" s="46">
        <f>-B94</f>
        <v>-38789.460198355941</v>
      </c>
      <c r="E94" s="46">
        <f>-C94</f>
        <v>-27928.411342816282</v>
      </c>
      <c r="F94" s="45" t="str">
        <f>C92</f>
        <v>U4Y</v>
      </c>
    </row>
    <row r="95" spans="1:14" x14ac:dyDescent="0.3">
      <c r="B95" s="46">
        <f>D93</f>
        <v>-53874.250275494363</v>
      </c>
      <c r="C95" s="46">
        <f>E93</f>
        <v>-38789.460198355941</v>
      </c>
      <c r="D95" s="46">
        <f>B93</f>
        <v>53874.250275494363</v>
      </c>
      <c r="E95" s="46">
        <f>C93</f>
        <v>38789.460198355941</v>
      </c>
      <c r="F95" s="45" t="str">
        <f>D92</f>
        <v>U5X</v>
      </c>
    </row>
    <row r="96" spans="1:14" x14ac:dyDescent="0.3">
      <c r="B96" s="46">
        <f>D94</f>
        <v>-38789.460198355941</v>
      </c>
      <c r="C96" s="46">
        <f>E94</f>
        <v>-27928.411342816282</v>
      </c>
      <c r="D96" s="46">
        <f>B94</f>
        <v>38789.460198355941</v>
      </c>
      <c r="E96" s="46">
        <f>C94</f>
        <v>27928.411342816282</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47">
        <f t="shared" si="9"/>
        <v>53874.250275494363</v>
      </c>
      <c r="I105" s="47">
        <f t="shared" si="9"/>
        <v>38789.460198355941</v>
      </c>
      <c r="J105" s="47">
        <f t="shared" si="9"/>
        <v>-53874.250275494363</v>
      </c>
      <c r="K105" s="47">
        <f t="shared" si="9"/>
        <v>-38789.460198355941</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47">
        <f t="shared" si="9"/>
        <v>38789.460198355941</v>
      </c>
      <c r="I106" s="47">
        <f t="shared" si="9"/>
        <v>27928.411342816282</v>
      </c>
      <c r="J106" s="47">
        <f t="shared" si="9"/>
        <v>-38789.460198355941</v>
      </c>
      <c r="K106" s="47">
        <f t="shared" si="9"/>
        <v>-27928.411342816282</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47">
        <f t="shared" si="9"/>
        <v>-53874.250275494363</v>
      </c>
      <c r="I107" s="47">
        <f t="shared" si="9"/>
        <v>-38789.460198355941</v>
      </c>
      <c r="J107" s="47">
        <f t="shared" si="9"/>
        <v>53874.250275494363</v>
      </c>
      <c r="K107" s="47">
        <f t="shared" si="9"/>
        <v>38789.460198355941</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47">
        <f t="shared" si="9"/>
        <v>-38789.460198355941</v>
      </c>
      <c r="I108" s="47">
        <f t="shared" si="9"/>
        <v>-27928.411342816282</v>
      </c>
      <c r="J108" s="47">
        <f t="shared" si="9"/>
        <v>38789.460198355941</v>
      </c>
      <c r="K108" s="47">
        <f t="shared" si="9"/>
        <v>27928.411342816282</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53874.250275494363</v>
      </c>
      <c r="C114" s="49">
        <f>J10*K10*N10</f>
        <v>-38789.460198355941</v>
      </c>
      <c r="D114" s="49">
        <f>-B114</f>
        <v>-53874.250275494363</v>
      </c>
      <c r="E114" s="49">
        <f>-C114</f>
        <v>38789.460198355941</v>
      </c>
      <c r="F114" s="48" t="str">
        <f>B113</f>
        <v>U5X</v>
      </c>
    </row>
    <row r="115" spans="1:14" ht="16.8" customHeight="1" x14ac:dyDescent="0.3">
      <c r="A115" s="28" t="s">
        <v>197</v>
      </c>
      <c r="B115" s="49">
        <f>C114</f>
        <v>-38789.460198355941</v>
      </c>
      <c r="C115" s="49">
        <f>K10*K10*N10</f>
        <v>27928.411342816282</v>
      </c>
      <c r="D115" s="49">
        <f>-B115</f>
        <v>38789.460198355941</v>
      </c>
      <c r="E115" s="49">
        <f>-C115</f>
        <v>-27928.411342816282</v>
      </c>
      <c r="F115" s="48" t="str">
        <f>C113</f>
        <v>U5Y</v>
      </c>
    </row>
    <row r="116" spans="1:14" x14ac:dyDescent="0.3">
      <c r="B116" s="49">
        <f>D114</f>
        <v>-53874.250275494363</v>
      </c>
      <c r="C116" s="49">
        <f>E114</f>
        <v>38789.460198355941</v>
      </c>
      <c r="D116" s="49">
        <f>B114</f>
        <v>53874.250275494363</v>
      </c>
      <c r="E116" s="49">
        <f>C114</f>
        <v>-38789.460198355941</v>
      </c>
      <c r="F116" s="48" t="str">
        <f>D113</f>
        <v>U6X</v>
      </c>
    </row>
    <row r="117" spans="1:14" x14ac:dyDescent="0.3">
      <c r="B117" s="49">
        <f>D115</f>
        <v>38789.460198355941</v>
      </c>
      <c r="C117" s="49">
        <f>E115</f>
        <v>-27928.411342816282</v>
      </c>
      <c r="D117" s="49">
        <f>B115</f>
        <v>-38789.460198355941</v>
      </c>
      <c r="E117" s="49">
        <f>C115</f>
        <v>27928.411342816282</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53874.250275494363</v>
      </c>
      <c r="K128" s="50">
        <f t="shared" si="10"/>
        <v>-38789.460198355941</v>
      </c>
      <c r="L128" s="50">
        <f t="shared" si="10"/>
        <v>-53874.250275494363</v>
      </c>
      <c r="M128" s="50">
        <f t="shared" si="10"/>
        <v>38789.460198355941</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-38789.460198355941</v>
      </c>
      <c r="K129" s="50">
        <f t="shared" si="10"/>
        <v>27928.411342816282</v>
      </c>
      <c r="L129" s="50">
        <f t="shared" si="10"/>
        <v>38789.460198355941</v>
      </c>
      <c r="M129" s="50">
        <f t="shared" si="10"/>
        <v>-27928.411342816282</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-53874.250275494363</v>
      </c>
      <c r="K130" s="50">
        <f t="shared" si="10"/>
        <v>38789.460198355941</v>
      </c>
      <c r="L130" s="50">
        <f t="shared" si="10"/>
        <v>53874.250275494363</v>
      </c>
      <c r="M130" s="50">
        <f t="shared" si="10"/>
        <v>-38789.460198355941</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38789.460198355941</v>
      </c>
      <c r="K131" s="50">
        <f t="shared" si="10"/>
        <v>-27928.411342816282</v>
      </c>
      <c r="L131" s="50">
        <f t="shared" si="10"/>
        <v>-38789.460198355941</v>
      </c>
      <c r="M131" s="50">
        <f t="shared" si="10"/>
        <v>27928.411342816282</v>
      </c>
      <c r="N131" s="48" t="s">
        <v>189</v>
      </c>
    </row>
    <row r="134" spans="1:14" ht="18" customHeight="1" x14ac:dyDescent="0.3">
      <c r="B134" s="53" t="str">
        <f>CONCATENATE("U",C23,C$17)</f>
        <v>U6X</v>
      </c>
      <c r="C134" s="53" t="str">
        <f>CONCATENATE("U",D23,D$17)</f>
        <v>U6Y</v>
      </c>
      <c r="D134" s="53" t="str">
        <f>CONCATENATE("U",E23,E$17)</f>
        <v>U3X</v>
      </c>
      <c r="E134" s="53" t="str">
        <f>CONCATENATE("U",F23,F$17)</f>
        <v>U3Y</v>
      </c>
    </row>
    <row r="135" spans="1:14" x14ac:dyDescent="0.3">
      <c r="B135" s="54">
        <f>J11*J11*N11</f>
        <v>15026.376808798586</v>
      </c>
      <c r="C135" s="54">
        <f>J11*K11*N11</f>
        <v>-30052.753617597173</v>
      </c>
      <c r="D135" s="54">
        <f>-B135</f>
        <v>-15026.376808798586</v>
      </c>
      <c r="E135" s="54">
        <f>-C135</f>
        <v>30052.753617597173</v>
      </c>
      <c r="F135" s="53" t="str">
        <f>B134</f>
        <v>U6X</v>
      </c>
    </row>
    <row r="136" spans="1:14" ht="16.8" customHeight="1" x14ac:dyDescent="0.3">
      <c r="A136" s="28" t="s">
        <v>199</v>
      </c>
      <c r="B136" s="54">
        <f>C135</f>
        <v>-30052.753617597173</v>
      </c>
      <c r="C136" s="54">
        <f>K11*K11*N11</f>
        <v>60105.507235194345</v>
      </c>
      <c r="D136" s="54">
        <f>-B136</f>
        <v>30052.753617597173</v>
      </c>
      <c r="E136" s="54">
        <f>-C136</f>
        <v>-60105.507235194345</v>
      </c>
      <c r="F136" s="53" t="str">
        <f>C134</f>
        <v>U6Y</v>
      </c>
    </row>
    <row r="137" spans="1:14" x14ac:dyDescent="0.3">
      <c r="B137" s="54">
        <f>D135</f>
        <v>-15026.376808798586</v>
      </c>
      <c r="C137" s="54">
        <f>E135</f>
        <v>30052.753617597173</v>
      </c>
      <c r="D137" s="54">
        <f>B135</f>
        <v>15026.376808798586</v>
      </c>
      <c r="E137" s="54">
        <f>C135</f>
        <v>-30052.753617597173</v>
      </c>
      <c r="F137" s="53" t="str">
        <f>D134</f>
        <v>U3X</v>
      </c>
    </row>
    <row r="138" spans="1:14" x14ac:dyDescent="0.3">
      <c r="B138" s="54">
        <f>D136</f>
        <v>30052.753617597173</v>
      </c>
      <c r="C138" s="54">
        <f>E136</f>
        <v>-60105.507235194345</v>
      </c>
      <c r="D138" s="54">
        <f>B136</f>
        <v>-30052.753617597173</v>
      </c>
      <c r="E138" s="54">
        <f>C136</f>
        <v>60105.507235194345</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15026.376808798586</v>
      </c>
      <c r="G145" s="55">
        <f t="shared" si="11"/>
        <v>-30052.753617597173</v>
      </c>
      <c r="H145" s="9">
        <f t="shared" si="11"/>
        <v>0</v>
      </c>
      <c r="I145" s="9">
        <f t="shared" si="11"/>
        <v>0</v>
      </c>
      <c r="J145" s="9">
        <f t="shared" si="11"/>
        <v>0</v>
      </c>
      <c r="K145" s="9">
        <f t="shared" si="11"/>
        <v>0</v>
      </c>
      <c r="L145" s="55">
        <f t="shared" si="11"/>
        <v>-15026.376808798586</v>
      </c>
      <c r="M145" s="55">
        <f t="shared" si="11"/>
        <v>30052.753617597173</v>
      </c>
      <c r="N145" s="53" t="s">
        <v>182</v>
      </c>
    </row>
    <row r="146" spans="1:14" ht="19.05" customHeight="1" x14ac:dyDescent="0.3">
      <c r="A146" s="28" t="s">
        <v>200</v>
      </c>
      <c r="B146" s="9">
        <f t="shared" si="11"/>
        <v>0</v>
      </c>
      <c r="C146" s="9">
        <f t="shared" si="11"/>
        <v>0</v>
      </c>
      <c r="D146" s="9">
        <f t="shared" si="11"/>
        <v>0</v>
      </c>
      <c r="E146" s="9">
        <f t="shared" si="11"/>
        <v>0</v>
      </c>
      <c r="F146" s="55">
        <f t="shared" si="11"/>
        <v>-30052.753617597173</v>
      </c>
      <c r="G146" s="55">
        <f t="shared" si="11"/>
        <v>60105.507235194345</v>
      </c>
      <c r="H146" s="9">
        <f t="shared" si="11"/>
        <v>0</v>
      </c>
      <c r="I146" s="9">
        <f t="shared" si="11"/>
        <v>0</v>
      </c>
      <c r="J146" s="9">
        <f t="shared" si="11"/>
        <v>0</v>
      </c>
      <c r="K146" s="9">
        <f t="shared" si="11"/>
        <v>0</v>
      </c>
      <c r="L146" s="55">
        <f t="shared" si="11"/>
        <v>30052.753617597173</v>
      </c>
      <c r="M146" s="55">
        <f t="shared" si="11"/>
        <v>-60105.507235194345</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-15026.376808798586</v>
      </c>
      <c r="G151" s="55">
        <f t="shared" si="11"/>
        <v>30052.753617597173</v>
      </c>
      <c r="H151" s="9">
        <f t="shared" si="11"/>
        <v>0</v>
      </c>
      <c r="I151" s="9">
        <f t="shared" si="11"/>
        <v>0</v>
      </c>
      <c r="J151" s="9">
        <f t="shared" si="11"/>
        <v>0</v>
      </c>
      <c r="K151" s="9">
        <f t="shared" si="11"/>
        <v>0</v>
      </c>
      <c r="L151" s="55">
        <f t="shared" si="11"/>
        <v>15026.376808798586</v>
      </c>
      <c r="M151" s="55">
        <f t="shared" si="11"/>
        <v>-30052.753617597173</v>
      </c>
      <c r="N151" s="53" t="s">
        <v>188</v>
      </c>
    </row>
    <row r="152" spans="1:14" ht="19.05" customHeight="1" x14ac:dyDescent="0.3">
      <c r="B152" s="9">
        <f t="shared" si="11"/>
        <v>0</v>
      </c>
      <c r="C152" s="9">
        <f t="shared" si="11"/>
        <v>0</v>
      </c>
      <c r="D152" s="9">
        <f t="shared" si="11"/>
        <v>0</v>
      </c>
      <c r="E152" s="9">
        <f t="shared" si="11"/>
        <v>0</v>
      </c>
      <c r="F152" s="55">
        <f t="shared" si="11"/>
        <v>30052.753617597173</v>
      </c>
      <c r="G152" s="55">
        <f t="shared" si="11"/>
        <v>-60105.507235194345</v>
      </c>
      <c r="H152" s="9">
        <f t="shared" si="11"/>
        <v>0</v>
      </c>
      <c r="I152" s="9">
        <f t="shared" si="11"/>
        <v>0</v>
      </c>
      <c r="J152" s="9">
        <f t="shared" si="11"/>
        <v>0</v>
      </c>
      <c r="K152" s="9">
        <f t="shared" si="11"/>
        <v>0</v>
      </c>
      <c r="L152" s="55">
        <f t="shared" si="11"/>
        <v>-30052.753617597173</v>
      </c>
      <c r="M152" s="55">
        <f t="shared" si="11"/>
        <v>60105.507235194345</v>
      </c>
      <c r="N152" s="53" t="s">
        <v>189</v>
      </c>
    </row>
    <row r="155" spans="1:14" ht="18" customHeight="1" x14ac:dyDescent="0.3">
      <c r="B155" s="56" t="str">
        <f>CONCATENATE("U",C24,C$17)</f>
        <v>U2X</v>
      </c>
      <c r="C155" s="56" t="str">
        <f>CONCATENATE("U",D24,D$17)</f>
        <v>U2Y</v>
      </c>
      <c r="D155" s="56" t="str">
        <f>CONCATENATE("U",E24,E$17)</f>
        <v>U4X</v>
      </c>
      <c r="E155" s="56" t="str">
        <f>CONCATENATE("U",F24,F$17)</f>
        <v>U4Y</v>
      </c>
    </row>
    <row r="156" spans="1:14" x14ac:dyDescent="0.3">
      <c r="B156" s="57">
        <f>J12*J12*N12</f>
        <v>26446.962084499821</v>
      </c>
      <c r="C156" s="57">
        <f>J12*K12*N12</f>
        <v>-31736.354501399786</v>
      </c>
      <c r="D156" s="57">
        <f>-B156</f>
        <v>-26446.962084499821</v>
      </c>
      <c r="E156" s="57">
        <f>-C156</f>
        <v>31736.354501399786</v>
      </c>
      <c r="F156" s="56" t="str">
        <f>B155</f>
        <v>U2X</v>
      </c>
    </row>
    <row r="157" spans="1:14" ht="16.8" customHeight="1" x14ac:dyDescent="0.3">
      <c r="A157" s="28" t="s">
        <v>201</v>
      </c>
      <c r="B157" s="57">
        <f>C156</f>
        <v>-31736.354501399786</v>
      </c>
      <c r="C157" s="57">
        <f>K12*K12*N12</f>
        <v>38083.625401679747</v>
      </c>
      <c r="D157" s="57">
        <f>-B157</f>
        <v>31736.354501399786</v>
      </c>
      <c r="E157" s="57">
        <f>-C157</f>
        <v>-38083.625401679747</v>
      </c>
      <c r="F157" s="56" t="str">
        <f>C155</f>
        <v>U2Y</v>
      </c>
    </row>
    <row r="158" spans="1:14" x14ac:dyDescent="0.3">
      <c r="B158" s="57">
        <f>D156</f>
        <v>-26446.962084499821</v>
      </c>
      <c r="C158" s="57">
        <f>E156</f>
        <v>31736.354501399786</v>
      </c>
      <c r="D158" s="57">
        <f>B156</f>
        <v>26446.962084499821</v>
      </c>
      <c r="E158" s="57">
        <f>C156</f>
        <v>-31736.354501399786</v>
      </c>
      <c r="F158" s="56" t="str">
        <f>D155</f>
        <v>U4X</v>
      </c>
    </row>
    <row r="159" spans="1:14" x14ac:dyDescent="0.3">
      <c r="B159" s="57">
        <f>D157</f>
        <v>31736.354501399786</v>
      </c>
      <c r="C159" s="57">
        <f>E157</f>
        <v>-38083.625401679747</v>
      </c>
      <c r="D159" s="57">
        <f>B157</f>
        <v>-31736.354501399786</v>
      </c>
      <c r="E159" s="57">
        <f>C157</f>
        <v>38083.625401679747</v>
      </c>
      <c r="F159" s="56" t="str">
        <f>E155</f>
        <v>U4Y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26446.962084499821</v>
      </c>
      <c r="E164" s="58">
        <f t="shared" si="12"/>
        <v>-31736.354501399786</v>
      </c>
      <c r="F164" s="9">
        <f t="shared" si="12"/>
        <v>0</v>
      </c>
      <c r="G164" s="9">
        <f t="shared" si="12"/>
        <v>0</v>
      </c>
      <c r="H164" s="58">
        <f t="shared" si="12"/>
        <v>-26446.962084499821</v>
      </c>
      <c r="I164" s="58">
        <f t="shared" si="12"/>
        <v>31736.354501399786</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-31736.354501399786</v>
      </c>
      <c r="E165" s="58">
        <f t="shared" si="12"/>
        <v>38083.625401679747</v>
      </c>
      <c r="F165" s="9">
        <f t="shared" si="12"/>
        <v>0</v>
      </c>
      <c r="G165" s="9">
        <f t="shared" si="12"/>
        <v>0</v>
      </c>
      <c r="H165" s="58">
        <f t="shared" si="12"/>
        <v>31736.354501399786</v>
      </c>
      <c r="I165" s="58">
        <f t="shared" si="12"/>
        <v>-38083.625401679747</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58">
        <f t="shared" si="12"/>
        <v>-26446.962084499821</v>
      </c>
      <c r="E168" s="58">
        <f t="shared" si="12"/>
        <v>31736.354501399786</v>
      </c>
      <c r="F168" s="9">
        <f t="shared" si="12"/>
        <v>0</v>
      </c>
      <c r="G168" s="9">
        <f t="shared" si="12"/>
        <v>0</v>
      </c>
      <c r="H168" s="58">
        <f t="shared" si="12"/>
        <v>26446.962084499821</v>
      </c>
      <c r="I168" s="58">
        <f t="shared" si="12"/>
        <v>-31736.354501399786</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58">
        <f t="shared" si="12"/>
        <v>31736.354501399786</v>
      </c>
      <c r="E169" s="58">
        <f t="shared" si="12"/>
        <v>-38083.625401679747</v>
      </c>
      <c r="F169" s="9">
        <f t="shared" si="12"/>
        <v>0</v>
      </c>
      <c r="G169" s="9">
        <f t="shared" si="12"/>
        <v>0</v>
      </c>
      <c r="H169" s="58">
        <f t="shared" si="12"/>
        <v>-31736.354501399786</v>
      </c>
      <c r="I169" s="58">
        <f t="shared" si="12"/>
        <v>38083.625401679747</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U2X</v>
      </c>
      <c r="C176" s="61" t="str">
        <f>CONCATENATE("U",D25,D$17)</f>
        <v>U2Y</v>
      </c>
      <c r="D176" s="61" t="str">
        <f>CONCATENATE("U",E25,E$17)</f>
        <v>U5X</v>
      </c>
      <c r="E176" s="61" t="str">
        <f>CONCATENATE("U",F25,F$17)</f>
        <v>U5Y</v>
      </c>
    </row>
    <row r="177" spans="1:14" x14ac:dyDescent="0.3">
      <c r="B177" s="62">
        <f>J13*J13*N13</f>
        <v>0</v>
      </c>
      <c r="C177" s="62">
        <f>J13*K13*N13</f>
        <v>0</v>
      </c>
      <c r="D177" s="62">
        <f>-B177</f>
        <v>0</v>
      </c>
      <c r="E177" s="62">
        <f>-C177</f>
        <v>0</v>
      </c>
      <c r="F177" s="61" t="str">
        <f>B176</f>
        <v>U2X</v>
      </c>
    </row>
    <row r="178" spans="1:14" ht="16.8" customHeight="1" x14ac:dyDescent="0.3">
      <c r="A178" s="28" t="s">
        <v>203</v>
      </c>
      <c r="B178" s="62">
        <f>C177</f>
        <v>0</v>
      </c>
      <c r="C178" s="62">
        <f>K13*K13*N13</f>
        <v>52500</v>
      </c>
      <c r="D178" s="62">
        <f>-B178</f>
        <v>0</v>
      </c>
      <c r="E178" s="62">
        <f>-C178</f>
        <v>-52500</v>
      </c>
      <c r="F178" s="61" t="str">
        <f>C176</f>
        <v>U2Y</v>
      </c>
    </row>
    <row r="179" spans="1:14" x14ac:dyDescent="0.3">
      <c r="B179" s="62">
        <f>D177</f>
        <v>0</v>
      </c>
      <c r="C179" s="62">
        <f>E177</f>
        <v>0</v>
      </c>
      <c r="D179" s="62">
        <f>B177</f>
        <v>0</v>
      </c>
      <c r="E179" s="62">
        <f>C177</f>
        <v>0</v>
      </c>
      <c r="F179" s="61" t="str">
        <f>D176</f>
        <v>U5X</v>
      </c>
    </row>
    <row r="180" spans="1:14" x14ac:dyDescent="0.3">
      <c r="B180" s="62">
        <f>D178</f>
        <v>0</v>
      </c>
      <c r="C180" s="62">
        <f>E178</f>
        <v>-52500</v>
      </c>
      <c r="D180" s="62">
        <f>B178</f>
        <v>0</v>
      </c>
      <c r="E180" s="62">
        <f>C178</f>
        <v>52500</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0</v>
      </c>
      <c r="E185" s="63">
        <f t="shared" si="13"/>
        <v>0</v>
      </c>
      <c r="F185" s="9">
        <f t="shared" si="13"/>
        <v>0</v>
      </c>
      <c r="G185" s="9">
        <f t="shared" si="13"/>
        <v>0</v>
      </c>
      <c r="H185" s="9">
        <f t="shared" si="13"/>
        <v>0</v>
      </c>
      <c r="I185" s="9">
        <f t="shared" si="13"/>
        <v>0</v>
      </c>
      <c r="J185" s="63">
        <f t="shared" si="13"/>
        <v>0</v>
      </c>
      <c r="K185" s="63">
        <f t="shared" si="13"/>
        <v>0</v>
      </c>
      <c r="L185" s="9">
        <f t="shared" si="13"/>
        <v>0</v>
      </c>
      <c r="M185" s="9">
        <f t="shared" si="13"/>
        <v>0</v>
      </c>
      <c r="N185" s="61" t="s">
        <v>180</v>
      </c>
    </row>
    <row r="186" spans="1:14" ht="19.05" customHeight="1" x14ac:dyDescent="0.3">
      <c r="B186" s="9">
        <f t="shared" si="13"/>
        <v>0</v>
      </c>
      <c r="C186" s="9">
        <f t="shared" si="13"/>
        <v>0</v>
      </c>
      <c r="D186" s="63">
        <f t="shared" si="13"/>
        <v>0</v>
      </c>
      <c r="E186" s="63">
        <f t="shared" si="13"/>
        <v>52500</v>
      </c>
      <c r="F186" s="9">
        <f t="shared" si="13"/>
        <v>0</v>
      </c>
      <c r="G186" s="9">
        <f t="shared" si="13"/>
        <v>0</v>
      </c>
      <c r="H186" s="9">
        <f t="shared" si="13"/>
        <v>0</v>
      </c>
      <c r="I186" s="9">
        <f t="shared" si="13"/>
        <v>0</v>
      </c>
      <c r="J186" s="63">
        <f t="shared" si="13"/>
        <v>0</v>
      </c>
      <c r="K186" s="63">
        <f t="shared" si="13"/>
        <v>-52500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63">
        <f t="shared" si="13"/>
        <v>0</v>
      </c>
      <c r="E191" s="63">
        <f t="shared" si="13"/>
        <v>0</v>
      </c>
      <c r="F191" s="9">
        <f t="shared" si="13"/>
        <v>0</v>
      </c>
      <c r="G191" s="9">
        <f t="shared" si="13"/>
        <v>0</v>
      </c>
      <c r="H191" s="9">
        <f t="shared" si="13"/>
        <v>0</v>
      </c>
      <c r="I191" s="9">
        <f t="shared" si="13"/>
        <v>0</v>
      </c>
      <c r="J191" s="63">
        <f t="shared" si="13"/>
        <v>0</v>
      </c>
      <c r="K191" s="63">
        <f t="shared" si="13"/>
        <v>0</v>
      </c>
      <c r="L191" s="9">
        <f t="shared" si="13"/>
        <v>0</v>
      </c>
      <c r="M191" s="9">
        <f t="shared" si="13"/>
        <v>0</v>
      </c>
      <c r="N191" s="61" t="s">
        <v>186</v>
      </c>
    </row>
    <row r="192" spans="1:14" ht="19.05" customHeight="1" x14ac:dyDescent="0.3">
      <c r="B192" s="9">
        <f t="shared" si="13"/>
        <v>0</v>
      </c>
      <c r="C192" s="9">
        <f t="shared" si="13"/>
        <v>0</v>
      </c>
      <c r="D192" s="63">
        <f t="shared" si="13"/>
        <v>0</v>
      </c>
      <c r="E192" s="63">
        <f t="shared" si="13"/>
        <v>-52500</v>
      </c>
      <c r="F192" s="9">
        <f t="shared" si="13"/>
        <v>0</v>
      </c>
      <c r="G192" s="9">
        <f t="shared" si="13"/>
        <v>0</v>
      </c>
      <c r="H192" s="9">
        <f t="shared" si="13"/>
        <v>0</v>
      </c>
      <c r="I192" s="9">
        <f t="shared" si="13"/>
        <v>0</v>
      </c>
      <c r="J192" s="63">
        <f t="shared" si="13"/>
        <v>0</v>
      </c>
      <c r="K192" s="63">
        <f t="shared" si="13"/>
        <v>52500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26446.962084499821</v>
      </c>
      <c r="C198" s="65">
        <f>J14*K14*N14</f>
        <v>31736.354501399786</v>
      </c>
      <c r="D198" s="65">
        <f>-B198</f>
        <v>-26446.962084499821</v>
      </c>
      <c r="E198" s="65">
        <f>-C198</f>
        <v>-31736.354501399786</v>
      </c>
      <c r="F198" s="64" t="str">
        <f>B197</f>
        <v>U2X</v>
      </c>
    </row>
    <row r="199" spans="1:14" ht="16.8" customHeight="1" x14ac:dyDescent="0.3">
      <c r="A199" s="28" t="s">
        <v>528</v>
      </c>
      <c r="B199" s="65">
        <f>C198</f>
        <v>31736.354501399786</v>
      </c>
      <c r="C199" s="65">
        <f>K14*K14*N14</f>
        <v>38083.625401679747</v>
      </c>
      <c r="D199" s="65">
        <f>-B199</f>
        <v>-31736.354501399786</v>
      </c>
      <c r="E199" s="65">
        <f>-C199</f>
        <v>-38083.625401679747</v>
      </c>
      <c r="F199" s="64" t="str">
        <f>C197</f>
        <v>U2Y</v>
      </c>
    </row>
    <row r="200" spans="1:14" x14ac:dyDescent="0.3">
      <c r="B200" s="65">
        <f>D198</f>
        <v>-26446.962084499821</v>
      </c>
      <c r="C200" s="65">
        <f>E198</f>
        <v>-31736.354501399786</v>
      </c>
      <c r="D200" s="65">
        <f>B198</f>
        <v>26446.962084499821</v>
      </c>
      <c r="E200" s="65">
        <f>C198</f>
        <v>31736.354501399786</v>
      </c>
      <c r="F200" s="64" t="str">
        <f>D197</f>
        <v>U6X</v>
      </c>
    </row>
    <row r="201" spans="1:14" x14ac:dyDescent="0.3">
      <c r="B201" s="65">
        <f>D199</f>
        <v>-31736.354501399786</v>
      </c>
      <c r="C201" s="65">
        <f>E199</f>
        <v>-38083.625401679747</v>
      </c>
      <c r="D201" s="65">
        <f>B199</f>
        <v>31736.354501399786</v>
      </c>
      <c r="E201" s="65">
        <f>C199</f>
        <v>38083.625401679747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26446.962084499821</v>
      </c>
      <c r="E206" s="66">
        <f t="shared" si="14"/>
        <v>31736.354501399786</v>
      </c>
      <c r="F206" s="9">
        <f t="shared" si="14"/>
        <v>0</v>
      </c>
      <c r="G206" s="9">
        <f t="shared" si="14"/>
        <v>0</v>
      </c>
      <c r="H206" s="9">
        <f t="shared" si="14"/>
        <v>0</v>
      </c>
      <c r="I206" s="9">
        <f t="shared" si="14"/>
        <v>0</v>
      </c>
      <c r="J206" s="9">
        <f t="shared" si="14"/>
        <v>0</v>
      </c>
      <c r="K206" s="9">
        <f t="shared" si="14"/>
        <v>0</v>
      </c>
      <c r="L206" s="66">
        <f t="shared" si="14"/>
        <v>-26446.962084499821</v>
      </c>
      <c r="M206" s="66">
        <f t="shared" si="14"/>
        <v>-31736.354501399786</v>
      </c>
      <c r="N206" s="64" t="s">
        <v>180</v>
      </c>
    </row>
    <row r="207" spans="1:14" ht="19.05" customHeight="1" x14ac:dyDescent="0.3">
      <c r="B207" s="9">
        <f t="shared" si="14"/>
        <v>0</v>
      </c>
      <c r="C207" s="9">
        <f t="shared" si="14"/>
        <v>0</v>
      </c>
      <c r="D207" s="66">
        <f t="shared" si="14"/>
        <v>31736.354501399786</v>
      </c>
      <c r="E207" s="66">
        <f t="shared" si="14"/>
        <v>38083.625401679747</v>
      </c>
      <c r="F207" s="9">
        <f t="shared" si="14"/>
        <v>0</v>
      </c>
      <c r="G207" s="9">
        <f t="shared" si="14"/>
        <v>0</v>
      </c>
      <c r="H207" s="9">
        <f t="shared" si="14"/>
        <v>0</v>
      </c>
      <c r="I207" s="9">
        <f t="shared" si="14"/>
        <v>0</v>
      </c>
      <c r="J207" s="9">
        <f t="shared" si="14"/>
        <v>0</v>
      </c>
      <c r="K207" s="9">
        <f t="shared" si="14"/>
        <v>0</v>
      </c>
      <c r="L207" s="66">
        <f t="shared" si="14"/>
        <v>-31736.354501399786</v>
      </c>
      <c r="M207" s="66">
        <f t="shared" si="14"/>
        <v>-38083.625401679747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-26446.962084499821</v>
      </c>
      <c r="E214" s="66">
        <f t="shared" si="14"/>
        <v>-31736.354501399786</v>
      </c>
      <c r="F214" s="9">
        <f t="shared" si="14"/>
        <v>0</v>
      </c>
      <c r="G214" s="9">
        <f t="shared" si="14"/>
        <v>0</v>
      </c>
      <c r="H214" s="9">
        <f t="shared" si="14"/>
        <v>0</v>
      </c>
      <c r="I214" s="9">
        <f t="shared" si="14"/>
        <v>0</v>
      </c>
      <c r="J214" s="9">
        <f t="shared" si="14"/>
        <v>0</v>
      </c>
      <c r="K214" s="9">
        <f t="shared" si="14"/>
        <v>0</v>
      </c>
      <c r="L214" s="66">
        <f t="shared" si="14"/>
        <v>26446.962084499821</v>
      </c>
      <c r="M214" s="66">
        <f t="shared" si="14"/>
        <v>31736.354501399786</v>
      </c>
      <c r="N214" s="64" t="s">
        <v>188</v>
      </c>
    </row>
    <row r="215" spans="1:14" ht="19.05" customHeight="1" x14ac:dyDescent="0.3">
      <c r="B215" s="9">
        <f t="shared" si="14"/>
        <v>0</v>
      </c>
      <c r="C215" s="9">
        <f t="shared" si="14"/>
        <v>0</v>
      </c>
      <c r="D215" s="66">
        <f t="shared" si="14"/>
        <v>-31736.354501399786</v>
      </c>
      <c r="E215" s="66">
        <f t="shared" si="14"/>
        <v>-38083.625401679747</v>
      </c>
      <c r="F215" s="9">
        <f t="shared" si="14"/>
        <v>0</v>
      </c>
      <c r="G215" s="9">
        <f t="shared" si="14"/>
        <v>0</v>
      </c>
      <c r="H215" s="9">
        <f t="shared" si="14"/>
        <v>0</v>
      </c>
      <c r="I215" s="9">
        <f t="shared" si="14"/>
        <v>0</v>
      </c>
      <c r="J215" s="9">
        <f t="shared" si="14"/>
        <v>0</v>
      </c>
      <c r="K215" s="9">
        <f t="shared" si="14"/>
        <v>0</v>
      </c>
      <c r="L215" s="66">
        <f t="shared" si="14"/>
        <v>31736.354501399786</v>
      </c>
      <c r="M215" s="66">
        <f t="shared" si="14"/>
        <v>38083.625401679747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78026.376808798581</v>
      </c>
      <c r="C219" s="36">
        <f t="shared" si="15"/>
        <v>30052.753617597173</v>
      </c>
      <c r="D219" s="9">
        <f t="shared" si="15"/>
        <v>-63000</v>
      </c>
      <c r="E219" s="9">
        <f t="shared" si="15"/>
        <v>0</v>
      </c>
      <c r="F219" s="9">
        <f t="shared" si="15"/>
        <v>0</v>
      </c>
      <c r="G219" s="9">
        <f t="shared" si="15"/>
        <v>0</v>
      </c>
      <c r="H219" s="9">
        <f t="shared" si="15"/>
        <v>-15026.376808798586</v>
      </c>
      <c r="I219" s="9">
        <f t="shared" si="15"/>
        <v>-30052.753617597173</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30052.753617597173</v>
      </c>
      <c r="C220" s="35">
        <f t="shared" si="16"/>
        <v>60105.507235194345</v>
      </c>
      <c r="D220" s="9">
        <f t="shared" si="16"/>
        <v>0</v>
      </c>
      <c r="E220" s="9">
        <f t="shared" si="16"/>
        <v>0</v>
      </c>
      <c r="F220" s="9">
        <f t="shared" si="16"/>
        <v>0</v>
      </c>
      <c r="G220" s="9">
        <f t="shared" si="16"/>
        <v>0</v>
      </c>
      <c r="H220" s="9">
        <f t="shared" si="16"/>
        <v>-30052.753617597173</v>
      </c>
      <c r="I220" s="9">
        <f t="shared" si="16"/>
        <v>-60105.507235194345</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-63000</v>
      </c>
      <c r="C221" s="9">
        <f t="shared" si="17"/>
        <v>0</v>
      </c>
      <c r="D221" s="35">
        <f t="shared" si="17"/>
        <v>178893.92416899966</v>
      </c>
      <c r="E221" s="36">
        <f t="shared" si="17"/>
        <v>0</v>
      </c>
      <c r="F221" s="9">
        <f t="shared" si="17"/>
        <v>-63000</v>
      </c>
      <c r="G221" s="9">
        <f t="shared" si="17"/>
        <v>0</v>
      </c>
      <c r="H221" s="9">
        <f t="shared" si="17"/>
        <v>-26446.962084499821</v>
      </c>
      <c r="I221" s="9">
        <f t="shared" si="17"/>
        <v>31736.354501399786</v>
      </c>
      <c r="J221" s="9">
        <f t="shared" si="17"/>
        <v>0</v>
      </c>
      <c r="K221" s="9">
        <f t="shared" si="17"/>
        <v>0</v>
      </c>
      <c r="L221" s="9">
        <f t="shared" si="17"/>
        <v>-26446.962084499821</v>
      </c>
      <c r="M221" s="9">
        <f t="shared" si="17"/>
        <v>-31736.354501399786</v>
      </c>
      <c r="N221" s="89" t="s">
        <v>180</v>
      </c>
    </row>
    <row r="222" spans="1:14" ht="19.95" customHeight="1" x14ac:dyDescent="0.3">
      <c r="B222" s="9">
        <f t="shared" ref="B222:M222" si="18">B39+B60+B81+B102+B123+B144+B165+B186+B207</f>
        <v>0</v>
      </c>
      <c r="C222" s="9">
        <f t="shared" si="18"/>
        <v>0</v>
      </c>
      <c r="D222" s="36">
        <f t="shared" si="18"/>
        <v>0</v>
      </c>
      <c r="E222" s="35">
        <f t="shared" si="18"/>
        <v>128667.25080335949</v>
      </c>
      <c r="F222" s="9">
        <f t="shared" si="18"/>
        <v>0</v>
      </c>
      <c r="G222" s="9">
        <f t="shared" si="18"/>
        <v>0</v>
      </c>
      <c r="H222" s="9">
        <f t="shared" si="18"/>
        <v>31736.354501399786</v>
      </c>
      <c r="I222" s="9">
        <f t="shared" si="18"/>
        <v>-38083.625401679747</v>
      </c>
      <c r="J222" s="9">
        <f t="shared" si="18"/>
        <v>0</v>
      </c>
      <c r="K222" s="9">
        <f t="shared" si="18"/>
        <v>-52500</v>
      </c>
      <c r="L222" s="9">
        <f t="shared" si="18"/>
        <v>-31736.354501399786</v>
      </c>
      <c r="M222" s="9">
        <f t="shared" si="18"/>
        <v>-38083.625401679747</v>
      </c>
      <c r="N222" s="89" t="s">
        <v>181</v>
      </c>
    </row>
    <row r="223" spans="1:14" ht="19.95" customHeight="1" x14ac:dyDescent="0.3">
      <c r="B223" s="9">
        <f t="shared" ref="B223:M223" si="19">B40+B61+B82+B103+B124+B145+B166+B187+B208</f>
        <v>0</v>
      </c>
      <c r="C223" s="9">
        <f t="shared" si="19"/>
        <v>0</v>
      </c>
      <c r="D223" s="9">
        <f t="shared" si="19"/>
        <v>-63000</v>
      </c>
      <c r="E223" s="9">
        <f t="shared" si="19"/>
        <v>0</v>
      </c>
      <c r="F223" s="35">
        <f t="shared" si="19"/>
        <v>78026.376808798581</v>
      </c>
      <c r="G223" s="36">
        <f t="shared" si="19"/>
        <v>-30052.753617597173</v>
      </c>
      <c r="H223" s="9">
        <f t="shared" si="19"/>
        <v>0</v>
      </c>
      <c r="I223" s="9">
        <f t="shared" si="19"/>
        <v>0</v>
      </c>
      <c r="J223" s="9">
        <f t="shared" si="19"/>
        <v>0</v>
      </c>
      <c r="K223" s="9">
        <f t="shared" si="19"/>
        <v>0</v>
      </c>
      <c r="L223" s="9">
        <f t="shared" si="19"/>
        <v>-15026.376808798586</v>
      </c>
      <c r="M223" s="9">
        <f t="shared" si="19"/>
        <v>30052.753617597173</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-30052.753617597173</v>
      </c>
      <c r="G224" s="35">
        <f t="shared" si="20"/>
        <v>60105.507235194345</v>
      </c>
      <c r="H224" s="9">
        <f t="shared" si="20"/>
        <v>0</v>
      </c>
      <c r="I224" s="9">
        <f t="shared" si="20"/>
        <v>0</v>
      </c>
      <c r="J224" s="9">
        <f t="shared" si="20"/>
        <v>0</v>
      </c>
      <c r="K224" s="9">
        <f t="shared" si="20"/>
        <v>0</v>
      </c>
      <c r="L224" s="9">
        <f t="shared" si="20"/>
        <v>30052.753617597173</v>
      </c>
      <c r="M224" s="9">
        <f t="shared" si="20"/>
        <v>-60105.507235194345</v>
      </c>
      <c r="N224" s="89" t="s">
        <v>183</v>
      </c>
    </row>
    <row r="225" spans="1:21" ht="19.95" customHeight="1" x14ac:dyDescent="0.3">
      <c r="B225" s="9">
        <f t="shared" ref="B225:M225" si="21">B42+B63+B84+B105+B126+B147+B168+B189+B210</f>
        <v>-15026.376808798586</v>
      </c>
      <c r="C225" s="9">
        <f t="shared" si="21"/>
        <v>-30052.753617597173</v>
      </c>
      <c r="D225" s="9">
        <f t="shared" si="21"/>
        <v>-26446.962084499821</v>
      </c>
      <c r="E225" s="9">
        <f t="shared" si="21"/>
        <v>31736.354501399786</v>
      </c>
      <c r="F225" s="9">
        <f t="shared" si="21"/>
        <v>0</v>
      </c>
      <c r="G225" s="9">
        <f t="shared" si="21"/>
        <v>0</v>
      </c>
      <c r="H225" s="35">
        <f t="shared" si="21"/>
        <v>95347.589168792765</v>
      </c>
      <c r="I225" s="36">
        <f t="shared" si="21"/>
        <v>37105.85931455333</v>
      </c>
      <c r="J225" s="9">
        <f t="shared" si="21"/>
        <v>-53874.250275494363</v>
      </c>
      <c r="K225" s="9">
        <f t="shared" si="21"/>
        <v>-38789.460198355941</v>
      </c>
      <c r="L225" s="9">
        <f t="shared" si="21"/>
        <v>0</v>
      </c>
      <c r="M225" s="9">
        <f t="shared" si="21"/>
        <v>0</v>
      </c>
      <c r="N225" s="89" t="s">
        <v>184</v>
      </c>
    </row>
    <row r="226" spans="1:21" ht="19.95" customHeight="1" x14ac:dyDescent="0.3">
      <c r="B226" s="9">
        <f t="shared" ref="B226:M226" si="22">B43+B64+B85+B106+B127+B148+B169+B190+B211</f>
        <v>-30052.753617597173</v>
      </c>
      <c r="C226" s="9">
        <f t="shared" si="22"/>
        <v>-60105.507235194345</v>
      </c>
      <c r="D226" s="9">
        <f t="shared" si="22"/>
        <v>31736.354501399786</v>
      </c>
      <c r="E226" s="9">
        <f t="shared" si="22"/>
        <v>-38083.625401679747</v>
      </c>
      <c r="F226" s="9">
        <f t="shared" si="22"/>
        <v>0</v>
      </c>
      <c r="G226" s="9">
        <f t="shared" si="22"/>
        <v>0</v>
      </c>
      <c r="H226" s="36">
        <f t="shared" si="22"/>
        <v>37105.85931455333</v>
      </c>
      <c r="I226" s="35">
        <f t="shared" si="22"/>
        <v>126117.54397969038</v>
      </c>
      <c r="J226" s="9">
        <f t="shared" si="22"/>
        <v>-38789.460198355941</v>
      </c>
      <c r="K226" s="9">
        <f t="shared" si="22"/>
        <v>-27928.411342816282</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0</v>
      </c>
      <c r="G227" s="9">
        <f t="shared" si="23"/>
        <v>0</v>
      </c>
      <c r="H227" s="9">
        <f t="shared" si="23"/>
        <v>-53874.250275494363</v>
      </c>
      <c r="I227" s="9">
        <f t="shared" si="23"/>
        <v>-38789.460198355941</v>
      </c>
      <c r="J227" s="35">
        <f t="shared" si="23"/>
        <v>107748.50055098873</v>
      </c>
      <c r="K227" s="36">
        <f t="shared" si="23"/>
        <v>0</v>
      </c>
      <c r="L227" s="9">
        <f t="shared" si="23"/>
        <v>-53874.250275494363</v>
      </c>
      <c r="M227" s="9">
        <f t="shared" si="23"/>
        <v>38789.460198355941</v>
      </c>
      <c r="N227" s="89" t="s">
        <v>186</v>
      </c>
    </row>
    <row r="228" spans="1:21" ht="19.95" customHeight="1" x14ac:dyDescent="0.3">
      <c r="B228" s="9">
        <f t="shared" ref="B228:M228" si="24">B45+B66+B87+B108+B129+B150+B171+B192+B213</f>
        <v>0</v>
      </c>
      <c r="C228" s="9">
        <f t="shared" si="24"/>
        <v>0</v>
      </c>
      <c r="D228" s="9">
        <f t="shared" si="24"/>
        <v>0</v>
      </c>
      <c r="E228" s="9">
        <f t="shared" si="24"/>
        <v>-52500</v>
      </c>
      <c r="F228" s="9">
        <f t="shared" si="24"/>
        <v>0</v>
      </c>
      <c r="G228" s="9">
        <f t="shared" si="24"/>
        <v>0</v>
      </c>
      <c r="H228" s="9">
        <f t="shared" si="24"/>
        <v>-38789.460198355941</v>
      </c>
      <c r="I228" s="9">
        <f t="shared" si="24"/>
        <v>-27928.411342816282</v>
      </c>
      <c r="J228" s="36">
        <f t="shared" si="24"/>
        <v>0</v>
      </c>
      <c r="K228" s="35">
        <f t="shared" si="24"/>
        <v>108356.82268563256</v>
      </c>
      <c r="L228" s="9">
        <f t="shared" si="24"/>
        <v>38789.460198355941</v>
      </c>
      <c r="M228" s="9">
        <f t="shared" si="24"/>
        <v>-27928.411342816282</v>
      </c>
      <c r="N228" s="89" t="s">
        <v>187</v>
      </c>
    </row>
    <row r="229" spans="1:21" ht="19.95" customHeight="1" x14ac:dyDescent="0.3">
      <c r="B229" s="9">
        <f t="shared" ref="B229:M229" si="25">B46+B67+B88+B109+B130+B151+B172+B193+B214</f>
        <v>0</v>
      </c>
      <c r="C229" s="9">
        <f t="shared" si="25"/>
        <v>0</v>
      </c>
      <c r="D229" s="9">
        <f t="shared" si="25"/>
        <v>-26446.962084499821</v>
      </c>
      <c r="E229" s="9">
        <f t="shared" si="25"/>
        <v>-31736.354501399786</v>
      </c>
      <c r="F229" s="9">
        <f t="shared" si="25"/>
        <v>-15026.376808798586</v>
      </c>
      <c r="G229" s="9">
        <f t="shared" si="25"/>
        <v>30052.753617597173</v>
      </c>
      <c r="H229" s="9">
        <f t="shared" si="25"/>
        <v>0</v>
      </c>
      <c r="I229" s="9">
        <f t="shared" si="25"/>
        <v>0</v>
      </c>
      <c r="J229" s="9">
        <f t="shared" si="25"/>
        <v>-53874.250275494363</v>
      </c>
      <c r="K229" s="9">
        <f t="shared" si="25"/>
        <v>38789.460198355941</v>
      </c>
      <c r="L229" s="35">
        <f t="shared" si="25"/>
        <v>95347.589168792765</v>
      </c>
      <c r="M229" s="36">
        <f t="shared" si="25"/>
        <v>-37105.85931455333</v>
      </c>
      <c r="N229" s="89" t="s">
        <v>188</v>
      </c>
    </row>
    <row r="230" spans="1:21" ht="19.95" customHeight="1" x14ac:dyDescent="0.3">
      <c r="B230" s="9">
        <f t="shared" ref="B230:M230" si="26">B47+B68+B89+B110+B131+B152+B173+B194+B215</f>
        <v>0</v>
      </c>
      <c r="C230" s="9">
        <f t="shared" si="26"/>
        <v>0</v>
      </c>
      <c r="D230" s="9">
        <f t="shared" si="26"/>
        <v>-31736.354501399786</v>
      </c>
      <c r="E230" s="9">
        <f t="shared" si="26"/>
        <v>-38083.625401679747</v>
      </c>
      <c r="F230" s="9">
        <f t="shared" si="26"/>
        <v>30052.753617597173</v>
      </c>
      <c r="G230" s="9">
        <f t="shared" si="26"/>
        <v>-60105.507235194345</v>
      </c>
      <c r="H230" s="9">
        <f t="shared" si="26"/>
        <v>0</v>
      </c>
      <c r="I230" s="9">
        <f t="shared" si="26"/>
        <v>0</v>
      </c>
      <c r="J230" s="9">
        <f t="shared" si="26"/>
        <v>38789.460198355941</v>
      </c>
      <c r="K230" s="9">
        <f t="shared" si="26"/>
        <v>-27928.411342816282</v>
      </c>
      <c r="L230" s="36">
        <f t="shared" si="26"/>
        <v>-37105.85931455333</v>
      </c>
      <c r="M230" s="35">
        <f t="shared" si="26"/>
        <v>126117.54397969038</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IF(GRAFICA_31!F14=1, B234, GRAFICA_31!H14)</f>
        <v>C1X</v>
      </c>
      <c r="P234" s="215" t="s">
        <v>376</v>
      </c>
      <c r="Q234" s="172"/>
      <c r="R234" s="172"/>
      <c r="S234" s="172"/>
      <c r="T234" s="172"/>
      <c r="U234" s="173"/>
    </row>
    <row r="235" spans="1:21" ht="16.95" customHeight="1" x14ac:dyDescent="0.3">
      <c r="B235" s="12" t="s">
        <v>210</v>
      </c>
      <c r="C235" s="12" t="s">
        <v>179</v>
      </c>
      <c r="E235" s="37" t="str">
        <f>IF(GRAFICA_31!G14=1, B235, GRAFICA_31!I14)</f>
        <v>C1Y</v>
      </c>
      <c r="P235" s="215" t="s">
        <v>211</v>
      </c>
      <c r="Q235" s="172"/>
      <c r="R235" s="172"/>
      <c r="S235" s="172"/>
      <c r="T235" s="172"/>
      <c r="U235" s="173"/>
    </row>
    <row r="236" spans="1:21" ht="16.95" customHeight="1" x14ac:dyDescent="0.3">
      <c r="B236" s="12" t="s">
        <v>212</v>
      </c>
      <c r="C236" s="12" t="s">
        <v>180</v>
      </c>
      <c r="E236" s="37">
        <f>IF(GRAFICA_31!F15=1, B236, GRAFICA_31!H15)</f>
        <v>0</v>
      </c>
      <c r="P236" s="215" t="s">
        <v>377</v>
      </c>
      <c r="Q236" s="172"/>
      <c r="R236" s="172"/>
      <c r="S236" s="172"/>
      <c r="T236" s="172"/>
      <c r="U236" s="173"/>
    </row>
    <row r="237" spans="1:21" ht="16.95" customHeight="1" x14ac:dyDescent="0.3">
      <c r="B237" s="12" t="s">
        <v>214</v>
      </c>
      <c r="C237" s="12" t="s">
        <v>181</v>
      </c>
      <c r="E237" s="37">
        <f>IF(GRAFICA_31!G15=1, B237, GRAFICA_31!I15)</f>
        <v>-5000</v>
      </c>
      <c r="P237" s="215" t="s">
        <v>215</v>
      </c>
      <c r="Q237" s="172"/>
      <c r="R237" s="172"/>
      <c r="S237" s="172"/>
      <c r="T237" s="172"/>
      <c r="U237" s="173"/>
    </row>
    <row r="238" spans="1:21" ht="16.95" customHeight="1" x14ac:dyDescent="0.3">
      <c r="B238" s="12" t="s">
        <v>216</v>
      </c>
      <c r="C238" s="12" t="s">
        <v>182</v>
      </c>
      <c r="E238" s="37">
        <f>IF(GRAFICA_31!F16=1, B238, GRAFICA_31!H16)</f>
        <v>0</v>
      </c>
      <c r="P238" s="215" t="s">
        <v>378</v>
      </c>
      <c r="Q238" s="172"/>
      <c r="R238" s="172"/>
      <c r="S238" s="172"/>
      <c r="T238" s="172"/>
      <c r="U238" s="173"/>
    </row>
    <row r="239" spans="1:21" ht="16.95" customHeight="1" x14ac:dyDescent="0.3">
      <c r="A239" s="38" t="s">
        <v>218</v>
      </c>
      <c r="B239" s="12" t="s">
        <v>219</v>
      </c>
      <c r="C239" s="12" t="s">
        <v>183</v>
      </c>
      <c r="D239" s="13" t="s">
        <v>220</v>
      </c>
      <c r="E239" s="37" t="str">
        <f>IF(GRAFICA_31!G16=1, B239, GRAFICA_31!I16)</f>
        <v>C3Y</v>
      </c>
      <c r="P239" s="215" t="s">
        <v>379</v>
      </c>
      <c r="Q239" s="172"/>
      <c r="R239" s="172"/>
      <c r="S239" s="172"/>
      <c r="T239" s="172"/>
      <c r="U239" s="173"/>
    </row>
    <row r="240" spans="1:21" ht="16.95" customHeight="1" x14ac:dyDescent="0.3">
      <c r="B240" s="12" t="s">
        <v>221</v>
      </c>
      <c r="C240" s="12" t="s">
        <v>184</v>
      </c>
      <c r="E240" s="37">
        <f>IF(GRAFICA_31!F17=1, B240, GRAFICA_31!H17)</f>
        <v>1500</v>
      </c>
      <c r="P240" s="215"/>
      <c r="Q240" s="172"/>
      <c r="R240" s="172"/>
      <c r="S240" s="172"/>
      <c r="T240" s="172"/>
      <c r="U240" s="173"/>
    </row>
    <row r="241" spans="1:21" ht="16.95" customHeight="1" x14ac:dyDescent="0.3">
      <c r="B241" s="12" t="s">
        <v>222</v>
      </c>
      <c r="C241" s="12" t="s">
        <v>185</v>
      </c>
      <c r="E241" s="37">
        <f>IF(GRAFICA_31!G17=1, B241, GRAFICA_31!I17)</f>
        <v>-4000</v>
      </c>
      <c r="P241" s="215"/>
      <c r="Q241" s="172"/>
      <c r="R241" s="172"/>
      <c r="S241" s="172"/>
      <c r="T241" s="172"/>
      <c r="U241" s="173"/>
    </row>
    <row r="242" spans="1:21" ht="16.95" customHeight="1" x14ac:dyDescent="0.3">
      <c r="B242" s="12" t="s">
        <v>223</v>
      </c>
      <c r="C242" s="12" t="s">
        <v>186</v>
      </c>
      <c r="E242" s="37">
        <f>IF(GRAFICA_31!F18=1, B242, GRAFICA_31!H18)</f>
        <v>0</v>
      </c>
      <c r="P242" s="215"/>
      <c r="Q242" s="172"/>
      <c r="R242" s="172"/>
      <c r="S242" s="172"/>
      <c r="T242" s="172"/>
      <c r="U242" s="173"/>
    </row>
    <row r="243" spans="1:21" ht="16.95" customHeight="1" x14ac:dyDescent="0.3">
      <c r="B243" s="12" t="s">
        <v>224</v>
      </c>
      <c r="C243" s="12" t="s">
        <v>187</v>
      </c>
      <c r="E243" s="37">
        <f>IF(GRAFICA_31!G18=1, B243, GRAFICA_31!I18)</f>
        <v>-7500</v>
      </c>
      <c r="P243" s="215"/>
      <c r="Q243" s="172"/>
      <c r="R243" s="172"/>
      <c r="S243" s="172"/>
      <c r="T243" s="172"/>
      <c r="U243" s="173"/>
    </row>
    <row r="244" spans="1:21" ht="16.95" customHeight="1" x14ac:dyDescent="0.3">
      <c r="B244" s="12" t="s">
        <v>225</v>
      </c>
      <c r="C244" s="12" t="s">
        <v>188</v>
      </c>
      <c r="E244" s="37">
        <f>IF(GRAFICA_31!F19=1, B244, GRAFICA_31!H19)</f>
        <v>-1500</v>
      </c>
      <c r="P244" s="215"/>
      <c r="Q244" s="172"/>
      <c r="R244" s="172"/>
      <c r="S244" s="172"/>
      <c r="T244" s="172"/>
      <c r="U244" s="173"/>
    </row>
    <row r="245" spans="1:21" ht="16.95" customHeight="1" x14ac:dyDescent="0.3">
      <c r="B245" s="12" t="s">
        <v>226</v>
      </c>
      <c r="C245" s="12" t="s">
        <v>189</v>
      </c>
      <c r="E245" s="37">
        <f>IF(GRAFICA_31!G19=1, B245, GRAFICA_31!I19)</f>
        <v>-4000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IF(GRAFICA_31!F14=1,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IF(GRAFICA_31!G14=1,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IF(GRAFICA_31!F15=1,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IF(GRAFICA_31!G15=1,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IF(GRAFICA_31!F16=1,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f>IF(GRAFICA_31!G16=1, 0, B253)</f>
        <v>0</v>
      </c>
      <c r="F253" s="14" t="str">
        <f>IF(E253&lt;&gt;0, COUNTIF(E$248:E253, "&lt;&gt;0"), "")</f>
        <v/>
      </c>
      <c r="G253" s="14">
        <f>IF(E253=0, COUNTIF(E$248:E253, 0), "")</f>
        <v>3</v>
      </c>
      <c r="P253" s="215"/>
      <c r="Q253" s="172"/>
      <c r="R253" s="172"/>
      <c r="S253" s="172"/>
      <c r="T253" s="172"/>
      <c r="U253" s="173"/>
    </row>
    <row r="254" spans="1:21" ht="16.95" customHeight="1" x14ac:dyDescent="0.3">
      <c r="B254" s="12" t="s">
        <v>235</v>
      </c>
      <c r="C254" s="12" t="s">
        <v>184</v>
      </c>
      <c r="E254" s="39" t="str">
        <f>IF(GRAFICA_31!F17=1, 0, B254)</f>
        <v>D4X</v>
      </c>
      <c r="F254" s="14">
        <f>IF(E254&lt;&gt;0, COUNTIF(E$248:E254, "&lt;&gt;0"), "")</f>
        <v>4</v>
      </c>
      <c r="G254" s="14" t="str">
        <f>IF(E254=0, COUNTIF(E$248:E254, 0), "")</f>
        <v/>
      </c>
      <c r="P254" s="215"/>
      <c r="Q254" s="172"/>
      <c r="R254" s="172"/>
      <c r="S254" s="172"/>
      <c r="T254" s="172"/>
      <c r="U254" s="173"/>
    </row>
    <row r="255" spans="1:21" ht="16.95" customHeight="1" x14ac:dyDescent="0.3">
      <c r="B255" s="12" t="s">
        <v>236</v>
      </c>
      <c r="C255" s="12" t="s">
        <v>185</v>
      </c>
      <c r="E255" s="39" t="str">
        <f>IF(GRAFICA_31!G17=1, 0, B255)</f>
        <v>D4Y</v>
      </c>
      <c r="F255" s="14">
        <f>IF(E255&lt;&gt;0, COUNTIF(E$248:E255, "&lt;&gt;0"), "")</f>
        <v>5</v>
      </c>
      <c r="G255" s="14" t="str">
        <f>IF(E255=0, COUNTIF(E$248:E255, 0), "")</f>
        <v/>
      </c>
      <c r="P255" s="215"/>
      <c r="Q255" s="172"/>
      <c r="R255" s="172"/>
      <c r="S255" s="172"/>
      <c r="T255" s="172"/>
      <c r="U255" s="173"/>
    </row>
    <row r="256" spans="1:21" ht="16.95" customHeight="1" x14ac:dyDescent="0.3">
      <c r="B256" s="12" t="s">
        <v>237</v>
      </c>
      <c r="C256" s="12" t="s">
        <v>186</v>
      </c>
      <c r="E256" s="39" t="str">
        <f>IF(GRAFICA_31!F18=1,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IF(GRAFICA_31!G18=1,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IF(GRAFICA_31!F19=1,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IF(GRAFICA_31!G19=1,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78026.376808798581</v>
      </c>
      <c r="D264" s="9">
        <f t="shared" si="28"/>
        <v>30052.753617597173</v>
      </c>
      <c r="E264" s="9">
        <f t="shared" si="28"/>
        <v>-63000</v>
      </c>
      <c r="F264" s="9">
        <f t="shared" si="28"/>
        <v>0</v>
      </c>
      <c r="G264" s="9">
        <f t="shared" si="28"/>
        <v>0</v>
      </c>
      <c r="H264" s="9">
        <f t="shared" si="28"/>
        <v>0</v>
      </c>
      <c r="I264" s="9">
        <f t="shared" si="28"/>
        <v>-15026.376808798586</v>
      </c>
      <c r="J264" s="9">
        <f t="shared" si="28"/>
        <v>-30052.753617597173</v>
      </c>
      <c r="K264" s="9">
        <f t="shared" si="28"/>
        <v>0</v>
      </c>
      <c r="L264" s="9">
        <f t="shared" si="28"/>
        <v>0</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30052.753617597173</v>
      </c>
      <c r="D265" s="9">
        <f t="shared" si="29"/>
        <v>60105.507235194345</v>
      </c>
      <c r="E265" s="9">
        <f t="shared" si="29"/>
        <v>0</v>
      </c>
      <c r="F265" s="9">
        <f t="shared" si="29"/>
        <v>0</v>
      </c>
      <c r="G265" s="9">
        <f t="shared" si="29"/>
        <v>0</v>
      </c>
      <c r="H265" s="9">
        <f t="shared" si="29"/>
        <v>0</v>
      </c>
      <c r="I265" s="9">
        <f t="shared" si="29"/>
        <v>-30052.753617597173</v>
      </c>
      <c r="J265" s="9">
        <f t="shared" si="29"/>
        <v>-60105.507235194345</v>
      </c>
      <c r="K265" s="9">
        <f t="shared" si="29"/>
        <v>0</v>
      </c>
      <c r="L265" s="9">
        <f t="shared" si="29"/>
        <v>0</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-63000</v>
      </c>
      <c r="D266" s="9">
        <f t="shared" si="30"/>
        <v>0</v>
      </c>
      <c r="E266" s="41">
        <f t="shared" si="30"/>
        <v>178893.92416899966</v>
      </c>
      <c r="F266" s="41">
        <f t="shared" si="30"/>
        <v>0</v>
      </c>
      <c r="G266" s="41">
        <f t="shared" si="30"/>
        <v>-63000</v>
      </c>
      <c r="H266" s="9">
        <f t="shared" si="30"/>
        <v>0</v>
      </c>
      <c r="I266" s="41">
        <f t="shared" si="30"/>
        <v>-26446.962084499821</v>
      </c>
      <c r="J266" s="41">
        <f t="shared" si="30"/>
        <v>31736.354501399786</v>
      </c>
      <c r="K266" s="41">
        <f t="shared" si="30"/>
        <v>0</v>
      </c>
      <c r="L266" s="41">
        <f t="shared" si="30"/>
        <v>0</v>
      </c>
      <c r="M266" s="41">
        <f t="shared" si="30"/>
        <v>-26446.962084499821</v>
      </c>
      <c r="N266" s="41">
        <f t="shared" si="30"/>
        <v>-31736.354501399786</v>
      </c>
      <c r="O266" s="13" t="s">
        <v>251</v>
      </c>
      <c r="P266" s="215" t="s">
        <v>254</v>
      </c>
      <c r="Q266" s="172"/>
      <c r="R266" s="172"/>
      <c r="S266" s="172"/>
      <c r="T266" s="172"/>
      <c r="U266" s="173"/>
    </row>
    <row r="267" spans="1:21" ht="16.95" customHeight="1" x14ac:dyDescent="0.3">
      <c r="A267" s="41">
        <f t="shared" si="27"/>
        <v>-5000</v>
      </c>
      <c r="C267" s="9">
        <f t="shared" ref="C267:N267" si="31">B222</f>
        <v>0</v>
      </c>
      <c r="D267" s="9">
        <f t="shared" si="31"/>
        <v>0</v>
      </c>
      <c r="E267" s="41">
        <f t="shared" si="31"/>
        <v>0</v>
      </c>
      <c r="F267" s="41">
        <f t="shared" si="31"/>
        <v>128667.25080335949</v>
      </c>
      <c r="G267" s="41">
        <f t="shared" si="31"/>
        <v>0</v>
      </c>
      <c r="H267" s="9">
        <f t="shared" si="31"/>
        <v>0</v>
      </c>
      <c r="I267" s="41">
        <f t="shared" si="31"/>
        <v>31736.354501399786</v>
      </c>
      <c r="J267" s="41">
        <f t="shared" si="31"/>
        <v>-38083.625401679747</v>
      </c>
      <c r="K267" s="41">
        <f t="shared" si="31"/>
        <v>0</v>
      </c>
      <c r="L267" s="41">
        <f t="shared" si="31"/>
        <v>-52500</v>
      </c>
      <c r="M267" s="41">
        <f t="shared" si="31"/>
        <v>-31736.354501399786</v>
      </c>
      <c r="N267" s="41">
        <f t="shared" si="31"/>
        <v>-38083.625401679747</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-63000</v>
      </c>
      <c r="F268" s="41">
        <f t="shared" si="32"/>
        <v>0</v>
      </c>
      <c r="G268" s="41">
        <f t="shared" si="32"/>
        <v>78026.376808798581</v>
      </c>
      <c r="H268" s="9">
        <f t="shared" si="32"/>
        <v>-30052.753617597173</v>
      </c>
      <c r="I268" s="41">
        <f t="shared" si="32"/>
        <v>0</v>
      </c>
      <c r="J268" s="41">
        <f t="shared" si="32"/>
        <v>0</v>
      </c>
      <c r="K268" s="41">
        <f t="shared" si="32"/>
        <v>0</v>
      </c>
      <c r="L268" s="41">
        <f t="shared" si="32"/>
        <v>0</v>
      </c>
      <c r="M268" s="41">
        <f t="shared" si="32"/>
        <v>-15026.376808798586</v>
      </c>
      <c r="N268" s="41">
        <f t="shared" si="32"/>
        <v>30052.753617597173</v>
      </c>
      <c r="O268" s="13" t="s">
        <v>251</v>
      </c>
      <c r="P268" s="215" t="s">
        <v>382</v>
      </c>
      <c r="Q268" s="172"/>
      <c r="R268" s="172"/>
      <c r="S268" s="172"/>
      <c r="T268" s="172"/>
      <c r="U268" s="173"/>
    </row>
    <row r="269" spans="1:21" ht="16.95" customHeight="1" x14ac:dyDescent="0.3">
      <c r="A269" s="12" t="str">
        <f t="shared" si="27"/>
        <v>C3Y</v>
      </c>
      <c r="C269" s="9">
        <f t="shared" ref="C269:N269" si="33">B224</f>
        <v>0</v>
      </c>
      <c r="D269" s="9">
        <f t="shared" si="33"/>
        <v>0</v>
      </c>
      <c r="E269" s="9">
        <f t="shared" si="33"/>
        <v>0</v>
      </c>
      <c r="F269" s="9">
        <f t="shared" si="33"/>
        <v>0</v>
      </c>
      <c r="G269" s="9">
        <f t="shared" si="33"/>
        <v>-30052.753617597173</v>
      </c>
      <c r="H269" s="9">
        <f t="shared" si="33"/>
        <v>60105.507235194345</v>
      </c>
      <c r="I269" s="9">
        <f t="shared" si="33"/>
        <v>0</v>
      </c>
      <c r="J269" s="9">
        <f t="shared" si="33"/>
        <v>0</v>
      </c>
      <c r="K269" s="9">
        <f t="shared" si="33"/>
        <v>0</v>
      </c>
      <c r="L269" s="9">
        <f t="shared" si="33"/>
        <v>0</v>
      </c>
      <c r="M269" s="9">
        <f t="shared" si="33"/>
        <v>30052.753617597173</v>
      </c>
      <c r="N269" s="9">
        <f t="shared" si="33"/>
        <v>-60105.507235194345</v>
      </c>
      <c r="O269" s="13" t="s">
        <v>251</v>
      </c>
      <c r="P269" s="219">
        <f t="shared" ref="P269:P275" si="34">E253</f>
        <v>0</v>
      </c>
      <c r="Q269" s="172"/>
      <c r="R269" s="172"/>
      <c r="S269" s="172"/>
      <c r="T269" s="172"/>
      <c r="U269" s="173"/>
    </row>
    <row r="270" spans="1:21" ht="16.95" customHeight="1" x14ac:dyDescent="0.3">
      <c r="A270" s="41">
        <f t="shared" si="27"/>
        <v>1500</v>
      </c>
      <c r="B270" s="13" t="s">
        <v>220</v>
      </c>
      <c r="C270" s="9">
        <f t="shared" ref="C270:N270" si="35">B225</f>
        <v>-15026.376808798586</v>
      </c>
      <c r="D270" s="9">
        <f t="shared" si="35"/>
        <v>-30052.753617597173</v>
      </c>
      <c r="E270" s="41">
        <f t="shared" si="35"/>
        <v>-26446.962084499821</v>
      </c>
      <c r="F270" s="41">
        <f t="shared" si="35"/>
        <v>31736.354501399786</v>
      </c>
      <c r="G270" s="41">
        <f t="shared" si="35"/>
        <v>0</v>
      </c>
      <c r="H270" s="9">
        <f t="shared" si="35"/>
        <v>0</v>
      </c>
      <c r="I270" s="41">
        <f t="shared" si="35"/>
        <v>95347.589168792765</v>
      </c>
      <c r="J270" s="41">
        <f t="shared" si="35"/>
        <v>37105.85931455333</v>
      </c>
      <c r="K270" s="41">
        <f t="shared" si="35"/>
        <v>-53874.250275494363</v>
      </c>
      <c r="L270" s="41">
        <f t="shared" si="35"/>
        <v>-38789.460198355941</v>
      </c>
      <c r="M270" s="41">
        <f t="shared" si="35"/>
        <v>0</v>
      </c>
      <c r="N270" s="41">
        <f t="shared" si="35"/>
        <v>0</v>
      </c>
      <c r="O270" s="13" t="s">
        <v>251</v>
      </c>
      <c r="P270" s="215" t="str">
        <f t="shared" si="34"/>
        <v>D4X</v>
      </c>
      <c r="Q270" s="172"/>
      <c r="R270" s="172"/>
      <c r="S270" s="172"/>
      <c r="T270" s="172"/>
      <c r="U270" s="173"/>
    </row>
    <row r="271" spans="1:21" ht="16.95" customHeight="1" x14ac:dyDescent="0.3">
      <c r="A271" s="41">
        <f t="shared" si="27"/>
        <v>-4000</v>
      </c>
      <c r="C271" s="9">
        <f t="shared" ref="C271:N271" si="36">B226</f>
        <v>-30052.753617597173</v>
      </c>
      <c r="D271" s="9">
        <f t="shared" si="36"/>
        <v>-60105.507235194345</v>
      </c>
      <c r="E271" s="41">
        <f t="shared" si="36"/>
        <v>31736.354501399786</v>
      </c>
      <c r="F271" s="41">
        <f t="shared" si="36"/>
        <v>-38083.625401679747</v>
      </c>
      <c r="G271" s="41">
        <f t="shared" si="36"/>
        <v>0</v>
      </c>
      <c r="H271" s="9">
        <f t="shared" si="36"/>
        <v>0</v>
      </c>
      <c r="I271" s="41">
        <f t="shared" si="36"/>
        <v>37105.85931455333</v>
      </c>
      <c r="J271" s="41">
        <f t="shared" si="36"/>
        <v>126117.54397969038</v>
      </c>
      <c r="K271" s="41">
        <f t="shared" si="36"/>
        <v>-38789.460198355941</v>
      </c>
      <c r="L271" s="41">
        <f t="shared" si="36"/>
        <v>-27928.411342816282</v>
      </c>
      <c r="M271" s="41">
        <f t="shared" si="36"/>
        <v>0</v>
      </c>
      <c r="N271" s="41">
        <f t="shared" si="36"/>
        <v>0</v>
      </c>
      <c r="O271" s="13" t="s">
        <v>251</v>
      </c>
      <c r="P271" s="215" t="str">
        <f t="shared" si="34"/>
        <v>D4Y</v>
      </c>
      <c r="Q271" s="172"/>
      <c r="R271" s="172"/>
      <c r="S271" s="172"/>
      <c r="T271" s="172"/>
      <c r="U271" s="173"/>
    </row>
    <row r="272" spans="1:21" ht="16.95" customHeight="1" x14ac:dyDescent="0.3">
      <c r="A272" s="41">
        <f t="shared" si="27"/>
        <v>0</v>
      </c>
      <c r="C272" s="9">
        <f t="shared" ref="C272:N272" si="37">B227</f>
        <v>0</v>
      </c>
      <c r="D272" s="9">
        <f t="shared" si="37"/>
        <v>0</v>
      </c>
      <c r="E272" s="41">
        <f t="shared" si="37"/>
        <v>0</v>
      </c>
      <c r="F272" s="41">
        <f t="shared" si="37"/>
        <v>0</v>
      </c>
      <c r="G272" s="41">
        <f t="shared" si="37"/>
        <v>0</v>
      </c>
      <c r="H272" s="9">
        <f t="shared" si="37"/>
        <v>0</v>
      </c>
      <c r="I272" s="41">
        <f t="shared" si="37"/>
        <v>-53874.250275494363</v>
      </c>
      <c r="J272" s="41">
        <f t="shared" si="37"/>
        <v>-38789.460198355941</v>
      </c>
      <c r="K272" s="41">
        <f t="shared" si="37"/>
        <v>107748.50055098873</v>
      </c>
      <c r="L272" s="41">
        <f t="shared" si="37"/>
        <v>0</v>
      </c>
      <c r="M272" s="41">
        <f t="shared" si="37"/>
        <v>-53874.250275494363</v>
      </c>
      <c r="N272" s="41">
        <f t="shared" si="37"/>
        <v>38789.460198355941</v>
      </c>
      <c r="O272" s="13" t="s">
        <v>251</v>
      </c>
      <c r="P272" s="215" t="str">
        <f t="shared" si="34"/>
        <v>D5X</v>
      </c>
      <c r="Q272" s="172"/>
      <c r="R272" s="172"/>
      <c r="S272" s="172"/>
      <c r="T272" s="172"/>
      <c r="U272" s="173"/>
    </row>
    <row r="273" spans="1:21" ht="16.95" customHeight="1" x14ac:dyDescent="0.3">
      <c r="A273" s="41">
        <f t="shared" si="27"/>
        <v>-7500</v>
      </c>
      <c r="C273" s="9">
        <f t="shared" ref="C273:N273" si="38">B228</f>
        <v>0</v>
      </c>
      <c r="D273" s="9">
        <f t="shared" si="38"/>
        <v>0</v>
      </c>
      <c r="E273" s="41">
        <f t="shared" si="38"/>
        <v>0</v>
      </c>
      <c r="F273" s="41">
        <f t="shared" si="38"/>
        <v>-52500</v>
      </c>
      <c r="G273" s="41">
        <f t="shared" si="38"/>
        <v>0</v>
      </c>
      <c r="H273" s="9">
        <f t="shared" si="38"/>
        <v>0</v>
      </c>
      <c r="I273" s="41">
        <f t="shared" si="38"/>
        <v>-38789.460198355941</v>
      </c>
      <c r="J273" s="41">
        <f t="shared" si="38"/>
        <v>-27928.411342816282</v>
      </c>
      <c r="K273" s="41">
        <f t="shared" si="38"/>
        <v>0</v>
      </c>
      <c r="L273" s="41">
        <f t="shared" si="38"/>
        <v>108356.82268563256</v>
      </c>
      <c r="M273" s="41">
        <f t="shared" si="38"/>
        <v>38789.460198355941</v>
      </c>
      <c r="N273" s="41">
        <f t="shared" si="38"/>
        <v>-27928.411342816282</v>
      </c>
      <c r="O273" s="13" t="s">
        <v>251</v>
      </c>
      <c r="P273" s="215" t="str">
        <f t="shared" si="34"/>
        <v>D5Y</v>
      </c>
      <c r="Q273" s="172"/>
      <c r="R273" s="172"/>
      <c r="S273" s="172"/>
      <c r="T273" s="172"/>
      <c r="U273" s="173"/>
    </row>
    <row r="274" spans="1:21" ht="16.95" customHeight="1" x14ac:dyDescent="0.3">
      <c r="A274" s="41">
        <f t="shared" si="27"/>
        <v>-1500</v>
      </c>
      <c r="C274" s="9">
        <f t="shared" ref="C274:N274" si="39">B229</f>
        <v>0</v>
      </c>
      <c r="D274" s="9">
        <f t="shared" si="39"/>
        <v>0</v>
      </c>
      <c r="E274" s="41">
        <f t="shared" si="39"/>
        <v>-26446.962084499821</v>
      </c>
      <c r="F274" s="41">
        <f t="shared" si="39"/>
        <v>-31736.354501399786</v>
      </c>
      <c r="G274" s="41">
        <f t="shared" si="39"/>
        <v>-15026.376808798586</v>
      </c>
      <c r="H274" s="9">
        <f t="shared" si="39"/>
        <v>30052.753617597173</v>
      </c>
      <c r="I274" s="41">
        <f t="shared" si="39"/>
        <v>0</v>
      </c>
      <c r="J274" s="41">
        <f t="shared" si="39"/>
        <v>0</v>
      </c>
      <c r="K274" s="41">
        <f t="shared" si="39"/>
        <v>-53874.250275494363</v>
      </c>
      <c r="L274" s="41">
        <f t="shared" si="39"/>
        <v>38789.460198355941</v>
      </c>
      <c r="M274" s="41">
        <f t="shared" si="39"/>
        <v>95347.589168792765</v>
      </c>
      <c r="N274" s="41">
        <f t="shared" si="39"/>
        <v>-37105.85931455333</v>
      </c>
      <c r="O274" s="13" t="s">
        <v>251</v>
      </c>
      <c r="P274" s="215" t="str">
        <f t="shared" si="34"/>
        <v>D6X</v>
      </c>
      <c r="Q274" s="172"/>
      <c r="R274" s="172"/>
      <c r="S274" s="172"/>
      <c r="T274" s="172"/>
      <c r="U274" s="173"/>
    </row>
    <row r="275" spans="1:21" ht="16.95" customHeight="1" x14ac:dyDescent="0.3">
      <c r="A275" s="41">
        <f t="shared" si="27"/>
        <v>-4000</v>
      </c>
      <c r="C275" s="9">
        <f t="shared" ref="C275:N275" si="40">B230</f>
        <v>0</v>
      </c>
      <c r="D275" s="9">
        <f t="shared" si="40"/>
        <v>0</v>
      </c>
      <c r="E275" s="41">
        <f t="shared" si="40"/>
        <v>-31736.354501399786</v>
      </c>
      <c r="F275" s="41">
        <f t="shared" si="40"/>
        <v>-38083.625401679747</v>
      </c>
      <c r="G275" s="41">
        <f t="shared" si="40"/>
        <v>30052.753617597173</v>
      </c>
      <c r="H275" s="9">
        <f t="shared" si="40"/>
        <v>-60105.507235194345</v>
      </c>
      <c r="I275" s="41">
        <f t="shared" si="40"/>
        <v>0</v>
      </c>
      <c r="J275" s="41">
        <f t="shared" si="40"/>
        <v>0</v>
      </c>
      <c r="K275" s="41">
        <f t="shared" si="40"/>
        <v>38789.460198355941</v>
      </c>
      <c r="L275" s="41">
        <f t="shared" si="40"/>
        <v>-27928.411342816282</v>
      </c>
      <c r="M275" s="41">
        <f t="shared" si="40"/>
        <v>-37105.85931455333</v>
      </c>
      <c r="N275" s="41">
        <f t="shared" si="40"/>
        <v>126117.54397969038</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178893.92416899966</v>
      </c>
      <c r="D280" s="41">
        <f t="shared" si="42"/>
        <v>0</v>
      </c>
      <c r="E280" s="41">
        <f t="shared" si="42"/>
        <v>-63000</v>
      </c>
      <c r="F280" s="41">
        <f t="shared" si="42"/>
        <v>-26446.962084499821</v>
      </c>
      <c r="G280" s="41">
        <f t="shared" si="42"/>
        <v>31736.354501399786</v>
      </c>
      <c r="H280" s="41">
        <f t="shared" si="42"/>
        <v>0</v>
      </c>
      <c r="I280" s="41">
        <f t="shared" si="42"/>
        <v>0</v>
      </c>
      <c r="J280" s="41">
        <f t="shared" si="42"/>
        <v>-26446.962084499821</v>
      </c>
      <c r="K280" s="41">
        <f t="shared" si="42"/>
        <v>-31736.354501399786</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-5000</v>
      </c>
      <c r="C281" s="41">
        <f t="shared" si="42"/>
        <v>0</v>
      </c>
      <c r="D281" s="41">
        <f t="shared" si="42"/>
        <v>128667.25080335949</v>
      </c>
      <c r="E281" s="41">
        <f t="shared" si="42"/>
        <v>0</v>
      </c>
      <c r="F281" s="41">
        <f t="shared" si="42"/>
        <v>31736.354501399786</v>
      </c>
      <c r="G281" s="41">
        <f t="shared" si="42"/>
        <v>-38083.625401679747</v>
      </c>
      <c r="H281" s="41">
        <f t="shared" si="42"/>
        <v>0</v>
      </c>
      <c r="I281" s="41">
        <f t="shared" si="42"/>
        <v>-52500</v>
      </c>
      <c r="J281" s="41">
        <f t="shared" si="42"/>
        <v>-31736.354501399786</v>
      </c>
      <c r="K281" s="41">
        <f t="shared" si="42"/>
        <v>-38083.625401679747</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-63000</v>
      </c>
      <c r="D282" s="41">
        <f t="shared" si="42"/>
        <v>0</v>
      </c>
      <c r="E282" s="41">
        <f t="shared" si="42"/>
        <v>78026.376808798581</v>
      </c>
      <c r="F282" s="41">
        <f t="shared" si="42"/>
        <v>0</v>
      </c>
      <c r="G282" s="41">
        <f t="shared" si="42"/>
        <v>0</v>
      </c>
      <c r="H282" s="41">
        <f t="shared" si="42"/>
        <v>0</v>
      </c>
      <c r="I282" s="41">
        <f t="shared" si="42"/>
        <v>0</v>
      </c>
      <c r="J282" s="41">
        <f t="shared" si="42"/>
        <v>-15026.376808798586</v>
      </c>
      <c r="K282" s="41">
        <f t="shared" si="42"/>
        <v>30052.753617597173</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1500</v>
      </c>
      <c r="C283" s="41">
        <f t="shared" si="42"/>
        <v>-26446.962084499821</v>
      </c>
      <c r="D283" s="41">
        <f t="shared" si="42"/>
        <v>31736.354501399786</v>
      </c>
      <c r="E283" s="41">
        <f t="shared" si="42"/>
        <v>0</v>
      </c>
      <c r="F283" s="41">
        <f t="shared" si="42"/>
        <v>95347.589168792765</v>
      </c>
      <c r="G283" s="41">
        <f t="shared" si="42"/>
        <v>37105.85931455333</v>
      </c>
      <c r="H283" s="41">
        <f t="shared" si="42"/>
        <v>-53874.250275494363</v>
      </c>
      <c r="I283" s="41">
        <f t="shared" si="42"/>
        <v>-38789.460198355941</v>
      </c>
      <c r="J283" s="41">
        <f t="shared" si="42"/>
        <v>0</v>
      </c>
      <c r="K283" s="41">
        <f t="shared" si="42"/>
        <v>0</v>
      </c>
      <c r="L283" s="13" t="s">
        <v>251</v>
      </c>
      <c r="M283" s="38" t="str">
        <f>INDEX(B$248:B$259, MATCH(4, F$248:F$259, 0))</f>
        <v>D4X</v>
      </c>
      <c r="N283" s="14" t="str">
        <f>INDEX(C$248:C$259, MATCH(4, F$248:F$259, 0))</f>
        <v>U4X</v>
      </c>
      <c r="P283" s="215" t="s">
        <v>387</v>
      </c>
      <c r="Q283" s="172"/>
      <c r="R283" s="172"/>
      <c r="S283" s="172"/>
      <c r="T283" s="172"/>
      <c r="U283" s="173"/>
    </row>
    <row r="284" spans="1:21" ht="16.95" customHeight="1" x14ac:dyDescent="0.3">
      <c r="A284" s="41">
        <f t="shared" si="41"/>
        <v>-4000</v>
      </c>
      <c r="B284" s="13" t="s">
        <v>220</v>
      </c>
      <c r="C284" s="41">
        <f t="shared" si="42"/>
        <v>31736.354501399786</v>
      </c>
      <c r="D284" s="41">
        <f t="shared" si="42"/>
        <v>-38083.625401679747</v>
      </c>
      <c r="E284" s="41">
        <f t="shared" si="42"/>
        <v>0</v>
      </c>
      <c r="F284" s="41">
        <f t="shared" si="42"/>
        <v>37105.85931455333</v>
      </c>
      <c r="G284" s="41">
        <f t="shared" si="42"/>
        <v>126117.54397969038</v>
      </c>
      <c r="H284" s="41">
        <f t="shared" si="42"/>
        <v>-38789.460198355941</v>
      </c>
      <c r="I284" s="41">
        <f t="shared" si="42"/>
        <v>-27928.411342816282</v>
      </c>
      <c r="J284" s="41">
        <f t="shared" si="42"/>
        <v>0</v>
      </c>
      <c r="K284" s="41">
        <f t="shared" si="42"/>
        <v>0</v>
      </c>
      <c r="L284" s="13" t="s">
        <v>251</v>
      </c>
      <c r="M284" s="38" t="str">
        <f>INDEX(B$248:B$259, MATCH(5, F$248:F$259, 0))</f>
        <v>D4Y</v>
      </c>
      <c r="N284" s="14" t="str">
        <f>INDEX(C$248:C$259, MATCH(5, F$248:F$259, 0))</f>
        <v>U4Y</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0</v>
      </c>
      <c r="F285" s="41">
        <f t="shared" si="42"/>
        <v>-53874.250275494363</v>
      </c>
      <c r="G285" s="41">
        <f t="shared" si="42"/>
        <v>-38789.460198355941</v>
      </c>
      <c r="H285" s="41">
        <f t="shared" si="42"/>
        <v>107748.50055098873</v>
      </c>
      <c r="I285" s="41">
        <f t="shared" si="42"/>
        <v>0</v>
      </c>
      <c r="J285" s="41">
        <f t="shared" si="42"/>
        <v>-53874.250275494363</v>
      </c>
      <c r="K285" s="41">
        <f t="shared" si="42"/>
        <v>38789.460198355941</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-7500</v>
      </c>
      <c r="C286" s="41">
        <f t="shared" si="42"/>
        <v>0</v>
      </c>
      <c r="D286" s="41">
        <f t="shared" si="42"/>
        <v>-52500</v>
      </c>
      <c r="E286" s="41">
        <f t="shared" si="42"/>
        <v>0</v>
      </c>
      <c r="F286" s="41">
        <f t="shared" si="42"/>
        <v>-38789.460198355941</v>
      </c>
      <c r="G286" s="41">
        <f t="shared" si="42"/>
        <v>-27928.411342816282</v>
      </c>
      <c r="H286" s="41">
        <f t="shared" si="42"/>
        <v>0</v>
      </c>
      <c r="I286" s="41">
        <f t="shared" si="42"/>
        <v>108356.82268563256</v>
      </c>
      <c r="J286" s="41">
        <f t="shared" si="42"/>
        <v>38789.460198355941</v>
      </c>
      <c r="K286" s="41">
        <f t="shared" si="42"/>
        <v>-27928.411342816282</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-1500</v>
      </c>
      <c r="C287" s="41">
        <f t="shared" si="42"/>
        <v>-26446.962084499821</v>
      </c>
      <c r="D287" s="41">
        <f t="shared" si="42"/>
        <v>-31736.354501399786</v>
      </c>
      <c r="E287" s="41">
        <f t="shared" si="42"/>
        <v>-15026.376808798586</v>
      </c>
      <c r="F287" s="41">
        <f t="shared" si="42"/>
        <v>0</v>
      </c>
      <c r="G287" s="41">
        <f t="shared" si="42"/>
        <v>0</v>
      </c>
      <c r="H287" s="41">
        <f t="shared" si="42"/>
        <v>-53874.250275494363</v>
      </c>
      <c r="I287" s="41">
        <f t="shared" si="42"/>
        <v>38789.460198355941</v>
      </c>
      <c r="J287" s="41">
        <f t="shared" si="42"/>
        <v>95347.589168792765</v>
      </c>
      <c r="K287" s="41">
        <f t="shared" si="42"/>
        <v>-37105.85931455333</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-4000</v>
      </c>
      <c r="C288" s="41">
        <f t="shared" si="42"/>
        <v>-31736.354501399786</v>
      </c>
      <c r="D288" s="41">
        <f t="shared" si="42"/>
        <v>-38083.625401679747</v>
      </c>
      <c r="E288" s="41">
        <f t="shared" si="42"/>
        <v>30052.753617597173</v>
      </c>
      <c r="F288" s="41">
        <f t="shared" si="42"/>
        <v>0</v>
      </c>
      <c r="G288" s="41">
        <f t="shared" si="42"/>
        <v>0</v>
      </c>
      <c r="H288" s="41">
        <f t="shared" si="42"/>
        <v>38789.460198355941</v>
      </c>
      <c r="I288" s="41">
        <f t="shared" si="42"/>
        <v>-27928.411342816282</v>
      </c>
      <c r="J288" s="41">
        <f t="shared" si="42"/>
        <v>-37105.85931455333</v>
      </c>
      <c r="K288" s="41">
        <f t="shared" si="42"/>
        <v>126117.54397969038</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1.5873015873015872E-5</v>
      </c>
      <c r="D292" s="93">
        <v>-3.9682539682539647E-6</v>
      </c>
      <c r="E292" s="93">
        <v>1.5873015873015872E-5</v>
      </c>
      <c r="F292" s="93">
        <v>1.2896825396825391E-5</v>
      </c>
      <c r="G292" s="93">
        <v>-6.448412698412694E-6</v>
      </c>
      <c r="H292" s="93">
        <v>1.1111111111111107E-5</v>
      </c>
      <c r="I292" s="93">
        <v>-3.9682539682539655E-6</v>
      </c>
      <c r="J292" s="93">
        <v>1.2896825396825396E-5</v>
      </c>
      <c r="K292" s="93">
        <v>-1.4880952380952379E-6</v>
      </c>
      <c r="M292" s="17">
        <f t="shared" ref="M292:M300" si="44">A280</f>
        <v>0</v>
      </c>
      <c r="P292" s="215"/>
      <c r="Q292" s="172"/>
      <c r="R292" s="172"/>
      <c r="S292" s="172"/>
      <c r="T292" s="172"/>
      <c r="U292" s="173"/>
    </row>
    <row r="293" spans="1:21" ht="16.95" customHeight="1" x14ac:dyDescent="0.3">
      <c r="A293" s="12" t="str">
        <f t="shared" si="43"/>
        <v>D2Y</v>
      </c>
      <c r="C293" s="93">
        <v>-3.9682539682539664E-6</v>
      </c>
      <c r="D293" s="93">
        <v>2.5705665190197817E-5</v>
      </c>
      <c r="E293" s="93">
        <v>-7.9365079365079345E-6</v>
      </c>
      <c r="F293" s="93">
        <v>-1.1581678020984307E-5</v>
      </c>
      <c r="G293" s="93">
        <v>1.4109544283928864E-5</v>
      </c>
      <c r="H293" s="93">
        <v>-3.9682539682539664E-6</v>
      </c>
      <c r="I293" s="93">
        <v>1.4277093761626393E-5</v>
      </c>
      <c r="J293" s="93">
        <v>3.6451700844763719E-6</v>
      </c>
      <c r="K293" s="93">
        <v>1.4109544283928867E-5</v>
      </c>
      <c r="M293" s="17">
        <f t="shared" si="44"/>
        <v>-5000</v>
      </c>
      <c r="P293" s="215"/>
      <c r="Q293" s="172"/>
      <c r="R293" s="172"/>
      <c r="S293" s="172"/>
      <c r="T293" s="172"/>
      <c r="U293" s="173"/>
    </row>
    <row r="294" spans="1:21" ht="16.95" customHeight="1" x14ac:dyDescent="0.3">
      <c r="A294" s="12" t="str">
        <f t="shared" si="43"/>
        <v>D3X</v>
      </c>
      <c r="C294" s="93">
        <v>1.5873015873015876E-5</v>
      </c>
      <c r="D294" s="93">
        <v>-7.9365079365079328E-6</v>
      </c>
      <c r="E294" s="93">
        <v>3.1746031746031751E-5</v>
      </c>
      <c r="F294" s="93">
        <v>1.5873015873015869E-5</v>
      </c>
      <c r="G294" s="93">
        <v>-7.9365079365079345E-6</v>
      </c>
      <c r="H294" s="93">
        <v>1.5873015873015869E-5</v>
      </c>
      <c r="I294" s="93">
        <v>-7.9365079365079328E-6</v>
      </c>
      <c r="J294" s="93">
        <v>1.5873015873015876E-5</v>
      </c>
      <c r="K294" s="93">
        <v>-7.9365079365079362E-6</v>
      </c>
      <c r="M294" s="17">
        <f t="shared" si="44"/>
        <v>0</v>
      </c>
      <c r="P294" s="215"/>
      <c r="Q294" s="172"/>
      <c r="R294" s="172"/>
      <c r="S294" s="172"/>
      <c r="T294" s="172"/>
      <c r="U294" s="173"/>
    </row>
    <row r="295" spans="1:21" ht="16.95" customHeight="1" x14ac:dyDescent="0.3">
      <c r="A295" s="12" t="str">
        <f t="shared" si="43"/>
        <v>D4X</v>
      </c>
      <c r="C295" s="93">
        <v>1.2896825396825393E-5</v>
      </c>
      <c r="D295" s="93">
        <v>-1.1581678020984304E-5</v>
      </c>
      <c r="E295" s="93">
        <v>1.5873015873015869E-5</v>
      </c>
      <c r="F295" s="93">
        <v>3.3242148045298017E-5</v>
      </c>
      <c r="G295" s="93">
        <v>-1.0382045067571467E-5</v>
      </c>
      <c r="H295" s="93">
        <v>2.2133910442822261E-5</v>
      </c>
      <c r="I295" s="93">
        <v>-3.0102494495557359E-6</v>
      </c>
      <c r="J295" s="93">
        <v>1.2959935511025684E-5</v>
      </c>
      <c r="K295" s="93">
        <v>-7.6955691360726292E-6</v>
      </c>
      <c r="M295" s="17">
        <f t="shared" si="44"/>
        <v>1500</v>
      </c>
      <c r="P295" s="215"/>
      <c r="Q295" s="172"/>
      <c r="R295" s="172"/>
      <c r="S295" s="172"/>
      <c r="T295" s="172"/>
      <c r="U295" s="173"/>
    </row>
    <row r="296" spans="1:21" ht="16.95" customHeight="1" x14ac:dyDescent="0.3">
      <c r="A296" s="12" t="str">
        <f t="shared" si="43"/>
        <v>D4Y</v>
      </c>
      <c r="B296" s="13" t="s">
        <v>220</v>
      </c>
      <c r="C296" s="93">
        <v>-6.4484126984126948E-6</v>
      </c>
      <c r="D296" s="93">
        <v>1.4109544283928864E-5</v>
      </c>
      <c r="E296" s="93">
        <v>-7.9365079365079345E-6</v>
      </c>
      <c r="F296" s="93">
        <v>-1.0382045067571469E-5</v>
      </c>
      <c r="G296" s="93">
        <v>1.8708918603120393E-5</v>
      </c>
      <c r="H296" s="93">
        <v>-1.0845088932870729E-6</v>
      </c>
      <c r="I296" s="93">
        <v>9.823829998214581E-6</v>
      </c>
      <c r="J296" s="93">
        <v>-2.4093880043530582E-7</v>
      </c>
      <c r="K296" s="93">
        <v>6.9672990455750803E-6</v>
      </c>
      <c r="M296" s="17">
        <f t="shared" si="44"/>
        <v>-4000</v>
      </c>
      <c r="P296" s="215"/>
      <c r="Q296" s="172"/>
      <c r="R296" s="172"/>
      <c r="S296" s="172"/>
      <c r="T296" s="172"/>
      <c r="U296" s="173"/>
    </row>
    <row r="297" spans="1:21" ht="16.95" customHeight="1" x14ac:dyDescent="0.3">
      <c r="A297" s="12" t="str">
        <f t="shared" si="43"/>
        <v>D5X</v>
      </c>
      <c r="C297" s="93">
        <v>1.1111111111111108E-5</v>
      </c>
      <c r="D297" s="93">
        <v>-3.9682539682539647E-6</v>
      </c>
      <c r="E297" s="93">
        <v>1.5873015873015869E-5</v>
      </c>
      <c r="F297" s="93">
        <v>2.2133910442822264E-5</v>
      </c>
      <c r="G297" s="93">
        <v>-1.0845088932870725E-6</v>
      </c>
      <c r="H297" s="93">
        <v>3.3491078508805497E-5</v>
      </c>
      <c r="I297" s="93">
        <v>-3.9682539682539647E-6</v>
      </c>
      <c r="J297" s="93">
        <v>2.2133910442822268E-5</v>
      </c>
      <c r="K297" s="93">
        <v>-6.8519990432208611E-6</v>
      </c>
      <c r="M297" s="17">
        <f t="shared" si="44"/>
        <v>0</v>
      </c>
      <c r="P297" s="215"/>
      <c r="Q297" s="172"/>
      <c r="R297" s="172"/>
      <c r="S297" s="172"/>
      <c r="T297" s="172"/>
      <c r="U297" s="173"/>
    </row>
    <row r="298" spans="1:21" ht="16.95" customHeight="1" x14ac:dyDescent="0.3">
      <c r="A298" s="12" t="str">
        <f t="shared" si="43"/>
        <v>D5Y</v>
      </c>
      <c r="C298" s="93">
        <v>-3.9682539682539655E-6</v>
      </c>
      <c r="D298" s="93">
        <v>1.4277093761626393E-5</v>
      </c>
      <c r="E298" s="93">
        <v>-7.9365079365079328E-6</v>
      </c>
      <c r="F298" s="93">
        <v>-3.0102494495557346E-6</v>
      </c>
      <c r="G298" s="93">
        <v>9.823829998214581E-6</v>
      </c>
      <c r="H298" s="93">
        <v>-3.9682539682539647E-6</v>
      </c>
      <c r="I298" s="93">
        <v>2.1896141380674009E-5</v>
      </c>
      <c r="J298" s="93">
        <v>-4.9262584869521973E-6</v>
      </c>
      <c r="K298" s="93">
        <v>9.823829998214581E-6</v>
      </c>
      <c r="M298" s="17">
        <f t="shared" si="44"/>
        <v>-7500</v>
      </c>
      <c r="P298" s="215"/>
      <c r="Q298" s="172"/>
      <c r="R298" s="172"/>
      <c r="S298" s="172"/>
      <c r="T298" s="172"/>
      <c r="U298" s="173"/>
    </row>
    <row r="299" spans="1:21" ht="16.95" customHeight="1" x14ac:dyDescent="0.3">
      <c r="A299" s="12" t="str">
        <f t="shared" si="43"/>
        <v>D6X</v>
      </c>
      <c r="C299" s="93">
        <v>1.2896825396825393E-5</v>
      </c>
      <c r="D299" s="93">
        <v>3.645170084476374E-6</v>
      </c>
      <c r="E299" s="93">
        <v>1.5873015873015869E-5</v>
      </c>
      <c r="F299" s="93">
        <v>1.295993551102568E-5</v>
      </c>
      <c r="G299" s="93">
        <v>-2.4093880043530434E-7</v>
      </c>
      <c r="H299" s="93">
        <v>2.2133910442822261E-5</v>
      </c>
      <c r="I299" s="93">
        <v>-4.9262584869521948E-6</v>
      </c>
      <c r="J299" s="93">
        <v>3.3242148045298017E-5</v>
      </c>
      <c r="K299" s="93">
        <v>2.4455371310635345E-6</v>
      </c>
      <c r="M299" s="17">
        <f t="shared" si="44"/>
        <v>-1500</v>
      </c>
      <c r="P299" s="215"/>
      <c r="Q299" s="172"/>
      <c r="R299" s="172"/>
      <c r="S299" s="172"/>
      <c r="T299" s="172"/>
      <c r="U299" s="173"/>
    </row>
    <row r="300" spans="1:21" ht="16.95" customHeight="1" x14ac:dyDescent="0.3">
      <c r="A300" s="12" t="str">
        <f t="shared" si="43"/>
        <v>D6Y</v>
      </c>
      <c r="C300" s="93">
        <v>-1.4880952380952383E-6</v>
      </c>
      <c r="D300" s="93">
        <v>1.4109544283928866E-5</v>
      </c>
      <c r="E300" s="93">
        <v>-7.9365079365079362E-6</v>
      </c>
      <c r="F300" s="93">
        <v>-7.6955691360726292E-6</v>
      </c>
      <c r="G300" s="93">
        <v>6.9672990455750803E-6</v>
      </c>
      <c r="H300" s="93">
        <v>-6.851999043220862E-6</v>
      </c>
      <c r="I300" s="93">
        <v>9.823829998214581E-6</v>
      </c>
      <c r="J300" s="93">
        <v>2.445537131063532E-6</v>
      </c>
      <c r="K300" s="93">
        <v>1.8708918603120397E-5</v>
      </c>
      <c r="M300" s="17">
        <f t="shared" si="44"/>
        <v>-4000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8.1349206349206282E-2</v>
      </c>
      <c r="D304" s="12" t="s">
        <v>267</v>
      </c>
      <c r="P304" s="215"/>
      <c r="Q304" s="172"/>
      <c r="R304" s="172"/>
      <c r="S304" s="172"/>
      <c r="T304" s="172"/>
      <c r="U304" s="173"/>
    </row>
    <row r="305" spans="1:21" ht="16.95" customHeight="1" x14ac:dyDescent="0.3">
      <c r="A305" s="12" t="str">
        <f t="shared" si="45"/>
        <v>D2Y</v>
      </c>
      <c r="C305" s="94">
        <v>-0.37132315559280898</v>
      </c>
      <c r="D305" s="12" t="s">
        <v>267</v>
      </c>
      <c r="P305" s="215"/>
      <c r="Q305" s="172"/>
      <c r="R305" s="172"/>
      <c r="S305" s="172"/>
      <c r="T305" s="172"/>
      <c r="U305" s="173"/>
    </row>
    <row r="306" spans="1:21" ht="16.95" customHeight="1" x14ac:dyDescent="0.3">
      <c r="A306" s="12" t="str">
        <f t="shared" si="45"/>
        <v>D3X</v>
      </c>
      <c r="C306" s="94">
        <v>0.16269841269841265</v>
      </c>
      <c r="D306" s="12" t="s">
        <v>267</v>
      </c>
      <c r="P306" s="215"/>
      <c r="Q306" s="172"/>
      <c r="R306" s="172"/>
      <c r="S306" s="172"/>
      <c r="T306" s="172"/>
      <c r="U306" s="173"/>
    </row>
    <row r="307" spans="1:21" ht="16.95" customHeight="1" x14ac:dyDescent="0.3">
      <c r="A307" s="12" t="str">
        <f t="shared" si="45"/>
        <v>D4X</v>
      </c>
      <c r="C307" s="94">
        <v>0.18321903659257444</v>
      </c>
      <c r="D307" s="12" t="s">
        <v>267</v>
      </c>
      <c r="P307" s="215"/>
      <c r="Q307" s="172"/>
      <c r="R307" s="172"/>
      <c r="S307" s="172"/>
      <c r="T307" s="172"/>
      <c r="U307" s="173"/>
    </row>
    <row r="308" spans="1:21" ht="16.95" customHeight="1" x14ac:dyDescent="0.3">
      <c r="A308" s="12" t="str">
        <f t="shared" si="45"/>
        <v>D4Y</v>
      </c>
      <c r="B308" s="13" t="s">
        <v>220</v>
      </c>
      <c r="C308" s="94">
        <v>-0.26214297640173978</v>
      </c>
      <c r="D308" s="12" t="s">
        <v>267</v>
      </c>
      <c r="P308" s="215"/>
      <c r="Q308" s="172"/>
      <c r="R308" s="172"/>
      <c r="S308" s="172"/>
      <c r="T308" s="172"/>
      <c r="U308" s="173"/>
    </row>
    <row r="309" spans="1:21" ht="16.95" customHeight="1" x14ac:dyDescent="0.3">
      <c r="A309" s="12" t="str">
        <f t="shared" si="45"/>
        <v>D5X</v>
      </c>
      <c r="C309" s="94">
        <v>8.1349206349206282E-2</v>
      </c>
      <c r="D309" s="12" t="s">
        <v>267</v>
      </c>
      <c r="P309" s="215"/>
      <c r="Q309" s="172"/>
      <c r="R309" s="172"/>
      <c r="S309" s="172"/>
      <c r="T309" s="172"/>
      <c r="U309" s="173"/>
    </row>
    <row r="310" spans="1:21" ht="16.95" customHeight="1" x14ac:dyDescent="0.3">
      <c r="A310" s="12" t="str">
        <f t="shared" si="45"/>
        <v>D5Y</v>
      </c>
      <c r="C310" s="94">
        <v>-0.31132315559280904</v>
      </c>
      <c r="D310" s="12" t="s">
        <v>267</v>
      </c>
      <c r="P310" s="215"/>
      <c r="Q310" s="172"/>
      <c r="R310" s="172"/>
      <c r="S310" s="172"/>
      <c r="T310" s="172"/>
      <c r="U310" s="173"/>
    </row>
    <row r="311" spans="1:21" ht="16.95" customHeight="1" x14ac:dyDescent="0.3">
      <c r="A311" s="12" t="str">
        <f t="shared" si="45"/>
        <v>D6X</v>
      </c>
      <c r="C311" s="94">
        <v>-2.0520623894161844E-2</v>
      </c>
      <c r="D311" s="12" t="s">
        <v>267</v>
      </c>
      <c r="P311" s="215"/>
      <c r="Q311" s="172"/>
      <c r="R311" s="172"/>
      <c r="S311" s="172"/>
      <c r="T311" s="172"/>
      <c r="U311" s="173"/>
    </row>
    <row r="312" spans="1:21" ht="16.95" customHeight="1" x14ac:dyDescent="0.3">
      <c r="A312" s="12" t="str">
        <f t="shared" si="45"/>
        <v>D6Y</v>
      </c>
      <c r="C312" s="94">
        <v>-0.26214297640173984</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-63000</v>
      </c>
      <c r="D317" s="9">
        <f t="shared" si="46"/>
        <v>0</v>
      </c>
      <c r="E317" s="9">
        <f t="shared" si="46"/>
        <v>0</v>
      </c>
      <c r="F317" s="9">
        <f t="shared" si="46"/>
        <v>-15026.376808798586</v>
      </c>
      <c r="G317" s="9">
        <f t="shared" si="46"/>
        <v>-30052.753617597173</v>
      </c>
      <c r="H317" s="9">
        <f t="shared" si="46"/>
        <v>0</v>
      </c>
      <c r="I317" s="9">
        <f t="shared" si="46"/>
        <v>0</v>
      </c>
      <c r="J317" s="9">
        <f t="shared" si="46"/>
        <v>0</v>
      </c>
      <c r="K317" s="9">
        <f t="shared" si="46"/>
        <v>0</v>
      </c>
      <c r="M317" s="95">
        <f t="shared" ref="M317:M325" si="47">C304</f>
        <v>8.1349206349206282E-2</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-30052.753617597173</v>
      </c>
      <c r="G318" s="9">
        <f t="shared" si="46"/>
        <v>-60105.507235194345</v>
      </c>
      <c r="H318" s="9">
        <f t="shared" si="46"/>
        <v>0</v>
      </c>
      <c r="I318" s="9">
        <f t="shared" si="46"/>
        <v>0</v>
      </c>
      <c r="J318" s="9">
        <f t="shared" si="46"/>
        <v>0</v>
      </c>
      <c r="K318" s="9">
        <f t="shared" si="46"/>
        <v>0</v>
      </c>
      <c r="M318" s="95">
        <f t="shared" si="47"/>
        <v>-0.37132315559280898</v>
      </c>
      <c r="N318" s="14" t="str">
        <f>INDEX(C$248:C$259, MATCH(2, G$248:G$259, 0))</f>
        <v>U1Y</v>
      </c>
      <c r="P318" s="215" t="s">
        <v>391</v>
      </c>
      <c r="Q318" s="172"/>
      <c r="R318" s="172"/>
      <c r="S318" s="172"/>
      <c r="T318" s="172"/>
      <c r="U318" s="173"/>
    </row>
    <row r="319" spans="1:21" ht="16.95" customHeight="1" x14ac:dyDescent="0.3">
      <c r="A319" s="18" t="str">
        <f>INDEX(B$234:B$245, MATCH(N319, C$234:C$245, 0))</f>
        <v>C3Y</v>
      </c>
      <c r="C319" s="9">
        <f t="shared" si="46"/>
        <v>0</v>
      </c>
      <c r="D319" s="9">
        <f t="shared" si="46"/>
        <v>0</v>
      </c>
      <c r="E319" s="9">
        <f t="shared" si="46"/>
        <v>-30052.753617597173</v>
      </c>
      <c r="F319" s="9">
        <f t="shared" si="46"/>
        <v>0</v>
      </c>
      <c r="G319" s="9">
        <f t="shared" si="46"/>
        <v>0</v>
      </c>
      <c r="H319" s="9">
        <f t="shared" si="46"/>
        <v>0</v>
      </c>
      <c r="I319" s="9">
        <f t="shared" si="46"/>
        <v>0</v>
      </c>
      <c r="J319" s="9">
        <f t="shared" si="46"/>
        <v>30052.753617597173</v>
      </c>
      <c r="K319" s="9">
        <f t="shared" si="46"/>
        <v>-60105.507235194345</v>
      </c>
      <c r="M319" s="95">
        <f t="shared" si="47"/>
        <v>0.16269841269841265</v>
      </c>
      <c r="N319" s="14" t="str">
        <f>INDEX(C$248:C$259, MATCH(3, G$248:G$259, 0))</f>
        <v>U3Y</v>
      </c>
      <c r="P319" s="215" t="s">
        <v>392</v>
      </c>
      <c r="Q319" s="172"/>
      <c r="R319" s="172"/>
      <c r="S319" s="172"/>
      <c r="T319" s="172"/>
      <c r="U319" s="173"/>
    </row>
    <row r="320" spans="1:21" ht="16.95" customHeight="1" x14ac:dyDescent="0.3">
      <c r="M320" s="95">
        <f t="shared" si="47"/>
        <v>0.18321903659257444</v>
      </c>
      <c r="P320" s="215" t="s">
        <v>393</v>
      </c>
      <c r="Q320" s="172"/>
      <c r="R320" s="172"/>
      <c r="S320" s="172"/>
      <c r="T320" s="172"/>
      <c r="U320" s="173"/>
    </row>
    <row r="321" spans="1:21" ht="16.95" customHeight="1" x14ac:dyDescent="0.3">
      <c r="M321" s="95">
        <f t="shared" si="47"/>
        <v>-0.26214297640173978</v>
      </c>
      <c r="P321" s="215" t="s">
        <v>394</v>
      </c>
      <c r="Q321" s="172"/>
      <c r="R321" s="172"/>
      <c r="S321" s="172"/>
      <c r="T321" s="172"/>
      <c r="U321" s="173"/>
    </row>
    <row r="322" spans="1:21" ht="16.95" customHeight="1" x14ac:dyDescent="0.3">
      <c r="M322" s="95">
        <f t="shared" si="47"/>
        <v>8.1349206349206282E-2</v>
      </c>
      <c r="P322" s="215"/>
      <c r="Q322" s="172"/>
      <c r="R322" s="172"/>
      <c r="S322" s="172"/>
      <c r="T322" s="172"/>
      <c r="U322" s="173"/>
    </row>
    <row r="323" spans="1:21" ht="16.95" customHeight="1" x14ac:dyDescent="0.3">
      <c r="M323" s="95">
        <f t="shared" si="47"/>
        <v>-0.31132315559280904</v>
      </c>
      <c r="P323" s="215"/>
      <c r="Q323" s="172"/>
      <c r="R323" s="172"/>
      <c r="S323" s="172"/>
      <c r="T323" s="172"/>
      <c r="U323" s="173"/>
    </row>
    <row r="324" spans="1:21" ht="16.95" customHeight="1" x14ac:dyDescent="0.3">
      <c r="M324" s="95">
        <f t="shared" si="47"/>
        <v>-2.0520623894161844E-2</v>
      </c>
      <c r="P324" s="215"/>
      <c r="Q324" s="172"/>
      <c r="R324" s="172"/>
      <c r="S324" s="172"/>
      <c r="T324" s="172"/>
      <c r="U324" s="173"/>
    </row>
    <row r="325" spans="1:21" ht="16.95" customHeight="1" x14ac:dyDescent="0.3">
      <c r="M325" s="95">
        <f t="shared" si="47"/>
        <v>-0.26214297640173984</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0</v>
      </c>
      <c r="D327" s="12" t="s">
        <v>273</v>
      </c>
      <c r="P327" s="215"/>
      <c r="Q327" s="172"/>
      <c r="R327" s="172"/>
      <c r="S327" s="172"/>
      <c r="T327" s="172"/>
      <c r="U327" s="173"/>
    </row>
    <row r="328" spans="1:21" ht="16.95" customHeight="1" x14ac:dyDescent="0.3">
      <c r="A328" s="12" t="str">
        <f>A318</f>
        <v>C1Y</v>
      </c>
      <c r="B328" s="13" t="s">
        <v>220</v>
      </c>
      <c r="C328" s="17">
        <v>10249.999999999993</v>
      </c>
      <c r="D328" s="12" t="s">
        <v>273</v>
      </c>
      <c r="P328" s="215"/>
      <c r="Q328" s="172"/>
      <c r="R328" s="172"/>
      <c r="S328" s="172"/>
      <c r="T328" s="172"/>
      <c r="U328" s="173"/>
    </row>
    <row r="329" spans="1:21" ht="16.95" customHeight="1" x14ac:dyDescent="0.3">
      <c r="A329" s="12" t="str">
        <f>A319</f>
        <v>C3Y</v>
      </c>
      <c r="C329" s="17">
        <v>10249.999999999993</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8.1349206349206282E-2</v>
      </c>
    </row>
    <row r="337" spans="1:21" ht="19.05" customHeight="1" x14ac:dyDescent="0.3">
      <c r="A337" s="12" t="s">
        <v>231</v>
      </c>
      <c r="B337" s="12" t="s">
        <v>181</v>
      </c>
      <c r="D337" s="94">
        <f t="shared" si="48"/>
        <v>-0.37132315559280898</v>
      </c>
    </row>
    <row r="338" spans="1:21" ht="19.05" customHeight="1" x14ac:dyDescent="0.3">
      <c r="A338" s="12" t="s">
        <v>232</v>
      </c>
      <c r="B338" s="12" t="s">
        <v>182</v>
      </c>
      <c r="D338" s="94">
        <f t="shared" si="48"/>
        <v>0.16269841269841265</v>
      </c>
    </row>
    <row r="339" spans="1:21" ht="19.05" customHeight="1" x14ac:dyDescent="0.3">
      <c r="A339" s="12" t="s">
        <v>234</v>
      </c>
      <c r="B339" s="12" t="s">
        <v>183</v>
      </c>
      <c r="D339" s="94">
        <f t="shared" si="48"/>
        <v>0</v>
      </c>
    </row>
    <row r="340" spans="1:21" ht="19.05" customHeight="1" x14ac:dyDescent="0.3">
      <c r="A340" s="12" t="s">
        <v>235</v>
      </c>
      <c r="B340" s="12" t="s">
        <v>184</v>
      </c>
      <c r="D340" s="94">
        <f t="shared" si="48"/>
        <v>0.18321903659257444</v>
      </c>
    </row>
    <row r="341" spans="1:21" ht="19.05" customHeight="1" x14ac:dyDescent="0.3">
      <c r="A341" s="12" t="s">
        <v>236</v>
      </c>
      <c r="B341" s="12" t="s">
        <v>185</v>
      </c>
      <c r="D341" s="94">
        <f t="shared" si="48"/>
        <v>-0.26214297640173978</v>
      </c>
    </row>
    <row r="342" spans="1:21" ht="19.05" customHeight="1" x14ac:dyDescent="0.3">
      <c r="A342" s="12" t="s">
        <v>237</v>
      </c>
      <c r="B342" s="12" t="s">
        <v>186</v>
      </c>
      <c r="D342" s="94">
        <f t="shared" si="48"/>
        <v>8.1349206349206282E-2</v>
      </c>
    </row>
    <row r="343" spans="1:21" ht="19.05" customHeight="1" x14ac:dyDescent="0.3">
      <c r="A343" s="12" t="s">
        <v>238</v>
      </c>
      <c r="B343" s="12" t="s">
        <v>187</v>
      </c>
      <c r="D343" s="94">
        <f t="shared" si="48"/>
        <v>-0.31132315559280904</v>
      </c>
    </row>
    <row r="344" spans="1:21" ht="19.05" customHeight="1" x14ac:dyDescent="0.3">
      <c r="A344" s="12" t="s">
        <v>239</v>
      </c>
      <c r="B344" s="12" t="s">
        <v>188</v>
      </c>
      <c r="D344" s="94">
        <f t="shared" si="48"/>
        <v>-2.0520623894161844E-2</v>
      </c>
    </row>
    <row r="345" spans="1:21" ht="19.05" customHeight="1" x14ac:dyDescent="0.3">
      <c r="A345" s="12" t="s">
        <v>240</v>
      </c>
      <c r="B345" s="12" t="s">
        <v>189</v>
      </c>
      <c r="D345" s="94">
        <f t="shared" si="48"/>
        <v>-0.26214297640173984</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63000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5124.9999999999955</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8.1349206349206282E-2</v>
      </c>
      <c r="H354" s="12" t="str">
        <f>"D" &amp; E18 &amp; "X"</f>
        <v>D2X</v>
      </c>
      <c r="P354" s="215" t="s">
        <v>400</v>
      </c>
      <c r="Q354" s="172"/>
      <c r="R354" s="172"/>
      <c r="S354" s="172"/>
      <c r="T354" s="172"/>
      <c r="U354" s="173"/>
    </row>
    <row r="355" spans="1:21" ht="16.95" customHeight="1" x14ac:dyDescent="0.3">
      <c r="G355" s="96">
        <f>IFERROR(VLOOKUP(H355, A$334:D$345, 4, FALSE), 0)</f>
        <v>-0.37132315559280898</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63000</v>
      </c>
      <c r="C360" s="92">
        <f>-J7</f>
        <v>-1</v>
      </c>
      <c r="D360" s="92">
        <f>-K7</f>
        <v>0</v>
      </c>
      <c r="E360" s="92">
        <f>J7</f>
        <v>1</v>
      </c>
      <c r="F360" s="92">
        <f>K7</f>
        <v>0</v>
      </c>
      <c r="G360" s="96">
        <f>IFERROR(VLOOKUP(H360, A$334:D$345, 4, FALSE), 0)</f>
        <v>8.1349206349206282E-2</v>
      </c>
      <c r="H360" s="12" t="str">
        <f>"D" &amp; C19 &amp; "X"</f>
        <v>D2X</v>
      </c>
      <c r="P360" s="215"/>
      <c r="Q360" s="172"/>
      <c r="R360" s="172"/>
      <c r="S360" s="172"/>
      <c r="T360" s="172"/>
      <c r="U360" s="173"/>
    </row>
    <row r="361" spans="1:21" ht="16.95" customHeight="1" x14ac:dyDescent="0.3">
      <c r="A361" s="99" t="s">
        <v>286</v>
      </c>
      <c r="B361" s="97">
        <f>(MMULT(C360:F360, G360:G363)*A360)</f>
        <v>5125.0000000000009</v>
      </c>
      <c r="G361" s="96">
        <f>IFERROR(VLOOKUP(H361, A$334:D$345, 4, FALSE), 0)</f>
        <v>-0.37132315559280898</v>
      </c>
      <c r="H361" s="12" t="str">
        <f>"D" &amp; D19 &amp; "Y"</f>
        <v>D2Y</v>
      </c>
      <c r="P361" s="215"/>
      <c r="Q361" s="172"/>
      <c r="R361" s="172"/>
      <c r="S361" s="172"/>
      <c r="T361" s="172"/>
      <c r="U361" s="173"/>
    </row>
    <row r="362" spans="1:21" ht="16.95" customHeight="1" x14ac:dyDescent="0.3">
      <c r="G362" s="96">
        <f>IFERROR(VLOOKUP(H362, A$334:D$345, 4, FALSE), 0)</f>
        <v>0.16269841269841265</v>
      </c>
      <c r="H362" s="12" t="str">
        <f>"D" &amp; E19 &amp; "X"</f>
        <v>D3X</v>
      </c>
      <c r="P362" s="215"/>
      <c r="Q362" s="172"/>
      <c r="R362" s="172"/>
      <c r="S362" s="172"/>
      <c r="T362" s="172"/>
      <c r="U362" s="173"/>
    </row>
    <row r="363" spans="1:21" ht="16.95" customHeight="1" x14ac:dyDescent="0.3">
      <c r="G363" s="96">
        <f>IFERROR(VLOOKUP(H363, A$334:D$345, 4, FALSE), 0)</f>
        <v>0</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75131.884043992934</v>
      </c>
      <c r="C368" s="92">
        <f>-J8</f>
        <v>-0.44721359549995793</v>
      </c>
      <c r="D368" s="92">
        <f>-K8</f>
        <v>-0.89442719099991586</v>
      </c>
      <c r="E368" s="92">
        <f>J8</f>
        <v>0.44721359549995793</v>
      </c>
      <c r="F368" s="92">
        <f>K8</f>
        <v>0.89442719099991586</v>
      </c>
      <c r="G368" s="96">
        <f>IFERROR(VLOOKUP(H368, A$334:D$345, 4, FALSE), 0)</f>
        <v>0</v>
      </c>
      <c r="H368" s="12" t="str">
        <f>"D" &amp; C20 &amp; "X"</f>
        <v>D1X</v>
      </c>
      <c r="P368" s="215"/>
      <c r="Q368" s="172"/>
      <c r="R368" s="172"/>
      <c r="S368" s="172"/>
      <c r="T368" s="172"/>
      <c r="U368" s="173"/>
    </row>
    <row r="369" spans="1:21" ht="16.95" customHeight="1" x14ac:dyDescent="0.3">
      <c r="A369" s="99" t="s">
        <v>287</v>
      </c>
      <c r="B369" s="97">
        <f>(MMULT(C368:F368, G368:G371)*A368)</f>
        <v>-11459.848384686411</v>
      </c>
      <c r="G369" s="96">
        <f>IFERROR(VLOOKUP(H369, A$334:D$345, 4, FALSE), 0)</f>
        <v>0</v>
      </c>
      <c r="H369" s="12" t="str">
        <f>"D" &amp; D20 &amp; "Y"</f>
        <v>D1Y</v>
      </c>
      <c r="P369" s="215"/>
      <c r="Q369" s="172"/>
      <c r="R369" s="172"/>
      <c r="S369" s="172"/>
      <c r="T369" s="172"/>
      <c r="U369" s="173"/>
    </row>
    <row r="370" spans="1:21" ht="16.95" customHeight="1" x14ac:dyDescent="0.3">
      <c r="G370" s="96">
        <f>IFERROR(VLOOKUP(H370, A$334:D$345, 4, FALSE), 0)</f>
        <v>0.18321903659257444</v>
      </c>
      <c r="H370" s="12" t="str">
        <f>"D" &amp; E20 &amp; "X"</f>
        <v>D4X</v>
      </c>
      <c r="P370" s="215"/>
      <c r="Q370" s="172"/>
      <c r="R370" s="172"/>
      <c r="S370" s="172"/>
      <c r="T370" s="172"/>
      <c r="U370" s="173"/>
    </row>
    <row r="371" spans="1:21" ht="16.95" customHeight="1" x14ac:dyDescent="0.3">
      <c r="G371" s="96">
        <f>IFERROR(VLOOKUP(H371, A$334:D$345, 4, FALSE), 0)</f>
        <v>-0.26214297640173978</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COMPRESIÓN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81802.661618310638</v>
      </c>
      <c r="C376" s="92">
        <f>-J9</f>
        <v>-0.81153434145149439</v>
      </c>
      <c r="D376" s="92">
        <f>-K9</f>
        <v>-0.58430472584507598</v>
      </c>
      <c r="E376" s="92">
        <f>J9</f>
        <v>0.81153434145149439</v>
      </c>
      <c r="F376" s="92">
        <f>K9</f>
        <v>0.58430472584507598</v>
      </c>
      <c r="G376" s="96">
        <f>IFERROR(VLOOKUP(H376, A$334:D$345, 4, FALSE), 0)</f>
        <v>0.18321903659257444</v>
      </c>
      <c r="H376" s="12" t="str">
        <f>"D" &amp; C21 &amp; "X"</f>
        <v>D4X</v>
      </c>
    </row>
    <row r="377" spans="1:21" ht="19.95" customHeight="1" x14ac:dyDescent="0.3">
      <c r="A377" s="99" t="s">
        <v>288</v>
      </c>
      <c r="B377" s="97">
        <f>(MMULT(C376:F376, G376:G379)*A376)</f>
        <v>-9113.3953987767072</v>
      </c>
      <c r="G377" s="96">
        <f>IFERROR(VLOOKUP(H377, A$334:D$345, 4, FALSE), 0)</f>
        <v>-0.26214297640173978</v>
      </c>
      <c r="H377" s="12" t="str">
        <f>"D" &amp; D21 &amp; "Y"</f>
        <v>D4Y</v>
      </c>
    </row>
    <row r="378" spans="1:21" ht="19.95" customHeight="1" x14ac:dyDescent="0.3">
      <c r="G378" s="96">
        <f>IFERROR(VLOOKUP(H378, A$334:D$345, 4, FALSE), 0)</f>
        <v>8.1349206349206282E-2</v>
      </c>
      <c r="H378" s="12" t="str">
        <f>"D" &amp; E21 &amp; "X"</f>
        <v>D5X</v>
      </c>
    </row>
    <row r="379" spans="1:21" ht="19.95" customHeight="1" x14ac:dyDescent="0.3">
      <c r="G379" s="96">
        <f>IFERROR(VLOOKUP(H379, A$334:D$345, 4, FALSE), 0)</f>
        <v>-0.31132315559280904</v>
      </c>
      <c r="H379" s="12" t="str">
        <f>"D" &amp; F21 &amp; "Y"</f>
        <v>D5Y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81802.661618310638</v>
      </c>
      <c r="C384" s="92">
        <f>-J10</f>
        <v>-0.81153434145149439</v>
      </c>
      <c r="D384" s="92">
        <f>-K10</f>
        <v>0.58430472584507598</v>
      </c>
      <c r="E384" s="92">
        <f>J10</f>
        <v>0.81153434145149439</v>
      </c>
      <c r="F384" s="92">
        <f>K10</f>
        <v>-0.58430472584507598</v>
      </c>
      <c r="G384" s="96">
        <f>IFERROR(VLOOKUP(H384, A$334:D$345, 4, FALSE), 0)</f>
        <v>8.1349206349206282E-2</v>
      </c>
      <c r="H384" s="12" t="str">
        <f>"D" &amp; C22 &amp; "X"</f>
        <v>D5X</v>
      </c>
    </row>
    <row r="385" spans="1:8" ht="19.95" customHeight="1" x14ac:dyDescent="0.3">
      <c r="A385" s="99" t="s">
        <v>289</v>
      </c>
      <c r="B385" s="97">
        <f>(MMULT(C384:F384, G384:G387)*A384)</f>
        <v>-9113.3953987767054</v>
      </c>
      <c r="G385" s="96">
        <f>IFERROR(VLOOKUP(H385, A$334:D$345, 4, FALSE), 0)</f>
        <v>-0.31132315559280904</v>
      </c>
      <c r="H385" s="12" t="str">
        <f>"D" &amp; D22 &amp; "Y"</f>
        <v>D5Y</v>
      </c>
    </row>
    <row r="386" spans="1:8" ht="19.95" customHeight="1" x14ac:dyDescent="0.3">
      <c r="G386" s="96">
        <f>IFERROR(VLOOKUP(H386, A$334:D$345, 4, FALSE), 0)</f>
        <v>-2.0520623894161844E-2</v>
      </c>
      <c r="H386" s="12" t="str">
        <f>"D" &amp; E22 &amp; "X"</f>
        <v>D6X</v>
      </c>
    </row>
    <row r="387" spans="1:8" ht="19.95" customHeight="1" x14ac:dyDescent="0.3">
      <c r="G387" s="96">
        <f>IFERROR(VLOOKUP(H387, A$334:D$345, 4, FALSE), 0)</f>
        <v>-0.26214297640173984</v>
      </c>
      <c r="H387" s="12" t="str">
        <f>"D" &amp; F22 &amp; "Y"</f>
        <v>D6Y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75131.884043992934</v>
      </c>
      <c r="C392" s="92">
        <f>-J11</f>
        <v>-0.44721359549995793</v>
      </c>
      <c r="D392" s="92">
        <f>-K11</f>
        <v>0.89442719099991586</v>
      </c>
      <c r="E392" s="92">
        <f>J11</f>
        <v>0.44721359549995793</v>
      </c>
      <c r="F392" s="92">
        <f>K11</f>
        <v>-0.89442719099991586</v>
      </c>
      <c r="G392" s="96">
        <f>IFERROR(VLOOKUP(H392, A$334:D$345, 4, FALSE), 0)</f>
        <v>-2.0520623894161844E-2</v>
      </c>
      <c r="H392" s="12" t="str">
        <f>"D" &amp; C23 &amp; "X"</f>
        <v>D6X</v>
      </c>
    </row>
    <row r="393" spans="1:8" ht="19.95" customHeight="1" x14ac:dyDescent="0.3">
      <c r="A393" s="99" t="s">
        <v>290</v>
      </c>
      <c r="B393" s="97">
        <f>(MMULT(C392:F392, G392:G395)*A392)</f>
        <v>-11459.848384686415</v>
      </c>
      <c r="G393" s="96">
        <f>IFERROR(VLOOKUP(H393, A$334:D$345, 4, FALSE), 0)</f>
        <v>-0.26214297640173984</v>
      </c>
      <c r="H393" s="12" t="str">
        <f>"D" &amp; D23 &amp; "Y"</f>
        <v>D6Y</v>
      </c>
    </row>
    <row r="394" spans="1:8" ht="19.95" customHeight="1" x14ac:dyDescent="0.3">
      <c r="G394" s="96">
        <f>IFERROR(VLOOKUP(H394, A$334:D$345, 4, FALSE), 0)</f>
        <v>0.16269841269841265</v>
      </c>
      <c r="H394" s="12" t="str">
        <f>"D" &amp; E23 &amp; "X"</f>
        <v>D3X</v>
      </c>
    </row>
    <row r="395" spans="1:8" ht="19.95" customHeight="1" x14ac:dyDescent="0.3">
      <c r="G395" s="96">
        <f>IFERROR(VLOOKUP(H395, A$334:D$345, 4, FALSE), 0)</f>
        <v>0</v>
      </c>
      <c r="H395" s="12" t="str">
        <f>"D" &amp; F23 &amp; "Y"</f>
        <v>D3Y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64530.587486179567</v>
      </c>
      <c r="C400" s="92">
        <f>-J12</f>
        <v>0.64018439966447982</v>
      </c>
      <c r="D400" s="92">
        <f>-K12</f>
        <v>-0.76822127959737585</v>
      </c>
      <c r="E400" s="92">
        <f>J12</f>
        <v>-0.64018439966447982</v>
      </c>
      <c r="F400" s="92">
        <f>K12</f>
        <v>0.76822127959737585</v>
      </c>
      <c r="G400" s="96">
        <f>IFERROR(VLOOKUP(H400, A$334:D$345, 4, FALSE), 0)</f>
        <v>8.1349206349206282E-2</v>
      </c>
      <c r="H400" s="12" t="str">
        <f>"D" &amp; C24 &amp; "X"</f>
        <v>D2X</v>
      </c>
    </row>
    <row r="401" spans="1:8" ht="19.95" customHeight="1" x14ac:dyDescent="0.3">
      <c r="A401" s="99" t="s">
        <v>291</v>
      </c>
      <c r="B401" s="97">
        <f>(MMULT(C400:F400, G400:G403)*A400)</f>
        <v>1204.0801583689447</v>
      </c>
      <c r="G401" s="96">
        <f>IFERROR(VLOOKUP(H401, A$334:D$345, 4, FALSE), 0)</f>
        <v>-0.37132315559280898</v>
      </c>
      <c r="H401" s="12" t="str">
        <f>"D" &amp; D24 &amp; "Y"</f>
        <v>D2Y</v>
      </c>
    </row>
    <row r="402" spans="1:8" ht="19.95" customHeight="1" x14ac:dyDescent="0.3">
      <c r="G402" s="96">
        <f>IFERROR(VLOOKUP(H402, A$334:D$345, 4, FALSE), 0)</f>
        <v>0.18321903659257444</v>
      </c>
      <c r="H402" s="12" t="str">
        <f>"D" &amp; E24 &amp; "X"</f>
        <v>D4X</v>
      </c>
    </row>
    <row r="403" spans="1:8" ht="19.95" customHeight="1" x14ac:dyDescent="0.3">
      <c r="G403" s="96">
        <f>IFERROR(VLOOKUP(H403, A$334:D$345, 4, FALSE), 0)</f>
        <v>-0.26214297640173978</v>
      </c>
      <c r="H403" s="12" t="str">
        <f>"D" &amp; F24 &amp; "Y"</f>
        <v>D4Y</v>
      </c>
    </row>
    <row r="404" spans="1:8" ht="19.95" customHeight="1" x14ac:dyDescent="0.3">
      <c r="B404" s="99" t="s">
        <v>273</v>
      </c>
      <c r="C404" s="178" t="str">
        <f>IF(B401&gt;0.001,"BARRA A TRACCIÓN (+)",IF(B401&lt;-0.001,"BARRA A COMPRESIÓN (-)","BARRA DE FUERZA NULA"))</f>
        <v>BARRA A TRACCIÓN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52500</v>
      </c>
      <c r="C408" s="92">
        <f>-J13</f>
        <v>0</v>
      </c>
      <c r="D408" s="92">
        <f>-K13</f>
        <v>-1</v>
      </c>
      <c r="E408" s="92">
        <f>J13</f>
        <v>0</v>
      </c>
      <c r="F408" s="92">
        <f>K13</f>
        <v>1</v>
      </c>
      <c r="G408" s="96">
        <f>IFERROR(VLOOKUP(H408, A$334:D$345, 4, FALSE), 0)</f>
        <v>8.1349206349206282E-2</v>
      </c>
      <c r="H408" s="12" t="str">
        <f>"D" &amp; C25 &amp; "X"</f>
        <v>D2X</v>
      </c>
    </row>
    <row r="409" spans="1:8" ht="19.95" customHeight="1" x14ac:dyDescent="0.3">
      <c r="A409" s="99" t="s">
        <v>292</v>
      </c>
      <c r="B409" s="97">
        <f>(MMULT(C408:F408, G408:G411)*A408)</f>
        <v>3149.9999999999968</v>
      </c>
      <c r="G409" s="96">
        <f>IFERROR(VLOOKUP(H409, A$334:D$345, 4, FALSE), 0)</f>
        <v>-0.37132315559280898</v>
      </c>
      <c r="H409" s="12" t="str">
        <f>"D" &amp; D25 &amp; "Y"</f>
        <v>D2Y</v>
      </c>
    </row>
    <row r="410" spans="1:8" ht="19.95" customHeight="1" x14ac:dyDescent="0.3">
      <c r="G410" s="96">
        <f>IFERROR(VLOOKUP(H410, A$334:D$345, 4, FALSE), 0)</f>
        <v>8.1349206349206282E-2</v>
      </c>
      <c r="H410" s="12" t="str">
        <f>"D" &amp; E25 &amp; "X"</f>
        <v>D5X</v>
      </c>
    </row>
    <row r="411" spans="1:8" ht="19.95" customHeight="1" x14ac:dyDescent="0.3">
      <c r="G411" s="96">
        <f>IFERROR(VLOOKUP(H411, A$334:D$345, 4, FALSE), 0)</f>
        <v>-0.31132315559280904</v>
      </c>
      <c r="H411" s="12" t="str">
        <f>"D" &amp; F25 &amp; "Y"</f>
        <v>D5Y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64530.587486179567</v>
      </c>
      <c r="C416" s="92">
        <f>-J14</f>
        <v>-0.64018439966447982</v>
      </c>
      <c r="D416" s="92">
        <f>-K14</f>
        <v>-0.76822127959737585</v>
      </c>
      <c r="E416" s="92">
        <f>J14</f>
        <v>0.64018439966447982</v>
      </c>
      <c r="F416" s="92">
        <f>K14</f>
        <v>0.76822127959737585</v>
      </c>
      <c r="G416" s="96">
        <f>IFERROR(VLOOKUP(H416, A$334:D$345, 4, FALSE), 0)</f>
        <v>8.1349206349206282E-2</v>
      </c>
      <c r="H416" s="12" t="str">
        <f>"D" &amp; C26 &amp; "X"</f>
        <v>D2X</v>
      </c>
    </row>
    <row r="417" spans="1:8" ht="19.95" customHeight="1" x14ac:dyDescent="0.3">
      <c r="A417" s="99" t="s">
        <v>530</v>
      </c>
      <c r="B417" s="97">
        <f>(MMULT(C416:F416, G416:G419)*A416)</f>
        <v>1204.0801583689429</v>
      </c>
      <c r="G417" s="96">
        <f>IFERROR(VLOOKUP(H417, A$334:D$345, 4, FALSE), 0)</f>
        <v>-0.37132315559280898</v>
      </c>
      <c r="H417" s="12" t="str">
        <f>"D" &amp; D26 &amp; "Y"</f>
        <v>D2Y</v>
      </c>
    </row>
    <row r="418" spans="1:8" ht="19.95" customHeight="1" x14ac:dyDescent="0.3">
      <c r="G418" s="96">
        <f>IFERROR(VLOOKUP(H418, A$334:D$345, 4, FALSE), 0)</f>
        <v>-2.0520623894161844E-2</v>
      </c>
      <c r="H418" s="12" t="str">
        <f>"D" &amp; E26 &amp; "X"</f>
        <v>D6X</v>
      </c>
    </row>
    <row r="419" spans="1:8" ht="19.95" customHeight="1" x14ac:dyDescent="0.3">
      <c r="G419" s="96">
        <f>IFERROR(VLOOKUP(H419, A$334:D$345, 4, FALSE), 0)</f>
        <v>-0.26214297640173984</v>
      </c>
      <c r="H419" s="12" t="str">
        <f>"D" &amp; F26 &amp; "Y"</f>
        <v>D6Y</v>
      </c>
    </row>
    <row r="420" spans="1:8" ht="19.95" customHeight="1" x14ac:dyDescent="0.3">
      <c r="B420" s="99" t="s">
        <v>273</v>
      </c>
      <c r="C420" s="178" t="str">
        <f>IF(B417&gt;0.001,"BARRA A TRACCIÓN (+)",IF(B417&lt;-0.001,"BARRA A COMPRESIÓN (-)","BARRA DE FUERZA NULA"))</f>
        <v>BARRA A TRACCIÓN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400</v>
      </c>
      <c r="F425" s="9">
        <f t="shared" ref="F425:F433" si="52">L6</f>
        <v>12</v>
      </c>
      <c r="G425" s="97">
        <f>B353</f>
        <v>5124.9999999999955</v>
      </c>
      <c r="H425" s="84" t="str">
        <f>C356</f>
        <v>BARRA A TRACCIÓN (+)</v>
      </c>
    </row>
    <row r="426" spans="1:8" ht="19.95" customHeight="1" x14ac:dyDescent="0.3">
      <c r="B426" s="25">
        <v>2</v>
      </c>
      <c r="C426" s="86">
        <f t="shared" si="49"/>
        <v>2</v>
      </c>
      <c r="D426" s="86">
        <f t="shared" si="50"/>
        <v>3</v>
      </c>
      <c r="E426" s="9">
        <f t="shared" si="51"/>
        <v>400</v>
      </c>
      <c r="F426" s="9">
        <f t="shared" si="52"/>
        <v>12</v>
      </c>
      <c r="G426" s="97">
        <f>B361</f>
        <v>5125.0000000000009</v>
      </c>
      <c r="H426" s="84" t="str">
        <f>C364</f>
        <v>BARRA A TRACCIÓN (+)</v>
      </c>
    </row>
    <row r="427" spans="1:8" ht="19.95" customHeight="1" x14ac:dyDescent="0.3">
      <c r="B427" s="26">
        <v>3</v>
      </c>
      <c r="C427" s="86">
        <f t="shared" si="49"/>
        <v>1</v>
      </c>
      <c r="D427" s="86">
        <f t="shared" si="50"/>
        <v>4</v>
      </c>
      <c r="E427" s="9">
        <f t="shared" si="51"/>
        <v>335.41019662496848</v>
      </c>
      <c r="F427" s="9">
        <f t="shared" si="52"/>
        <v>12</v>
      </c>
      <c r="G427" s="97">
        <f>B369</f>
        <v>-11459.848384686411</v>
      </c>
      <c r="H427" s="84" t="str">
        <f>C372</f>
        <v>BARRA A COMPRESIÓN (-)</v>
      </c>
    </row>
    <row r="428" spans="1:8" ht="19.95" customHeight="1" x14ac:dyDescent="0.3">
      <c r="B428" s="43">
        <v>4</v>
      </c>
      <c r="C428" s="86">
        <f t="shared" si="49"/>
        <v>4</v>
      </c>
      <c r="D428" s="86">
        <f t="shared" si="50"/>
        <v>5</v>
      </c>
      <c r="E428" s="9">
        <f t="shared" si="51"/>
        <v>308.05843601498725</v>
      </c>
      <c r="F428" s="9">
        <f t="shared" si="52"/>
        <v>12</v>
      </c>
      <c r="G428" s="97">
        <f>B377</f>
        <v>-9113.3953987767072</v>
      </c>
      <c r="H428" s="84" t="str">
        <f>C380</f>
        <v>BARRA A COMPRESIÓN (-)</v>
      </c>
    </row>
    <row r="429" spans="1:8" ht="19.95" customHeight="1" x14ac:dyDescent="0.3">
      <c r="B429" s="44">
        <v>5</v>
      </c>
      <c r="C429" s="86">
        <f t="shared" si="49"/>
        <v>5</v>
      </c>
      <c r="D429" s="86">
        <f t="shared" si="50"/>
        <v>6</v>
      </c>
      <c r="E429" s="9">
        <f t="shared" si="51"/>
        <v>308.05843601498725</v>
      </c>
      <c r="F429" s="9">
        <f t="shared" si="52"/>
        <v>12</v>
      </c>
      <c r="G429" s="97">
        <f>B385</f>
        <v>-9113.3953987767054</v>
      </c>
      <c r="H429" s="84" t="str">
        <f>C388</f>
        <v>BARRA A COMPRESIÓN (-)</v>
      </c>
    </row>
    <row r="430" spans="1:8" ht="19.95" customHeight="1" x14ac:dyDescent="0.3">
      <c r="B430" s="51">
        <v>6</v>
      </c>
      <c r="C430" s="86">
        <f t="shared" si="49"/>
        <v>6</v>
      </c>
      <c r="D430" s="86">
        <f t="shared" si="50"/>
        <v>3</v>
      </c>
      <c r="E430" s="9">
        <f t="shared" si="51"/>
        <v>335.41019662496848</v>
      </c>
      <c r="F430" s="9">
        <f t="shared" si="52"/>
        <v>12</v>
      </c>
      <c r="G430" s="97">
        <f>B393</f>
        <v>-11459.848384686415</v>
      </c>
      <c r="H430" s="84" t="str">
        <f>C396</f>
        <v>BARRA A COMPRESIÓN (-)</v>
      </c>
    </row>
    <row r="431" spans="1:8" ht="19.95" customHeight="1" x14ac:dyDescent="0.3">
      <c r="B431" s="52">
        <v>7</v>
      </c>
      <c r="C431" s="86">
        <f t="shared" si="49"/>
        <v>2</v>
      </c>
      <c r="D431" s="86">
        <f t="shared" si="50"/>
        <v>4</v>
      </c>
      <c r="E431" s="9">
        <f t="shared" si="51"/>
        <v>390.51248379533274</v>
      </c>
      <c r="F431" s="9">
        <f t="shared" si="52"/>
        <v>12</v>
      </c>
      <c r="G431" s="97">
        <f>B401</f>
        <v>1204.0801583689447</v>
      </c>
      <c r="H431" s="84" t="str">
        <f>C404</f>
        <v>BARRA A TRACCIÓN (+)</v>
      </c>
    </row>
    <row r="432" spans="1:8" ht="19.95" customHeight="1" x14ac:dyDescent="0.3">
      <c r="B432" s="59">
        <v>8</v>
      </c>
      <c r="C432" s="86">
        <f t="shared" si="49"/>
        <v>2</v>
      </c>
      <c r="D432" s="86">
        <f t="shared" si="50"/>
        <v>5</v>
      </c>
      <c r="E432" s="9">
        <f t="shared" si="51"/>
        <v>480</v>
      </c>
      <c r="F432" s="9">
        <f t="shared" si="52"/>
        <v>12</v>
      </c>
      <c r="G432" s="97">
        <f>B409</f>
        <v>3149.9999999999968</v>
      </c>
      <c r="H432" s="84" t="str">
        <f>C412</f>
        <v>BARRA A TRACCIÓN (+)</v>
      </c>
    </row>
    <row r="433" spans="2:8" ht="19.95" customHeight="1" x14ac:dyDescent="0.3">
      <c r="B433" s="60">
        <v>9</v>
      </c>
      <c r="C433" s="86">
        <f t="shared" si="49"/>
        <v>2</v>
      </c>
      <c r="D433" s="86">
        <f t="shared" si="50"/>
        <v>6</v>
      </c>
      <c r="E433" s="9">
        <f t="shared" si="51"/>
        <v>390.51248379533274</v>
      </c>
      <c r="F433" s="9">
        <f t="shared" si="52"/>
        <v>12</v>
      </c>
      <c r="G433" s="97">
        <f>B417</f>
        <v>1204.0801583689429</v>
      </c>
      <c r="H433" s="84" t="str">
        <f>C420</f>
        <v>BARRA A TRACCIÓN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548</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0</v>
      </c>
      <c r="AB6" s="20">
        <f>IF(H28="","",H28)</f>
        <v>350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350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350</v>
      </c>
      <c r="AB11" s="20">
        <f>IF(F30="","",F30)</f>
        <v>0</v>
      </c>
      <c r="AC11" t="s">
        <v>324</v>
      </c>
    </row>
    <row r="12" spans="2:29" x14ac:dyDescent="0.3">
      <c r="AA12" s="20">
        <f>IF(G30="","",G30)</f>
        <v>700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513</v>
      </c>
      <c r="K14" s="172"/>
      <c r="L14" s="172"/>
      <c r="M14" s="172"/>
      <c r="N14" s="172"/>
      <c r="O14" s="173"/>
      <c r="AA14" s="20">
        <f>IF(E31="","",E31)</f>
        <v>0</v>
      </c>
      <c r="AB14" s="20">
        <f>IF(F31="","",F31)</f>
        <v>350</v>
      </c>
      <c r="AC14" t="s">
        <v>328</v>
      </c>
    </row>
    <row r="15" spans="2:29" ht="19.05" customHeight="1" x14ac:dyDescent="0.3">
      <c r="B15" s="89">
        <v>2</v>
      </c>
      <c r="C15" s="21">
        <v>0</v>
      </c>
      <c r="D15" s="21">
        <v>350</v>
      </c>
      <c r="E15" s="21" t="s">
        <v>417</v>
      </c>
      <c r="F15" s="88">
        <f t="shared" si="0"/>
        <v>1</v>
      </c>
      <c r="G15" s="88">
        <f t="shared" si="1"/>
        <v>0</v>
      </c>
      <c r="H15" s="22">
        <v>0</v>
      </c>
      <c r="I15" s="22">
        <v>0</v>
      </c>
      <c r="J15" s="205" t="s">
        <v>514</v>
      </c>
      <c r="K15" s="172"/>
      <c r="L15" s="172"/>
      <c r="M15" s="172"/>
      <c r="N15" s="172"/>
      <c r="O15" s="173"/>
      <c r="AA15" s="20">
        <f>IF(G31="","",G31)</f>
        <v>350</v>
      </c>
      <c r="AB15" s="20">
        <f>IF(H31="","",H31)</f>
        <v>350</v>
      </c>
      <c r="AC15" t="s">
        <v>331</v>
      </c>
    </row>
    <row r="16" spans="2:29" ht="19.05" customHeight="1" x14ac:dyDescent="0.3">
      <c r="B16" s="89">
        <v>3</v>
      </c>
      <c r="C16" s="21">
        <v>350</v>
      </c>
      <c r="D16" s="21">
        <v>0</v>
      </c>
      <c r="E16" s="21" t="s">
        <v>326</v>
      </c>
      <c r="F16" s="88">
        <f t="shared" si="0"/>
        <v>0</v>
      </c>
      <c r="G16" s="88">
        <f t="shared" si="1"/>
        <v>0</v>
      </c>
      <c r="H16" s="22">
        <v>0</v>
      </c>
      <c r="I16" s="22">
        <v>-4000</v>
      </c>
      <c r="J16" s="205" t="s">
        <v>497</v>
      </c>
      <c r="K16" s="172"/>
      <c r="L16" s="172"/>
      <c r="M16" s="172"/>
      <c r="N16" s="172"/>
      <c r="O16" s="173"/>
    </row>
    <row r="17" spans="2:29" ht="19.05" customHeight="1" x14ac:dyDescent="0.3">
      <c r="B17" s="89">
        <v>4</v>
      </c>
      <c r="C17" s="21">
        <v>350</v>
      </c>
      <c r="D17" s="21">
        <v>350</v>
      </c>
      <c r="E17" s="21" t="s">
        <v>326</v>
      </c>
      <c r="F17" s="88">
        <f t="shared" si="0"/>
        <v>0</v>
      </c>
      <c r="G17" s="88">
        <f t="shared" si="1"/>
        <v>0</v>
      </c>
      <c r="H17" s="22">
        <v>0</v>
      </c>
      <c r="I17" s="22">
        <v>-3500</v>
      </c>
      <c r="J17" s="205" t="s">
        <v>496</v>
      </c>
      <c r="K17" s="172"/>
      <c r="L17" s="172"/>
      <c r="M17" s="172"/>
      <c r="N17" s="172"/>
      <c r="O17" s="173"/>
      <c r="AA17" s="20">
        <f>IF(E32="","",E32)</f>
        <v>350</v>
      </c>
      <c r="AB17" s="20">
        <f>IF(F32="","",F32)</f>
        <v>350</v>
      </c>
      <c r="AC17" t="s">
        <v>334</v>
      </c>
    </row>
    <row r="18" spans="2:29" ht="19.05" customHeight="1" x14ac:dyDescent="0.3">
      <c r="B18" s="89">
        <v>5</v>
      </c>
      <c r="C18" s="21">
        <v>700</v>
      </c>
      <c r="D18" s="21">
        <v>0</v>
      </c>
      <c r="E18" s="21" t="s">
        <v>326</v>
      </c>
      <c r="F18" s="88">
        <f t="shared" si="0"/>
        <v>0</v>
      </c>
      <c r="G18" s="88">
        <f t="shared" si="1"/>
        <v>0</v>
      </c>
      <c r="H18" s="22">
        <v>0</v>
      </c>
      <c r="I18" s="22">
        <v>-5000</v>
      </c>
      <c r="J18" s="205" t="s">
        <v>549</v>
      </c>
      <c r="K18" s="172"/>
      <c r="L18" s="172"/>
      <c r="M18" s="172"/>
      <c r="N18" s="172"/>
      <c r="O18" s="173"/>
      <c r="AA18" s="20">
        <f>IF(G32="","",G32)</f>
        <v>700</v>
      </c>
      <c r="AB18" s="20">
        <f>IF(H32="","",H32)</f>
        <v>350</v>
      </c>
      <c r="AC18" t="s">
        <v>335</v>
      </c>
    </row>
    <row r="19" spans="2:29" ht="19.05" customHeight="1" x14ac:dyDescent="0.3">
      <c r="B19" s="89">
        <v>6</v>
      </c>
      <c r="C19" s="21">
        <v>700</v>
      </c>
      <c r="D19" s="21">
        <v>350</v>
      </c>
      <c r="E19" s="21" t="s">
        <v>326</v>
      </c>
      <c r="F19" s="88">
        <f t="shared" si="0"/>
        <v>0</v>
      </c>
      <c r="G19" s="88">
        <f t="shared" si="1"/>
        <v>0</v>
      </c>
      <c r="H19" s="22">
        <v>2000</v>
      </c>
      <c r="I19" s="22">
        <v>-6000</v>
      </c>
      <c r="J19" s="205" t="s">
        <v>550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350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700</v>
      </c>
      <c r="AB23" s="20">
        <f>IF(F34="","",F34)</f>
        <v>0</v>
      </c>
      <c r="AC23" t="s">
        <v>338</v>
      </c>
    </row>
    <row r="24" spans="2:29" x14ac:dyDescent="0.3">
      <c r="AA24" s="20">
        <f>IF(G34="","",G34)</f>
        <v>700</v>
      </c>
      <c r="AB24" s="20">
        <f>IF(H34="","",H34)</f>
        <v>350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350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350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1</v>
      </c>
      <c r="D29" s="23">
        <v>3</v>
      </c>
      <c r="E29" s="5">
        <f t="shared" si="2"/>
        <v>0</v>
      </c>
      <c r="F29" s="5">
        <f t="shared" si="3"/>
        <v>0</v>
      </c>
      <c r="G29" s="5">
        <f t="shared" si="4"/>
        <v>350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350</v>
      </c>
      <c r="AC29" t="s">
        <v>353</v>
      </c>
    </row>
    <row r="30" spans="2:29" ht="19.05" customHeight="1" x14ac:dyDescent="0.3">
      <c r="B30" s="89">
        <v>3</v>
      </c>
      <c r="C30" s="23">
        <v>3</v>
      </c>
      <c r="D30" s="23">
        <v>5</v>
      </c>
      <c r="E30" s="5">
        <f t="shared" si="2"/>
        <v>350</v>
      </c>
      <c r="F30" s="5">
        <f t="shared" si="3"/>
        <v>0</v>
      </c>
      <c r="G30" s="5">
        <f t="shared" si="4"/>
        <v>700</v>
      </c>
      <c r="H30" s="5">
        <f t="shared" si="5"/>
        <v>0</v>
      </c>
      <c r="I30" s="9">
        <f t="shared" si="6"/>
        <v>350</v>
      </c>
      <c r="J30" s="9">
        <f t="shared" si="7"/>
        <v>0</v>
      </c>
      <c r="K30" s="9">
        <f t="shared" si="8"/>
        <v>350</v>
      </c>
      <c r="L30" s="92">
        <f t="shared" si="9"/>
        <v>1</v>
      </c>
      <c r="M30" s="92">
        <f t="shared" si="10"/>
        <v>0</v>
      </c>
      <c r="N30" s="22">
        <v>12</v>
      </c>
      <c r="O30" s="24">
        <v>2100000</v>
      </c>
      <c r="AA30" s="20">
        <f>IF(G36="","",G36)</f>
        <v>700</v>
      </c>
      <c r="AB30" s="20">
        <f>IF(H36="","",H36)</f>
        <v>0</v>
      </c>
      <c r="AC30" t="s">
        <v>354</v>
      </c>
    </row>
    <row r="31" spans="2:29" ht="19.05" customHeight="1" x14ac:dyDescent="0.3">
      <c r="B31" s="89">
        <v>4</v>
      </c>
      <c r="C31" s="23">
        <v>2</v>
      </c>
      <c r="D31" s="23">
        <v>4</v>
      </c>
      <c r="E31" s="5">
        <f t="shared" si="2"/>
        <v>0</v>
      </c>
      <c r="F31" s="5">
        <f t="shared" si="3"/>
        <v>350</v>
      </c>
      <c r="G31" s="5">
        <f t="shared" si="4"/>
        <v>350</v>
      </c>
      <c r="H31" s="5">
        <f t="shared" si="5"/>
        <v>350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4</v>
      </c>
      <c r="D32" s="23">
        <v>6</v>
      </c>
      <c r="E32" s="5">
        <f t="shared" si="2"/>
        <v>350</v>
      </c>
      <c r="F32" s="5">
        <f t="shared" si="3"/>
        <v>350</v>
      </c>
      <c r="G32" s="5">
        <f t="shared" si="4"/>
        <v>700</v>
      </c>
      <c r="H32" s="5">
        <f t="shared" si="5"/>
        <v>350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3</v>
      </c>
      <c r="D33" s="23">
        <v>4</v>
      </c>
      <c r="E33" s="5">
        <f t="shared" si="2"/>
        <v>350</v>
      </c>
      <c r="F33" s="5">
        <f t="shared" si="3"/>
        <v>0</v>
      </c>
      <c r="G33" s="5">
        <f t="shared" si="4"/>
        <v>350</v>
      </c>
      <c r="H33" s="5">
        <f t="shared" si="5"/>
        <v>350</v>
      </c>
      <c r="I33" s="9">
        <f t="shared" si="6"/>
        <v>0</v>
      </c>
      <c r="J33" s="9">
        <f t="shared" si="7"/>
        <v>350</v>
      </c>
      <c r="K33" s="9">
        <f t="shared" si="8"/>
        <v>350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5</v>
      </c>
      <c r="D34" s="23">
        <v>6</v>
      </c>
      <c r="E34" s="5">
        <f t="shared" si="2"/>
        <v>700</v>
      </c>
      <c r="F34" s="5">
        <f t="shared" si="3"/>
        <v>0</v>
      </c>
      <c r="G34" s="5">
        <f t="shared" si="4"/>
        <v>700</v>
      </c>
      <c r="H34" s="5">
        <f t="shared" si="5"/>
        <v>350</v>
      </c>
      <c r="I34" s="9">
        <f t="shared" si="6"/>
        <v>0</v>
      </c>
      <c r="J34" s="9">
        <f t="shared" si="7"/>
        <v>350</v>
      </c>
      <c r="K34" s="9">
        <f t="shared" si="8"/>
        <v>350</v>
      </c>
      <c r="L34" s="92">
        <f t="shared" si="9"/>
        <v>0</v>
      </c>
      <c r="M34" s="92">
        <f t="shared" si="10"/>
        <v>1</v>
      </c>
      <c r="N34" s="22">
        <v>12</v>
      </c>
      <c r="O34" s="24">
        <v>2100000</v>
      </c>
    </row>
    <row r="35" spans="2:29" ht="19.05" customHeight="1" x14ac:dyDescent="0.3">
      <c r="B35" s="89">
        <v>8</v>
      </c>
      <c r="C35" s="23">
        <v>2</v>
      </c>
      <c r="D35" s="23">
        <v>3</v>
      </c>
      <c r="E35" s="5">
        <f t="shared" si="2"/>
        <v>0</v>
      </c>
      <c r="F35" s="5">
        <f t="shared" si="3"/>
        <v>350</v>
      </c>
      <c r="G35" s="5">
        <f t="shared" si="4"/>
        <v>350</v>
      </c>
      <c r="H35" s="5">
        <f t="shared" si="5"/>
        <v>0</v>
      </c>
      <c r="I35" s="9">
        <f t="shared" si="6"/>
        <v>350</v>
      </c>
      <c r="J35" s="9">
        <f t="shared" si="7"/>
        <v>-350</v>
      </c>
      <c r="K35" s="9">
        <f t="shared" si="8"/>
        <v>494.97474683058329</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v>4</v>
      </c>
      <c r="D36" s="23">
        <v>5</v>
      </c>
      <c r="E36" s="5">
        <f t="shared" si="2"/>
        <v>350</v>
      </c>
      <c r="F36" s="5">
        <f t="shared" si="3"/>
        <v>350</v>
      </c>
      <c r="G36" s="5">
        <f t="shared" si="4"/>
        <v>700</v>
      </c>
      <c r="H36" s="5">
        <f t="shared" si="5"/>
        <v>0</v>
      </c>
      <c r="I36" s="9">
        <f t="shared" si="6"/>
        <v>350</v>
      </c>
      <c r="J36" s="9">
        <f t="shared" si="7"/>
        <v>-350</v>
      </c>
      <c r="K36" s="9">
        <f t="shared" si="8"/>
        <v>494.97474683058329</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100-000000000000}">
      <formula1>"Fijo (articulado),Rodillo Y (despl. X libre),Rodillo X (despl. Y libre),Libre (0 reac.)"</formula1>
    </dataValidation>
  </dataValidations>
  <pageMargins left="0.75" right="0.75" top="1" bottom="1" header="0.5" footer="0.5"/>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551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GRAFICA_32!E28</f>
        <v>0</v>
      </c>
      <c r="D6" s="22">
        <f>GRAFICA_32!F28</f>
        <v>0</v>
      </c>
      <c r="E6" s="22">
        <f>GRAFICA_32!G28</f>
        <v>0</v>
      </c>
      <c r="F6" s="22">
        <f>GRAFICA_32!H28</f>
        <v>350</v>
      </c>
      <c r="G6" s="9">
        <f t="shared" ref="G6:G14" si="0">E6-C6</f>
        <v>0</v>
      </c>
      <c r="H6" s="9">
        <f t="shared" ref="H6:H14" si="1">F6-D6</f>
        <v>350</v>
      </c>
      <c r="I6" s="9">
        <f t="shared" ref="I6:I14" si="2">SQRT(G6*G6+H6*H6)</f>
        <v>350</v>
      </c>
      <c r="J6" s="92">
        <f t="shared" ref="J6:J14" si="3">G6/I6</f>
        <v>0</v>
      </c>
      <c r="K6" s="92">
        <f t="shared" ref="K6:K14" si="4">H6/I6</f>
        <v>1</v>
      </c>
      <c r="L6" s="22">
        <f>GRAFICA_32!N28</f>
        <v>12</v>
      </c>
      <c r="M6" s="22">
        <f>GRAFICA_32!O28</f>
        <v>2100000</v>
      </c>
      <c r="N6" s="6">
        <f t="shared" ref="N6:N14" si="5">L6*M6/I6</f>
        <v>72000</v>
      </c>
    </row>
    <row r="7" spans="2:14" ht="19.05" customHeight="1" x14ac:dyDescent="0.3">
      <c r="B7" s="25">
        <v>2</v>
      </c>
      <c r="C7" s="22">
        <f>GRAFICA_32!E29</f>
        <v>0</v>
      </c>
      <c r="D7" s="22">
        <f>GRAFICA_32!F29</f>
        <v>0</v>
      </c>
      <c r="E7" s="22">
        <f>GRAFICA_32!G29</f>
        <v>350</v>
      </c>
      <c r="F7" s="22">
        <f>GRAFICA_32!H29</f>
        <v>0</v>
      </c>
      <c r="G7" s="9">
        <f t="shared" si="0"/>
        <v>350</v>
      </c>
      <c r="H7" s="9">
        <f t="shared" si="1"/>
        <v>0</v>
      </c>
      <c r="I7" s="9">
        <f t="shared" si="2"/>
        <v>350</v>
      </c>
      <c r="J7" s="92">
        <f t="shared" si="3"/>
        <v>1</v>
      </c>
      <c r="K7" s="92">
        <f t="shared" si="4"/>
        <v>0</v>
      </c>
      <c r="L7" s="22">
        <f>GRAFICA_32!N29</f>
        <v>12</v>
      </c>
      <c r="M7" s="22">
        <f>GRAFICA_32!O29</f>
        <v>2100000</v>
      </c>
      <c r="N7" s="6">
        <f t="shared" si="5"/>
        <v>72000</v>
      </c>
    </row>
    <row r="8" spans="2:14" ht="19.05" customHeight="1" x14ac:dyDescent="0.3">
      <c r="B8" s="26">
        <v>3</v>
      </c>
      <c r="C8" s="22">
        <f>GRAFICA_32!E30</f>
        <v>350</v>
      </c>
      <c r="D8" s="22">
        <f>GRAFICA_32!F30</f>
        <v>0</v>
      </c>
      <c r="E8" s="22">
        <f>GRAFICA_32!G30</f>
        <v>700</v>
      </c>
      <c r="F8" s="22">
        <f>GRAFICA_32!H30</f>
        <v>0</v>
      </c>
      <c r="G8" s="9">
        <f t="shared" si="0"/>
        <v>350</v>
      </c>
      <c r="H8" s="9">
        <f t="shared" si="1"/>
        <v>0</v>
      </c>
      <c r="I8" s="9">
        <f t="shared" si="2"/>
        <v>350</v>
      </c>
      <c r="J8" s="92">
        <f t="shared" si="3"/>
        <v>1</v>
      </c>
      <c r="K8" s="92">
        <f t="shared" si="4"/>
        <v>0</v>
      </c>
      <c r="L8" s="22">
        <f>GRAFICA_32!N30</f>
        <v>12</v>
      </c>
      <c r="M8" s="22">
        <f>GRAFICA_32!O30</f>
        <v>2100000</v>
      </c>
      <c r="N8" s="6">
        <f t="shared" si="5"/>
        <v>72000</v>
      </c>
    </row>
    <row r="9" spans="2:14" ht="19.05" customHeight="1" x14ac:dyDescent="0.3">
      <c r="B9" s="43">
        <v>4</v>
      </c>
      <c r="C9" s="22">
        <f>GRAFICA_32!E31</f>
        <v>0</v>
      </c>
      <c r="D9" s="22">
        <f>GRAFICA_32!F31</f>
        <v>350</v>
      </c>
      <c r="E9" s="22">
        <f>GRAFICA_32!G31</f>
        <v>350</v>
      </c>
      <c r="F9" s="22">
        <f>GRAFICA_32!H31</f>
        <v>350</v>
      </c>
      <c r="G9" s="9">
        <f t="shared" si="0"/>
        <v>350</v>
      </c>
      <c r="H9" s="9">
        <f t="shared" si="1"/>
        <v>0</v>
      </c>
      <c r="I9" s="9">
        <f t="shared" si="2"/>
        <v>350</v>
      </c>
      <c r="J9" s="92">
        <f t="shared" si="3"/>
        <v>1</v>
      </c>
      <c r="K9" s="92">
        <f t="shared" si="4"/>
        <v>0</v>
      </c>
      <c r="L9" s="22">
        <f>GRAFICA_32!N31</f>
        <v>12</v>
      </c>
      <c r="M9" s="22">
        <f>GRAFICA_32!O31</f>
        <v>2100000</v>
      </c>
      <c r="N9" s="6">
        <f t="shared" si="5"/>
        <v>72000</v>
      </c>
    </row>
    <row r="10" spans="2:14" ht="19.05" customHeight="1" x14ac:dyDescent="0.3">
      <c r="B10" s="44">
        <v>5</v>
      </c>
      <c r="C10" s="22">
        <f>GRAFICA_32!E32</f>
        <v>350</v>
      </c>
      <c r="D10" s="22">
        <f>GRAFICA_32!F32</f>
        <v>350</v>
      </c>
      <c r="E10" s="22">
        <f>GRAFICA_32!G32</f>
        <v>700</v>
      </c>
      <c r="F10" s="22">
        <f>GRAFICA_32!H32</f>
        <v>350</v>
      </c>
      <c r="G10" s="9">
        <f t="shared" si="0"/>
        <v>350</v>
      </c>
      <c r="H10" s="9">
        <f t="shared" si="1"/>
        <v>0</v>
      </c>
      <c r="I10" s="9">
        <f t="shared" si="2"/>
        <v>350</v>
      </c>
      <c r="J10" s="92">
        <f t="shared" si="3"/>
        <v>1</v>
      </c>
      <c r="K10" s="92">
        <f t="shared" si="4"/>
        <v>0</v>
      </c>
      <c r="L10" s="22">
        <f>GRAFICA_32!N32</f>
        <v>12</v>
      </c>
      <c r="M10" s="22">
        <f>GRAFICA_32!O32</f>
        <v>2100000</v>
      </c>
      <c r="N10" s="6">
        <f t="shared" si="5"/>
        <v>72000</v>
      </c>
    </row>
    <row r="11" spans="2:14" ht="19.05" customHeight="1" x14ac:dyDescent="0.3">
      <c r="B11" s="51">
        <v>6</v>
      </c>
      <c r="C11" s="22">
        <f>GRAFICA_32!E33</f>
        <v>350</v>
      </c>
      <c r="D11" s="22">
        <f>GRAFICA_32!F33</f>
        <v>0</v>
      </c>
      <c r="E11" s="22">
        <f>GRAFICA_32!G33</f>
        <v>350</v>
      </c>
      <c r="F11" s="22">
        <f>GRAFICA_32!H33</f>
        <v>350</v>
      </c>
      <c r="G11" s="9">
        <f t="shared" si="0"/>
        <v>0</v>
      </c>
      <c r="H11" s="9">
        <f t="shared" si="1"/>
        <v>350</v>
      </c>
      <c r="I11" s="9">
        <f t="shared" si="2"/>
        <v>350</v>
      </c>
      <c r="J11" s="92">
        <f t="shared" si="3"/>
        <v>0</v>
      </c>
      <c r="K11" s="92">
        <f t="shared" si="4"/>
        <v>1</v>
      </c>
      <c r="L11" s="22">
        <f>GRAFICA_32!N33</f>
        <v>12</v>
      </c>
      <c r="M11" s="22">
        <f>GRAFICA_32!O33</f>
        <v>2100000</v>
      </c>
      <c r="N11" s="6">
        <f t="shared" si="5"/>
        <v>72000</v>
      </c>
    </row>
    <row r="12" spans="2:14" ht="19.05" customHeight="1" x14ac:dyDescent="0.3">
      <c r="B12" s="52">
        <v>7</v>
      </c>
      <c r="C12" s="22">
        <f>GRAFICA_32!E34</f>
        <v>700</v>
      </c>
      <c r="D12" s="22">
        <f>GRAFICA_32!F34</f>
        <v>0</v>
      </c>
      <c r="E12" s="22">
        <f>GRAFICA_32!G34</f>
        <v>700</v>
      </c>
      <c r="F12" s="22">
        <f>GRAFICA_32!H34</f>
        <v>350</v>
      </c>
      <c r="G12" s="9">
        <f t="shared" si="0"/>
        <v>0</v>
      </c>
      <c r="H12" s="9">
        <f t="shared" si="1"/>
        <v>350</v>
      </c>
      <c r="I12" s="9">
        <f t="shared" si="2"/>
        <v>350</v>
      </c>
      <c r="J12" s="92">
        <f t="shared" si="3"/>
        <v>0</v>
      </c>
      <c r="K12" s="92">
        <f t="shared" si="4"/>
        <v>1</v>
      </c>
      <c r="L12" s="22">
        <f>GRAFICA_32!N34</f>
        <v>12</v>
      </c>
      <c r="M12" s="22">
        <f>GRAFICA_32!O34</f>
        <v>2100000</v>
      </c>
      <c r="N12" s="6">
        <f t="shared" si="5"/>
        <v>72000</v>
      </c>
    </row>
    <row r="13" spans="2:14" ht="19.05" customHeight="1" x14ac:dyDescent="0.3">
      <c r="B13" s="59">
        <v>8</v>
      </c>
      <c r="C13" s="22">
        <f>GRAFICA_32!E35</f>
        <v>0</v>
      </c>
      <c r="D13" s="22">
        <f>GRAFICA_32!F35</f>
        <v>350</v>
      </c>
      <c r="E13" s="22">
        <f>GRAFICA_32!G35</f>
        <v>350</v>
      </c>
      <c r="F13" s="22">
        <f>GRAFICA_32!H35</f>
        <v>0</v>
      </c>
      <c r="G13" s="9">
        <f t="shared" si="0"/>
        <v>350</v>
      </c>
      <c r="H13" s="9">
        <f t="shared" si="1"/>
        <v>-350</v>
      </c>
      <c r="I13" s="9">
        <f t="shared" si="2"/>
        <v>494.97474683058329</v>
      </c>
      <c r="J13" s="92">
        <f t="shared" si="3"/>
        <v>0.70710678118654746</v>
      </c>
      <c r="K13" s="92">
        <f t="shared" si="4"/>
        <v>-0.70710678118654746</v>
      </c>
      <c r="L13" s="22">
        <f>GRAFICA_32!N35</f>
        <v>12</v>
      </c>
      <c r="M13" s="22">
        <f>GRAFICA_32!O35</f>
        <v>2100000</v>
      </c>
      <c r="N13" s="6">
        <f t="shared" si="5"/>
        <v>50911.688245431418</v>
      </c>
    </row>
    <row r="14" spans="2:14" ht="19.05" customHeight="1" x14ac:dyDescent="0.3">
      <c r="B14" s="60">
        <v>9</v>
      </c>
      <c r="C14" s="22">
        <f>GRAFICA_32!E36</f>
        <v>350</v>
      </c>
      <c r="D14" s="22">
        <f>GRAFICA_32!F36</f>
        <v>350</v>
      </c>
      <c r="E14" s="22">
        <f>GRAFICA_32!G36</f>
        <v>700</v>
      </c>
      <c r="F14" s="22">
        <f>GRAFICA_32!H36</f>
        <v>0</v>
      </c>
      <c r="G14" s="9">
        <f t="shared" si="0"/>
        <v>350</v>
      </c>
      <c r="H14" s="9">
        <f t="shared" si="1"/>
        <v>-350</v>
      </c>
      <c r="I14" s="9">
        <f t="shared" si="2"/>
        <v>494.97474683058329</v>
      </c>
      <c r="J14" s="92">
        <f t="shared" si="3"/>
        <v>0.70710678118654746</v>
      </c>
      <c r="K14" s="92">
        <f t="shared" si="4"/>
        <v>-0.70710678118654746</v>
      </c>
      <c r="L14" s="22">
        <f>GRAFICA_32!N36</f>
        <v>12</v>
      </c>
      <c r="M14" s="22">
        <f>GRAFICA_32!O36</f>
        <v>2100000</v>
      </c>
      <c r="N14" s="6">
        <f t="shared" si="5"/>
        <v>50911.688245431418</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GRAFICA_32!C28</f>
        <v>1</v>
      </c>
      <c r="D18" s="23">
        <f>GRAFICA_32!C28</f>
        <v>1</v>
      </c>
      <c r="E18" s="23">
        <f>GRAFICA_32!D28</f>
        <v>2</v>
      </c>
      <c r="F18" s="23">
        <f>GRAFICA_32!D28</f>
        <v>2</v>
      </c>
    </row>
    <row r="19" spans="1:6" ht="19.05" customHeight="1" x14ac:dyDescent="0.3">
      <c r="B19" s="25">
        <v>2</v>
      </c>
      <c r="C19" s="23">
        <f>GRAFICA_32!C29</f>
        <v>1</v>
      </c>
      <c r="D19" s="23">
        <f>GRAFICA_32!C29</f>
        <v>1</v>
      </c>
      <c r="E19" s="23">
        <f>GRAFICA_32!D29</f>
        <v>3</v>
      </c>
      <c r="F19" s="23">
        <f>GRAFICA_32!D29</f>
        <v>3</v>
      </c>
    </row>
    <row r="20" spans="1:6" ht="19.05" customHeight="1" x14ac:dyDescent="0.3">
      <c r="B20" s="26">
        <v>3</v>
      </c>
      <c r="C20" s="23">
        <f>GRAFICA_32!C30</f>
        <v>3</v>
      </c>
      <c r="D20" s="23">
        <f>GRAFICA_32!C30</f>
        <v>3</v>
      </c>
      <c r="E20" s="23">
        <f>GRAFICA_32!D30</f>
        <v>5</v>
      </c>
      <c r="F20" s="23">
        <f>GRAFICA_32!D30</f>
        <v>5</v>
      </c>
    </row>
    <row r="21" spans="1:6" ht="19.05" customHeight="1" x14ac:dyDescent="0.3">
      <c r="B21" s="43">
        <v>4</v>
      </c>
      <c r="C21" s="23">
        <f>GRAFICA_32!C31</f>
        <v>2</v>
      </c>
      <c r="D21" s="23">
        <f>GRAFICA_32!C31</f>
        <v>2</v>
      </c>
      <c r="E21" s="23">
        <f>GRAFICA_32!D31</f>
        <v>4</v>
      </c>
      <c r="F21" s="23">
        <f>GRAFICA_32!D31</f>
        <v>4</v>
      </c>
    </row>
    <row r="22" spans="1:6" ht="19.05" customHeight="1" x14ac:dyDescent="0.3">
      <c r="B22" s="44">
        <v>5</v>
      </c>
      <c r="C22" s="23">
        <f>GRAFICA_32!C32</f>
        <v>4</v>
      </c>
      <c r="D22" s="23">
        <f>GRAFICA_32!C32</f>
        <v>4</v>
      </c>
      <c r="E22" s="23">
        <f>GRAFICA_32!D32</f>
        <v>6</v>
      </c>
      <c r="F22" s="23">
        <f>GRAFICA_32!D32</f>
        <v>6</v>
      </c>
    </row>
    <row r="23" spans="1:6" ht="19.05" customHeight="1" x14ac:dyDescent="0.3">
      <c r="B23" s="51">
        <v>6</v>
      </c>
      <c r="C23" s="23">
        <f>GRAFICA_32!C33</f>
        <v>3</v>
      </c>
      <c r="D23" s="23">
        <f>GRAFICA_32!C33</f>
        <v>3</v>
      </c>
      <c r="E23" s="23">
        <f>GRAFICA_32!D33</f>
        <v>4</v>
      </c>
      <c r="F23" s="23">
        <f>GRAFICA_32!D33</f>
        <v>4</v>
      </c>
    </row>
    <row r="24" spans="1:6" ht="19.05" customHeight="1" x14ac:dyDescent="0.3">
      <c r="B24" s="52">
        <v>7</v>
      </c>
      <c r="C24" s="23">
        <f>GRAFICA_32!C34</f>
        <v>5</v>
      </c>
      <c r="D24" s="23">
        <f>GRAFICA_32!C34</f>
        <v>5</v>
      </c>
      <c r="E24" s="23">
        <f>GRAFICA_32!D34</f>
        <v>6</v>
      </c>
      <c r="F24" s="23">
        <f>GRAFICA_32!D34</f>
        <v>6</v>
      </c>
    </row>
    <row r="25" spans="1:6" ht="19.05" customHeight="1" x14ac:dyDescent="0.3">
      <c r="B25" s="59">
        <v>8</v>
      </c>
      <c r="C25" s="23">
        <f>GRAFICA_32!C35</f>
        <v>2</v>
      </c>
      <c r="D25" s="23">
        <f>GRAFICA_32!C35</f>
        <v>2</v>
      </c>
      <c r="E25" s="23">
        <f>GRAFICA_32!D35</f>
        <v>3</v>
      </c>
      <c r="F25" s="23">
        <f>GRAFICA_32!D35</f>
        <v>3</v>
      </c>
    </row>
    <row r="26" spans="1:6" ht="19.05" customHeight="1" x14ac:dyDescent="0.3">
      <c r="B26" s="60">
        <v>9</v>
      </c>
      <c r="C26" s="23">
        <f>GRAFICA_32!C36</f>
        <v>4</v>
      </c>
      <c r="D26" s="23">
        <f>GRAFICA_32!C36</f>
        <v>4</v>
      </c>
      <c r="E26" s="23">
        <f>GRAFICA_32!D36</f>
        <v>5</v>
      </c>
      <c r="F26" s="23">
        <f>GRAFICA_32!D36</f>
        <v>5</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0</v>
      </c>
      <c r="C30" s="7">
        <f>J6*K6*N6</f>
        <v>0</v>
      </c>
      <c r="D30" s="7">
        <f>-B30</f>
        <v>0</v>
      </c>
      <c r="E30" s="7">
        <f>-C30</f>
        <v>0</v>
      </c>
      <c r="F30" s="27" t="str">
        <f>B29</f>
        <v>U1X</v>
      </c>
    </row>
    <row r="31" spans="1:6" ht="16.8" customHeight="1" x14ac:dyDescent="0.3">
      <c r="A31" s="28" t="s">
        <v>177</v>
      </c>
      <c r="B31" s="7">
        <f>C30</f>
        <v>0</v>
      </c>
      <c r="C31" s="7">
        <f>K6*K6*N6</f>
        <v>72000</v>
      </c>
      <c r="D31" s="7">
        <f>-B31</f>
        <v>0</v>
      </c>
      <c r="E31" s="7">
        <f>-C31</f>
        <v>-72000</v>
      </c>
      <c r="F31" s="27" t="str">
        <f>C29</f>
        <v>U1Y</v>
      </c>
    </row>
    <row r="32" spans="1:6" x14ac:dyDescent="0.3">
      <c r="B32" s="7">
        <f>D30</f>
        <v>0</v>
      </c>
      <c r="C32" s="7">
        <f>E30</f>
        <v>0</v>
      </c>
      <c r="D32" s="7">
        <f>B30</f>
        <v>0</v>
      </c>
      <c r="E32" s="7">
        <f>C30</f>
        <v>0</v>
      </c>
      <c r="F32" s="27" t="str">
        <f>D29</f>
        <v>U2X</v>
      </c>
    </row>
    <row r="33" spans="1:14" x14ac:dyDescent="0.3">
      <c r="B33" s="7">
        <f>D31</f>
        <v>0</v>
      </c>
      <c r="C33" s="7">
        <f>E31</f>
        <v>-72000</v>
      </c>
      <c r="D33" s="7">
        <f>B31</f>
        <v>0</v>
      </c>
      <c r="E33" s="7">
        <f>C31</f>
        <v>72000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0</v>
      </c>
      <c r="C36" s="8">
        <f t="shared" si="6"/>
        <v>0</v>
      </c>
      <c r="D36" s="8">
        <f t="shared" si="6"/>
        <v>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72000</v>
      </c>
      <c r="D37" s="8">
        <f t="shared" si="6"/>
        <v>0</v>
      </c>
      <c r="E37" s="8">
        <f t="shared" si="6"/>
        <v>-72000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0</v>
      </c>
      <c r="C38" s="8">
        <f t="shared" si="6"/>
        <v>0</v>
      </c>
      <c r="D38" s="8">
        <f t="shared" si="6"/>
        <v>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-72000</v>
      </c>
      <c r="D39" s="8">
        <f t="shared" si="6"/>
        <v>0</v>
      </c>
      <c r="E39" s="8">
        <f t="shared" si="6"/>
        <v>72000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U3X</v>
      </c>
      <c r="E50" s="29" t="str">
        <f>CONCATENATE("U",F19,F$17)</f>
        <v>U3Y</v>
      </c>
    </row>
    <row r="51" spans="1:14" x14ac:dyDescent="0.3">
      <c r="B51" s="30">
        <f>J7*J7*N7</f>
        <v>72000</v>
      </c>
      <c r="C51" s="30">
        <f>J7*K7*N7</f>
        <v>0</v>
      </c>
      <c r="D51" s="30">
        <f>-B51</f>
        <v>-72000</v>
      </c>
      <c r="E51" s="30">
        <f>-C51</f>
        <v>0</v>
      </c>
      <c r="F51" s="29" t="str">
        <f>B50</f>
        <v>U1X</v>
      </c>
    </row>
    <row r="52" spans="1:14" ht="16.8" customHeight="1" x14ac:dyDescent="0.3">
      <c r="A52" s="28" t="s">
        <v>191</v>
      </c>
      <c r="B52" s="30">
        <f>C51</f>
        <v>0</v>
      </c>
      <c r="C52" s="30">
        <f>K7*K7*N7</f>
        <v>0</v>
      </c>
      <c r="D52" s="30">
        <f>-B52</f>
        <v>0</v>
      </c>
      <c r="E52" s="30">
        <f>-C52</f>
        <v>0</v>
      </c>
      <c r="F52" s="29" t="str">
        <f>C50</f>
        <v>U1Y</v>
      </c>
    </row>
    <row r="53" spans="1:14" x14ac:dyDescent="0.3">
      <c r="B53" s="30">
        <f>D51</f>
        <v>-72000</v>
      </c>
      <c r="C53" s="30">
        <f>E51</f>
        <v>0</v>
      </c>
      <c r="D53" s="30">
        <f>B51</f>
        <v>72000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72000</v>
      </c>
      <c r="C57" s="31">
        <f t="shared" si="7"/>
        <v>0</v>
      </c>
      <c r="D57" s="9">
        <f t="shared" si="7"/>
        <v>0</v>
      </c>
      <c r="E57" s="9">
        <f t="shared" si="7"/>
        <v>0</v>
      </c>
      <c r="F57" s="31">
        <f t="shared" si="7"/>
        <v>-72000</v>
      </c>
      <c r="G57" s="31">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31">
        <f t="shared" si="7"/>
        <v>0</v>
      </c>
      <c r="C58" s="31">
        <f t="shared" si="7"/>
        <v>0</v>
      </c>
      <c r="D58" s="9">
        <f t="shared" si="7"/>
        <v>0</v>
      </c>
      <c r="E58" s="9">
        <f t="shared" si="7"/>
        <v>0</v>
      </c>
      <c r="F58" s="31">
        <f t="shared" si="7"/>
        <v>0</v>
      </c>
      <c r="G58" s="31">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31">
        <f t="shared" si="7"/>
        <v>-72000</v>
      </c>
      <c r="C61" s="31">
        <f t="shared" si="7"/>
        <v>0</v>
      </c>
      <c r="D61" s="9">
        <f t="shared" si="7"/>
        <v>0</v>
      </c>
      <c r="E61" s="9">
        <f t="shared" si="7"/>
        <v>0</v>
      </c>
      <c r="F61" s="31">
        <f t="shared" si="7"/>
        <v>72000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31">
        <f t="shared" si="7"/>
        <v>0</v>
      </c>
      <c r="C62" s="31">
        <f t="shared" si="7"/>
        <v>0</v>
      </c>
      <c r="D62" s="9">
        <f t="shared" si="7"/>
        <v>0</v>
      </c>
      <c r="E62" s="9">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U5X</v>
      </c>
      <c r="E71" s="32" t="str">
        <f>CONCATENATE("U",F20,F$17)</f>
        <v>U5Y</v>
      </c>
    </row>
    <row r="72" spans="1:14" x14ac:dyDescent="0.3">
      <c r="B72" s="33">
        <f>J8*J8*N8</f>
        <v>72000</v>
      </c>
      <c r="C72" s="33">
        <f>J8*K8*N8</f>
        <v>0</v>
      </c>
      <c r="D72" s="33">
        <f>-B72</f>
        <v>-72000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-72000</v>
      </c>
      <c r="C74" s="33">
        <f>E72</f>
        <v>0</v>
      </c>
      <c r="D74" s="33">
        <f>B72</f>
        <v>72000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72000</v>
      </c>
      <c r="G82" s="34">
        <f t="shared" si="8"/>
        <v>0</v>
      </c>
      <c r="H82" s="9">
        <f t="shared" si="8"/>
        <v>0</v>
      </c>
      <c r="I82" s="9">
        <f t="shared" si="8"/>
        <v>0</v>
      </c>
      <c r="J82" s="34">
        <f t="shared" si="8"/>
        <v>-72000</v>
      </c>
      <c r="K82" s="34">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9">
        <f t="shared" si="8"/>
        <v>0</v>
      </c>
      <c r="I83" s="9">
        <f t="shared" si="8"/>
        <v>0</v>
      </c>
      <c r="J83" s="34">
        <f t="shared" si="8"/>
        <v>0</v>
      </c>
      <c r="K83" s="34">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34">
        <f t="shared" si="8"/>
        <v>-72000</v>
      </c>
      <c r="G86" s="34">
        <f t="shared" si="8"/>
        <v>0</v>
      </c>
      <c r="H86" s="9">
        <f t="shared" si="8"/>
        <v>0</v>
      </c>
      <c r="I86" s="9">
        <f t="shared" si="8"/>
        <v>0</v>
      </c>
      <c r="J86" s="34">
        <f t="shared" si="8"/>
        <v>72000</v>
      </c>
      <c r="K86" s="34">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34">
        <f t="shared" si="8"/>
        <v>0</v>
      </c>
      <c r="G87" s="34">
        <f t="shared" si="8"/>
        <v>0</v>
      </c>
      <c r="H87" s="9">
        <f t="shared" si="8"/>
        <v>0</v>
      </c>
      <c r="I87" s="9">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U2X</v>
      </c>
      <c r="C92" s="45" t="str">
        <f>CONCATENATE("U",D21,D$17)</f>
        <v>U2Y</v>
      </c>
      <c r="D92" s="45" t="str">
        <f>CONCATENATE("U",E21,E$17)</f>
        <v>U4X</v>
      </c>
      <c r="E92" s="45" t="str">
        <f>CONCATENATE("U",F21,F$17)</f>
        <v>U4Y</v>
      </c>
    </row>
    <row r="93" spans="1:14" x14ac:dyDescent="0.3">
      <c r="B93" s="46">
        <f>J9*J9*N9</f>
        <v>72000</v>
      </c>
      <c r="C93" s="46">
        <f>J9*K9*N9</f>
        <v>0</v>
      </c>
      <c r="D93" s="46">
        <f>-B93</f>
        <v>-72000</v>
      </c>
      <c r="E93" s="46">
        <f>-C93</f>
        <v>0</v>
      </c>
      <c r="F93" s="45" t="str">
        <f>B92</f>
        <v>U2X</v>
      </c>
    </row>
    <row r="94" spans="1:14" ht="16.8" customHeight="1" x14ac:dyDescent="0.3">
      <c r="A94" s="28" t="s">
        <v>195</v>
      </c>
      <c r="B94" s="46">
        <f>C93</f>
        <v>0</v>
      </c>
      <c r="C94" s="46">
        <f>K9*K9*N9</f>
        <v>0</v>
      </c>
      <c r="D94" s="46">
        <f>-B94</f>
        <v>0</v>
      </c>
      <c r="E94" s="46">
        <f>-C94</f>
        <v>0</v>
      </c>
      <c r="F94" s="45" t="str">
        <f>C92</f>
        <v>U2Y</v>
      </c>
    </row>
    <row r="95" spans="1:14" x14ac:dyDescent="0.3">
      <c r="B95" s="46">
        <f>D93</f>
        <v>-72000</v>
      </c>
      <c r="C95" s="46">
        <f>E93</f>
        <v>0</v>
      </c>
      <c r="D95" s="46">
        <f>B93</f>
        <v>72000</v>
      </c>
      <c r="E95" s="46">
        <f>C93</f>
        <v>0</v>
      </c>
      <c r="F95" s="45" t="str">
        <f>D92</f>
        <v>U4X</v>
      </c>
    </row>
    <row r="96" spans="1:14" x14ac:dyDescent="0.3">
      <c r="B96" s="46">
        <f>D94</f>
        <v>0</v>
      </c>
      <c r="C96" s="46">
        <f>E94</f>
        <v>0</v>
      </c>
      <c r="D96" s="46">
        <f>B94</f>
        <v>0</v>
      </c>
      <c r="E96" s="46">
        <f>C94</f>
        <v>0</v>
      </c>
      <c r="F96" s="45" t="str">
        <f>E92</f>
        <v>U4Y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47">
        <f t="shared" si="9"/>
        <v>72000</v>
      </c>
      <c r="E101" s="47">
        <f t="shared" si="9"/>
        <v>0</v>
      </c>
      <c r="F101" s="9">
        <f t="shared" si="9"/>
        <v>0</v>
      </c>
      <c r="G101" s="9">
        <f t="shared" si="9"/>
        <v>0</v>
      </c>
      <c r="H101" s="47">
        <f t="shared" si="9"/>
        <v>-72000</v>
      </c>
      <c r="I101" s="47">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47">
        <f t="shared" si="9"/>
        <v>0</v>
      </c>
      <c r="E102" s="47">
        <f t="shared" si="9"/>
        <v>0</v>
      </c>
      <c r="F102" s="9">
        <f t="shared" si="9"/>
        <v>0</v>
      </c>
      <c r="G102" s="9">
        <f t="shared" si="9"/>
        <v>0</v>
      </c>
      <c r="H102" s="47">
        <f t="shared" si="9"/>
        <v>0</v>
      </c>
      <c r="I102" s="47">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47">
        <f t="shared" si="9"/>
        <v>-72000</v>
      </c>
      <c r="E105" s="47">
        <f t="shared" si="9"/>
        <v>0</v>
      </c>
      <c r="F105" s="9">
        <f t="shared" si="9"/>
        <v>0</v>
      </c>
      <c r="G105" s="9">
        <f t="shared" si="9"/>
        <v>0</v>
      </c>
      <c r="H105" s="47">
        <f t="shared" si="9"/>
        <v>72000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47">
        <f t="shared" si="9"/>
        <v>0</v>
      </c>
      <c r="E106" s="47">
        <f t="shared" si="9"/>
        <v>0</v>
      </c>
      <c r="F106" s="9">
        <f t="shared" si="9"/>
        <v>0</v>
      </c>
      <c r="G106" s="9">
        <f t="shared" si="9"/>
        <v>0</v>
      </c>
      <c r="H106" s="47">
        <f t="shared" si="9"/>
        <v>0</v>
      </c>
      <c r="I106" s="47">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U4X</v>
      </c>
      <c r="C113" s="48" t="str">
        <f>CONCATENATE("U",D22,D$17)</f>
        <v>U4Y</v>
      </c>
      <c r="D113" s="48" t="str">
        <f>CONCATENATE("U",E22,E$17)</f>
        <v>U6X</v>
      </c>
      <c r="E113" s="48" t="str">
        <f>CONCATENATE("U",F22,F$17)</f>
        <v>U6Y</v>
      </c>
    </row>
    <row r="114" spans="1:14" x14ac:dyDescent="0.3">
      <c r="B114" s="49">
        <f>J10*J10*N10</f>
        <v>72000</v>
      </c>
      <c r="C114" s="49">
        <f>J10*K10*N10</f>
        <v>0</v>
      </c>
      <c r="D114" s="49">
        <f>-B114</f>
        <v>-72000</v>
      </c>
      <c r="E114" s="49">
        <f>-C114</f>
        <v>0</v>
      </c>
      <c r="F114" s="48" t="str">
        <f>B113</f>
        <v>U4X</v>
      </c>
    </row>
    <row r="115" spans="1:14" ht="16.8" customHeight="1" x14ac:dyDescent="0.3">
      <c r="A115" s="28" t="s">
        <v>197</v>
      </c>
      <c r="B115" s="49">
        <f>C114</f>
        <v>0</v>
      </c>
      <c r="C115" s="49">
        <f>K10*K10*N10</f>
        <v>0</v>
      </c>
      <c r="D115" s="49">
        <f>-B115</f>
        <v>0</v>
      </c>
      <c r="E115" s="49">
        <f>-C115</f>
        <v>0</v>
      </c>
      <c r="F115" s="48" t="str">
        <f>C113</f>
        <v>U4Y</v>
      </c>
    </row>
    <row r="116" spans="1:14" x14ac:dyDescent="0.3">
      <c r="B116" s="49">
        <f>D114</f>
        <v>-72000</v>
      </c>
      <c r="C116" s="49">
        <f>E114</f>
        <v>0</v>
      </c>
      <c r="D116" s="49">
        <f>B114</f>
        <v>72000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50">
        <f t="shared" si="10"/>
        <v>72000</v>
      </c>
      <c r="I126" s="50">
        <f t="shared" si="10"/>
        <v>0</v>
      </c>
      <c r="J126" s="9">
        <f t="shared" si="10"/>
        <v>0</v>
      </c>
      <c r="K126" s="9">
        <f t="shared" si="10"/>
        <v>0</v>
      </c>
      <c r="L126" s="50">
        <f t="shared" si="10"/>
        <v>-72000</v>
      </c>
      <c r="M126" s="50">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50">
        <f t="shared" si="10"/>
        <v>0</v>
      </c>
      <c r="I127" s="50">
        <f t="shared" si="10"/>
        <v>0</v>
      </c>
      <c r="J127" s="9">
        <f t="shared" si="10"/>
        <v>0</v>
      </c>
      <c r="K127" s="9">
        <f t="shared" si="10"/>
        <v>0</v>
      </c>
      <c r="L127" s="50">
        <f t="shared" si="10"/>
        <v>0</v>
      </c>
      <c r="M127" s="50">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50">
        <f t="shared" si="10"/>
        <v>-72000</v>
      </c>
      <c r="I130" s="50">
        <f t="shared" si="10"/>
        <v>0</v>
      </c>
      <c r="J130" s="9">
        <f t="shared" si="10"/>
        <v>0</v>
      </c>
      <c r="K130" s="9">
        <f t="shared" si="10"/>
        <v>0</v>
      </c>
      <c r="L130" s="50">
        <f t="shared" si="10"/>
        <v>72000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50">
        <f t="shared" si="10"/>
        <v>0</v>
      </c>
      <c r="I131" s="50">
        <f t="shared" si="10"/>
        <v>0</v>
      </c>
      <c r="J131" s="9">
        <f t="shared" si="10"/>
        <v>0</v>
      </c>
      <c r="K131" s="9">
        <f t="shared" si="10"/>
        <v>0</v>
      </c>
      <c r="L131" s="50">
        <f t="shared" si="10"/>
        <v>0</v>
      </c>
      <c r="M131" s="50">
        <f t="shared" si="10"/>
        <v>0</v>
      </c>
      <c r="N131" s="48" t="s">
        <v>189</v>
      </c>
    </row>
    <row r="134" spans="1:14" ht="18" customHeight="1" x14ac:dyDescent="0.3">
      <c r="B134" s="53" t="str">
        <f>CONCATENATE("U",C23,C$17)</f>
        <v>U3X</v>
      </c>
      <c r="C134" s="53" t="str">
        <f>CONCATENATE("U",D23,D$17)</f>
        <v>U3Y</v>
      </c>
      <c r="D134" s="53" t="str">
        <f>CONCATENATE("U",E23,E$17)</f>
        <v>U4X</v>
      </c>
      <c r="E134" s="53" t="str">
        <f>CONCATENATE("U",F23,F$17)</f>
        <v>U4Y</v>
      </c>
    </row>
    <row r="135" spans="1:14" x14ac:dyDescent="0.3">
      <c r="B135" s="54">
        <f>J11*J11*N11</f>
        <v>0</v>
      </c>
      <c r="C135" s="54">
        <f>J11*K11*N11</f>
        <v>0</v>
      </c>
      <c r="D135" s="54">
        <f>-B135</f>
        <v>0</v>
      </c>
      <c r="E135" s="54">
        <f>-C135</f>
        <v>0</v>
      </c>
      <c r="F135" s="53" t="str">
        <f>B134</f>
        <v>U3X</v>
      </c>
    </row>
    <row r="136" spans="1:14" ht="16.8" customHeight="1" x14ac:dyDescent="0.3">
      <c r="A136" s="28" t="s">
        <v>199</v>
      </c>
      <c r="B136" s="54">
        <f>C135</f>
        <v>0</v>
      </c>
      <c r="C136" s="54">
        <f>K11*K11*N11</f>
        <v>72000</v>
      </c>
      <c r="D136" s="54">
        <f>-B136</f>
        <v>0</v>
      </c>
      <c r="E136" s="54">
        <f>-C136</f>
        <v>-72000</v>
      </c>
      <c r="F136" s="53" t="str">
        <f>C134</f>
        <v>U3Y</v>
      </c>
    </row>
    <row r="137" spans="1:14" x14ac:dyDescent="0.3">
      <c r="B137" s="54">
        <f>D135</f>
        <v>0</v>
      </c>
      <c r="C137" s="54">
        <f>E135</f>
        <v>0</v>
      </c>
      <c r="D137" s="54">
        <f>B135</f>
        <v>0</v>
      </c>
      <c r="E137" s="54">
        <f>C135</f>
        <v>0</v>
      </c>
      <c r="F137" s="53" t="str">
        <f>D134</f>
        <v>U4X</v>
      </c>
    </row>
    <row r="138" spans="1:14" x14ac:dyDescent="0.3">
      <c r="B138" s="54">
        <f>D136</f>
        <v>0</v>
      </c>
      <c r="C138" s="54">
        <f>E136</f>
        <v>-72000</v>
      </c>
      <c r="D138" s="54">
        <f>B136</f>
        <v>0</v>
      </c>
      <c r="E138" s="54">
        <f>C136</f>
        <v>72000</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0</v>
      </c>
      <c r="G145" s="55">
        <f t="shared" si="11"/>
        <v>0</v>
      </c>
      <c r="H145" s="55">
        <f t="shared" si="11"/>
        <v>0</v>
      </c>
      <c r="I145" s="55">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0</v>
      </c>
      <c r="G146" s="55">
        <f t="shared" si="11"/>
        <v>72000</v>
      </c>
      <c r="H146" s="55">
        <f t="shared" si="11"/>
        <v>0</v>
      </c>
      <c r="I146" s="55">
        <f t="shared" si="11"/>
        <v>-72000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55">
        <f t="shared" si="11"/>
        <v>0</v>
      </c>
      <c r="G147" s="55">
        <f t="shared" si="11"/>
        <v>0</v>
      </c>
      <c r="H147" s="55">
        <f t="shared" si="11"/>
        <v>0</v>
      </c>
      <c r="I147" s="55">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55">
        <f t="shared" si="11"/>
        <v>0</v>
      </c>
      <c r="G148" s="55">
        <f t="shared" si="11"/>
        <v>-72000</v>
      </c>
      <c r="H148" s="55">
        <f t="shared" si="11"/>
        <v>0</v>
      </c>
      <c r="I148" s="55">
        <f t="shared" si="11"/>
        <v>72000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U5X</v>
      </c>
      <c r="C155" s="56" t="str">
        <f>CONCATENATE("U",D24,D$17)</f>
        <v>U5Y</v>
      </c>
      <c r="D155" s="56" t="str">
        <f>CONCATENATE("U",E24,E$17)</f>
        <v>U6X</v>
      </c>
      <c r="E155" s="56" t="str">
        <f>CONCATENATE("U",F24,F$17)</f>
        <v>U6Y</v>
      </c>
    </row>
    <row r="156" spans="1:14" x14ac:dyDescent="0.3">
      <c r="B156" s="57">
        <f>J12*J12*N12</f>
        <v>0</v>
      </c>
      <c r="C156" s="57">
        <f>J12*K12*N12</f>
        <v>0</v>
      </c>
      <c r="D156" s="57">
        <f>-B156</f>
        <v>0</v>
      </c>
      <c r="E156" s="57">
        <f>-C156</f>
        <v>0</v>
      </c>
      <c r="F156" s="56" t="str">
        <f>B155</f>
        <v>U5X</v>
      </c>
    </row>
    <row r="157" spans="1:14" ht="16.8" customHeight="1" x14ac:dyDescent="0.3">
      <c r="A157" s="28" t="s">
        <v>201</v>
      </c>
      <c r="B157" s="57">
        <f>C156</f>
        <v>0</v>
      </c>
      <c r="C157" s="57">
        <f>K12*K12*N12</f>
        <v>72000</v>
      </c>
      <c r="D157" s="57">
        <f>-B157</f>
        <v>0</v>
      </c>
      <c r="E157" s="57">
        <f>-C157</f>
        <v>-72000</v>
      </c>
      <c r="F157" s="56" t="str">
        <f>C155</f>
        <v>U5Y</v>
      </c>
    </row>
    <row r="158" spans="1:14" x14ac:dyDescent="0.3">
      <c r="B158" s="57">
        <f>D156</f>
        <v>0</v>
      </c>
      <c r="C158" s="57">
        <f>E156</f>
        <v>0</v>
      </c>
      <c r="D158" s="57">
        <f>B156</f>
        <v>0</v>
      </c>
      <c r="E158" s="57">
        <f>C156</f>
        <v>0</v>
      </c>
      <c r="F158" s="56" t="str">
        <f>D155</f>
        <v>U6X</v>
      </c>
    </row>
    <row r="159" spans="1:14" x14ac:dyDescent="0.3">
      <c r="B159" s="57">
        <f>D157</f>
        <v>0</v>
      </c>
      <c r="C159" s="57">
        <f>E157</f>
        <v>-72000</v>
      </c>
      <c r="D159" s="57">
        <f>B157</f>
        <v>0</v>
      </c>
      <c r="E159" s="57">
        <f>C157</f>
        <v>72000</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58">
        <f t="shared" si="12"/>
        <v>0</v>
      </c>
      <c r="K170" s="58">
        <f t="shared" si="12"/>
        <v>0</v>
      </c>
      <c r="L170" s="58">
        <f t="shared" si="12"/>
        <v>0</v>
      </c>
      <c r="M170" s="58">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58">
        <f t="shared" si="12"/>
        <v>0</v>
      </c>
      <c r="K171" s="58">
        <f t="shared" si="12"/>
        <v>72000</v>
      </c>
      <c r="L171" s="58">
        <f t="shared" si="12"/>
        <v>0</v>
      </c>
      <c r="M171" s="58">
        <f t="shared" si="12"/>
        <v>-72000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58">
        <f t="shared" si="12"/>
        <v>0</v>
      </c>
      <c r="K172" s="58">
        <f t="shared" si="12"/>
        <v>0</v>
      </c>
      <c r="L172" s="58">
        <f t="shared" si="12"/>
        <v>0</v>
      </c>
      <c r="M172" s="58">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58">
        <f t="shared" si="12"/>
        <v>0</v>
      </c>
      <c r="K173" s="58">
        <f t="shared" si="12"/>
        <v>-72000</v>
      </c>
      <c r="L173" s="58">
        <f t="shared" si="12"/>
        <v>0</v>
      </c>
      <c r="M173" s="58">
        <f t="shared" si="12"/>
        <v>72000</v>
      </c>
      <c r="N173" s="56" t="s">
        <v>189</v>
      </c>
    </row>
    <row r="176" spans="1:14" ht="18" customHeight="1" x14ac:dyDescent="0.3">
      <c r="B176" s="61" t="str">
        <f>CONCATENATE("U",C25,C$17)</f>
        <v>U2X</v>
      </c>
      <c r="C176" s="61" t="str">
        <f>CONCATENATE("U",D25,D$17)</f>
        <v>U2Y</v>
      </c>
      <c r="D176" s="61" t="str">
        <f>CONCATENATE("U",E25,E$17)</f>
        <v>U3X</v>
      </c>
      <c r="E176" s="61" t="str">
        <f>CONCATENATE("U",F25,F$17)</f>
        <v>U3Y</v>
      </c>
    </row>
    <row r="177" spans="1:14" x14ac:dyDescent="0.3">
      <c r="B177" s="62">
        <f>J13*J13*N13</f>
        <v>25455.844122715702</v>
      </c>
      <c r="C177" s="62">
        <f>J13*K13*N13</f>
        <v>-25455.844122715702</v>
      </c>
      <c r="D177" s="62">
        <f>-B177</f>
        <v>-25455.844122715702</v>
      </c>
      <c r="E177" s="62">
        <f>-C177</f>
        <v>25455.844122715702</v>
      </c>
      <c r="F177" s="61" t="str">
        <f>B176</f>
        <v>U2X</v>
      </c>
    </row>
    <row r="178" spans="1:14" ht="16.8" customHeight="1" x14ac:dyDescent="0.3">
      <c r="A178" s="28" t="s">
        <v>203</v>
      </c>
      <c r="B178" s="62">
        <f>C177</f>
        <v>-25455.844122715702</v>
      </c>
      <c r="C178" s="62">
        <f>K13*K13*N13</f>
        <v>25455.844122715702</v>
      </c>
      <c r="D178" s="62">
        <f>-B178</f>
        <v>25455.844122715702</v>
      </c>
      <c r="E178" s="62">
        <f>-C178</f>
        <v>-25455.844122715702</v>
      </c>
      <c r="F178" s="61" t="str">
        <f>C176</f>
        <v>U2Y</v>
      </c>
    </row>
    <row r="179" spans="1:14" x14ac:dyDescent="0.3">
      <c r="B179" s="62">
        <f>D177</f>
        <v>-25455.844122715702</v>
      </c>
      <c r="C179" s="62">
        <f>E177</f>
        <v>25455.844122715702</v>
      </c>
      <c r="D179" s="62">
        <f>B177</f>
        <v>25455.844122715702</v>
      </c>
      <c r="E179" s="62">
        <f>C177</f>
        <v>-25455.844122715702</v>
      </c>
      <c r="F179" s="61" t="str">
        <f>D176</f>
        <v>U3X</v>
      </c>
    </row>
    <row r="180" spans="1:14" x14ac:dyDescent="0.3">
      <c r="B180" s="62">
        <f>D178</f>
        <v>25455.844122715702</v>
      </c>
      <c r="C180" s="62">
        <f>E178</f>
        <v>-25455.844122715702</v>
      </c>
      <c r="D180" s="62">
        <f>B178</f>
        <v>-25455.844122715702</v>
      </c>
      <c r="E180" s="62">
        <f>C178</f>
        <v>25455.844122715702</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25455.844122715702</v>
      </c>
      <c r="E185" s="63">
        <f t="shared" si="13"/>
        <v>-25455.844122715702</v>
      </c>
      <c r="F185" s="63">
        <f t="shared" si="13"/>
        <v>-25455.844122715702</v>
      </c>
      <c r="G185" s="63">
        <f t="shared" si="13"/>
        <v>25455.844122715702</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63">
        <f t="shared" si="13"/>
        <v>-25455.844122715702</v>
      </c>
      <c r="E186" s="63">
        <f t="shared" si="13"/>
        <v>25455.844122715702</v>
      </c>
      <c r="F186" s="63">
        <f t="shared" si="13"/>
        <v>25455.844122715702</v>
      </c>
      <c r="G186" s="63">
        <f t="shared" si="13"/>
        <v>-25455.844122715702</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63">
        <f t="shared" si="13"/>
        <v>-25455.844122715702</v>
      </c>
      <c r="E187" s="63">
        <f t="shared" si="13"/>
        <v>25455.844122715702</v>
      </c>
      <c r="F187" s="63">
        <f t="shared" si="13"/>
        <v>25455.844122715702</v>
      </c>
      <c r="G187" s="63">
        <f t="shared" si="13"/>
        <v>-25455.844122715702</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63">
        <f t="shared" si="13"/>
        <v>25455.844122715702</v>
      </c>
      <c r="E188" s="63">
        <f t="shared" si="13"/>
        <v>-25455.844122715702</v>
      </c>
      <c r="F188" s="63">
        <f t="shared" si="13"/>
        <v>-25455.844122715702</v>
      </c>
      <c r="G188" s="63">
        <f t="shared" si="13"/>
        <v>25455.844122715702</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U4X</v>
      </c>
      <c r="C197" s="64" t="str">
        <f>CONCATENATE("U",D26,D$17)</f>
        <v>U4Y</v>
      </c>
      <c r="D197" s="64" t="str">
        <f>CONCATENATE("U",E26,E$17)</f>
        <v>U5X</v>
      </c>
      <c r="E197" s="64" t="str">
        <f>CONCATENATE("U",F26,F$17)</f>
        <v>U5Y</v>
      </c>
    </row>
    <row r="198" spans="1:14" x14ac:dyDescent="0.3">
      <c r="B198" s="65">
        <f>J14*J14*N14</f>
        <v>25455.844122715702</v>
      </c>
      <c r="C198" s="65">
        <f>J14*K14*N14</f>
        <v>-25455.844122715702</v>
      </c>
      <c r="D198" s="65">
        <f>-B198</f>
        <v>-25455.844122715702</v>
      </c>
      <c r="E198" s="65">
        <f>-C198</f>
        <v>25455.844122715702</v>
      </c>
      <c r="F198" s="64" t="str">
        <f>B197</f>
        <v>U4X</v>
      </c>
    </row>
    <row r="199" spans="1:14" ht="16.8" customHeight="1" x14ac:dyDescent="0.3">
      <c r="A199" s="28" t="s">
        <v>528</v>
      </c>
      <c r="B199" s="65">
        <f>C198</f>
        <v>-25455.844122715702</v>
      </c>
      <c r="C199" s="65">
        <f>K14*K14*N14</f>
        <v>25455.844122715702</v>
      </c>
      <c r="D199" s="65">
        <f>-B199</f>
        <v>25455.844122715702</v>
      </c>
      <c r="E199" s="65">
        <f>-C199</f>
        <v>-25455.844122715702</v>
      </c>
      <c r="F199" s="64" t="str">
        <f>C197</f>
        <v>U4Y</v>
      </c>
    </row>
    <row r="200" spans="1:14" x14ac:dyDescent="0.3">
      <c r="B200" s="65">
        <f>D198</f>
        <v>-25455.844122715702</v>
      </c>
      <c r="C200" s="65">
        <f>E198</f>
        <v>25455.844122715702</v>
      </c>
      <c r="D200" s="65">
        <f>B198</f>
        <v>25455.844122715702</v>
      </c>
      <c r="E200" s="65">
        <f>C198</f>
        <v>-25455.844122715702</v>
      </c>
      <c r="F200" s="64" t="str">
        <f>D197</f>
        <v>U5X</v>
      </c>
    </row>
    <row r="201" spans="1:14" x14ac:dyDescent="0.3">
      <c r="B201" s="65">
        <f>D199</f>
        <v>25455.844122715702</v>
      </c>
      <c r="C201" s="65">
        <f>E199</f>
        <v>-25455.844122715702</v>
      </c>
      <c r="D201" s="65">
        <f>B199</f>
        <v>-25455.844122715702</v>
      </c>
      <c r="E201" s="65">
        <f>C199</f>
        <v>25455.844122715702</v>
      </c>
      <c r="F201" s="64" t="str">
        <f>E197</f>
        <v>U5Y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25455.844122715702</v>
      </c>
      <c r="I210" s="66">
        <f t="shared" si="14"/>
        <v>-25455.844122715702</v>
      </c>
      <c r="J210" s="66">
        <f t="shared" si="14"/>
        <v>-25455.844122715702</v>
      </c>
      <c r="K210" s="66">
        <f t="shared" si="14"/>
        <v>25455.844122715702</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-25455.844122715702</v>
      </c>
      <c r="I211" s="66">
        <f t="shared" si="14"/>
        <v>25455.844122715702</v>
      </c>
      <c r="J211" s="66">
        <f t="shared" si="14"/>
        <v>25455.844122715702</v>
      </c>
      <c r="K211" s="66">
        <f t="shared" si="14"/>
        <v>-25455.844122715702</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66">
        <f t="shared" si="14"/>
        <v>-25455.844122715702</v>
      </c>
      <c r="I212" s="66">
        <f t="shared" si="14"/>
        <v>25455.844122715702</v>
      </c>
      <c r="J212" s="66">
        <f t="shared" si="14"/>
        <v>25455.844122715702</v>
      </c>
      <c r="K212" s="66">
        <f t="shared" si="14"/>
        <v>-25455.844122715702</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66">
        <f t="shared" si="14"/>
        <v>25455.844122715702</v>
      </c>
      <c r="I213" s="66">
        <f t="shared" si="14"/>
        <v>-25455.844122715702</v>
      </c>
      <c r="J213" s="66">
        <f t="shared" si="14"/>
        <v>-25455.844122715702</v>
      </c>
      <c r="K213" s="66">
        <f t="shared" si="14"/>
        <v>25455.844122715702</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72000</v>
      </c>
      <c r="C219" s="36">
        <f t="shared" si="15"/>
        <v>0</v>
      </c>
      <c r="D219" s="9">
        <f t="shared" si="15"/>
        <v>0</v>
      </c>
      <c r="E219" s="9">
        <f t="shared" si="15"/>
        <v>0</v>
      </c>
      <c r="F219" s="9">
        <f t="shared" si="15"/>
        <v>-72000</v>
      </c>
      <c r="G219" s="9">
        <f t="shared" si="15"/>
        <v>0</v>
      </c>
      <c r="H219" s="9">
        <f t="shared" si="15"/>
        <v>0</v>
      </c>
      <c r="I219" s="9">
        <f t="shared" si="15"/>
        <v>0</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0</v>
      </c>
      <c r="C220" s="35">
        <f t="shared" si="16"/>
        <v>72000</v>
      </c>
      <c r="D220" s="9">
        <f t="shared" si="16"/>
        <v>0</v>
      </c>
      <c r="E220" s="9">
        <f t="shared" si="16"/>
        <v>-72000</v>
      </c>
      <c r="F220" s="9">
        <f t="shared" si="16"/>
        <v>0</v>
      </c>
      <c r="G220" s="9">
        <f t="shared" si="16"/>
        <v>0</v>
      </c>
      <c r="H220" s="9">
        <f t="shared" si="16"/>
        <v>0</v>
      </c>
      <c r="I220" s="9">
        <f t="shared" si="16"/>
        <v>0</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0</v>
      </c>
      <c r="C221" s="9">
        <f t="shared" si="17"/>
        <v>0</v>
      </c>
      <c r="D221" s="35">
        <f t="shared" si="17"/>
        <v>97455.844122715702</v>
      </c>
      <c r="E221" s="36">
        <f t="shared" si="17"/>
        <v>-25455.844122715702</v>
      </c>
      <c r="F221" s="9">
        <f t="shared" si="17"/>
        <v>-25455.844122715702</v>
      </c>
      <c r="G221" s="9">
        <f t="shared" si="17"/>
        <v>25455.844122715702</v>
      </c>
      <c r="H221" s="9">
        <f t="shared" si="17"/>
        <v>-72000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-72000</v>
      </c>
      <c r="D222" s="36">
        <f t="shared" si="18"/>
        <v>-25455.844122715702</v>
      </c>
      <c r="E222" s="35">
        <f t="shared" si="18"/>
        <v>97455.844122715702</v>
      </c>
      <c r="F222" s="9">
        <f t="shared" si="18"/>
        <v>25455.844122715702</v>
      </c>
      <c r="G222" s="9">
        <f t="shared" si="18"/>
        <v>-25455.844122715702</v>
      </c>
      <c r="H222" s="9">
        <f t="shared" si="18"/>
        <v>0</v>
      </c>
      <c r="I222" s="9">
        <f t="shared" si="18"/>
        <v>0</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-72000</v>
      </c>
      <c r="C223" s="9">
        <f t="shared" si="19"/>
        <v>0</v>
      </c>
      <c r="D223" s="9">
        <f t="shared" si="19"/>
        <v>-25455.844122715702</v>
      </c>
      <c r="E223" s="9">
        <f t="shared" si="19"/>
        <v>25455.844122715702</v>
      </c>
      <c r="F223" s="35">
        <f t="shared" si="19"/>
        <v>169455.8441227157</v>
      </c>
      <c r="G223" s="36">
        <f t="shared" si="19"/>
        <v>-25455.844122715702</v>
      </c>
      <c r="H223" s="9">
        <f t="shared" si="19"/>
        <v>0</v>
      </c>
      <c r="I223" s="9">
        <f t="shared" si="19"/>
        <v>0</v>
      </c>
      <c r="J223" s="9">
        <f t="shared" si="19"/>
        <v>-72000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25455.844122715702</v>
      </c>
      <c r="E224" s="9">
        <f t="shared" si="20"/>
        <v>-25455.844122715702</v>
      </c>
      <c r="F224" s="36">
        <f t="shared" si="20"/>
        <v>-25455.844122715702</v>
      </c>
      <c r="G224" s="35">
        <f t="shared" si="20"/>
        <v>97455.844122715702</v>
      </c>
      <c r="H224" s="9">
        <f t="shared" si="20"/>
        <v>0</v>
      </c>
      <c r="I224" s="9">
        <f t="shared" si="20"/>
        <v>-72000</v>
      </c>
      <c r="J224" s="9">
        <f t="shared" si="20"/>
        <v>0</v>
      </c>
      <c r="K224" s="9">
        <f t="shared" si="20"/>
        <v>0</v>
      </c>
      <c r="L224" s="9">
        <f t="shared" si="20"/>
        <v>0</v>
      </c>
      <c r="M224" s="9">
        <f t="shared" si="20"/>
        <v>0</v>
      </c>
      <c r="N224" s="89" t="s">
        <v>183</v>
      </c>
    </row>
    <row r="225" spans="1:21" ht="19.95" customHeight="1" x14ac:dyDescent="0.3">
      <c r="B225" s="9">
        <f t="shared" ref="B225:M225" si="21">B42+B63+B84+B105+B126+B147+B168+B189+B210</f>
        <v>0</v>
      </c>
      <c r="C225" s="9">
        <f t="shared" si="21"/>
        <v>0</v>
      </c>
      <c r="D225" s="9">
        <f t="shared" si="21"/>
        <v>-72000</v>
      </c>
      <c r="E225" s="9">
        <f t="shared" si="21"/>
        <v>0</v>
      </c>
      <c r="F225" s="9">
        <f t="shared" si="21"/>
        <v>0</v>
      </c>
      <c r="G225" s="9">
        <f t="shared" si="21"/>
        <v>0</v>
      </c>
      <c r="H225" s="35">
        <f t="shared" si="21"/>
        <v>169455.8441227157</v>
      </c>
      <c r="I225" s="36">
        <f t="shared" si="21"/>
        <v>-25455.844122715702</v>
      </c>
      <c r="J225" s="9">
        <f t="shared" si="21"/>
        <v>-25455.844122715702</v>
      </c>
      <c r="K225" s="9">
        <f t="shared" si="21"/>
        <v>25455.844122715702</v>
      </c>
      <c r="L225" s="9">
        <f t="shared" si="21"/>
        <v>-72000</v>
      </c>
      <c r="M225" s="9">
        <f t="shared" si="21"/>
        <v>0</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-72000</v>
      </c>
      <c r="H226" s="36">
        <f t="shared" si="22"/>
        <v>-25455.844122715702</v>
      </c>
      <c r="I226" s="35">
        <f t="shared" si="22"/>
        <v>97455.844122715702</v>
      </c>
      <c r="J226" s="9">
        <f t="shared" si="22"/>
        <v>25455.844122715702</v>
      </c>
      <c r="K226" s="9">
        <f t="shared" si="22"/>
        <v>-25455.844122715702</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-72000</v>
      </c>
      <c r="G227" s="9">
        <f t="shared" si="23"/>
        <v>0</v>
      </c>
      <c r="H227" s="9">
        <f t="shared" si="23"/>
        <v>-25455.844122715702</v>
      </c>
      <c r="I227" s="9">
        <f t="shared" si="23"/>
        <v>25455.844122715702</v>
      </c>
      <c r="J227" s="35">
        <f t="shared" si="23"/>
        <v>97455.844122715702</v>
      </c>
      <c r="K227" s="36">
        <f t="shared" si="23"/>
        <v>-25455.844122715702</v>
      </c>
      <c r="L227" s="9">
        <f t="shared" si="23"/>
        <v>0</v>
      </c>
      <c r="M227" s="9">
        <f t="shared" si="23"/>
        <v>0</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0</v>
      </c>
      <c r="G228" s="9">
        <f t="shared" si="24"/>
        <v>0</v>
      </c>
      <c r="H228" s="9">
        <f t="shared" si="24"/>
        <v>25455.844122715702</v>
      </c>
      <c r="I228" s="9">
        <f t="shared" si="24"/>
        <v>-25455.844122715702</v>
      </c>
      <c r="J228" s="36">
        <f t="shared" si="24"/>
        <v>-25455.844122715702</v>
      </c>
      <c r="K228" s="35">
        <f t="shared" si="24"/>
        <v>97455.844122715702</v>
      </c>
      <c r="L228" s="9">
        <f t="shared" si="24"/>
        <v>0</v>
      </c>
      <c r="M228" s="9">
        <f t="shared" si="24"/>
        <v>-72000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-72000</v>
      </c>
      <c r="I229" s="9">
        <f t="shared" si="25"/>
        <v>0</v>
      </c>
      <c r="J229" s="9">
        <f t="shared" si="25"/>
        <v>0</v>
      </c>
      <c r="K229" s="9">
        <f t="shared" si="25"/>
        <v>0</v>
      </c>
      <c r="L229" s="35">
        <f t="shared" si="25"/>
        <v>72000</v>
      </c>
      <c r="M229" s="36">
        <f t="shared" si="25"/>
        <v>0</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0</v>
      </c>
      <c r="H230" s="9">
        <f t="shared" si="26"/>
        <v>0</v>
      </c>
      <c r="I230" s="9">
        <f t="shared" si="26"/>
        <v>0</v>
      </c>
      <c r="J230" s="9">
        <f t="shared" si="26"/>
        <v>0</v>
      </c>
      <c r="K230" s="9">
        <f t="shared" si="26"/>
        <v>-72000</v>
      </c>
      <c r="L230" s="36">
        <f t="shared" si="26"/>
        <v>0</v>
      </c>
      <c r="M230" s="35">
        <f t="shared" si="26"/>
        <v>72000</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IF(GRAFICA_32!F14=1, B234, GRAFICA_32!H14)</f>
        <v>C1X</v>
      </c>
      <c r="P234" s="215" t="s">
        <v>376</v>
      </c>
      <c r="Q234" s="172"/>
      <c r="R234" s="172"/>
      <c r="S234" s="172"/>
      <c r="T234" s="172"/>
      <c r="U234" s="173"/>
    </row>
    <row r="235" spans="1:21" ht="16.95" customHeight="1" x14ac:dyDescent="0.3">
      <c r="B235" s="12" t="s">
        <v>210</v>
      </c>
      <c r="C235" s="12" t="s">
        <v>179</v>
      </c>
      <c r="E235" s="37" t="str">
        <f>IF(GRAFICA_32!G14=1, B235, GRAFICA_32!I14)</f>
        <v>C1Y</v>
      </c>
      <c r="P235" s="215" t="s">
        <v>211</v>
      </c>
      <c r="Q235" s="172"/>
      <c r="R235" s="172"/>
      <c r="S235" s="172"/>
      <c r="T235" s="172"/>
      <c r="U235" s="173"/>
    </row>
    <row r="236" spans="1:21" ht="16.95" customHeight="1" x14ac:dyDescent="0.3">
      <c r="B236" s="12" t="s">
        <v>212</v>
      </c>
      <c r="C236" s="12" t="s">
        <v>180</v>
      </c>
      <c r="E236" s="37" t="str">
        <f>IF(GRAFICA_32!F15=1, B236, GRAFICA_32!H15)</f>
        <v>C2X</v>
      </c>
      <c r="P236" s="215" t="s">
        <v>377</v>
      </c>
      <c r="Q236" s="172"/>
      <c r="R236" s="172"/>
      <c r="S236" s="172"/>
      <c r="T236" s="172"/>
      <c r="U236" s="173"/>
    </row>
    <row r="237" spans="1:21" ht="16.95" customHeight="1" x14ac:dyDescent="0.3">
      <c r="B237" s="12" t="s">
        <v>214</v>
      </c>
      <c r="C237" s="12" t="s">
        <v>181</v>
      </c>
      <c r="E237" s="37">
        <f>IF(GRAFICA_32!G15=1, B237, GRAFICA_32!I15)</f>
        <v>0</v>
      </c>
      <c r="P237" s="215" t="s">
        <v>215</v>
      </c>
      <c r="Q237" s="172"/>
      <c r="R237" s="172"/>
      <c r="S237" s="172"/>
      <c r="T237" s="172"/>
      <c r="U237" s="173"/>
    </row>
    <row r="238" spans="1:21" ht="16.95" customHeight="1" x14ac:dyDescent="0.3">
      <c r="B238" s="12" t="s">
        <v>216</v>
      </c>
      <c r="C238" s="12" t="s">
        <v>182</v>
      </c>
      <c r="E238" s="37">
        <f>IF(GRAFICA_32!F16=1, B238, GRAFICA_32!H16)</f>
        <v>0</v>
      </c>
      <c r="P238" s="215" t="s">
        <v>378</v>
      </c>
      <c r="Q238" s="172"/>
      <c r="R238" s="172"/>
      <c r="S238" s="172"/>
      <c r="T238" s="172"/>
      <c r="U238" s="173"/>
    </row>
    <row r="239" spans="1:21" ht="16.95" customHeight="1" x14ac:dyDescent="0.3">
      <c r="A239" s="38" t="s">
        <v>218</v>
      </c>
      <c r="B239" s="12" t="s">
        <v>219</v>
      </c>
      <c r="C239" s="12" t="s">
        <v>183</v>
      </c>
      <c r="D239" s="13" t="s">
        <v>220</v>
      </c>
      <c r="E239" s="37">
        <f>IF(GRAFICA_32!G16=1, B239, GRAFICA_32!I16)</f>
        <v>-4000</v>
      </c>
      <c r="P239" s="215" t="s">
        <v>379</v>
      </c>
      <c r="Q239" s="172"/>
      <c r="R239" s="172"/>
      <c r="S239" s="172"/>
      <c r="T239" s="172"/>
      <c r="U239" s="173"/>
    </row>
    <row r="240" spans="1:21" ht="16.95" customHeight="1" x14ac:dyDescent="0.3">
      <c r="B240" s="12" t="s">
        <v>221</v>
      </c>
      <c r="C240" s="12" t="s">
        <v>184</v>
      </c>
      <c r="E240" s="37">
        <f>IF(GRAFICA_32!F17=1, B240, GRAFICA_32!H17)</f>
        <v>0</v>
      </c>
      <c r="P240" s="215"/>
      <c r="Q240" s="172"/>
      <c r="R240" s="172"/>
      <c r="S240" s="172"/>
      <c r="T240" s="172"/>
      <c r="U240" s="173"/>
    </row>
    <row r="241" spans="1:21" ht="16.95" customHeight="1" x14ac:dyDescent="0.3">
      <c r="B241" s="12" t="s">
        <v>222</v>
      </c>
      <c r="C241" s="12" t="s">
        <v>185</v>
      </c>
      <c r="E241" s="37">
        <f>IF(GRAFICA_32!G17=1, B241, GRAFICA_32!I17)</f>
        <v>-3500</v>
      </c>
      <c r="P241" s="215"/>
      <c r="Q241" s="172"/>
      <c r="R241" s="172"/>
      <c r="S241" s="172"/>
      <c r="T241" s="172"/>
      <c r="U241" s="173"/>
    </row>
    <row r="242" spans="1:21" ht="16.95" customHeight="1" x14ac:dyDescent="0.3">
      <c r="B242" s="12" t="s">
        <v>223</v>
      </c>
      <c r="C242" s="12" t="s">
        <v>186</v>
      </c>
      <c r="E242" s="37">
        <f>IF(GRAFICA_32!F18=1, B242, GRAFICA_32!H18)</f>
        <v>0</v>
      </c>
      <c r="P242" s="215"/>
      <c r="Q242" s="172"/>
      <c r="R242" s="172"/>
      <c r="S242" s="172"/>
      <c r="T242" s="172"/>
      <c r="U242" s="173"/>
    </row>
    <row r="243" spans="1:21" ht="16.95" customHeight="1" x14ac:dyDescent="0.3">
      <c r="B243" s="12" t="s">
        <v>224</v>
      </c>
      <c r="C243" s="12" t="s">
        <v>187</v>
      </c>
      <c r="E243" s="37">
        <f>IF(GRAFICA_32!G18=1, B243, GRAFICA_32!I18)</f>
        <v>-5000</v>
      </c>
      <c r="P243" s="215"/>
      <c r="Q243" s="172"/>
      <c r="R243" s="172"/>
      <c r="S243" s="172"/>
      <c r="T243" s="172"/>
      <c r="U243" s="173"/>
    </row>
    <row r="244" spans="1:21" ht="16.95" customHeight="1" x14ac:dyDescent="0.3">
      <c r="B244" s="12" t="s">
        <v>225</v>
      </c>
      <c r="C244" s="12" t="s">
        <v>188</v>
      </c>
      <c r="E244" s="37">
        <f>IF(GRAFICA_32!F19=1, B244, GRAFICA_32!H19)</f>
        <v>2000</v>
      </c>
      <c r="P244" s="215"/>
      <c r="Q244" s="172"/>
      <c r="R244" s="172"/>
      <c r="S244" s="172"/>
      <c r="T244" s="172"/>
      <c r="U244" s="173"/>
    </row>
    <row r="245" spans="1:21" ht="16.95" customHeight="1" x14ac:dyDescent="0.3">
      <c r="B245" s="12" t="s">
        <v>226</v>
      </c>
      <c r="C245" s="12" t="s">
        <v>189</v>
      </c>
      <c r="E245" s="37">
        <f>IF(GRAFICA_32!G19=1, B245, GRAFICA_32!I19)</f>
        <v>-6000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IF(GRAFICA_32!F14=1,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IF(GRAFICA_32!G14=1,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f>IF(GRAFICA_32!F15=1, 0, B250)</f>
        <v>0</v>
      </c>
      <c r="F250" s="14" t="str">
        <f>IF(E250&lt;&gt;0, COUNTIF(E$248:E250, "&lt;&gt;0"), "")</f>
        <v/>
      </c>
      <c r="G250" s="14">
        <f>IF(E250=0, COUNTIF(E$248:E250, 0), "")</f>
        <v>3</v>
      </c>
      <c r="P250" s="215"/>
      <c r="Q250" s="172"/>
      <c r="R250" s="172"/>
      <c r="S250" s="172"/>
      <c r="T250" s="172"/>
      <c r="U250" s="173"/>
    </row>
    <row r="251" spans="1:21" ht="16.95" customHeight="1" x14ac:dyDescent="0.3">
      <c r="B251" s="12" t="s">
        <v>231</v>
      </c>
      <c r="C251" s="12" t="s">
        <v>181</v>
      </c>
      <c r="E251" s="39" t="str">
        <f>IF(GRAFICA_32!G15=1, 0, B251)</f>
        <v>D2Y</v>
      </c>
      <c r="F251" s="14">
        <f>IF(E251&lt;&gt;0, COUNTIF(E$248:E251, "&lt;&gt;0"), "")</f>
        <v>1</v>
      </c>
      <c r="G251" s="14" t="str">
        <f>IF(E251=0, COUNTIF(E$248:E251, 0), "")</f>
        <v/>
      </c>
      <c r="P251" s="215"/>
      <c r="Q251" s="172"/>
      <c r="R251" s="172"/>
      <c r="S251" s="172"/>
      <c r="T251" s="172"/>
      <c r="U251" s="173"/>
    </row>
    <row r="252" spans="1:21" ht="16.95" customHeight="1" x14ac:dyDescent="0.3">
      <c r="B252" s="12" t="s">
        <v>232</v>
      </c>
      <c r="C252" s="12" t="s">
        <v>182</v>
      </c>
      <c r="E252" s="39" t="str">
        <f>IF(GRAFICA_32!F16=1, 0, B252)</f>
        <v>D3X</v>
      </c>
      <c r="F252" s="14">
        <f>IF(E252&lt;&gt;0, COUNTIF(E$248:E252, "&lt;&gt;0"), "")</f>
        <v>2</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IF(GRAFICA_32!G16=1, 0, B253)</f>
        <v>D3Y</v>
      </c>
      <c r="F253" s="14">
        <f>IF(E253&lt;&gt;0, COUNTIF(E$248:E253, "&lt;&gt;0"), "")</f>
        <v>3</v>
      </c>
      <c r="G253" s="14" t="str">
        <f>IF(E253=0, COUNTIF(E$248:E253, 0), "")</f>
        <v/>
      </c>
      <c r="P253" s="215"/>
      <c r="Q253" s="172"/>
      <c r="R253" s="172"/>
      <c r="S253" s="172"/>
      <c r="T253" s="172"/>
      <c r="U253" s="173"/>
    </row>
    <row r="254" spans="1:21" ht="16.95" customHeight="1" x14ac:dyDescent="0.3">
      <c r="B254" s="12" t="s">
        <v>235</v>
      </c>
      <c r="C254" s="12" t="s">
        <v>184</v>
      </c>
      <c r="E254" s="39" t="str">
        <f>IF(GRAFICA_32!F17=1, 0, B254)</f>
        <v>D4X</v>
      </c>
      <c r="F254" s="14">
        <f>IF(E254&lt;&gt;0, COUNTIF(E$248:E254, "&lt;&gt;0"), "")</f>
        <v>4</v>
      </c>
      <c r="G254" s="14" t="str">
        <f>IF(E254=0, COUNTIF(E$248:E254, 0), "")</f>
        <v/>
      </c>
      <c r="P254" s="215"/>
      <c r="Q254" s="172"/>
      <c r="R254" s="172"/>
      <c r="S254" s="172"/>
      <c r="T254" s="172"/>
      <c r="U254" s="173"/>
    </row>
    <row r="255" spans="1:21" ht="16.95" customHeight="1" x14ac:dyDescent="0.3">
      <c r="B255" s="12" t="s">
        <v>236</v>
      </c>
      <c r="C255" s="12" t="s">
        <v>185</v>
      </c>
      <c r="E255" s="39" t="str">
        <f>IF(GRAFICA_32!G17=1, 0, B255)</f>
        <v>D4Y</v>
      </c>
      <c r="F255" s="14">
        <f>IF(E255&lt;&gt;0, COUNTIF(E$248:E255, "&lt;&gt;0"), "")</f>
        <v>5</v>
      </c>
      <c r="G255" s="14" t="str">
        <f>IF(E255=0, COUNTIF(E$248:E255, 0), "")</f>
        <v/>
      </c>
      <c r="P255" s="215"/>
      <c r="Q255" s="172"/>
      <c r="R255" s="172"/>
      <c r="S255" s="172"/>
      <c r="T255" s="172"/>
      <c r="U255" s="173"/>
    </row>
    <row r="256" spans="1:21" ht="16.95" customHeight="1" x14ac:dyDescent="0.3">
      <c r="B256" s="12" t="s">
        <v>237</v>
      </c>
      <c r="C256" s="12" t="s">
        <v>186</v>
      </c>
      <c r="E256" s="39" t="str">
        <f>IF(GRAFICA_32!F18=1,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IF(GRAFICA_32!G18=1,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IF(GRAFICA_32!F19=1,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IF(GRAFICA_32!G19=1,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72000</v>
      </c>
      <c r="D264" s="9">
        <f t="shared" si="28"/>
        <v>0</v>
      </c>
      <c r="E264" s="9">
        <f t="shared" si="28"/>
        <v>0</v>
      </c>
      <c r="F264" s="9">
        <f t="shared" si="28"/>
        <v>0</v>
      </c>
      <c r="G264" s="9">
        <f t="shared" si="28"/>
        <v>-72000</v>
      </c>
      <c r="H264" s="9">
        <f t="shared" si="28"/>
        <v>0</v>
      </c>
      <c r="I264" s="9">
        <f t="shared" si="28"/>
        <v>0</v>
      </c>
      <c r="J264" s="9">
        <f t="shared" si="28"/>
        <v>0</v>
      </c>
      <c r="K264" s="9">
        <f t="shared" si="28"/>
        <v>0</v>
      </c>
      <c r="L264" s="9">
        <f t="shared" si="28"/>
        <v>0</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0</v>
      </c>
      <c r="D265" s="9">
        <f t="shared" si="29"/>
        <v>72000</v>
      </c>
      <c r="E265" s="9">
        <f t="shared" si="29"/>
        <v>0</v>
      </c>
      <c r="F265" s="9">
        <f t="shared" si="29"/>
        <v>-72000</v>
      </c>
      <c r="G265" s="9">
        <f t="shared" si="29"/>
        <v>0</v>
      </c>
      <c r="H265" s="9">
        <f t="shared" si="29"/>
        <v>0</v>
      </c>
      <c r="I265" s="9">
        <f t="shared" si="29"/>
        <v>0</v>
      </c>
      <c r="J265" s="9">
        <f t="shared" si="29"/>
        <v>0</v>
      </c>
      <c r="K265" s="9">
        <f t="shared" si="29"/>
        <v>0</v>
      </c>
      <c r="L265" s="9">
        <f t="shared" si="29"/>
        <v>0</v>
      </c>
      <c r="M265" s="9">
        <f t="shared" si="29"/>
        <v>0</v>
      </c>
      <c r="N265" s="9">
        <f t="shared" si="29"/>
        <v>0</v>
      </c>
      <c r="O265" s="13" t="s">
        <v>251</v>
      </c>
      <c r="P265" s="219" t="s">
        <v>253</v>
      </c>
      <c r="Q265" s="172"/>
      <c r="R265" s="172"/>
      <c r="S265" s="172"/>
      <c r="T265" s="172"/>
      <c r="U265" s="173"/>
    </row>
    <row r="266" spans="1:21" ht="16.95" customHeight="1" x14ac:dyDescent="0.3">
      <c r="A266" s="12" t="str">
        <f t="shared" si="27"/>
        <v>C2X</v>
      </c>
      <c r="C266" s="9">
        <f t="shared" ref="C266:N266" si="30">B221</f>
        <v>0</v>
      </c>
      <c r="D266" s="9">
        <f t="shared" si="30"/>
        <v>0</v>
      </c>
      <c r="E266" s="9">
        <f t="shared" si="30"/>
        <v>97455.844122715702</v>
      </c>
      <c r="F266" s="9">
        <f t="shared" si="30"/>
        <v>-25455.844122715702</v>
      </c>
      <c r="G266" s="9">
        <f t="shared" si="30"/>
        <v>-25455.844122715702</v>
      </c>
      <c r="H266" s="9">
        <f t="shared" si="30"/>
        <v>25455.844122715702</v>
      </c>
      <c r="I266" s="9">
        <f t="shared" si="30"/>
        <v>-72000</v>
      </c>
      <c r="J266" s="9">
        <f t="shared" si="30"/>
        <v>0</v>
      </c>
      <c r="K266" s="9">
        <f t="shared" si="30"/>
        <v>0</v>
      </c>
      <c r="L266" s="9">
        <f t="shared" si="30"/>
        <v>0</v>
      </c>
      <c r="M266" s="9">
        <f t="shared" si="30"/>
        <v>0</v>
      </c>
      <c r="N266" s="9">
        <f t="shared" si="30"/>
        <v>0</v>
      </c>
      <c r="O266" s="13" t="s">
        <v>251</v>
      </c>
      <c r="P266" s="219" t="s">
        <v>254</v>
      </c>
      <c r="Q266" s="172"/>
      <c r="R266" s="172"/>
      <c r="S266" s="172"/>
      <c r="T266" s="172"/>
      <c r="U266" s="173"/>
    </row>
    <row r="267" spans="1:21" ht="16.95" customHeight="1" x14ac:dyDescent="0.3">
      <c r="A267" s="41">
        <f t="shared" si="27"/>
        <v>0</v>
      </c>
      <c r="C267" s="9">
        <f t="shared" ref="C267:N267" si="31">B222</f>
        <v>0</v>
      </c>
      <c r="D267" s="9">
        <f t="shared" si="31"/>
        <v>-72000</v>
      </c>
      <c r="E267" s="9">
        <f t="shared" si="31"/>
        <v>-25455.844122715702</v>
      </c>
      <c r="F267" s="41">
        <f t="shared" si="31"/>
        <v>97455.844122715702</v>
      </c>
      <c r="G267" s="41">
        <f t="shared" si="31"/>
        <v>25455.844122715702</v>
      </c>
      <c r="H267" s="41">
        <f t="shared" si="31"/>
        <v>-25455.844122715702</v>
      </c>
      <c r="I267" s="41">
        <f t="shared" si="31"/>
        <v>0</v>
      </c>
      <c r="J267" s="41">
        <f t="shared" si="31"/>
        <v>0</v>
      </c>
      <c r="K267" s="41">
        <f t="shared" si="31"/>
        <v>0</v>
      </c>
      <c r="L267" s="41">
        <f t="shared" si="31"/>
        <v>0</v>
      </c>
      <c r="M267" s="41">
        <f t="shared" si="31"/>
        <v>0</v>
      </c>
      <c r="N267" s="41">
        <f t="shared" si="31"/>
        <v>0</v>
      </c>
      <c r="O267" s="13" t="s">
        <v>251</v>
      </c>
      <c r="P267" s="215" t="s">
        <v>381</v>
      </c>
      <c r="Q267" s="172"/>
      <c r="R267" s="172"/>
      <c r="S267" s="172"/>
      <c r="T267" s="172"/>
      <c r="U267" s="173"/>
    </row>
    <row r="268" spans="1:21" ht="16.95" customHeight="1" x14ac:dyDescent="0.3">
      <c r="A268" s="41">
        <f t="shared" si="27"/>
        <v>0</v>
      </c>
      <c r="C268" s="9">
        <f t="shared" ref="C268:N268" si="32">B223</f>
        <v>-72000</v>
      </c>
      <c r="D268" s="9">
        <f t="shared" si="32"/>
        <v>0</v>
      </c>
      <c r="E268" s="9">
        <f t="shared" si="32"/>
        <v>-25455.844122715702</v>
      </c>
      <c r="F268" s="41">
        <f t="shared" si="32"/>
        <v>25455.844122715702</v>
      </c>
      <c r="G268" s="41">
        <f t="shared" si="32"/>
        <v>169455.8441227157</v>
      </c>
      <c r="H268" s="41">
        <f t="shared" si="32"/>
        <v>-25455.844122715702</v>
      </c>
      <c r="I268" s="41">
        <f t="shared" si="32"/>
        <v>0</v>
      </c>
      <c r="J268" s="41">
        <f t="shared" si="32"/>
        <v>0</v>
      </c>
      <c r="K268" s="41">
        <f t="shared" si="32"/>
        <v>-72000</v>
      </c>
      <c r="L268" s="41">
        <f t="shared" si="32"/>
        <v>0</v>
      </c>
      <c r="M268" s="41">
        <f t="shared" si="32"/>
        <v>0</v>
      </c>
      <c r="N268" s="41">
        <f t="shared" si="32"/>
        <v>0</v>
      </c>
      <c r="O268" s="13" t="s">
        <v>251</v>
      </c>
      <c r="P268" s="215" t="s">
        <v>382</v>
      </c>
      <c r="Q268" s="172"/>
      <c r="R268" s="172"/>
      <c r="S268" s="172"/>
      <c r="T268" s="172"/>
      <c r="U268" s="173"/>
    </row>
    <row r="269" spans="1:21" ht="16.95" customHeight="1" x14ac:dyDescent="0.3">
      <c r="A269" s="41">
        <f t="shared" si="27"/>
        <v>-4000</v>
      </c>
      <c r="C269" s="9">
        <f t="shared" ref="C269:N269" si="33">B224</f>
        <v>0</v>
      </c>
      <c r="D269" s="9">
        <f t="shared" si="33"/>
        <v>0</v>
      </c>
      <c r="E269" s="9">
        <f t="shared" si="33"/>
        <v>25455.844122715702</v>
      </c>
      <c r="F269" s="41">
        <f t="shared" si="33"/>
        <v>-25455.844122715702</v>
      </c>
      <c r="G269" s="41">
        <f t="shared" si="33"/>
        <v>-25455.844122715702</v>
      </c>
      <c r="H269" s="41">
        <f t="shared" si="33"/>
        <v>97455.844122715702</v>
      </c>
      <c r="I269" s="41">
        <f t="shared" si="33"/>
        <v>0</v>
      </c>
      <c r="J269" s="41">
        <f t="shared" si="33"/>
        <v>-72000</v>
      </c>
      <c r="K269" s="41">
        <f t="shared" si="33"/>
        <v>0</v>
      </c>
      <c r="L269" s="41">
        <f t="shared" si="33"/>
        <v>0</v>
      </c>
      <c r="M269" s="41">
        <f t="shared" si="33"/>
        <v>0</v>
      </c>
      <c r="N269" s="41">
        <f t="shared" si="33"/>
        <v>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0</v>
      </c>
      <c r="D270" s="9">
        <f t="shared" si="35"/>
        <v>0</v>
      </c>
      <c r="E270" s="9">
        <f t="shared" si="35"/>
        <v>-72000</v>
      </c>
      <c r="F270" s="41">
        <f t="shared" si="35"/>
        <v>0</v>
      </c>
      <c r="G270" s="41">
        <f t="shared" si="35"/>
        <v>0</v>
      </c>
      <c r="H270" s="41">
        <f t="shared" si="35"/>
        <v>0</v>
      </c>
      <c r="I270" s="41">
        <f t="shared" si="35"/>
        <v>169455.8441227157</v>
      </c>
      <c r="J270" s="41">
        <f t="shared" si="35"/>
        <v>-25455.844122715702</v>
      </c>
      <c r="K270" s="41">
        <f t="shared" si="35"/>
        <v>-25455.844122715702</v>
      </c>
      <c r="L270" s="41">
        <f t="shared" si="35"/>
        <v>25455.844122715702</v>
      </c>
      <c r="M270" s="41">
        <f t="shared" si="35"/>
        <v>-72000</v>
      </c>
      <c r="N270" s="41">
        <f t="shared" si="35"/>
        <v>0</v>
      </c>
      <c r="O270" s="13" t="s">
        <v>251</v>
      </c>
      <c r="P270" s="215" t="str">
        <f t="shared" si="34"/>
        <v>D4X</v>
      </c>
      <c r="Q270" s="172"/>
      <c r="R270" s="172"/>
      <c r="S270" s="172"/>
      <c r="T270" s="172"/>
      <c r="U270" s="173"/>
    </row>
    <row r="271" spans="1:21" ht="16.95" customHeight="1" x14ac:dyDescent="0.3">
      <c r="A271" s="41">
        <f t="shared" si="27"/>
        <v>-3500</v>
      </c>
      <c r="C271" s="9">
        <f t="shared" ref="C271:N271" si="36">B226</f>
        <v>0</v>
      </c>
      <c r="D271" s="9">
        <f t="shared" si="36"/>
        <v>0</v>
      </c>
      <c r="E271" s="9">
        <f t="shared" si="36"/>
        <v>0</v>
      </c>
      <c r="F271" s="41">
        <f t="shared" si="36"/>
        <v>0</v>
      </c>
      <c r="G271" s="41">
        <f t="shared" si="36"/>
        <v>0</v>
      </c>
      <c r="H271" s="41">
        <f t="shared" si="36"/>
        <v>-72000</v>
      </c>
      <c r="I271" s="41">
        <f t="shared" si="36"/>
        <v>-25455.844122715702</v>
      </c>
      <c r="J271" s="41">
        <f t="shared" si="36"/>
        <v>97455.844122715702</v>
      </c>
      <c r="K271" s="41">
        <f t="shared" si="36"/>
        <v>25455.844122715702</v>
      </c>
      <c r="L271" s="41">
        <f t="shared" si="36"/>
        <v>-25455.844122715702</v>
      </c>
      <c r="M271" s="41">
        <f t="shared" si="36"/>
        <v>0</v>
      </c>
      <c r="N271" s="41">
        <f t="shared" si="36"/>
        <v>0</v>
      </c>
      <c r="O271" s="13" t="s">
        <v>251</v>
      </c>
      <c r="P271" s="215" t="str">
        <f t="shared" si="34"/>
        <v>D4Y</v>
      </c>
      <c r="Q271" s="172"/>
      <c r="R271" s="172"/>
      <c r="S271" s="172"/>
      <c r="T271" s="172"/>
      <c r="U271" s="173"/>
    </row>
    <row r="272" spans="1:21" ht="16.95" customHeight="1" x14ac:dyDescent="0.3">
      <c r="A272" s="41">
        <f t="shared" si="27"/>
        <v>0</v>
      </c>
      <c r="C272" s="9">
        <f t="shared" ref="C272:N272" si="37">B227</f>
        <v>0</v>
      </c>
      <c r="D272" s="9">
        <f t="shared" si="37"/>
        <v>0</v>
      </c>
      <c r="E272" s="9">
        <f t="shared" si="37"/>
        <v>0</v>
      </c>
      <c r="F272" s="41">
        <f t="shared" si="37"/>
        <v>0</v>
      </c>
      <c r="G272" s="41">
        <f t="shared" si="37"/>
        <v>-72000</v>
      </c>
      <c r="H272" s="41">
        <f t="shared" si="37"/>
        <v>0</v>
      </c>
      <c r="I272" s="41">
        <f t="shared" si="37"/>
        <v>-25455.844122715702</v>
      </c>
      <c r="J272" s="41">
        <f t="shared" si="37"/>
        <v>25455.844122715702</v>
      </c>
      <c r="K272" s="41">
        <f t="shared" si="37"/>
        <v>97455.844122715702</v>
      </c>
      <c r="L272" s="41">
        <f t="shared" si="37"/>
        <v>-25455.844122715702</v>
      </c>
      <c r="M272" s="41">
        <f t="shared" si="37"/>
        <v>0</v>
      </c>
      <c r="N272" s="41">
        <f t="shared" si="37"/>
        <v>0</v>
      </c>
      <c r="O272" s="13" t="s">
        <v>251</v>
      </c>
      <c r="P272" s="215" t="str">
        <f t="shared" si="34"/>
        <v>D5X</v>
      </c>
      <c r="Q272" s="172"/>
      <c r="R272" s="172"/>
      <c r="S272" s="172"/>
      <c r="T272" s="172"/>
      <c r="U272" s="173"/>
    </row>
    <row r="273" spans="1:21" ht="16.95" customHeight="1" x14ac:dyDescent="0.3">
      <c r="A273" s="41">
        <f t="shared" si="27"/>
        <v>-5000</v>
      </c>
      <c r="C273" s="9">
        <f t="shared" ref="C273:N273" si="38">B228</f>
        <v>0</v>
      </c>
      <c r="D273" s="9">
        <f t="shared" si="38"/>
        <v>0</v>
      </c>
      <c r="E273" s="9">
        <f t="shared" si="38"/>
        <v>0</v>
      </c>
      <c r="F273" s="41">
        <f t="shared" si="38"/>
        <v>0</v>
      </c>
      <c r="G273" s="41">
        <f t="shared" si="38"/>
        <v>0</v>
      </c>
      <c r="H273" s="41">
        <f t="shared" si="38"/>
        <v>0</v>
      </c>
      <c r="I273" s="41">
        <f t="shared" si="38"/>
        <v>25455.844122715702</v>
      </c>
      <c r="J273" s="41">
        <f t="shared" si="38"/>
        <v>-25455.844122715702</v>
      </c>
      <c r="K273" s="41">
        <f t="shared" si="38"/>
        <v>-25455.844122715702</v>
      </c>
      <c r="L273" s="41">
        <f t="shared" si="38"/>
        <v>97455.844122715702</v>
      </c>
      <c r="M273" s="41">
        <f t="shared" si="38"/>
        <v>0</v>
      </c>
      <c r="N273" s="41">
        <f t="shared" si="38"/>
        <v>-72000</v>
      </c>
      <c r="O273" s="13" t="s">
        <v>251</v>
      </c>
      <c r="P273" s="215" t="str">
        <f t="shared" si="34"/>
        <v>D5Y</v>
      </c>
      <c r="Q273" s="172"/>
      <c r="R273" s="172"/>
      <c r="S273" s="172"/>
      <c r="T273" s="172"/>
      <c r="U273" s="173"/>
    </row>
    <row r="274" spans="1:21" ht="16.95" customHeight="1" x14ac:dyDescent="0.3">
      <c r="A274" s="41">
        <f t="shared" si="27"/>
        <v>2000</v>
      </c>
      <c r="C274" s="9">
        <f t="shared" ref="C274:N274" si="39">B229</f>
        <v>0</v>
      </c>
      <c r="D274" s="9">
        <f t="shared" si="39"/>
        <v>0</v>
      </c>
      <c r="E274" s="9">
        <f t="shared" si="39"/>
        <v>0</v>
      </c>
      <c r="F274" s="41">
        <f t="shared" si="39"/>
        <v>0</v>
      </c>
      <c r="G274" s="41">
        <f t="shared" si="39"/>
        <v>0</v>
      </c>
      <c r="H274" s="41">
        <f t="shared" si="39"/>
        <v>0</v>
      </c>
      <c r="I274" s="41">
        <f t="shared" si="39"/>
        <v>-72000</v>
      </c>
      <c r="J274" s="41">
        <f t="shared" si="39"/>
        <v>0</v>
      </c>
      <c r="K274" s="41">
        <f t="shared" si="39"/>
        <v>0</v>
      </c>
      <c r="L274" s="41">
        <f t="shared" si="39"/>
        <v>0</v>
      </c>
      <c r="M274" s="41">
        <f t="shared" si="39"/>
        <v>72000</v>
      </c>
      <c r="N274" s="41">
        <f t="shared" si="39"/>
        <v>0</v>
      </c>
      <c r="O274" s="13" t="s">
        <v>251</v>
      </c>
      <c r="P274" s="215" t="str">
        <f t="shared" si="34"/>
        <v>D6X</v>
      </c>
      <c r="Q274" s="172"/>
      <c r="R274" s="172"/>
      <c r="S274" s="172"/>
      <c r="T274" s="172"/>
      <c r="U274" s="173"/>
    </row>
    <row r="275" spans="1:21" ht="16.95" customHeight="1" x14ac:dyDescent="0.3">
      <c r="A275" s="41">
        <f t="shared" si="27"/>
        <v>-6000</v>
      </c>
      <c r="C275" s="9">
        <f t="shared" ref="C275:N275" si="40">B230</f>
        <v>0</v>
      </c>
      <c r="D275" s="9">
        <f t="shared" si="40"/>
        <v>0</v>
      </c>
      <c r="E275" s="9">
        <f t="shared" si="40"/>
        <v>0</v>
      </c>
      <c r="F275" s="41">
        <f t="shared" si="40"/>
        <v>0</v>
      </c>
      <c r="G275" s="41">
        <f t="shared" si="40"/>
        <v>0</v>
      </c>
      <c r="H275" s="41">
        <f t="shared" si="40"/>
        <v>0</v>
      </c>
      <c r="I275" s="41">
        <f t="shared" si="40"/>
        <v>0</v>
      </c>
      <c r="J275" s="41">
        <f t="shared" si="40"/>
        <v>0</v>
      </c>
      <c r="K275" s="41">
        <f t="shared" si="40"/>
        <v>0</v>
      </c>
      <c r="L275" s="41">
        <f t="shared" si="40"/>
        <v>-72000</v>
      </c>
      <c r="M275" s="41">
        <f t="shared" si="40"/>
        <v>0</v>
      </c>
      <c r="N275" s="41">
        <f t="shared" si="40"/>
        <v>72000</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U2Y</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97455.844122715702</v>
      </c>
      <c r="D280" s="41">
        <f t="shared" si="42"/>
        <v>25455.844122715702</v>
      </c>
      <c r="E280" s="41">
        <f t="shared" si="42"/>
        <v>-25455.844122715702</v>
      </c>
      <c r="F280" s="41">
        <f t="shared" si="42"/>
        <v>0</v>
      </c>
      <c r="G280" s="41">
        <f t="shared" si="42"/>
        <v>0</v>
      </c>
      <c r="H280" s="41">
        <f t="shared" si="42"/>
        <v>0</v>
      </c>
      <c r="I280" s="41">
        <f t="shared" si="42"/>
        <v>0</v>
      </c>
      <c r="J280" s="41">
        <f t="shared" si="42"/>
        <v>0</v>
      </c>
      <c r="K280" s="41">
        <f t="shared" si="42"/>
        <v>0</v>
      </c>
      <c r="L280" s="13" t="s">
        <v>251</v>
      </c>
      <c r="M280" s="38" t="str">
        <f>INDEX(B$248:B$259, MATCH(1, F$248:F$259, 0))</f>
        <v>D2Y</v>
      </c>
      <c r="N280" s="14" t="str">
        <f>INDEX(C$248:C$259, MATCH(1, F$248:F$259, 0))</f>
        <v>U2Y</v>
      </c>
      <c r="P280" s="215" t="s">
        <v>384</v>
      </c>
      <c r="Q280" s="172"/>
      <c r="R280" s="172"/>
      <c r="S280" s="172"/>
      <c r="T280" s="172"/>
      <c r="U280" s="173"/>
    </row>
    <row r="281" spans="1:21" ht="16.95" customHeight="1" x14ac:dyDescent="0.3">
      <c r="A281" s="41">
        <f t="shared" si="41"/>
        <v>0</v>
      </c>
      <c r="C281" s="41">
        <f t="shared" si="42"/>
        <v>25455.844122715702</v>
      </c>
      <c r="D281" s="41">
        <f t="shared" si="42"/>
        <v>169455.8441227157</v>
      </c>
      <c r="E281" s="41">
        <f t="shared" si="42"/>
        <v>-25455.844122715702</v>
      </c>
      <c r="F281" s="41">
        <f t="shared" si="42"/>
        <v>0</v>
      </c>
      <c r="G281" s="41">
        <f t="shared" si="42"/>
        <v>0</v>
      </c>
      <c r="H281" s="41">
        <f t="shared" si="42"/>
        <v>-72000</v>
      </c>
      <c r="I281" s="41">
        <f t="shared" si="42"/>
        <v>0</v>
      </c>
      <c r="J281" s="41">
        <f t="shared" si="42"/>
        <v>0</v>
      </c>
      <c r="K281" s="41">
        <f t="shared" si="42"/>
        <v>0</v>
      </c>
      <c r="L281" s="13" t="s">
        <v>251</v>
      </c>
      <c r="M281" s="38" t="str">
        <f>INDEX(B$248:B$259, MATCH(2, F$248:F$259, 0))</f>
        <v>D3X</v>
      </c>
      <c r="N281" s="14" t="str">
        <f>INDEX(C$248:C$259, MATCH(2, F$248:F$259, 0))</f>
        <v>U3X</v>
      </c>
      <c r="P281" s="215" t="s">
        <v>385</v>
      </c>
      <c r="Q281" s="172"/>
      <c r="R281" s="172"/>
      <c r="S281" s="172"/>
      <c r="T281" s="172"/>
      <c r="U281" s="173"/>
    </row>
    <row r="282" spans="1:21" ht="16.95" customHeight="1" x14ac:dyDescent="0.3">
      <c r="A282" s="41">
        <f t="shared" si="41"/>
        <v>-4000</v>
      </c>
      <c r="C282" s="41">
        <f t="shared" si="42"/>
        <v>-25455.844122715702</v>
      </c>
      <c r="D282" s="41">
        <f t="shared" si="42"/>
        <v>-25455.844122715702</v>
      </c>
      <c r="E282" s="41">
        <f t="shared" si="42"/>
        <v>97455.844122715702</v>
      </c>
      <c r="F282" s="41">
        <f t="shared" si="42"/>
        <v>0</v>
      </c>
      <c r="G282" s="41">
        <f t="shared" si="42"/>
        <v>-72000</v>
      </c>
      <c r="H282" s="41">
        <f t="shared" si="42"/>
        <v>0</v>
      </c>
      <c r="I282" s="41">
        <f t="shared" si="42"/>
        <v>0</v>
      </c>
      <c r="J282" s="41">
        <f t="shared" si="42"/>
        <v>0</v>
      </c>
      <c r="K282" s="41">
        <f t="shared" si="42"/>
        <v>0</v>
      </c>
      <c r="L282" s="13" t="s">
        <v>251</v>
      </c>
      <c r="M282" s="38" t="str">
        <f>INDEX(B$248:B$259, MATCH(3, F$248:F$259, 0))</f>
        <v>D3Y</v>
      </c>
      <c r="N282" s="14" t="str">
        <f>INDEX(C$248:C$259, MATCH(3, F$248:F$259, 0))</f>
        <v>U3Y</v>
      </c>
      <c r="P282" s="215" t="s">
        <v>386</v>
      </c>
      <c r="Q282" s="172"/>
      <c r="R282" s="172"/>
      <c r="S282" s="172"/>
      <c r="T282" s="172"/>
      <c r="U282" s="173"/>
    </row>
    <row r="283" spans="1:21" ht="16.95" customHeight="1" x14ac:dyDescent="0.3">
      <c r="A283" s="41">
        <f t="shared" si="41"/>
        <v>0</v>
      </c>
      <c r="C283" s="41">
        <f t="shared" si="42"/>
        <v>0</v>
      </c>
      <c r="D283" s="41">
        <f t="shared" si="42"/>
        <v>0</v>
      </c>
      <c r="E283" s="41">
        <f t="shared" si="42"/>
        <v>0</v>
      </c>
      <c r="F283" s="41">
        <f t="shared" si="42"/>
        <v>169455.8441227157</v>
      </c>
      <c r="G283" s="41">
        <f t="shared" si="42"/>
        <v>-25455.844122715702</v>
      </c>
      <c r="H283" s="41">
        <f t="shared" si="42"/>
        <v>-25455.844122715702</v>
      </c>
      <c r="I283" s="41">
        <f t="shared" si="42"/>
        <v>25455.844122715702</v>
      </c>
      <c r="J283" s="41">
        <f t="shared" si="42"/>
        <v>-72000</v>
      </c>
      <c r="K283" s="41">
        <f t="shared" si="42"/>
        <v>0</v>
      </c>
      <c r="L283" s="13" t="s">
        <v>251</v>
      </c>
      <c r="M283" s="38" t="str">
        <f>INDEX(B$248:B$259, MATCH(4, F$248:F$259, 0))</f>
        <v>D4X</v>
      </c>
      <c r="N283" s="14" t="str">
        <f>INDEX(C$248:C$259, MATCH(4, F$248:F$259, 0))</f>
        <v>U4X</v>
      </c>
      <c r="P283" s="215" t="s">
        <v>387</v>
      </c>
      <c r="Q283" s="172"/>
      <c r="R283" s="172"/>
      <c r="S283" s="172"/>
      <c r="T283" s="172"/>
      <c r="U283" s="173"/>
    </row>
    <row r="284" spans="1:21" ht="16.95" customHeight="1" x14ac:dyDescent="0.3">
      <c r="A284" s="41">
        <f t="shared" si="41"/>
        <v>-3500</v>
      </c>
      <c r="B284" s="13" t="s">
        <v>220</v>
      </c>
      <c r="C284" s="41">
        <f t="shared" si="42"/>
        <v>0</v>
      </c>
      <c r="D284" s="41">
        <f t="shared" si="42"/>
        <v>0</v>
      </c>
      <c r="E284" s="41">
        <f t="shared" si="42"/>
        <v>-72000</v>
      </c>
      <c r="F284" s="41">
        <f t="shared" si="42"/>
        <v>-25455.844122715702</v>
      </c>
      <c r="G284" s="41">
        <f t="shared" si="42"/>
        <v>97455.844122715702</v>
      </c>
      <c r="H284" s="41">
        <f t="shared" si="42"/>
        <v>25455.844122715702</v>
      </c>
      <c r="I284" s="41">
        <f t="shared" si="42"/>
        <v>-25455.844122715702</v>
      </c>
      <c r="J284" s="41">
        <f t="shared" si="42"/>
        <v>0</v>
      </c>
      <c r="K284" s="41">
        <f t="shared" si="42"/>
        <v>0</v>
      </c>
      <c r="L284" s="13" t="s">
        <v>251</v>
      </c>
      <c r="M284" s="38" t="str">
        <f>INDEX(B$248:B$259, MATCH(5, F$248:F$259, 0))</f>
        <v>D4Y</v>
      </c>
      <c r="N284" s="14" t="str">
        <f>INDEX(C$248:C$259, MATCH(5, F$248:F$259, 0))</f>
        <v>U4Y</v>
      </c>
      <c r="P284" s="215" t="s">
        <v>388</v>
      </c>
      <c r="Q284" s="172"/>
      <c r="R284" s="172"/>
      <c r="S284" s="172"/>
      <c r="T284" s="172"/>
      <c r="U284" s="173"/>
    </row>
    <row r="285" spans="1:21" ht="16.95" customHeight="1" x14ac:dyDescent="0.3">
      <c r="A285" s="41">
        <f t="shared" si="41"/>
        <v>0</v>
      </c>
      <c r="C285" s="41">
        <f t="shared" si="42"/>
        <v>0</v>
      </c>
      <c r="D285" s="41">
        <f t="shared" si="42"/>
        <v>-72000</v>
      </c>
      <c r="E285" s="41">
        <f t="shared" si="42"/>
        <v>0</v>
      </c>
      <c r="F285" s="41">
        <f t="shared" si="42"/>
        <v>-25455.844122715702</v>
      </c>
      <c r="G285" s="41">
        <f t="shared" si="42"/>
        <v>25455.844122715702</v>
      </c>
      <c r="H285" s="41">
        <f t="shared" si="42"/>
        <v>97455.844122715702</v>
      </c>
      <c r="I285" s="41">
        <f t="shared" si="42"/>
        <v>-25455.844122715702</v>
      </c>
      <c r="J285" s="41">
        <f t="shared" si="42"/>
        <v>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-5000</v>
      </c>
      <c r="C286" s="41">
        <f t="shared" si="42"/>
        <v>0</v>
      </c>
      <c r="D286" s="41">
        <f t="shared" si="42"/>
        <v>0</v>
      </c>
      <c r="E286" s="41">
        <f t="shared" si="42"/>
        <v>0</v>
      </c>
      <c r="F286" s="41">
        <f t="shared" si="42"/>
        <v>25455.844122715702</v>
      </c>
      <c r="G286" s="41">
        <f t="shared" si="42"/>
        <v>-25455.844122715702</v>
      </c>
      <c r="H286" s="41">
        <f t="shared" si="42"/>
        <v>-25455.844122715702</v>
      </c>
      <c r="I286" s="41">
        <f t="shared" si="42"/>
        <v>97455.844122715702</v>
      </c>
      <c r="J286" s="41">
        <f t="shared" si="42"/>
        <v>0</v>
      </c>
      <c r="K286" s="41">
        <f t="shared" si="42"/>
        <v>-72000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2000</v>
      </c>
      <c r="C287" s="41">
        <f t="shared" si="42"/>
        <v>0</v>
      </c>
      <c r="D287" s="41">
        <f t="shared" si="42"/>
        <v>0</v>
      </c>
      <c r="E287" s="41">
        <f t="shared" si="42"/>
        <v>0</v>
      </c>
      <c r="F287" s="41">
        <f t="shared" si="42"/>
        <v>-72000</v>
      </c>
      <c r="G287" s="41">
        <f t="shared" si="42"/>
        <v>0</v>
      </c>
      <c r="H287" s="41">
        <f t="shared" si="42"/>
        <v>0</v>
      </c>
      <c r="I287" s="41">
        <f t="shared" si="42"/>
        <v>0</v>
      </c>
      <c r="J287" s="41">
        <f t="shared" si="42"/>
        <v>72000</v>
      </c>
      <c r="K287" s="41">
        <f t="shared" si="42"/>
        <v>0</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-6000</v>
      </c>
      <c r="C288" s="41">
        <f t="shared" si="42"/>
        <v>0</v>
      </c>
      <c r="D288" s="41">
        <f t="shared" si="42"/>
        <v>0</v>
      </c>
      <c r="E288" s="41">
        <f t="shared" si="42"/>
        <v>0</v>
      </c>
      <c r="F288" s="41">
        <f t="shared" si="42"/>
        <v>0</v>
      </c>
      <c r="G288" s="41">
        <f t="shared" si="42"/>
        <v>0</v>
      </c>
      <c r="H288" s="41">
        <f t="shared" si="42"/>
        <v>0</v>
      </c>
      <c r="I288" s="41">
        <f t="shared" si="42"/>
        <v>-72000</v>
      </c>
      <c r="J288" s="41">
        <f t="shared" si="42"/>
        <v>0</v>
      </c>
      <c r="K288" s="41">
        <f t="shared" si="42"/>
        <v>72000</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D2Y</v>
      </c>
      <c r="C292" s="93">
        <f t="array" ref="C292:K300">MINVERSE(C280:K288)</f>
        <v>1.3888888888888884E-5</v>
      </c>
      <c r="D292" s="93">
        <v>-7.974443443935698E-21</v>
      </c>
      <c r="E292" s="93">
        <v>1.3888888888888864E-5</v>
      </c>
      <c r="F292" s="93">
        <v>3.8200971942295935E-21</v>
      </c>
      <c r="G292" s="93">
        <v>1.3888888888888864E-5</v>
      </c>
      <c r="H292" s="93">
        <v>-9.6832527533504914E-21</v>
      </c>
      <c r="I292" s="93">
        <v>1.3888888888888842E-5</v>
      </c>
      <c r="J292" s="93">
        <v>3.9445126553184711E-21</v>
      </c>
      <c r="K292" s="93">
        <v>1.3888888888888842E-5</v>
      </c>
      <c r="M292" s="17">
        <f t="shared" ref="M292:M300" si="44">A280</f>
        <v>0</v>
      </c>
      <c r="P292" s="215"/>
      <c r="Q292" s="172"/>
      <c r="R292" s="172"/>
      <c r="S292" s="172"/>
      <c r="T292" s="172"/>
      <c r="U292" s="173"/>
    </row>
    <row r="293" spans="1:21" ht="16.95" customHeight="1" x14ac:dyDescent="0.3">
      <c r="A293" s="12" t="str">
        <f t="shared" si="43"/>
        <v>D3X</v>
      </c>
      <c r="C293" s="93">
        <v>-7.1721440786443866E-21</v>
      </c>
      <c r="D293" s="93">
        <v>1.3888888888888876E-5</v>
      </c>
      <c r="E293" s="93">
        <v>1.3888888888888846E-5</v>
      </c>
      <c r="F293" s="93">
        <v>7.6170542422078924E-21</v>
      </c>
      <c r="G293" s="93">
        <v>1.388888888888884E-5</v>
      </c>
      <c r="H293" s="93">
        <v>1.3888888888888873E-5</v>
      </c>
      <c r="I293" s="93">
        <v>2.7777777777777684E-5</v>
      </c>
      <c r="J293" s="93">
        <v>7.806084320421064E-21</v>
      </c>
      <c r="K293" s="93">
        <v>2.7777777777777684E-5</v>
      </c>
      <c r="M293" s="17">
        <f t="shared" si="44"/>
        <v>0</v>
      </c>
      <c r="P293" s="215"/>
      <c r="Q293" s="172"/>
      <c r="R293" s="172"/>
      <c r="S293" s="172"/>
      <c r="T293" s="172"/>
      <c r="U293" s="173"/>
    </row>
    <row r="294" spans="1:21" ht="16.95" customHeight="1" x14ac:dyDescent="0.3">
      <c r="A294" s="12" t="str">
        <f t="shared" si="43"/>
        <v>D3Y</v>
      </c>
      <c r="C294" s="93">
        <v>1.3888888888888868E-5</v>
      </c>
      <c r="D294" s="93">
        <v>1.3888888888888844E-5</v>
      </c>
      <c r="E294" s="93">
        <v>6.7061487843696958E-5</v>
      </c>
      <c r="F294" s="93">
        <v>2.2242017959763286E-20</v>
      </c>
      <c r="G294" s="93">
        <v>6.7061487843696958E-5</v>
      </c>
      <c r="H294" s="93">
        <v>1.3888888888888835E-5</v>
      </c>
      <c r="I294" s="93">
        <v>8.0950376732585709E-5</v>
      </c>
      <c r="J294" s="93">
        <v>2.290736356394692E-20</v>
      </c>
      <c r="K294" s="93">
        <v>8.0950376732585709E-5</v>
      </c>
      <c r="M294" s="17">
        <f t="shared" si="44"/>
        <v>-4000</v>
      </c>
      <c r="P294" s="215"/>
      <c r="Q294" s="172"/>
      <c r="R294" s="172"/>
      <c r="S294" s="172"/>
      <c r="T294" s="172"/>
      <c r="U294" s="173"/>
    </row>
    <row r="295" spans="1:21" ht="16.95" customHeight="1" x14ac:dyDescent="0.3">
      <c r="A295" s="12" t="str">
        <f t="shared" si="43"/>
        <v>D4X</v>
      </c>
      <c r="C295" s="93">
        <v>3.2311469986171537E-21</v>
      </c>
      <c r="D295" s="93">
        <v>7.4338731245390773E-21</v>
      </c>
      <c r="E295" s="93">
        <v>1.640509377819991E-20</v>
      </c>
      <c r="F295" s="93">
        <v>1.3888888888888886E-5</v>
      </c>
      <c r="G295" s="93">
        <v>2.0607819904121832E-20</v>
      </c>
      <c r="H295" s="93">
        <v>9.5128859103038037E-21</v>
      </c>
      <c r="I295" s="93">
        <v>-1.388888888888884E-5</v>
      </c>
      <c r="J295" s="93">
        <v>1.3888888888888886E-5</v>
      </c>
      <c r="K295" s="93">
        <v>-1.3888888888888846E-5</v>
      </c>
      <c r="M295" s="17">
        <f t="shared" si="44"/>
        <v>0</v>
      </c>
      <c r="P295" s="215"/>
      <c r="Q295" s="172"/>
      <c r="R295" s="172"/>
      <c r="S295" s="172"/>
      <c r="T295" s="172"/>
      <c r="U295" s="173"/>
    </row>
    <row r="296" spans="1:21" ht="16.95" customHeight="1" x14ac:dyDescent="0.3">
      <c r="A296" s="12" t="str">
        <f t="shared" si="43"/>
        <v>D4Y</v>
      </c>
      <c r="B296" s="13" t="s">
        <v>220</v>
      </c>
      <c r="C296" s="93">
        <v>1.3888888888888862E-5</v>
      </c>
      <c r="D296" s="93">
        <v>1.3888888888888837E-5</v>
      </c>
      <c r="E296" s="93">
        <v>6.7061487843696931E-5</v>
      </c>
      <c r="F296" s="93">
        <v>2.6062115153992877E-20</v>
      </c>
      <c r="G296" s="93">
        <v>8.0950376732585817E-5</v>
      </c>
      <c r="H296" s="93">
        <v>1.3888888888888823E-5</v>
      </c>
      <c r="I296" s="93">
        <v>9.4839265621474554E-5</v>
      </c>
      <c r="J296" s="93">
        <v>2.6851876219265388E-20</v>
      </c>
      <c r="K296" s="93">
        <v>9.4839265621474541E-5</v>
      </c>
      <c r="M296" s="17">
        <f t="shared" si="44"/>
        <v>-3500</v>
      </c>
      <c r="P296" s="215"/>
      <c r="Q296" s="172"/>
      <c r="R296" s="172"/>
      <c r="S296" s="172"/>
      <c r="T296" s="172"/>
      <c r="U296" s="173"/>
    </row>
    <row r="297" spans="1:21" ht="16.95" customHeight="1" x14ac:dyDescent="0.3">
      <c r="A297" s="12" t="str">
        <f t="shared" si="43"/>
        <v>D5X</v>
      </c>
      <c r="C297" s="93">
        <v>-1.0820762501612208E-20</v>
      </c>
      <c r="D297" s="93">
        <v>1.3888888888888869E-5</v>
      </c>
      <c r="E297" s="93">
        <v>1.388888888888883E-5</v>
      </c>
      <c r="F297" s="93">
        <v>1.1414011290186191E-20</v>
      </c>
      <c r="G297" s="93">
        <v>1.3888888888888818E-5</v>
      </c>
      <c r="H297" s="93">
        <v>2.7777777777777755E-5</v>
      </c>
      <c r="I297" s="93">
        <v>4.1666666666666537E-5</v>
      </c>
      <c r="J297" s="93">
        <v>1.1667655985523662E-20</v>
      </c>
      <c r="K297" s="93">
        <v>4.166666666666653E-5</v>
      </c>
      <c r="M297" s="17">
        <f t="shared" si="44"/>
        <v>0</v>
      </c>
      <c r="P297" s="215"/>
      <c r="Q297" s="172"/>
      <c r="R297" s="172"/>
      <c r="S297" s="172"/>
      <c r="T297" s="172"/>
      <c r="U297" s="173"/>
    </row>
    <row r="298" spans="1:21" ht="16.95" customHeight="1" x14ac:dyDescent="0.3">
      <c r="A298" s="12" t="str">
        <f t="shared" si="43"/>
        <v>D5Y</v>
      </c>
      <c r="C298" s="93">
        <v>1.3888888888888839E-5</v>
      </c>
      <c r="D298" s="93">
        <v>2.7777777777777677E-5</v>
      </c>
      <c r="E298" s="93">
        <v>8.0950376732585709E-5</v>
      </c>
      <c r="F298" s="93">
        <v>-1.3888888888888839E-5</v>
      </c>
      <c r="G298" s="93">
        <v>9.4839265621474554E-5</v>
      </c>
      <c r="H298" s="93">
        <v>4.1666666666666543E-5</v>
      </c>
      <c r="I298" s="93">
        <v>1.8967853124294914E-4</v>
      </c>
      <c r="J298" s="93">
        <v>-1.3888888888888839E-5</v>
      </c>
      <c r="K298" s="93">
        <v>1.8967853124294911E-4</v>
      </c>
      <c r="M298" s="17">
        <f t="shared" si="44"/>
        <v>-5000</v>
      </c>
      <c r="P298" s="215"/>
      <c r="Q298" s="172"/>
      <c r="R298" s="172"/>
      <c r="S298" s="172"/>
      <c r="T298" s="172"/>
      <c r="U298" s="173"/>
    </row>
    <row r="299" spans="1:21" ht="16.95" customHeight="1" x14ac:dyDescent="0.3">
      <c r="A299" s="12" t="str">
        <f t="shared" si="43"/>
        <v>D6X</v>
      </c>
      <c r="C299" s="93">
        <v>2.9787477048291957E-21</v>
      </c>
      <c r="D299" s="93">
        <v>6.7021823358656907E-21</v>
      </c>
      <c r="E299" s="93">
        <v>2.0106547007597074E-20</v>
      </c>
      <c r="F299" s="93">
        <v>1.3888888888888884E-5</v>
      </c>
      <c r="G299" s="93">
        <v>2.3829981638633566E-20</v>
      </c>
      <c r="H299" s="93">
        <v>1.0053273503798537E-20</v>
      </c>
      <c r="I299" s="93">
        <v>-1.3888888888888844E-5</v>
      </c>
      <c r="J299" s="93">
        <v>2.7777777777777776E-5</v>
      </c>
      <c r="K299" s="93">
        <v>-1.3888888888888844E-5</v>
      </c>
      <c r="M299" s="17">
        <f t="shared" si="44"/>
        <v>2000</v>
      </c>
      <c r="P299" s="215"/>
      <c r="Q299" s="172"/>
      <c r="R299" s="172"/>
      <c r="S299" s="172"/>
      <c r="T299" s="172"/>
      <c r="U299" s="173"/>
    </row>
    <row r="300" spans="1:21" ht="16.95" customHeight="1" x14ac:dyDescent="0.3">
      <c r="A300" s="12" t="str">
        <f t="shared" si="43"/>
        <v>D6Y</v>
      </c>
      <c r="C300" s="93">
        <v>1.3888888888888839E-5</v>
      </c>
      <c r="D300" s="93">
        <v>2.7777777777777677E-5</v>
      </c>
      <c r="E300" s="93">
        <v>8.0950376732585695E-5</v>
      </c>
      <c r="F300" s="93">
        <v>-1.3888888888888839E-5</v>
      </c>
      <c r="G300" s="93">
        <v>9.4839265621474541E-5</v>
      </c>
      <c r="H300" s="93">
        <v>4.1666666666666537E-5</v>
      </c>
      <c r="I300" s="93">
        <v>1.8967853124294911E-4</v>
      </c>
      <c r="J300" s="93">
        <v>-1.3888888888888839E-5</v>
      </c>
      <c r="K300" s="93">
        <v>2.0356742013183797E-4</v>
      </c>
      <c r="M300" s="17">
        <f t="shared" si="44"/>
        <v>-6000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D2Y</v>
      </c>
      <c r="C304" s="94">
        <f t="array" ref="C304:C312">MMULT(C292:K300, M292:M300)</f>
        <v>-0.25694444444444375</v>
      </c>
      <c r="D304" s="12" t="s">
        <v>267</v>
      </c>
      <c r="P304" s="215"/>
      <c r="Q304" s="172"/>
      <c r="R304" s="172"/>
      <c r="S304" s="172"/>
      <c r="T304" s="172"/>
      <c r="U304" s="173"/>
    </row>
    <row r="305" spans="1:21" ht="16.95" customHeight="1" x14ac:dyDescent="0.3">
      <c r="A305" s="12" t="str">
        <f t="shared" si="45"/>
        <v>D3X</v>
      </c>
      <c r="C305" s="94">
        <v>-0.40972222222222082</v>
      </c>
      <c r="D305" s="12" t="s">
        <v>267</v>
      </c>
      <c r="P305" s="215"/>
      <c r="Q305" s="172"/>
      <c r="R305" s="172"/>
      <c r="S305" s="172"/>
      <c r="T305" s="172"/>
      <c r="U305" s="173"/>
    </row>
    <row r="306" spans="1:21" ht="16.95" customHeight="1" x14ac:dyDescent="0.3">
      <c r="A306" s="12" t="str">
        <f t="shared" si="45"/>
        <v>D3Y</v>
      </c>
      <c r="C306" s="94">
        <v>-1.39341530288617</v>
      </c>
      <c r="D306" s="12" t="s">
        <v>267</v>
      </c>
      <c r="P306" s="215"/>
      <c r="Q306" s="172"/>
      <c r="R306" s="172"/>
      <c r="S306" s="172"/>
      <c r="T306" s="172"/>
      <c r="U306" s="173"/>
    </row>
    <row r="307" spans="1:21" ht="16.95" customHeight="1" x14ac:dyDescent="0.3">
      <c r="A307" s="12" t="str">
        <f t="shared" si="45"/>
        <v>D4X</v>
      </c>
      <c r="C307" s="94">
        <v>0.18055555555555491</v>
      </c>
      <c r="D307" s="12" t="s">
        <v>267</v>
      </c>
      <c r="P307" s="215"/>
      <c r="Q307" s="172"/>
      <c r="R307" s="172"/>
      <c r="S307" s="172"/>
      <c r="T307" s="172"/>
      <c r="U307" s="173"/>
    </row>
    <row r="308" spans="1:21" ht="16.95" customHeight="1" x14ac:dyDescent="0.3">
      <c r="A308" s="12" t="str">
        <f t="shared" si="45"/>
        <v>D4Y</v>
      </c>
      <c r="B308" s="13" t="s">
        <v>220</v>
      </c>
      <c r="C308" s="94">
        <v>-1.5948041917750584</v>
      </c>
      <c r="D308" s="12" t="s">
        <v>267</v>
      </c>
      <c r="P308" s="215"/>
      <c r="Q308" s="172"/>
      <c r="R308" s="172"/>
      <c r="S308" s="172"/>
      <c r="T308" s="172"/>
      <c r="U308" s="173"/>
    </row>
    <row r="309" spans="1:21" ht="16.95" customHeight="1" x14ac:dyDescent="0.3">
      <c r="A309" s="12" t="str">
        <f t="shared" si="45"/>
        <v>D5X</v>
      </c>
      <c r="C309" s="94">
        <v>-0.562499999999998</v>
      </c>
      <c r="D309" s="12" t="s">
        <v>267</v>
      </c>
      <c r="P309" s="215"/>
      <c r="Q309" s="172"/>
      <c r="R309" s="172"/>
      <c r="S309" s="172"/>
      <c r="T309" s="172"/>
      <c r="U309" s="173"/>
    </row>
    <row r="310" spans="1:21" ht="16.95" customHeight="1" x14ac:dyDescent="0.3">
      <c r="A310" s="12" t="str">
        <f t="shared" si="45"/>
        <v>D5Y</v>
      </c>
      <c r="C310" s="94">
        <v>-2.769980558055722</v>
      </c>
      <c r="D310" s="12" t="s">
        <v>267</v>
      </c>
      <c r="P310" s="215"/>
      <c r="Q310" s="172"/>
      <c r="R310" s="172"/>
      <c r="S310" s="172"/>
      <c r="T310" s="172"/>
      <c r="U310" s="173"/>
    </row>
    <row r="311" spans="1:21" ht="16.95" customHeight="1" x14ac:dyDescent="0.3">
      <c r="A311" s="12" t="str">
        <f t="shared" si="45"/>
        <v>D6X</v>
      </c>
      <c r="C311" s="94">
        <v>0.20833333333333268</v>
      </c>
      <c r="D311" s="12" t="s">
        <v>267</v>
      </c>
      <c r="P311" s="215"/>
      <c r="Q311" s="172"/>
      <c r="R311" s="172"/>
      <c r="S311" s="172"/>
      <c r="T311" s="172"/>
      <c r="U311" s="173"/>
    </row>
    <row r="312" spans="1:21" ht="16.95" customHeight="1" x14ac:dyDescent="0.3">
      <c r="A312" s="12" t="str">
        <f t="shared" si="45"/>
        <v>D6Y</v>
      </c>
      <c r="C312" s="94">
        <v>-2.8533138913890546</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0</v>
      </c>
      <c r="D317" s="9">
        <f t="shared" si="46"/>
        <v>-72000</v>
      </c>
      <c r="E317" s="9">
        <f t="shared" si="46"/>
        <v>0</v>
      </c>
      <c r="F317" s="9">
        <f t="shared" si="46"/>
        <v>0</v>
      </c>
      <c r="G317" s="9">
        <f t="shared" si="46"/>
        <v>0</v>
      </c>
      <c r="H317" s="9">
        <f t="shared" si="46"/>
        <v>0</v>
      </c>
      <c r="I317" s="9">
        <f t="shared" si="46"/>
        <v>0</v>
      </c>
      <c r="J317" s="9">
        <f t="shared" si="46"/>
        <v>0</v>
      </c>
      <c r="K317" s="9">
        <f t="shared" si="46"/>
        <v>0</v>
      </c>
      <c r="M317" s="95">
        <f t="shared" ref="M317:M325" si="47">C304</f>
        <v>-0.25694444444444375</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-72000</v>
      </c>
      <c r="D318" s="9">
        <f t="shared" si="46"/>
        <v>0</v>
      </c>
      <c r="E318" s="9">
        <f t="shared" si="46"/>
        <v>0</v>
      </c>
      <c r="F318" s="9">
        <f t="shared" si="46"/>
        <v>0</v>
      </c>
      <c r="G318" s="9">
        <f t="shared" si="46"/>
        <v>0</v>
      </c>
      <c r="H318" s="9">
        <f t="shared" si="46"/>
        <v>0</v>
      </c>
      <c r="I318" s="9">
        <f t="shared" si="46"/>
        <v>0</v>
      </c>
      <c r="J318" s="9">
        <f t="shared" si="46"/>
        <v>0</v>
      </c>
      <c r="K318" s="9">
        <f t="shared" si="46"/>
        <v>0</v>
      </c>
      <c r="M318" s="95">
        <f t="shared" si="47"/>
        <v>-0.40972222222222082</v>
      </c>
      <c r="N318" s="14" t="str">
        <f>INDEX(C$248:C$259, MATCH(2, G$248:G$259, 0))</f>
        <v>U1Y</v>
      </c>
      <c r="P318" s="215" t="s">
        <v>391</v>
      </c>
      <c r="Q318" s="172"/>
      <c r="R318" s="172"/>
      <c r="S318" s="172"/>
      <c r="T318" s="172"/>
      <c r="U318" s="173"/>
    </row>
    <row r="319" spans="1:21" ht="16.95" customHeight="1" x14ac:dyDescent="0.3">
      <c r="A319" s="18" t="str">
        <f>INDEX(B$234:B$245, MATCH(N319, C$234:C$245, 0))</f>
        <v>C2X</v>
      </c>
      <c r="C319" s="9">
        <f t="shared" si="46"/>
        <v>-25455.844122715702</v>
      </c>
      <c r="D319" s="9">
        <f t="shared" si="46"/>
        <v>-25455.844122715702</v>
      </c>
      <c r="E319" s="9">
        <f t="shared" si="46"/>
        <v>25455.844122715702</v>
      </c>
      <c r="F319" s="9">
        <f t="shared" si="46"/>
        <v>-72000</v>
      </c>
      <c r="G319" s="9">
        <f t="shared" si="46"/>
        <v>0</v>
      </c>
      <c r="H319" s="9">
        <f t="shared" si="46"/>
        <v>0</v>
      </c>
      <c r="I319" s="9">
        <f t="shared" si="46"/>
        <v>0</v>
      </c>
      <c r="J319" s="9">
        <f t="shared" si="46"/>
        <v>0</v>
      </c>
      <c r="K319" s="9">
        <f t="shared" si="46"/>
        <v>0</v>
      </c>
      <c r="M319" s="95">
        <f t="shared" si="47"/>
        <v>-1.39341530288617</v>
      </c>
      <c r="N319" s="14" t="str">
        <f>INDEX(C$248:C$259, MATCH(3, G$248:G$259, 0))</f>
        <v>U2X</v>
      </c>
      <c r="P319" s="215" t="s">
        <v>392</v>
      </c>
      <c r="Q319" s="172"/>
      <c r="R319" s="172"/>
      <c r="S319" s="172"/>
      <c r="T319" s="172"/>
      <c r="U319" s="173"/>
    </row>
    <row r="320" spans="1:21" ht="16.95" customHeight="1" x14ac:dyDescent="0.3">
      <c r="M320" s="95">
        <f t="shared" si="47"/>
        <v>0.18055555555555491</v>
      </c>
      <c r="P320" s="215" t="s">
        <v>393</v>
      </c>
      <c r="Q320" s="172"/>
      <c r="R320" s="172"/>
      <c r="S320" s="172"/>
      <c r="T320" s="172"/>
      <c r="U320" s="173"/>
    </row>
    <row r="321" spans="1:21" ht="16.95" customHeight="1" x14ac:dyDescent="0.3">
      <c r="M321" s="95">
        <f t="shared" si="47"/>
        <v>-1.5948041917750584</v>
      </c>
      <c r="P321" s="215" t="s">
        <v>394</v>
      </c>
      <c r="Q321" s="172"/>
      <c r="R321" s="172"/>
      <c r="S321" s="172"/>
      <c r="T321" s="172"/>
      <c r="U321" s="173"/>
    </row>
    <row r="322" spans="1:21" ht="16.95" customHeight="1" x14ac:dyDescent="0.3">
      <c r="M322" s="95">
        <f t="shared" si="47"/>
        <v>-0.562499999999998</v>
      </c>
      <c r="P322" s="215"/>
      <c r="Q322" s="172"/>
      <c r="R322" s="172"/>
      <c r="S322" s="172"/>
      <c r="T322" s="172"/>
      <c r="U322" s="173"/>
    </row>
    <row r="323" spans="1:21" ht="16.95" customHeight="1" x14ac:dyDescent="0.3">
      <c r="M323" s="95">
        <f t="shared" si="47"/>
        <v>-2.769980558055722</v>
      </c>
      <c r="P323" s="215"/>
      <c r="Q323" s="172"/>
      <c r="R323" s="172"/>
      <c r="S323" s="172"/>
      <c r="T323" s="172"/>
      <c r="U323" s="173"/>
    </row>
    <row r="324" spans="1:21" ht="16.95" customHeight="1" x14ac:dyDescent="0.3">
      <c r="M324" s="95">
        <f t="shared" si="47"/>
        <v>0.20833333333333268</v>
      </c>
      <c r="P324" s="215"/>
      <c r="Q324" s="172"/>
      <c r="R324" s="172"/>
      <c r="S324" s="172"/>
      <c r="T324" s="172"/>
      <c r="U324" s="173"/>
    </row>
    <row r="325" spans="1:21" ht="16.95" customHeight="1" x14ac:dyDescent="0.3">
      <c r="M325" s="95">
        <f t="shared" si="47"/>
        <v>-2.8533138913890546</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29499.999999999898</v>
      </c>
      <c r="D327" s="12" t="s">
        <v>273</v>
      </c>
      <c r="P327" s="215"/>
      <c r="Q327" s="172"/>
      <c r="R327" s="172"/>
      <c r="S327" s="172"/>
      <c r="T327" s="172"/>
      <c r="U327" s="173"/>
    </row>
    <row r="328" spans="1:21" ht="16.95" customHeight="1" x14ac:dyDescent="0.3">
      <c r="A328" s="12" t="str">
        <f>A318</f>
        <v>C1Y</v>
      </c>
      <c r="B328" s="13" t="s">
        <v>220</v>
      </c>
      <c r="C328" s="17">
        <v>18499.999999999949</v>
      </c>
      <c r="D328" s="12" t="s">
        <v>273</v>
      </c>
      <c r="P328" s="215"/>
      <c r="Q328" s="172"/>
      <c r="R328" s="172"/>
      <c r="S328" s="172"/>
      <c r="T328" s="172"/>
      <c r="U328" s="173"/>
    </row>
    <row r="329" spans="1:21" ht="16.95" customHeight="1" x14ac:dyDescent="0.3">
      <c r="A329" s="12" t="str">
        <f>A319</f>
        <v>C2X</v>
      </c>
      <c r="C329" s="17">
        <v>-31499.999999999905</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v>
      </c>
    </row>
    <row r="337" spans="1:21" ht="19.05" customHeight="1" x14ac:dyDescent="0.3">
      <c r="A337" s="12" t="s">
        <v>231</v>
      </c>
      <c r="B337" s="12" t="s">
        <v>181</v>
      </c>
      <c r="D337" s="94">
        <f t="shared" si="48"/>
        <v>-0.25694444444444375</v>
      </c>
    </row>
    <row r="338" spans="1:21" ht="19.05" customHeight="1" x14ac:dyDescent="0.3">
      <c r="A338" s="12" t="s">
        <v>232</v>
      </c>
      <c r="B338" s="12" t="s">
        <v>182</v>
      </c>
      <c r="D338" s="94">
        <f t="shared" si="48"/>
        <v>-0.40972222222222082</v>
      </c>
    </row>
    <row r="339" spans="1:21" ht="19.05" customHeight="1" x14ac:dyDescent="0.3">
      <c r="A339" s="12" t="s">
        <v>234</v>
      </c>
      <c r="B339" s="12" t="s">
        <v>183</v>
      </c>
      <c r="D339" s="94">
        <f t="shared" si="48"/>
        <v>-1.39341530288617</v>
      </c>
    </row>
    <row r="340" spans="1:21" ht="19.05" customHeight="1" x14ac:dyDescent="0.3">
      <c r="A340" s="12" t="s">
        <v>235</v>
      </c>
      <c r="B340" s="12" t="s">
        <v>184</v>
      </c>
      <c r="D340" s="94">
        <f t="shared" si="48"/>
        <v>0.18055555555555491</v>
      </c>
    </row>
    <row r="341" spans="1:21" ht="19.05" customHeight="1" x14ac:dyDescent="0.3">
      <c r="A341" s="12" t="s">
        <v>236</v>
      </c>
      <c r="B341" s="12" t="s">
        <v>185</v>
      </c>
      <c r="D341" s="94">
        <f t="shared" si="48"/>
        <v>-1.5948041917750584</v>
      </c>
    </row>
    <row r="342" spans="1:21" ht="19.05" customHeight="1" x14ac:dyDescent="0.3">
      <c r="A342" s="12" t="s">
        <v>237</v>
      </c>
      <c r="B342" s="12" t="s">
        <v>186</v>
      </c>
      <c r="D342" s="94">
        <f t="shared" si="48"/>
        <v>-0.562499999999998</v>
      </c>
    </row>
    <row r="343" spans="1:21" ht="19.05" customHeight="1" x14ac:dyDescent="0.3">
      <c r="A343" s="12" t="s">
        <v>238</v>
      </c>
      <c r="B343" s="12" t="s">
        <v>187</v>
      </c>
      <c r="D343" s="94">
        <f t="shared" si="48"/>
        <v>-2.769980558055722</v>
      </c>
    </row>
    <row r="344" spans="1:21" ht="19.05" customHeight="1" x14ac:dyDescent="0.3">
      <c r="A344" s="12" t="s">
        <v>239</v>
      </c>
      <c r="B344" s="12" t="s">
        <v>188</v>
      </c>
      <c r="D344" s="94">
        <f t="shared" si="48"/>
        <v>0.20833333333333268</v>
      </c>
    </row>
    <row r="345" spans="1:21" ht="19.05" customHeight="1" x14ac:dyDescent="0.3">
      <c r="A345" s="12" t="s">
        <v>240</v>
      </c>
      <c r="B345" s="12" t="s">
        <v>189</v>
      </c>
      <c r="D345" s="94">
        <f t="shared" si="48"/>
        <v>-2.8533138913890546</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72000</v>
      </c>
      <c r="C352" s="92">
        <f>-J6</f>
        <v>0</v>
      </c>
      <c r="D352" s="92">
        <f>-K6</f>
        <v>-1</v>
      </c>
      <c r="E352" s="92">
        <f>J6</f>
        <v>0</v>
      </c>
      <c r="F352" s="92">
        <f>K6</f>
        <v>1</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-18499.999999999949</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0</v>
      </c>
      <c r="H354" s="12" t="str">
        <f>"D" &amp; E18 &amp; "X"</f>
        <v>D2X</v>
      </c>
      <c r="P354" s="215" t="s">
        <v>400</v>
      </c>
      <c r="Q354" s="172"/>
      <c r="R354" s="172"/>
      <c r="S354" s="172"/>
      <c r="T354" s="172"/>
      <c r="U354" s="173"/>
    </row>
    <row r="355" spans="1:21" ht="16.95" customHeight="1" x14ac:dyDescent="0.3">
      <c r="G355" s="96">
        <f>IFERROR(VLOOKUP(H355, A$334:D$345, 4, FALSE), 0)</f>
        <v>-0.25694444444444375</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COMPRESIÓN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72000</v>
      </c>
      <c r="C360" s="92">
        <f>-J7</f>
        <v>-1</v>
      </c>
      <c r="D360" s="92">
        <f>-K7</f>
        <v>0</v>
      </c>
      <c r="E360" s="92">
        <f>J7</f>
        <v>1</v>
      </c>
      <c r="F360" s="92">
        <f>K7</f>
        <v>0</v>
      </c>
      <c r="G360" s="96">
        <f>IFERROR(VLOOKUP(H360, A$334:D$345, 4, FALSE), 0)</f>
        <v>0</v>
      </c>
      <c r="H360" s="12" t="str">
        <f>"D" &amp; C19 &amp; "X"</f>
        <v>D1X</v>
      </c>
      <c r="P360" s="215"/>
      <c r="Q360" s="172"/>
      <c r="R360" s="172"/>
      <c r="S360" s="172"/>
      <c r="T360" s="172"/>
      <c r="U360" s="173"/>
    </row>
    <row r="361" spans="1:21" ht="16.95" customHeight="1" x14ac:dyDescent="0.3">
      <c r="A361" s="99" t="s">
        <v>286</v>
      </c>
      <c r="B361" s="97">
        <f>(MMULT(C360:F360, G360:G363)*A360)</f>
        <v>-29499.999999999898</v>
      </c>
      <c r="G361" s="96">
        <f>IFERROR(VLOOKUP(H361, A$334:D$345, 4, FALSE), 0)</f>
        <v>0</v>
      </c>
      <c r="H361" s="12" t="str">
        <f>"D" &amp; D19 &amp; "Y"</f>
        <v>D1Y</v>
      </c>
      <c r="P361" s="215"/>
      <c r="Q361" s="172"/>
      <c r="R361" s="172"/>
      <c r="S361" s="172"/>
      <c r="T361" s="172"/>
      <c r="U361" s="173"/>
    </row>
    <row r="362" spans="1:21" ht="16.95" customHeight="1" x14ac:dyDescent="0.3">
      <c r="G362" s="96">
        <f>IFERROR(VLOOKUP(H362, A$334:D$345, 4, FALSE), 0)</f>
        <v>-0.40972222222222082</v>
      </c>
      <c r="H362" s="12" t="str">
        <f>"D" &amp; E19 &amp; "X"</f>
        <v>D3X</v>
      </c>
      <c r="P362" s="215"/>
      <c r="Q362" s="172"/>
      <c r="R362" s="172"/>
      <c r="S362" s="172"/>
      <c r="T362" s="172"/>
      <c r="U362" s="173"/>
    </row>
    <row r="363" spans="1:21" ht="16.95" customHeight="1" x14ac:dyDescent="0.3">
      <c r="G363" s="96">
        <f>IFERROR(VLOOKUP(H363, A$334:D$345, 4, FALSE), 0)</f>
        <v>-1.39341530288617</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COMPRESIÓN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72000</v>
      </c>
      <c r="C368" s="92">
        <f>-J8</f>
        <v>-1</v>
      </c>
      <c r="D368" s="92">
        <f>-K8</f>
        <v>0</v>
      </c>
      <c r="E368" s="92">
        <f>J8</f>
        <v>1</v>
      </c>
      <c r="F368" s="92">
        <f>K8</f>
        <v>0</v>
      </c>
      <c r="G368" s="96">
        <f>IFERROR(VLOOKUP(H368, A$334:D$345, 4, FALSE), 0)</f>
        <v>-0.40972222222222082</v>
      </c>
      <c r="H368" s="12" t="str">
        <f>"D" &amp; C20 &amp; "X"</f>
        <v>D3X</v>
      </c>
      <c r="P368" s="215"/>
      <c r="Q368" s="172"/>
      <c r="R368" s="172"/>
      <c r="S368" s="172"/>
      <c r="T368" s="172"/>
      <c r="U368" s="173"/>
    </row>
    <row r="369" spans="1:21" ht="16.95" customHeight="1" x14ac:dyDescent="0.3">
      <c r="A369" s="99" t="s">
        <v>287</v>
      </c>
      <c r="B369" s="97">
        <f>(MMULT(C368:F368, G368:G371)*A368)</f>
        <v>-10999.999999999956</v>
      </c>
      <c r="G369" s="96">
        <f>IFERROR(VLOOKUP(H369, A$334:D$345, 4, FALSE), 0)</f>
        <v>-1.39341530288617</v>
      </c>
      <c r="H369" s="12" t="str">
        <f>"D" &amp; D20 &amp; "Y"</f>
        <v>D3Y</v>
      </c>
      <c r="P369" s="215"/>
      <c r="Q369" s="172"/>
      <c r="R369" s="172"/>
      <c r="S369" s="172"/>
      <c r="T369" s="172"/>
      <c r="U369" s="173"/>
    </row>
    <row r="370" spans="1:21" ht="16.95" customHeight="1" x14ac:dyDescent="0.3">
      <c r="G370" s="96">
        <f>IFERROR(VLOOKUP(H370, A$334:D$345, 4, FALSE), 0)</f>
        <v>-0.562499999999998</v>
      </c>
      <c r="H370" s="12" t="str">
        <f>"D" &amp; E20 &amp; "X"</f>
        <v>D5X</v>
      </c>
      <c r="P370" s="215"/>
      <c r="Q370" s="172"/>
      <c r="R370" s="172"/>
      <c r="S370" s="172"/>
      <c r="T370" s="172"/>
      <c r="U370" s="173"/>
    </row>
    <row r="371" spans="1:21" ht="16.95" customHeight="1" x14ac:dyDescent="0.3">
      <c r="G371" s="96">
        <f>IFERROR(VLOOKUP(H371, A$334:D$345, 4, FALSE), 0)</f>
        <v>-2.769980558055722</v>
      </c>
      <c r="H371" s="12" t="str">
        <f>"D" &amp; F20 &amp; "Y"</f>
        <v>D5Y</v>
      </c>
      <c r="P371" s="215"/>
      <c r="Q371" s="172"/>
      <c r="R371" s="172"/>
      <c r="S371" s="172"/>
      <c r="T371" s="172"/>
      <c r="U371" s="173"/>
    </row>
    <row r="372" spans="1:21" ht="16.95" customHeight="1" x14ac:dyDescent="0.3">
      <c r="B372" s="99" t="s">
        <v>273</v>
      </c>
      <c r="C372" s="178" t="str">
        <f>IF(B369&gt;0.001,"BARRA A TRACCIÓN (+)",IF(B369&lt;-0.001,"BARRA A COMPRESIÓN (-)","BARRA DE FUERZA NULA"))</f>
        <v>BARRA A COMPRESIÓN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72000</v>
      </c>
      <c r="C376" s="92">
        <f>-J9</f>
        <v>-1</v>
      </c>
      <c r="D376" s="92">
        <f>-K9</f>
        <v>0</v>
      </c>
      <c r="E376" s="92">
        <f>J9</f>
        <v>1</v>
      </c>
      <c r="F376" s="92">
        <f>K9</f>
        <v>0</v>
      </c>
      <c r="G376" s="96">
        <f>IFERROR(VLOOKUP(H376, A$334:D$345, 4, FALSE), 0)</f>
        <v>0</v>
      </c>
      <c r="H376" s="12" t="str">
        <f>"D" &amp; C21 &amp; "X"</f>
        <v>D2X</v>
      </c>
    </row>
    <row r="377" spans="1:21" ht="19.95" customHeight="1" x14ac:dyDescent="0.3">
      <c r="A377" s="99" t="s">
        <v>288</v>
      </c>
      <c r="B377" s="97">
        <f>(MMULT(C376:F376, G376:G379)*A376)</f>
        <v>12999.999999999955</v>
      </c>
      <c r="G377" s="96">
        <f>IFERROR(VLOOKUP(H377, A$334:D$345, 4, FALSE), 0)</f>
        <v>-0.25694444444444375</v>
      </c>
      <c r="H377" s="12" t="str">
        <f>"D" &amp; D21 &amp; "Y"</f>
        <v>D2Y</v>
      </c>
    </row>
    <row r="378" spans="1:21" ht="19.95" customHeight="1" x14ac:dyDescent="0.3">
      <c r="G378" s="96">
        <f>IFERROR(VLOOKUP(H378, A$334:D$345, 4, FALSE), 0)</f>
        <v>0.18055555555555491</v>
      </c>
      <c r="H378" s="12" t="str">
        <f>"D" &amp; E21 &amp; "X"</f>
        <v>D4X</v>
      </c>
    </row>
    <row r="379" spans="1:21" ht="19.95" customHeight="1" x14ac:dyDescent="0.3">
      <c r="G379" s="96">
        <f>IFERROR(VLOOKUP(H379, A$334:D$345, 4, FALSE), 0)</f>
        <v>-1.5948041917750584</v>
      </c>
      <c r="H379" s="12" t="str">
        <f>"D" &amp; F21 &amp; "Y"</f>
        <v>D4Y</v>
      </c>
    </row>
    <row r="380" spans="1:21" ht="19.95" customHeight="1" x14ac:dyDescent="0.3">
      <c r="B380" s="99" t="s">
        <v>273</v>
      </c>
      <c r="C380" s="178" t="str">
        <f>IF(B377&gt;0.001,"BARRA A TRACCIÓN (+)",IF(B377&lt;-0.001,"BARRA A COMPRESIÓN (-)","BARRA DE FUERZA NULA"))</f>
        <v>BARRA A TRACCIÓN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72000</v>
      </c>
      <c r="C384" s="92">
        <f>-J10</f>
        <v>-1</v>
      </c>
      <c r="D384" s="92">
        <f>-K10</f>
        <v>0</v>
      </c>
      <c r="E384" s="92">
        <f>J10</f>
        <v>1</v>
      </c>
      <c r="F384" s="92">
        <f>K10</f>
        <v>0</v>
      </c>
      <c r="G384" s="96">
        <f>IFERROR(VLOOKUP(H384, A$334:D$345, 4, FALSE), 0)</f>
        <v>0.18055555555555491</v>
      </c>
      <c r="H384" s="12" t="str">
        <f>"D" &amp; C22 &amp; "X"</f>
        <v>D4X</v>
      </c>
    </row>
    <row r="385" spans="1:8" ht="19.95" customHeight="1" x14ac:dyDescent="0.3">
      <c r="A385" s="99" t="s">
        <v>289</v>
      </c>
      <c r="B385" s="97">
        <f>(MMULT(C384:F384, G384:G387)*A384)</f>
        <v>1999.9999999999989</v>
      </c>
      <c r="G385" s="96">
        <f>IFERROR(VLOOKUP(H385, A$334:D$345, 4, FALSE), 0)</f>
        <v>-1.5948041917750584</v>
      </c>
      <c r="H385" s="12" t="str">
        <f>"D" &amp; D22 &amp; "Y"</f>
        <v>D4Y</v>
      </c>
    </row>
    <row r="386" spans="1:8" ht="19.95" customHeight="1" x14ac:dyDescent="0.3">
      <c r="G386" s="96">
        <f>IFERROR(VLOOKUP(H386, A$334:D$345, 4, FALSE), 0)</f>
        <v>0.20833333333333268</v>
      </c>
      <c r="H386" s="12" t="str">
        <f>"D" &amp; E22 &amp; "X"</f>
        <v>D6X</v>
      </c>
    </row>
    <row r="387" spans="1:8" ht="19.95" customHeight="1" x14ac:dyDescent="0.3">
      <c r="G387" s="96">
        <f>IFERROR(VLOOKUP(H387, A$334:D$345, 4, FALSE), 0)</f>
        <v>-2.8533138913890546</v>
      </c>
      <c r="H387" s="12" t="str">
        <f>"D" &amp; F22 &amp; "Y"</f>
        <v>D6Y</v>
      </c>
    </row>
    <row r="388" spans="1:8" ht="19.95" customHeight="1" x14ac:dyDescent="0.3">
      <c r="B388" s="99" t="s">
        <v>273</v>
      </c>
      <c r="C388" s="178" t="str">
        <f>IF(B385&gt;0.001,"BARRA A TRACCIÓN (+)",IF(B385&lt;-0.001,"BARRA A COMPRESIÓN (-)","BARRA DE FUERZA NULA"))</f>
        <v>BARRA A TRACCIÓN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72000</v>
      </c>
      <c r="C392" s="92">
        <f>-J11</f>
        <v>0</v>
      </c>
      <c r="D392" s="92">
        <f>-K11</f>
        <v>-1</v>
      </c>
      <c r="E392" s="92">
        <f>J11</f>
        <v>0</v>
      </c>
      <c r="F392" s="92">
        <f>K11</f>
        <v>1</v>
      </c>
      <c r="G392" s="96">
        <f>IFERROR(VLOOKUP(H392, A$334:D$345, 4, FALSE), 0)</f>
        <v>-0.40972222222222082</v>
      </c>
      <c r="H392" s="12" t="str">
        <f>"D" &amp; C23 &amp; "X"</f>
        <v>D3X</v>
      </c>
    </row>
    <row r="393" spans="1:8" ht="19.95" customHeight="1" x14ac:dyDescent="0.3">
      <c r="A393" s="99" t="s">
        <v>290</v>
      </c>
      <c r="B393" s="97">
        <f>(MMULT(C392:F392, G392:G395)*A392)</f>
        <v>-14499.999999999964</v>
      </c>
      <c r="G393" s="96">
        <f>IFERROR(VLOOKUP(H393, A$334:D$345, 4, FALSE), 0)</f>
        <v>-1.39341530288617</v>
      </c>
      <c r="H393" s="12" t="str">
        <f>"D" &amp; D23 &amp; "Y"</f>
        <v>D3Y</v>
      </c>
    </row>
    <row r="394" spans="1:8" ht="19.95" customHeight="1" x14ac:dyDescent="0.3">
      <c r="G394" s="96">
        <f>IFERROR(VLOOKUP(H394, A$334:D$345, 4, FALSE), 0)</f>
        <v>0.18055555555555491</v>
      </c>
      <c r="H394" s="12" t="str">
        <f>"D" &amp; E23 &amp; "X"</f>
        <v>D4X</v>
      </c>
    </row>
    <row r="395" spans="1:8" ht="19.95" customHeight="1" x14ac:dyDescent="0.3">
      <c r="G395" s="96">
        <f>IFERROR(VLOOKUP(H395, A$334:D$345, 4, FALSE), 0)</f>
        <v>-1.5948041917750584</v>
      </c>
      <c r="H395" s="12" t="str">
        <f>"D" &amp; F23 &amp; "Y"</f>
        <v>D4Y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72000</v>
      </c>
      <c r="C400" s="92">
        <f>-J12</f>
        <v>0</v>
      </c>
      <c r="D400" s="92">
        <f>-K12</f>
        <v>-1</v>
      </c>
      <c r="E400" s="92">
        <f>J12</f>
        <v>0</v>
      </c>
      <c r="F400" s="92">
        <f>K12</f>
        <v>1</v>
      </c>
      <c r="G400" s="96">
        <f>IFERROR(VLOOKUP(H400, A$334:D$345, 4, FALSE), 0)</f>
        <v>-0.562499999999998</v>
      </c>
      <c r="H400" s="12" t="str">
        <f>"D" &amp; C24 &amp; "X"</f>
        <v>D5X</v>
      </c>
    </row>
    <row r="401" spans="1:8" ht="19.95" customHeight="1" x14ac:dyDescent="0.3">
      <c r="A401" s="99" t="s">
        <v>291</v>
      </c>
      <c r="B401" s="97">
        <f>(MMULT(C400:F400, G400:G403)*A400)</f>
        <v>-5999.9999999999463</v>
      </c>
      <c r="G401" s="96">
        <f>IFERROR(VLOOKUP(H401, A$334:D$345, 4, FALSE), 0)</f>
        <v>-2.769980558055722</v>
      </c>
      <c r="H401" s="12" t="str">
        <f>"D" &amp; D24 &amp; "Y"</f>
        <v>D5Y</v>
      </c>
    </row>
    <row r="402" spans="1:8" ht="19.95" customHeight="1" x14ac:dyDescent="0.3">
      <c r="G402" s="96">
        <f>IFERROR(VLOOKUP(H402, A$334:D$345, 4, FALSE), 0)</f>
        <v>0.20833333333333268</v>
      </c>
      <c r="H402" s="12" t="str">
        <f>"D" &amp; E24 &amp; "X"</f>
        <v>D6X</v>
      </c>
    </row>
    <row r="403" spans="1:8" ht="19.95" customHeight="1" x14ac:dyDescent="0.3">
      <c r="G403" s="96">
        <f>IFERROR(VLOOKUP(H403, A$334:D$345, 4, FALSE), 0)</f>
        <v>-2.8533138913890546</v>
      </c>
      <c r="H403" s="12" t="str">
        <f>"D" &amp; F24 &amp; "Y"</f>
        <v>D6Y</v>
      </c>
    </row>
    <row r="404" spans="1:8" ht="19.95" customHeight="1" x14ac:dyDescent="0.3">
      <c r="B404" s="99" t="s">
        <v>273</v>
      </c>
      <c r="C404" s="178" t="str">
        <f>IF(B401&gt;0.001,"BARRA A TRACCIÓN (+)",IF(B401&lt;-0.001,"BARRA A COMPRESIÓN (-)","BARRA DE FUERZA NULA"))</f>
        <v>BARRA A COMPRESIÓN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50911.688245431418</v>
      </c>
      <c r="C408" s="92">
        <f>-J13</f>
        <v>-0.70710678118654746</v>
      </c>
      <c r="D408" s="92">
        <f>-K13</f>
        <v>0.70710678118654746</v>
      </c>
      <c r="E408" s="92">
        <f>J13</f>
        <v>0.70710678118654746</v>
      </c>
      <c r="F408" s="92">
        <f>K13</f>
        <v>-0.70710678118654746</v>
      </c>
      <c r="G408" s="96">
        <f>IFERROR(VLOOKUP(H408, A$334:D$345, 4, FALSE), 0)</f>
        <v>0</v>
      </c>
      <c r="H408" s="12" t="str">
        <f>"D" &amp; C25 &amp; "X"</f>
        <v>D2X</v>
      </c>
    </row>
    <row r="409" spans="1:8" ht="19.95" customHeight="1" x14ac:dyDescent="0.3">
      <c r="A409" s="99" t="s">
        <v>292</v>
      </c>
      <c r="B409" s="97">
        <f>(MMULT(C408:F408, G408:G411)*A408)</f>
        <v>26162.95090390219</v>
      </c>
      <c r="G409" s="96">
        <f>IFERROR(VLOOKUP(H409, A$334:D$345, 4, FALSE), 0)</f>
        <v>-0.25694444444444375</v>
      </c>
      <c r="H409" s="12" t="str">
        <f>"D" &amp; D25 &amp; "Y"</f>
        <v>D2Y</v>
      </c>
    </row>
    <row r="410" spans="1:8" ht="19.95" customHeight="1" x14ac:dyDescent="0.3">
      <c r="G410" s="96">
        <f>IFERROR(VLOOKUP(H410, A$334:D$345, 4, FALSE), 0)</f>
        <v>-0.40972222222222082</v>
      </c>
      <c r="H410" s="12" t="str">
        <f>"D" &amp; E25 &amp; "X"</f>
        <v>D3X</v>
      </c>
    </row>
    <row r="411" spans="1:8" ht="19.95" customHeight="1" x14ac:dyDescent="0.3">
      <c r="G411" s="96">
        <f>IFERROR(VLOOKUP(H411, A$334:D$345, 4, FALSE), 0)</f>
        <v>-1.39341530288617</v>
      </c>
      <c r="H411" s="12" t="str">
        <f>"D" &amp; F25 &amp; "Y"</f>
        <v>D3Y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50911.688245431418</v>
      </c>
      <c r="C416" s="92">
        <f>-J14</f>
        <v>-0.70710678118654746</v>
      </c>
      <c r="D416" s="92">
        <f>-K14</f>
        <v>0.70710678118654746</v>
      </c>
      <c r="E416" s="92">
        <f>J14</f>
        <v>0.70710678118654746</v>
      </c>
      <c r="F416" s="92">
        <f>K14</f>
        <v>-0.70710678118654746</v>
      </c>
      <c r="G416" s="96">
        <f>IFERROR(VLOOKUP(H416, A$334:D$345, 4, FALSE), 0)</f>
        <v>0.18055555555555491</v>
      </c>
      <c r="H416" s="12" t="str">
        <f>"D" &amp; C26 &amp; "X"</f>
        <v>D4X</v>
      </c>
    </row>
    <row r="417" spans="1:8" ht="19.95" customHeight="1" x14ac:dyDescent="0.3">
      <c r="A417" s="99" t="s">
        <v>530</v>
      </c>
      <c r="B417" s="97">
        <f>(MMULT(C416:F416, G416:G419)*A416)</f>
        <v>15556.349186103978</v>
      </c>
      <c r="G417" s="96">
        <f>IFERROR(VLOOKUP(H417, A$334:D$345, 4, FALSE), 0)</f>
        <v>-1.5948041917750584</v>
      </c>
      <c r="H417" s="12" t="str">
        <f>"D" &amp; D26 &amp; "Y"</f>
        <v>D4Y</v>
      </c>
    </row>
    <row r="418" spans="1:8" ht="19.95" customHeight="1" x14ac:dyDescent="0.3">
      <c r="G418" s="96">
        <f>IFERROR(VLOOKUP(H418, A$334:D$345, 4, FALSE), 0)</f>
        <v>-0.562499999999998</v>
      </c>
      <c r="H418" s="12" t="str">
        <f>"D" &amp; E26 &amp; "X"</f>
        <v>D5X</v>
      </c>
    </row>
    <row r="419" spans="1:8" ht="19.95" customHeight="1" x14ac:dyDescent="0.3">
      <c r="G419" s="96">
        <f>IFERROR(VLOOKUP(H419, A$334:D$345, 4, FALSE), 0)</f>
        <v>-2.769980558055722</v>
      </c>
      <c r="H419" s="12" t="str">
        <f>"D" &amp; F26 &amp; "Y"</f>
        <v>D5Y</v>
      </c>
    </row>
    <row r="420" spans="1:8" ht="19.95" customHeight="1" x14ac:dyDescent="0.3">
      <c r="B420" s="99" t="s">
        <v>273</v>
      </c>
      <c r="C420" s="178" t="str">
        <f>IF(B417&gt;0.001,"BARRA A TRACCIÓN (+)",IF(B417&lt;-0.001,"BARRA A COMPRESIÓN (-)","BARRA DE FUERZA NULA"))</f>
        <v>BARRA A TRACCIÓN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350</v>
      </c>
      <c r="F425" s="9">
        <f t="shared" ref="F425:F433" si="52">L6</f>
        <v>12</v>
      </c>
      <c r="G425" s="97">
        <f>B353</f>
        <v>-18499.999999999949</v>
      </c>
      <c r="H425" s="84" t="str">
        <f>C356</f>
        <v>BARRA A COMPRESIÓN (-)</v>
      </c>
    </row>
    <row r="426" spans="1:8" ht="19.95" customHeight="1" x14ac:dyDescent="0.3">
      <c r="B426" s="25">
        <v>2</v>
      </c>
      <c r="C426" s="86">
        <f t="shared" si="49"/>
        <v>1</v>
      </c>
      <c r="D426" s="86">
        <f t="shared" si="50"/>
        <v>3</v>
      </c>
      <c r="E426" s="9">
        <f t="shared" si="51"/>
        <v>350</v>
      </c>
      <c r="F426" s="9">
        <f t="shared" si="52"/>
        <v>12</v>
      </c>
      <c r="G426" s="97">
        <f>B361</f>
        <v>-29499.999999999898</v>
      </c>
      <c r="H426" s="84" t="str">
        <f>C364</f>
        <v>BARRA A COMPRESIÓN (-)</v>
      </c>
    </row>
    <row r="427" spans="1:8" ht="19.95" customHeight="1" x14ac:dyDescent="0.3">
      <c r="B427" s="26">
        <v>3</v>
      </c>
      <c r="C427" s="86">
        <f t="shared" si="49"/>
        <v>3</v>
      </c>
      <c r="D427" s="86">
        <f t="shared" si="50"/>
        <v>5</v>
      </c>
      <c r="E427" s="9">
        <f t="shared" si="51"/>
        <v>350</v>
      </c>
      <c r="F427" s="9">
        <f t="shared" si="52"/>
        <v>12</v>
      </c>
      <c r="G427" s="97">
        <f>B369</f>
        <v>-10999.999999999956</v>
      </c>
      <c r="H427" s="84" t="str">
        <f>C372</f>
        <v>BARRA A COMPRESIÓN (-)</v>
      </c>
    </row>
    <row r="428" spans="1:8" ht="19.95" customHeight="1" x14ac:dyDescent="0.3">
      <c r="B428" s="43">
        <v>4</v>
      </c>
      <c r="C428" s="86">
        <f t="shared" si="49"/>
        <v>2</v>
      </c>
      <c r="D428" s="86">
        <f t="shared" si="50"/>
        <v>4</v>
      </c>
      <c r="E428" s="9">
        <f t="shared" si="51"/>
        <v>350</v>
      </c>
      <c r="F428" s="9">
        <f t="shared" si="52"/>
        <v>12</v>
      </c>
      <c r="G428" s="97">
        <f>B377</f>
        <v>12999.999999999955</v>
      </c>
      <c r="H428" s="84" t="str">
        <f>C380</f>
        <v>BARRA A TRACCIÓN (+)</v>
      </c>
    </row>
    <row r="429" spans="1:8" ht="19.95" customHeight="1" x14ac:dyDescent="0.3">
      <c r="B429" s="44">
        <v>5</v>
      </c>
      <c r="C429" s="86">
        <f t="shared" si="49"/>
        <v>4</v>
      </c>
      <c r="D429" s="86">
        <f t="shared" si="50"/>
        <v>6</v>
      </c>
      <c r="E429" s="9">
        <f t="shared" si="51"/>
        <v>350</v>
      </c>
      <c r="F429" s="9">
        <f t="shared" si="52"/>
        <v>12</v>
      </c>
      <c r="G429" s="97">
        <f>B385</f>
        <v>1999.9999999999989</v>
      </c>
      <c r="H429" s="84" t="str">
        <f>C388</f>
        <v>BARRA A TRACCIÓN (+)</v>
      </c>
    </row>
    <row r="430" spans="1:8" ht="19.95" customHeight="1" x14ac:dyDescent="0.3">
      <c r="B430" s="51">
        <v>6</v>
      </c>
      <c r="C430" s="86">
        <f t="shared" si="49"/>
        <v>3</v>
      </c>
      <c r="D430" s="86">
        <f t="shared" si="50"/>
        <v>4</v>
      </c>
      <c r="E430" s="9">
        <f t="shared" si="51"/>
        <v>350</v>
      </c>
      <c r="F430" s="9">
        <f t="shared" si="52"/>
        <v>12</v>
      </c>
      <c r="G430" s="97">
        <f>B393</f>
        <v>-14499.999999999964</v>
      </c>
      <c r="H430" s="84" t="str">
        <f>C396</f>
        <v>BARRA A COMPRESIÓN (-)</v>
      </c>
    </row>
    <row r="431" spans="1:8" ht="19.95" customHeight="1" x14ac:dyDescent="0.3">
      <c r="B431" s="52">
        <v>7</v>
      </c>
      <c r="C431" s="86">
        <f t="shared" si="49"/>
        <v>5</v>
      </c>
      <c r="D431" s="86">
        <f t="shared" si="50"/>
        <v>6</v>
      </c>
      <c r="E431" s="9">
        <f t="shared" si="51"/>
        <v>350</v>
      </c>
      <c r="F431" s="9">
        <f t="shared" si="52"/>
        <v>12</v>
      </c>
      <c r="G431" s="97">
        <f>B401</f>
        <v>-5999.9999999999463</v>
      </c>
      <c r="H431" s="84" t="str">
        <f>C404</f>
        <v>BARRA A COMPRESIÓN (-)</v>
      </c>
    </row>
    <row r="432" spans="1:8" ht="19.95" customHeight="1" x14ac:dyDescent="0.3">
      <c r="B432" s="59">
        <v>8</v>
      </c>
      <c r="C432" s="86">
        <f t="shared" si="49"/>
        <v>2</v>
      </c>
      <c r="D432" s="86">
        <f t="shared" si="50"/>
        <v>3</v>
      </c>
      <c r="E432" s="9">
        <f t="shared" si="51"/>
        <v>494.97474683058329</v>
      </c>
      <c r="F432" s="9">
        <f t="shared" si="52"/>
        <v>12</v>
      </c>
      <c r="G432" s="97">
        <f>B409</f>
        <v>26162.95090390219</v>
      </c>
      <c r="H432" s="84" t="str">
        <f>C412</f>
        <v>BARRA A TRACCIÓN (+)</v>
      </c>
    </row>
    <row r="433" spans="2:8" ht="19.95" customHeight="1" x14ac:dyDescent="0.3">
      <c r="B433" s="60">
        <v>9</v>
      </c>
      <c r="C433" s="86">
        <f t="shared" si="49"/>
        <v>4</v>
      </c>
      <c r="D433" s="86">
        <f t="shared" si="50"/>
        <v>5</v>
      </c>
      <c r="E433" s="9">
        <f t="shared" si="51"/>
        <v>494.97474683058329</v>
      </c>
      <c r="F433" s="9">
        <f t="shared" si="52"/>
        <v>12</v>
      </c>
      <c r="G433" s="97">
        <f>B417</f>
        <v>15556.349186103978</v>
      </c>
      <c r="H433" s="84" t="str">
        <f>C420</f>
        <v>BARRA A TRACCIÓN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552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100</v>
      </c>
      <c r="AB9" s="20">
        <f>IF(H29="","",H29)</f>
        <v>350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500</v>
      </c>
      <c r="AB11" s="20">
        <f>IF(F30="","",F30)</f>
        <v>0</v>
      </c>
      <c r="AC11" t="s">
        <v>324</v>
      </c>
    </row>
    <row r="12" spans="2:29" x14ac:dyDescent="0.3">
      <c r="AA12" s="20">
        <f>IF(G30="","",G30)</f>
        <v>400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553</v>
      </c>
      <c r="K14" s="172"/>
      <c r="L14" s="172"/>
      <c r="M14" s="172"/>
      <c r="N14" s="172"/>
      <c r="O14" s="173"/>
      <c r="AA14" s="20">
        <f>IF(E31="","",E31)</f>
        <v>100</v>
      </c>
      <c r="AB14" s="20">
        <f>IF(F31="","",F31)</f>
        <v>350</v>
      </c>
      <c r="AC14" t="s">
        <v>328</v>
      </c>
    </row>
    <row r="15" spans="2:29" ht="19.05" customHeight="1" x14ac:dyDescent="0.3">
      <c r="B15" s="89">
        <v>2</v>
      </c>
      <c r="C15" s="21">
        <v>500</v>
      </c>
      <c r="D15" s="21">
        <v>0</v>
      </c>
      <c r="E15" s="21" t="s">
        <v>329</v>
      </c>
      <c r="F15" s="88">
        <f t="shared" si="0"/>
        <v>0</v>
      </c>
      <c r="G15" s="88">
        <f t="shared" si="1"/>
        <v>1</v>
      </c>
      <c r="H15" s="22">
        <v>0</v>
      </c>
      <c r="I15" s="22">
        <v>0</v>
      </c>
      <c r="J15" s="205" t="s">
        <v>554</v>
      </c>
      <c r="K15" s="172"/>
      <c r="L15" s="172"/>
      <c r="M15" s="172"/>
      <c r="N15" s="172"/>
      <c r="O15" s="173"/>
      <c r="AA15" s="20">
        <f>IF(G31="","",G31)</f>
        <v>400</v>
      </c>
      <c r="AB15" s="20">
        <f>IF(H31="","",H31)</f>
        <v>350</v>
      </c>
      <c r="AC15" t="s">
        <v>331</v>
      </c>
    </row>
    <row r="16" spans="2:29" ht="19.05" customHeight="1" x14ac:dyDescent="0.3">
      <c r="B16" s="89">
        <v>3</v>
      </c>
      <c r="C16" s="21">
        <v>100</v>
      </c>
      <c r="D16" s="21">
        <v>350</v>
      </c>
      <c r="E16" s="21" t="s">
        <v>326</v>
      </c>
      <c r="F16" s="88">
        <f t="shared" si="0"/>
        <v>0</v>
      </c>
      <c r="G16" s="88">
        <f t="shared" si="1"/>
        <v>0</v>
      </c>
      <c r="H16" s="22">
        <v>2500</v>
      </c>
      <c r="I16" s="22">
        <v>-3000</v>
      </c>
      <c r="J16" s="205" t="s">
        <v>555</v>
      </c>
      <c r="K16" s="172"/>
      <c r="L16" s="172"/>
      <c r="M16" s="172"/>
      <c r="N16" s="172"/>
      <c r="O16" s="173"/>
    </row>
    <row r="17" spans="2:29" ht="19.05" customHeight="1" x14ac:dyDescent="0.3">
      <c r="B17" s="89">
        <v>4</v>
      </c>
      <c r="C17" s="21">
        <v>400</v>
      </c>
      <c r="D17" s="21">
        <v>350</v>
      </c>
      <c r="E17" s="21" t="s">
        <v>326</v>
      </c>
      <c r="F17" s="88">
        <f t="shared" si="0"/>
        <v>0</v>
      </c>
      <c r="G17" s="88">
        <f t="shared" si="1"/>
        <v>0</v>
      </c>
      <c r="H17" s="22">
        <v>2500</v>
      </c>
      <c r="I17" s="22">
        <v>-3000</v>
      </c>
      <c r="J17" s="205" t="s">
        <v>556</v>
      </c>
      <c r="K17" s="172"/>
      <c r="L17" s="172"/>
      <c r="M17" s="172"/>
      <c r="N17" s="172"/>
      <c r="O17" s="173"/>
      <c r="AA17" s="20">
        <f>IF(E32="","",E32)</f>
        <v>0</v>
      </c>
      <c r="AB17" s="20">
        <f>IF(F32="","",F32)</f>
        <v>0</v>
      </c>
      <c r="AC17" t="s">
        <v>334</v>
      </c>
    </row>
    <row r="18" spans="2:29" ht="19.05" customHeight="1" x14ac:dyDescent="0.3">
      <c r="B18" s="89">
        <v>5</v>
      </c>
      <c r="C18" s="21">
        <v>150</v>
      </c>
      <c r="D18" s="21">
        <v>700</v>
      </c>
      <c r="E18" s="21" t="s">
        <v>326</v>
      </c>
      <c r="F18" s="88">
        <f t="shared" si="0"/>
        <v>0</v>
      </c>
      <c r="G18" s="88">
        <f t="shared" si="1"/>
        <v>0</v>
      </c>
      <c r="H18" s="22">
        <v>3500</v>
      </c>
      <c r="I18" s="22">
        <v>-2500</v>
      </c>
      <c r="J18" s="205" t="s">
        <v>557</v>
      </c>
      <c r="K18" s="172"/>
      <c r="L18" s="172"/>
      <c r="M18" s="172"/>
      <c r="N18" s="172"/>
      <c r="O18" s="173"/>
      <c r="AA18" s="20">
        <f>IF(G32="","",G32)</f>
        <v>400</v>
      </c>
      <c r="AB18" s="20">
        <f>IF(H32="","",H32)</f>
        <v>350</v>
      </c>
      <c r="AC18" t="s">
        <v>335</v>
      </c>
    </row>
    <row r="19" spans="2:29" ht="19.05" customHeight="1" x14ac:dyDescent="0.3">
      <c r="B19" s="89">
        <v>6</v>
      </c>
      <c r="C19" s="21">
        <v>350</v>
      </c>
      <c r="D19" s="21">
        <v>700</v>
      </c>
      <c r="E19" s="21" t="s">
        <v>326</v>
      </c>
      <c r="F19" s="88">
        <f t="shared" si="0"/>
        <v>0</v>
      </c>
      <c r="G19" s="88">
        <f t="shared" si="1"/>
        <v>0</v>
      </c>
      <c r="H19" s="22">
        <v>3500</v>
      </c>
      <c r="I19" s="22">
        <v>-2500</v>
      </c>
      <c r="J19" s="205" t="s">
        <v>558</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100</v>
      </c>
      <c r="AB20" s="20">
        <f>IF(F33="","",F33)</f>
        <v>350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150</v>
      </c>
      <c r="AB21" s="20">
        <f>IF(H33="","",H33)</f>
        <v>700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400</v>
      </c>
      <c r="AB23" s="20">
        <f>IF(F34="","",F34)</f>
        <v>350</v>
      </c>
      <c r="AC23" t="s">
        <v>338</v>
      </c>
    </row>
    <row r="24" spans="2:29" x14ac:dyDescent="0.3">
      <c r="AA24" s="20">
        <f>IF(G34="","",G34)</f>
        <v>350</v>
      </c>
      <c r="AB24" s="20">
        <f>IF(H34="","",H34)</f>
        <v>700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150</v>
      </c>
      <c r="AB26" s="20">
        <f>IF(F35="","",F35)</f>
        <v>700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350</v>
      </c>
      <c r="AB27" s="20">
        <f>IF(H35="","",H35)</f>
        <v>700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100</v>
      </c>
      <c r="H29" s="5">
        <f t="shared" si="5"/>
        <v>350</v>
      </c>
      <c r="I29" s="9">
        <f t="shared" si="6"/>
        <v>100</v>
      </c>
      <c r="J29" s="9">
        <f t="shared" si="7"/>
        <v>350</v>
      </c>
      <c r="K29" s="9">
        <f t="shared" si="8"/>
        <v>364.0054944640259</v>
      </c>
      <c r="L29" s="92">
        <f t="shared" si="9"/>
        <v>0.27472112789737807</v>
      </c>
      <c r="M29" s="92">
        <f t="shared" si="10"/>
        <v>0.96152394764082316</v>
      </c>
      <c r="N29" s="22">
        <v>12</v>
      </c>
      <c r="O29" s="24">
        <v>2100000</v>
      </c>
      <c r="AA29" s="20">
        <f>IF(E36="","",E36)</f>
        <v>100</v>
      </c>
      <c r="AB29" s="20">
        <f>IF(F36="","",F36)</f>
        <v>350</v>
      </c>
      <c r="AC29" t="s">
        <v>353</v>
      </c>
    </row>
    <row r="30" spans="2:29" ht="19.05" customHeight="1" x14ac:dyDescent="0.3">
      <c r="B30" s="89">
        <v>3</v>
      </c>
      <c r="C30" s="23">
        <v>2</v>
      </c>
      <c r="D30" s="23">
        <v>4</v>
      </c>
      <c r="E30" s="5">
        <f t="shared" si="2"/>
        <v>500</v>
      </c>
      <c r="F30" s="5">
        <f t="shared" si="3"/>
        <v>0</v>
      </c>
      <c r="G30" s="5">
        <f t="shared" si="4"/>
        <v>400</v>
      </c>
      <c r="H30" s="5">
        <f t="shared" si="5"/>
        <v>350</v>
      </c>
      <c r="I30" s="9">
        <f t="shared" si="6"/>
        <v>-100</v>
      </c>
      <c r="J30" s="9">
        <f t="shared" si="7"/>
        <v>350</v>
      </c>
      <c r="K30" s="9">
        <f t="shared" si="8"/>
        <v>364.0054944640259</v>
      </c>
      <c r="L30" s="92">
        <f t="shared" si="9"/>
        <v>-0.27472112789737807</v>
      </c>
      <c r="M30" s="92">
        <f t="shared" si="10"/>
        <v>0.96152394764082316</v>
      </c>
      <c r="N30" s="22">
        <v>12</v>
      </c>
      <c r="O30" s="24">
        <v>2100000</v>
      </c>
      <c r="AA30" s="20">
        <f>IF(G36="","",G36)</f>
        <v>350</v>
      </c>
      <c r="AB30" s="20">
        <f>IF(H36="","",H36)</f>
        <v>700</v>
      </c>
      <c r="AC30" t="s">
        <v>354</v>
      </c>
    </row>
    <row r="31" spans="2:29" ht="19.05" customHeight="1" x14ac:dyDescent="0.3">
      <c r="B31" s="89">
        <v>4</v>
      </c>
      <c r="C31" s="23">
        <v>3</v>
      </c>
      <c r="D31" s="23">
        <v>4</v>
      </c>
      <c r="E31" s="5">
        <f t="shared" si="2"/>
        <v>100</v>
      </c>
      <c r="F31" s="5">
        <f t="shared" si="3"/>
        <v>350</v>
      </c>
      <c r="G31" s="5">
        <f t="shared" si="4"/>
        <v>400</v>
      </c>
      <c r="H31" s="5">
        <f t="shared" si="5"/>
        <v>350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400</v>
      </c>
      <c r="H32" s="5">
        <f t="shared" si="5"/>
        <v>350</v>
      </c>
      <c r="I32" s="9">
        <f t="shared" si="6"/>
        <v>400</v>
      </c>
      <c r="J32" s="9">
        <f t="shared" si="7"/>
        <v>350</v>
      </c>
      <c r="K32" s="9">
        <f t="shared" si="8"/>
        <v>531.50729063673248</v>
      </c>
      <c r="L32" s="92">
        <f t="shared" si="9"/>
        <v>0.75257669470687782</v>
      </c>
      <c r="M32" s="92">
        <f t="shared" si="10"/>
        <v>0.65850460786851805</v>
      </c>
      <c r="N32" s="22">
        <v>12</v>
      </c>
      <c r="O32" s="24">
        <v>2100000</v>
      </c>
      <c r="AA32" s="20" t="str">
        <f>IF(E37="","",E37)</f>
        <v/>
      </c>
      <c r="AB32" s="20" t="str">
        <f>IF(F37="","",F37)</f>
        <v/>
      </c>
      <c r="AC32" t="s">
        <v>355</v>
      </c>
    </row>
    <row r="33" spans="2:29" ht="19.05" customHeight="1" x14ac:dyDescent="0.3">
      <c r="B33" s="89">
        <v>6</v>
      </c>
      <c r="C33" s="23">
        <v>3</v>
      </c>
      <c r="D33" s="23">
        <v>5</v>
      </c>
      <c r="E33" s="5">
        <f t="shared" si="2"/>
        <v>100</v>
      </c>
      <c r="F33" s="5">
        <f t="shared" si="3"/>
        <v>350</v>
      </c>
      <c r="G33" s="5">
        <f t="shared" si="4"/>
        <v>150</v>
      </c>
      <c r="H33" s="5">
        <f t="shared" si="5"/>
        <v>700</v>
      </c>
      <c r="I33" s="9">
        <f t="shared" si="6"/>
        <v>50</v>
      </c>
      <c r="J33" s="9">
        <f t="shared" si="7"/>
        <v>350</v>
      </c>
      <c r="K33" s="9">
        <f t="shared" si="8"/>
        <v>353.55339059327378</v>
      </c>
      <c r="L33" s="92">
        <f t="shared" si="9"/>
        <v>0.1414213562373095</v>
      </c>
      <c r="M33" s="92">
        <f t="shared" si="10"/>
        <v>0.98994949366116647</v>
      </c>
      <c r="N33" s="22">
        <v>12</v>
      </c>
      <c r="O33" s="24">
        <v>2100000</v>
      </c>
      <c r="AA33" s="20" t="str">
        <f>IF(G37="","",G37)</f>
        <v/>
      </c>
      <c r="AB33" s="20" t="str">
        <f>IF(H37="","",H37)</f>
        <v/>
      </c>
      <c r="AC33" t="s">
        <v>356</v>
      </c>
    </row>
    <row r="34" spans="2:29" ht="19.05" customHeight="1" x14ac:dyDescent="0.3">
      <c r="B34" s="89">
        <v>7</v>
      </c>
      <c r="C34" s="23">
        <v>4</v>
      </c>
      <c r="D34" s="23">
        <v>6</v>
      </c>
      <c r="E34" s="5">
        <f t="shared" si="2"/>
        <v>400</v>
      </c>
      <c r="F34" s="5">
        <f t="shared" si="3"/>
        <v>350</v>
      </c>
      <c r="G34" s="5">
        <f t="shared" si="4"/>
        <v>350</v>
      </c>
      <c r="H34" s="5">
        <f t="shared" si="5"/>
        <v>700</v>
      </c>
      <c r="I34" s="9">
        <f t="shared" si="6"/>
        <v>-50</v>
      </c>
      <c r="J34" s="9">
        <f t="shared" si="7"/>
        <v>350</v>
      </c>
      <c r="K34" s="9">
        <f t="shared" si="8"/>
        <v>353.55339059327378</v>
      </c>
      <c r="L34" s="92">
        <f t="shared" si="9"/>
        <v>-0.1414213562373095</v>
      </c>
      <c r="M34" s="92">
        <f t="shared" si="10"/>
        <v>0.98994949366116647</v>
      </c>
      <c r="N34" s="22">
        <v>12</v>
      </c>
      <c r="O34" s="24">
        <v>2100000</v>
      </c>
    </row>
    <row r="35" spans="2:29" ht="19.05" customHeight="1" x14ac:dyDescent="0.3">
      <c r="B35" s="89">
        <v>8</v>
      </c>
      <c r="C35" s="23">
        <v>5</v>
      </c>
      <c r="D35" s="23">
        <v>6</v>
      </c>
      <c r="E35" s="5">
        <f t="shared" si="2"/>
        <v>150</v>
      </c>
      <c r="F35" s="5">
        <f t="shared" si="3"/>
        <v>700</v>
      </c>
      <c r="G35" s="5">
        <f t="shared" si="4"/>
        <v>350</v>
      </c>
      <c r="H35" s="5">
        <f t="shared" si="5"/>
        <v>700</v>
      </c>
      <c r="I35" s="9">
        <f t="shared" si="6"/>
        <v>200</v>
      </c>
      <c r="J35" s="9">
        <f t="shared" si="7"/>
        <v>0</v>
      </c>
      <c r="K35" s="9">
        <f t="shared" si="8"/>
        <v>200</v>
      </c>
      <c r="L35" s="92">
        <f t="shared" si="9"/>
        <v>1</v>
      </c>
      <c r="M35" s="92">
        <f t="shared" si="10"/>
        <v>0</v>
      </c>
      <c r="N35" s="22">
        <v>12</v>
      </c>
      <c r="O35" s="24">
        <v>2100000</v>
      </c>
      <c r="AA35" s="20" t="str">
        <f>IF(E38="","",E38)</f>
        <v/>
      </c>
      <c r="AB35" s="20" t="str">
        <f>IF(F38="","",F38)</f>
        <v/>
      </c>
      <c r="AC35" t="s">
        <v>357</v>
      </c>
    </row>
    <row r="36" spans="2:29" ht="19.05" customHeight="1" x14ac:dyDescent="0.3">
      <c r="B36" s="89">
        <v>9</v>
      </c>
      <c r="C36" s="23">
        <v>3</v>
      </c>
      <c r="D36" s="23">
        <v>6</v>
      </c>
      <c r="E36" s="5">
        <f t="shared" si="2"/>
        <v>100</v>
      </c>
      <c r="F36" s="5">
        <f t="shared" si="3"/>
        <v>350</v>
      </c>
      <c r="G36" s="5">
        <f t="shared" si="4"/>
        <v>350</v>
      </c>
      <c r="H36" s="5">
        <f t="shared" si="5"/>
        <v>700</v>
      </c>
      <c r="I36" s="9">
        <f t="shared" si="6"/>
        <v>250</v>
      </c>
      <c r="J36" s="9">
        <f t="shared" si="7"/>
        <v>350</v>
      </c>
      <c r="K36" s="9">
        <f t="shared" si="8"/>
        <v>430.11626335213134</v>
      </c>
      <c r="L36" s="92">
        <f t="shared" si="9"/>
        <v>0.58123819371909635</v>
      </c>
      <c r="M36" s="92">
        <f t="shared" si="10"/>
        <v>0.813733471206735</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300-000000000000}">
      <formula1>"Fijo (articulado),Rodillo Y (despl. X libre),Rodillo X (despl. Y libre),Libre (0 reac.)"</formula1>
    </dataValidation>
  </dataValidations>
  <pageMargins left="0.75" right="0.75" top="1" bottom="1" header="0.5" footer="0.5"/>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559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GRAFICA_33!E28</f>
        <v>0</v>
      </c>
      <c r="D6" s="22">
        <f>GRAFICA_33!F28</f>
        <v>0</v>
      </c>
      <c r="E6" s="22">
        <f>GRAFICA_33!G28</f>
        <v>500</v>
      </c>
      <c r="F6" s="22">
        <f>GRAFICA_33!H28</f>
        <v>0</v>
      </c>
      <c r="G6" s="9">
        <f t="shared" ref="G6:G14" si="0">E6-C6</f>
        <v>500</v>
      </c>
      <c r="H6" s="9">
        <f t="shared" ref="H6:H14" si="1">F6-D6</f>
        <v>0</v>
      </c>
      <c r="I6" s="9">
        <f t="shared" ref="I6:I14" si="2">SQRT(G6*G6+H6*H6)</f>
        <v>500</v>
      </c>
      <c r="J6" s="92">
        <f t="shared" ref="J6:J14" si="3">G6/I6</f>
        <v>1</v>
      </c>
      <c r="K6" s="92">
        <f t="shared" ref="K6:K14" si="4">H6/I6</f>
        <v>0</v>
      </c>
      <c r="L6" s="22">
        <f>GRAFICA_33!N28</f>
        <v>12</v>
      </c>
      <c r="M6" s="22">
        <f>GRAFICA_33!O28</f>
        <v>2100000</v>
      </c>
      <c r="N6" s="6">
        <f t="shared" ref="N6:N14" si="5">L6*M6/I6</f>
        <v>50400</v>
      </c>
    </row>
    <row r="7" spans="2:14" ht="19.05" customHeight="1" x14ac:dyDescent="0.3">
      <c r="B7" s="25">
        <v>2</v>
      </c>
      <c r="C7" s="22">
        <f>GRAFICA_33!E29</f>
        <v>0</v>
      </c>
      <c r="D7" s="22">
        <f>GRAFICA_33!F29</f>
        <v>0</v>
      </c>
      <c r="E7" s="22">
        <f>GRAFICA_33!G29</f>
        <v>100</v>
      </c>
      <c r="F7" s="22">
        <f>GRAFICA_33!H29</f>
        <v>350</v>
      </c>
      <c r="G7" s="9">
        <f t="shared" si="0"/>
        <v>100</v>
      </c>
      <c r="H7" s="9">
        <f t="shared" si="1"/>
        <v>350</v>
      </c>
      <c r="I7" s="9">
        <f t="shared" si="2"/>
        <v>364.0054944640259</v>
      </c>
      <c r="J7" s="92">
        <f t="shared" si="3"/>
        <v>0.27472112789737807</v>
      </c>
      <c r="K7" s="92">
        <f t="shared" si="4"/>
        <v>0.96152394764082316</v>
      </c>
      <c r="L7" s="22">
        <f>GRAFICA_33!N29</f>
        <v>12</v>
      </c>
      <c r="M7" s="22">
        <f>GRAFICA_33!O29</f>
        <v>2100000</v>
      </c>
      <c r="N7" s="6">
        <f t="shared" si="5"/>
        <v>69229.724230139269</v>
      </c>
    </row>
    <row r="8" spans="2:14" ht="19.05" customHeight="1" x14ac:dyDescent="0.3">
      <c r="B8" s="26">
        <v>3</v>
      </c>
      <c r="C8" s="22">
        <f>GRAFICA_33!E30</f>
        <v>500</v>
      </c>
      <c r="D8" s="22">
        <f>GRAFICA_33!F30</f>
        <v>0</v>
      </c>
      <c r="E8" s="22">
        <f>GRAFICA_33!G30</f>
        <v>400</v>
      </c>
      <c r="F8" s="22">
        <f>GRAFICA_33!H30</f>
        <v>350</v>
      </c>
      <c r="G8" s="9">
        <f t="shared" si="0"/>
        <v>-100</v>
      </c>
      <c r="H8" s="9">
        <f t="shared" si="1"/>
        <v>350</v>
      </c>
      <c r="I8" s="9">
        <f t="shared" si="2"/>
        <v>364.0054944640259</v>
      </c>
      <c r="J8" s="92">
        <f t="shared" si="3"/>
        <v>-0.27472112789737807</v>
      </c>
      <c r="K8" s="92">
        <f t="shared" si="4"/>
        <v>0.96152394764082316</v>
      </c>
      <c r="L8" s="22">
        <f>GRAFICA_33!N30</f>
        <v>12</v>
      </c>
      <c r="M8" s="22">
        <f>GRAFICA_33!O30</f>
        <v>2100000</v>
      </c>
      <c r="N8" s="6">
        <f t="shared" si="5"/>
        <v>69229.724230139269</v>
      </c>
    </row>
    <row r="9" spans="2:14" ht="19.05" customHeight="1" x14ac:dyDescent="0.3">
      <c r="B9" s="43">
        <v>4</v>
      </c>
      <c r="C9" s="22">
        <f>GRAFICA_33!E31</f>
        <v>100</v>
      </c>
      <c r="D9" s="22">
        <f>GRAFICA_33!F31</f>
        <v>350</v>
      </c>
      <c r="E9" s="22">
        <f>GRAFICA_33!G31</f>
        <v>400</v>
      </c>
      <c r="F9" s="22">
        <f>GRAFICA_33!H31</f>
        <v>350</v>
      </c>
      <c r="G9" s="9">
        <f t="shared" si="0"/>
        <v>300</v>
      </c>
      <c r="H9" s="9">
        <f t="shared" si="1"/>
        <v>0</v>
      </c>
      <c r="I9" s="9">
        <f t="shared" si="2"/>
        <v>300</v>
      </c>
      <c r="J9" s="92">
        <f t="shared" si="3"/>
        <v>1</v>
      </c>
      <c r="K9" s="92">
        <f t="shared" si="4"/>
        <v>0</v>
      </c>
      <c r="L9" s="22">
        <f>GRAFICA_33!N31</f>
        <v>12</v>
      </c>
      <c r="M9" s="22">
        <f>GRAFICA_33!O31</f>
        <v>2100000</v>
      </c>
      <c r="N9" s="6">
        <f t="shared" si="5"/>
        <v>84000</v>
      </c>
    </row>
    <row r="10" spans="2:14" ht="19.05" customHeight="1" x14ac:dyDescent="0.3">
      <c r="B10" s="44">
        <v>5</v>
      </c>
      <c r="C10" s="22">
        <f>GRAFICA_33!E32</f>
        <v>0</v>
      </c>
      <c r="D10" s="22">
        <f>GRAFICA_33!F32</f>
        <v>0</v>
      </c>
      <c r="E10" s="22">
        <f>GRAFICA_33!G32</f>
        <v>400</v>
      </c>
      <c r="F10" s="22">
        <f>GRAFICA_33!H32</f>
        <v>350</v>
      </c>
      <c r="G10" s="9">
        <f t="shared" si="0"/>
        <v>400</v>
      </c>
      <c r="H10" s="9">
        <f t="shared" si="1"/>
        <v>350</v>
      </c>
      <c r="I10" s="9">
        <f t="shared" si="2"/>
        <v>531.50729063673248</v>
      </c>
      <c r="J10" s="92">
        <f t="shared" si="3"/>
        <v>0.75257669470687782</v>
      </c>
      <c r="K10" s="92">
        <f t="shared" si="4"/>
        <v>0.65850460786851805</v>
      </c>
      <c r="L10" s="22">
        <f>GRAFICA_33!N32</f>
        <v>12</v>
      </c>
      <c r="M10" s="22">
        <f>GRAFICA_33!O32</f>
        <v>2100000</v>
      </c>
      <c r="N10" s="6">
        <f t="shared" si="5"/>
        <v>47412.331766533302</v>
      </c>
    </row>
    <row r="11" spans="2:14" ht="19.05" customHeight="1" x14ac:dyDescent="0.3">
      <c r="B11" s="51">
        <v>6</v>
      </c>
      <c r="C11" s="22">
        <f>GRAFICA_33!E33</f>
        <v>100</v>
      </c>
      <c r="D11" s="22">
        <f>GRAFICA_33!F33</f>
        <v>350</v>
      </c>
      <c r="E11" s="22">
        <f>GRAFICA_33!G33</f>
        <v>150</v>
      </c>
      <c r="F11" s="22">
        <f>GRAFICA_33!H33</f>
        <v>700</v>
      </c>
      <c r="G11" s="9">
        <f t="shared" si="0"/>
        <v>50</v>
      </c>
      <c r="H11" s="9">
        <f t="shared" si="1"/>
        <v>350</v>
      </c>
      <c r="I11" s="9">
        <f t="shared" si="2"/>
        <v>353.55339059327378</v>
      </c>
      <c r="J11" s="92">
        <f t="shared" si="3"/>
        <v>0.1414213562373095</v>
      </c>
      <c r="K11" s="92">
        <f t="shared" si="4"/>
        <v>0.98994949366116647</v>
      </c>
      <c r="L11" s="22">
        <f>GRAFICA_33!N33</f>
        <v>12</v>
      </c>
      <c r="M11" s="22">
        <f>GRAFICA_33!O33</f>
        <v>2100000</v>
      </c>
      <c r="N11" s="6">
        <f t="shared" si="5"/>
        <v>71276.363543603991</v>
      </c>
    </row>
    <row r="12" spans="2:14" ht="19.05" customHeight="1" x14ac:dyDescent="0.3">
      <c r="B12" s="52">
        <v>7</v>
      </c>
      <c r="C12" s="22">
        <f>GRAFICA_33!E34</f>
        <v>400</v>
      </c>
      <c r="D12" s="22">
        <f>GRAFICA_33!F34</f>
        <v>350</v>
      </c>
      <c r="E12" s="22">
        <f>GRAFICA_33!G34</f>
        <v>350</v>
      </c>
      <c r="F12" s="22">
        <f>GRAFICA_33!H34</f>
        <v>700</v>
      </c>
      <c r="G12" s="9">
        <f t="shared" si="0"/>
        <v>-50</v>
      </c>
      <c r="H12" s="9">
        <f t="shared" si="1"/>
        <v>350</v>
      </c>
      <c r="I12" s="9">
        <f t="shared" si="2"/>
        <v>353.55339059327378</v>
      </c>
      <c r="J12" s="92">
        <f t="shared" si="3"/>
        <v>-0.1414213562373095</v>
      </c>
      <c r="K12" s="92">
        <f t="shared" si="4"/>
        <v>0.98994949366116647</v>
      </c>
      <c r="L12" s="22">
        <f>GRAFICA_33!N34</f>
        <v>12</v>
      </c>
      <c r="M12" s="22">
        <f>GRAFICA_33!O34</f>
        <v>2100000</v>
      </c>
      <c r="N12" s="6">
        <f t="shared" si="5"/>
        <v>71276.363543603991</v>
      </c>
    </row>
    <row r="13" spans="2:14" ht="19.05" customHeight="1" x14ac:dyDescent="0.3">
      <c r="B13" s="59">
        <v>8</v>
      </c>
      <c r="C13" s="22">
        <f>GRAFICA_33!E35</f>
        <v>150</v>
      </c>
      <c r="D13" s="22">
        <f>GRAFICA_33!F35</f>
        <v>700</v>
      </c>
      <c r="E13" s="22">
        <f>GRAFICA_33!G35</f>
        <v>350</v>
      </c>
      <c r="F13" s="22">
        <f>GRAFICA_33!H35</f>
        <v>700</v>
      </c>
      <c r="G13" s="9">
        <f t="shared" si="0"/>
        <v>200</v>
      </c>
      <c r="H13" s="9">
        <f t="shared" si="1"/>
        <v>0</v>
      </c>
      <c r="I13" s="9">
        <f t="shared" si="2"/>
        <v>200</v>
      </c>
      <c r="J13" s="92">
        <f t="shared" si="3"/>
        <v>1</v>
      </c>
      <c r="K13" s="92">
        <f t="shared" si="4"/>
        <v>0</v>
      </c>
      <c r="L13" s="22">
        <f>GRAFICA_33!N35</f>
        <v>12</v>
      </c>
      <c r="M13" s="22">
        <f>GRAFICA_33!O35</f>
        <v>2100000</v>
      </c>
      <c r="N13" s="6">
        <f t="shared" si="5"/>
        <v>126000</v>
      </c>
    </row>
    <row r="14" spans="2:14" ht="19.05" customHeight="1" x14ac:dyDescent="0.3">
      <c r="B14" s="60">
        <v>9</v>
      </c>
      <c r="C14" s="22">
        <f>GRAFICA_33!E36</f>
        <v>100</v>
      </c>
      <c r="D14" s="22">
        <f>GRAFICA_33!F36</f>
        <v>350</v>
      </c>
      <c r="E14" s="22">
        <f>GRAFICA_33!G36</f>
        <v>350</v>
      </c>
      <c r="F14" s="22">
        <f>GRAFICA_33!H36</f>
        <v>700</v>
      </c>
      <c r="G14" s="9">
        <f t="shared" si="0"/>
        <v>250</v>
      </c>
      <c r="H14" s="9">
        <f t="shared" si="1"/>
        <v>350</v>
      </c>
      <c r="I14" s="9">
        <f t="shared" si="2"/>
        <v>430.11626335213134</v>
      </c>
      <c r="J14" s="92">
        <f t="shared" si="3"/>
        <v>0.58123819371909635</v>
      </c>
      <c r="K14" s="92">
        <f t="shared" si="4"/>
        <v>0.813733471206735</v>
      </c>
      <c r="L14" s="22">
        <f>GRAFICA_33!N36</f>
        <v>12</v>
      </c>
      <c r="M14" s="22">
        <f>GRAFICA_33!O36</f>
        <v>2100000</v>
      </c>
      <c r="N14" s="6">
        <f t="shared" si="5"/>
        <v>58588.809926884918</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GRAFICA_33!C28</f>
        <v>1</v>
      </c>
      <c r="D18" s="23">
        <f>GRAFICA_33!C28</f>
        <v>1</v>
      </c>
      <c r="E18" s="23">
        <f>GRAFICA_33!D28</f>
        <v>2</v>
      </c>
      <c r="F18" s="23">
        <f>GRAFICA_33!D28</f>
        <v>2</v>
      </c>
    </row>
    <row r="19" spans="1:6" ht="19.05" customHeight="1" x14ac:dyDescent="0.3">
      <c r="B19" s="25">
        <v>2</v>
      </c>
      <c r="C19" s="23">
        <f>GRAFICA_33!C29</f>
        <v>1</v>
      </c>
      <c r="D19" s="23">
        <f>GRAFICA_33!C29</f>
        <v>1</v>
      </c>
      <c r="E19" s="23">
        <f>GRAFICA_33!D29</f>
        <v>3</v>
      </c>
      <c r="F19" s="23">
        <f>GRAFICA_33!D29</f>
        <v>3</v>
      </c>
    </row>
    <row r="20" spans="1:6" ht="19.05" customHeight="1" x14ac:dyDescent="0.3">
      <c r="B20" s="26">
        <v>3</v>
      </c>
      <c r="C20" s="23">
        <f>GRAFICA_33!C30</f>
        <v>2</v>
      </c>
      <c r="D20" s="23">
        <f>GRAFICA_33!C30</f>
        <v>2</v>
      </c>
      <c r="E20" s="23">
        <f>GRAFICA_33!D30</f>
        <v>4</v>
      </c>
      <c r="F20" s="23">
        <f>GRAFICA_33!D30</f>
        <v>4</v>
      </c>
    </row>
    <row r="21" spans="1:6" ht="19.05" customHeight="1" x14ac:dyDescent="0.3">
      <c r="B21" s="43">
        <v>4</v>
      </c>
      <c r="C21" s="23">
        <f>GRAFICA_33!C31</f>
        <v>3</v>
      </c>
      <c r="D21" s="23">
        <f>GRAFICA_33!C31</f>
        <v>3</v>
      </c>
      <c r="E21" s="23">
        <f>GRAFICA_33!D31</f>
        <v>4</v>
      </c>
      <c r="F21" s="23">
        <f>GRAFICA_33!D31</f>
        <v>4</v>
      </c>
    </row>
    <row r="22" spans="1:6" ht="19.05" customHeight="1" x14ac:dyDescent="0.3">
      <c r="B22" s="44">
        <v>5</v>
      </c>
      <c r="C22" s="23">
        <f>GRAFICA_33!C32</f>
        <v>1</v>
      </c>
      <c r="D22" s="23">
        <f>GRAFICA_33!C32</f>
        <v>1</v>
      </c>
      <c r="E22" s="23">
        <f>GRAFICA_33!D32</f>
        <v>4</v>
      </c>
      <c r="F22" s="23">
        <f>GRAFICA_33!D32</f>
        <v>4</v>
      </c>
    </row>
    <row r="23" spans="1:6" ht="19.05" customHeight="1" x14ac:dyDescent="0.3">
      <c r="B23" s="51">
        <v>6</v>
      </c>
      <c r="C23" s="23">
        <f>GRAFICA_33!C33</f>
        <v>3</v>
      </c>
      <c r="D23" s="23">
        <f>GRAFICA_33!C33</f>
        <v>3</v>
      </c>
      <c r="E23" s="23">
        <f>GRAFICA_33!D33</f>
        <v>5</v>
      </c>
      <c r="F23" s="23">
        <f>GRAFICA_33!D33</f>
        <v>5</v>
      </c>
    </row>
    <row r="24" spans="1:6" ht="19.05" customHeight="1" x14ac:dyDescent="0.3">
      <c r="B24" s="52">
        <v>7</v>
      </c>
      <c r="C24" s="23">
        <f>GRAFICA_33!C34</f>
        <v>4</v>
      </c>
      <c r="D24" s="23">
        <f>GRAFICA_33!C34</f>
        <v>4</v>
      </c>
      <c r="E24" s="23">
        <f>GRAFICA_33!D34</f>
        <v>6</v>
      </c>
      <c r="F24" s="23">
        <f>GRAFICA_33!D34</f>
        <v>6</v>
      </c>
    </row>
    <row r="25" spans="1:6" ht="19.05" customHeight="1" x14ac:dyDescent="0.3">
      <c r="B25" s="59">
        <v>8</v>
      </c>
      <c r="C25" s="23">
        <f>GRAFICA_33!C35</f>
        <v>5</v>
      </c>
      <c r="D25" s="23">
        <f>GRAFICA_33!C35</f>
        <v>5</v>
      </c>
      <c r="E25" s="23">
        <f>GRAFICA_33!D35</f>
        <v>6</v>
      </c>
      <c r="F25" s="23">
        <f>GRAFICA_33!D35</f>
        <v>6</v>
      </c>
    </row>
    <row r="26" spans="1:6" ht="19.05" customHeight="1" x14ac:dyDescent="0.3">
      <c r="B26" s="60">
        <v>9</v>
      </c>
      <c r="C26" s="23">
        <f>GRAFICA_33!C36</f>
        <v>3</v>
      </c>
      <c r="D26" s="23">
        <f>GRAFICA_33!C36</f>
        <v>3</v>
      </c>
      <c r="E26" s="23">
        <f>GRAFICA_33!D36</f>
        <v>6</v>
      </c>
      <c r="F26" s="23">
        <f>GRAFICA_33!D36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50400</v>
      </c>
      <c r="C30" s="7">
        <f>J6*K6*N6</f>
        <v>0</v>
      </c>
      <c r="D30" s="7">
        <f>-B30</f>
        <v>-50400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-50400</v>
      </c>
      <c r="C32" s="7">
        <f>E30</f>
        <v>0</v>
      </c>
      <c r="D32" s="7">
        <f>B30</f>
        <v>50400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50400</v>
      </c>
      <c r="C36" s="8">
        <f t="shared" si="6"/>
        <v>0</v>
      </c>
      <c r="D36" s="8">
        <f t="shared" si="6"/>
        <v>-50400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-50400</v>
      </c>
      <c r="C38" s="8">
        <f t="shared" si="6"/>
        <v>0</v>
      </c>
      <c r="D38" s="8">
        <f t="shared" si="6"/>
        <v>50400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U3X</v>
      </c>
      <c r="E50" s="29" t="str">
        <f>CONCATENATE("U",F19,F$17)</f>
        <v>U3Y</v>
      </c>
    </row>
    <row r="51" spans="1:14" x14ac:dyDescent="0.3">
      <c r="B51" s="30">
        <f>J7*J7*N7</f>
        <v>5224.8848475576815</v>
      </c>
      <c r="C51" s="30">
        <f>J7*K7*N7</f>
        <v>18287.096966451882</v>
      </c>
      <c r="D51" s="30">
        <f>-B51</f>
        <v>-5224.8848475576815</v>
      </c>
      <c r="E51" s="30">
        <f>-C51</f>
        <v>-18287.096966451882</v>
      </c>
      <c r="F51" s="29" t="str">
        <f>B50</f>
        <v>U1X</v>
      </c>
    </row>
    <row r="52" spans="1:14" ht="16.8" customHeight="1" x14ac:dyDescent="0.3">
      <c r="A52" s="28" t="s">
        <v>191</v>
      </c>
      <c r="B52" s="30">
        <f>C51</f>
        <v>18287.096966451882</v>
      </c>
      <c r="C52" s="30">
        <f>K7*K7*N7</f>
        <v>64004.839382581587</v>
      </c>
      <c r="D52" s="30">
        <f>-B52</f>
        <v>-18287.096966451882</v>
      </c>
      <c r="E52" s="30">
        <f>-C52</f>
        <v>-64004.839382581587</v>
      </c>
      <c r="F52" s="29" t="str">
        <f>C50</f>
        <v>U1Y</v>
      </c>
    </row>
    <row r="53" spans="1:14" x14ac:dyDescent="0.3">
      <c r="B53" s="30">
        <f>D51</f>
        <v>-5224.8848475576815</v>
      </c>
      <c r="C53" s="30">
        <f>E51</f>
        <v>-18287.096966451882</v>
      </c>
      <c r="D53" s="30">
        <f>B51</f>
        <v>5224.8848475576815</v>
      </c>
      <c r="E53" s="30">
        <f>C51</f>
        <v>18287.096966451882</v>
      </c>
      <c r="F53" s="29" t="str">
        <f>D50</f>
        <v>U3X</v>
      </c>
    </row>
    <row r="54" spans="1:14" x14ac:dyDescent="0.3">
      <c r="B54" s="30">
        <f>D52</f>
        <v>-18287.096966451882</v>
      </c>
      <c r="C54" s="30">
        <f>E52</f>
        <v>-64004.839382581587</v>
      </c>
      <c r="D54" s="30">
        <f>B52</f>
        <v>18287.096966451882</v>
      </c>
      <c r="E54" s="30">
        <f>C52</f>
        <v>64004.839382581587</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5224.8848475576815</v>
      </c>
      <c r="C57" s="31">
        <f t="shared" si="7"/>
        <v>18287.096966451882</v>
      </c>
      <c r="D57" s="9">
        <f t="shared" si="7"/>
        <v>0</v>
      </c>
      <c r="E57" s="9">
        <f t="shared" si="7"/>
        <v>0</v>
      </c>
      <c r="F57" s="31">
        <f t="shared" si="7"/>
        <v>-5224.8848475576815</v>
      </c>
      <c r="G57" s="31">
        <f t="shared" si="7"/>
        <v>-18287.096966451882</v>
      </c>
      <c r="H57" s="9">
        <f t="shared" si="7"/>
        <v>0</v>
      </c>
      <c r="I57" s="9">
        <f t="shared" si="7"/>
        <v>0</v>
      </c>
      <c r="J57" s="9">
        <f t="shared" si="7"/>
        <v>0</v>
      </c>
      <c r="K57" s="9">
        <f t="shared" si="7"/>
        <v>0</v>
      </c>
      <c r="L57" s="9">
        <f t="shared" si="7"/>
        <v>0</v>
      </c>
      <c r="M57" s="9">
        <f t="shared" si="7"/>
        <v>0</v>
      </c>
      <c r="N57" s="29" t="s">
        <v>178</v>
      </c>
    </row>
    <row r="58" spans="1:14" ht="19.05" customHeight="1" x14ac:dyDescent="0.3">
      <c r="B58" s="31">
        <f t="shared" si="7"/>
        <v>18287.096966451882</v>
      </c>
      <c r="C58" s="31">
        <f t="shared" si="7"/>
        <v>64004.839382581587</v>
      </c>
      <c r="D58" s="9">
        <f t="shared" si="7"/>
        <v>0</v>
      </c>
      <c r="E58" s="9">
        <f t="shared" si="7"/>
        <v>0</v>
      </c>
      <c r="F58" s="31">
        <f t="shared" si="7"/>
        <v>-18287.096966451882</v>
      </c>
      <c r="G58" s="31">
        <f t="shared" si="7"/>
        <v>-64004.839382581587</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31">
        <f t="shared" si="7"/>
        <v>-5224.8848475576815</v>
      </c>
      <c r="C61" s="31">
        <f t="shared" si="7"/>
        <v>-18287.096966451882</v>
      </c>
      <c r="D61" s="9">
        <f t="shared" si="7"/>
        <v>0</v>
      </c>
      <c r="E61" s="9">
        <f t="shared" si="7"/>
        <v>0</v>
      </c>
      <c r="F61" s="31">
        <f t="shared" si="7"/>
        <v>5224.8848475576815</v>
      </c>
      <c r="G61" s="31">
        <f t="shared" si="7"/>
        <v>18287.096966451882</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31">
        <f t="shared" si="7"/>
        <v>-18287.096966451882</v>
      </c>
      <c r="C62" s="31">
        <f t="shared" si="7"/>
        <v>-64004.839382581587</v>
      </c>
      <c r="D62" s="9">
        <f t="shared" si="7"/>
        <v>0</v>
      </c>
      <c r="E62" s="9">
        <f t="shared" si="7"/>
        <v>0</v>
      </c>
      <c r="F62" s="31">
        <f t="shared" si="7"/>
        <v>18287.096966451882</v>
      </c>
      <c r="G62" s="31">
        <f t="shared" si="7"/>
        <v>64004.839382581587</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U2X</v>
      </c>
      <c r="C71" s="32" t="str">
        <f>CONCATENATE("U",D20,D$17)</f>
        <v>U2Y</v>
      </c>
      <c r="D71" s="32" t="str">
        <f>CONCATENATE("U",E20,E$17)</f>
        <v>U4X</v>
      </c>
      <c r="E71" s="32" t="str">
        <f>CONCATENATE("U",F20,F$17)</f>
        <v>U4Y</v>
      </c>
    </row>
    <row r="72" spans="1:14" x14ac:dyDescent="0.3">
      <c r="B72" s="33">
        <f>J8*J8*N8</f>
        <v>5224.8848475576815</v>
      </c>
      <c r="C72" s="33">
        <f>J8*K8*N8</f>
        <v>-18287.096966451882</v>
      </c>
      <c r="D72" s="33">
        <f>-B72</f>
        <v>-5224.8848475576815</v>
      </c>
      <c r="E72" s="33">
        <f>-C72</f>
        <v>18287.096966451882</v>
      </c>
      <c r="F72" s="32" t="str">
        <f>B71</f>
        <v>U2X</v>
      </c>
    </row>
    <row r="73" spans="1:14" ht="16.8" customHeight="1" x14ac:dyDescent="0.3">
      <c r="A73" s="28" t="s">
        <v>193</v>
      </c>
      <c r="B73" s="33">
        <f>C72</f>
        <v>-18287.096966451882</v>
      </c>
      <c r="C73" s="33">
        <f>K8*K8*N8</f>
        <v>64004.839382581587</v>
      </c>
      <c r="D73" s="33">
        <f>-B73</f>
        <v>18287.096966451882</v>
      </c>
      <c r="E73" s="33">
        <f>-C73</f>
        <v>-64004.839382581587</v>
      </c>
      <c r="F73" s="32" t="str">
        <f>C71</f>
        <v>U2Y</v>
      </c>
    </row>
    <row r="74" spans="1:14" x14ac:dyDescent="0.3">
      <c r="B74" s="33">
        <f>D72</f>
        <v>-5224.8848475576815</v>
      </c>
      <c r="C74" s="33">
        <f>E72</f>
        <v>18287.096966451882</v>
      </c>
      <c r="D74" s="33">
        <f>B72</f>
        <v>5224.8848475576815</v>
      </c>
      <c r="E74" s="33">
        <f>C72</f>
        <v>-18287.096966451882</v>
      </c>
      <c r="F74" s="32" t="str">
        <f>D71</f>
        <v>U4X</v>
      </c>
    </row>
    <row r="75" spans="1:14" x14ac:dyDescent="0.3">
      <c r="B75" s="33">
        <f>D73</f>
        <v>18287.096966451882</v>
      </c>
      <c r="C75" s="33">
        <f>E73</f>
        <v>-64004.839382581587</v>
      </c>
      <c r="D75" s="33">
        <f>B73</f>
        <v>-18287.096966451882</v>
      </c>
      <c r="E75" s="33">
        <f>C73</f>
        <v>64004.839382581587</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34">
        <f t="shared" si="8"/>
        <v>5224.8848475576815</v>
      </c>
      <c r="E80" s="34">
        <f t="shared" si="8"/>
        <v>-18287.096966451882</v>
      </c>
      <c r="F80" s="9">
        <f t="shared" si="8"/>
        <v>0</v>
      </c>
      <c r="G80" s="9">
        <f t="shared" si="8"/>
        <v>0</v>
      </c>
      <c r="H80" s="34">
        <f t="shared" si="8"/>
        <v>-5224.8848475576815</v>
      </c>
      <c r="I80" s="34">
        <f t="shared" si="8"/>
        <v>18287.096966451882</v>
      </c>
      <c r="J80" s="9">
        <f t="shared" si="8"/>
        <v>0</v>
      </c>
      <c r="K80" s="9">
        <f t="shared" si="8"/>
        <v>0</v>
      </c>
      <c r="L80" s="9">
        <f t="shared" si="8"/>
        <v>0</v>
      </c>
      <c r="M80" s="9">
        <f t="shared" si="8"/>
        <v>0</v>
      </c>
      <c r="N80" s="32" t="s">
        <v>180</v>
      </c>
    </row>
    <row r="81" spans="1:14" ht="19.05" customHeight="1" x14ac:dyDescent="0.3">
      <c r="B81" s="9">
        <f t="shared" si="8"/>
        <v>0</v>
      </c>
      <c r="C81" s="9">
        <f t="shared" si="8"/>
        <v>0</v>
      </c>
      <c r="D81" s="34">
        <f t="shared" si="8"/>
        <v>-18287.096966451882</v>
      </c>
      <c r="E81" s="34">
        <f t="shared" si="8"/>
        <v>64004.839382581587</v>
      </c>
      <c r="F81" s="9">
        <f t="shared" si="8"/>
        <v>0</v>
      </c>
      <c r="G81" s="9">
        <f t="shared" si="8"/>
        <v>0</v>
      </c>
      <c r="H81" s="34">
        <f t="shared" si="8"/>
        <v>18287.096966451882</v>
      </c>
      <c r="I81" s="34">
        <f t="shared" si="8"/>
        <v>-64004.839382581587</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34">
        <f t="shared" si="8"/>
        <v>-5224.8848475576815</v>
      </c>
      <c r="E84" s="34">
        <f t="shared" si="8"/>
        <v>18287.096966451882</v>
      </c>
      <c r="F84" s="9">
        <f t="shared" si="8"/>
        <v>0</v>
      </c>
      <c r="G84" s="9">
        <f t="shared" si="8"/>
        <v>0</v>
      </c>
      <c r="H84" s="34">
        <f t="shared" si="8"/>
        <v>5224.8848475576815</v>
      </c>
      <c r="I84" s="34">
        <f t="shared" si="8"/>
        <v>-18287.096966451882</v>
      </c>
      <c r="J84" s="9">
        <f t="shared" si="8"/>
        <v>0</v>
      </c>
      <c r="K84" s="9">
        <f t="shared" si="8"/>
        <v>0</v>
      </c>
      <c r="L84" s="9">
        <f t="shared" si="8"/>
        <v>0</v>
      </c>
      <c r="M84" s="9">
        <f t="shared" si="8"/>
        <v>0</v>
      </c>
      <c r="N84" s="32" t="s">
        <v>184</v>
      </c>
    </row>
    <row r="85" spans="1:14" ht="19.05" customHeight="1" x14ac:dyDescent="0.3">
      <c r="B85" s="9">
        <f t="shared" si="8"/>
        <v>0</v>
      </c>
      <c r="C85" s="9">
        <f t="shared" si="8"/>
        <v>0</v>
      </c>
      <c r="D85" s="34">
        <f t="shared" si="8"/>
        <v>18287.096966451882</v>
      </c>
      <c r="E85" s="34">
        <f t="shared" si="8"/>
        <v>-64004.839382581587</v>
      </c>
      <c r="F85" s="9">
        <f t="shared" si="8"/>
        <v>0</v>
      </c>
      <c r="G85" s="9">
        <f t="shared" si="8"/>
        <v>0</v>
      </c>
      <c r="H85" s="34">
        <f t="shared" si="8"/>
        <v>-18287.096966451882</v>
      </c>
      <c r="I85" s="34">
        <f t="shared" si="8"/>
        <v>64004.839382581587</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U3X</v>
      </c>
      <c r="C92" s="45" t="str">
        <f>CONCATENATE("U",D21,D$17)</f>
        <v>U3Y</v>
      </c>
      <c r="D92" s="45" t="str">
        <f>CONCATENATE("U",E21,E$17)</f>
        <v>U4X</v>
      </c>
      <c r="E92" s="45" t="str">
        <f>CONCATENATE("U",F21,F$17)</f>
        <v>U4Y</v>
      </c>
    </row>
    <row r="93" spans="1:14" x14ac:dyDescent="0.3">
      <c r="B93" s="46">
        <f>J9*J9*N9</f>
        <v>84000</v>
      </c>
      <c r="C93" s="46">
        <f>J9*K9*N9</f>
        <v>0</v>
      </c>
      <c r="D93" s="46">
        <f>-B93</f>
        <v>-84000</v>
      </c>
      <c r="E93" s="46">
        <f>-C93</f>
        <v>0</v>
      </c>
      <c r="F93" s="45" t="str">
        <f>B92</f>
        <v>U3X</v>
      </c>
    </row>
    <row r="94" spans="1:14" ht="16.8" customHeight="1" x14ac:dyDescent="0.3">
      <c r="A94" s="28" t="s">
        <v>195</v>
      </c>
      <c r="B94" s="46">
        <f>C93</f>
        <v>0</v>
      </c>
      <c r="C94" s="46">
        <f>K9*K9*N9</f>
        <v>0</v>
      </c>
      <c r="D94" s="46">
        <f>-B94</f>
        <v>0</v>
      </c>
      <c r="E94" s="46">
        <f>-C94</f>
        <v>0</v>
      </c>
      <c r="F94" s="45" t="str">
        <f>C92</f>
        <v>U3Y</v>
      </c>
    </row>
    <row r="95" spans="1:14" x14ac:dyDescent="0.3">
      <c r="B95" s="46">
        <f>D93</f>
        <v>-84000</v>
      </c>
      <c r="C95" s="46">
        <f>E93</f>
        <v>0</v>
      </c>
      <c r="D95" s="46">
        <f>B93</f>
        <v>84000</v>
      </c>
      <c r="E95" s="46">
        <f>C93</f>
        <v>0</v>
      </c>
      <c r="F95" s="45" t="str">
        <f>D92</f>
        <v>U4X</v>
      </c>
    </row>
    <row r="96" spans="1:14" x14ac:dyDescent="0.3">
      <c r="B96" s="46">
        <f>D94</f>
        <v>0</v>
      </c>
      <c r="C96" s="46">
        <f>E94</f>
        <v>0</v>
      </c>
      <c r="D96" s="46">
        <f>B94</f>
        <v>0</v>
      </c>
      <c r="E96" s="46">
        <f>C94</f>
        <v>0</v>
      </c>
      <c r="F96" s="45" t="str">
        <f>E92</f>
        <v>U4Y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47">
        <f t="shared" si="9"/>
        <v>84000</v>
      </c>
      <c r="G103" s="47">
        <f t="shared" si="9"/>
        <v>0</v>
      </c>
      <c r="H103" s="47">
        <f t="shared" si="9"/>
        <v>-84000</v>
      </c>
      <c r="I103" s="47">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47">
        <f t="shared" si="9"/>
        <v>0</v>
      </c>
      <c r="G104" s="47">
        <f t="shared" si="9"/>
        <v>0</v>
      </c>
      <c r="H104" s="47">
        <f t="shared" si="9"/>
        <v>0</v>
      </c>
      <c r="I104" s="47">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47">
        <f t="shared" si="9"/>
        <v>-84000</v>
      </c>
      <c r="G105" s="47">
        <f t="shared" si="9"/>
        <v>0</v>
      </c>
      <c r="H105" s="47">
        <f t="shared" si="9"/>
        <v>84000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47">
        <f t="shared" si="9"/>
        <v>0</v>
      </c>
      <c r="G106" s="47">
        <f t="shared" si="9"/>
        <v>0</v>
      </c>
      <c r="H106" s="47">
        <f t="shared" si="9"/>
        <v>0</v>
      </c>
      <c r="I106" s="47">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U1X</v>
      </c>
      <c r="C113" s="48" t="str">
        <f>CONCATENATE("U",D22,D$17)</f>
        <v>U1Y</v>
      </c>
      <c r="D113" s="48" t="str">
        <f>CONCATENATE("U",E22,E$17)</f>
        <v>U4X</v>
      </c>
      <c r="E113" s="48" t="str">
        <f>CONCATENATE("U",F22,F$17)</f>
        <v>U4Y</v>
      </c>
    </row>
    <row r="114" spans="1:14" x14ac:dyDescent="0.3">
      <c r="B114" s="49">
        <f>J10*J10*N10</f>
        <v>26853.002062461339</v>
      </c>
      <c r="C114" s="49">
        <f>J10*K10*N10</f>
        <v>23496.376804653668</v>
      </c>
      <c r="D114" s="49">
        <f>-B114</f>
        <v>-26853.002062461339</v>
      </c>
      <c r="E114" s="49">
        <f>-C114</f>
        <v>-23496.376804653668</v>
      </c>
      <c r="F114" s="48" t="str">
        <f>B113</f>
        <v>U1X</v>
      </c>
    </row>
    <row r="115" spans="1:14" ht="16.8" customHeight="1" x14ac:dyDescent="0.3">
      <c r="A115" s="28" t="s">
        <v>197</v>
      </c>
      <c r="B115" s="49">
        <f>C114</f>
        <v>23496.376804653668</v>
      </c>
      <c r="C115" s="49">
        <f>K10*K10*N10</f>
        <v>20559.329704071959</v>
      </c>
      <c r="D115" s="49">
        <f>-B115</f>
        <v>-23496.376804653668</v>
      </c>
      <c r="E115" s="49">
        <f>-C115</f>
        <v>-20559.329704071959</v>
      </c>
      <c r="F115" s="48" t="str">
        <f>C113</f>
        <v>U1Y</v>
      </c>
    </row>
    <row r="116" spans="1:14" x14ac:dyDescent="0.3">
      <c r="B116" s="49">
        <f>D114</f>
        <v>-26853.002062461339</v>
      </c>
      <c r="C116" s="49">
        <f>E114</f>
        <v>-23496.376804653668</v>
      </c>
      <c r="D116" s="49">
        <f>B114</f>
        <v>26853.002062461339</v>
      </c>
      <c r="E116" s="49">
        <f>C114</f>
        <v>23496.376804653668</v>
      </c>
      <c r="F116" s="48" t="str">
        <f>D113</f>
        <v>U4X</v>
      </c>
    </row>
    <row r="117" spans="1:14" x14ac:dyDescent="0.3">
      <c r="B117" s="49">
        <f>D115</f>
        <v>-23496.376804653668</v>
      </c>
      <c r="C117" s="49">
        <f>E115</f>
        <v>-20559.329704071959</v>
      </c>
      <c r="D117" s="49">
        <f>B115</f>
        <v>23496.376804653668</v>
      </c>
      <c r="E117" s="49">
        <f>C115</f>
        <v>20559.329704071959</v>
      </c>
      <c r="F117" s="48" t="str">
        <f>E113</f>
        <v>U4Y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26853.002062461339</v>
      </c>
      <c r="C120" s="50">
        <f t="shared" si="10"/>
        <v>23496.376804653668</v>
      </c>
      <c r="D120" s="9">
        <f t="shared" si="10"/>
        <v>0</v>
      </c>
      <c r="E120" s="9">
        <f t="shared" si="10"/>
        <v>0</v>
      </c>
      <c r="F120" s="9">
        <f t="shared" si="10"/>
        <v>0</v>
      </c>
      <c r="G120" s="9">
        <f t="shared" si="10"/>
        <v>0</v>
      </c>
      <c r="H120" s="50">
        <f t="shared" si="10"/>
        <v>-26853.002062461339</v>
      </c>
      <c r="I120" s="50">
        <f t="shared" si="10"/>
        <v>-23496.376804653668</v>
      </c>
      <c r="J120" s="9">
        <f t="shared" si="10"/>
        <v>0</v>
      </c>
      <c r="K120" s="9">
        <f t="shared" si="10"/>
        <v>0</v>
      </c>
      <c r="L120" s="9">
        <f t="shared" si="10"/>
        <v>0</v>
      </c>
      <c r="M120" s="9">
        <f t="shared" si="10"/>
        <v>0</v>
      </c>
      <c r="N120" s="48" t="s">
        <v>178</v>
      </c>
    </row>
    <row r="121" spans="1:14" ht="19.05" customHeight="1" x14ac:dyDescent="0.3">
      <c r="B121" s="50">
        <f t="shared" si="10"/>
        <v>23496.376804653668</v>
      </c>
      <c r="C121" s="50">
        <f t="shared" si="10"/>
        <v>20559.329704071959</v>
      </c>
      <c r="D121" s="9">
        <f t="shared" si="10"/>
        <v>0</v>
      </c>
      <c r="E121" s="9">
        <f t="shared" si="10"/>
        <v>0</v>
      </c>
      <c r="F121" s="9">
        <f t="shared" si="10"/>
        <v>0</v>
      </c>
      <c r="G121" s="9">
        <f t="shared" si="10"/>
        <v>0</v>
      </c>
      <c r="H121" s="50">
        <f t="shared" si="10"/>
        <v>-23496.376804653668</v>
      </c>
      <c r="I121" s="50">
        <f t="shared" si="10"/>
        <v>-20559.329704071959</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50">
        <f t="shared" si="10"/>
        <v>-26853.002062461339</v>
      </c>
      <c r="C126" s="50">
        <f t="shared" si="10"/>
        <v>-23496.376804653668</v>
      </c>
      <c r="D126" s="9">
        <f t="shared" si="10"/>
        <v>0</v>
      </c>
      <c r="E126" s="9">
        <f t="shared" si="10"/>
        <v>0</v>
      </c>
      <c r="F126" s="9">
        <f t="shared" si="10"/>
        <v>0</v>
      </c>
      <c r="G126" s="9">
        <f t="shared" si="10"/>
        <v>0</v>
      </c>
      <c r="H126" s="50">
        <f t="shared" si="10"/>
        <v>26853.002062461339</v>
      </c>
      <c r="I126" s="50">
        <f t="shared" si="10"/>
        <v>23496.376804653668</v>
      </c>
      <c r="J126" s="9">
        <f t="shared" si="10"/>
        <v>0</v>
      </c>
      <c r="K126" s="9">
        <f t="shared" si="10"/>
        <v>0</v>
      </c>
      <c r="L126" s="9">
        <f t="shared" si="10"/>
        <v>0</v>
      </c>
      <c r="M126" s="9">
        <f t="shared" si="10"/>
        <v>0</v>
      </c>
      <c r="N126" s="48" t="s">
        <v>184</v>
      </c>
    </row>
    <row r="127" spans="1:14" ht="19.05" customHeight="1" x14ac:dyDescent="0.3">
      <c r="B127" s="50">
        <f t="shared" si="10"/>
        <v>-23496.376804653668</v>
      </c>
      <c r="C127" s="50">
        <f t="shared" si="10"/>
        <v>-20559.329704071959</v>
      </c>
      <c r="D127" s="9">
        <f t="shared" si="10"/>
        <v>0</v>
      </c>
      <c r="E127" s="9">
        <f t="shared" si="10"/>
        <v>0</v>
      </c>
      <c r="F127" s="9">
        <f t="shared" si="10"/>
        <v>0</v>
      </c>
      <c r="G127" s="9">
        <f t="shared" si="10"/>
        <v>0</v>
      </c>
      <c r="H127" s="50">
        <f t="shared" si="10"/>
        <v>23496.376804653668</v>
      </c>
      <c r="I127" s="50">
        <f t="shared" si="10"/>
        <v>20559.329704071959</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U3X</v>
      </c>
      <c r="C134" s="53" t="str">
        <f>CONCATENATE("U",D23,D$17)</f>
        <v>U3Y</v>
      </c>
      <c r="D134" s="53" t="str">
        <f>CONCATENATE("U",E23,E$17)</f>
        <v>U5X</v>
      </c>
      <c r="E134" s="53" t="str">
        <f>CONCATENATE("U",F23,F$17)</f>
        <v>U5Y</v>
      </c>
    </row>
    <row r="135" spans="1:14" x14ac:dyDescent="0.3">
      <c r="B135" s="54">
        <f>J11*J11*N11</f>
        <v>1425.52727087208</v>
      </c>
      <c r="C135" s="54">
        <f>J11*K11*N11</f>
        <v>9978.6908961045574</v>
      </c>
      <c r="D135" s="54">
        <f>-B135</f>
        <v>-1425.52727087208</v>
      </c>
      <c r="E135" s="54">
        <f>-C135</f>
        <v>-9978.6908961045574</v>
      </c>
      <c r="F135" s="53" t="str">
        <f>B134</f>
        <v>U3X</v>
      </c>
    </row>
    <row r="136" spans="1:14" ht="16.8" customHeight="1" x14ac:dyDescent="0.3">
      <c r="A136" s="28" t="s">
        <v>199</v>
      </c>
      <c r="B136" s="54">
        <f>C135</f>
        <v>9978.6908961045574</v>
      </c>
      <c r="C136" s="54">
        <f>K11*K11*N11</f>
        <v>69850.836272731904</v>
      </c>
      <c r="D136" s="54">
        <f>-B136</f>
        <v>-9978.6908961045574</v>
      </c>
      <c r="E136" s="54">
        <f>-C136</f>
        <v>-69850.836272731904</v>
      </c>
      <c r="F136" s="53" t="str">
        <f>C134</f>
        <v>U3Y</v>
      </c>
    </row>
    <row r="137" spans="1:14" x14ac:dyDescent="0.3">
      <c r="B137" s="54">
        <f>D135</f>
        <v>-1425.52727087208</v>
      </c>
      <c r="C137" s="54">
        <f>E135</f>
        <v>-9978.6908961045574</v>
      </c>
      <c r="D137" s="54">
        <f>B135</f>
        <v>1425.52727087208</v>
      </c>
      <c r="E137" s="54">
        <f>C135</f>
        <v>9978.6908961045574</v>
      </c>
      <c r="F137" s="53" t="str">
        <f>D134</f>
        <v>U5X</v>
      </c>
    </row>
    <row r="138" spans="1:14" x14ac:dyDescent="0.3">
      <c r="B138" s="54">
        <f>D136</f>
        <v>-9978.6908961045574</v>
      </c>
      <c r="C138" s="54">
        <f>E136</f>
        <v>-69850.836272731904</v>
      </c>
      <c r="D138" s="54">
        <f>B136</f>
        <v>9978.6908961045574</v>
      </c>
      <c r="E138" s="54">
        <f>C136</f>
        <v>69850.836272731904</v>
      </c>
      <c r="F138" s="53" t="str">
        <f>E134</f>
        <v>U5Y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1425.52727087208</v>
      </c>
      <c r="G145" s="55">
        <f t="shared" si="11"/>
        <v>9978.6908961045574</v>
      </c>
      <c r="H145" s="9">
        <f t="shared" si="11"/>
        <v>0</v>
      </c>
      <c r="I145" s="9">
        <f t="shared" si="11"/>
        <v>0</v>
      </c>
      <c r="J145" s="55">
        <f t="shared" si="11"/>
        <v>-1425.52727087208</v>
      </c>
      <c r="K145" s="55">
        <f t="shared" si="11"/>
        <v>-9978.6908961045574</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9978.6908961045574</v>
      </c>
      <c r="G146" s="55">
        <f t="shared" si="11"/>
        <v>69850.836272731904</v>
      </c>
      <c r="H146" s="9">
        <f t="shared" si="11"/>
        <v>0</v>
      </c>
      <c r="I146" s="9">
        <f t="shared" si="11"/>
        <v>0</v>
      </c>
      <c r="J146" s="55">
        <f t="shared" si="11"/>
        <v>-9978.6908961045574</v>
      </c>
      <c r="K146" s="55">
        <f t="shared" si="11"/>
        <v>-69850.836272731904</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55">
        <f t="shared" si="11"/>
        <v>-1425.52727087208</v>
      </c>
      <c r="G149" s="55">
        <f t="shared" si="11"/>
        <v>-9978.6908961045574</v>
      </c>
      <c r="H149" s="9">
        <f t="shared" si="11"/>
        <v>0</v>
      </c>
      <c r="I149" s="9">
        <f t="shared" si="11"/>
        <v>0</v>
      </c>
      <c r="J149" s="55">
        <f t="shared" si="11"/>
        <v>1425.52727087208</v>
      </c>
      <c r="K149" s="55">
        <f t="shared" si="11"/>
        <v>9978.6908961045574</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55">
        <f t="shared" si="11"/>
        <v>-9978.6908961045574</v>
      </c>
      <c r="G150" s="55">
        <f t="shared" si="11"/>
        <v>-69850.836272731904</v>
      </c>
      <c r="H150" s="9">
        <f t="shared" si="11"/>
        <v>0</v>
      </c>
      <c r="I150" s="9">
        <f t="shared" si="11"/>
        <v>0</v>
      </c>
      <c r="J150" s="55">
        <f t="shared" si="11"/>
        <v>9978.6908961045574</v>
      </c>
      <c r="K150" s="55">
        <f t="shared" si="11"/>
        <v>69850.836272731904</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U4X</v>
      </c>
      <c r="C155" s="56" t="str">
        <f>CONCATENATE("U",D24,D$17)</f>
        <v>U4Y</v>
      </c>
      <c r="D155" s="56" t="str">
        <f>CONCATENATE("U",E24,E$17)</f>
        <v>U6X</v>
      </c>
      <c r="E155" s="56" t="str">
        <f>CONCATENATE("U",F24,F$17)</f>
        <v>U6Y</v>
      </c>
    </row>
    <row r="156" spans="1:14" x14ac:dyDescent="0.3">
      <c r="B156" s="57">
        <f>J12*J12*N12</f>
        <v>1425.52727087208</v>
      </c>
      <c r="C156" s="57">
        <f>J12*K12*N12</f>
        <v>-9978.6908961045574</v>
      </c>
      <c r="D156" s="57">
        <f>-B156</f>
        <v>-1425.52727087208</v>
      </c>
      <c r="E156" s="57">
        <f>-C156</f>
        <v>9978.6908961045574</v>
      </c>
      <c r="F156" s="56" t="str">
        <f>B155</f>
        <v>U4X</v>
      </c>
    </row>
    <row r="157" spans="1:14" ht="16.8" customHeight="1" x14ac:dyDescent="0.3">
      <c r="A157" s="28" t="s">
        <v>201</v>
      </c>
      <c r="B157" s="57">
        <f>C156</f>
        <v>-9978.6908961045574</v>
      </c>
      <c r="C157" s="57">
        <f>K12*K12*N12</f>
        <v>69850.836272731904</v>
      </c>
      <c r="D157" s="57">
        <f>-B157</f>
        <v>9978.6908961045574</v>
      </c>
      <c r="E157" s="57">
        <f>-C157</f>
        <v>-69850.836272731904</v>
      </c>
      <c r="F157" s="56" t="str">
        <f>C155</f>
        <v>U4Y</v>
      </c>
    </row>
    <row r="158" spans="1:14" x14ac:dyDescent="0.3">
      <c r="B158" s="57">
        <f>D156</f>
        <v>-1425.52727087208</v>
      </c>
      <c r="C158" s="57">
        <f>E156</f>
        <v>9978.6908961045574</v>
      </c>
      <c r="D158" s="57">
        <f>B156</f>
        <v>1425.52727087208</v>
      </c>
      <c r="E158" s="57">
        <f>C156</f>
        <v>-9978.6908961045574</v>
      </c>
      <c r="F158" s="56" t="str">
        <f>D155</f>
        <v>U6X</v>
      </c>
    </row>
    <row r="159" spans="1:14" x14ac:dyDescent="0.3">
      <c r="B159" s="57">
        <f>D157</f>
        <v>9978.6908961045574</v>
      </c>
      <c r="C159" s="57">
        <f>E157</f>
        <v>-69850.836272731904</v>
      </c>
      <c r="D159" s="57">
        <f>B157</f>
        <v>-9978.6908961045574</v>
      </c>
      <c r="E159" s="57">
        <f>C157</f>
        <v>69850.836272731904</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58">
        <f t="shared" si="12"/>
        <v>1425.52727087208</v>
      </c>
      <c r="I168" s="58">
        <f t="shared" si="12"/>
        <v>-9978.6908961045574</v>
      </c>
      <c r="J168" s="9">
        <f t="shared" si="12"/>
        <v>0</v>
      </c>
      <c r="K168" s="9">
        <f t="shared" si="12"/>
        <v>0</v>
      </c>
      <c r="L168" s="58">
        <f t="shared" si="12"/>
        <v>-1425.52727087208</v>
      </c>
      <c r="M168" s="58">
        <f t="shared" si="12"/>
        <v>9978.6908961045574</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58">
        <f t="shared" si="12"/>
        <v>-9978.6908961045574</v>
      </c>
      <c r="I169" s="58">
        <f t="shared" si="12"/>
        <v>69850.836272731904</v>
      </c>
      <c r="J169" s="9">
        <f t="shared" si="12"/>
        <v>0</v>
      </c>
      <c r="K169" s="9">
        <f t="shared" si="12"/>
        <v>0</v>
      </c>
      <c r="L169" s="58">
        <f t="shared" si="12"/>
        <v>9978.6908961045574</v>
      </c>
      <c r="M169" s="58">
        <f t="shared" si="12"/>
        <v>-69850.836272731904</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58">
        <f t="shared" si="12"/>
        <v>-1425.52727087208</v>
      </c>
      <c r="I172" s="58">
        <f t="shared" si="12"/>
        <v>9978.6908961045574</v>
      </c>
      <c r="J172" s="9">
        <f t="shared" si="12"/>
        <v>0</v>
      </c>
      <c r="K172" s="9">
        <f t="shared" si="12"/>
        <v>0</v>
      </c>
      <c r="L172" s="58">
        <f t="shared" si="12"/>
        <v>1425.52727087208</v>
      </c>
      <c r="M172" s="58">
        <f t="shared" si="12"/>
        <v>-9978.6908961045574</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58">
        <f t="shared" si="12"/>
        <v>9978.6908961045574</v>
      </c>
      <c r="I173" s="58">
        <f t="shared" si="12"/>
        <v>-69850.836272731904</v>
      </c>
      <c r="J173" s="9">
        <f t="shared" si="12"/>
        <v>0</v>
      </c>
      <c r="K173" s="9">
        <f t="shared" si="12"/>
        <v>0</v>
      </c>
      <c r="L173" s="58">
        <f t="shared" si="12"/>
        <v>-9978.6908961045574</v>
      </c>
      <c r="M173" s="58">
        <f t="shared" si="12"/>
        <v>69850.836272731904</v>
      </c>
      <c r="N173" s="56" t="s">
        <v>189</v>
      </c>
    </row>
    <row r="176" spans="1:14" ht="18" customHeight="1" x14ac:dyDescent="0.3">
      <c r="B176" s="61" t="str">
        <f>CONCATENATE("U",C25,C$17)</f>
        <v>U5X</v>
      </c>
      <c r="C176" s="61" t="str">
        <f>CONCATENATE("U",D25,D$17)</f>
        <v>U5Y</v>
      </c>
      <c r="D176" s="61" t="str">
        <f>CONCATENATE("U",E25,E$17)</f>
        <v>U6X</v>
      </c>
      <c r="E176" s="61" t="str">
        <f>CONCATENATE("U",F25,F$17)</f>
        <v>U6Y</v>
      </c>
    </row>
    <row r="177" spans="1:14" x14ac:dyDescent="0.3">
      <c r="B177" s="62">
        <f>J13*J13*N13</f>
        <v>126000</v>
      </c>
      <c r="C177" s="62">
        <f>J13*K13*N13</f>
        <v>0</v>
      </c>
      <c r="D177" s="62">
        <f>-B177</f>
        <v>-126000</v>
      </c>
      <c r="E177" s="62">
        <f>-C177</f>
        <v>0</v>
      </c>
      <c r="F177" s="61" t="str">
        <f>B176</f>
        <v>U5X</v>
      </c>
    </row>
    <row r="178" spans="1:14" ht="16.8" customHeight="1" x14ac:dyDescent="0.3">
      <c r="A178" s="28" t="s">
        <v>203</v>
      </c>
      <c r="B178" s="62">
        <f>C177</f>
        <v>0</v>
      </c>
      <c r="C178" s="62">
        <f>K13*K13*N13</f>
        <v>0</v>
      </c>
      <c r="D178" s="62">
        <f>-B178</f>
        <v>0</v>
      </c>
      <c r="E178" s="62">
        <f>-C178</f>
        <v>0</v>
      </c>
      <c r="F178" s="61" t="str">
        <f>C176</f>
        <v>U5Y</v>
      </c>
    </row>
    <row r="179" spans="1:14" x14ac:dyDescent="0.3">
      <c r="B179" s="62">
        <f>D177</f>
        <v>-126000</v>
      </c>
      <c r="C179" s="62">
        <f>E177</f>
        <v>0</v>
      </c>
      <c r="D179" s="62">
        <f>B177</f>
        <v>126000</v>
      </c>
      <c r="E179" s="62">
        <f>C177</f>
        <v>0</v>
      </c>
      <c r="F179" s="61" t="str">
        <f>D176</f>
        <v>U6X</v>
      </c>
    </row>
    <row r="180" spans="1:14" x14ac:dyDescent="0.3">
      <c r="B180" s="62">
        <f>D178</f>
        <v>0</v>
      </c>
      <c r="C180" s="62">
        <f>E178</f>
        <v>0</v>
      </c>
      <c r="D180" s="62">
        <f>B178</f>
        <v>0</v>
      </c>
      <c r="E180" s="62">
        <f>C178</f>
        <v>0</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63">
        <f t="shared" si="13"/>
        <v>126000</v>
      </c>
      <c r="K191" s="63">
        <f t="shared" si="13"/>
        <v>0</v>
      </c>
      <c r="L191" s="63">
        <f t="shared" si="13"/>
        <v>-126000</v>
      </c>
      <c r="M191" s="63">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63">
        <f t="shared" si="13"/>
        <v>0</v>
      </c>
      <c r="K192" s="63">
        <f t="shared" si="13"/>
        <v>0</v>
      </c>
      <c r="L192" s="63">
        <f t="shared" si="13"/>
        <v>0</v>
      </c>
      <c r="M192" s="63">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63">
        <f t="shared" si="13"/>
        <v>-126000</v>
      </c>
      <c r="K193" s="63">
        <f t="shared" si="13"/>
        <v>0</v>
      </c>
      <c r="L193" s="63">
        <f t="shared" si="13"/>
        <v>126000</v>
      </c>
      <c r="M193" s="63">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63">
        <f t="shared" si="13"/>
        <v>0</v>
      </c>
      <c r="K194" s="63">
        <f t="shared" si="13"/>
        <v>0</v>
      </c>
      <c r="L194" s="63">
        <f t="shared" si="13"/>
        <v>0</v>
      </c>
      <c r="M194" s="63">
        <f t="shared" si="13"/>
        <v>0</v>
      </c>
      <c r="N194" s="61" t="s">
        <v>189</v>
      </c>
    </row>
    <row r="197" spans="1:14" ht="18" customHeight="1" x14ac:dyDescent="0.3">
      <c r="B197" s="64" t="str">
        <f>CONCATENATE("U",C26,C$17)</f>
        <v>U3X</v>
      </c>
      <c r="C197" s="64" t="str">
        <f>CONCATENATE("U",D26,D$17)</f>
        <v>U3Y</v>
      </c>
      <c r="D197" s="64" t="str">
        <f>CONCATENATE("U",E26,E$17)</f>
        <v>U6X</v>
      </c>
      <c r="E197" s="64" t="str">
        <f>CONCATENATE("U",F26,F$17)</f>
        <v>U6Y</v>
      </c>
    </row>
    <row r="198" spans="1:14" x14ac:dyDescent="0.3">
      <c r="B198" s="65">
        <f>J14*J14*N14</f>
        <v>19793.516867190847</v>
      </c>
      <c r="C198" s="65">
        <f>J14*K14*N14</f>
        <v>27710.923614067189</v>
      </c>
      <c r="D198" s="65">
        <f>-B198</f>
        <v>-19793.516867190847</v>
      </c>
      <c r="E198" s="65">
        <f>-C198</f>
        <v>-27710.923614067189</v>
      </c>
      <c r="F198" s="64" t="str">
        <f>B197</f>
        <v>U3X</v>
      </c>
    </row>
    <row r="199" spans="1:14" ht="16.8" customHeight="1" x14ac:dyDescent="0.3">
      <c r="A199" s="28" t="s">
        <v>528</v>
      </c>
      <c r="B199" s="65">
        <f>C198</f>
        <v>27710.923614067189</v>
      </c>
      <c r="C199" s="65">
        <f>K14*K14*N14</f>
        <v>38795.293059694071</v>
      </c>
      <c r="D199" s="65">
        <f>-B199</f>
        <v>-27710.923614067189</v>
      </c>
      <c r="E199" s="65">
        <f>-C199</f>
        <v>-38795.293059694071</v>
      </c>
      <c r="F199" s="64" t="str">
        <f>C197</f>
        <v>U3Y</v>
      </c>
    </row>
    <row r="200" spans="1:14" x14ac:dyDescent="0.3">
      <c r="B200" s="65">
        <f>D198</f>
        <v>-19793.516867190847</v>
      </c>
      <c r="C200" s="65">
        <f>E198</f>
        <v>-27710.923614067189</v>
      </c>
      <c r="D200" s="65">
        <f>B198</f>
        <v>19793.516867190847</v>
      </c>
      <c r="E200" s="65">
        <f>C198</f>
        <v>27710.923614067189</v>
      </c>
      <c r="F200" s="64" t="str">
        <f>D197</f>
        <v>U6X</v>
      </c>
    </row>
    <row r="201" spans="1:14" x14ac:dyDescent="0.3">
      <c r="B201" s="65">
        <f>D199</f>
        <v>-27710.923614067189</v>
      </c>
      <c r="C201" s="65">
        <f>E199</f>
        <v>-38795.293059694071</v>
      </c>
      <c r="D201" s="65">
        <f>B199</f>
        <v>27710.923614067189</v>
      </c>
      <c r="E201" s="65">
        <f>C199</f>
        <v>38795.293059694071</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19793.516867190847</v>
      </c>
      <c r="G208" s="66">
        <f t="shared" si="14"/>
        <v>27710.923614067189</v>
      </c>
      <c r="H208" s="9">
        <f t="shared" si="14"/>
        <v>0</v>
      </c>
      <c r="I208" s="9">
        <f t="shared" si="14"/>
        <v>0</v>
      </c>
      <c r="J208" s="9">
        <f t="shared" si="14"/>
        <v>0</v>
      </c>
      <c r="K208" s="9">
        <f t="shared" si="14"/>
        <v>0</v>
      </c>
      <c r="L208" s="66">
        <f t="shared" si="14"/>
        <v>-19793.516867190847</v>
      </c>
      <c r="M208" s="66">
        <f t="shared" si="14"/>
        <v>-27710.923614067189</v>
      </c>
      <c r="N208" s="64" t="s">
        <v>182</v>
      </c>
    </row>
    <row r="209" spans="1:14" ht="19.05" customHeight="1" x14ac:dyDescent="0.3">
      <c r="A209" s="28" t="s">
        <v>529</v>
      </c>
      <c r="B209" s="9">
        <f t="shared" si="14"/>
        <v>0</v>
      </c>
      <c r="C209" s="9">
        <f t="shared" si="14"/>
        <v>0</v>
      </c>
      <c r="D209" s="9">
        <f t="shared" si="14"/>
        <v>0</v>
      </c>
      <c r="E209" s="9">
        <f t="shared" si="14"/>
        <v>0</v>
      </c>
      <c r="F209" s="66">
        <f t="shared" si="14"/>
        <v>27710.923614067189</v>
      </c>
      <c r="G209" s="66">
        <f t="shared" si="14"/>
        <v>38795.293059694071</v>
      </c>
      <c r="H209" s="9">
        <f t="shared" si="14"/>
        <v>0</v>
      </c>
      <c r="I209" s="9">
        <f t="shared" si="14"/>
        <v>0</v>
      </c>
      <c r="J209" s="9">
        <f t="shared" si="14"/>
        <v>0</v>
      </c>
      <c r="K209" s="9">
        <f t="shared" si="14"/>
        <v>0</v>
      </c>
      <c r="L209" s="66">
        <f t="shared" si="14"/>
        <v>-27710.923614067189</v>
      </c>
      <c r="M209" s="66">
        <f t="shared" si="14"/>
        <v>-38795.293059694071</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66">
        <f t="shared" si="14"/>
        <v>-19793.516867190847</v>
      </c>
      <c r="G214" s="66">
        <f t="shared" si="14"/>
        <v>-27710.923614067189</v>
      </c>
      <c r="H214" s="9">
        <f t="shared" si="14"/>
        <v>0</v>
      </c>
      <c r="I214" s="9">
        <f t="shared" si="14"/>
        <v>0</v>
      </c>
      <c r="J214" s="9">
        <f t="shared" si="14"/>
        <v>0</v>
      </c>
      <c r="K214" s="9">
        <f t="shared" si="14"/>
        <v>0</v>
      </c>
      <c r="L214" s="66">
        <f t="shared" si="14"/>
        <v>19793.516867190847</v>
      </c>
      <c r="M214" s="66">
        <f t="shared" si="14"/>
        <v>27710.923614067189</v>
      </c>
      <c r="N214" s="64" t="s">
        <v>188</v>
      </c>
    </row>
    <row r="215" spans="1:14" ht="19.05" customHeight="1" x14ac:dyDescent="0.3">
      <c r="B215" s="9">
        <f t="shared" si="14"/>
        <v>0</v>
      </c>
      <c r="C215" s="9">
        <f t="shared" si="14"/>
        <v>0</v>
      </c>
      <c r="D215" s="9">
        <f t="shared" si="14"/>
        <v>0</v>
      </c>
      <c r="E215" s="9">
        <f t="shared" si="14"/>
        <v>0</v>
      </c>
      <c r="F215" s="66">
        <f t="shared" si="14"/>
        <v>-27710.923614067189</v>
      </c>
      <c r="G215" s="66">
        <f t="shared" si="14"/>
        <v>-38795.293059694071</v>
      </c>
      <c r="H215" s="9">
        <f t="shared" si="14"/>
        <v>0</v>
      </c>
      <c r="I215" s="9">
        <f t="shared" si="14"/>
        <v>0</v>
      </c>
      <c r="J215" s="9">
        <f t="shared" si="14"/>
        <v>0</v>
      </c>
      <c r="K215" s="9">
        <f t="shared" si="14"/>
        <v>0</v>
      </c>
      <c r="L215" s="66">
        <f t="shared" si="14"/>
        <v>27710.923614067189</v>
      </c>
      <c r="M215" s="66">
        <f t="shared" si="14"/>
        <v>38795.293059694071</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82477.88691001902</v>
      </c>
      <c r="C219" s="36">
        <f t="shared" si="15"/>
        <v>41783.47377110555</v>
      </c>
      <c r="D219" s="9">
        <f t="shared" si="15"/>
        <v>-50400</v>
      </c>
      <c r="E219" s="9">
        <f t="shared" si="15"/>
        <v>0</v>
      </c>
      <c r="F219" s="9">
        <f t="shared" si="15"/>
        <v>-5224.8848475576815</v>
      </c>
      <c r="G219" s="9">
        <f t="shared" si="15"/>
        <v>-18287.096966451882</v>
      </c>
      <c r="H219" s="9">
        <f t="shared" si="15"/>
        <v>-26853.002062461339</v>
      </c>
      <c r="I219" s="9">
        <f t="shared" si="15"/>
        <v>-23496.376804653668</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41783.47377110555</v>
      </c>
      <c r="C220" s="35">
        <f t="shared" si="16"/>
        <v>84564.16908665355</v>
      </c>
      <c r="D220" s="9">
        <f t="shared" si="16"/>
        <v>0</v>
      </c>
      <c r="E220" s="9">
        <f t="shared" si="16"/>
        <v>0</v>
      </c>
      <c r="F220" s="9">
        <f t="shared" si="16"/>
        <v>-18287.096966451882</v>
      </c>
      <c r="G220" s="9">
        <f t="shared" si="16"/>
        <v>-64004.839382581587</v>
      </c>
      <c r="H220" s="9">
        <f t="shared" si="16"/>
        <v>-23496.376804653668</v>
      </c>
      <c r="I220" s="9">
        <f t="shared" si="16"/>
        <v>-20559.329704071959</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-50400</v>
      </c>
      <c r="C221" s="9">
        <f t="shared" si="17"/>
        <v>0</v>
      </c>
      <c r="D221" s="35">
        <f t="shared" si="17"/>
        <v>55624.884847557681</v>
      </c>
      <c r="E221" s="36">
        <f t="shared" si="17"/>
        <v>-18287.096966451882</v>
      </c>
      <c r="F221" s="9">
        <f t="shared" si="17"/>
        <v>0</v>
      </c>
      <c r="G221" s="9">
        <f t="shared" si="17"/>
        <v>0</v>
      </c>
      <c r="H221" s="9">
        <f t="shared" si="17"/>
        <v>-5224.8848475576815</v>
      </c>
      <c r="I221" s="9">
        <f t="shared" si="17"/>
        <v>18287.096966451882</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-18287.096966451882</v>
      </c>
      <c r="E222" s="35">
        <f t="shared" si="18"/>
        <v>64004.839382581587</v>
      </c>
      <c r="F222" s="9">
        <f t="shared" si="18"/>
        <v>0</v>
      </c>
      <c r="G222" s="9">
        <f t="shared" si="18"/>
        <v>0</v>
      </c>
      <c r="H222" s="9">
        <f t="shared" si="18"/>
        <v>18287.096966451882</v>
      </c>
      <c r="I222" s="9">
        <f t="shared" si="18"/>
        <v>-64004.839382581587</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-5224.8848475576815</v>
      </c>
      <c r="C223" s="9">
        <f t="shared" si="19"/>
        <v>-18287.096966451882</v>
      </c>
      <c r="D223" s="9">
        <f t="shared" si="19"/>
        <v>0</v>
      </c>
      <c r="E223" s="9">
        <f t="shared" si="19"/>
        <v>0</v>
      </c>
      <c r="F223" s="35">
        <f t="shared" si="19"/>
        <v>110443.9289856206</v>
      </c>
      <c r="G223" s="36">
        <f t="shared" si="19"/>
        <v>55976.711476623634</v>
      </c>
      <c r="H223" s="9">
        <f t="shared" si="19"/>
        <v>-84000</v>
      </c>
      <c r="I223" s="9">
        <f t="shared" si="19"/>
        <v>0</v>
      </c>
      <c r="J223" s="9">
        <f t="shared" si="19"/>
        <v>-1425.52727087208</v>
      </c>
      <c r="K223" s="9">
        <f t="shared" si="19"/>
        <v>-9978.6908961045574</v>
      </c>
      <c r="L223" s="9">
        <f t="shared" si="19"/>
        <v>-19793.516867190847</v>
      </c>
      <c r="M223" s="9">
        <f t="shared" si="19"/>
        <v>-27710.923614067189</v>
      </c>
      <c r="N223" s="89" t="s">
        <v>182</v>
      </c>
    </row>
    <row r="224" spans="1:14" ht="19.95" customHeight="1" x14ac:dyDescent="0.3">
      <c r="A224" s="28" t="s">
        <v>205</v>
      </c>
      <c r="B224" s="9">
        <f t="shared" ref="B224:M224" si="20">B41+B62+B83+B104+B125+B146+B167+B188+B209</f>
        <v>-18287.096966451882</v>
      </c>
      <c r="C224" s="9">
        <f t="shared" si="20"/>
        <v>-64004.839382581587</v>
      </c>
      <c r="D224" s="9">
        <f t="shared" si="20"/>
        <v>0</v>
      </c>
      <c r="E224" s="9">
        <f t="shared" si="20"/>
        <v>0</v>
      </c>
      <c r="F224" s="36">
        <f t="shared" si="20"/>
        <v>55976.711476623634</v>
      </c>
      <c r="G224" s="35">
        <f t="shared" si="20"/>
        <v>172650.96871500753</v>
      </c>
      <c r="H224" s="9">
        <f t="shared" si="20"/>
        <v>0</v>
      </c>
      <c r="I224" s="9">
        <f t="shared" si="20"/>
        <v>0</v>
      </c>
      <c r="J224" s="9">
        <f t="shared" si="20"/>
        <v>-9978.6908961045574</v>
      </c>
      <c r="K224" s="9">
        <f t="shared" si="20"/>
        <v>-69850.836272731904</v>
      </c>
      <c r="L224" s="9">
        <f t="shared" si="20"/>
        <v>-27710.923614067189</v>
      </c>
      <c r="M224" s="9">
        <f t="shared" si="20"/>
        <v>-38795.293059694071</v>
      </c>
      <c r="N224" s="89" t="s">
        <v>183</v>
      </c>
    </row>
    <row r="225" spans="1:21" ht="19.95" customHeight="1" x14ac:dyDescent="0.3">
      <c r="B225" s="9">
        <f t="shared" ref="B225:M225" si="21">B42+B63+B84+B105+B126+B147+B168+B189+B210</f>
        <v>-26853.002062461339</v>
      </c>
      <c r="C225" s="9">
        <f t="shared" si="21"/>
        <v>-23496.376804653668</v>
      </c>
      <c r="D225" s="9">
        <f t="shared" si="21"/>
        <v>-5224.8848475576815</v>
      </c>
      <c r="E225" s="9">
        <f t="shared" si="21"/>
        <v>18287.096966451882</v>
      </c>
      <c r="F225" s="9">
        <f t="shared" si="21"/>
        <v>-84000</v>
      </c>
      <c r="G225" s="9">
        <f t="shared" si="21"/>
        <v>0</v>
      </c>
      <c r="H225" s="35">
        <f t="shared" si="21"/>
        <v>117503.41418089109</v>
      </c>
      <c r="I225" s="36">
        <f t="shared" si="21"/>
        <v>-4769.4110579027711</v>
      </c>
      <c r="J225" s="9">
        <f t="shared" si="21"/>
        <v>0</v>
      </c>
      <c r="K225" s="9">
        <f t="shared" si="21"/>
        <v>0</v>
      </c>
      <c r="L225" s="9">
        <f t="shared" si="21"/>
        <v>-1425.52727087208</v>
      </c>
      <c r="M225" s="9">
        <f t="shared" si="21"/>
        <v>9978.6908961045574</v>
      </c>
      <c r="N225" s="89" t="s">
        <v>184</v>
      </c>
    </row>
    <row r="226" spans="1:21" ht="19.95" customHeight="1" x14ac:dyDescent="0.3">
      <c r="B226" s="9">
        <f t="shared" ref="B226:M226" si="22">B43+B64+B85+B106+B127+B148+B169+B190+B211</f>
        <v>-23496.376804653668</v>
      </c>
      <c r="C226" s="9">
        <f t="shared" si="22"/>
        <v>-20559.329704071959</v>
      </c>
      <c r="D226" s="9">
        <f t="shared" si="22"/>
        <v>18287.096966451882</v>
      </c>
      <c r="E226" s="9">
        <f t="shared" si="22"/>
        <v>-64004.839382581587</v>
      </c>
      <c r="F226" s="9">
        <f t="shared" si="22"/>
        <v>0</v>
      </c>
      <c r="G226" s="9">
        <f t="shared" si="22"/>
        <v>0</v>
      </c>
      <c r="H226" s="36">
        <f t="shared" si="22"/>
        <v>-4769.4110579027711</v>
      </c>
      <c r="I226" s="35">
        <f t="shared" si="22"/>
        <v>154415.00535938545</v>
      </c>
      <c r="J226" s="9">
        <f t="shared" si="22"/>
        <v>0</v>
      </c>
      <c r="K226" s="9">
        <f t="shared" si="22"/>
        <v>0</v>
      </c>
      <c r="L226" s="9">
        <f t="shared" si="22"/>
        <v>9978.6908961045574</v>
      </c>
      <c r="M226" s="9">
        <f t="shared" si="22"/>
        <v>-69850.836272731904</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-1425.52727087208</v>
      </c>
      <c r="G227" s="9">
        <f t="shared" si="23"/>
        <v>-9978.6908961045574</v>
      </c>
      <c r="H227" s="9">
        <f t="shared" si="23"/>
        <v>0</v>
      </c>
      <c r="I227" s="9">
        <f t="shared" si="23"/>
        <v>0</v>
      </c>
      <c r="J227" s="35">
        <f t="shared" si="23"/>
        <v>127425.52727087207</v>
      </c>
      <c r="K227" s="36">
        <f t="shared" si="23"/>
        <v>9978.6908961045574</v>
      </c>
      <c r="L227" s="9">
        <f t="shared" si="23"/>
        <v>-126000</v>
      </c>
      <c r="M227" s="9">
        <f t="shared" si="23"/>
        <v>0</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-9978.6908961045574</v>
      </c>
      <c r="G228" s="9">
        <f t="shared" si="24"/>
        <v>-69850.836272731904</v>
      </c>
      <c r="H228" s="9">
        <f t="shared" si="24"/>
        <v>0</v>
      </c>
      <c r="I228" s="9">
        <f t="shared" si="24"/>
        <v>0</v>
      </c>
      <c r="J228" s="36">
        <f t="shared" si="24"/>
        <v>9978.6908961045574</v>
      </c>
      <c r="K228" s="35">
        <f t="shared" si="24"/>
        <v>69850.836272731904</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-19793.516867190847</v>
      </c>
      <c r="G229" s="9">
        <f t="shared" si="25"/>
        <v>-27710.923614067189</v>
      </c>
      <c r="H229" s="9">
        <f t="shared" si="25"/>
        <v>-1425.52727087208</v>
      </c>
      <c r="I229" s="9">
        <f t="shared" si="25"/>
        <v>9978.6908961045574</v>
      </c>
      <c r="J229" s="9">
        <f t="shared" si="25"/>
        <v>-126000</v>
      </c>
      <c r="K229" s="9">
        <f t="shared" si="25"/>
        <v>0</v>
      </c>
      <c r="L229" s="35">
        <f t="shared" si="25"/>
        <v>147219.04413806292</v>
      </c>
      <c r="M229" s="36">
        <f t="shared" si="25"/>
        <v>17732.23271796263</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-27710.923614067189</v>
      </c>
      <c r="G230" s="9">
        <f t="shared" si="26"/>
        <v>-38795.293059694071</v>
      </c>
      <c r="H230" s="9">
        <f t="shared" si="26"/>
        <v>9978.6908961045574</v>
      </c>
      <c r="I230" s="9">
        <f t="shared" si="26"/>
        <v>-69850.836272731904</v>
      </c>
      <c r="J230" s="9">
        <f t="shared" si="26"/>
        <v>0</v>
      </c>
      <c r="K230" s="9">
        <f t="shared" si="26"/>
        <v>0</v>
      </c>
      <c r="L230" s="36">
        <f t="shared" si="26"/>
        <v>17732.23271796263</v>
      </c>
      <c r="M230" s="35">
        <f t="shared" si="26"/>
        <v>108646.12933242598</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IF(GRAFICA_33!F14=1, B234, GRAFICA_33!H14)</f>
        <v>C1X</v>
      </c>
      <c r="P234" s="215" t="s">
        <v>376</v>
      </c>
      <c r="Q234" s="172"/>
      <c r="R234" s="172"/>
      <c r="S234" s="172"/>
      <c r="T234" s="172"/>
      <c r="U234" s="173"/>
    </row>
    <row r="235" spans="1:21" ht="16.95" customHeight="1" x14ac:dyDescent="0.3">
      <c r="B235" s="12" t="s">
        <v>210</v>
      </c>
      <c r="C235" s="12" t="s">
        <v>179</v>
      </c>
      <c r="E235" s="37" t="str">
        <f>IF(GRAFICA_33!G14=1, B235, GRAFICA_33!I14)</f>
        <v>C1Y</v>
      </c>
      <c r="P235" s="215" t="s">
        <v>211</v>
      </c>
      <c r="Q235" s="172"/>
      <c r="R235" s="172"/>
      <c r="S235" s="172"/>
      <c r="T235" s="172"/>
      <c r="U235" s="173"/>
    </row>
    <row r="236" spans="1:21" ht="16.95" customHeight="1" x14ac:dyDescent="0.3">
      <c r="B236" s="12" t="s">
        <v>212</v>
      </c>
      <c r="C236" s="12" t="s">
        <v>180</v>
      </c>
      <c r="E236" s="37">
        <f>IF(GRAFICA_33!F15=1, B236, GRAFICA_33!H15)</f>
        <v>0</v>
      </c>
      <c r="P236" s="215" t="s">
        <v>377</v>
      </c>
      <c r="Q236" s="172"/>
      <c r="R236" s="172"/>
      <c r="S236" s="172"/>
      <c r="T236" s="172"/>
      <c r="U236" s="173"/>
    </row>
    <row r="237" spans="1:21" ht="16.95" customHeight="1" x14ac:dyDescent="0.3">
      <c r="B237" s="12" t="s">
        <v>214</v>
      </c>
      <c r="C237" s="12" t="s">
        <v>181</v>
      </c>
      <c r="E237" s="37" t="str">
        <f>IF(GRAFICA_33!G15=1, B237, GRAFICA_33!I15)</f>
        <v>C2Y</v>
      </c>
      <c r="P237" s="215" t="s">
        <v>215</v>
      </c>
      <c r="Q237" s="172"/>
      <c r="R237" s="172"/>
      <c r="S237" s="172"/>
      <c r="T237" s="172"/>
      <c r="U237" s="173"/>
    </row>
    <row r="238" spans="1:21" ht="16.95" customHeight="1" x14ac:dyDescent="0.3">
      <c r="B238" s="12" t="s">
        <v>216</v>
      </c>
      <c r="C238" s="12" t="s">
        <v>182</v>
      </c>
      <c r="E238" s="37">
        <f>IF(GRAFICA_33!F16=1, B238, GRAFICA_33!H16)</f>
        <v>2500</v>
      </c>
      <c r="P238" s="215" t="s">
        <v>378</v>
      </c>
      <c r="Q238" s="172"/>
      <c r="R238" s="172"/>
      <c r="S238" s="172"/>
      <c r="T238" s="172"/>
      <c r="U238" s="173"/>
    </row>
    <row r="239" spans="1:21" ht="16.95" customHeight="1" x14ac:dyDescent="0.3">
      <c r="A239" s="38" t="s">
        <v>218</v>
      </c>
      <c r="B239" s="12" t="s">
        <v>219</v>
      </c>
      <c r="C239" s="12" t="s">
        <v>183</v>
      </c>
      <c r="D239" s="13" t="s">
        <v>220</v>
      </c>
      <c r="E239" s="37">
        <f>IF(GRAFICA_33!G16=1, B239, GRAFICA_33!I16)</f>
        <v>-3000</v>
      </c>
      <c r="P239" s="215" t="s">
        <v>379</v>
      </c>
      <c r="Q239" s="172"/>
      <c r="R239" s="172"/>
      <c r="S239" s="172"/>
      <c r="T239" s="172"/>
      <c r="U239" s="173"/>
    </row>
    <row r="240" spans="1:21" ht="16.95" customHeight="1" x14ac:dyDescent="0.3">
      <c r="B240" s="12" t="s">
        <v>221</v>
      </c>
      <c r="C240" s="12" t="s">
        <v>184</v>
      </c>
      <c r="E240" s="37">
        <f>IF(GRAFICA_33!F17=1, B240, GRAFICA_33!H17)</f>
        <v>2500</v>
      </c>
      <c r="P240" s="215"/>
      <c r="Q240" s="172"/>
      <c r="R240" s="172"/>
      <c r="S240" s="172"/>
      <c r="T240" s="172"/>
      <c r="U240" s="173"/>
    </row>
    <row r="241" spans="1:21" ht="16.95" customHeight="1" x14ac:dyDescent="0.3">
      <c r="B241" s="12" t="s">
        <v>222</v>
      </c>
      <c r="C241" s="12" t="s">
        <v>185</v>
      </c>
      <c r="E241" s="37">
        <f>IF(GRAFICA_33!G17=1, B241, GRAFICA_33!I17)</f>
        <v>-3000</v>
      </c>
      <c r="P241" s="215"/>
      <c r="Q241" s="172"/>
      <c r="R241" s="172"/>
      <c r="S241" s="172"/>
      <c r="T241" s="172"/>
      <c r="U241" s="173"/>
    </row>
    <row r="242" spans="1:21" ht="16.95" customHeight="1" x14ac:dyDescent="0.3">
      <c r="B242" s="12" t="s">
        <v>223</v>
      </c>
      <c r="C242" s="12" t="s">
        <v>186</v>
      </c>
      <c r="E242" s="37">
        <f>IF(GRAFICA_33!F18=1, B242, GRAFICA_33!H18)</f>
        <v>3500</v>
      </c>
      <c r="P242" s="215"/>
      <c r="Q242" s="172"/>
      <c r="R242" s="172"/>
      <c r="S242" s="172"/>
      <c r="T242" s="172"/>
      <c r="U242" s="173"/>
    </row>
    <row r="243" spans="1:21" ht="16.95" customHeight="1" x14ac:dyDescent="0.3">
      <c r="B243" s="12" t="s">
        <v>224</v>
      </c>
      <c r="C243" s="12" t="s">
        <v>187</v>
      </c>
      <c r="E243" s="37">
        <f>IF(GRAFICA_33!G18=1, B243, GRAFICA_33!I18)</f>
        <v>-2500</v>
      </c>
      <c r="P243" s="215"/>
      <c r="Q243" s="172"/>
      <c r="R243" s="172"/>
      <c r="S243" s="172"/>
      <c r="T243" s="172"/>
      <c r="U243" s="173"/>
    </row>
    <row r="244" spans="1:21" ht="16.95" customHeight="1" x14ac:dyDescent="0.3">
      <c r="B244" s="12" t="s">
        <v>225</v>
      </c>
      <c r="C244" s="12" t="s">
        <v>188</v>
      </c>
      <c r="E244" s="37">
        <f>IF(GRAFICA_33!F19=1, B244, GRAFICA_33!H19)</f>
        <v>3500</v>
      </c>
      <c r="P244" s="215"/>
      <c r="Q244" s="172"/>
      <c r="R244" s="172"/>
      <c r="S244" s="172"/>
      <c r="T244" s="172"/>
      <c r="U244" s="173"/>
    </row>
    <row r="245" spans="1:21" ht="16.95" customHeight="1" x14ac:dyDescent="0.3">
      <c r="B245" s="12" t="s">
        <v>226</v>
      </c>
      <c r="C245" s="12" t="s">
        <v>189</v>
      </c>
      <c r="E245" s="37">
        <f>IF(GRAFICA_33!G19=1, B245, GRAFICA_33!I19)</f>
        <v>-2500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IF(GRAFICA_33!F14=1,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IF(GRAFICA_33!G14=1,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IF(GRAFICA_33!F15=1,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f>IF(GRAFICA_33!G15=1, 0, B251)</f>
        <v>0</v>
      </c>
      <c r="F251" s="14" t="str">
        <f>IF(E251&lt;&gt;0, COUNTIF(E$248:E251, "&lt;&gt;0"), "")</f>
        <v/>
      </c>
      <c r="G251" s="14">
        <f>IF(E251=0, COUNTIF(E$248:E251, 0), "")</f>
        <v>3</v>
      </c>
      <c r="P251" s="215"/>
      <c r="Q251" s="172"/>
      <c r="R251" s="172"/>
      <c r="S251" s="172"/>
      <c r="T251" s="172"/>
      <c r="U251" s="173"/>
    </row>
    <row r="252" spans="1:21" ht="16.95" customHeight="1" x14ac:dyDescent="0.3">
      <c r="B252" s="12" t="s">
        <v>232</v>
      </c>
      <c r="C252" s="12" t="s">
        <v>182</v>
      </c>
      <c r="E252" s="39" t="str">
        <f>IF(GRAFICA_33!F16=1, 0, B252)</f>
        <v>D3X</v>
      </c>
      <c r="F252" s="14">
        <f>IF(E252&lt;&gt;0, COUNTIF(E$248:E252, "&lt;&gt;0"), "")</f>
        <v>2</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IF(GRAFICA_33!G16=1, 0, B253)</f>
        <v>D3Y</v>
      </c>
      <c r="F253" s="14">
        <f>IF(E253&lt;&gt;0, COUNTIF(E$248:E253, "&lt;&gt;0"), "")</f>
        <v>3</v>
      </c>
      <c r="G253" s="14" t="str">
        <f>IF(E253=0, COUNTIF(E$248:E253, 0), "")</f>
        <v/>
      </c>
      <c r="P253" s="215"/>
      <c r="Q253" s="172"/>
      <c r="R253" s="172"/>
      <c r="S253" s="172"/>
      <c r="T253" s="172"/>
      <c r="U253" s="173"/>
    </row>
    <row r="254" spans="1:21" ht="16.95" customHeight="1" x14ac:dyDescent="0.3">
      <c r="B254" s="12" t="s">
        <v>235</v>
      </c>
      <c r="C254" s="12" t="s">
        <v>184</v>
      </c>
      <c r="E254" s="39" t="str">
        <f>IF(GRAFICA_33!F17=1, 0, B254)</f>
        <v>D4X</v>
      </c>
      <c r="F254" s="14">
        <f>IF(E254&lt;&gt;0, COUNTIF(E$248:E254, "&lt;&gt;0"), "")</f>
        <v>4</v>
      </c>
      <c r="G254" s="14" t="str">
        <f>IF(E254=0, COUNTIF(E$248:E254, 0), "")</f>
        <v/>
      </c>
      <c r="P254" s="215"/>
      <c r="Q254" s="172"/>
      <c r="R254" s="172"/>
      <c r="S254" s="172"/>
      <c r="T254" s="172"/>
      <c r="U254" s="173"/>
    </row>
    <row r="255" spans="1:21" ht="16.95" customHeight="1" x14ac:dyDescent="0.3">
      <c r="B255" s="12" t="s">
        <v>236</v>
      </c>
      <c r="C255" s="12" t="s">
        <v>185</v>
      </c>
      <c r="E255" s="39" t="str">
        <f>IF(GRAFICA_33!G17=1, 0, B255)</f>
        <v>D4Y</v>
      </c>
      <c r="F255" s="14">
        <f>IF(E255&lt;&gt;0, COUNTIF(E$248:E255, "&lt;&gt;0"), "")</f>
        <v>5</v>
      </c>
      <c r="G255" s="14" t="str">
        <f>IF(E255=0, COUNTIF(E$248:E255, 0), "")</f>
        <v/>
      </c>
      <c r="P255" s="215"/>
      <c r="Q255" s="172"/>
      <c r="R255" s="172"/>
      <c r="S255" s="172"/>
      <c r="T255" s="172"/>
      <c r="U255" s="173"/>
    </row>
    <row r="256" spans="1:21" ht="16.95" customHeight="1" x14ac:dyDescent="0.3">
      <c r="B256" s="12" t="s">
        <v>237</v>
      </c>
      <c r="C256" s="12" t="s">
        <v>186</v>
      </c>
      <c r="E256" s="39" t="str">
        <f>IF(GRAFICA_33!F18=1,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IF(GRAFICA_33!G18=1,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IF(GRAFICA_33!F19=1,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IF(GRAFICA_33!G19=1,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82477.88691001902</v>
      </c>
      <c r="D264" s="9">
        <f t="shared" si="28"/>
        <v>41783.47377110555</v>
      </c>
      <c r="E264" s="9">
        <f t="shared" si="28"/>
        <v>-50400</v>
      </c>
      <c r="F264" s="9">
        <f t="shared" si="28"/>
        <v>0</v>
      </c>
      <c r="G264" s="9">
        <f t="shared" si="28"/>
        <v>-5224.8848475576815</v>
      </c>
      <c r="H264" s="9">
        <f t="shared" si="28"/>
        <v>-18287.096966451882</v>
      </c>
      <c r="I264" s="9">
        <f t="shared" si="28"/>
        <v>-26853.002062461339</v>
      </c>
      <c r="J264" s="9">
        <f t="shared" si="28"/>
        <v>-23496.376804653668</v>
      </c>
      <c r="K264" s="9">
        <f t="shared" si="28"/>
        <v>0</v>
      </c>
      <c r="L264" s="9">
        <f t="shared" si="28"/>
        <v>0</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41783.47377110555</v>
      </c>
      <c r="D265" s="9">
        <f t="shared" si="29"/>
        <v>84564.16908665355</v>
      </c>
      <c r="E265" s="9">
        <f t="shared" si="29"/>
        <v>0</v>
      </c>
      <c r="F265" s="9">
        <f t="shared" si="29"/>
        <v>0</v>
      </c>
      <c r="G265" s="9">
        <f t="shared" si="29"/>
        <v>-18287.096966451882</v>
      </c>
      <c r="H265" s="9">
        <f t="shared" si="29"/>
        <v>-64004.839382581587</v>
      </c>
      <c r="I265" s="9">
        <f t="shared" si="29"/>
        <v>-23496.376804653668</v>
      </c>
      <c r="J265" s="9">
        <f t="shared" si="29"/>
        <v>-20559.329704071959</v>
      </c>
      <c r="K265" s="9">
        <f t="shared" si="29"/>
        <v>0</v>
      </c>
      <c r="L265" s="9">
        <f t="shared" si="29"/>
        <v>0</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-50400</v>
      </c>
      <c r="D266" s="9">
        <f t="shared" si="30"/>
        <v>0</v>
      </c>
      <c r="E266" s="41">
        <f t="shared" si="30"/>
        <v>55624.884847557681</v>
      </c>
      <c r="F266" s="9">
        <f t="shared" si="30"/>
        <v>-18287.096966451882</v>
      </c>
      <c r="G266" s="41">
        <f t="shared" si="30"/>
        <v>0</v>
      </c>
      <c r="H266" s="41">
        <f t="shared" si="30"/>
        <v>0</v>
      </c>
      <c r="I266" s="41">
        <f t="shared" si="30"/>
        <v>-5224.8848475576815</v>
      </c>
      <c r="J266" s="41">
        <f t="shared" si="30"/>
        <v>18287.096966451882</v>
      </c>
      <c r="K266" s="41">
        <f t="shared" si="30"/>
        <v>0</v>
      </c>
      <c r="L266" s="41">
        <f t="shared" si="30"/>
        <v>0</v>
      </c>
      <c r="M266" s="41">
        <f t="shared" si="30"/>
        <v>0</v>
      </c>
      <c r="N266" s="41">
        <f t="shared" si="30"/>
        <v>0</v>
      </c>
      <c r="O266" s="13" t="s">
        <v>251</v>
      </c>
      <c r="P266" s="215" t="s">
        <v>254</v>
      </c>
      <c r="Q266" s="172"/>
      <c r="R266" s="172"/>
      <c r="S266" s="172"/>
      <c r="T266" s="172"/>
      <c r="U266" s="173"/>
    </row>
    <row r="267" spans="1:21" ht="16.95" customHeight="1" x14ac:dyDescent="0.3">
      <c r="A267" s="12" t="str">
        <f t="shared" si="27"/>
        <v>C2Y</v>
      </c>
      <c r="C267" s="9">
        <f t="shared" ref="C267:N267" si="31">B222</f>
        <v>0</v>
      </c>
      <c r="D267" s="9">
        <f t="shared" si="31"/>
        <v>0</v>
      </c>
      <c r="E267" s="9">
        <f t="shared" si="31"/>
        <v>-18287.096966451882</v>
      </c>
      <c r="F267" s="9">
        <f t="shared" si="31"/>
        <v>64004.839382581587</v>
      </c>
      <c r="G267" s="9">
        <f t="shared" si="31"/>
        <v>0</v>
      </c>
      <c r="H267" s="9">
        <f t="shared" si="31"/>
        <v>0</v>
      </c>
      <c r="I267" s="9">
        <f t="shared" si="31"/>
        <v>18287.096966451882</v>
      </c>
      <c r="J267" s="9">
        <f t="shared" si="31"/>
        <v>-64004.839382581587</v>
      </c>
      <c r="K267" s="9">
        <f t="shared" si="31"/>
        <v>0</v>
      </c>
      <c r="L267" s="9">
        <f t="shared" si="31"/>
        <v>0</v>
      </c>
      <c r="M267" s="9">
        <f t="shared" si="31"/>
        <v>0</v>
      </c>
      <c r="N267" s="9">
        <f t="shared" si="31"/>
        <v>0</v>
      </c>
      <c r="O267" s="13" t="s">
        <v>251</v>
      </c>
      <c r="P267" s="219" t="s">
        <v>381</v>
      </c>
      <c r="Q267" s="172"/>
      <c r="R267" s="172"/>
      <c r="S267" s="172"/>
      <c r="T267" s="172"/>
      <c r="U267" s="173"/>
    </row>
    <row r="268" spans="1:21" ht="16.95" customHeight="1" x14ac:dyDescent="0.3">
      <c r="A268" s="41">
        <f t="shared" si="27"/>
        <v>2500</v>
      </c>
      <c r="C268" s="9">
        <f t="shared" ref="C268:N268" si="32">B223</f>
        <v>-5224.8848475576815</v>
      </c>
      <c r="D268" s="9">
        <f t="shared" si="32"/>
        <v>-18287.096966451882</v>
      </c>
      <c r="E268" s="41">
        <f t="shared" si="32"/>
        <v>0</v>
      </c>
      <c r="F268" s="9">
        <f t="shared" si="32"/>
        <v>0</v>
      </c>
      <c r="G268" s="41">
        <f t="shared" si="32"/>
        <v>110443.9289856206</v>
      </c>
      <c r="H268" s="41">
        <f t="shared" si="32"/>
        <v>55976.711476623634</v>
      </c>
      <c r="I268" s="41">
        <f t="shared" si="32"/>
        <v>-84000</v>
      </c>
      <c r="J268" s="41">
        <f t="shared" si="32"/>
        <v>0</v>
      </c>
      <c r="K268" s="41">
        <f t="shared" si="32"/>
        <v>-1425.52727087208</v>
      </c>
      <c r="L268" s="41">
        <f t="shared" si="32"/>
        <v>-9978.6908961045574</v>
      </c>
      <c r="M268" s="41">
        <f t="shared" si="32"/>
        <v>-19793.516867190847</v>
      </c>
      <c r="N268" s="41">
        <f t="shared" si="32"/>
        <v>-27710.923614067189</v>
      </c>
      <c r="O268" s="13" t="s">
        <v>251</v>
      </c>
      <c r="P268" s="215" t="s">
        <v>382</v>
      </c>
      <c r="Q268" s="172"/>
      <c r="R268" s="172"/>
      <c r="S268" s="172"/>
      <c r="T268" s="172"/>
      <c r="U268" s="173"/>
    </row>
    <row r="269" spans="1:21" ht="16.95" customHeight="1" x14ac:dyDescent="0.3">
      <c r="A269" s="41">
        <f t="shared" si="27"/>
        <v>-3000</v>
      </c>
      <c r="C269" s="9">
        <f t="shared" ref="C269:N269" si="33">B224</f>
        <v>-18287.096966451882</v>
      </c>
      <c r="D269" s="9">
        <f t="shared" si="33"/>
        <v>-64004.839382581587</v>
      </c>
      <c r="E269" s="41">
        <f t="shared" si="33"/>
        <v>0</v>
      </c>
      <c r="F269" s="9">
        <f t="shared" si="33"/>
        <v>0</v>
      </c>
      <c r="G269" s="41">
        <f t="shared" si="33"/>
        <v>55976.711476623634</v>
      </c>
      <c r="H269" s="41">
        <f t="shared" si="33"/>
        <v>172650.96871500753</v>
      </c>
      <c r="I269" s="41">
        <f t="shared" si="33"/>
        <v>0</v>
      </c>
      <c r="J269" s="41">
        <f t="shared" si="33"/>
        <v>0</v>
      </c>
      <c r="K269" s="41">
        <f t="shared" si="33"/>
        <v>-9978.6908961045574</v>
      </c>
      <c r="L269" s="41">
        <f t="shared" si="33"/>
        <v>-69850.836272731904</v>
      </c>
      <c r="M269" s="41">
        <f t="shared" si="33"/>
        <v>-27710.923614067189</v>
      </c>
      <c r="N269" s="41">
        <f t="shared" si="33"/>
        <v>-38795.293059694071</v>
      </c>
      <c r="O269" s="13" t="s">
        <v>251</v>
      </c>
      <c r="P269" s="215" t="str">
        <f t="shared" ref="P269:P275" si="34">E253</f>
        <v>D3Y</v>
      </c>
      <c r="Q269" s="172"/>
      <c r="R269" s="172"/>
      <c r="S269" s="172"/>
      <c r="T269" s="172"/>
      <c r="U269" s="173"/>
    </row>
    <row r="270" spans="1:21" ht="16.95" customHeight="1" x14ac:dyDescent="0.3">
      <c r="A270" s="41">
        <f t="shared" si="27"/>
        <v>2500</v>
      </c>
      <c r="B270" s="13" t="s">
        <v>220</v>
      </c>
      <c r="C270" s="9">
        <f t="shared" ref="C270:N270" si="35">B225</f>
        <v>-26853.002062461339</v>
      </c>
      <c r="D270" s="9">
        <f t="shared" si="35"/>
        <v>-23496.376804653668</v>
      </c>
      <c r="E270" s="41">
        <f t="shared" si="35"/>
        <v>-5224.8848475576815</v>
      </c>
      <c r="F270" s="9">
        <f t="shared" si="35"/>
        <v>18287.096966451882</v>
      </c>
      <c r="G270" s="41">
        <f t="shared" si="35"/>
        <v>-84000</v>
      </c>
      <c r="H270" s="41">
        <f t="shared" si="35"/>
        <v>0</v>
      </c>
      <c r="I270" s="41">
        <f t="shared" si="35"/>
        <v>117503.41418089109</v>
      </c>
      <c r="J270" s="41">
        <f t="shared" si="35"/>
        <v>-4769.4110579027711</v>
      </c>
      <c r="K270" s="41">
        <f t="shared" si="35"/>
        <v>0</v>
      </c>
      <c r="L270" s="41">
        <f t="shared" si="35"/>
        <v>0</v>
      </c>
      <c r="M270" s="41">
        <f t="shared" si="35"/>
        <v>-1425.52727087208</v>
      </c>
      <c r="N270" s="41">
        <f t="shared" si="35"/>
        <v>9978.6908961045574</v>
      </c>
      <c r="O270" s="13" t="s">
        <v>251</v>
      </c>
      <c r="P270" s="215" t="str">
        <f t="shared" si="34"/>
        <v>D4X</v>
      </c>
      <c r="Q270" s="172"/>
      <c r="R270" s="172"/>
      <c r="S270" s="172"/>
      <c r="T270" s="172"/>
      <c r="U270" s="173"/>
    </row>
    <row r="271" spans="1:21" ht="16.95" customHeight="1" x14ac:dyDescent="0.3">
      <c r="A271" s="41">
        <f t="shared" si="27"/>
        <v>-3000</v>
      </c>
      <c r="C271" s="9">
        <f t="shared" ref="C271:N271" si="36">B226</f>
        <v>-23496.376804653668</v>
      </c>
      <c r="D271" s="9">
        <f t="shared" si="36"/>
        <v>-20559.329704071959</v>
      </c>
      <c r="E271" s="41">
        <f t="shared" si="36"/>
        <v>18287.096966451882</v>
      </c>
      <c r="F271" s="9">
        <f t="shared" si="36"/>
        <v>-64004.839382581587</v>
      </c>
      <c r="G271" s="41">
        <f t="shared" si="36"/>
        <v>0</v>
      </c>
      <c r="H271" s="41">
        <f t="shared" si="36"/>
        <v>0</v>
      </c>
      <c r="I271" s="41">
        <f t="shared" si="36"/>
        <v>-4769.4110579027711</v>
      </c>
      <c r="J271" s="41">
        <f t="shared" si="36"/>
        <v>154415.00535938545</v>
      </c>
      <c r="K271" s="41">
        <f t="shared" si="36"/>
        <v>0</v>
      </c>
      <c r="L271" s="41">
        <f t="shared" si="36"/>
        <v>0</v>
      </c>
      <c r="M271" s="41">
        <f t="shared" si="36"/>
        <v>9978.6908961045574</v>
      </c>
      <c r="N271" s="41">
        <f t="shared" si="36"/>
        <v>-69850.836272731904</v>
      </c>
      <c r="O271" s="13" t="s">
        <v>251</v>
      </c>
      <c r="P271" s="215" t="str">
        <f t="shared" si="34"/>
        <v>D4Y</v>
      </c>
      <c r="Q271" s="172"/>
      <c r="R271" s="172"/>
      <c r="S271" s="172"/>
      <c r="T271" s="172"/>
      <c r="U271" s="173"/>
    </row>
    <row r="272" spans="1:21" ht="16.95" customHeight="1" x14ac:dyDescent="0.3">
      <c r="A272" s="41">
        <f t="shared" si="27"/>
        <v>3500</v>
      </c>
      <c r="C272" s="9">
        <f t="shared" ref="C272:N272" si="37">B227</f>
        <v>0</v>
      </c>
      <c r="D272" s="9">
        <f t="shared" si="37"/>
        <v>0</v>
      </c>
      <c r="E272" s="41">
        <f t="shared" si="37"/>
        <v>0</v>
      </c>
      <c r="F272" s="9">
        <f t="shared" si="37"/>
        <v>0</v>
      </c>
      <c r="G272" s="41">
        <f t="shared" si="37"/>
        <v>-1425.52727087208</v>
      </c>
      <c r="H272" s="41">
        <f t="shared" si="37"/>
        <v>-9978.6908961045574</v>
      </c>
      <c r="I272" s="41">
        <f t="shared" si="37"/>
        <v>0</v>
      </c>
      <c r="J272" s="41">
        <f t="shared" si="37"/>
        <v>0</v>
      </c>
      <c r="K272" s="41">
        <f t="shared" si="37"/>
        <v>127425.52727087207</v>
      </c>
      <c r="L272" s="41">
        <f t="shared" si="37"/>
        <v>9978.6908961045574</v>
      </c>
      <c r="M272" s="41">
        <f t="shared" si="37"/>
        <v>-126000</v>
      </c>
      <c r="N272" s="41">
        <f t="shared" si="37"/>
        <v>0</v>
      </c>
      <c r="O272" s="13" t="s">
        <v>251</v>
      </c>
      <c r="P272" s="215" t="str">
        <f t="shared" si="34"/>
        <v>D5X</v>
      </c>
      <c r="Q272" s="172"/>
      <c r="R272" s="172"/>
      <c r="S272" s="172"/>
      <c r="T272" s="172"/>
      <c r="U272" s="173"/>
    </row>
    <row r="273" spans="1:21" ht="16.95" customHeight="1" x14ac:dyDescent="0.3">
      <c r="A273" s="41">
        <f t="shared" si="27"/>
        <v>-2500</v>
      </c>
      <c r="C273" s="9">
        <f t="shared" ref="C273:N273" si="38">B228</f>
        <v>0</v>
      </c>
      <c r="D273" s="9">
        <f t="shared" si="38"/>
        <v>0</v>
      </c>
      <c r="E273" s="41">
        <f t="shared" si="38"/>
        <v>0</v>
      </c>
      <c r="F273" s="9">
        <f t="shared" si="38"/>
        <v>0</v>
      </c>
      <c r="G273" s="41">
        <f t="shared" si="38"/>
        <v>-9978.6908961045574</v>
      </c>
      <c r="H273" s="41">
        <f t="shared" si="38"/>
        <v>-69850.836272731904</v>
      </c>
      <c r="I273" s="41">
        <f t="shared" si="38"/>
        <v>0</v>
      </c>
      <c r="J273" s="41">
        <f t="shared" si="38"/>
        <v>0</v>
      </c>
      <c r="K273" s="41">
        <f t="shared" si="38"/>
        <v>9978.6908961045574</v>
      </c>
      <c r="L273" s="41">
        <f t="shared" si="38"/>
        <v>69850.836272731904</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3500</v>
      </c>
      <c r="C274" s="9">
        <f t="shared" ref="C274:N274" si="39">B229</f>
        <v>0</v>
      </c>
      <c r="D274" s="9">
        <f t="shared" si="39"/>
        <v>0</v>
      </c>
      <c r="E274" s="41">
        <f t="shared" si="39"/>
        <v>0</v>
      </c>
      <c r="F274" s="9">
        <f t="shared" si="39"/>
        <v>0</v>
      </c>
      <c r="G274" s="41">
        <f t="shared" si="39"/>
        <v>-19793.516867190847</v>
      </c>
      <c r="H274" s="41">
        <f t="shared" si="39"/>
        <v>-27710.923614067189</v>
      </c>
      <c r="I274" s="41">
        <f t="shared" si="39"/>
        <v>-1425.52727087208</v>
      </c>
      <c r="J274" s="41">
        <f t="shared" si="39"/>
        <v>9978.6908961045574</v>
      </c>
      <c r="K274" s="41">
        <f t="shared" si="39"/>
        <v>-126000</v>
      </c>
      <c r="L274" s="41">
        <f t="shared" si="39"/>
        <v>0</v>
      </c>
      <c r="M274" s="41">
        <f t="shared" si="39"/>
        <v>147219.04413806292</v>
      </c>
      <c r="N274" s="41">
        <f t="shared" si="39"/>
        <v>17732.23271796263</v>
      </c>
      <c r="O274" s="13" t="s">
        <v>251</v>
      </c>
      <c r="P274" s="215" t="str">
        <f t="shared" si="34"/>
        <v>D6X</v>
      </c>
      <c r="Q274" s="172"/>
      <c r="R274" s="172"/>
      <c r="S274" s="172"/>
      <c r="T274" s="172"/>
      <c r="U274" s="173"/>
    </row>
    <row r="275" spans="1:21" ht="16.95" customHeight="1" x14ac:dyDescent="0.3">
      <c r="A275" s="41">
        <f t="shared" si="27"/>
        <v>-2500</v>
      </c>
      <c r="C275" s="9">
        <f t="shared" ref="C275:N275" si="40">B230</f>
        <v>0</v>
      </c>
      <c r="D275" s="9">
        <f t="shared" si="40"/>
        <v>0</v>
      </c>
      <c r="E275" s="41">
        <f t="shared" si="40"/>
        <v>0</v>
      </c>
      <c r="F275" s="9">
        <f t="shared" si="40"/>
        <v>0</v>
      </c>
      <c r="G275" s="41">
        <f t="shared" si="40"/>
        <v>-27710.923614067189</v>
      </c>
      <c r="H275" s="41">
        <f t="shared" si="40"/>
        <v>-38795.293059694071</v>
      </c>
      <c r="I275" s="41">
        <f t="shared" si="40"/>
        <v>9978.6908961045574</v>
      </c>
      <c r="J275" s="41">
        <f t="shared" si="40"/>
        <v>-69850.836272731904</v>
      </c>
      <c r="K275" s="41">
        <f t="shared" si="40"/>
        <v>0</v>
      </c>
      <c r="L275" s="41">
        <f t="shared" si="40"/>
        <v>0</v>
      </c>
      <c r="M275" s="41">
        <f t="shared" si="40"/>
        <v>17732.23271796263</v>
      </c>
      <c r="N275" s="41">
        <f t="shared" si="40"/>
        <v>108646.12933242598</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55624.884847557681</v>
      </c>
      <c r="D280" s="41">
        <f t="shared" si="42"/>
        <v>0</v>
      </c>
      <c r="E280" s="41">
        <f t="shared" si="42"/>
        <v>0</v>
      </c>
      <c r="F280" s="41">
        <f t="shared" si="42"/>
        <v>-5224.8848475576815</v>
      </c>
      <c r="G280" s="41">
        <f t="shared" si="42"/>
        <v>18287.096966451882</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2500</v>
      </c>
      <c r="C281" s="41">
        <f t="shared" si="42"/>
        <v>0</v>
      </c>
      <c r="D281" s="41">
        <f t="shared" si="42"/>
        <v>110443.9289856206</v>
      </c>
      <c r="E281" s="41">
        <f t="shared" si="42"/>
        <v>55976.711476623634</v>
      </c>
      <c r="F281" s="41">
        <f t="shared" si="42"/>
        <v>-84000</v>
      </c>
      <c r="G281" s="41">
        <f t="shared" si="42"/>
        <v>0</v>
      </c>
      <c r="H281" s="41">
        <f t="shared" si="42"/>
        <v>-1425.52727087208</v>
      </c>
      <c r="I281" s="41">
        <f t="shared" si="42"/>
        <v>-9978.6908961045574</v>
      </c>
      <c r="J281" s="41">
        <f t="shared" si="42"/>
        <v>-19793.516867190847</v>
      </c>
      <c r="K281" s="41">
        <f t="shared" si="42"/>
        <v>-27710.923614067189</v>
      </c>
      <c r="L281" s="13" t="s">
        <v>251</v>
      </c>
      <c r="M281" s="38" t="str">
        <f>INDEX(B$248:B$259, MATCH(2, F$248:F$259, 0))</f>
        <v>D3X</v>
      </c>
      <c r="N281" s="14" t="str">
        <f>INDEX(C$248:C$259, MATCH(2, F$248:F$259, 0))</f>
        <v>U3X</v>
      </c>
      <c r="P281" s="215" t="s">
        <v>385</v>
      </c>
      <c r="Q281" s="172"/>
      <c r="R281" s="172"/>
      <c r="S281" s="172"/>
      <c r="T281" s="172"/>
      <c r="U281" s="173"/>
    </row>
    <row r="282" spans="1:21" ht="16.95" customHeight="1" x14ac:dyDescent="0.3">
      <c r="A282" s="41">
        <f t="shared" si="41"/>
        <v>-3000</v>
      </c>
      <c r="C282" s="41">
        <f t="shared" si="42"/>
        <v>0</v>
      </c>
      <c r="D282" s="41">
        <f t="shared" si="42"/>
        <v>55976.711476623634</v>
      </c>
      <c r="E282" s="41">
        <f t="shared" si="42"/>
        <v>172650.96871500753</v>
      </c>
      <c r="F282" s="41">
        <f t="shared" si="42"/>
        <v>0</v>
      </c>
      <c r="G282" s="41">
        <f t="shared" si="42"/>
        <v>0</v>
      </c>
      <c r="H282" s="41">
        <f t="shared" si="42"/>
        <v>-9978.6908961045574</v>
      </c>
      <c r="I282" s="41">
        <f t="shared" si="42"/>
        <v>-69850.836272731904</v>
      </c>
      <c r="J282" s="41">
        <f t="shared" si="42"/>
        <v>-27710.923614067189</v>
      </c>
      <c r="K282" s="41">
        <f t="shared" si="42"/>
        <v>-38795.293059694071</v>
      </c>
      <c r="L282" s="13" t="s">
        <v>251</v>
      </c>
      <c r="M282" s="38" t="str">
        <f>INDEX(B$248:B$259, MATCH(3, F$248:F$259, 0))</f>
        <v>D3Y</v>
      </c>
      <c r="N282" s="14" t="str">
        <f>INDEX(C$248:C$259, MATCH(3, F$248:F$259, 0))</f>
        <v>U3Y</v>
      </c>
      <c r="P282" s="215" t="s">
        <v>386</v>
      </c>
      <c r="Q282" s="172"/>
      <c r="R282" s="172"/>
      <c r="S282" s="172"/>
      <c r="T282" s="172"/>
      <c r="U282" s="173"/>
    </row>
    <row r="283" spans="1:21" ht="16.95" customHeight="1" x14ac:dyDescent="0.3">
      <c r="A283" s="41">
        <f t="shared" si="41"/>
        <v>2500</v>
      </c>
      <c r="C283" s="41">
        <f t="shared" si="42"/>
        <v>-5224.8848475576815</v>
      </c>
      <c r="D283" s="41">
        <f t="shared" si="42"/>
        <v>-84000</v>
      </c>
      <c r="E283" s="41">
        <f t="shared" si="42"/>
        <v>0</v>
      </c>
      <c r="F283" s="41">
        <f t="shared" si="42"/>
        <v>117503.41418089109</v>
      </c>
      <c r="G283" s="41">
        <f t="shared" si="42"/>
        <v>-4769.4110579027711</v>
      </c>
      <c r="H283" s="41">
        <f t="shared" si="42"/>
        <v>0</v>
      </c>
      <c r="I283" s="41">
        <f t="shared" si="42"/>
        <v>0</v>
      </c>
      <c r="J283" s="41">
        <f t="shared" si="42"/>
        <v>-1425.52727087208</v>
      </c>
      <c r="K283" s="41">
        <f t="shared" si="42"/>
        <v>9978.6908961045574</v>
      </c>
      <c r="L283" s="13" t="s">
        <v>251</v>
      </c>
      <c r="M283" s="38" t="str">
        <f>INDEX(B$248:B$259, MATCH(4, F$248:F$259, 0))</f>
        <v>D4X</v>
      </c>
      <c r="N283" s="14" t="str">
        <f>INDEX(C$248:C$259, MATCH(4, F$248:F$259, 0))</f>
        <v>U4X</v>
      </c>
      <c r="P283" s="215" t="s">
        <v>387</v>
      </c>
      <c r="Q283" s="172"/>
      <c r="R283" s="172"/>
      <c r="S283" s="172"/>
      <c r="T283" s="172"/>
      <c r="U283" s="173"/>
    </row>
    <row r="284" spans="1:21" ht="16.95" customHeight="1" x14ac:dyDescent="0.3">
      <c r="A284" s="41">
        <f t="shared" si="41"/>
        <v>-3000</v>
      </c>
      <c r="B284" s="13" t="s">
        <v>220</v>
      </c>
      <c r="C284" s="41">
        <f t="shared" si="42"/>
        <v>18287.096966451882</v>
      </c>
      <c r="D284" s="41">
        <f t="shared" si="42"/>
        <v>0</v>
      </c>
      <c r="E284" s="41">
        <f t="shared" si="42"/>
        <v>0</v>
      </c>
      <c r="F284" s="41">
        <f t="shared" si="42"/>
        <v>-4769.4110579027711</v>
      </c>
      <c r="G284" s="41">
        <f t="shared" si="42"/>
        <v>154415.00535938545</v>
      </c>
      <c r="H284" s="41">
        <f t="shared" si="42"/>
        <v>0</v>
      </c>
      <c r="I284" s="41">
        <f t="shared" si="42"/>
        <v>0</v>
      </c>
      <c r="J284" s="41">
        <f t="shared" si="42"/>
        <v>9978.6908961045574</v>
      </c>
      <c r="K284" s="41">
        <f t="shared" si="42"/>
        <v>-69850.836272731904</v>
      </c>
      <c r="L284" s="13" t="s">
        <v>251</v>
      </c>
      <c r="M284" s="38" t="str">
        <f>INDEX(B$248:B$259, MATCH(5, F$248:F$259, 0))</f>
        <v>D4Y</v>
      </c>
      <c r="N284" s="14" t="str">
        <f>INDEX(C$248:C$259, MATCH(5, F$248:F$259, 0))</f>
        <v>U4Y</v>
      </c>
      <c r="P284" s="215" t="s">
        <v>388</v>
      </c>
      <c r="Q284" s="172"/>
      <c r="R284" s="172"/>
      <c r="S284" s="172"/>
      <c r="T284" s="172"/>
      <c r="U284" s="173"/>
    </row>
    <row r="285" spans="1:21" ht="16.95" customHeight="1" x14ac:dyDescent="0.3">
      <c r="A285" s="41">
        <f t="shared" si="41"/>
        <v>3500</v>
      </c>
      <c r="C285" s="41">
        <f t="shared" si="42"/>
        <v>0</v>
      </c>
      <c r="D285" s="41">
        <f t="shared" si="42"/>
        <v>-1425.52727087208</v>
      </c>
      <c r="E285" s="41">
        <f t="shared" si="42"/>
        <v>-9978.6908961045574</v>
      </c>
      <c r="F285" s="41">
        <f t="shared" si="42"/>
        <v>0</v>
      </c>
      <c r="G285" s="41">
        <f t="shared" si="42"/>
        <v>0</v>
      </c>
      <c r="H285" s="41">
        <f t="shared" si="42"/>
        <v>127425.52727087207</v>
      </c>
      <c r="I285" s="41">
        <f t="shared" si="42"/>
        <v>9978.6908961045574</v>
      </c>
      <c r="J285" s="41">
        <f t="shared" si="42"/>
        <v>-126000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-2500</v>
      </c>
      <c r="C286" s="41">
        <f t="shared" si="42"/>
        <v>0</v>
      </c>
      <c r="D286" s="41">
        <f t="shared" si="42"/>
        <v>-9978.6908961045574</v>
      </c>
      <c r="E286" s="41">
        <f t="shared" si="42"/>
        <v>-69850.836272731904</v>
      </c>
      <c r="F286" s="41">
        <f t="shared" si="42"/>
        <v>0</v>
      </c>
      <c r="G286" s="41">
        <f t="shared" si="42"/>
        <v>0</v>
      </c>
      <c r="H286" s="41">
        <f t="shared" si="42"/>
        <v>9978.6908961045574</v>
      </c>
      <c r="I286" s="41">
        <f t="shared" si="42"/>
        <v>69850.836272731904</v>
      </c>
      <c r="J286" s="41">
        <f t="shared" si="42"/>
        <v>0</v>
      </c>
      <c r="K286" s="41">
        <f t="shared" si="42"/>
        <v>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3500</v>
      </c>
      <c r="C287" s="41">
        <f t="shared" si="42"/>
        <v>0</v>
      </c>
      <c r="D287" s="41">
        <f t="shared" si="42"/>
        <v>-19793.516867190847</v>
      </c>
      <c r="E287" s="41">
        <f t="shared" si="42"/>
        <v>-27710.923614067189</v>
      </c>
      <c r="F287" s="41">
        <f t="shared" si="42"/>
        <v>-1425.52727087208</v>
      </c>
      <c r="G287" s="41">
        <f t="shared" si="42"/>
        <v>9978.6908961045574</v>
      </c>
      <c r="H287" s="41">
        <f t="shared" si="42"/>
        <v>-126000</v>
      </c>
      <c r="I287" s="41">
        <f t="shared" si="42"/>
        <v>0</v>
      </c>
      <c r="J287" s="41">
        <f t="shared" si="42"/>
        <v>147219.04413806292</v>
      </c>
      <c r="K287" s="41">
        <f t="shared" si="42"/>
        <v>17732.23271796263</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-2500</v>
      </c>
      <c r="C288" s="41">
        <f t="shared" si="42"/>
        <v>0</v>
      </c>
      <c r="D288" s="41">
        <f t="shared" si="42"/>
        <v>-27710.923614067189</v>
      </c>
      <c r="E288" s="41">
        <f t="shared" si="42"/>
        <v>-38795.293059694071</v>
      </c>
      <c r="F288" s="41">
        <f t="shared" si="42"/>
        <v>9978.6908961045574</v>
      </c>
      <c r="G288" s="41">
        <f t="shared" si="42"/>
        <v>-69850.836272731904</v>
      </c>
      <c r="H288" s="41">
        <f t="shared" si="42"/>
        <v>0</v>
      </c>
      <c r="I288" s="41">
        <f t="shared" si="42"/>
        <v>0</v>
      </c>
      <c r="J288" s="41">
        <f t="shared" si="42"/>
        <v>17732.23271796263</v>
      </c>
      <c r="K288" s="41">
        <f t="shared" si="42"/>
        <v>108646.12933242598</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1.9841269841269841E-5</v>
      </c>
      <c r="D292" s="93">
        <v>3.9682539682539757E-6</v>
      </c>
      <c r="E292" s="93">
        <v>-1.1337868480725628E-6</v>
      </c>
      <c r="F292" s="93">
        <v>3.968253968253974E-6</v>
      </c>
      <c r="G292" s="93">
        <v>-4.5351473922902502E-6</v>
      </c>
      <c r="H292" s="93">
        <v>7.9365079365079514E-6</v>
      </c>
      <c r="I292" s="93">
        <v>-1.7006802721088453E-6</v>
      </c>
      <c r="J292" s="93">
        <v>7.9365079365079514E-6</v>
      </c>
      <c r="K292" s="93">
        <v>-3.9682539682539706E-6</v>
      </c>
      <c r="M292" s="17">
        <f t="shared" ref="M292:M300" si="44">A280</f>
        <v>0</v>
      </c>
      <c r="P292" s="215"/>
      <c r="Q292" s="172"/>
      <c r="R292" s="172"/>
      <c r="S292" s="172"/>
      <c r="T292" s="172"/>
      <c r="U292" s="173"/>
    </row>
    <row r="293" spans="1:21" ht="16.95" customHeight="1" x14ac:dyDescent="0.3">
      <c r="A293" s="12" t="str">
        <f t="shared" si="43"/>
        <v>D3X</v>
      </c>
      <c r="C293" s="93">
        <v>3.9682539682539732E-6</v>
      </c>
      <c r="D293" s="93">
        <v>4.4187545654184226E-5</v>
      </c>
      <c r="E293" s="93">
        <v>-1.2625013044052638E-5</v>
      </c>
      <c r="F293" s="93">
        <v>3.2282783749422323E-5</v>
      </c>
      <c r="G293" s="93">
        <v>-2.8468073678483909E-6</v>
      </c>
      <c r="H293" s="93">
        <v>3.0795512047818987E-5</v>
      </c>
      <c r="I293" s="93">
        <v>-1.0711865386000459E-5</v>
      </c>
      <c r="J293" s="93">
        <v>3.0795512047818987E-5</v>
      </c>
      <c r="K293" s="93">
        <v>-3.0592747537917305E-6</v>
      </c>
      <c r="M293" s="17">
        <f t="shared" si="44"/>
        <v>2500</v>
      </c>
      <c r="P293" s="215"/>
      <c r="Q293" s="172"/>
      <c r="R293" s="172"/>
      <c r="S293" s="172"/>
      <c r="T293" s="172"/>
      <c r="U293" s="173"/>
    </row>
    <row r="294" spans="1:21" ht="16.95" customHeight="1" x14ac:dyDescent="0.3">
      <c r="A294" s="12" t="str">
        <f t="shared" si="43"/>
        <v>D3Y</v>
      </c>
      <c r="C294" s="93">
        <v>-1.1337868480725621E-6</v>
      </c>
      <c r="D294" s="93">
        <v>-1.2625013044052639E-5</v>
      </c>
      <c r="E294" s="93">
        <v>1.9230965183458988E-5</v>
      </c>
      <c r="F294" s="93">
        <v>-9.2236524998349467E-6</v>
      </c>
      <c r="G294" s="93">
        <v>8.1337353367096448E-7</v>
      </c>
      <c r="H294" s="93">
        <v>9.4290706380696859E-6</v>
      </c>
      <c r="I294" s="93">
        <v>1.6080381800298664E-5</v>
      </c>
      <c r="J294" s="93">
        <v>9.4290706380696859E-6</v>
      </c>
      <c r="K294" s="93">
        <v>3.4780482676573389E-6</v>
      </c>
      <c r="M294" s="17">
        <f t="shared" si="44"/>
        <v>-3000</v>
      </c>
      <c r="P294" s="215"/>
      <c r="Q294" s="172"/>
      <c r="R294" s="172"/>
      <c r="S294" s="172"/>
      <c r="T294" s="172"/>
      <c r="U294" s="173"/>
    </row>
    <row r="295" spans="1:21" ht="16.95" customHeight="1" x14ac:dyDescent="0.3">
      <c r="A295" s="12" t="str">
        <f t="shared" si="43"/>
        <v>D4X</v>
      </c>
      <c r="C295" s="93">
        <v>3.9682539682539723E-6</v>
      </c>
      <c r="D295" s="93">
        <v>3.2282783749422323E-5</v>
      </c>
      <c r="E295" s="93">
        <v>-9.2236524998349467E-6</v>
      </c>
      <c r="F295" s="93">
        <v>3.2282783749422309E-5</v>
      </c>
      <c r="G295" s="93">
        <v>-2.8468073678483883E-6</v>
      </c>
      <c r="H295" s="93">
        <v>2.4843131095438022E-5</v>
      </c>
      <c r="I295" s="93">
        <v>-8.1608449778371911E-6</v>
      </c>
      <c r="J295" s="93">
        <v>2.4843131095438022E-5</v>
      </c>
      <c r="K295" s="93">
        <v>-3.9096148898461494E-6</v>
      </c>
      <c r="M295" s="17">
        <f t="shared" si="44"/>
        <v>2500</v>
      </c>
      <c r="P295" s="215"/>
      <c r="Q295" s="172"/>
      <c r="R295" s="172"/>
      <c r="S295" s="172"/>
      <c r="T295" s="172"/>
      <c r="U295" s="173"/>
    </row>
    <row r="296" spans="1:21" ht="16.95" customHeight="1" x14ac:dyDescent="0.3">
      <c r="A296" s="12" t="str">
        <f t="shared" si="43"/>
        <v>D4Y</v>
      </c>
      <c r="B296" s="13" t="s">
        <v>220</v>
      </c>
      <c r="C296" s="93">
        <v>-4.5351473922902511E-6</v>
      </c>
      <c r="D296" s="93">
        <v>-2.8468073678483909E-6</v>
      </c>
      <c r="E296" s="93">
        <v>8.1337353367096448E-7</v>
      </c>
      <c r="F296" s="93">
        <v>-2.8468073678483883E-6</v>
      </c>
      <c r="G296" s="93">
        <v>1.2981437743681399E-5</v>
      </c>
      <c r="H296" s="93">
        <v>-1.7042882279527249E-5</v>
      </c>
      <c r="I296" s="93">
        <v>2.8413842353393728E-6</v>
      </c>
      <c r="J296" s="93">
        <v>-1.7042882279527249E-5</v>
      </c>
      <c r="K296" s="93">
        <v>1.0953427042012998E-5</v>
      </c>
      <c r="M296" s="17">
        <f t="shared" si="44"/>
        <v>-3000</v>
      </c>
      <c r="P296" s="215"/>
      <c r="Q296" s="172"/>
      <c r="R296" s="172"/>
      <c r="S296" s="172"/>
      <c r="T296" s="172"/>
      <c r="U296" s="173"/>
    </row>
    <row r="297" spans="1:21" ht="16.95" customHeight="1" x14ac:dyDescent="0.3">
      <c r="A297" s="12" t="str">
        <f t="shared" si="43"/>
        <v>D5X</v>
      </c>
      <c r="C297" s="93">
        <v>7.9365079365079514E-6</v>
      </c>
      <c r="D297" s="93">
        <v>3.0795512047818987E-5</v>
      </c>
      <c r="E297" s="93">
        <v>9.4290706380696876E-6</v>
      </c>
      <c r="F297" s="93">
        <v>2.4843131095438025E-5</v>
      </c>
      <c r="G297" s="93">
        <v>-1.7042882279527249E-5</v>
      </c>
      <c r="H297" s="93">
        <v>1.2319430832835924E-4</v>
      </c>
      <c r="I297" s="93">
        <v>-3.7707574020074884E-6</v>
      </c>
      <c r="J297" s="93">
        <v>1.1525780039185131E-4</v>
      </c>
      <c r="K297" s="93">
        <v>-2.082875863255638E-5</v>
      </c>
      <c r="M297" s="17">
        <f t="shared" si="44"/>
        <v>3500</v>
      </c>
      <c r="P297" s="215"/>
      <c r="Q297" s="172"/>
      <c r="R297" s="172"/>
      <c r="S297" s="172"/>
      <c r="T297" s="172"/>
      <c r="U297" s="173"/>
    </row>
    <row r="298" spans="1:21" ht="16.95" customHeight="1" x14ac:dyDescent="0.3">
      <c r="A298" s="12" t="str">
        <f t="shared" si="43"/>
        <v>D5Y</v>
      </c>
      <c r="C298" s="93">
        <v>-1.7006802721088449E-6</v>
      </c>
      <c r="D298" s="93">
        <v>-1.071186538600046E-5</v>
      </c>
      <c r="E298" s="93">
        <v>1.6080381800298661E-5</v>
      </c>
      <c r="F298" s="93">
        <v>-8.1608449778371911E-6</v>
      </c>
      <c r="G298" s="93">
        <v>2.8413842353393728E-6</v>
      </c>
      <c r="H298" s="93">
        <v>-3.7707574020074927E-6</v>
      </c>
      <c r="I298" s="93">
        <v>2.940501581494665E-5</v>
      </c>
      <c r="J298" s="93">
        <v>-2.6369705539349301E-6</v>
      </c>
      <c r="K298" s="93">
        <v>6.0165459646237171E-6</v>
      </c>
      <c r="M298" s="17">
        <f t="shared" si="44"/>
        <v>-2500</v>
      </c>
      <c r="P298" s="215"/>
      <c r="Q298" s="172"/>
      <c r="R298" s="172"/>
      <c r="S298" s="172"/>
      <c r="T298" s="172"/>
      <c r="U298" s="173"/>
    </row>
    <row r="299" spans="1:21" ht="16.95" customHeight="1" x14ac:dyDescent="0.3">
      <c r="A299" s="12" t="str">
        <f t="shared" si="43"/>
        <v>D6X</v>
      </c>
      <c r="C299" s="93">
        <v>7.9365079365079497E-6</v>
      </c>
      <c r="D299" s="93">
        <v>3.0795512047818987E-5</v>
      </c>
      <c r="E299" s="93">
        <v>9.4290706380696859E-6</v>
      </c>
      <c r="F299" s="93">
        <v>2.4843131095438022E-5</v>
      </c>
      <c r="G299" s="93">
        <v>-1.7042882279527249E-5</v>
      </c>
      <c r="H299" s="93">
        <v>1.1525780039185129E-4</v>
      </c>
      <c r="I299" s="93">
        <v>-2.6369705539349263E-6</v>
      </c>
      <c r="J299" s="93">
        <v>1.1525780039185129E-4</v>
      </c>
      <c r="K299" s="93">
        <v>-2.082875863255638E-5</v>
      </c>
      <c r="M299" s="17">
        <f t="shared" si="44"/>
        <v>3500</v>
      </c>
      <c r="P299" s="215"/>
      <c r="Q299" s="172"/>
      <c r="R299" s="172"/>
      <c r="S299" s="172"/>
      <c r="T299" s="172"/>
      <c r="U299" s="173"/>
    </row>
    <row r="300" spans="1:21" ht="16.95" customHeight="1" x14ac:dyDescent="0.3">
      <c r="A300" s="12" t="str">
        <f t="shared" si="43"/>
        <v>D6Y</v>
      </c>
      <c r="C300" s="93">
        <v>-3.9682539682539698E-6</v>
      </c>
      <c r="D300" s="93">
        <v>-3.059274753791733E-6</v>
      </c>
      <c r="E300" s="93">
        <v>3.4780482676573381E-6</v>
      </c>
      <c r="F300" s="93">
        <v>-3.9096148898461503E-6</v>
      </c>
      <c r="G300" s="93">
        <v>1.0953427042012997E-5</v>
      </c>
      <c r="H300" s="93">
        <v>-2.0828758632556387E-5</v>
      </c>
      <c r="I300" s="93">
        <v>6.016545964623718E-6</v>
      </c>
      <c r="J300" s="93">
        <v>-2.0828758632556387E-5</v>
      </c>
      <c r="K300" s="93">
        <v>2.0466590565260215E-5</v>
      </c>
      <c r="M300" s="17">
        <f t="shared" si="44"/>
        <v>-2500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0.10657596371882101</v>
      </c>
      <c r="D304" s="12" t="s">
        <v>267</v>
      </c>
      <c r="P304" s="215"/>
      <c r="Q304" s="172"/>
      <c r="R304" s="172"/>
      <c r="S304" s="172"/>
      <c r="T304" s="172"/>
      <c r="U304" s="173"/>
    </row>
    <row r="305" spans="1:21" ht="16.95" customHeight="1" x14ac:dyDescent="0.3">
      <c r="A305" s="12" t="str">
        <f t="shared" si="45"/>
        <v>D3X</v>
      </c>
      <c r="C305" s="94">
        <v>0.48758771942893286</v>
      </c>
      <c r="D305" s="12" t="s">
        <v>267</v>
      </c>
      <c r="P305" s="215"/>
      <c r="Q305" s="172"/>
      <c r="R305" s="172"/>
      <c r="S305" s="172"/>
      <c r="T305" s="172"/>
      <c r="U305" s="173"/>
    </row>
    <row r="306" spans="1:21" ht="16.95" customHeight="1" x14ac:dyDescent="0.3">
      <c r="A306" s="12" t="str">
        <f t="shared" si="45"/>
        <v>D3Y</v>
      </c>
      <c r="C306" s="94">
        <v>-9.7647260714511047E-2</v>
      </c>
      <c r="D306" s="12" t="s">
        <v>267</v>
      </c>
      <c r="P306" s="215"/>
      <c r="Q306" s="172"/>
      <c r="R306" s="172"/>
      <c r="S306" s="172"/>
      <c r="T306" s="172"/>
      <c r="U306" s="173"/>
    </row>
    <row r="307" spans="1:21" ht="16.95" customHeight="1" x14ac:dyDescent="0.3">
      <c r="A307" s="12" t="str">
        <f t="shared" si="45"/>
        <v>D4X</v>
      </c>
      <c r="C307" s="94">
        <v>0.40170336568743614</v>
      </c>
      <c r="D307" s="12" t="s">
        <v>267</v>
      </c>
      <c r="P307" s="215"/>
      <c r="Q307" s="172"/>
      <c r="R307" s="172"/>
      <c r="S307" s="172"/>
      <c r="T307" s="172"/>
      <c r="U307" s="173"/>
    </row>
    <row r="308" spans="1:21" ht="16.95" customHeight="1" x14ac:dyDescent="0.3">
      <c r="A308" s="12" t="str">
        <f t="shared" si="45"/>
        <v>D4Y</v>
      </c>
      <c r="B308" s="13" t="s">
        <v>220</v>
      </c>
      <c r="C308" s="94">
        <v>-0.20940567482137071</v>
      </c>
      <c r="D308" s="12" t="s">
        <v>267</v>
      </c>
      <c r="P308" s="215"/>
      <c r="Q308" s="172"/>
      <c r="R308" s="172"/>
      <c r="S308" s="172"/>
      <c r="T308" s="172"/>
      <c r="U308" s="173"/>
    </row>
    <row r="309" spans="1:21" ht="16.95" customHeight="1" x14ac:dyDescent="0.3">
      <c r="A309" s="12" t="str">
        <f t="shared" si="45"/>
        <v>D5X</v>
      </c>
      <c r="C309" s="94">
        <v>1.0580192133896615</v>
      </c>
      <c r="D309" s="12" t="s">
        <v>267</v>
      </c>
      <c r="P309" s="215"/>
      <c r="Q309" s="172"/>
      <c r="R309" s="172"/>
      <c r="S309" s="172"/>
      <c r="T309" s="172"/>
      <c r="U309" s="173"/>
    </row>
    <row r="310" spans="1:21" ht="16.95" customHeight="1" x14ac:dyDescent="0.3">
      <c r="A310" s="12" t="str">
        <f t="shared" si="45"/>
        <v>D5Y</v>
      </c>
      <c r="C310" s="94">
        <v>-0.21492802631123262</v>
      </c>
      <c r="D310" s="12" t="s">
        <v>267</v>
      </c>
      <c r="P310" s="215"/>
      <c r="Q310" s="172"/>
      <c r="R310" s="172"/>
      <c r="S310" s="172"/>
      <c r="T310" s="172"/>
      <c r="U310" s="173"/>
    </row>
    <row r="311" spans="1:21" ht="16.95" customHeight="1" x14ac:dyDescent="0.3">
      <c r="A311" s="12" t="str">
        <f t="shared" si="45"/>
        <v>D6X</v>
      </c>
      <c r="C311" s="94">
        <v>1.0274069684917027</v>
      </c>
      <c r="D311" s="12" t="s">
        <v>267</v>
      </c>
      <c r="P311" s="215"/>
      <c r="Q311" s="172"/>
      <c r="R311" s="172"/>
      <c r="S311" s="172"/>
      <c r="T311" s="172"/>
      <c r="U311" s="173"/>
    </row>
    <row r="312" spans="1:21" ht="16.95" customHeight="1" x14ac:dyDescent="0.3">
      <c r="A312" s="12" t="str">
        <f t="shared" si="45"/>
        <v>D6Y</v>
      </c>
      <c r="C312" s="94">
        <v>-0.27272580179071026</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-50400</v>
      </c>
      <c r="D317" s="9">
        <f t="shared" si="46"/>
        <v>-5224.8848475576815</v>
      </c>
      <c r="E317" s="9">
        <f t="shared" si="46"/>
        <v>-18287.096966451882</v>
      </c>
      <c r="F317" s="9">
        <f t="shared" si="46"/>
        <v>-26853.002062461339</v>
      </c>
      <c r="G317" s="9">
        <f t="shared" si="46"/>
        <v>-23496.376804653668</v>
      </c>
      <c r="H317" s="9">
        <f t="shared" si="46"/>
        <v>0</v>
      </c>
      <c r="I317" s="9">
        <f t="shared" si="46"/>
        <v>0</v>
      </c>
      <c r="J317" s="9">
        <f t="shared" si="46"/>
        <v>0</v>
      </c>
      <c r="K317" s="9">
        <f t="shared" si="46"/>
        <v>0</v>
      </c>
      <c r="M317" s="95">
        <f t="shared" ref="M317:M325" si="47">C304</f>
        <v>0.10657596371882101</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-18287.096966451882</v>
      </c>
      <c r="E318" s="9">
        <f t="shared" si="46"/>
        <v>-64004.839382581587</v>
      </c>
      <c r="F318" s="9">
        <f t="shared" si="46"/>
        <v>-23496.376804653668</v>
      </c>
      <c r="G318" s="9">
        <f t="shared" si="46"/>
        <v>-20559.329704071959</v>
      </c>
      <c r="H318" s="9">
        <f t="shared" si="46"/>
        <v>0</v>
      </c>
      <c r="I318" s="9">
        <f t="shared" si="46"/>
        <v>0</v>
      </c>
      <c r="J318" s="9">
        <f t="shared" si="46"/>
        <v>0</v>
      </c>
      <c r="K318" s="9">
        <f t="shared" si="46"/>
        <v>0</v>
      </c>
      <c r="M318" s="95">
        <f t="shared" si="47"/>
        <v>0.48758771942893286</v>
      </c>
      <c r="N318" s="14" t="str">
        <f>INDEX(C$248:C$259, MATCH(2, G$248:G$259, 0))</f>
        <v>U1Y</v>
      </c>
      <c r="P318" s="215" t="s">
        <v>391</v>
      </c>
      <c r="Q318" s="172"/>
      <c r="R318" s="172"/>
      <c r="S318" s="172"/>
      <c r="T318" s="172"/>
      <c r="U318" s="173"/>
    </row>
    <row r="319" spans="1:21" ht="16.95" customHeight="1" x14ac:dyDescent="0.3">
      <c r="A319" s="18" t="str">
        <f>INDEX(B$234:B$245, MATCH(N319, C$234:C$245, 0))</f>
        <v>C2Y</v>
      </c>
      <c r="C319" s="9">
        <f t="shared" si="46"/>
        <v>-18287.096966451882</v>
      </c>
      <c r="D319" s="9">
        <f t="shared" si="46"/>
        <v>0</v>
      </c>
      <c r="E319" s="9">
        <f t="shared" si="46"/>
        <v>0</v>
      </c>
      <c r="F319" s="9">
        <f t="shared" si="46"/>
        <v>18287.096966451882</v>
      </c>
      <c r="G319" s="9">
        <f t="shared" si="46"/>
        <v>-64004.839382581587</v>
      </c>
      <c r="H319" s="9">
        <f t="shared" si="46"/>
        <v>0</v>
      </c>
      <c r="I319" s="9">
        <f t="shared" si="46"/>
        <v>0</v>
      </c>
      <c r="J319" s="9">
        <f t="shared" si="46"/>
        <v>0</v>
      </c>
      <c r="K319" s="9">
        <f t="shared" si="46"/>
        <v>0</v>
      </c>
      <c r="M319" s="95">
        <f t="shared" si="47"/>
        <v>-9.7647260714511047E-2</v>
      </c>
      <c r="N319" s="14" t="str">
        <f>INDEX(C$248:C$259, MATCH(3, G$248:G$259, 0))</f>
        <v>U2Y</v>
      </c>
      <c r="P319" s="215" t="s">
        <v>392</v>
      </c>
      <c r="Q319" s="172"/>
      <c r="R319" s="172"/>
      <c r="S319" s="172"/>
      <c r="T319" s="172"/>
      <c r="U319" s="173"/>
    </row>
    <row r="320" spans="1:21" ht="16.95" customHeight="1" x14ac:dyDescent="0.3">
      <c r="M320" s="95">
        <f t="shared" si="47"/>
        <v>0.40170336568743614</v>
      </c>
      <c r="P320" s="215" t="s">
        <v>393</v>
      </c>
      <c r="Q320" s="172"/>
      <c r="R320" s="172"/>
      <c r="S320" s="172"/>
      <c r="T320" s="172"/>
      <c r="U320" s="173"/>
    </row>
    <row r="321" spans="1:21" ht="16.95" customHeight="1" x14ac:dyDescent="0.3">
      <c r="M321" s="95">
        <f t="shared" si="47"/>
        <v>-0.20940567482137071</v>
      </c>
      <c r="P321" s="215" t="s">
        <v>394</v>
      </c>
      <c r="Q321" s="172"/>
      <c r="R321" s="172"/>
      <c r="S321" s="172"/>
      <c r="T321" s="172"/>
      <c r="U321" s="173"/>
    </row>
    <row r="322" spans="1:21" ht="16.95" customHeight="1" x14ac:dyDescent="0.3">
      <c r="M322" s="95">
        <f t="shared" si="47"/>
        <v>1.0580192133896615</v>
      </c>
      <c r="P322" s="215"/>
      <c r="Q322" s="172"/>
      <c r="R322" s="172"/>
      <c r="S322" s="172"/>
      <c r="T322" s="172"/>
      <c r="U322" s="173"/>
    </row>
    <row r="323" spans="1:21" ht="16.95" customHeight="1" x14ac:dyDescent="0.3">
      <c r="M323" s="95">
        <f t="shared" si="47"/>
        <v>-0.21492802631123262</v>
      </c>
      <c r="P323" s="215"/>
      <c r="Q323" s="172"/>
      <c r="R323" s="172"/>
      <c r="S323" s="172"/>
      <c r="T323" s="172"/>
      <c r="U323" s="173"/>
    </row>
    <row r="324" spans="1:21" ht="16.95" customHeight="1" x14ac:dyDescent="0.3">
      <c r="M324" s="95">
        <f t="shared" si="47"/>
        <v>1.0274069684917027</v>
      </c>
      <c r="P324" s="215"/>
      <c r="Q324" s="172"/>
      <c r="R324" s="172"/>
      <c r="S324" s="172"/>
      <c r="T324" s="172"/>
      <c r="U324" s="173"/>
    </row>
    <row r="325" spans="1:21" ht="16.95" customHeight="1" x14ac:dyDescent="0.3">
      <c r="M325" s="95">
        <f t="shared" si="47"/>
        <v>-0.27272580179071026</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-12000.000000000025</v>
      </c>
      <c r="D327" s="12" t="s">
        <v>273</v>
      </c>
      <c r="P327" s="215"/>
      <c r="Q327" s="172"/>
      <c r="R327" s="172"/>
      <c r="S327" s="172"/>
      <c r="T327" s="172"/>
      <c r="U327" s="173"/>
    </row>
    <row r="328" spans="1:21" ht="16.95" customHeight="1" x14ac:dyDescent="0.3">
      <c r="A328" s="12" t="str">
        <f>A318</f>
        <v>C1Y</v>
      </c>
      <c r="B328" s="13" t="s">
        <v>220</v>
      </c>
      <c r="C328" s="17">
        <v>-7800.0000000000255</v>
      </c>
      <c r="D328" s="12" t="s">
        <v>273</v>
      </c>
      <c r="P328" s="215"/>
      <c r="Q328" s="172"/>
      <c r="R328" s="172"/>
      <c r="S328" s="172"/>
      <c r="T328" s="172"/>
      <c r="U328" s="173"/>
    </row>
    <row r="329" spans="1:21" ht="16.95" customHeight="1" x14ac:dyDescent="0.3">
      <c r="A329" s="12" t="str">
        <f>A319</f>
        <v>C2Y</v>
      </c>
      <c r="C329" s="17">
        <v>18800.000000000029</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0.10657596371882101</v>
      </c>
    </row>
    <row r="337" spans="1:21" ht="19.05" customHeight="1" x14ac:dyDescent="0.3">
      <c r="A337" s="12" t="s">
        <v>231</v>
      </c>
      <c r="B337" s="12" t="s">
        <v>181</v>
      </c>
      <c r="D337" s="94">
        <f t="shared" si="48"/>
        <v>0</v>
      </c>
    </row>
    <row r="338" spans="1:21" ht="19.05" customHeight="1" x14ac:dyDescent="0.3">
      <c r="A338" s="12" t="s">
        <v>232</v>
      </c>
      <c r="B338" s="12" t="s">
        <v>182</v>
      </c>
      <c r="D338" s="94">
        <f t="shared" si="48"/>
        <v>0.48758771942893286</v>
      </c>
    </row>
    <row r="339" spans="1:21" ht="19.05" customHeight="1" x14ac:dyDescent="0.3">
      <c r="A339" s="12" t="s">
        <v>234</v>
      </c>
      <c r="B339" s="12" t="s">
        <v>183</v>
      </c>
      <c r="D339" s="94">
        <f t="shared" si="48"/>
        <v>-9.7647260714511047E-2</v>
      </c>
    </row>
    <row r="340" spans="1:21" ht="19.05" customHeight="1" x14ac:dyDescent="0.3">
      <c r="A340" s="12" t="s">
        <v>235</v>
      </c>
      <c r="B340" s="12" t="s">
        <v>184</v>
      </c>
      <c r="D340" s="94">
        <f t="shared" si="48"/>
        <v>0.40170336568743614</v>
      </c>
    </row>
    <row r="341" spans="1:21" ht="19.05" customHeight="1" x14ac:dyDescent="0.3">
      <c r="A341" s="12" t="s">
        <v>236</v>
      </c>
      <c r="B341" s="12" t="s">
        <v>185</v>
      </c>
      <c r="D341" s="94">
        <f t="shared" si="48"/>
        <v>-0.20940567482137071</v>
      </c>
    </row>
    <row r="342" spans="1:21" ht="19.05" customHeight="1" x14ac:dyDescent="0.3">
      <c r="A342" s="12" t="s">
        <v>237</v>
      </c>
      <c r="B342" s="12" t="s">
        <v>186</v>
      </c>
      <c r="D342" s="94">
        <f t="shared" si="48"/>
        <v>1.0580192133896615</v>
      </c>
    </row>
    <row r="343" spans="1:21" ht="19.05" customHeight="1" x14ac:dyDescent="0.3">
      <c r="A343" s="12" t="s">
        <v>238</v>
      </c>
      <c r="B343" s="12" t="s">
        <v>187</v>
      </c>
      <c r="D343" s="94">
        <f t="shared" si="48"/>
        <v>-0.21492802631123262</v>
      </c>
    </row>
    <row r="344" spans="1:21" ht="19.05" customHeight="1" x14ac:dyDescent="0.3">
      <c r="A344" s="12" t="s">
        <v>239</v>
      </c>
      <c r="B344" s="12" t="s">
        <v>188</v>
      </c>
      <c r="D344" s="94">
        <f t="shared" si="48"/>
        <v>1.0274069684917027</v>
      </c>
    </row>
    <row r="345" spans="1:21" ht="19.05" customHeight="1" x14ac:dyDescent="0.3">
      <c r="A345" s="12" t="s">
        <v>240</v>
      </c>
      <c r="B345" s="12" t="s">
        <v>189</v>
      </c>
      <c r="D345" s="94">
        <f t="shared" si="48"/>
        <v>-0.27272580179071026</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50400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5371.4285714285788</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0.10657596371882101</v>
      </c>
      <c r="H354" s="12" t="str">
        <f>"D" &amp; E18 &amp; "X"</f>
        <v>D2X</v>
      </c>
      <c r="P354" s="215" t="s">
        <v>400</v>
      </c>
      <c r="Q354" s="172"/>
      <c r="R354" s="172"/>
      <c r="S354" s="172"/>
      <c r="T354" s="172"/>
      <c r="U354" s="173"/>
    </row>
    <row r="355" spans="1:21" ht="16.95" customHeight="1" x14ac:dyDescent="0.3">
      <c r="G355" s="96">
        <f>IFERROR(VLOOKUP(H355, A$334:D$345, 4, FALSE), 0)</f>
        <v>0</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69229.724230139269</v>
      </c>
      <c r="C360" s="92">
        <f>-J7</f>
        <v>-0.27472112789737807</v>
      </c>
      <c r="D360" s="92">
        <f>-K7</f>
        <v>-0.96152394764082316</v>
      </c>
      <c r="E360" s="92">
        <f>J7</f>
        <v>0.27472112789737807</v>
      </c>
      <c r="F360" s="92">
        <f>K7</f>
        <v>0.96152394764082316</v>
      </c>
      <c r="G360" s="96">
        <f>IFERROR(VLOOKUP(H360, A$334:D$345, 4, FALSE), 0)</f>
        <v>0</v>
      </c>
      <c r="H360" s="12" t="str">
        <f>"D" &amp; C19 &amp; "X"</f>
        <v>D1X</v>
      </c>
      <c r="P360" s="215"/>
      <c r="Q360" s="172"/>
      <c r="R360" s="172"/>
      <c r="S360" s="172"/>
      <c r="T360" s="172"/>
      <c r="U360" s="173"/>
    </row>
    <row r="361" spans="1:21" ht="16.95" customHeight="1" x14ac:dyDescent="0.3">
      <c r="A361" s="99" t="s">
        <v>286</v>
      </c>
      <c r="B361" s="97">
        <f>(MMULT(C360:F360, G360:G363)*A360)</f>
        <v>2773.3751959164042</v>
      </c>
      <c r="G361" s="96">
        <f>IFERROR(VLOOKUP(H361, A$334:D$345, 4, FALSE), 0)</f>
        <v>0</v>
      </c>
      <c r="H361" s="12" t="str">
        <f>"D" &amp; D19 &amp; "Y"</f>
        <v>D1Y</v>
      </c>
      <c r="P361" s="215"/>
      <c r="Q361" s="172"/>
      <c r="R361" s="172"/>
      <c r="S361" s="172"/>
      <c r="T361" s="172"/>
      <c r="U361" s="173"/>
    </row>
    <row r="362" spans="1:21" ht="16.95" customHeight="1" x14ac:dyDescent="0.3">
      <c r="G362" s="96">
        <f>IFERROR(VLOOKUP(H362, A$334:D$345, 4, FALSE), 0)</f>
        <v>0.48758771942893286</v>
      </c>
      <c r="H362" s="12" t="str">
        <f>"D" &amp; E19 &amp; "X"</f>
        <v>D3X</v>
      </c>
      <c r="P362" s="215"/>
      <c r="Q362" s="172"/>
      <c r="R362" s="172"/>
      <c r="S362" s="172"/>
      <c r="T362" s="172"/>
      <c r="U362" s="173"/>
    </row>
    <row r="363" spans="1:21" ht="16.95" customHeight="1" x14ac:dyDescent="0.3">
      <c r="G363" s="96">
        <f>IFERROR(VLOOKUP(H363, A$334:D$345, 4, FALSE), 0)</f>
        <v>-9.7647260714511047E-2</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69229.724230139269</v>
      </c>
      <c r="C368" s="92">
        <f>-J8</f>
        <v>0.27472112789737807</v>
      </c>
      <c r="D368" s="92">
        <f>-K8</f>
        <v>-0.96152394764082316</v>
      </c>
      <c r="E368" s="92">
        <f>J8</f>
        <v>-0.27472112789737807</v>
      </c>
      <c r="F368" s="92">
        <f>K8</f>
        <v>0.96152394764082316</v>
      </c>
      <c r="G368" s="96">
        <f>IFERROR(VLOOKUP(H368, A$334:D$345, 4, FALSE), 0)</f>
        <v>0.10657596371882101</v>
      </c>
      <c r="H368" s="12" t="str">
        <f>"D" &amp; C20 &amp; "X"</f>
        <v>D2X</v>
      </c>
      <c r="P368" s="215"/>
      <c r="Q368" s="172"/>
      <c r="R368" s="172"/>
      <c r="S368" s="172"/>
      <c r="T368" s="172"/>
      <c r="U368" s="173"/>
    </row>
    <row r="369" spans="1:21" ht="16.95" customHeight="1" x14ac:dyDescent="0.3">
      <c r="A369" s="99" t="s">
        <v>287</v>
      </c>
      <c r="B369" s="97">
        <f>(MMULT(C368:F368, G368:G371)*A368)</f>
        <v>-19552.295131210565</v>
      </c>
      <c r="G369" s="96">
        <f>IFERROR(VLOOKUP(H369, A$334:D$345, 4, FALSE), 0)</f>
        <v>0</v>
      </c>
      <c r="H369" s="12" t="str">
        <f>"D" &amp; D20 &amp; "Y"</f>
        <v>D2Y</v>
      </c>
      <c r="P369" s="215"/>
      <c r="Q369" s="172"/>
      <c r="R369" s="172"/>
      <c r="S369" s="172"/>
      <c r="T369" s="172"/>
      <c r="U369" s="173"/>
    </row>
    <row r="370" spans="1:21" ht="16.95" customHeight="1" x14ac:dyDescent="0.3">
      <c r="G370" s="96">
        <f>IFERROR(VLOOKUP(H370, A$334:D$345, 4, FALSE), 0)</f>
        <v>0.40170336568743614</v>
      </c>
      <c r="H370" s="12" t="str">
        <f>"D" &amp; E20 &amp; "X"</f>
        <v>D4X</v>
      </c>
      <c r="P370" s="215"/>
      <c r="Q370" s="172"/>
      <c r="R370" s="172"/>
      <c r="S370" s="172"/>
      <c r="T370" s="172"/>
      <c r="U370" s="173"/>
    </row>
    <row r="371" spans="1:21" ht="16.95" customHeight="1" x14ac:dyDescent="0.3">
      <c r="G371" s="96">
        <f>IFERROR(VLOOKUP(H371, A$334:D$345, 4, FALSE), 0)</f>
        <v>-0.20940567482137071</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COMPRESIÓN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0.48758771942893286</v>
      </c>
      <c r="H376" s="12" t="str">
        <f>"D" &amp; C21 &amp; "X"</f>
        <v>D3X</v>
      </c>
    </row>
    <row r="377" spans="1:21" ht="19.95" customHeight="1" x14ac:dyDescent="0.3">
      <c r="A377" s="99" t="s">
        <v>288</v>
      </c>
      <c r="B377" s="97">
        <f>(MMULT(C376:F376, G376:G379)*A376)</f>
        <v>-7214.2857142857247</v>
      </c>
      <c r="G377" s="96">
        <f>IFERROR(VLOOKUP(H377, A$334:D$345, 4, FALSE), 0)</f>
        <v>-9.7647260714511047E-2</v>
      </c>
      <c r="H377" s="12" t="str">
        <f>"D" &amp; D21 &amp; "Y"</f>
        <v>D3Y</v>
      </c>
    </row>
    <row r="378" spans="1:21" ht="19.95" customHeight="1" x14ac:dyDescent="0.3">
      <c r="G378" s="96">
        <f>IFERROR(VLOOKUP(H378, A$334:D$345, 4, FALSE), 0)</f>
        <v>0.40170336568743614</v>
      </c>
      <c r="H378" s="12" t="str">
        <f>"D" &amp; E21 &amp; "X"</f>
        <v>D4X</v>
      </c>
    </row>
    <row r="379" spans="1:21" ht="19.95" customHeight="1" x14ac:dyDescent="0.3">
      <c r="G379" s="96">
        <f>IFERROR(VLOOKUP(H379, A$334:D$345, 4, FALSE), 0)</f>
        <v>-0.20940567482137071</v>
      </c>
      <c r="H379" s="12" t="str">
        <f>"D" &amp; F21 &amp; "Y"</f>
        <v>D4Y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47412.331766533302</v>
      </c>
      <c r="C384" s="92">
        <f>-J10</f>
        <v>-0.75257669470687782</v>
      </c>
      <c r="D384" s="92">
        <f>-K10</f>
        <v>-0.65850460786851805</v>
      </c>
      <c r="E384" s="92">
        <f>J10</f>
        <v>0.75257669470687782</v>
      </c>
      <c r="F384" s="92">
        <f>K10</f>
        <v>0.65850460786851805</v>
      </c>
      <c r="G384" s="96">
        <f>IFERROR(VLOOKUP(H384, A$334:D$345, 4, FALSE), 0)</f>
        <v>0</v>
      </c>
      <c r="H384" s="12" t="str">
        <f>"D" &amp; C22 &amp; "X"</f>
        <v>D1X</v>
      </c>
    </row>
    <row r="385" spans="1:8" ht="19.95" customHeight="1" x14ac:dyDescent="0.3">
      <c r="A385" s="99" t="s">
        <v>289</v>
      </c>
      <c r="B385" s="97">
        <f>(MMULT(C384:F384, G384:G387)*A384)</f>
        <v>7795.4402626720939</v>
      </c>
      <c r="G385" s="96">
        <f>IFERROR(VLOOKUP(H385, A$334:D$345, 4, FALSE), 0)</f>
        <v>0</v>
      </c>
      <c r="H385" s="12" t="str">
        <f>"D" &amp; D22 &amp; "Y"</f>
        <v>D1Y</v>
      </c>
    </row>
    <row r="386" spans="1:8" ht="19.95" customHeight="1" x14ac:dyDescent="0.3">
      <c r="G386" s="96">
        <f>IFERROR(VLOOKUP(H386, A$334:D$345, 4, FALSE), 0)</f>
        <v>0.40170336568743614</v>
      </c>
      <c r="H386" s="12" t="str">
        <f>"D" &amp; E22 &amp; "X"</f>
        <v>D4X</v>
      </c>
    </row>
    <row r="387" spans="1:8" ht="19.95" customHeight="1" x14ac:dyDescent="0.3">
      <c r="G387" s="96">
        <f>IFERROR(VLOOKUP(H387, A$334:D$345, 4, FALSE), 0)</f>
        <v>-0.20940567482137071</v>
      </c>
      <c r="H387" s="12" t="str">
        <f>"D" &amp; F22 &amp; "Y"</f>
        <v>D4Y</v>
      </c>
    </row>
    <row r="388" spans="1:8" ht="19.95" customHeight="1" x14ac:dyDescent="0.3">
      <c r="B388" s="99" t="s">
        <v>273</v>
      </c>
      <c r="C388" s="178" t="str">
        <f>IF(B385&gt;0.001,"BARRA A TRACCIÓN (+)",IF(B385&lt;-0.001,"BARRA A COMPRESIÓN (-)","BARRA DE FUERZA NULA"))</f>
        <v>BARRA A TRACCIÓN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71276.363543603991</v>
      </c>
      <c r="C392" s="92">
        <f>-J11</f>
        <v>-0.1414213562373095</v>
      </c>
      <c r="D392" s="92">
        <f>-K11</f>
        <v>-0.98994949366116647</v>
      </c>
      <c r="E392" s="92">
        <f>J11</f>
        <v>0.1414213562373095</v>
      </c>
      <c r="F392" s="92">
        <f>K11</f>
        <v>0.98994949366116647</v>
      </c>
      <c r="G392" s="96">
        <f>IFERROR(VLOOKUP(H392, A$334:D$345, 4, FALSE), 0)</f>
        <v>0.48758771942893286</v>
      </c>
      <c r="H392" s="12" t="str">
        <f>"D" &amp; C23 &amp; "X"</f>
        <v>D3X</v>
      </c>
    </row>
    <row r="393" spans="1:8" ht="19.95" customHeight="1" x14ac:dyDescent="0.3">
      <c r="A393" s="99" t="s">
        <v>290</v>
      </c>
      <c r="B393" s="97">
        <f>(MMULT(C392:F392, G392:G395)*A392)</f>
        <v>-2525.3813613805282</v>
      </c>
      <c r="G393" s="96">
        <f>IFERROR(VLOOKUP(H393, A$334:D$345, 4, FALSE), 0)</f>
        <v>-9.7647260714511047E-2</v>
      </c>
      <c r="H393" s="12" t="str">
        <f>"D" &amp; D23 &amp; "Y"</f>
        <v>D3Y</v>
      </c>
    </row>
    <row r="394" spans="1:8" ht="19.95" customHeight="1" x14ac:dyDescent="0.3">
      <c r="G394" s="96">
        <f>IFERROR(VLOOKUP(H394, A$334:D$345, 4, FALSE), 0)</f>
        <v>1.0580192133896615</v>
      </c>
      <c r="H394" s="12" t="str">
        <f>"D" &amp; E23 &amp; "X"</f>
        <v>D5X</v>
      </c>
    </row>
    <row r="395" spans="1:8" ht="19.95" customHeight="1" x14ac:dyDescent="0.3">
      <c r="G395" s="96">
        <f>IFERROR(VLOOKUP(H395, A$334:D$345, 4, FALSE), 0)</f>
        <v>-0.21492802631123262</v>
      </c>
      <c r="H395" s="12" t="str">
        <f>"D" &amp; F23 &amp; "Y"</f>
        <v>D5Y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71276.363543603991</v>
      </c>
      <c r="C400" s="92">
        <f>-J12</f>
        <v>0.1414213562373095</v>
      </c>
      <c r="D400" s="92">
        <f>-K12</f>
        <v>-0.98994949366116647</v>
      </c>
      <c r="E400" s="92">
        <f>J12</f>
        <v>-0.1414213562373095</v>
      </c>
      <c r="F400" s="92">
        <f>K12</f>
        <v>0.98994949366116647</v>
      </c>
      <c r="G400" s="96">
        <f>IFERROR(VLOOKUP(H400, A$334:D$345, 4, FALSE), 0)</f>
        <v>0.40170336568743614</v>
      </c>
      <c r="H400" s="12" t="str">
        <f>"D" &amp; C24 &amp; "X"</f>
        <v>D4X</v>
      </c>
    </row>
    <row r="401" spans="1:8" ht="19.95" customHeight="1" x14ac:dyDescent="0.3">
      <c r="A401" s="99" t="s">
        <v>291</v>
      </c>
      <c r="B401" s="97">
        <f>(MMULT(C400:F400, G400:G403)*A400)</f>
        <v>-10774.960475223606</v>
      </c>
      <c r="G401" s="96">
        <f>IFERROR(VLOOKUP(H401, A$334:D$345, 4, FALSE), 0)</f>
        <v>-0.20940567482137071</v>
      </c>
      <c r="H401" s="12" t="str">
        <f>"D" &amp; D24 &amp; "Y"</f>
        <v>D4Y</v>
      </c>
    </row>
    <row r="402" spans="1:8" ht="19.95" customHeight="1" x14ac:dyDescent="0.3">
      <c r="G402" s="96">
        <f>IFERROR(VLOOKUP(H402, A$334:D$345, 4, FALSE), 0)</f>
        <v>1.0274069684917027</v>
      </c>
      <c r="H402" s="12" t="str">
        <f>"D" &amp; E24 &amp; "X"</f>
        <v>D6X</v>
      </c>
    </row>
    <row r="403" spans="1:8" ht="19.95" customHeight="1" x14ac:dyDescent="0.3">
      <c r="G403" s="96">
        <f>IFERROR(VLOOKUP(H403, A$334:D$345, 4, FALSE), 0)</f>
        <v>-0.27272580179071026</v>
      </c>
      <c r="H403" s="12" t="str">
        <f>"D" &amp; F24 &amp; "Y"</f>
        <v>D6Y</v>
      </c>
    </row>
    <row r="404" spans="1:8" ht="19.95" customHeight="1" x14ac:dyDescent="0.3">
      <c r="B404" s="99" t="s">
        <v>273</v>
      </c>
      <c r="C404" s="178" t="str">
        <f>IF(B401&gt;0.001,"BARRA A TRACCIÓN (+)",IF(B401&lt;-0.001,"BARRA A COMPRESIÓN (-)","BARRA DE FUERZA NULA"))</f>
        <v>BARRA A COMPRESIÓN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126000</v>
      </c>
      <c r="C408" s="92">
        <f>-J13</f>
        <v>-1</v>
      </c>
      <c r="D408" s="92">
        <f>-K13</f>
        <v>0</v>
      </c>
      <c r="E408" s="92">
        <f>J13</f>
        <v>1</v>
      </c>
      <c r="F408" s="92">
        <f>K13</f>
        <v>0</v>
      </c>
      <c r="G408" s="96">
        <f>IFERROR(VLOOKUP(H408, A$334:D$345, 4, FALSE), 0)</f>
        <v>1.0580192133896615</v>
      </c>
      <c r="H408" s="12" t="str">
        <f>"D" &amp; C25 &amp; "X"</f>
        <v>D5X</v>
      </c>
    </row>
    <row r="409" spans="1:8" ht="19.95" customHeight="1" x14ac:dyDescent="0.3">
      <c r="A409" s="99" t="s">
        <v>292</v>
      </c>
      <c r="B409" s="97">
        <f>(MMULT(C408:F408, G408:G411)*A408)</f>
        <v>-3857.1428571428196</v>
      </c>
      <c r="G409" s="96">
        <f>IFERROR(VLOOKUP(H409, A$334:D$345, 4, FALSE), 0)</f>
        <v>-0.21492802631123262</v>
      </c>
      <c r="H409" s="12" t="str">
        <f>"D" &amp; D25 &amp; "Y"</f>
        <v>D5Y</v>
      </c>
    </row>
    <row r="410" spans="1:8" ht="19.95" customHeight="1" x14ac:dyDescent="0.3">
      <c r="G410" s="96">
        <f>IFERROR(VLOOKUP(H410, A$334:D$345, 4, FALSE), 0)</f>
        <v>1.0274069684917027</v>
      </c>
      <c r="H410" s="12" t="str">
        <f>"D" &amp; E25 &amp; "X"</f>
        <v>D6X</v>
      </c>
    </row>
    <row r="411" spans="1:8" ht="19.95" customHeight="1" x14ac:dyDescent="0.3">
      <c r="G411" s="96">
        <f>IFERROR(VLOOKUP(H411, A$334:D$345, 4, FALSE), 0)</f>
        <v>-0.27272580179071026</v>
      </c>
      <c r="H411" s="12" t="str">
        <f>"D" &amp; F25 &amp; "Y"</f>
        <v>D6Y</v>
      </c>
    </row>
    <row r="412" spans="1:8" ht="19.95" customHeight="1" x14ac:dyDescent="0.3">
      <c r="B412" s="99" t="s">
        <v>273</v>
      </c>
      <c r="C412" s="178" t="str">
        <f>IF(B409&gt;0.001,"BARRA A TRACCIÓN (+)",IF(B409&lt;-0.001,"BARRA A COMPRESIÓN (-)","BARRA DE FUERZA NULA"))</f>
        <v>BARRA A COMPRESIÓN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58588.809926884918</v>
      </c>
      <c r="C416" s="92">
        <f>-J14</f>
        <v>-0.58123819371909635</v>
      </c>
      <c r="D416" s="92">
        <f>-K14</f>
        <v>-0.813733471206735</v>
      </c>
      <c r="E416" s="92">
        <f>J14</f>
        <v>0.58123819371909635</v>
      </c>
      <c r="F416" s="92">
        <f>K14</f>
        <v>0.813733471206735</v>
      </c>
      <c r="G416" s="96">
        <f>IFERROR(VLOOKUP(H416, A$334:D$345, 4, FALSE), 0)</f>
        <v>0.48758771942893286</v>
      </c>
      <c r="H416" s="12" t="str">
        <f>"D" &amp; C26 &amp; "X"</f>
        <v>D3X</v>
      </c>
    </row>
    <row r="417" spans="1:8" ht="19.95" customHeight="1" x14ac:dyDescent="0.3">
      <c r="A417" s="99" t="s">
        <v>530</v>
      </c>
      <c r="B417" s="97">
        <f>(MMULT(C416:F416, G416:G419)*A416)</f>
        <v>10036.046144883096</v>
      </c>
      <c r="G417" s="96">
        <f>IFERROR(VLOOKUP(H417, A$334:D$345, 4, FALSE), 0)</f>
        <v>-9.7647260714511047E-2</v>
      </c>
      <c r="H417" s="12" t="str">
        <f>"D" &amp; D26 &amp; "Y"</f>
        <v>D3Y</v>
      </c>
    </row>
    <row r="418" spans="1:8" ht="19.95" customHeight="1" x14ac:dyDescent="0.3">
      <c r="G418" s="96">
        <f>IFERROR(VLOOKUP(H418, A$334:D$345, 4, FALSE), 0)</f>
        <v>1.0274069684917027</v>
      </c>
      <c r="H418" s="12" t="str">
        <f>"D" &amp; E26 &amp; "X"</f>
        <v>D6X</v>
      </c>
    </row>
    <row r="419" spans="1:8" ht="19.95" customHeight="1" x14ac:dyDescent="0.3">
      <c r="G419" s="96">
        <f>IFERROR(VLOOKUP(H419, A$334:D$345, 4, FALSE), 0)</f>
        <v>-0.27272580179071026</v>
      </c>
      <c r="H419" s="12" t="str">
        <f>"D" &amp; F26 &amp; "Y"</f>
        <v>D6Y</v>
      </c>
    </row>
    <row r="420" spans="1:8" ht="19.95" customHeight="1" x14ac:dyDescent="0.3">
      <c r="B420" s="99" t="s">
        <v>273</v>
      </c>
      <c r="C420" s="178" t="str">
        <f>IF(B417&gt;0.001,"BARRA A TRACCIÓN (+)",IF(B417&lt;-0.001,"BARRA A COMPRESIÓN (-)","BARRA DE FUERZA NULA"))</f>
        <v>BARRA A TRACCIÓN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500</v>
      </c>
      <c r="F425" s="9">
        <f t="shared" ref="F425:F433" si="52">L6</f>
        <v>12</v>
      </c>
      <c r="G425" s="97">
        <f>B353</f>
        <v>5371.4285714285788</v>
      </c>
      <c r="H425" s="84" t="str">
        <f>C356</f>
        <v>BARRA A TRACCIÓN (+)</v>
      </c>
    </row>
    <row r="426" spans="1:8" ht="19.95" customHeight="1" x14ac:dyDescent="0.3">
      <c r="B426" s="25">
        <v>2</v>
      </c>
      <c r="C426" s="86">
        <f t="shared" si="49"/>
        <v>1</v>
      </c>
      <c r="D426" s="86">
        <f t="shared" si="50"/>
        <v>3</v>
      </c>
      <c r="E426" s="9">
        <f t="shared" si="51"/>
        <v>364.0054944640259</v>
      </c>
      <c r="F426" s="9">
        <f t="shared" si="52"/>
        <v>12</v>
      </c>
      <c r="G426" s="97">
        <f>B361</f>
        <v>2773.3751959164042</v>
      </c>
      <c r="H426" s="84" t="str">
        <f>C364</f>
        <v>BARRA A TRACCIÓN (+)</v>
      </c>
    </row>
    <row r="427" spans="1:8" ht="19.95" customHeight="1" x14ac:dyDescent="0.3">
      <c r="B427" s="26">
        <v>3</v>
      </c>
      <c r="C427" s="86">
        <f t="shared" si="49"/>
        <v>2</v>
      </c>
      <c r="D427" s="86">
        <f t="shared" si="50"/>
        <v>4</v>
      </c>
      <c r="E427" s="9">
        <f t="shared" si="51"/>
        <v>364.0054944640259</v>
      </c>
      <c r="F427" s="9">
        <f t="shared" si="52"/>
        <v>12</v>
      </c>
      <c r="G427" s="97">
        <f>B369</f>
        <v>-19552.295131210565</v>
      </c>
      <c r="H427" s="84" t="str">
        <f>C372</f>
        <v>BARRA A COMPRESIÓN (-)</v>
      </c>
    </row>
    <row r="428" spans="1:8" ht="19.95" customHeight="1" x14ac:dyDescent="0.3">
      <c r="B428" s="43">
        <v>4</v>
      </c>
      <c r="C428" s="86">
        <f t="shared" si="49"/>
        <v>3</v>
      </c>
      <c r="D428" s="86">
        <f t="shared" si="50"/>
        <v>4</v>
      </c>
      <c r="E428" s="9">
        <f t="shared" si="51"/>
        <v>300</v>
      </c>
      <c r="F428" s="9">
        <f t="shared" si="52"/>
        <v>12</v>
      </c>
      <c r="G428" s="97">
        <f>B377</f>
        <v>-7214.2857142857247</v>
      </c>
      <c r="H428" s="84" t="str">
        <f>C380</f>
        <v>BARRA A COMPRESIÓN (-)</v>
      </c>
    </row>
    <row r="429" spans="1:8" ht="19.95" customHeight="1" x14ac:dyDescent="0.3">
      <c r="B429" s="44">
        <v>5</v>
      </c>
      <c r="C429" s="86">
        <f t="shared" si="49"/>
        <v>1</v>
      </c>
      <c r="D429" s="86">
        <f t="shared" si="50"/>
        <v>4</v>
      </c>
      <c r="E429" s="9">
        <f t="shared" si="51"/>
        <v>531.50729063673248</v>
      </c>
      <c r="F429" s="9">
        <f t="shared" si="52"/>
        <v>12</v>
      </c>
      <c r="G429" s="97">
        <f>B385</f>
        <v>7795.4402626720939</v>
      </c>
      <c r="H429" s="84" t="str">
        <f>C388</f>
        <v>BARRA A TRACCIÓN (+)</v>
      </c>
    </row>
    <row r="430" spans="1:8" ht="19.95" customHeight="1" x14ac:dyDescent="0.3">
      <c r="B430" s="51">
        <v>6</v>
      </c>
      <c r="C430" s="86">
        <f t="shared" si="49"/>
        <v>3</v>
      </c>
      <c r="D430" s="86">
        <f t="shared" si="50"/>
        <v>5</v>
      </c>
      <c r="E430" s="9">
        <f t="shared" si="51"/>
        <v>353.55339059327378</v>
      </c>
      <c r="F430" s="9">
        <f t="shared" si="52"/>
        <v>12</v>
      </c>
      <c r="G430" s="97">
        <f>B393</f>
        <v>-2525.3813613805282</v>
      </c>
      <c r="H430" s="84" t="str">
        <f>C396</f>
        <v>BARRA A COMPRESIÓN (-)</v>
      </c>
    </row>
    <row r="431" spans="1:8" ht="19.95" customHeight="1" x14ac:dyDescent="0.3">
      <c r="B431" s="52">
        <v>7</v>
      </c>
      <c r="C431" s="86">
        <f t="shared" si="49"/>
        <v>4</v>
      </c>
      <c r="D431" s="86">
        <f t="shared" si="50"/>
        <v>6</v>
      </c>
      <c r="E431" s="9">
        <f t="shared" si="51"/>
        <v>353.55339059327378</v>
      </c>
      <c r="F431" s="9">
        <f t="shared" si="52"/>
        <v>12</v>
      </c>
      <c r="G431" s="97">
        <f>B401</f>
        <v>-10774.960475223606</v>
      </c>
      <c r="H431" s="84" t="str">
        <f>C404</f>
        <v>BARRA A COMPRESIÓN (-)</v>
      </c>
    </row>
    <row r="432" spans="1:8" ht="19.95" customHeight="1" x14ac:dyDescent="0.3">
      <c r="B432" s="59">
        <v>8</v>
      </c>
      <c r="C432" s="86">
        <f t="shared" si="49"/>
        <v>5</v>
      </c>
      <c r="D432" s="86">
        <f t="shared" si="50"/>
        <v>6</v>
      </c>
      <c r="E432" s="9">
        <f t="shared" si="51"/>
        <v>200</v>
      </c>
      <c r="F432" s="9">
        <f t="shared" si="52"/>
        <v>12</v>
      </c>
      <c r="G432" s="97">
        <f>B409</f>
        <v>-3857.1428571428196</v>
      </c>
      <c r="H432" s="84" t="str">
        <f>C412</f>
        <v>BARRA A COMPRESIÓN (-)</v>
      </c>
    </row>
    <row r="433" spans="2:8" ht="19.95" customHeight="1" x14ac:dyDescent="0.3">
      <c r="B433" s="60">
        <v>9</v>
      </c>
      <c r="C433" s="86">
        <f t="shared" si="49"/>
        <v>3</v>
      </c>
      <c r="D433" s="86">
        <f t="shared" si="50"/>
        <v>6</v>
      </c>
      <c r="E433" s="9">
        <f t="shared" si="51"/>
        <v>430.11626335213134</v>
      </c>
      <c r="F433" s="9">
        <f t="shared" si="52"/>
        <v>12</v>
      </c>
      <c r="G433" s="97">
        <f>B417</f>
        <v>10036.046144883096</v>
      </c>
      <c r="H433" s="84" t="str">
        <f>C420</f>
        <v>BARRA A TRACCIÓN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560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561</v>
      </c>
      <c r="K14" s="172"/>
      <c r="L14" s="172"/>
      <c r="M14" s="172"/>
      <c r="N14" s="172"/>
      <c r="O14" s="173"/>
      <c r="AA14" s="20">
        <f>IF(E31="","",E31)</f>
        <v>0</v>
      </c>
      <c r="AB14" s="20">
        <f>IF(F31="","",F31)</f>
        <v>0</v>
      </c>
      <c r="AC14" t="s">
        <v>328</v>
      </c>
    </row>
    <row r="15" spans="2:29" ht="19.05" customHeight="1" x14ac:dyDescent="0.3">
      <c r="B15" s="89">
        <v>2</v>
      </c>
      <c r="C15" s="21">
        <v>300</v>
      </c>
      <c r="D15" s="21">
        <v>0</v>
      </c>
      <c r="E15" s="21" t="s">
        <v>326</v>
      </c>
      <c r="F15" s="88">
        <f t="shared" si="0"/>
        <v>0</v>
      </c>
      <c r="G15" s="88">
        <f t="shared" si="1"/>
        <v>0</v>
      </c>
      <c r="H15" s="22">
        <v>0</v>
      </c>
      <c r="I15" s="22">
        <v>-5500</v>
      </c>
      <c r="J15" s="205" t="s">
        <v>562</v>
      </c>
      <c r="K15" s="172"/>
      <c r="L15" s="172"/>
      <c r="M15" s="172"/>
      <c r="N15" s="172"/>
      <c r="O15" s="173"/>
      <c r="AA15" s="20">
        <f>IF(G31="","",G31)</f>
        <v>300</v>
      </c>
      <c r="AB15" s="20">
        <f>IF(H31="","",H31)</f>
        <v>250</v>
      </c>
      <c r="AC15" t="s">
        <v>331</v>
      </c>
    </row>
    <row r="16" spans="2:29" ht="19.05" customHeight="1" x14ac:dyDescent="0.3">
      <c r="B16" s="89">
        <v>3</v>
      </c>
      <c r="C16" s="21">
        <v>600</v>
      </c>
      <c r="D16" s="21">
        <v>0</v>
      </c>
      <c r="E16" s="21" t="s">
        <v>326</v>
      </c>
      <c r="F16" s="88">
        <f t="shared" si="0"/>
        <v>0</v>
      </c>
      <c r="G16" s="88">
        <f t="shared" si="1"/>
        <v>0</v>
      </c>
      <c r="H16" s="22">
        <v>0</v>
      </c>
      <c r="I16" s="22">
        <v>-5500</v>
      </c>
      <c r="J16" s="205" t="s">
        <v>562</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563</v>
      </c>
      <c r="K17" s="172"/>
      <c r="L17" s="172"/>
      <c r="M17" s="172"/>
      <c r="N17" s="172"/>
      <c r="O17" s="173"/>
      <c r="AA17" s="20">
        <f>IF(E32="","",E32)</f>
        <v>300</v>
      </c>
      <c r="AB17" s="20">
        <f>IF(F32="","",F32)</f>
        <v>250</v>
      </c>
      <c r="AC17" t="s">
        <v>334</v>
      </c>
    </row>
    <row r="18" spans="2:29" ht="19.05" customHeight="1" x14ac:dyDescent="0.3">
      <c r="B18" s="89">
        <v>5</v>
      </c>
      <c r="C18" s="21">
        <v>300</v>
      </c>
      <c r="D18" s="21">
        <v>250</v>
      </c>
      <c r="E18" s="21" t="s">
        <v>326</v>
      </c>
      <c r="F18" s="88">
        <f t="shared" si="0"/>
        <v>0</v>
      </c>
      <c r="G18" s="88">
        <f t="shared" si="1"/>
        <v>0</v>
      </c>
      <c r="H18" s="22">
        <v>0</v>
      </c>
      <c r="I18" s="22">
        <v>0</v>
      </c>
      <c r="J18" s="205" t="s">
        <v>564</v>
      </c>
      <c r="K18" s="172"/>
      <c r="L18" s="172"/>
      <c r="M18" s="172"/>
      <c r="N18" s="172"/>
      <c r="O18" s="173"/>
      <c r="AA18" s="20">
        <f>IF(G32="","",G32)</f>
        <v>600</v>
      </c>
      <c r="AB18" s="20">
        <f>IF(H32="","",H32)</f>
        <v>250</v>
      </c>
      <c r="AC18" t="s">
        <v>335</v>
      </c>
    </row>
    <row r="19" spans="2:29" ht="19.05" customHeight="1" x14ac:dyDescent="0.3">
      <c r="B19" s="89">
        <v>6</v>
      </c>
      <c r="C19" s="21">
        <v>600</v>
      </c>
      <c r="D19" s="21">
        <v>250</v>
      </c>
      <c r="E19" s="21" t="s">
        <v>326</v>
      </c>
      <c r="F19" s="88">
        <f t="shared" si="0"/>
        <v>0</v>
      </c>
      <c r="G19" s="88">
        <f t="shared" si="1"/>
        <v>0</v>
      </c>
      <c r="H19" s="22">
        <v>0</v>
      </c>
      <c r="I19" s="22">
        <v>0</v>
      </c>
      <c r="J19" s="205" t="s">
        <v>564</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600</v>
      </c>
      <c r="AB20" s="20">
        <f>IF(F33="","",F33)</f>
        <v>250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300</v>
      </c>
      <c r="AB23" s="20">
        <f>IF(F34="","",F34)</f>
        <v>0</v>
      </c>
      <c r="AC23" t="s">
        <v>338</v>
      </c>
    </row>
    <row r="24" spans="2:29" x14ac:dyDescent="0.3">
      <c r="AA24" s="20">
        <f>IF(G34="","",G34)</f>
        <v>300</v>
      </c>
      <c r="AB24" s="20">
        <f>IF(H34="","",H34)</f>
        <v>250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250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0</v>
      </c>
      <c r="AC30" t="s">
        <v>354</v>
      </c>
    </row>
    <row r="31" spans="2:29" ht="19.05" customHeight="1" x14ac:dyDescent="0.3">
      <c r="B31" s="89">
        <v>4</v>
      </c>
      <c r="C31" s="23">
        <v>1</v>
      </c>
      <c r="D31" s="23">
        <v>5</v>
      </c>
      <c r="E31" s="5">
        <f t="shared" si="2"/>
        <v>0</v>
      </c>
      <c r="F31" s="5">
        <f t="shared" si="3"/>
        <v>0</v>
      </c>
      <c r="G31" s="5">
        <f t="shared" si="4"/>
        <v>300</v>
      </c>
      <c r="H31" s="5">
        <f t="shared" si="5"/>
        <v>250</v>
      </c>
      <c r="I31" s="9">
        <f t="shared" si="6"/>
        <v>300</v>
      </c>
      <c r="J31" s="9">
        <f t="shared" si="7"/>
        <v>250</v>
      </c>
      <c r="K31" s="9">
        <f t="shared" si="8"/>
        <v>390.51248379533274</v>
      </c>
      <c r="L31" s="92">
        <f t="shared" si="9"/>
        <v>0.76822127959737585</v>
      </c>
      <c r="M31" s="92">
        <f t="shared" si="10"/>
        <v>0.64018439966447982</v>
      </c>
      <c r="N31" s="22">
        <v>12</v>
      </c>
      <c r="O31" s="24">
        <v>2100000</v>
      </c>
    </row>
    <row r="32" spans="2:29" ht="19.05" customHeight="1" x14ac:dyDescent="0.3">
      <c r="B32" s="89">
        <v>5</v>
      </c>
      <c r="C32" s="23">
        <v>5</v>
      </c>
      <c r="D32" s="23">
        <v>6</v>
      </c>
      <c r="E32" s="5">
        <f t="shared" si="2"/>
        <v>300</v>
      </c>
      <c r="F32" s="5">
        <f t="shared" si="3"/>
        <v>250</v>
      </c>
      <c r="G32" s="5">
        <f t="shared" si="4"/>
        <v>600</v>
      </c>
      <c r="H32" s="5">
        <f t="shared" si="5"/>
        <v>250</v>
      </c>
      <c r="I32" s="9">
        <f t="shared" si="6"/>
        <v>300</v>
      </c>
      <c r="J32" s="9">
        <f t="shared" si="7"/>
        <v>0</v>
      </c>
      <c r="K32" s="9">
        <f t="shared" si="8"/>
        <v>300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6</v>
      </c>
      <c r="D33" s="23">
        <v>4</v>
      </c>
      <c r="E33" s="5">
        <f t="shared" si="2"/>
        <v>600</v>
      </c>
      <c r="F33" s="5">
        <f t="shared" si="3"/>
        <v>250</v>
      </c>
      <c r="G33" s="5">
        <f t="shared" si="4"/>
        <v>900</v>
      </c>
      <c r="H33" s="5">
        <f t="shared" si="5"/>
        <v>0</v>
      </c>
      <c r="I33" s="9">
        <f t="shared" si="6"/>
        <v>300</v>
      </c>
      <c r="J33" s="9">
        <f t="shared" si="7"/>
        <v>-250</v>
      </c>
      <c r="K33" s="9">
        <f t="shared" si="8"/>
        <v>390.51248379533274</v>
      </c>
      <c r="L33" s="92">
        <f t="shared" si="9"/>
        <v>0.76822127959737585</v>
      </c>
      <c r="M33" s="92">
        <f t="shared" si="10"/>
        <v>-0.64018439966447982</v>
      </c>
      <c r="N33" s="22">
        <v>12</v>
      </c>
      <c r="O33" s="24">
        <v>2100000</v>
      </c>
      <c r="AA33" s="20" t="str">
        <f>IF(G37="","",G37)</f>
        <v/>
      </c>
      <c r="AB33" s="20" t="str">
        <f>IF(H37="","",H37)</f>
        <v/>
      </c>
      <c r="AC33" t="s">
        <v>356</v>
      </c>
    </row>
    <row r="34" spans="2:29" ht="19.05" customHeight="1" x14ac:dyDescent="0.3">
      <c r="B34" s="89">
        <v>7</v>
      </c>
      <c r="C34" s="23">
        <v>2</v>
      </c>
      <c r="D34" s="23">
        <v>5</v>
      </c>
      <c r="E34" s="5">
        <f t="shared" si="2"/>
        <v>300</v>
      </c>
      <c r="F34" s="5">
        <f t="shared" si="3"/>
        <v>0</v>
      </c>
      <c r="G34" s="5">
        <f t="shared" si="4"/>
        <v>300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3</v>
      </c>
      <c r="D35" s="23">
        <v>6</v>
      </c>
      <c r="E35" s="5">
        <f t="shared" si="2"/>
        <v>600</v>
      </c>
      <c r="F35" s="5">
        <f t="shared" si="3"/>
        <v>0</v>
      </c>
      <c r="G35" s="5">
        <f t="shared" si="4"/>
        <v>600</v>
      </c>
      <c r="H35" s="5">
        <f t="shared" si="5"/>
        <v>250</v>
      </c>
      <c r="I35" s="9">
        <f t="shared" si="6"/>
        <v>0</v>
      </c>
      <c r="J35" s="9">
        <f t="shared" si="7"/>
        <v>250</v>
      </c>
      <c r="K35" s="9">
        <f t="shared" si="8"/>
        <v>250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300</v>
      </c>
      <c r="F36" s="5">
        <f t="shared" si="3"/>
        <v>250</v>
      </c>
      <c r="G36" s="5">
        <f t="shared" si="4"/>
        <v>600</v>
      </c>
      <c r="H36" s="5">
        <f t="shared" si="5"/>
        <v>0</v>
      </c>
      <c r="I36" s="9">
        <f t="shared" si="6"/>
        <v>300</v>
      </c>
      <c r="J36" s="9">
        <f t="shared" si="7"/>
        <v>-250</v>
      </c>
      <c r="K36" s="9">
        <f t="shared" si="8"/>
        <v>390.51248379533274</v>
      </c>
      <c r="L36" s="92">
        <f t="shared" si="9"/>
        <v>0.76822127959737585</v>
      </c>
      <c r="M36" s="92">
        <f t="shared" si="10"/>
        <v>-0.64018439966447982</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500-000000000000}">
      <formula1>"Fijo (articulado),Rodillo Y (despl. X libre),Rodillo X (despl. Y libre),Libre (0 reac.)"</formula1>
    </dataValidation>
  </dataValidations>
  <pageMargins left="0.75" right="0.75" top="1" bottom="1" header="0.5" footer="0.5"/>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565</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GRAFICA_34!E28</f>
        <v>0</v>
      </c>
      <c r="D6" s="22">
        <f>GRAFICA_34!F28</f>
        <v>0</v>
      </c>
      <c r="E6" s="22">
        <f>GRAFICA_34!G28</f>
        <v>300</v>
      </c>
      <c r="F6" s="22">
        <f>GRAFICA_34!H28</f>
        <v>0</v>
      </c>
      <c r="G6" s="9">
        <f t="shared" ref="G6:G14" si="0">E6-C6</f>
        <v>300</v>
      </c>
      <c r="H6" s="9">
        <f t="shared" ref="H6:H14" si="1">F6-D6</f>
        <v>0</v>
      </c>
      <c r="I6" s="9">
        <f t="shared" ref="I6:I14" si="2">SQRT(G6*G6+H6*H6)</f>
        <v>300</v>
      </c>
      <c r="J6" s="92">
        <f t="shared" ref="J6:J14" si="3">G6/I6</f>
        <v>1</v>
      </c>
      <c r="K6" s="92">
        <f t="shared" ref="K6:K14" si="4">H6/I6</f>
        <v>0</v>
      </c>
      <c r="L6" s="22">
        <f>GRAFICA_34!N28</f>
        <v>12</v>
      </c>
      <c r="M6" s="22">
        <f>GRAFICA_34!O28</f>
        <v>2100000</v>
      </c>
      <c r="N6" s="6">
        <f t="shared" ref="N6:N14" si="5">L6*M6/I6</f>
        <v>84000</v>
      </c>
    </row>
    <row r="7" spans="2:14" ht="19.05" customHeight="1" x14ac:dyDescent="0.3">
      <c r="B7" s="25">
        <v>2</v>
      </c>
      <c r="C7" s="22">
        <f>GRAFICA_34!E29</f>
        <v>300</v>
      </c>
      <c r="D7" s="22">
        <f>GRAFICA_34!F29</f>
        <v>0</v>
      </c>
      <c r="E7" s="22">
        <f>GRAFICA_34!G29</f>
        <v>600</v>
      </c>
      <c r="F7" s="22">
        <f>GRAFICA_34!H29</f>
        <v>0</v>
      </c>
      <c r="G7" s="9">
        <f t="shared" si="0"/>
        <v>300</v>
      </c>
      <c r="H7" s="9">
        <f t="shared" si="1"/>
        <v>0</v>
      </c>
      <c r="I7" s="9">
        <f t="shared" si="2"/>
        <v>300</v>
      </c>
      <c r="J7" s="92">
        <f t="shared" si="3"/>
        <v>1</v>
      </c>
      <c r="K7" s="92">
        <f t="shared" si="4"/>
        <v>0</v>
      </c>
      <c r="L7" s="22">
        <f>GRAFICA_34!N29</f>
        <v>12</v>
      </c>
      <c r="M7" s="22">
        <f>GRAFICA_34!O29</f>
        <v>2100000</v>
      </c>
      <c r="N7" s="6">
        <f t="shared" si="5"/>
        <v>84000</v>
      </c>
    </row>
    <row r="8" spans="2:14" ht="19.05" customHeight="1" x14ac:dyDescent="0.3">
      <c r="B8" s="26">
        <v>3</v>
      </c>
      <c r="C8" s="22">
        <f>GRAFICA_34!E30</f>
        <v>600</v>
      </c>
      <c r="D8" s="22">
        <f>GRAFICA_34!F30</f>
        <v>0</v>
      </c>
      <c r="E8" s="22">
        <f>GRAFICA_34!G30</f>
        <v>900</v>
      </c>
      <c r="F8" s="22">
        <f>GRAFICA_34!H30</f>
        <v>0</v>
      </c>
      <c r="G8" s="9">
        <f t="shared" si="0"/>
        <v>300</v>
      </c>
      <c r="H8" s="9">
        <f t="shared" si="1"/>
        <v>0</v>
      </c>
      <c r="I8" s="9">
        <f t="shared" si="2"/>
        <v>300</v>
      </c>
      <c r="J8" s="92">
        <f t="shared" si="3"/>
        <v>1</v>
      </c>
      <c r="K8" s="92">
        <f t="shared" si="4"/>
        <v>0</v>
      </c>
      <c r="L8" s="22">
        <f>GRAFICA_34!N30</f>
        <v>12</v>
      </c>
      <c r="M8" s="22">
        <f>GRAFICA_34!O30</f>
        <v>2100000</v>
      </c>
      <c r="N8" s="6">
        <f t="shared" si="5"/>
        <v>84000</v>
      </c>
    </row>
    <row r="9" spans="2:14" ht="19.05" customHeight="1" x14ac:dyDescent="0.3">
      <c r="B9" s="43">
        <v>4</v>
      </c>
      <c r="C9" s="22">
        <f>GRAFICA_34!E31</f>
        <v>0</v>
      </c>
      <c r="D9" s="22">
        <f>GRAFICA_34!F31</f>
        <v>0</v>
      </c>
      <c r="E9" s="22">
        <f>GRAFICA_34!G31</f>
        <v>300</v>
      </c>
      <c r="F9" s="22">
        <f>GRAFICA_34!H31</f>
        <v>250</v>
      </c>
      <c r="G9" s="9">
        <f t="shared" si="0"/>
        <v>300</v>
      </c>
      <c r="H9" s="9">
        <f t="shared" si="1"/>
        <v>250</v>
      </c>
      <c r="I9" s="9">
        <f t="shared" si="2"/>
        <v>390.51248379533274</v>
      </c>
      <c r="J9" s="92">
        <f t="shared" si="3"/>
        <v>0.76822127959737585</v>
      </c>
      <c r="K9" s="92">
        <f t="shared" si="4"/>
        <v>0.64018439966447982</v>
      </c>
      <c r="L9" s="22">
        <f>GRAFICA_34!N31</f>
        <v>12</v>
      </c>
      <c r="M9" s="22">
        <f>GRAFICA_34!O31</f>
        <v>2100000</v>
      </c>
      <c r="N9" s="6">
        <f t="shared" si="5"/>
        <v>64530.587486179567</v>
      </c>
    </row>
    <row r="10" spans="2:14" ht="19.05" customHeight="1" x14ac:dyDescent="0.3">
      <c r="B10" s="44">
        <v>5</v>
      </c>
      <c r="C10" s="22">
        <f>GRAFICA_34!E32</f>
        <v>300</v>
      </c>
      <c r="D10" s="22">
        <f>GRAFICA_34!F32</f>
        <v>250</v>
      </c>
      <c r="E10" s="22">
        <f>GRAFICA_34!G32</f>
        <v>600</v>
      </c>
      <c r="F10" s="22">
        <f>GRAFICA_34!H32</f>
        <v>250</v>
      </c>
      <c r="G10" s="9">
        <f t="shared" si="0"/>
        <v>300</v>
      </c>
      <c r="H10" s="9">
        <f t="shared" si="1"/>
        <v>0</v>
      </c>
      <c r="I10" s="9">
        <f t="shared" si="2"/>
        <v>300</v>
      </c>
      <c r="J10" s="92">
        <f t="shared" si="3"/>
        <v>1</v>
      </c>
      <c r="K10" s="92">
        <f t="shared" si="4"/>
        <v>0</v>
      </c>
      <c r="L10" s="22">
        <f>GRAFICA_34!N32</f>
        <v>12</v>
      </c>
      <c r="M10" s="22">
        <f>GRAFICA_34!O32</f>
        <v>2100000</v>
      </c>
      <c r="N10" s="6">
        <f t="shared" si="5"/>
        <v>84000</v>
      </c>
    </row>
    <row r="11" spans="2:14" ht="19.05" customHeight="1" x14ac:dyDescent="0.3">
      <c r="B11" s="51">
        <v>6</v>
      </c>
      <c r="C11" s="22">
        <f>GRAFICA_34!E33</f>
        <v>600</v>
      </c>
      <c r="D11" s="22">
        <f>GRAFICA_34!F33</f>
        <v>250</v>
      </c>
      <c r="E11" s="22">
        <f>GRAFICA_34!G33</f>
        <v>900</v>
      </c>
      <c r="F11" s="22">
        <f>GRAFICA_34!H33</f>
        <v>0</v>
      </c>
      <c r="G11" s="9">
        <f t="shared" si="0"/>
        <v>300</v>
      </c>
      <c r="H11" s="9">
        <f t="shared" si="1"/>
        <v>-250</v>
      </c>
      <c r="I11" s="9">
        <f t="shared" si="2"/>
        <v>390.51248379533274</v>
      </c>
      <c r="J11" s="92">
        <f t="shared" si="3"/>
        <v>0.76822127959737585</v>
      </c>
      <c r="K11" s="92">
        <f t="shared" si="4"/>
        <v>-0.64018439966447982</v>
      </c>
      <c r="L11" s="22">
        <f>GRAFICA_34!N33</f>
        <v>12</v>
      </c>
      <c r="M11" s="22">
        <f>GRAFICA_34!O33</f>
        <v>2100000</v>
      </c>
      <c r="N11" s="6">
        <f t="shared" si="5"/>
        <v>64530.587486179567</v>
      </c>
    </row>
    <row r="12" spans="2:14" ht="19.05" customHeight="1" x14ac:dyDescent="0.3">
      <c r="B12" s="52">
        <v>7</v>
      </c>
      <c r="C12" s="22">
        <f>GRAFICA_34!E34</f>
        <v>300</v>
      </c>
      <c r="D12" s="22">
        <f>GRAFICA_34!F34</f>
        <v>0</v>
      </c>
      <c r="E12" s="22">
        <f>GRAFICA_34!G34</f>
        <v>300</v>
      </c>
      <c r="F12" s="22">
        <f>GRAFICA_34!H34</f>
        <v>250</v>
      </c>
      <c r="G12" s="9">
        <f t="shared" si="0"/>
        <v>0</v>
      </c>
      <c r="H12" s="9">
        <f t="shared" si="1"/>
        <v>250</v>
      </c>
      <c r="I12" s="9">
        <f t="shared" si="2"/>
        <v>250</v>
      </c>
      <c r="J12" s="92">
        <f t="shared" si="3"/>
        <v>0</v>
      </c>
      <c r="K12" s="92">
        <f t="shared" si="4"/>
        <v>1</v>
      </c>
      <c r="L12" s="22">
        <f>GRAFICA_34!N34</f>
        <v>12</v>
      </c>
      <c r="M12" s="22">
        <f>GRAFICA_34!O34</f>
        <v>2100000</v>
      </c>
      <c r="N12" s="6">
        <f t="shared" si="5"/>
        <v>100800</v>
      </c>
    </row>
    <row r="13" spans="2:14" ht="19.05" customHeight="1" x14ac:dyDescent="0.3">
      <c r="B13" s="59">
        <v>8</v>
      </c>
      <c r="C13" s="22">
        <f>GRAFICA_34!E35</f>
        <v>600</v>
      </c>
      <c r="D13" s="22">
        <f>GRAFICA_34!F35</f>
        <v>0</v>
      </c>
      <c r="E13" s="22">
        <f>GRAFICA_34!G35</f>
        <v>600</v>
      </c>
      <c r="F13" s="22">
        <f>GRAFICA_34!H35</f>
        <v>250</v>
      </c>
      <c r="G13" s="9">
        <f t="shared" si="0"/>
        <v>0</v>
      </c>
      <c r="H13" s="9">
        <f t="shared" si="1"/>
        <v>250</v>
      </c>
      <c r="I13" s="9">
        <f t="shared" si="2"/>
        <v>250</v>
      </c>
      <c r="J13" s="92">
        <f t="shared" si="3"/>
        <v>0</v>
      </c>
      <c r="K13" s="92">
        <f t="shared" si="4"/>
        <v>1</v>
      </c>
      <c r="L13" s="22">
        <f>GRAFICA_34!N35</f>
        <v>12</v>
      </c>
      <c r="M13" s="22">
        <f>GRAFICA_34!O35</f>
        <v>2100000</v>
      </c>
      <c r="N13" s="6">
        <f t="shared" si="5"/>
        <v>100800</v>
      </c>
    </row>
    <row r="14" spans="2:14" ht="19.05" customHeight="1" x14ac:dyDescent="0.3">
      <c r="B14" s="60">
        <v>9</v>
      </c>
      <c r="C14" s="22">
        <f>GRAFICA_34!E36</f>
        <v>300</v>
      </c>
      <c r="D14" s="22">
        <f>GRAFICA_34!F36</f>
        <v>250</v>
      </c>
      <c r="E14" s="22">
        <f>GRAFICA_34!G36</f>
        <v>600</v>
      </c>
      <c r="F14" s="22">
        <f>GRAFICA_34!H36</f>
        <v>0</v>
      </c>
      <c r="G14" s="9">
        <f t="shared" si="0"/>
        <v>300</v>
      </c>
      <c r="H14" s="9">
        <f t="shared" si="1"/>
        <v>-250</v>
      </c>
      <c r="I14" s="9">
        <f t="shared" si="2"/>
        <v>390.51248379533274</v>
      </c>
      <c r="J14" s="92">
        <f t="shared" si="3"/>
        <v>0.76822127959737585</v>
      </c>
      <c r="K14" s="92">
        <f t="shared" si="4"/>
        <v>-0.64018439966447982</v>
      </c>
      <c r="L14" s="22">
        <f>GRAFICA_34!N36</f>
        <v>12</v>
      </c>
      <c r="M14" s="22">
        <f>GRAFICA_34!O36</f>
        <v>2100000</v>
      </c>
      <c r="N14" s="6">
        <f t="shared" si="5"/>
        <v>64530.587486179567</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GRAFICA_34!C28</f>
        <v>1</v>
      </c>
      <c r="D18" s="23">
        <f>GRAFICA_34!C28</f>
        <v>1</v>
      </c>
      <c r="E18" s="23">
        <f>GRAFICA_34!D28</f>
        <v>2</v>
      </c>
      <c r="F18" s="23">
        <f>GRAFICA_34!D28</f>
        <v>2</v>
      </c>
    </row>
    <row r="19" spans="1:6" ht="19.05" customHeight="1" x14ac:dyDescent="0.3">
      <c r="B19" s="25">
        <v>2</v>
      </c>
      <c r="C19" s="23">
        <f>GRAFICA_34!C29</f>
        <v>2</v>
      </c>
      <c r="D19" s="23">
        <f>GRAFICA_34!C29</f>
        <v>2</v>
      </c>
      <c r="E19" s="23">
        <f>GRAFICA_34!D29</f>
        <v>3</v>
      </c>
      <c r="F19" s="23">
        <f>GRAFICA_34!D29</f>
        <v>3</v>
      </c>
    </row>
    <row r="20" spans="1:6" ht="19.05" customHeight="1" x14ac:dyDescent="0.3">
      <c r="B20" s="26">
        <v>3</v>
      </c>
      <c r="C20" s="23">
        <f>GRAFICA_34!C30</f>
        <v>3</v>
      </c>
      <c r="D20" s="23">
        <f>GRAFICA_34!C30</f>
        <v>3</v>
      </c>
      <c r="E20" s="23">
        <f>GRAFICA_34!D30</f>
        <v>4</v>
      </c>
      <c r="F20" s="23">
        <f>GRAFICA_34!D30</f>
        <v>4</v>
      </c>
    </row>
    <row r="21" spans="1:6" ht="19.05" customHeight="1" x14ac:dyDescent="0.3">
      <c r="B21" s="43">
        <v>4</v>
      </c>
      <c r="C21" s="23">
        <f>GRAFICA_34!C31</f>
        <v>1</v>
      </c>
      <c r="D21" s="23">
        <f>GRAFICA_34!C31</f>
        <v>1</v>
      </c>
      <c r="E21" s="23">
        <f>GRAFICA_34!D31</f>
        <v>5</v>
      </c>
      <c r="F21" s="23">
        <f>GRAFICA_34!D31</f>
        <v>5</v>
      </c>
    </row>
    <row r="22" spans="1:6" ht="19.05" customHeight="1" x14ac:dyDescent="0.3">
      <c r="B22" s="44">
        <v>5</v>
      </c>
      <c r="C22" s="23">
        <f>GRAFICA_34!C32</f>
        <v>5</v>
      </c>
      <c r="D22" s="23">
        <f>GRAFICA_34!C32</f>
        <v>5</v>
      </c>
      <c r="E22" s="23">
        <f>GRAFICA_34!D32</f>
        <v>6</v>
      </c>
      <c r="F22" s="23">
        <f>GRAFICA_34!D32</f>
        <v>6</v>
      </c>
    </row>
    <row r="23" spans="1:6" ht="19.05" customHeight="1" x14ac:dyDescent="0.3">
      <c r="B23" s="51">
        <v>6</v>
      </c>
      <c r="C23" s="23">
        <f>GRAFICA_34!C33</f>
        <v>6</v>
      </c>
      <c r="D23" s="23">
        <f>GRAFICA_34!C33</f>
        <v>6</v>
      </c>
      <c r="E23" s="23">
        <f>GRAFICA_34!D33</f>
        <v>4</v>
      </c>
      <c r="F23" s="23">
        <f>GRAFICA_34!D33</f>
        <v>4</v>
      </c>
    </row>
    <row r="24" spans="1:6" ht="19.05" customHeight="1" x14ac:dyDescent="0.3">
      <c r="B24" s="52">
        <v>7</v>
      </c>
      <c r="C24" s="23">
        <f>GRAFICA_34!C34</f>
        <v>2</v>
      </c>
      <c r="D24" s="23">
        <f>GRAFICA_34!C34</f>
        <v>2</v>
      </c>
      <c r="E24" s="23">
        <f>GRAFICA_34!D34</f>
        <v>5</v>
      </c>
      <c r="F24" s="23">
        <f>GRAFICA_34!D34</f>
        <v>5</v>
      </c>
    </row>
    <row r="25" spans="1:6" ht="19.05" customHeight="1" x14ac:dyDescent="0.3">
      <c r="B25" s="59">
        <v>8</v>
      </c>
      <c r="C25" s="23">
        <f>GRAFICA_34!C35</f>
        <v>3</v>
      </c>
      <c r="D25" s="23">
        <f>GRAFICA_34!C35</f>
        <v>3</v>
      </c>
      <c r="E25" s="23">
        <f>GRAFICA_34!D35</f>
        <v>6</v>
      </c>
      <c r="F25" s="23">
        <f>GRAFICA_34!D35</f>
        <v>6</v>
      </c>
    </row>
    <row r="26" spans="1:6" ht="19.05" customHeight="1" x14ac:dyDescent="0.3">
      <c r="B26" s="60">
        <v>9</v>
      </c>
      <c r="C26" s="23">
        <f>GRAFICA_34!C36</f>
        <v>5</v>
      </c>
      <c r="D26" s="23">
        <f>GRAFICA_34!C36</f>
        <v>5</v>
      </c>
      <c r="E26" s="23">
        <f>GRAFICA_34!D36</f>
        <v>3</v>
      </c>
      <c r="F26" s="23">
        <f>GRAFICA_34!D36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U1X</v>
      </c>
      <c r="C92" s="45" t="str">
        <f>CONCATENATE("U",D21,D$17)</f>
        <v>U1Y</v>
      </c>
      <c r="D92" s="45" t="str">
        <f>CONCATENATE("U",E21,E$17)</f>
        <v>U5X</v>
      </c>
      <c r="E92" s="45" t="str">
        <f>CONCATENATE("U",F21,F$17)</f>
        <v>U5Y</v>
      </c>
    </row>
    <row r="93" spans="1:14" x14ac:dyDescent="0.3">
      <c r="B93" s="46">
        <f>J9*J9*N9</f>
        <v>38083.625401679747</v>
      </c>
      <c r="C93" s="46">
        <f>J9*K9*N9</f>
        <v>31736.354501399786</v>
      </c>
      <c r="D93" s="46">
        <f>-B93</f>
        <v>-38083.625401679747</v>
      </c>
      <c r="E93" s="46">
        <f>-C93</f>
        <v>-31736.354501399786</v>
      </c>
      <c r="F93" s="45" t="str">
        <f>B92</f>
        <v>U1X</v>
      </c>
    </row>
    <row r="94" spans="1:14" ht="16.8" customHeight="1" x14ac:dyDescent="0.3">
      <c r="A94" s="28" t="s">
        <v>195</v>
      </c>
      <c r="B94" s="46">
        <f>C93</f>
        <v>31736.354501399786</v>
      </c>
      <c r="C94" s="46">
        <f>K9*K9*N9</f>
        <v>26446.962084499821</v>
      </c>
      <c r="D94" s="46">
        <f>-B94</f>
        <v>-31736.354501399786</v>
      </c>
      <c r="E94" s="46">
        <f>-C94</f>
        <v>-26446.962084499821</v>
      </c>
      <c r="F94" s="45" t="str">
        <f>C92</f>
        <v>U1Y</v>
      </c>
    </row>
    <row r="95" spans="1:14" x14ac:dyDescent="0.3">
      <c r="B95" s="46">
        <f>D93</f>
        <v>-38083.625401679747</v>
      </c>
      <c r="C95" s="46">
        <f>E93</f>
        <v>-31736.354501399786</v>
      </c>
      <c r="D95" s="46">
        <f>B93</f>
        <v>38083.625401679747</v>
      </c>
      <c r="E95" s="46">
        <f>C93</f>
        <v>31736.354501399786</v>
      </c>
      <c r="F95" s="45" t="str">
        <f>D92</f>
        <v>U5X</v>
      </c>
    </row>
    <row r="96" spans="1:14" x14ac:dyDescent="0.3">
      <c r="B96" s="46">
        <f>D94</f>
        <v>-31736.354501399786</v>
      </c>
      <c r="C96" s="46">
        <f>E94</f>
        <v>-26446.962084499821</v>
      </c>
      <c r="D96" s="46">
        <f>B94</f>
        <v>31736.354501399786</v>
      </c>
      <c r="E96" s="46">
        <f>C94</f>
        <v>26446.962084499821</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47">
        <f t="shared" ref="B99:M110" si="9">IFERROR(INDEX($B$93:$E$96, MATCH($N99, $B$92:$E$92, 0), MATCH(B$98, $B$92:$E$92, 0)), 0)</f>
        <v>38083.625401679747</v>
      </c>
      <c r="C99" s="47">
        <f t="shared" si="9"/>
        <v>31736.354501399786</v>
      </c>
      <c r="D99" s="9">
        <f t="shared" si="9"/>
        <v>0</v>
      </c>
      <c r="E99" s="9">
        <f t="shared" si="9"/>
        <v>0</v>
      </c>
      <c r="F99" s="9">
        <f t="shared" si="9"/>
        <v>0</v>
      </c>
      <c r="G99" s="9">
        <f t="shared" si="9"/>
        <v>0</v>
      </c>
      <c r="H99" s="9">
        <f t="shared" si="9"/>
        <v>0</v>
      </c>
      <c r="I99" s="9">
        <f t="shared" si="9"/>
        <v>0</v>
      </c>
      <c r="J99" s="47">
        <f t="shared" si="9"/>
        <v>-38083.625401679747</v>
      </c>
      <c r="K99" s="47">
        <f t="shared" si="9"/>
        <v>-31736.354501399786</v>
      </c>
      <c r="L99" s="9">
        <f t="shared" si="9"/>
        <v>0</v>
      </c>
      <c r="M99" s="9">
        <f t="shared" si="9"/>
        <v>0</v>
      </c>
      <c r="N99" s="45" t="s">
        <v>178</v>
      </c>
    </row>
    <row r="100" spans="1:14" ht="19.05" customHeight="1" x14ac:dyDescent="0.3">
      <c r="B100" s="47">
        <f t="shared" si="9"/>
        <v>31736.354501399786</v>
      </c>
      <c r="C100" s="47">
        <f t="shared" si="9"/>
        <v>26446.962084499821</v>
      </c>
      <c r="D100" s="9">
        <f t="shared" si="9"/>
        <v>0</v>
      </c>
      <c r="E100" s="9">
        <f t="shared" si="9"/>
        <v>0</v>
      </c>
      <c r="F100" s="9">
        <f t="shared" si="9"/>
        <v>0</v>
      </c>
      <c r="G100" s="9">
        <f t="shared" si="9"/>
        <v>0</v>
      </c>
      <c r="H100" s="9">
        <f t="shared" si="9"/>
        <v>0</v>
      </c>
      <c r="I100" s="9">
        <f t="shared" si="9"/>
        <v>0</v>
      </c>
      <c r="J100" s="47">
        <f t="shared" si="9"/>
        <v>-31736.354501399786</v>
      </c>
      <c r="K100" s="47">
        <f t="shared" si="9"/>
        <v>-26446.962084499821</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47">
        <f t="shared" si="9"/>
        <v>-38083.625401679747</v>
      </c>
      <c r="C107" s="47">
        <f t="shared" si="9"/>
        <v>-31736.354501399786</v>
      </c>
      <c r="D107" s="9">
        <f t="shared" si="9"/>
        <v>0</v>
      </c>
      <c r="E107" s="9">
        <f t="shared" si="9"/>
        <v>0</v>
      </c>
      <c r="F107" s="9">
        <f t="shared" si="9"/>
        <v>0</v>
      </c>
      <c r="G107" s="9">
        <f t="shared" si="9"/>
        <v>0</v>
      </c>
      <c r="H107" s="9">
        <f t="shared" si="9"/>
        <v>0</v>
      </c>
      <c r="I107" s="9">
        <f t="shared" si="9"/>
        <v>0</v>
      </c>
      <c r="J107" s="47">
        <f t="shared" si="9"/>
        <v>38083.625401679747</v>
      </c>
      <c r="K107" s="47">
        <f t="shared" si="9"/>
        <v>31736.354501399786</v>
      </c>
      <c r="L107" s="9">
        <f t="shared" si="9"/>
        <v>0</v>
      </c>
      <c r="M107" s="9">
        <f t="shared" si="9"/>
        <v>0</v>
      </c>
      <c r="N107" s="45" t="s">
        <v>186</v>
      </c>
    </row>
    <row r="108" spans="1:14" ht="19.05" customHeight="1" x14ac:dyDescent="0.3">
      <c r="B108" s="47">
        <f t="shared" si="9"/>
        <v>-31736.354501399786</v>
      </c>
      <c r="C108" s="47">
        <f t="shared" si="9"/>
        <v>-26446.962084499821</v>
      </c>
      <c r="D108" s="9">
        <f t="shared" si="9"/>
        <v>0</v>
      </c>
      <c r="E108" s="9">
        <f t="shared" si="9"/>
        <v>0</v>
      </c>
      <c r="F108" s="9">
        <f t="shared" si="9"/>
        <v>0</v>
      </c>
      <c r="G108" s="9">
        <f t="shared" si="9"/>
        <v>0</v>
      </c>
      <c r="H108" s="9">
        <f t="shared" si="9"/>
        <v>0</v>
      </c>
      <c r="I108" s="9">
        <f t="shared" si="9"/>
        <v>0</v>
      </c>
      <c r="J108" s="47">
        <f t="shared" si="9"/>
        <v>31736.354501399786</v>
      </c>
      <c r="K108" s="47">
        <f t="shared" si="9"/>
        <v>26446.962084499821</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84000</v>
      </c>
      <c r="C114" s="49">
        <f>J10*K10*N10</f>
        <v>0</v>
      </c>
      <c r="D114" s="49">
        <f>-B114</f>
        <v>-84000</v>
      </c>
      <c r="E114" s="49">
        <f>-C114</f>
        <v>0</v>
      </c>
      <c r="F114" s="48" t="str">
        <f>B113</f>
        <v>U5X</v>
      </c>
    </row>
    <row r="115" spans="1:14" ht="16.8" customHeight="1" x14ac:dyDescent="0.3">
      <c r="A115" s="28" t="s">
        <v>197</v>
      </c>
      <c r="B115" s="49">
        <f>C114</f>
        <v>0</v>
      </c>
      <c r="C115" s="49">
        <f>K10*K10*N10</f>
        <v>0</v>
      </c>
      <c r="D115" s="49">
        <f>-B115</f>
        <v>0</v>
      </c>
      <c r="E115" s="49">
        <f>-C115</f>
        <v>0</v>
      </c>
      <c r="F115" s="48" t="str">
        <f>C113</f>
        <v>U5Y</v>
      </c>
    </row>
    <row r="116" spans="1:14" x14ac:dyDescent="0.3">
      <c r="B116" s="49">
        <f>D114</f>
        <v>-84000</v>
      </c>
      <c r="C116" s="49">
        <f>E114</f>
        <v>0</v>
      </c>
      <c r="D116" s="49">
        <f>B114</f>
        <v>84000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84000</v>
      </c>
      <c r="K128" s="50">
        <f t="shared" si="10"/>
        <v>0</v>
      </c>
      <c r="L128" s="50">
        <f t="shared" si="10"/>
        <v>-84000</v>
      </c>
      <c r="M128" s="50">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0</v>
      </c>
      <c r="K129" s="50">
        <f t="shared" si="10"/>
        <v>0</v>
      </c>
      <c r="L129" s="50">
        <f t="shared" si="10"/>
        <v>0</v>
      </c>
      <c r="M129" s="50">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-84000</v>
      </c>
      <c r="K130" s="50">
        <f t="shared" si="10"/>
        <v>0</v>
      </c>
      <c r="L130" s="50">
        <f t="shared" si="10"/>
        <v>84000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0</v>
      </c>
      <c r="K131" s="50">
        <f t="shared" si="10"/>
        <v>0</v>
      </c>
      <c r="L131" s="50">
        <f t="shared" si="10"/>
        <v>0</v>
      </c>
      <c r="M131" s="50">
        <f t="shared" si="10"/>
        <v>0</v>
      </c>
      <c r="N131" s="48" t="s">
        <v>189</v>
      </c>
    </row>
    <row r="134" spans="1:14" ht="18" customHeight="1" x14ac:dyDescent="0.3">
      <c r="B134" s="53" t="str">
        <f>CONCATENATE("U",C23,C$17)</f>
        <v>U6X</v>
      </c>
      <c r="C134" s="53" t="str">
        <f>CONCATENATE("U",D23,D$17)</f>
        <v>U6Y</v>
      </c>
      <c r="D134" s="53" t="str">
        <f>CONCATENATE("U",E23,E$17)</f>
        <v>U4X</v>
      </c>
      <c r="E134" s="53" t="str">
        <f>CONCATENATE("U",F23,F$17)</f>
        <v>U4Y</v>
      </c>
    </row>
    <row r="135" spans="1:14" x14ac:dyDescent="0.3">
      <c r="B135" s="54">
        <f>J11*J11*N11</f>
        <v>38083.625401679747</v>
      </c>
      <c r="C135" s="54">
        <f>J11*K11*N11</f>
        <v>-31736.354501399786</v>
      </c>
      <c r="D135" s="54">
        <f>-B135</f>
        <v>-38083.625401679747</v>
      </c>
      <c r="E135" s="54">
        <f>-C135</f>
        <v>31736.354501399786</v>
      </c>
      <c r="F135" s="53" t="str">
        <f>B134</f>
        <v>U6X</v>
      </c>
    </row>
    <row r="136" spans="1:14" ht="16.8" customHeight="1" x14ac:dyDescent="0.3">
      <c r="A136" s="28" t="s">
        <v>199</v>
      </c>
      <c r="B136" s="54">
        <f>C135</f>
        <v>-31736.354501399786</v>
      </c>
      <c r="C136" s="54">
        <f>K11*K11*N11</f>
        <v>26446.962084499821</v>
      </c>
      <c r="D136" s="54">
        <f>-B136</f>
        <v>31736.354501399786</v>
      </c>
      <c r="E136" s="54">
        <f>-C136</f>
        <v>-26446.962084499821</v>
      </c>
      <c r="F136" s="53" t="str">
        <f>C134</f>
        <v>U6Y</v>
      </c>
    </row>
    <row r="137" spans="1:14" x14ac:dyDescent="0.3">
      <c r="B137" s="54">
        <f>D135</f>
        <v>-38083.625401679747</v>
      </c>
      <c r="C137" s="54">
        <f>E135</f>
        <v>31736.354501399786</v>
      </c>
      <c r="D137" s="54">
        <f>B135</f>
        <v>38083.625401679747</v>
      </c>
      <c r="E137" s="54">
        <f>C135</f>
        <v>-31736.354501399786</v>
      </c>
      <c r="F137" s="53" t="str">
        <f>D134</f>
        <v>U4X</v>
      </c>
    </row>
    <row r="138" spans="1:14" x14ac:dyDescent="0.3">
      <c r="B138" s="54">
        <f>D136</f>
        <v>31736.354501399786</v>
      </c>
      <c r="C138" s="54">
        <f>E136</f>
        <v>-26446.962084499821</v>
      </c>
      <c r="D138" s="54">
        <f>B136</f>
        <v>-31736.354501399786</v>
      </c>
      <c r="E138" s="54">
        <f>C136</f>
        <v>26446.962084499821</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55">
        <f t="shared" si="11"/>
        <v>38083.625401679747</v>
      </c>
      <c r="I147" s="55">
        <f t="shared" si="11"/>
        <v>-31736.354501399786</v>
      </c>
      <c r="J147" s="9">
        <f t="shared" si="11"/>
        <v>0</v>
      </c>
      <c r="K147" s="9">
        <f t="shared" si="11"/>
        <v>0</v>
      </c>
      <c r="L147" s="55">
        <f t="shared" si="11"/>
        <v>-38083.625401679747</v>
      </c>
      <c r="M147" s="55">
        <f t="shared" si="11"/>
        <v>31736.354501399786</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55">
        <f t="shared" si="11"/>
        <v>-31736.354501399786</v>
      </c>
      <c r="I148" s="55">
        <f t="shared" si="11"/>
        <v>26446.962084499821</v>
      </c>
      <c r="J148" s="9">
        <f t="shared" si="11"/>
        <v>0</v>
      </c>
      <c r="K148" s="9">
        <f t="shared" si="11"/>
        <v>0</v>
      </c>
      <c r="L148" s="55">
        <f t="shared" si="11"/>
        <v>31736.354501399786</v>
      </c>
      <c r="M148" s="55">
        <f t="shared" si="11"/>
        <v>-26446.962084499821</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55">
        <f t="shared" si="11"/>
        <v>-38083.625401679747</v>
      </c>
      <c r="I151" s="55">
        <f t="shared" si="11"/>
        <v>31736.354501399786</v>
      </c>
      <c r="J151" s="9">
        <f t="shared" si="11"/>
        <v>0</v>
      </c>
      <c r="K151" s="9">
        <f t="shared" si="11"/>
        <v>0</v>
      </c>
      <c r="L151" s="55">
        <f t="shared" si="11"/>
        <v>38083.625401679747</v>
      </c>
      <c r="M151" s="55">
        <f t="shared" si="11"/>
        <v>-31736.354501399786</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55">
        <f t="shared" si="11"/>
        <v>31736.354501399786</v>
      </c>
      <c r="I152" s="55">
        <f t="shared" si="11"/>
        <v>-26446.962084499821</v>
      </c>
      <c r="J152" s="9">
        <f t="shared" si="11"/>
        <v>0</v>
      </c>
      <c r="K152" s="9">
        <f t="shared" si="11"/>
        <v>0</v>
      </c>
      <c r="L152" s="55">
        <f t="shared" si="11"/>
        <v>-31736.354501399786</v>
      </c>
      <c r="M152" s="55">
        <f t="shared" si="11"/>
        <v>26446.962084499821</v>
      </c>
      <c r="N152" s="53" t="s">
        <v>189</v>
      </c>
    </row>
    <row r="155" spans="1:14" ht="18" customHeight="1" x14ac:dyDescent="0.3">
      <c r="B155" s="56" t="str">
        <f>CONCATENATE("U",C24,C$17)</f>
        <v>U2X</v>
      </c>
      <c r="C155" s="56" t="str">
        <f>CONCATENATE("U",D24,D$17)</f>
        <v>U2Y</v>
      </c>
      <c r="D155" s="56" t="str">
        <f>CONCATENATE("U",E24,E$17)</f>
        <v>U5X</v>
      </c>
      <c r="E155" s="56" t="str">
        <f>CONCATENATE("U",F24,F$17)</f>
        <v>U5Y</v>
      </c>
    </row>
    <row r="156" spans="1:14" x14ac:dyDescent="0.3">
      <c r="B156" s="57">
        <f>J12*J12*N12</f>
        <v>0</v>
      </c>
      <c r="C156" s="57">
        <f>J12*K12*N12</f>
        <v>0</v>
      </c>
      <c r="D156" s="57">
        <f>-B156</f>
        <v>0</v>
      </c>
      <c r="E156" s="57">
        <f>-C156</f>
        <v>0</v>
      </c>
      <c r="F156" s="56" t="str">
        <f>B155</f>
        <v>U2X</v>
      </c>
    </row>
    <row r="157" spans="1:14" ht="16.8" customHeight="1" x14ac:dyDescent="0.3">
      <c r="A157" s="28" t="s">
        <v>201</v>
      </c>
      <c r="B157" s="57">
        <f>C156</f>
        <v>0</v>
      </c>
      <c r="C157" s="57">
        <f>K12*K12*N12</f>
        <v>100800</v>
      </c>
      <c r="D157" s="57">
        <f>-B157</f>
        <v>0</v>
      </c>
      <c r="E157" s="57">
        <f>-C157</f>
        <v>-100800</v>
      </c>
      <c r="F157" s="56" t="str">
        <f>C155</f>
        <v>U2Y</v>
      </c>
    </row>
    <row r="158" spans="1:14" x14ac:dyDescent="0.3">
      <c r="B158" s="57">
        <f>D156</f>
        <v>0</v>
      </c>
      <c r="C158" s="57">
        <f>E156</f>
        <v>0</v>
      </c>
      <c r="D158" s="57">
        <f>B156</f>
        <v>0</v>
      </c>
      <c r="E158" s="57">
        <f>C156</f>
        <v>0</v>
      </c>
      <c r="F158" s="56" t="str">
        <f>D155</f>
        <v>U5X</v>
      </c>
    </row>
    <row r="159" spans="1:14" x14ac:dyDescent="0.3">
      <c r="B159" s="57">
        <f>D157</f>
        <v>0</v>
      </c>
      <c r="C159" s="57">
        <f>E157</f>
        <v>-100800</v>
      </c>
      <c r="D159" s="57">
        <f>B157</f>
        <v>0</v>
      </c>
      <c r="E159" s="57">
        <f>C157</f>
        <v>100800</v>
      </c>
      <c r="F159" s="56" t="str">
        <f>E155</f>
        <v>U5Y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0</v>
      </c>
      <c r="E164" s="58">
        <f t="shared" si="12"/>
        <v>0</v>
      </c>
      <c r="F164" s="9">
        <f t="shared" si="12"/>
        <v>0</v>
      </c>
      <c r="G164" s="9">
        <f t="shared" si="12"/>
        <v>0</v>
      </c>
      <c r="H164" s="9">
        <f t="shared" si="12"/>
        <v>0</v>
      </c>
      <c r="I164" s="9">
        <f t="shared" si="12"/>
        <v>0</v>
      </c>
      <c r="J164" s="58">
        <f t="shared" si="12"/>
        <v>0</v>
      </c>
      <c r="K164" s="58">
        <f t="shared" si="12"/>
        <v>0</v>
      </c>
      <c r="L164" s="9">
        <f t="shared" si="12"/>
        <v>0</v>
      </c>
      <c r="M164" s="9">
        <f t="shared" si="12"/>
        <v>0</v>
      </c>
      <c r="N164" s="56" t="s">
        <v>180</v>
      </c>
    </row>
    <row r="165" spans="1:14" ht="19.05" customHeight="1" x14ac:dyDescent="0.3">
      <c r="B165" s="9">
        <f t="shared" si="12"/>
        <v>0</v>
      </c>
      <c r="C165" s="9">
        <f t="shared" si="12"/>
        <v>0</v>
      </c>
      <c r="D165" s="58">
        <f t="shared" si="12"/>
        <v>0</v>
      </c>
      <c r="E165" s="58">
        <f t="shared" si="12"/>
        <v>100800</v>
      </c>
      <c r="F165" s="9">
        <f t="shared" si="12"/>
        <v>0</v>
      </c>
      <c r="G165" s="9">
        <f t="shared" si="12"/>
        <v>0</v>
      </c>
      <c r="H165" s="9">
        <f t="shared" si="12"/>
        <v>0</v>
      </c>
      <c r="I165" s="9">
        <f t="shared" si="12"/>
        <v>0</v>
      </c>
      <c r="J165" s="58">
        <f t="shared" si="12"/>
        <v>0</v>
      </c>
      <c r="K165" s="58">
        <f t="shared" si="12"/>
        <v>-100800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58">
        <f t="shared" si="12"/>
        <v>0</v>
      </c>
      <c r="E170" s="58">
        <f t="shared" si="12"/>
        <v>0</v>
      </c>
      <c r="F170" s="9">
        <f t="shared" si="12"/>
        <v>0</v>
      </c>
      <c r="G170" s="9">
        <f t="shared" si="12"/>
        <v>0</v>
      </c>
      <c r="H170" s="9">
        <f t="shared" si="12"/>
        <v>0</v>
      </c>
      <c r="I170" s="9">
        <f t="shared" si="12"/>
        <v>0</v>
      </c>
      <c r="J170" s="58">
        <f t="shared" si="12"/>
        <v>0</v>
      </c>
      <c r="K170" s="58">
        <f t="shared" si="12"/>
        <v>0</v>
      </c>
      <c r="L170" s="9">
        <f t="shared" si="12"/>
        <v>0</v>
      </c>
      <c r="M170" s="9">
        <f t="shared" si="12"/>
        <v>0</v>
      </c>
      <c r="N170" s="56" t="s">
        <v>186</v>
      </c>
    </row>
    <row r="171" spans="1:14" ht="19.05" customHeight="1" x14ac:dyDescent="0.3">
      <c r="B171" s="9">
        <f t="shared" si="12"/>
        <v>0</v>
      </c>
      <c r="C171" s="9">
        <f t="shared" si="12"/>
        <v>0</v>
      </c>
      <c r="D171" s="58">
        <f t="shared" si="12"/>
        <v>0</v>
      </c>
      <c r="E171" s="58">
        <f t="shared" si="12"/>
        <v>-100800</v>
      </c>
      <c r="F171" s="9">
        <f t="shared" si="12"/>
        <v>0</v>
      </c>
      <c r="G171" s="9">
        <f t="shared" si="12"/>
        <v>0</v>
      </c>
      <c r="H171" s="9">
        <f t="shared" si="12"/>
        <v>0</v>
      </c>
      <c r="I171" s="9">
        <f t="shared" si="12"/>
        <v>0</v>
      </c>
      <c r="J171" s="58">
        <f t="shared" si="12"/>
        <v>0</v>
      </c>
      <c r="K171" s="58">
        <f t="shared" si="12"/>
        <v>100800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U3X</v>
      </c>
      <c r="C176" s="61" t="str">
        <f>CONCATENATE("U",D25,D$17)</f>
        <v>U3Y</v>
      </c>
      <c r="D176" s="61" t="str">
        <f>CONCATENATE("U",E25,E$17)</f>
        <v>U6X</v>
      </c>
      <c r="E176" s="61" t="str">
        <f>CONCATENATE("U",F25,F$17)</f>
        <v>U6Y</v>
      </c>
    </row>
    <row r="177" spans="1:14" x14ac:dyDescent="0.3">
      <c r="B177" s="62">
        <f>J13*J13*N13</f>
        <v>0</v>
      </c>
      <c r="C177" s="62">
        <f>J13*K13*N13</f>
        <v>0</v>
      </c>
      <c r="D177" s="62">
        <f>-B177</f>
        <v>0</v>
      </c>
      <c r="E177" s="62">
        <f>-C177</f>
        <v>0</v>
      </c>
      <c r="F177" s="61" t="str">
        <f>B176</f>
        <v>U3X</v>
      </c>
    </row>
    <row r="178" spans="1:14" ht="16.8" customHeight="1" x14ac:dyDescent="0.3">
      <c r="A178" s="28" t="s">
        <v>203</v>
      </c>
      <c r="B178" s="62">
        <f>C177</f>
        <v>0</v>
      </c>
      <c r="C178" s="62">
        <f>K13*K13*N13</f>
        <v>100800</v>
      </c>
      <c r="D178" s="62">
        <f>-B178</f>
        <v>0</v>
      </c>
      <c r="E178" s="62">
        <f>-C178</f>
        <v>-100800</v>
      </c>
      <c r="F178" s="61" t="str">
        <f>C176</f>
        <v>U3Y</v>
      </c>
    </row>
    <row r="179" spans="1:14" x14ac:dyDescent="0.3">
      <c r="B179" s="62">
        <f>D177</f>
        <v>0</v>
      </c>
      <c r="C179" s="62">
        <f>E177</f>
        <v>0</v>
      </c>
      <c r="D179" s="62">
        <f>B177</f>
        <v>0</v>
      </c>
      <c r="E179" s="62">
        <f>C177</f>
        <v>0</v>
      </c>
      <c r="F179" s="61" t="str">
        <f>D176</f>
        <v>U6X</v>
      </c>
    </row>
    <row r="180" spans="1:14" x14ac:dyDescent="0.3">
      <c r="B180" s="62">
        <f>D178</f>
        <v>0</v>
      </c>
      <c r="C180" s="62">
        <f>E178</f>
        <v>-100800</v>
      </c>
      <c r="D180" s="62">
        <f>B178</f>
        <v>0</v>
      </c>
      <c r="E180" s="62">
        <f>C178</f>
        <v>100800</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100800</v>
      </c>
      <c r="H188" s="9">
        <f t="shared" si="13"/>
        <v>0</v>
      </c>
      <c r="I188" s="9">
        <f t="shared" si="13"/>
        <v>0</v>
      </c>
      <c r="J188" s="9">
        <f t="shared" si="13"/>
        <v>0</v>
      </c>
      <c r="K188" s="9">
        <f t="shared" si="13"/>
        <v>0</v>
      </c>
      <c r="L188" s="63">
        <f t="shared" si="13"/>
        <v>0</v>
      </c>
      <c r="M188" s="63">
        <f t="shared" si="13"/>
        <v>-100800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-100800</v>
      </c>
      <c r="H194" s="9">
        <f t="shared" si="13"/>
        <v>0</v>
      </c>
      <c r="I194" s="9">
        <f t="shared" si="13"/>
        <v>0</v>
      </c>
      <c r="J194" s="9">
        <f t="shared" si="13"/>
        <v>0</v>
      </c>
      <c r="K194" s="9">
        <f t="shared" si="13"/>
        <v>0</v>
      </c>
      <c r="L194" s="63">
        <f t="shared" si="13"/>
        <v>0</v>
      </c>
      <c r="M194" s="63">
        <f t="shared" si="13"/>
        <v>100800</v>
      </c>
      <c r="N194" s="61" t="s">
        <v>189</v>
      </c>
    </row>
    <row r="197" spans="1:14" ht="18" customHeight="1" x14ac:dyDescent="0.3">
      <c r="B197" s="64" t="str">
        <f>CONCATENATE("U",C26,C$17)</f>
        <v>U5X</v>
      </c>
      <c r="C197" s="64" t="str">
        <f>CONCATENATE("U",D26,D$17)</f>
        <v>U5Y</v>
      </c>
      <c r="D197" s="64" t="str">
        <f>CONCATENATE("U",E26,E$17)</f>
        <v>U3X</v>
      </c>
      <c r="E197" s="64" t="str">
        <f>CONCATENATE("U",F26,F$17)</f>
        <v>U3Y</v>
      </c>
    </row>
    <row r="198" spans="1:14" x14ac:dyDescent="0.3">
      <c r="B198" s="65">
        <f>J14*J14*N14</f>
        <v>38083.625401679747</v>
      </c>
      <c r="C198" s="65">
        <f>J14*K14*N14</f>
        <v>-31736.354501399786</v>
      </c>
      <c r="D198" s="65">
        <f>-B198</f>
        <v>-38083.625401679747</v>
      </c>
      <c r="E198" s="65">
        <f>-C198</f>
        <v>31736.354501399786</v>
      </c>
      <c r="F198" s="64" t="str">
        <f>B197</f>
        <v>U5X</v>
      </c>
    </row>
    <row r="199" spans="1:14" ht="16.8" customHeight="1" x14ac:dyDescent="0.3">
      <c r="A199" s="28" t="s">
        <v>528</v>
      </c>
      <c r="B199" s="65">
        <f>C198</f>
        <v>-31736.354501399786</v>
      </c>
      <c r="C199" s="65">
        <f>K14*K14*N14</f>
        <v>26446.962084499821</v>
      </c>
      <c r="D199" s="65">
        <f>-B199</f>
        <v>31736.354501399786</v>
      </c>
      <c r="E199" s="65">
        <f>-C199</f>
        <v>-26446.962084499821</v>
      </c>
      <c r="F199" s="64" t="str">
        <f>C197</f>
        <v>U5Y</v>
      </c>
    </row>
    <row r="200" spans="1:14" x14ac:dyDescent="0.3">
      <c r="B200" s="65">
        <f>D198</f>
        <v>-38083.625401679747</v>
      </c>
      <c r="C200" s="65">
        <f>E198</f>
        <v>31736.354501399786</v>
      </c>
      <c r="D200" s="65">
        <f>B198</f>
        <v>38083.625401679747</v>
      </c>
      <c r="E200" s="65">
        <f>C198</f>
        <v>-31736.354501399786</v>
      </c>
      <c r="F200" s="64" t="str">
        <f>D197</f>
        <v>U3X</v>
      </c>
    </row>
    <row r="201" spans="1:14" x14ac:dyDescent="0.3">
      <c r="B201" s="65">
        <f>D199</f>
        <v>31736.354501399786</v>
      </c>
      <c r="C201" s="65">
        <f>E199</f>
        <v>-26446.962084499821</v>
      </c>
      <c r="D201" s="65">
        <f>B199</f>
        <v>-31736.354501399786</v>
      </c>
      <c r="E201" s="65">
        <f>C199</f>
        <v>26446.962084499821</v>
      </c>
      <c r="F201" s="64" t="str">
        <f>E197</f>
        <v>U3Y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38083.625401679747</v>
      </c>
      <c r="G208" s="66">
        <f t="shared" si="14"/>
        <v>-31736.354501399786</v>
      </c>
      <c r="H208" s="9">
        <f t="shared" si="14"/>
        <v>0</v>
      </c>
      <c r="I208" s="9">
        <f t="shared" si="14"/>
        <v>0</v>
      </c>
      <c r="J208" s="66">
        <f t="shared" si="14"/>
        <v>-38083.625401679747</v>
      </c>
      <c r="K208" s="66">
        <f t="shared" si="14"/>
        <v>31736.354501399786</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66">
        <f t="shared" si="14"/>
        <v>-31736.354501399786</v>
      </c>
      <c r="G209" s="66">
        <f t="shared" si="14"/>
        <v>26446.962084499821</v>
      </c>
      <c r="H209" s="9">
        <f t="shared" si="14"/>
        <v>0</v>
      </c>
      <c r="I209" s="9">
        <f t="shared" si="14"/>
        <v>0</v>
      </c>
      <c r="J209" s="66">
        <f t="shared" si="14"/>
        <v>31736.354501399786</v>
      </c>
      <c r="K209" s="66">
        <f t="shared" si="14"/>
        <v>-26446.962084499821</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66">
        <f t="shared" si="14"/>
        <v>-38083.625401679747</v>
      </c>
      <c r="G212" s="66">
        <f t="shared" si="14"/>
        <v>31736.354501399786</v>
      </c>
      <c r="H212" s="9">
        <f t="shared" si="14"/>
        <v>0</v>
      </c>
      <c r="I212" s="9">
        <f t="shared" si="14"/>
        <v>0</v>
      </c>
      <c r="J212" s="66">
        <f t="shared" si="14"/>
        <v>38083.625401679747</v>
      </c>
      <c r="K212" s="66">
        <f t="shared" si="14"/>
        <v>-31736.354501399786</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66">
        <f t="shared" si="14"/>
        <v>31736.354501399786</v>
      </c>
      <c r="G213" s="66">
        <f t="shared" si="14"/>
        <v>-26446.962084499821</v>
      </c>
      <c r="H213" s="9">
        <f t="shared" si="14"/>
        <v>0</v>
      </c>
      <c r="I213" s="9">
        <f t="shared" si="14"/>
        <v>0</v>
      </c>
      <c r="J213" s="66">
        <f t="shared" si="14"/>
        <v>-31736.354501399786</v>
      </c>
      <c r="K213" s="66">
        <f t="shared" si="14"/>
        <v>26446.962084499821</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122083.62540167975</v>
      </c>
      <c r="C219" s="36">
        <f t="shared" si="15"/>
        <v>31736.354501399786</v>
      </c>
      <c r="D219" s="9">
        <f t="shared" si="15"/>
        <v>-84000</v>
      </c>
      <c r="E219" s="9">
        <f t="shared" si="15"/>
        <v>0</v>
      </c>
      <c r="F219" s="9">
        <f t="shared" si="15"/>
        <v>0</v>
      </c>
      <c r="G219" s="9">
        <f t="shared" si="15"/>
        <v>0</v>
      </c>
      <c r="H219" s="9">
        <f t="shared" si="15"/>
        <v>0</v>
      </c>
      <c r="I219" s="9">
        <f t="shared" si="15"/>
        <v>0</v>
      </c>
      <c r="J219" s="9">
        <f t="shared" si="15"/>
        <v>-38083.625401679747</v>
      </c>
      <c r="K219" s="9">
        <f t="shared" si="15"/>
        <v>-31736.354501399786</v>
      </c>
      <c r="L219" s="9">
        <f t="shared" si="15"/>
        <v>0</v>
      </c>
      <c r="M219" s="9">
        <f t="shared" si="15"/>
        <v>0</v>
      </c>
      <c r="N219" s="89" t="s">
        <v>178</v>
      </c>
    </row>
    <row r="220" spans="1:14" ht="19.95" customHeight="1" x14ac:dyDescent="0.3">
      <c r="B220" s="36">
        <f t="shared" ref="B220:M220" si="16">B37+B58+B79+B100+B121+B142+B163+B184+B205</f>
        <v>31736.354501399786</v>
      </c>
      <c r="C220" s="35">
        <f t="shared" si="16"/>
        <v>26446.962084499821</v>
      </c>
      <c r="D220" s="9">
        <f t="shared" si="16"/>
        <v>0</v>
      </c>
      <c r="E220" s="9">
        <f t="shared" si="16"/>
        <v>0</v>
      </c>
      <c r="F220" s="9">
        <f t="shared" si="16"/>
        <v>0</v>
      </c>
      <c r="G220" s="9">
        <f t="shared" si="16"/>
        <v>0</v>
      </c>
      <c r="H220" s="9">
        <f t="shared" si="16"/>
        <v>0</v>
      </c>
      <c r="I220" s="9">
        <f t="shared" si="16"/>
        <v>0</v>
      </c>
      <c r="J220" s="9">
        <f t="shared" si="16"/>
        <v>-31736.354501399786</v>
      </c>
      <c r="K220" s="9">
        <f t="shared" si="16"/>
        <v>-26446.962084499821</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168000</v>
      </c>
      <c r="E221" s="36">
        <f t="shared" si="17"/>
        <v>0</v>
      </c>
      <c r="F221" s="9">
        <f t="shared" si="17"/>
        <v>-84000</v>
      </c>
      <c r="G221" s="9">
        <f t="shared" si="17"/>
        <v>0</v>
      </c>
      <c r="H221" s="9">
        <f t="shared" si="17"/>
        <v>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0</v>
      </c>
      <c r="E222" s="35">
        <f t="shared" si="18"/>
        <v>100800</v>
      </c>
      <c r="F222" s="9">
        <f t="shared" si="18"/>
        <v>0</v>
      </c>
      <c r="G222" s="9">
        <f t="shared" si="18"/>
        <v>0</v>
      </c>
      <c r="H222" s="9">
        <f t="shared" si="18"/>
        <v>0</v>
      </c>
      <c r="I222" s="9">
        <f t="shared" si="18"/>
        <v>0</v>
      </c>
      <c r="J222" s="9">
        <f t="shared" si="18"/>
        <v>0</v>
      </c>
      <c r="K222" s="9">
        <f t="shared" si="18"/>
        <v>-100800</v>
      </c>
      <c r="L222" s="9">
        <f t="shared" si="18"/>
        <v>0</v>
      </c>
      <c r="M222" s="9">
        <f t="shared" si="18"/>
        <v>0</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206083.62540167975</v>
      </c>
      <c r="G223" s="36">
        <f t="shared" si="19"/>
        <v>-31736.354501399786</v>
      </c>
      <c r="H223" s="9">
        <f t="shared" si="19"/>
        <v>-84000</v>
      </c>
      <c r="I223" s="9">
        <f t="shared" si="19"/>
        <v>0</v>
      </c>
      <c r="J223" s="9">
        <f t="shared" si="19"/>
        <v>-38083.625401679747</v>
      </c>
      <c r="K223" s="9">
        <f t="shared" si="19"/>
        <v>31736.354501399786</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-31736.354501399786</v>
      </c>
      <c r="G224" s="35">
        <f t="shared" si="20"/>
        <v>127246.96208449983</v>
      </c>
      <c r="H224" s="9">
        <f t="shared" si="20"/>
        <v>0</v>
      </c>
      <c r="I224" s="9">
        <f t="shared" si="20"/>
        <v>0</v>
      </c>
      <c r="J224" s="9">
        <f t="shared" si="20"/>
        <v>31736.354501399786</v>
      </c>
      <c r="K224" s="9">
        <f t="shared" si="20"/>
        <v>-26446.962084499821</v>
      </c>
      <c r="L224" s="9">
        <f t="shared" si="20"/>
        <v>0</v>
      </c>
      <c r="M224" s="9">
        <f t="shared" si="20"/>
        <v>-100800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122083.62540167975</v>
      </c>
      <c r="I225" s="36">
        <f t="shared" si="21"/>
        <v>-31736.354501399786</v>
      </c>
      <c r="J225" s="9">
        <f t="shared" si="21"/>
        <v>0</v>
      </c>
      <c r="K225" s="9">
        <f t="shared" si="21"/>
        <v>0</v>
      </c>
      <c r="L225" s="9">
        <f t="shared" si="21"/>
        <v>-38083.625401679747</v>
      </c>
      <c r="M225" s="9">
        <f t="shared" si="21"/>
        <v>31736.354501399786</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-31736.354501399786</v>
      </c>
      <c r="I226" s="35">
        <f t="shared" si="22"/>
        <v>26446.962084499821</v>
      </c>
      <c r="J226" s="9">
        <f t="shared" si="22"/>
        <v>0</v>
      </c>
      <c r="K226" s="9">
        <f t="shared" si="22"/>
        <v>0</v>
      </c>
      <c r="L226" s="9">
        <f t="shared" si="22"/>
        <v>31736.354501399786</v>
      </c>
      <c r="M226" s="9">
        <f t="shared" si="22"/>
        <v>-26446.962084499821</v>
      </c>
      <c r="N226" s="89" t="s">
        <v>185</v>
      </c>
    </row>
    <row r="227" spans="1:21" ht="19.95" customHeight="1" x14ac:dyDescent="0.3">
      <c r="B227" s="9">
        <f t="shared" ref="B227:M227" si="23">B44+B65+B86+B107+B128+B149+B170+B191+B212</f>
        <v>-38083.625401679747</v>
      </c>
      <c r="C227" s="9">
        <f t="shared" si="23"/>
        <v>-31736.354501399786</v>
      </c>
      <c r="D227" s="9">
        <f t="shared" si="23"/>
        <v>0</v>
      </c>
      <c r="E227" s="9">
        <f t="shared" si="23"/>
        <v>0</v>
      </c>
      <c r="F227" s="9">
        <f t="shared" si="23"/>
        <v>-38083.625401679747</v>
      </c>
      <c r="G227" s="9">
        <f t="shared" si="23"/>
        <v>31736.354501399786</v>
      </c>
      <c r="H227" s="9">
        <f t="shared" si="23"/>
        <v>0</v>
      </c>
      <c r="I227" s="9">
        <f t="shared" si="23"/>
        <v>0</v>
      </c>
      <c r="J227" s="35">
        <f t="shared" si="23"/>
        <v>160167.25080335949</v>
      </c>
      <c r="K227" s="36">
        <f t="shared" si="23"/>
        <v>0</v>
      </c>
      <c r="L227" s="9">
        <f t="shared" si="23"/>
        <v>-84000</v>
      </c>
      <c r="M227" s="9">
        <f t="shared" si="23"/>
        <v>0</v>
      </c>
      <c r="N227" s="89" t="s">
        <v>186</v>
      </c>
    </row>
    <row r="228" spans="1:21" ht="19.95" customHeight="1" x14ac:dyDescent="0.3">
      <c r="B228" s="9">
        <f t="shared" ref="B228:M228" si="24">B45+B66+B87+B108+B129+B150+B171+B192+B213</f>
        <v>-31736.354501399786</v>
      </c>
      <c r="C228" s="9">
        <f t="shared" si="24"/>
        <v>-26446.962084499821</v>
      </c>
      <c r="D228" s="9">
        <f t="shared" si="24"/>
        <v>0</v>
      </c>
      <c r="E228" s="9">
        <f t="shared" si="24"/>
        <v>-100800</v>
      </c>
      <c r="F228" s="9">
        <f t="shared" si="24"/>
        <v>31736.354501399786</v>
      </c>
      <c r="G228" s="9">
        <f t="shared" si="24"/>
        <v>-26446.962084499821</v>
      </c>
      <c r="H228" s="9">
        <f t="shared" si="24"/>
        <v>0</v>
      </c>
      <c r="I228" s="9">
        <f t="shared" si="24"/>
        <v>0</v>
      </c>
      <c r="J228" s="36">
        <f t="shared" si="24"/>
        <v>0</v>
      </c>
      <c r="K228" s="35">
        <f t="shared" si="24"/>
        <v>153693.92416899966</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-38083.625401679747</v>
      </c>
      <c r="I229" s="9">
        <f t="shared" si="25"/>
        <v>31736.354501399786</v>
      </c>
      <c r="J229" s="9">
        <f t="shared" si="25"/>
        <v>-84000</v>
      </c>
      <c r="K229" s="9">
        <f t="shared" si="25"/>
        <v>0</v>
      </c>
      <c r="L229" s="35">
        <f t="shared" si="25"/>
        <v>122083.62540167975</v>
      </c>
      <c r="M229" s="36">
        <f t="shared" si="25"/>
        <v>-31736.354501399786</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-100800</v>
      </c>
      <c r="H230" s="9">
        <f t="shared" si="26"/>
        <v>31736.354501399786</v>
      </c>
      <c r="I230" s="9">
        <f t="shared" si="26"/>
        <v>-26446.962084499821</v>
      </c>
      <c r="J230" s="9">
        <f t="shared" si="26"/>
        <v>0</v>
      </c>
      <c r="K230" s="9">
        <f t="shared" si="26"/>
        <v>0</v>
      </c>
      <c r="L230" s="36">
        <f t="shared" si="26"/>
        <v>-31736.354501399786</v>
      </c>
      <c r="M230" s="35">
        <f t="shared" si="26"/>
        <v>127246.96208449983</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IF(GRAFICA_34!F14=1, B234, GRAFICA_34!H14)</f>
        <v>C1X</v>
      </c>
      <c r="P234" s="215" t="s">
        <v>376</v>
      </c>
      <c r="Q234" s="172"/>
      <c r="R234" s="172"/>
      <c r="S234" s="172"/>
      <c r="T234" s="172"/>
      <c r="U234" s="173"/>
    </row>
    <row r="235" spans="1:21" ht="16.95" customHeight="1" x14ac:dyDescent="0.3">
      <c r="B235" s="12" t="s">
        <v>210</v>
      </c>
      <c r="C235" s="12" t="s">
        <v>179</v>
      </c>
      <c r="E235" s="37" t="str">
        <f>IF(GRAFICA_34!G14=1, B235, GRAFICA_34!I14)</f>
        <v>C1Y</v>
      </c>
      <c r="P235" s="215" t="s">
        <v>211</v>
      </c>
      <c r="Q235" s="172"/>
      <c r="R235" s="172"/>
      <c r="S235" s="172"/>
      <c r="T235" s="172"/>
      <c r="U235" s="173"/>
    </row>
    <row r="236" spans="1:21" ht="16.95" customHeight="1" x14ac:dyDescent="0.3">
      <c r="B236" s="12" t="s">
        <v>212</v>
      </c>
      <c r="C236" s="12" t="s">
        <v>180</v>
      </c>
      <c r="E236" s="37">
        <f>IF(GRAFICA_34!F15=1, B236, GRAFICA_34!H15)</f>
        <v>0</v>
      </c>
      <c r="P236" s="215" t="s">
        <v>377</v>
      </c>
      <c r="Q236" s="172"/>
      <c r="R236" s="172"/>
      <c r="S236" s="172"/>
      <c r="T236" s="172"/>
      <c r="U236" s="173"/>
    </row>
    <row r="237" spans="1:21" ht="16.95" customHeight="1" x14ac:dyDescent="0.3">
      <c r="B237" s="12" t="s">
        <v>214</v>
      </c>
      <c r="C237" s="12" t="s">
        <v>181</v>
      </c>
      <c r="E237" s="37">
        <f>IF(GRAFICA_34!G15=1, B237, GRAFICA_34!I15)</f>
        <v>-5500</v>
      </c>
      <c r="P237" s="215" t="s">
        <v>215</v>
      </c>
      <c r="Q237" s="172"/>
      <c r="R237" s="172"/>
      <c r="S237" s="172"/>
      <c r="T237" s="172"/>
      <c r="U237" s="173"/>
    </row>
    <row r="238" spans="1:21" ht="16.95" customHeight="1" x14ac:dyDescent="0.3">
      <c r="B238" s="12" t="s">
        <v>216</v>
      </c>
      <c r="C238" s="12" t="s">
        <v>182</v>
      </c>
      <c r="E238" s="37">
        <f>IF(GRAFICA_34!F16=1, B238, GRAFICA_34!H16)</f>
        <v>0</v>
      </c>
      <c r="P238" s="215" t="s">
        <v>378</v>
      </c>
      <c r="Q238" s="172"/>
      <c r="R238" s="172"/>
      <c r="S238" s="172"/>
      <c r="T238" s="172"/>
      <c r="U238" s="173"/>
    </row>
    <row r="239" spans="1:21" ht="16.95" customHeight="1" x14ac:dyDescent="0.3">
      <c r="A239" s="38" t="s">
        <v>218</v>
      </c>
      <c r="B239" s="12" t="s">
        <v>219</v>
      </c>
      <c r="C239" s="12" t="s">
        <v>183</v>
      </c>
      <c r="D239" s="13" t="s">
        <v>220</v>
      </c>
      <c r="E239" s="37">
        <f>IF(GRAFICA_34!G16=1, B239, GRAFICA_34!I16)</f>
        <v>-5500</v>
      </c>
      <c r="P239" s="215" t="s">
        <v>379</v>
      </c>
      <c r="Q239" s="172"/>
      <c r="R239" s="172"/>
      <c r="S239" s="172"/>
      <c r="T239" s="172"/>
      <c r="U239" s="173"/>
    </row>
    <row r="240" spans="1:21" ht="16.95" customHeight="1" x14ac:dyDescent="0.3">
      <c r="B240" s="12" t="s">
        <v>221</v>
      </c>
      <c r="C240" s="12" t="s">
        <v>184</v>
      </c>
      <c r="E240" s="37">
        <f>IF(GRAFICA_34!F17=1, B240, GRAFICA_34!H17)</f>
        <v>0</v>
      </c>
      <c r="P240" s="215"/>
      <c r="Q240" s="172"/>
      <c r="R240" s="172"/>
      <c r="S240" s="172"/>
      <c r="T240" s="172"/>
      <c r="U240" s="173"/>
    </row>
    <row r="241" spans="1:21" ht="16.95" customHeight="1" x14ac:dyDescent="0.3">
      <c r="B241" s="12" t="s">
        <v>222</v>
      </c>
      <c r="C241" s="12" t="s">
        <v>185</v>
      </c>
      <c r="E241" s="37" t="str">
        <f>IF(GRAFICA_34!G17=1, B241, GRAFICA_34!I17)</f>
        <v>C4Y</v>
      </c>
      <c r="P241" s="215"/>
      <c r="Q241" s="172"/>
      <c r="R241" s="172"/>
      <c r="S241" s="172"/>
      <c r="T241" s="172"/>
      <c r="U241" s="173"/>
    </row>
    <row r="242" spans="1:21" ht="16.95" customHeight="1" x14ac:dyDescent="0.3">
      <c r="B242" s="12" t="s">
        <v>223</v>
      </c>
      <c r="C242" s="12" t="s">
        <v>186</v>
      </c>
      <c r="E242" s="37">
        <f>IF(GRAFICA_34!F18=1, B242, GRAFICA_34!H18)</f>
        <v>0</v>
      </c>
      <c r="P242" s="215"/>
      <c r="Q242" s="172"/>
      <c r="R242" s="172"/>
      <c r="S242" s="172"/>
      <c r="T242" s="172"/>
      <c r="U242" s="173"/>
    </row>
    <row r="243" spans="1:21" ht="16.95" customHeight="1" x14ac:dyDescent="0.3">
      <c r="B243" s="12" t="s">
        <v>224</v>
      </c>
      <c r="C243" s="12" t="s">
        <v>187</v>
      </c>
      <c r="E243" s="37">
        <f>IF(GRAFICA_34!G18=1, B243, GRAFICA_34!I18)</f>
        <v>0</v>
      </c>
      <c r="P243" s="215"/>
      <c r="Q243" s="172"/>
      <c r="R243" s="172"/>
      <c r="S243" s="172"/>
      <c r="T243" s="172"/>
      <c r="U243" s="173"/>
    </row>
    <row r="244" spans="1:21" ht="16.95" customHeight="1" x14ac:dyDescent="0.3">
      <c r="B244" s="12" t="s">
        <v>225</v>
      </c>
      <c r="C244" s="12" t="s">
        <v>188</v>
      </c>
      <c r="E244" s="37">
        <f>IF(GRAFICA_34!F19=1, B244, GRAFICA_34!H19)</f>
        <v>0</v>
      </c>
      <c r="P244" s="215"/>
      <c r="Q244" s="172"/>
      <c r="R244" s="172"/>
      <c r="S244" s="172"/>
      <c r="T244" s="172"/>
      <c r="U244" s="173"/>
    </row>
    <row r="245" spans="1:21" ht="16.95" customHeight="1" x14ac:dyDescent="0.3">
      <c r="B245" s="12" t="s">
        <v>226</v>
      </c>
      <c r="C245" s="12" t="s">
        <v>189</v>
      </c>
      <c r="E245" s="37">
        <f>IF(GRAFICA_34!G19=1, B245, GRAFICA_34!I19)</f>
        <v>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IF(GRAFICA_34!F14=1,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IF(GRAFICA_34!G14=1,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IF(GRAFICA_34!F15=1,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IF(GRAFICA_34!G15=1,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IF(GRAFICA_34!F16=1,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IF(GRAFICA_34!G16=1, 0, B253)</f>
        <v>D3Y</v>
      </c>
      <c r="F253" s="14">
        <f>IF(E253&lt;&gt;0, COUNTIF(E$248:E253, "&lt;&gt;0"), "")</f>
        <v>4</v>
      </c>
      <c r="G253" s="14" t="str">
        <f>IF(E253=0, COUNTIF(E$248:E253, 0), "")</f>
        <v/>
      </c>
      <c r="P253" s="215"/>
      <c r="Q253" s="172"/>
      <c r="R253" s="172"/>
      <c r="S253" s="172"/>
      <c r="T253" s="172"/>
      <c r="U253" s="173"/>
    </row>
    <row r="254" spans="1:21" ht="16.95" customHeight="1" x14ac:dyDescent="0.3">
      <c r="B254" s="12" t="s">
        <v>235</v>
      </c>
      <c r="C254" s="12" t="s">
        <v>184</v>
      </c>
      <c r="E254" s="39" t="str">
        <f>IF(GRAFICA_34!F17=1, 0, B254)</f>
        <v>D4X</v>
      </c>
      <c r="F254" s="14">
        <f>IF(E254&lt;&gt;0, COUNTIF(E$248:E254, "&lt;&gt;0"), "")</f>
        <v>5</v>
      </c>
      <c r="G254" s="14" t="str">
        <f>IF(E254=0, COUNTIF(E$248:E254, 0), "")</f>
        <v/>
      </c>
      <c r="P254" s="215"/>
      <c r="Q254" s="172"/>
      <c r="R254" s="172"/>
      <c r="S254" s="172"/>
      <c r="T254" s="172"/>
      <c r="U254" s="173"/>
    </row>
    <row r="255" spans="1:21" ht="16.95" customHeight="1" x14ac:dyDescent="0.3">
      <c r="B255" s="12" t="s">
        <v>236</v>
      </c>
      <c r="C255" s="12" t="s">
        <v>185</v>
      </c>
      <c r="E255" s="39">
        <f>IF(GRAFICA_34!G17=1, 0, B255)</f>
        <v>0</v>
      </c>
      <c r="F255" s="14" t="str">
        <f>IF(E255&lt;&gt;0, COUNTIF(E$248:E255, "&lt;&gt;0"), "")</f>
        <v/>
      </c>
      <c r="G255" s="14">
        <f>IF(E255=0, COUNTIF(E$248:E255, 0), "")</f>
        <v>3</v>
      </c>
      <c r="P255" s="215"/>
      <c r="Q255" s="172"/>
      <c r="R255" s="172"/>
      <c r="S255" s="172"/>
      <c r="T255" s="172"/>
      <c r="U255" s="173"/>
    </row>
    <row r="256" spans="1:21" ht="16.95" customHeight="1" x14ac:dyDescent="0.3">
      <c r="B256" s="12" t="s">
        <v>237</v>
      </c>
      <c r="C256" s="12" t="s">
        <v>186</v>
      </c>
      <c r="E256" s="39" t="str">
        <f>IF(GRAFICA_34!F18=1,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IF(GRAFICA_34!G18=1,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IF(GRAFICA_34!F19=1,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IF(GRAFICA_34!G19=1,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122083.62540167975</v>
      </c>
      <c r="D264" s="9">
        <f t="shared" si="28"/>
        <v>31736.354501399786</v>
      </c>
      <c r="E264" s="9">
        <f t="shared" si="28"/>
        <v>-84000</v>
      </c>
      <c r="F264" s="9">
        <f t="shared" si="28"/>
        <v>0</v>
      </c>
      <c r="G264" s="9">
        <f t="shared" si="28"/>
        <v>0</v>
      </c>
      <c r="H264" s="9">
        <f t="shared" si="28"/>
        <v>0</v>
      </c>
      <c r="I264" s="9">
        <f t="shared" si="28"/>
        <v>0</v>
      </c>
      <c r="J264" s="9">
        <f t="shared" si="28"/>
        <v>0</v>
      </c>
      <c r="K264" s="9">
        <f t="shared" si="28"/>
        <v>-38083.625401679747</v>
      </c>
      <c r="L264" s="9">
        <f t="shared" si="28"/>
        <v>-31736.354501399786</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31736.354501399786</v>
      </c>
      <c r="D265" s="9">
        <f t="shared" si="29"/>
        <v>26446.962084499821</v>
      </c>
      <c r="E265" s="9">
        <f t="shared" si="29"/>
        <v>0</v>
      </c>
      <c r="F265" s="9">
        <f t="shared" si="29"/>
        <v>0</v>
      </c>
      <c r="G265" s="9">
        <f t="shared" si="29"/>
        <v>0</v>
      </c>
      <c r="H265" s="9">
        <f t="shared" si="29"/>
        <v>0</v>
      </c>
      <c r="I265" s="9">
        <f t="shared" si="29"/>
        <v>0</v>
      </c>
      <c r="J265" s="9">
        <f t="shared" si="29"/>
        <v>0</v>
      </c>
      <c r="K265" s="9">
        <f t="shared" si="29"/>
        <v>-31736.354501399786</v>
      </c>
      <c r="L265" s="9">
        <f t="shared" si="29"/>
        <v>-26446.962084499821</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-84000</v>
      </c>
      <c r="D266" s="9">
        <f t="shared" si="30"/>
        <v>0</v>
      </c>
      <c r="E266" s="41">
        <f t="shared" si="30"/>
        <v>168000</v>
      </c>
      <c r="F266" s="41">
        <f t="shared" si="30"/>
        <v>0</v>
      </c>
      <c r="G266" s="41">
        <f t="shared" si="30"/>
        <v>-84000</v>
      </c>
      <c r="H266" s="41">
        <f t="shared" si="30"/>
        <v>0</v>
      </c>
      <c r="I266" s="41">
        <f t="shared" si="30"/>
        <v>0</v>
      </c>
      <c r="J266" s="9">
        <f t="shared" si="30"/>
        <v>0</v>
      </c>
      <c r="K266" s="41">
        <f t="shared" si="30"/>
        <v>0</v>
      </c>
      <c r="L266" s="41">
        <f t="shared" si="30"/>
        <v>0</v>
      </c>
      <c r="M266" s="41">
        <f t="shared" si="30"/>
        <v>0</v>
      </c>
      <c r="N266" s="41">
        <f t="shared" si="30"/>
        <v>0</v>
      </c>
      <c r="O266" s="13" t="s">
        <v>251</v>
      </c>
      <c r="P266" s="215" t="s">
        <v>254</v>
      </c>
      <c r="Q266" s="172"/>
      <c r="R266" s="172"/>
      <c r="S266" s="172"/>
      <c r="T266" s="172"/>
      <c r="U266" s="173"/>
    </row>
    <row r="267" spans="1:21" ht="16.95" customHeight="1" x14ac:dyDescent="0.3">
      <c r="A267" s="41">
        <f t="shared" si="27"/>
        <v>-5500</v>
      </c>
      <c r="C267" s="9">
        <f t="shared" ref="C267:N267" si="31">B222</f>
        <v>0</v>
      </c>
      <c r="D267" s="9">
        <f t="shared" si="31"/>
        <v>0</v>
      </c>
      <c r="E267" s="41">
        <f t="shared" si="31"/>
        <v>0</v>
      </c>
      <c r="F267" s="41">
        <f t="shared" si="31"/>
        <v>100800</v>
      </c>
      <c r="G267" s="41">
        <f t="shared" si="31"/>
        <v>0</v>
      </c>
      <c r="H267" s="41">
        <f t="shared" si="31"/>
        <v>0</v>
      </c>
      <c r="I267" s="41">
        <f t="shared" si="31"/>
        <v>0</v>
      </c>
      <c r="J267" s="9">
        <f t="shared" si="31"/>
        <v>0</v>
      </c>
      <c r="K267" s="41">
        <f t="shared" si="31"/>
        <v>0</v>
      </c>
      <c r="L267" s="41">
        <f t="shared" si="31"/>
        <v>-100800</v>
      </c>
      <c r="M267" s="41">
        <f t="shared" si="31"/>
        <v>0</v>
      </c>
      <c r="N267" s="41">
        <f t="shared" si="31"/>
        <v>0</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-84000</v>
      </c>
      <c r="F268" s="41">
        <f t="shared" si="32"/>
        <v>0</v>
      </c>
      <c r="G268" s="41">
        <f t="shared" si="32"/>
        <v>206083.62540167975</v>
      </c>
      <c r="H268" s="41">
        <f t="shared" si="32"/>
        <v>-31736.354501399786</v>
      </c>
      <c r="I268" s="41">
        <f t="shared" si="32"/>
        <v>-84000</v>
      </c>
      <c r="J268" s="9">
        <f t="shared" si="32"/>
        <v>0</v>
      </c>
      <c r="K268" s="41">
        <f t="shared" si="32"/>
        <v>-38083.625401679747</v>
      </c>
      <c r="L268" s="41">
        <f t="shared" si="32"/>
        <v>31736.354501399786</v>
      </c>
      <c r="M268" s="41">
        <f t="shared" si="32"/>
        <v>0</v>
      </c>
      <c r="N268" s="41">
        <f t="shared" si="32"/>
        <v>0</v>
      </c>
      <c r="O268" s="13" t="s">
        <v>251</v>
      </c>
      <c r="P268" s="215" t="s">
        <v>382</v>
      </c>
      <c r="Q268" s="172"/>
      <c r="R268" s="172"/>
      <c r="S268" s="172"/>
      <c r="T268" s="172"/>
      <c r="U268" s="173"/>
    </row>
    <row r="269" spans="1:21" ht="16.95" customHeight="1" x14ac:dyDescent="0.3">
      <c r="A269" s="41">
        <f t="shared" si="27"/>
        <v>-5500</v>
      </c>
      <c r="C269" s="9">
        <f t="shared" ref="C269:N269" si="33">B224</f>
        <v>0</v>
      </c>
      <c r="D269" s="9">
        <f t="shared" si="33"/>
        <v>0</v>
      </c>
      <c r="E269" s="41">
        <f t="shared" si="33"/>
        <v>0</v>
      </c>
      <c r="F269" s="41">
        <f t="shared" si="33"/>
        <v>0</v>
      </c>
      <c r="G269" s="41">
        <f t="shared" si="33"/>
        <v>-31736.354501399786</v>
      </c>
      <c r="H269" s="41">
        <f t="shared" si="33"/>
        <v>127246.96208449983</v>
      </c>
      <c r="I269" s="41">
        <f t="shared" si="33"/>
        <v>0</v>
      </c>
      <c r="J269" s="9">
        <f t="shared" si="33"/>
        <v>0</v>
      </c>
      <c r="K269" s="41">
        <f t="shared" si="33"/>
        <v>31736.354501399786</v>
      </c>
      <c r="L269" s="41">
        <f t="shared" si="33"/>
        <v>-26446.962084499821</v>
      </c>
      <c r="M269" s="41">
        <f t="shared" si="33"/>
        <v>0</v>
      </c>
      <c r="N269" s="41">
        <f t="shared" si="33"/>
        <v>-100800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122083.62540167975</v>
      </c>
      <c r="J270" s="9">
        <f t="shared" si="35"/>
        <v>-31736.354501399786</v>
      </c>
      <c r="K270" s="41">
        <f t="shared" si="35"/>
        <v>0</v>
      </c>
      <c r="L270" s="41">
        <f t="shared" si="35"/>
        <v>0</v>
      </c>
      <c r="M270" s="41">
        <f t="shared" si="35"/>
        <v>-38083.625401679747</v>
      </c>
      <c r="N270" s="41">
        <f t="shared" si="35"/>
        <v>31736.354501399786</v>
      </c>
      <c r="O270" s="13" t="s">
        <v>251</v>
      </c>
      <c r="P270" s="215" t="str">
        <f t="shared" si="34"/>
        <v>D4X</v>
      </c>
      <c r="Q270" s="172"/>
      <c r="R270" s="172"/>
      <c r="S270" s="172"/>
      <c r="T270" s="172"/>
      <c r="U270" s="173"/>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-31736.354501399786</v>
      </c>
      <c r="J271" s="9">
        <f t="shared" si="36"/>
        <v>26446.962084499821</v>
      </c>
      <c r="K271" s="9">
        <f t="shared" si="36"/>
        <v>0</v>
      </c>
      <c r="L271" s="9">
        <f t="shared" si="36"/>
        <v>0</v>
      </c>
      <c r="M271" s="9">
        <f t="shared" si="36"/>
        <v>31736.354501399786</v>
      </c>
      <c r="N271" s="9">
        <f t="shared" si="36"/>
        <v>-26446.962084499821</v>
      </c>
      <c r="O271" s="13" t="s">
        <v>251</v>
      </c>
      <c r="P271" s="219">
        <f t="shared" si="34"/>
        <v>0</v>
      </c>
      <c r="Q271" s="172"/>
      <c r="R271" s="172"/>
      <c r="S271" s="172"/>
      <c r="T271" s="172"/>
      <c r="U271" s="173"/>
    </row>
    <row r="272" spans="1:21" ht="16.95" customHeight="1" x14ac:dyDescent="0.3">
      <c r="A272" s="41">
        <f t="shared" si="27"/>
        <v>0</v>
      </c>
      <c r="C272" s="9">
        <f t="shared" ref="C272:N272" si="37">B227</f>
        <v>-38083.625401679747</v>
      </c>
      <c r="D272" s="9">
        <f t="shared" si="37"/>
        <v>-31736.354501399786</v>
      </c>
      <c r="E272" s="41">
        <f t="shared" si="37"/>
        <v>0</v>
      </c>
      <c r="F272" s="41">
        <f t="shared" si="37"/>
        <v>0</v>
      </c>
      <c r="G272" s="41">
        <f t="shared" si="37"/>
        <v>-38083.625401679747</v>
      </c>
      <c r="H272" s="41">
        <f t="shared" si="37"/>
        <v>31736.354501399786</v>
      </c>
      <c r="I272" s="41">
        <f t="shared" si="37"/>
        <v>0</v>
      </c>
      <c r="J272" s="9">
        <f t="shared" si="37"/>
        <v>0</v>
      </c>
      <c r="K272" s="41">
        <f t="shared" si="37"/>
        <v>160167.25080335949</v>
      </c>
      <c r="L272" s="41">
        <f t="shared" si="37"/>
        <v>0</v>
      </c>
      <c r="M272" s="41">
        <f t="shared" si="37"/>
        <v>-84000</v>
      </c>
      <c r="N272" s="41">
        <f t="shared" si="37"/>
        <v>0</v>
      </c>
      <c r="O272" s="13" t="s">
        <v>251</v>
      </c>
      <c r="P272" s="215" t="str">
        <f t="shared" si="34"/>
        <v>D5X</v>
      </c>
      <c r="Q272" s="172"/>
      <c r="R272" s="172"/>
      <c r="S272" s="172"/>
      <c r="T272" s="172"/>
      <c r="U272" s="173"/>
    </row>
    <row r="273" spans="1:21" ht="16.95" customHeight="1" x14ac:dyDescent="0.3">
      <c r="A273" s="41">
        <f t="shared" si="27"/>
        <v>0</v>
      </c>
      <c r="C273" s="9">
        <f t="shared" ref="C273:N273" si="38">B228</f>
        <v>-31736.354501399786</v>
      </c>
      <c r="D273" s="9">
        <f t="shared" si="38"/>
        <v>-26446.962084499821</v>
      </c>
      <c r="E273" s="41">
        <f t="shared" si="38"/>
        <v>0</v>
      </c>
      <c r="F273" s="41">
        <f t="shared" si="38"/>
        <v>-100800</v>
      </c>
      <c r="G273" s="41">
        <f t="shared" si="38"/>
        <v>31736.354501399786</v>
      </c>
      <c r="H273" s="41">
        <f t="shared" si="38"/>
        <v>-26446.962084499821</v>
      </c>
      <c r="I273" s="41">
        <f t="shared" si="38"/>
        <v>0</v>
      </c>
      <c r="J273" s="9">
        <f t="shared" si="38"/>
        <v>0</v>
      </c>
      <c r="K273" s="41">
        <f t="shared" si="38"/>
        <v>0</v>
      </c>
      <c r="L273" s="41">
        <f t="shared" si="38"/>
        <v>153693.92416899966</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0</v>
      </c>
      <c r="C274" s="9">
        <f t="shared" ref="C274:N274" si="39">B229</f>
        <v>0</v>
      </c>
      <c r="D274" s="9">
        <f t="shared" si="39"/>
        <v>0</v>
      </c>
      <c r="E274" s="41">
        <f t="shared" si="39"/>
        <v>0</v>
      </c>
      <c r="F274" s="41">
        <f t="shared" si="39"/>
        <v>0</v>
      </c>
      <c r="G274" s="41">
        <f t="shared" si="39"/>
        <v>0</v>
      </c>
      <c r="H274" s="41">
        <f t="shared" si="39"/>
        <v>0</v>
      </c>
      <c r="I274" s="41">
        <f t="shared" si="39"/>
        <v>-38083.625401679747</v>
      </c>
      <c r="J274" s="9">
        <f t="shared" si="39"/>
        <v>31736.354501399786</v>
      </c>
      <c r="K274" s="41">
        <f t="shared" si="39"/>
        <v>-84000</v>
      </c>
      <c r="L274" s="41">
        <f t="shared" si="39"/>
        <v>0</v>
      </c>
      <c r="M274" s="41">
        <f t="shared" si="39"/>
        <v>122083.62540167975</v>
      </c>
      <c r="N274" s="41">
        <f t="shared" si="39"/>
        <v>-31736.354501399786</v>
      </c>
      <c r="O274" s="13" t="s">
        <v>251</v>
      </c>
      <c r="P274" s="215" t="str">
        <f t="shared" si="34"/>
        <v>D6X</v>
      </c>
      <c r="Q274" s="172"/>
      <c r="R274" s="172"/>
      <c r="S274" s="172"/>
      <c r="T274" s="172"/>
      <c r="U274" s="173"/>
    </row>
    <row r="275" spans="1:21" ht="16.95" customHeight="1" x14ac:dyDescent="0.3">
      <c r="A275" s="41">
        <f t="shared" si="27"/>
        <v>0</v>
      </c>
      <c r="C275" s="9">
        <f t="shared" ref="C275:N275" si="40">B230</f>
        <v>0</v>
      </c>
      <c r="D275" s="9">
        <f t="shared" si="40"/>
        <v>0</v>
      </c>
      <c r="E275" s="41">
        <f t="shared" si="40"/>
        <v>0</v>
      </c>
      <c r="F275" s="41">
        <f t="shared" si="40"/>
        <v>0</v>
      </c>
      <c r="G275" s="41">
        <f t="shared" si="40"/>
        <v>0</v>
      </c>
      <c r="H275" s="41">
        <f t="shared" si="40"/>
        <v>-100800</v>
      </c>
      <c r="I275" s="41">
        <f t="shared" si="40"/>
        <v>31736.354501399786</v>
      </c>
      <c r="J275" s="9">
        <f t="shared" si="40"/>
        <v>-26446.962084499821</v>
      </c>
      <c r="K275" s="41">
        <f t="shared" si="40"/>
        <v>0</v>
      </c>
      <c r="L275" s="41">
        <f t="shared" si="40"/>
        <v>0</v>
      </c>
      <c r="M275" s="41">
        <f t="shared" si="40"/>
        <v>-31736.354501399786</v>
      </c>
      <c r="N275" s="41">
        <f t="shared" si="40"/>
        <v>127246.96208449983</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168000</v>
      </c>
      <c r="D280" s="41">
        <f t="shared" si="42"/>
        <v>0</v>
      </c>
      <c r="E280" s="41">
        <f t="shared" si="42"/>
        <v>-84000</v>
      </c>
      <c r="F280" s="41">
        <f t="shared" si="42"/>
        <v>0</v>
      </c>
      <c r="G280" s="41">
        <f t="shared" si="42"/>
        <v>0</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-5500</v>
      </c>
      <c r="C281" s="41">
        <f t="shared" si="42"/>
        <v>0</v>
      </c>
      <c r="D281" s="41">
        <f t="shared" si="42"/>
        <v>100800</v>
      </c>
      <c r="E281" s="41">
        <f t="shared" si="42"/>
        <v>0</v>
      </c>
      <c r="F281" s="41">
        <f t="shared" si="42"/>
        <v>0</v>
      </c>
      <c r="G281" s="41">
        <f t="shared" si="42"/>
        <v>0</v>
      </c>
      <c r="H281" s="41">
        <f t="shared" si="42"/>
        <v>0</v>
      </c>
      <c r="I281" s="41">
        <f t="shared" si="42"/>
        <v>-100800</v>
      </c>
      <c r="J281" s="41">
        <f t="shared" si="42"/>
        <v>0</v>
      </c>
      <c r="K281" s="41">
        <f t="shared" si="42"/>
        <v>0</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-84000</v>
      </c>
      <c r="D282" s="41">
        <f t="shared" si="42"/>
        <v>0</v>
      </c>
      <c r="E282" s="41">
        <f t="shared" si="42"/>
        <v>206083.62540167975</v>
      </c>
      <c r="F282" s="41">
        <f t="shared" si="42"/>
        <v>-31736.354501399786</v>
      </c>
      <c r="G282" s="41">
        <f t="shared" si="42"/>
        <v>-84000</v>
      </c>
      <c r="H282" s="41">
        <f t="shared" si="42"/>
        <v>-38083.625401679747</v>
      </c>
      <c r="I282" s="41">
        <f t="shared" si="42"/>
        <v>31736.354501399786</v>
      </c>
      <c r="J282" s="41">
        <f t="shared" si="42"/>
        <v>0</v>
      </c>
      <c r="K282" s="41">
        <f t="shared" si="42"/>
        <v>0</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-5500</v>
      </c>
      <c r="C283" s="41">
        <f t="shared" si="42"/>
        <v>0</v>
      </c>
      <c r="D283" s="41">
        <f t="shared" si="42"/>
        <v>0</v>
      </c>
      <c r="E283" s="41">
        <f t="shared" si="42"/>
        <v>-31736.354501399786</v>
      </c>
      <c r="F283" s="41">
        <f t="shared" si="42"/>
        <v>127246.96208449983</v>
      </c>
      <c r="G283" s="41">
        <f t="shared" si="42"/>
        <v>0</v>
      </c>
      <c r="H283" s="41">
        <f t="shared" si="42"/>
        <v>31736.354501399786</v>
      </c>
      <c r="I283" s="41">
        <f t="shared" si="42"/>
        <v>-26446.962084499821</v>
      </c>
      <c r="J283" s="41">
        <f t="shared" si="42"/>
        <v>0</v>
      </c>
      <c r="K283" s="41">
        <f t="shared" si="42"/>
        <v>-100800</v>
      </c>
      <c r="L283" s="13" t="s">
        <v>251</v>
      </c>
      <c r="M283" s="38" t="str">
        <f>INDEX(B$248:B$259, MATCH(4, F$248:F$259, 0))</f>
        <v>D3Y</v>
      </c>
      <c r="N283" s="14" t="str">
        <f>INDEX(C$248:C$259, MATCH(4, F$248:F$259, 0))</f>
        <v>U3Y</v>
      </c>
      <c r="P283" s="215" t="s">
        <v>387</v>
      </c>
      <c r="Q283" s="172"/>
      <c r="R283" s="172"/>
      <c r="S283" s="172"/>
      <c r="T283" s="172"/>
      <c r="U283" s="173"/>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122083.62540167975</v>
      </c>
      <c r="H284" s="41">
        <f t="shared" si="42"/>
        <v>0</v>
      </c>
      <c r="I284" s="41">
        <f t="shared" si="42"/>
        <v>0</v>
      </c>
      <c r="J284" s="41">
        <f t="shared" si="42"/>
        <v>-38083.625401679747</v>
      </c>
      <c r="K284" s="41">
        <f t="shared" si="42"/>
        <v>31736.354501399786</v>
      </c>
      <c r="L284" s="13" t="s">
        <v>251</v>
      </c>
      <c r="M284" s="38" t="str">
        <f>INDEX(B$248:B$259, MATCH(5, F$248:F$259, 0))</f>
        <v>D4X</v>
      </c>
      <c r="N284" s="14" t="str">
        <f>INDEX(C$248:C$259, MATCH(5, F$248:F$259, 0))</f>
        <v>U4X</v>
      </c>
      <c r="P284" s="215" t="s">
        <v>388</v>
      </c>
      <c r="Q284" s="172"/>
      <c r="R284" s="172"/>
      <c r="S284" s="172"/>
      <c r="T284" s="172"/>
      <c r="U284" s="173"/>
    </row>
    <row r="285" spans="1:21" ht="16.95" customHeight="1" x14ac:dyDescent="0.3">
      <c r="A285" s="41">
        <f t="shared" si="41"/>
        <v>0</v>
      </c>
      <c r="C285" s="41">
        <f t="shared" si="42"/>
        <v>0</v>
      </c>
      <c r="D285" s="41">
        <f t="shared" si="42"/>
        <v>0</v>
      </c>
      <c r="E285" s="41">
        <f t="shared" si="42"/>
        <v>-38083.625401679747</v>
      </c>
      <c r="F285" s="41">
        <f t="shared" si="42"/>
        <v>31736.354501399786</v>
      </c>
      <c r="G285" s="41">
        <f t="shared" si="42"/>
        <v>0</v>
      </c>
      <c r="H285" s="41">
        <f t="shared" si="42"/>
        <v>160167.25080335949</v>
      </c>
      <c r="I285" s="41">
        <f t="shared" si="42"/>
        <v>0</v>
      </c>
      <c r="J285" s="41">
        <f t="shared" si="42"/>
        <v>-84000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0</v>
      </c>
      <c r="C286" s="41">
        <f t="shared" si="42"/>
        <v>0</v>
      </c>
      <c r="D286" s="41">
        <f t="shared" si="42"/>
        <v>-100800</v>
      </c>
      <c r="E286" s="41">
        <f t="shared" si="42"/>
        <v>31736.354501399786</v>
      </c>
      <c r="F286" s="41">
        <f t="shared" si="42"/>
        <v>-26446.962084499821</v>
      </c>
      <c r="G286" s="41">
        <f t="shared" si="42"/>
        <v>0</v>
      </c>
      <c r="H286" s="41">
        <f t="shared" si="42"/>
        <v>0</v>
      </c>
      <c r="I286" s="41">
        <f t="shared" si="42"/>
        <v>153693.92416899966</v>
      </c>
      <c r="J286" s="41">
        <f t="shared" si="42"/>
        <v>0</v>
      </c>
      <c r="K286" s="41">
        <f t="shared" si="42"/>
        <v>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0</v>
      </c>
      <c r="C287" s="41">
        <f t="shared" si="42"/>
        <v>0</v>
      </c>
      <c r="D287" s="41">
        <f t="shared" si="42"/>
        <v>0</v>
      </c>
      <c r="E287" s="41">
        <f t="shared" si="42"/>
        <v>0</v>
      </c>
      <c r="F287" s="41">
        <f t="shared" si="42"/>
        <v>0</v>
      </c>
      <c r="G287" s="41">
        <f t="shared" si="42"/>
        <v>-38083.625401679747</v>
      </c>
      <c r="H287" s="41">
        <f t="shared" si="42"/>
        <v>-84000</v>
      </c>
      <c r="I287" s="41">
        <f t="shared" si="42"/>
        <v>0</v>
      </c>
      <c r="J287" s="41">
        <f t="shared" si="42"/>
        <v>122083.62540167975</v>
      </c>
      <c r="K287" s="41">
        <f t="shared" si="42"/>
        <v>-31736.354501399786</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0</v>
      </c>
      <c r="C288" s="41">
        <f t="shared" si="42"/>
        <v>0</v>
      </c>
      <c r="D288" s="41">
        <f t="shared" si="42"/>
        <v>0</v>
      </c>
      <c r="E288" s="41">
        <f t="shared" si="42"/>
        <v>0</v>
      </c>
      <c r="F288" s="41">
        <f t="shared" si="42"/>
        <v>-100800</v>
      </c>
      <c r="G288" s="41">
        <f t="shared" si="42"/>
        <v>31736.354501399786</v>
      </c>
      <c r="H288" s="41">
        <f t="shared" si="42"/>
        <v>0</v>
      </c>
      <c r="I288" s="41">
        <f t="shared" si="42"/>
        <v>0</v>
      </c>
      <c r="J288" s="41">
        <f t="shared" si="42"/>
        <v>-31736.354501399786</v>
      </c>
      <c r="K288" s="41">
        <f t="shared" si="42"/>
        <v>127246.96208449983</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1.1904761904761902E-5</v>
      </c>
      <c r="D292" s="93">
        <v>-9.5238095238095129E-6</v>
      </c>
      <c r="E292" s="93">
        <v>1.1904761904761898E-5</v>
      </c>
      <c r="F292" s="93">
        <v>-4.7619047619047505E-6</v>
      </c>
      <c r="G292" s="93">
        <v>1.1904761904761895E-5</v>
      </c>
      <c r="H292" s="93">
        <v>7.9365079365079277E-6</v>
      </c>
      <c r="I292" s="93">
        <v>-9.5238095238095129E-6</v>
      </c>
      <c r="J292" s="93">
        <v>7.9365079365079311E-6</v>
      </c>
      <c r="K292" s="93">
        <v>-4.7619047619047531E-6</v>
      </c>
      <c r="M292" s="17">
        <f t="shared" ref="M292:M300" si="44">A280</f>
        <v>0</v>
      </c>
      <c r="P292" s="215"/>
      <c r="Q292" s="172"/>
      <c r="R292" s="172"/>
      <c r="S292" s="172"/>
      <c r="T292" s="172"/>
      <c r="U292" s="173"/>
    </row>
    <row r="293" spans="1:21" ht="16.95" customHeight="1" x14ac:dyDescent="0.3">
      <c r="A293" s="12" t="str">
        <f t="shared" si="43"/>
        <v>D2Y</v>
      </c>
      <c r="C293" s="93">
        <v>-9.5238095238095129E-6</v>
      </c>
      <c r="D293" s="93">
        <v>5.5278230876382995E-5</v>
      </c>
      <c r="E293" s="93">
        <v>-1.9047619047619026E-5</v>
      </c>
      <c r="F293" s="93">
        <v>3.0046522845598881E-5</v>
      </c>
      <c r="G293" s="93">
        <v>-2.3809523809523783E-5</v>
      </c>
      <c r="H293" s="93">
        <v>-1.6791593180482048E-5</v>
      </c>
      <c r="I293" s="93">
        <v>4.5357595955748075E-5</v>
      </c>
      <c r="J293" s="93">
        <v>-1.2029688418577292E-5</v>
      </c>
      <c r="K293" s="93">
        <v>2.6739644538720582E-5</v>
      </c>
      <c r="M293" s="17">
        <f t="shared" si="44"/>
        <v>-5500</v>
      </c>
      <c r="P293" s="215"/>
      <c r="Q293" s="172"/>
      <c r="R293" s="172"/>
      <c r="S293" s="172"/>
      <c r="T293" s="172"/>
      <c r="U293" s="173"/>
    </row>
    <row r="294" spans="1:21" ht="16.95" customHeight="1" x14ac:dyDescent="0.3">
      <c r="A294" s="12" t="str">
        <f t="shared" si="43"/>
        <v>D3X</v>
      </c>
      <c r="C294" s="93">
        <v>1.1904761904761898E-5</v>
      </c>
      <c r="D294" s="93">
        <v>-1.9047619047619026E-5</v>
      </c>
      <c r="E294" s="93">
        <v>2.3809523809523797E-5</v>
      </c>
      <c r="F294" s="93">
        <v>-9.523809523809501E-6</v>
      </c>
      <c r="G294" s="93">
        <v>2.380952380952379E-5</v>
      </c>
      <c r="H294" s="93">
        <v>1.5873015873015855E-5</v>
      </c>
      <c r="I294" s="93">
        <v>-1.9047619047619026E-5</v>
      </c>
      <c r="J294" s="93">
        <v>1.5873015873015862E-5</v>
      </c>
      <c r="K294" s="93">
        <v>-9.5238095238095061E-6</v>
      </c>
      <c r="M294" s="17">
        <f t="shared" si="44"/>
        <v>0</v>
      </c>
      <c r="P294" s="215"/>
      <c r="Q294" s="172"/>
      <c r="R294" s="172"/>
      <c r="S294" s="172"/>
      <c r="T294" s="172"/>
      <c r="U294" s="173"/>
    </row>
    <row r="295" spans="1:21" ht="16.95" customHeight="1" x14ac:dyDescent="0.3">
      <c r="A295" s="12" t="str">
        <f t="shared" si="43"/>
        <v>D3Y</v>
      </c>
      <c r="C295" s="93">
        <v>-4.7619047619047548E-6</v>
      </c>
      <c r="D295" s="93">
        <v>3.0046522845598881E-5</v>
      </c>
      <c r="E295" s="93">
        <v>-9.5238095238095095E-6</v>
      </c>
      <c r="F295" s="93">
        <v>4.8664474262626377E-5</v>
      </c>
      <c r="G295" s="93">
        <v>-1.9047619047619026E-5</v>
      </c>
      <c r="H295" s="93">
        <v>-1.4535567313345075E-5</v>
      </c>
      <c r="I295" s="93">
        <v>3.0046522845598881E-5</v>
      </c>
      <c r="J295" s="93">
        <v>-5.0117577895355587E-6</v>
      </c>
      <c r="K295" s="93">
        <v>4.2050717648869759E-5</v>
      </c>
      <c r="M295" s="17">
        <f t="shared" si="44"/>
        <v>-5500</v>
      </c>
      <c r="P295" s="215"/>
      <c r="Q295" s="172"/>
      <c r="R295" s="172"/>
      <c r="S295" s="172"/>
      <c r="T295" s="172"/>
      <c r="U295" s="173"/>
    </row>
    <row r="296" spans="1:21" ht="16.95" customHeight="1" x14ac:dyDescent="0.3">
      <c r="A296" s="12" t="str">
        <f t="shared" si="43"/>
        <v>D4X</v>
      </c>
      <c r="B296" s="13" t="s">
        <v>220</v>
      </c>
      <c r="C296" s="93">
        <v>1.1904761904761897E-5</v>
      </c>
      <c r="D296" s="93">
        <v>-2.3809523809523776E-5</v>
      </c>
      <c r="E296" s="93">
        <v>2.3809523809523793E-5</v>
      </c>
      <c r="F296" s="93">
        <v>-1.9047619047619016E-5</v>
      </c>
      <c r="G296" s="93">
        <v>3.571428571428569E-5</v>
      </c>
      <c r="H296" s="93">
        <v>1.9841269841269821E-5</v>
      </c>
      <c r="I296" s="93">
        <v>-2.3809523809523776E-5</v>
      </c>
      <c r="J296" s="93">
        <v>1.9841269841269828E-5</v>
      </c>
      <c r="K296" s="93">
        <v>-1.9047619047619019E-5</v>
      </c>
      <c r="M296" s="17">
        <f t="shared" si="44"/>
        <v>0</v>
      </c>
      <c r="P296" s="215"/>
      <c r="Q296" s="172"/>
      <c r="R296" s="172"/>
      <c r="S296" s="172"/>
      <c r="T296" s="172"/>
      <c r="U296" s="173"/>
    </row>
    <row r="297" spans="1:21" ht="16.95" customHeight="1" x14ac:dyDescent="0.3">
      <c r="A297" s="12" t="str">
        <f t="shared" si="43"/>
        <v>D5X</v>
      </c>
      <c r="C297" s="93">
        <v>7.9365079365079294E-6</v>
      </c>
      <c r="D297" s="93">
        <v>-1.6791593180482044E-5</v>
      </c>
      <c r="E297" s="93">
        <v>1.5873015873015859E-5</v>
      </c>
      <c r="F297" s="93">
        <v>-1.4535567313345065E-5</v>
      </c>
      <c r="G297" s="93">
        <v>1.9841269841269821E-5</v>
      </c>
      <c r="H297" s="93">
        <v>2.2745662420946715E-5</v>
      </c>
      <c r="I297" s="93">
        <v>-1.6791593180482044E-5</v>
      </c>
      <c r="J297" s="93">
        <v>1.8777408452692753E-5</v>
      </c>
      <c r="K297" s="93">
        <v>-1.1779835390946481E-5</v>
      </c>
      <c r="M297" s="17">
        <f t="shared" si="44"/>
        <v>0</v>
      </c>
      <c r="P297" s="215"/>
      <c r="Q297" s="172"/>
      <c r="R297" s="172"/>
      <c r="S297" s="172"/>
      <c r="T297" s="172"/>
      <c r="U297" s="173"/>
    </row>
    <row r="298" spans="1:21" ht="16.95" customHeight="1" x14ac:dyDescent="0.3">
      <c r="A298" s="12" t="str">
        <f t="shared" si="43"/>
        <v>D5Y</v>
      </c>
      <c r="C298" s="93">
        <v>-9.5238095238095129E-6</v>
      </c>
      <c r="D298" s="93">
        <v>4.5357595955748068E-5</v>
      </c>
      <c r="E298" s="93">
        <v>-1.9047619047619026E-5</v>
      </c>
      <c r="F298" s="93">
        <v>3.0046522845598881E-5</v>
      </c>
      <c r="G298" s="93">
        <v>-2.3809523809523783E-5</v>
      </c>
      <c r="H298" s="93">
        <v>-1.6791593180482048E-5</v>
      </c>
      <c r="I298" s="93">
        <v>4.5357595955748068E-5</v>
      </c>
      <c r="J298" s="93">
        <v>-1.2029688418577292E-5</v>
      </c>
      <c r="K298" s="93">
        <v>2.6739644538720582E-5</v>
      </c>
      <c r="M298" s="17">
        <f t="shared" si="44"/>
        <v>0</v>
      </c>
      <c r="P298" s="215"/>
      <c r="Q298" s="172"/>
      <c r="R298" s="172"/>
      <c r="S298" s="172"/>
      <c r="T298" s="172"/>
      <c r="U298" s="173"/>
    </row>
    <row r="299" spans="1:21" ht="16.95" customHeight="1" x14ac:dyDescent="0.3">
      <c r="A299" s="12" t="str">
        <f t="shared" si="43"/>
        <v>D6X</v>
      </c>
      <c r="C299" s="93">
        <v>7.9365079365079294E-6</v>
      </c>
      <c r="D299" s="93">
        <v>-1.2029688418577289E-5</v>
      </c>
      <c r="E299" s="93">
        <v>1.5873015873015859E-5</v>
      </c>
      <c r="F299" s="93">
        <v>-5.0117577895355502E-6</v>
      </c>
      <c r="G299" s="93">
        <v>1.9841269841269824E-5</v>
      </c>
      <c r="H299" s="93">
        <v>1.877740845269275E-5</v>
      </c>
      <c r="I299" s="93">
        <v>-1.2029688418577289E-5</v>
      </c>
      <c r="J299" s="93">
        <v>2.6713916389200688E-5</v>
      </c>
      <c r="K299" s="93">
        <v>-2.2560258671369635E-6</v>
      </c>
      <c r="M299" s="17">
        <f t="shared" si="44"/>
        <v>0</v>
      </c>
      <c r="P299" s="215"/>
      <c r="Q299" s="172"/>
      <c r="R299" s="172"/>
      <c r="S299" s="172"/>
      <c r="T299" s="172"/>
      <c r="U299" s="173"/>
    </row>
    <row r="300" spans="1:21" ht="16.95" customHeight="1" x14ac:dyDescent="0.3">
      <c r="A300" s="12" t="str">
        <f t="shared" si="43"/>
        <v>D6Y</v>
      </c>
      <c r="C300" s="93">
        <v>-4.7619047619047556E-6</v>
      </c>
      <c r="D300" s="93">
        <v>2.6739644538720579E-5</v>
      </c>
      <c r="E300" s="93">
        <v>-9.5238095238095112E-6</v>
      </c>
      <c r="F300" s="93">
        <v>4.2050717648869766E-5</v>
      </c>
      <c r="G300" s="93">
        <v>-1.9047619047619029E-5</v>
      </c>
      <c r="H300" s="93">
        <v>-1.1779835390946487E-5</v>
      </c>
      <c r="I300" s="93">
        <v>2.6739644538720579E-5</v>
      </c>
      <c r="J300" s="93">
        <v>-2.2560258671369724E-6</v>
      </c>
      <c r="K300" s="93">
        <v>4.5357595955748075E-5</v>
      </c>
      <c r="M300" s="17">
        <f t="shared" si="44"/>
        <v>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7.8571428571428445E-2</v>
      </c>
      <c r="D304" s="12" t="s">
        <v>267</v>
      </c>
      <c r="P304" s="215"/>
      <c r="Q304" s="172"/>
      <c r="R304" s="172"/>
      <c r="S304" s="172"/>
      <c r="T304" s="172"/>
      <c r="U304" s="173"/>
    </row>
    <row r="305" spans="1:21" ht="16.95" customHeight="1" x14ac:dyDescent="0.3">
      <c r="A305" s="12" t="str">
        <f t="shared" si="45"/>
        <v>D2Y</v>
      </c>
      <c r="C305" s="94">
        <v>-0.46928614547090036</v>
      </c>
      <c r="D305" s="12" t="s">
        <v>267</v>
      </c>
      <c r="P305" s="215"/>
      <c r="Q305" s="172"/>
      <c r="R305" s="172"/>
      <c r="S305" s="172"/>
      <c r="T305" s="172"/>
      <c r="U305" s="173"/>
    </row>
    <row r="306" spans="1:21" ht="16.95" customHeight="1" x14ac:dyDescent="0.3">
      <c r="A306" s="12" t="str">
        <f t="shared" si="45"/>
        <v>D3X</v>
      </c>
      <c r="C306" s="94">
        <v>0.15714285714285689</v>
      </c>
      <c r="D306" s="12" t="s">
        <v>267</v>
      </c>
      <c r="P306" s="215"/>
      <c r="Q306" s="172"/>
      <c r="R306" s="172"/>
      <c r="S306" s="172"/>
      <c r="T306" s="172"/>
      <c r="U306" s="173"/>
    </row>
    <row r="307" spans="1:21" ht="16.95" customHeight="1" x14ac:dyDescent="0.3">
      <c r="A307" s="12" t="str">
        <f t="shared" si="45"/>
        <v>D3Y</v>
      </c>
      <c r="C307" s="94">
        <v>-0.43291048409523891</v>
      </c>
      <c r="D307" s="12" t="s">
        <v>267</v>
      </c>
      <c r="P307" s="215"/>
      <c r="Q307" s="172"/>
      <c r="R307" s="172"/>
      <c r="S307" s="172"/>
      <c r="T307" s="172"/>
      <c r="U307" s="173"/>
    </row>
    <row r="308" spans="1:21" ht="16.95" customHeight="1" x14ac:dyDescent="0.3">
      <c r="A308" s="12" t="str">
        <f t="shared" si="45"/>
        <v>D4X</v>
      </c>
      <c r="B308" s="13" t="s">
        <v>220</v>
      </c>
      <c r="C308" s="94">
        <v>0.23571428571428535</v>
      </c>
      <c r="D308" s="12" t="s">
        <v>267</v>
      </c>
      <c r="P308" s="215"/>
      <c r="Q308" s="172"/>
      <c r="R308" s="172"/>
      <c r="S308" s="172"/>
      <c r="T308" s="172"/>
      <c r="U308" s="173"/>
    </row>
    <row r="309" spans="1:21" ht="16.95" customHeight="1" x14ac:dyDescent="0.3">
      <c r="A309" s="12" t="str">
        <f t="shared" si="45"/>
        <v>D5X</v>
      </c>
      <c r="C309" s="94">
        <v>0.17229938271604911</v>
      </c>
      <c r="D309" s="12" t="s">
        <v>267</v>
      </c>
      <c r="P309" s="215"/>
      <c r="Q309" s="172"/>
      <c r="R309" s="172"/>
      <c r="S309" s="172"/>
      <c r="T309" s="172"/>
      <c r="U309" s="173"/>
    </row>
    <row r="310" spans="1:21" ht="16.95" customHeight="1" x14ac:dyDescent="0.3">
      <c r="A310" s="12" t="str">
        <f t="shared" si="45"/>
        <v>D5Y</v>
      </c>
      <c r="C310" s="94">
        <v>-0.41472265340740821</v>
      </c>
      <c r="D310" s="12" t="s">
        <v>267</v>
      </c>
      <c r="P310" s="215"/>
      <c r="Q310" s="172"/>
      <c r="R310" s="172"/>
      <c r="S310" s="172"/>
      <c r="T310" s="172"/>
      <c r="U310" s="173"/>
    </row>
    <row r="311" spans="1:21" ht="16.95" customHeight="1" x14ac:dyDescent="0.3">
      <c r="A311" s="12" t="str">
        <f t="shared" si="45"/>
        <v>D6X</v>
      </c>
      <c r="C311" s="94">
        <v>9.3727954144620623E-2</v>
      </c>
      <c r="D311" s="12" t="s">
        <v>267</v>
      </c>
      <c r="P311" s="215"/>
      <c r="Q311" s="172"/>
      <c r="R311" s="172"/>
      <c r="S311" s="172"/>
      <c r="T311" s="172"/>
      <c r="U311" s="173"/>
    </row>
    <row r="312" spans="1:21" ht="16.95" customHeight="1" x14ac:dyDescent="0.3">
      <c r="A312" s="12" t="str">
        <f t="shared" si="45"/>
        <v>D6Y</v>
      </c>
      <c r="C312" s="94">
        <v>-0.37834699203174693</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-38083.625401679747</v>
      </c>
      <c r="I317" s="9">
        <f t="shared" si="46"/>
        <v>-31736.354501399786</v>
      </c>
      <c r="J317" s="9">
        <f t="shared" si="46"/>
        <v>0</v>
      </c>
      <c r="K317" s="9">
        <f t="shared" si="46"/>
        <v>0</v>
      </c>
      <c r="M317" s="95">
        <f t="shared" ref="M317:M325" si="47">C304</f>
        <v>7.8571428571428445E-2</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-31736.354501399786</v>
      </c>
      <c r="I318" s="9">
        <f t="shared" si="46"/>
        <v>-26446.962084499821</v>
      </c>
      <c r="J318" s="9">
        <f t="shared" si="46"/>
        <v>0</v>
      </c>
      <c r="K318" s="9">
        <f t="shared" si="46"/>
        <v>0</v>
      </c>
      <c r="M318" s="95">
        <f t="shared" si="47"/>
        <v>-0.46928614547090036</v>
      </c>
      <c r="N318" s="14" t="str">
        <f>INDEX(C$248:C$259, MATCH(2, G$248:G$259, 0))</f>
        <v>U1Y</v>
      </c>
      <c r="P318" s="215" t="s">
        <v>391</v>
      </c>
      <c r="Q318" s="172"/>
      <c r="R318" s="172"/>
      <c r="S318" s="172"/>
      <c r="T318" s="172"/>
      <c r="U318" s="173"/>
    </row>
    <row r="319" spans="1:21" ht="16.95" customHeight="1" x14ac:dyDescent="0.3">
      <c r="A319" s="18" t="str">
        <f>INDEX(B$234:B$245, MATCH(N319, C$234:C$245, 0))</f>
        <v>C4Y</v>
      </c>
      <c r="C319" s="9">
        <f t="shared" si="46"/>
        <v>0</v>
      </c>
      <c r="D319" s="9">
        <f t="shared" si="46"/>
        <v>0</v>
      </c>
      <c r="E319" s="9">
        <f t="shared" si="46"/>
        <v>0</v>
      </c>
      <c r="F319" s="9">
        <f t="shared" si="46"/>
        <v>0</v>
      </c>
      <c r="G319" s="9">
        <f t="shared" si="46"/>
        <v>-31736.354501399786</v>
      </c>
      <c r="H319" s="9">
        <f t="shared" si="46"/>
        <v>0</v>
      </c>
      <c r="I319" s="9">
        <f t="shared" si="46"/>
        <v>0</v>
      </c>
      <c r="J319" s="9">
        <f t="shared" si="46"/>
        <v>31736.354501399786</v>
      </c>
      <c r="K319" s="9">
        <f t="shared" si="46"/>
        <v>-26446.962084499821</v>
      </c>
      <c r="M319" s="95">
        <f t="shared" si="47"/>
        <v>0.15714285714285689</v>
      </c>
      <c r="N319" s="14" t="str">
        <f>INDEX(C$248:C$259, MATCH(3, G$248:G$259, 0))</f>
        <v>U4Y</v>
      </c>
      <c r="P319" s="215" t="s">
        <v>392</v>
      </c>
      <c r="Q319" s="172"/>
      <c r="R319" s="172"/>
      <c r="S319" s="172"/>
      <c r="T319" s="172"/>
      <c r="U319" s="173"/>
    </row>
    <row r="320" spans="1:21" ht="16.95" customHeight="1" x14ac:dyDescent="0.3">
      <c r="M320" s="95">
        <f t="shared" si="47"/>
        <v>-0.43291048409523891</v>
      </c>
      <c r="P320" s="215" t="s">
        <v>393</v>
      </c>
      <c r="Q320" s="172"/>
      <c r="R320" s="172"/>
      <c r="S320" s="172"/>
      <c r="T320" s="172"/>
      <c r="U320" s="173"/>
    </row>
    <row r="321" spans="1:21" ht="16.95" customHeight="1" x14ac:dyDescent="0.3">
      <c r="M321" s="95">
        <f t="shared" si="47"/>
        <v>0.23571428571428535</v>
      </c>
      <c r="P321" s="215" t="s">
        <v>394</v>
      </c>
      <c r="Q321" s="172"/>
      <c r="R321" s="172"/>
      <c r="S321" s="172"/>
      <c r="T321" s="172"/>
      <c r="U321" s="173"/>
    </row>
    <row r="322" spans="1:21" ht="16.95" customHeight="1" x14ac:dyDescent="0.3">
      <c r="M322" s="95">
        <f t="shared" si="47"/>
        <v>0.17229938271604911</v>
      </c>
      <c r="P322" s="215"/>
      <c r="Q322" s="172"/>
      <c r="R322" s="172"/>
      <c r="S322" s="172"/>
      <c r="T322" s="172"/>
      <c r="U322" s="173"/>
    </row>
    <row r="323" spans="1:21" ht="16.95" customHeight="1" x14ac:dyDescent="0.3">
      <c r="M323" s="95">
        <f t="shared" si="47"/>
        <v>-0.41472265340740821</v>
      </c>
      <c r="P323" s="215"/>
      <c r="Q323" s="172"/>
      <c r="R323" s="172"/>
      <c r="S323" s="172"/>
      <c r="T323" s="172"/>
      <c r="U323" s="173"/>
    </row>
    <row r="324" spans="1:21" ht="16.95" customHeight="1" x14ac:dyDescent="0.3">
      <c r="M324" s="95">
        <f t="shared" si="47"/>
        <v>9.3727954144620623E-2</v>
      </c>
      <c r="P324" s="215"/>
      <c r="Q324" s="172"/>
      <c r="R324" s="172"/>
      <c r="S324" s="172"/>
      <c r="T324" s="172"/>
      <c r="U324" s="173"/>
    </row>
    <row r="325" spans="1:21" ht="16.95" customHeight="1" x14ac:dyDescent="0.3">
      <c r="M325" s="95">
        <f t="shared" si="47"/>
        <v>-0.37834699203174693</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5.4569682106375694E-12</v>
      </c>
      <c r="D327" s="12" t="s">
        <v>273</v>
      </c>
      <c r="P327" s="215"/>
      <c r="Q327" s="172"/>
      <c r="R327" s="172"/>
      <c r="S327" s="172"/>
      <c r="T327" s="172"/>
      <c r="U327" s="173"/>
    </row>
    <row r="328" spans="1:21" ht="16.95" customHeight="1" x14ac:dyDescent="0.3">
      <c r="A328" s="12" t="str">
        <f>A318</f>
        <v>C1Y</v>
      </c>
      <c r="B328" s="13" t="s">
        <v>220</v>
      </c>
      <c r="C328" s="17">
        <v>5499.9999999999955</v>
      </c>
      <c r="D328" s="12" t="s">
        <v>273</v>
      </c>
      <c r="P328" s="215"/>
      <c r="Q328" s="172"/>
      <c r="R328" s="172"/>
      <c r="S328" s="172"/>
      <c r="T328" s="172"/>
      <c r="U328" s="173"/>
    </row>
    <row r="329" spans="1:21" ht="16.95" customHeight="1" x14ac:dyDescent="0.3">
      <c r="A329" s="12" t="str">
        <f>A319</f>
        <v>C4Y</v>
      </c>
      <c r="C329" s="17">
        <v>5499.9999999999964</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7.8571428571428445E-2</v>
      </c>
    </row>
    <row r="337" spans="1:21" ht="19.05" customHeight="1" x14ac:dyDescent="0.3">
      <c r="A337" s="12" t="s">
        <v>231</v>
      </c>
      <c r="B337" s="12" t="s">
        <v>181</v>
      </c>
      <c r="D337" s="94">
        <f t="shared" si="48"/>
        <v>-0.46928614547090036</v>
      </c>
    </row>
    <row r="338" spans="1:21" ht="19.05" customHeight="1" x14ac:dyDescent="0.3">
      <c r="A338" s="12" t="s">
        <v>232</v>
      </c>
      <c r="B338" s="12" t="s">
        <v>182</v>
      </c>
      <c r="D338" s="94">
        <f t="shared" si="48"/>
        <v>0.15714285714285689</v>
      </c>
    </row>
    <row r="339" spans="1:21" ht="19.05" customHeight="1" x14ac:dyDescent="0.3">
      <c r="A339" s="12" t="s">
        <v>234</v>
      </c>
      <c r="B339" s="12" t="s">
        <v>183</v>
      </c>
      <c r="D339" s="94">
        <f t="shared" si="48"/>
        <v>-0.43291048409523891</v>
      </c>
    </row>
    <row r="340" spans="1:21" ht="19.05" customHeight="1" x14ac:dyDescent="0.3">
      <c r="A340" s="12" t="s">
        <v>235</v>
      </c>
      <c r="B340" s="12" t="s">
        <v>184</v>
      </c>
      <c r="D340" s="94">
        <f t="shared" si="48"/>
        <v>0.23571428571428535</v>
      </c>
    </row>
    <row r="341" spans="1:21" ht="19.05" customHeight="1" x14ac:dyDescent="0.3">
      <c r="A341" s="12" t="s">
        <v>236</v>
      </c>
      <c r="B341" s="12" t="s">
        <v>185</v>
      </c>
      <c r="D341" s="94">
        <f t="shared" si="48"/>
        <v>0</v>
      </c>
    </row>
    <row r="342" spans="1:21" ht="19.05" customHeight="1" x14ac:dyDescent="0.3">
      <c r="A342" s="12" t="s">
        <v>237</v>
      </c>
      <c r="B342" s="12" t="s">
        <v>186</v>
      </c>
      <c r="D342" s="94">
        <f t="shared" si="48"/>
        <v>0.17229938271604911</v>
      </c>
    </row>
    <row r="343" spans="1:21" ht="19.05" customHeight="1" x14ac:dyDescent="0.3">
      <c r="A343" s="12" t="s">
        <v>238</v>
      </c>
      <c r="B343" s="12" t="s">
        <v>187</v>
      </c>
      <c r="D343" s="94">
        <f t="shared" si="48"/>
        <v>-0.41472265340740821</v>
      </c>
    </row>
    <row r="344" spans="1:21" ht="19.05" customHeight="1" x14ac:dyDescent="0.3">
      <c r="A344" s="12" t="s">
        <v>239</v>
      </c>
      <c r="B344" s="12" t="s">
        <v>188</v>
      </c>
      <c r="D344" s="94">
        <f t="shared" si="48"/>
        <v>9.3727954144620623E-2</v>
      </c>
    </row>
    <row r="345" spans="1:21" ht="19.05" customHeight="1" x14ac:dyDescent="0.3">
      <c r="A345" s="12" t="s">
        <v>240</v>
      </c>
      <c r="B345" s="12" t="s">
        <v>189</v>
      </c>
      <c r="D345" s="94">
        <f t="shared" si="48"/>
        <v>-0.37834699203174693</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6599.9999999999891</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7.8571428571428445E-2</v>
      </c>
      <c r="H354" s="12" t="str">
        <f>"D" &amp; E18 &amp; "X"</f>
        <v>D2X</v>
      </c>
      <c r="P354" s="215" t="s">
        <v>400</v>
      </c>
      <c r="Q354" s="172"/>
      <c r="R354" s="172"/>
      <c r="S354" s="172"/>
      <c r="T354" s="172"/>
      <c r="U354" s="173"/>
    </row>
    <row r="355" spans="1:21" ht="16.95" customHeight="1" x14ac:dyDescent="0.3">
      <c r="G355" s="96">
        <f>IFERROR(VLOOKUP(H355, A$334:D$345, 4, FALSE), 0)</f>
        <v>-0.46928614547090036</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84000</v>
      </c>
      <c r="C360" s="92">
        <f>-J7</f>
        <v>-1</v>
      </c>
      <c r="D360" s="92">
        <f>-K7</f>
        <v>0</v>
      </c>
      <c r="E360" s="92">
        <f>J7</f>
        <v>1</v>
      </c>
      <c r="F360" s="92">
        <f>K7</f>
        <v>0</v>
      </c>
      <c r="G360" s="96">
        <f>IFERROR(VLOOKUP(H360, A$334:D$345, 4, FALSE), 0)</f>
        <v>7.8571428571428445E-2</v>
      </c>
      <c r="H360" s="12" t="str">
        <f>"D" &amp; C19 &amp; "X"</f>
        <v>D2X</v>
      </c>
      <c r="P360" s="215"/>
      <c r="Q360" s="172"/>
      <c r="R360" s="172"/>
      <c r="S360" s="172"/>
      <c r="T360" s="172"/>
      <c r="U360" s="173"/>
    </row>
    <row r="361" spans="1:21" ht="16.95" customHeight="1" x14ac:dyDescent="0.3">
      <c r="A361" s="99" t="s">
        <v>286</v>
      </c>
      <c r="B361" s="97">
        <f>(MMULT(C360:F360, G360:G363)*A360)</f>
        <v>6599.9999999999891</v>
      </c>
      <c r="G361" s="96">
        <f>IFERROR(VLOOKUP(H361, A$334:D$345, 4, FALSE), 0)</f>
        <v>-0.46928614547090036</v>
      </c>
      <c r="H361" s="12" t="str">
        <f>"D" &amp; D19 &amp; "Y"</f>
        <v>D2Y</v>
      </c>
      <c r="P361" s="215"/>
      <c r="Q361" s="172"/>
      <c r="R361" s="172"/>
      <c r="S361" s="172"/>
      <c r="T361" s="172"/>
      <c r="U361" s="173"/>
    </row>
    <row r="362" spans="1:21" ht="16.95" customHeight="1" x14ac:dyDescent="0.3">
      <c r="G362" s="96">
        <f>IFERROR(VLOOKUP(H362, A$334:D$345, 4, FALSE), 0)</f>
        <v>0.15714285714285689</v>
      </c>
      <c r="H362" s="12" t="str">
        <f>"D" &amp; E19 &amp; "X"</f>
        <v>D3X</v>
      </c>
      <c r="P362" s="215"/>
      <c r="Q362" s="172"/>
      <c r="R362" s="172"/>
      <c r="S362" s="172"/>
      <c r="T362" s="172"/>
      <c r="U362" s="173"/>
    </row>
    <row r="363" spans="1:21" ht="16.95" customHeight="1" x14ac:dyDescent="0.3">
      <c r="G363" s="96">
        <f>IFERROR(VLOOKUP(H363, A$334:D$345, 4, FALSE), 0)</f>
        <v>-0.43291048409523891</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84000</v>
      </c>
      <c r="C368" s="92">
        <f>-J8</f>
        <v>-1</v>
      </c>
      <c r="D368" s="92">
        <f>-K8</f>
        <v>0</v>
      </c>
      <c r="E368" s="92">
        <f>J8</f>
        <v>1</v>
      </c>
      <c r="F368" s="92">
        <f>K8</f>
        <v>0</v>
      </c>
      <c r="G368" s="96">
        <f>IFERROR(VLOOKUP(H368, A$334:D$345, 4, FALSE), 0)</f>
        <v>0.15714285714285689</v>
      </c>
      <c r="H368" s="12" t="str">
        <f>"D" &amp; C20 &amp; "X"</f>
        <v>D3X</v>
      </c>
      <c r="P368" s="215"/>
      <c r="Q368" s="172"/>
      <c r="R368" s="172"/>
      <c r="S368" s="172"/>
      <c r="T368" s="172"/>
      <c r="U368" s="173"/>
    </row>
    <row r="369" spans="1:21" ht="16.95" customHeight="1" x14ac:dyDescent="0.3">
      <c r="A369" s="99" t="s">
        <v>287</v>
      </c>
      <c r="B369" s="97">
        <f>(MMULT(C368:F368, G368:G371)*A368)</f>
        <v>6599.9999999999909</v>
      </c>
      <c r="G369" s="96">
        <f>IFERROR(VLOOKUP(H369, A$334:D$345, 4, FALSE), 0)</f>
        <v>-0.43291048409523891</v>
      </c>
      <c r="H369" s="12" t="str">
        <f>"D" &amp; D20 &amp; "Y"</f>
        <v>D3Y</v>
      </c>
      <c r="P369" s="215"/>
      <c r="Q369" s="172"/>
      <c r="R369" s="172"/>
      <c r="S369" s="172"/>
      <c r="T369" s="172"/>
      <c r="U369" s="173"/>
    </row>
    <row r="370" spans="1:21" ht="16.95" customHeight="1" x14ac:dyDescent="0.3">
      <c r="G370" s="96">
        <f>IFERROR(VLOOKUP(H370, A$334:D$345, 4, FALSE), 0)</f>
        <v>0.23571428571428535</v>
      </c>
      <c r="H370" s="12" t="str">
        <f>"D" &amp; E20 &amp; "X"</f>
        <v>D4X</v>
      </c>
      <c r="P370" s="215"/>
      <c r="Q370" s="172"/>
      <c r="R370" s="172"/>
      <c r="S370" s="172"/>
      <c r="T370" s="172"/>
      <c r="U370" s="173"/>
    </row>
    <row r="371" spans="1:21" ht="16.95" customHeight="1" x14ac:dyDescent="0.3">
      <c r="G371" s="96">
        <f>IFERROR(VLOOKUP(H371, A$334:D$345, 4, FALSE), 0)</f>
        <v>0</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TRACCIÓN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64530.587486179567</v>
      </c>
      <c r="C376" s="92">
        <f>-J9</f>
        <v>-0.76822127959737585</v>
      </c>
      <c r="D376" s="92">
        <f>-K9</f>
        <v>-0.64018439966447982</v>
      </c>
      <c r="E376" s="92">
        <f>J9</f>
        <v>0.76822127959737585</v>
      </c>
      <c r="F376" s="92">
        <f>K9</f>
        <v>0.64018439966447982</v>
      </c>
      <c r="G376" s="96">
        <f>IFERROR(VLOOKUP(H376, A$334:D$345, 4, FALSE), 0)</f>
        <v>0</v>
      </c>
      <c r="H376" s="12" t="str">
        <f>"D" &amp; C21 &amp; "X"</f>
        <v>D1X</v>
      </c>
    </row>
    <row r="377" spans="1:21" ht="19.95" customHeight="1" x14ac:dyDescent="0.3">
      <c r="A377" s="99" t="s">
        <v>288</v>
      </c>
      <c r="B377" s="97">
        <f>(MMULT(C376:F376, G376:G379)*A376)</f>
        <v>-8591.2746434973124</v>
      </c>
      <c r="G377" s="96">
        <f>IFERROR(VLOOKUP(H377, A$334:D$345, 4, FALSE), 0)</f>
        <v>0</v>
      </c>
      <c r="H377" s="12" t="str">
        <f>"D" &amp; D21 &amp; "Y"</f>
        <v>D1Y</v>
      </c>
    </row>
    <row r="378" spans="1:21" ht="19.95" customHeight="1" x14ac:dyDescent="0.3">
      <c r="G378" s="96">
        <f>IFERROR(VLOOKUP(H378, A$334:D$345, 4, FALSE), 0)</f>
        <v>0.17229938271604911</v>
      </c>
      <c r="H378" s="12" t="str">
        <f>"D" &amp; E21 &amp; "X"</f>
        <v>D5X</v>
      </c>
    </row>
    <row r="379" spans="1:21" ht="19.95" customHeight="1" x14ac:dyDescent="0.3">
      <c r="G379" s="96">
        <f>IFERROR(VLOOKUP(H379, A$334:D$345, 4, FALSE), 0)</f>
        <v>-0.41472265340740821</v>
      </c>
      <c r="H379" s="12" t="str">
        <f>"D" &amp; F21 &amp; "Y"</f>
        <v>D5Y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-1</v>
      </c>
      <c r="D384" s="92">
        <f>-K10</f>
        <v>0</v>
      </c>
      <c r="E384" s="92">
        <f>J10</f>
        <v>1</v>
      </c>
      <c r="F384" s="92">
        <f>K10</f>
        <v>0</v>
      </c>
      <c r="G384" s="96">
        <f>IFERROR(VLOOKUP(H384, A$334:D$345, 4, FALSE), 0)</f>
        <v>0.17229938271604911</v>
      </c>
      <c r="H384" s="12" t="str">
        <f>"D" &amp; C22 &amp; "X"</f>
        <v>D5X</v>
      </c>
    </row>
    <row r="385" spans="1:8" ht="19.95" customHeight="1" x14ac:dyDescent="0.3">
      <c r="A385" s="99" t="s">
        <v>289</v>
      </c>
      <c r="B385" s="97">
        <f>(MMULT(C384:F384, G384:G387)*A384)</f>
        <v>-6599.9999999999927</v>
      </c>
      <c r="G385" s="96">
        <f>IFERROR(VLOOKUP(H385, A$334:D$345, 4, FALSE), 0)</f>
        <v>-0.41472265340740821</v>
      </c>
      <c r="H385" s="12" t="str">
        <f>"D" &amp; D22 &amp; "Y"</f>
        <v>D5Y</v>
      </c>
    </row>
    <row r="386" spans="1:8" ht="19.95" customHeight="1" x14ac:dyDescent="0.3">
      <c r="G386" s="96">
        <f>IFERROR(VLOOKUP(H386, A$334:D$345, 4, FALSE), 0)</f>
        <v>9.3727954144620623E-2</v>
      </c>
      <c r="H386" s="12" t="str">
        <f>"D" &amp; E22 &amp; "X"</f>
        <v>D6X</v>
      </c>
    </row>
    <row r="387" spans="1:8" ht="19.95" customHeight="1" x14ac:dyDescent="0.3">
      <c r="G387" s="96">
        <f>IFERROR(VLOOKUP(H387, A$334:D$345, 4, FALSE), 0)</f>
        <v>-0.37834699203174693</v>
      </c>
      <c r="H387" s="12" t="str">
        <f>"D" &amp; F22 &amp; "Y"</f>
        <v>D6Y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64530.587486179567</v>
      </c>
      <c r="C392" s="92">
        <f>-J11</f>
        <v>-0.76822127959737585</v>
      </c>
      <c r="D392" s="92">
        <f>-K11</f>
        <v>0.64018439966447982</v>
      </c>
      <c r="E392" s="92">
        <f>J11</f>
        <v>0.76822127959737585</v>
      </c>
      <c r="F392" s="92">
        <f>K11</f>
        <v>-0.64018439966447982</v>
      </c>
      <c r="G392" s="96">
        <f>IFERROR(VLOOKUP(H392, A$334:D$345, 4, FALSE), 0)</f>
        <v>9.3727954144620623E-2</v>
      </c>
      <c r="H392" s="12" t="str">
        <f>"D" &amp; C23 &amp; "X"</f>
        <v>D6X</v>
      </c>
    </row>
    <row r="393" spans="1:8" ht="19.95" customHeight="1" x14ac:dyDescent="0.3">
      <c r="A393" s="99" t="s">
        <v>290</v>
      </c>
      <c r="B393" s="97">
        <f>(MMULT(C392:F392, G392:G395)*A392)</f>
        <v>-8591.2746434973087</v>
      </c>
      <c r="G393" s="96">
        <f>IFERROR(VLOOKUP(H393, A$334:D$345, 4, FALSE), 0)</f>
        <v>-0.37834699203174693</v>
      </c>
      <c r="H393" s="12" t="str">
        <f>"D" &amp; D23 &amp; "Y"</f>
        <v>D6Y</v>
      </c>
    </row>
    <row r="394" spans="1:8" ht="19.95" customHeight="1" x14ac:dyDescent="0.3">
      <c r="G394" s="96">
        <f>IFERROR(VLOOKUP(H394, A$334:D$345, 4, FALSE), 0)</f>
        <v>0.23571428571428535</v>
      </c>
      <c r="H394" s="12" t="str">
        <f>"D" &amp; E23 &amp; "X"</f>
        <v>D4X</v>
      </c>
    </row>
    <row r="395" spans="1:8" ht="19.95" customHeight="1" x14ac:dyDescent="0.3">
      <c r="G395" s="96">
        <f>IFERROR(VLOOKUP(H395, A$334:D$345, 4, FALSE), 0)</f>
        <v>0</v>
      </c>
      <c r="H395" s="12" t="str">
        <f>"D" &amp; F23 &amp; "Y"</f>
        <v>D4Y</v>
      </c>
    </row>
    <row r="396" spans="1:8" ht="19.95" customHeight="1" x14ac:dyDescent="0.3">
      <c r="B396" s="99" t="s">
        <v>273</v>
      </c>
      <c r="C396" s="178" t="str">
        <f>IF(B393&gt;0.001,"BARRA A TRACCIÓN (+)",IF(B393&lt;-0.001,"BARRA A COMPRESIÓN (-)","BARRA DE FUERZA NULA"))</f>
        <v>BARRA A COMPRESIÓN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100800</v>
      </c>
      <c r="C400" s="92">
        <f>-J12</f>
        <v>0</v>
      </c>
      <c r="D400" s="92">
        <f>-K12</f>
        <v>-1</v>
      </c>
      <c r="E400" s="92">
        <f>J12</f>
        <v>0</v>
      </c>
      <c r="F400" s="92">
        <f>K12</f>
        <v>1</v>
      </c>
      <c r="G400" s="96">
        <f>IFERROR(VLOOKUP(H400, A$334:D$345, 4, FALSE), 0)</f>
        <v>7.8571428571428445E-2</v>
      </c>
      <c r="H400" s="12" t="str">
        <f>"D" &amp; C24 &amp; "X"</f>
        <v>D2X</v>
      </c>
    </row>
    <row r="401" spans="1:8" ht="19.95" customHeight="1" x14ac:dyDescent="0.3">
      <c r="A401" s="99" t="s">
        <v>291</v>
      </c>
      <c r="B401" s="97">
        <f>(MMULT(C400:F400, G400:G403)*A400)</f>
        <v>5500.0000000000082</v>
      </c>
      <c r="G401" s="96">
        <f>IFERROR(VLOOKUP(H401, A$334:D$345, 4, FALSE), 0)</f>
        <v>-0.46928614547090036</v>
      </c>
      <c r="H401" s="12" t="str">
        <f>"D" &amp; D24 &amp; "Y"</f>
        <v>D2Y</v>
      </c>
    </row>
    <row r="402" spans="1:8" ht="19.95" customHeight="1" x14ac:dyDescent="0.3">
      <c r="G402" s="96">
        <f>IFERROR(VLOOKUP(H402, A$334:D$345, 4, FALSE), 0)</f>
        <v>0.17229938271604911</v>
      </c>
      <c r="H402" s="12" t="str">
        <f>"D" &amp; E24 &amp; "X"</f>
        <v>D5X</v>
      </c>
    </row>
    <row r="403" spans="1:8" ht="19.95" customHeight="1" x14ac:dyDescent="0.3">
      <c r="G403" s="96">
        <f>IFERROR(VLOOKUP(H403, A$334:D$345, 4, FALSE), 0)</f>
        <v>-0.41472265340740821</v>
      </c>
      <c r="H403" s="12" t="str">
        <f>"D" &amp; F24 &amp; "Y"</f>
        <v>D5Y</v>
      </c>
    </row>
    <row r="404" spans="1:8" ht="19.95" customHeight="1" x14ac:dyDescent="0.3">
      <c r="B404" s="99" t="s">
        <v>273</v>
      </c>
      <c r="C404" s="178" t="str">
        <f>IF(B401&gt;0.001,"BARRA A TRACCIÓN (+)",IF(B401&lt;-0.001,"BARRA A COMPRESIÓN (-)","BARRA DE FUERZA NULA"))</f>
        <v>BARRA A TRACCIÓN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100800</v>
      </c>
      <c r="C408" s="92">
        <f>-J13</f>
        <v>0</v>
      </c>
      <c r="D408" s="92">
        <f>-K13</f>
        <v>-1</v>
      </c>
      <c r="E408" s="92">
        <f>J13</f>
        <v>0</v>
      </c>
      <c r="F408" s="92">
        <f>K13</f>
        <v>1</v>
      </c>
      <c r="G408" s="96">
        <f>IFERROR(VLOOKUP(H408, A$334:D$345, 4, FALSE), 0)</f>
        <v>0.15714285714285689</v>
      </c>
      <c r="H408" s="12" t="str">
        <f>"D" &amp; C25 &amp; "X"</f>
        <v>D3X</v>
      </c>
    </row>
    <row r="409" spans="1:8" ht="19.95" customHeight="1" x14ac:dyDescent="0.3">
      <c r="A409" s="99" t="s">
        <v>292</v>
      </c>
      <c r="B409" s="97">
        <f>(MMULT(C408:F408, G408:G411)*A408)</f>
        <v>5499.9999999999918</v>
      </c>
      <c r="G409" s="96">
        <f>IFERROR(VLOOKUP(H409, A$334:D$345, 4, FALSE), 0)</f>
        <v>-0.43291048409523891</v>
      </c>
      <c r="H409" s="12" t="str">
        <f>"D" &amp; D25 &amp; "Y"</f>
        <v>D3Y</v>
      </c>
    </row>
    <row r="410" spans="1:8" ht="19.95" customHeight="1" x14ac:dyDescent="0.3">
      <c r="G410" s="96">
        <f>IFERROR(VLOOKUP(H410, A$334:D$345, 4, FALSE), 0)</f>
        <v>9.3727954144620623E-2</v>
      </c>
      <c r="H410" s="12" t="str">
        <f>"D" &amp; E25 &amp; "X"</f>
        <v>D6X</v>
      </c>
    </row>
    <row r="411" spans="1:8" ht="19.95" customHeight="1" x14ac:dyDescent="0.3">
      <c r="G411" s="96">
        <f>IFERROR(VLOOKUP(H411, A$334:D$345, 4, FALSE), 0)</f>
        <v>-0.37834699203174693</v>
      </c>
      <c r="H411" s="12" t="str">
        <f>"D" &amp; F25 &amp; "Y"</f>
        <v>D6Y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64530.587486179567</v>
      </c>
      <c r="C416" s="92">
        <f>-J14</f>
        <v>-0.76822127959737585</v>
      </c>
      <c r="D416" s="92">
        <f>-K14</f>
        <v>0.64018439966447982</v>
      </c>
      <c r="E416" s="92">
        <f>J14</f>
        <v>0.76822127959737585</v>
      </c>
      <c r="F416" s="92">
        <f>K14</f>
        <v>-0.64018439966447982</v>
      </c>
      <c r="G416" s="96">
        <f>IFERROR(VLOOKUP(H416, A$334:D$345, 4, FALSE), 0)</f>
        <v>0.17229938271604911</v>
      </c>
      <c r="H416" s="12" t="str">
        <f>"D" &amp; C26 &amp; "X"</f>
        <v>D5X</v>
      </c>
    </row>
    <row r="417" spans="1:8" ht="19.95" customHeight="1" x14ac:dyDescent="0.3">
      <c r="A417" s="99" t="s">
        <v>530</v>
      </c>
      <c r="B417" s="97">
        <f>(MMULT(C416:F416, G416:G419)*A416)</f>
        <v>0</v>
      </c>
      <c r="G417" s="96">
        <f>IFERROR(VLOOKUP(H417, A$334:D$345, 4, FALSE), 0)</f>
        <v>-0.41472265340740821</v>
      </c>
      <c r="H417" s="12" t="str">
        <f>"D" &amp; D26 &amp; "Y"</f>
        <v>D5Y</v>
      </c>
    </row>
    <row r="418" spans="1:8" ht="19.95" customHeight="1" x14ac:dyDescent="0.3">
      <c r="G418" s="96">
        <f>IFERROR(VLOOKUP(H418, A$334:D$345, 4, FALSE), 0)</f>
        <v>0.15714285714285689</v>
      </c>
      <c r="H418" s="12" t="str">
        <f>"D" &amp; E26 &amp; "X"</f>
        <v>D3X</v>
      </c>
    </row>
    <row r="419" spans="1:8" ht="19.95" customHeight="1" x14ac:dyDescent="0.3">
      <c r="G419" s="96">
        <f>IFERROR(VLOOKUP(H419, A$334:D$345, 4, FALSE), 0)</f>
        <v>-0.43291048409523891</v>
      </c>
      <c r="H419" s="12" t="str">
        <f>"D" &amp; F26 &amp; "Y"</f>
        <v>D3Y</v>
      </c>
    </row>
    <row r="420" spans="1:8" ht="19.95" customHeight="1" x14ac:dyDescent="0.3">
      <c r="B420" s="99" t="s">
        <v>273</v>
      </c>
      <c r="C420" s="178" t="str">
        <f>IF(B417&gt;0.001,"BARRA A TRACCIÓN (+)",IF(B417&lt;-0.001,"BARRA A COMPRESIÓN (-)","BARRA DE FUERZA NULA"))</f>
        <v>BARRA DE FUERZA NULA</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6599.9999999999891</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6599.9999999999891</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6599.9999999999909</v>
      </c>
      <c r="H427" s="84" t="str">
        <f>C372</f>
        <v>BARRA A TRACCIÓN (+)</v>
      </c>
    </row>
    <row r="428" spans="1:8" ht="19.95" customHeight="1" x14ac:dyDescent="0.3">
      <c r="B428" s="43">
        <v>4</v>
      </c>
      <c r="C428" s="86">
        <f t="shared" si="49"/>
        <v>1</v>
      </c>
      <c r="D428" s="86">
        <f t="shared" si="50"/>
        <v>5</v>
      </c>
      <c r="E428" s="9">
        <f t="shared" si="51"/>
        <v>390.51248379533274</v>
      </c>
      <c r="F428" s="9">
        <f t="shared" si="52"/>
        <v>12</v>
      </c>
      <c r="G428" s="97">
        <f>B377</f>
        <v>-8591.2746434973124</v>
      </c>
      <c r="H428" s="84" t="str">
        <f>C380</f>
        <v>BARRA A COMPRESIÓN (-)</v>
      </c>
    </row>
    <row r="429" spans="1:8" ht="19.95" customHeight="1" x14ac:dyDescent="0.3">
      <c r="B429" s="44">
        <v>5</v>
      </c>
      <c r="C429" s="86">
        <f t="shared" si="49"/>
        <v>5</v>
      </c>
      <c r="D429" s="86">
        <f t="shared" si="50"/>
        <v>6</v>
      </c>
      <c r="E429" s="9">
        <f t="shared" si="51"/>
        <v>300</v>
      </c>
      <c r="F429" s="9">
        <f t="shared" si="52"/>
        <v>12</v>
      </c>
      <c r="G429" s="97">
        <f>B385</f>
        <v>-6599.9999999999927</v>
      </c>
      <c r="H429" s="84" t="str">
        <f>C388</f>
        <v>BARRA A COMPRESIÓN (-)</v>
      </c>
    </row>
    <row r="430" spans="1:8" ht="19.95" customHeight="1" x14ac:dyDescent="0.3">
      <c r="B430" s="51">
        <v>6</v>
      </c>
      <c r="C430" s="86">
        <f t="shared" si="49"/>
        <v>6</v>
      </c>
      <c r="D430" s="86">
        <f t="shared" si="50"/>
        <v>4</v>
      </c>
      <c r="E430" s="9">
        <f t="shared" si="51"/>
        <v>390.51248379533274</v>
      </c>
      <c r="F430" s="9">
        <f t="shared" si="52"/>
        <v>12</v>
      </c>
      <c r="G430" s="97">
        <f>B393</f>
        <v>-8591.2746434973087</v>
      </c>
      <c r="H430" s="84" t="str">
        <f>C396</f>
        <v>BARRA A COMPRESIÓN (-)</v>
      </c>
    </row>
    <row r="431" spans="1:8" ht="19.95" customHeight="1" x14ac:dyDescent="0.3">
      <c r="B431" s="52">
        <v>7</v>
      </c>
      <c r="C431" s="86">
        <f t="shared" si="49"/>
        <v>2</v>
      </c>
      <c r="D431" s="86">
        <f t="shared" si="50"/>
        <v>5</v>
      </c>
      <c r="E431" s="9">
        <f t="shared" si="51"/>
        <v>250</v>
      </c>
      <c r="F431" s="9">
        <f t="shared" si="52"/>
        <v>12</v>
      </c>
      <c r="G431" s="97">
        <f>B401</f>
        <v>5500.0000000000082</v>
      </c>
      <c r="H431" s="84" t="str">
        <f>C404</f>
        <v>BARRA A TRACCIÓN (+)</v>
      </c>
    </row>
    <row r="432" spans="1:8" ht="19.95" customHeight="1" x14ac:dyDescent="0.3">
      <c r="B432" s="59">
        <v>8</v>
      </c>
      <c r="C432" s="86">
        <f t="shared" si="49"/>
        <v>3</v>
      </c>
      <c r="D432" s="86">
        <f t="shared" si="50"/>
        <v>6</v>
      </c>
      <c r="E432" s="9">
        <f t="shared" si="51"/>
        <v>250</v>
      </c>
      <c r="F432" s="9">
        <f t="shared" si="52"/>
        <v>12</v>
      </c>
      <c r="G432" s="97">
        <f>B409</f>
        <v>5499.9999999999918</v>
      </c>
      <c r="H432" s="84" t="str">
        <f>C412</f>
        <v>BARRA A TRACCIÓN (+)</v>
      </c>
    </row>
    <row r="433" spans="2:8" ht="19.95" customHeight="1" x14ac:dyDescent="0.3">
      <c r="B433" s="60">
        <v>9</v>
      </c>
      <c r="C433" s="86">
        <f t="shared" si="49"/>
        <v>5</v>
      </c>
      <c r="D433" s="86">
        <f t="shared" si="50"/>
        <v>3</v>
      </c>
      <c r="E433" s="9">
        <f t="shared" si="51"/>
        <v>390.51248379533274</v>
      </c>
      <c r="F433" s="9">
        <f t="shared" si="52"/>
        <v>12</v>
      </c>
      <c r="G433" s="97">
        <f>B417</f>
        <v>0</v>
      </c>
      <c r="H433" s="84" t="str">
        <f>C420</f>
        <v>BARRA DE FUERZA NULA</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566</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300</v>
      </c>
      <c r="AB14" s="20">
        <f>IF(F31="","",F31)</f>
        <v>350</v>
      </c>
      <c r="AC14" t="s">
        <v>328</v>
      </c>
    </row>
    <row r="15" spans="2:29" ht="19.05" customHeight="1" x14ac:dyDescent="0.3">
      <c r="B15" s="89">
        <v>2</v>
      </c>
      <c r="C15" s="21">
        <v>300</v>
      </c>
      <c r="D15" s="21">
        <v>0</v>
      </c>
      <c r="E15" s="21" t="s">
        <v>326</v>
      </c>
      <c r="F15" s="88">
        <f t="shared" si="0"/>
        <v>0</v>
      </c>
      <c r="G15" s="88">
        <f t="shared" si="1"/>
        <v>0</v>
      </c>
      <c r="H15" s="22">
        <v>0</v>
      </c>
      <c r="I15" s="22">
        <v>-5000</v>
      </c>
      <c r="J15" s="205" t="s">
        <v>567</v>
      </c>
      <c r="K15" s="172"/>
      <c r="L15" s="172"/>
      <c r="M15" s="172"/>
      <c r="N15" s="172"/>
      <c r="O15" s="173"/>
      <c r="AA15" s="20">
        <f>IF(G31="","",G31)</f>
        <v>600</v>
      </c>
      <c r="AB15" s="20">
        <f>IF(H31="","",H31)</f>
        <v>350</v>
      </c>
      <c r="AC15" t="s">
        <v>331</v>
      </c>
    </row>
    <row r="16" spans="2:29" ht="19.05" customHeight="1" x14ac:dyDescent="0.3">
      <c r="B16" s="89">
        <v>3</v>
      </c>
      <c r="C16" s="21">
        <v>600</v>
      </c>
      <c r="D16" s="21">
        <v>0</v>
      </c>
      <c r="E16" s="21" t="s">
        <v>326</v>
      </c>
      <c r="F16" s="88">
        <f t="shared" si="0"/>
        <v>0</v>
      </c>
      <c r="G16" s="88">
        <f t="shared" si="1"/>
        <v>0</v>
      </c>
      <c r="H16" s="22">
        <v>0</v>
      </c>
      <c r="I16" s="22">
        <v>-5000</v>
      </c>
      <c r="J16" s="205" t="s">
        <v>568</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407</v>
      </c>
      <c r="K17" s="172"/>
      <c r="L17" s="172"/>
      <c r="M17" s="172"/>
      <c r="N17" s="172"/>
      <c r="O17" s="173"/>
      <c r="AA17" s="20">
        <f>IF(E32="","",E32)</f>
        <v>0</v>
      </c>
      <c r="AB17" s="20">
        <f>IF(F32="","",F32)</f>
        <v>0</v>
      </c>
      <c r="AC17" t="s">
        <v>334</v>
      </c>
    </row>
    <row r="18" spans="2:29" ht="19.05" customHeight="1" x14ac:dyDescent="0.3">
      <c r="B18" s="89">
        <v>5</v>
      </c>
      <c r="C18" s="21">
        <v>300</v>
      </c>
      <c r="D18" s="21">
        <v>350</v>
      </c>
      <c r="E18" s="21" t="s">
        <v>326</v>
      </c>
      <c r="F18" s="88">
        <f t="shared" si="0"/>
        <v>0</v>
      </c>
      <c r="G18" s="88">
        <f t="shared" si="1"/>
        <v>0</v>
      </c>
      <c r="H18" s="22">
        <v>2000</v>
      </c>
      <c r="I18" s="22">
        <v>-4000</v>
      </c>
      <c r="J18" s="205" t="s">
        <v>569</v>
      </c>
      <c r="K18" s="172"/>
      <c r="L18" s="172"/>
      <c r="M18" s="172"/>
      <c r="N18" s="172"/>
      <c r="O18" s="173"/>
      <c r="AA18" s="20">
        <f>IF(G32="","",G32)</f>
        <v>300</v>
      </c>
      <c r="AB18" s="20">
        <f>IF(H32="","",H32)</f>
        <v>350</v>
      </c>
      <c r="AC18" t="s">
        <v>335</v>
      </c>
    </row>
    <row r="19" spans="2:29" ht="19.05" customHeight="1" x14ac:dyDescent="0.3">
      <c r="B19" s="89">
        <v>6</v>
      </c>
      <c r="C19" s="21">
        <v>600</v>
      </c>
      <c r="D19" s="21">
        <v>350</v>
      </c>
      <c r="E19" s="21" t="s">
        <v>326</v>
      </c>
      <c r="F19" s="88">
        <f t="shared" si="0"/>
        <v>0</v>
      </c>
      <c r="G19" s="88">
        <f t="shared" si="1"/>
        <v>0</v>
      </c>
      <c r="H19" s="22">
        <v>2000</v>
      </c>
      <c r="I19" s="22">
        <v>-4000</v>
      </c>
      <c r="J19" s="205" t="s">
        <v>570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350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300</v>
      </c>
      <c r="AB23" s="20">
        <f>IF(F34="","",F34)</f>
        <v>0</v>
      </c>
      <c r="AC23" t="s">
        <v>338</v>
      </c>
    </row>
    <row r="24" spans="2:29" x14ac:dyDescent="0.3">
      <c r="AA24" s="20">
        <f>IF(G34="","",G34)</f>
        <v>600</v>
      </c>
      <c r="AB24" s="20">
        <f>IF(H34="","",H34)</f>
        <v>350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350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350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350</v>
      </c>
      <c r="G31" s="5">
        <f t="shared" si="4"/>
        <v>600</v>
      </c>
      <c r="H31" s="5">
        <f t="shared" si="5"/>
        <v>350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350</v>
      </c>
      <c r="I32" s="9">
        <f t="shared" si="6"/>
        <v>300</v>
      </c>
      <c r="J32" s="9">
        <f t="shared" si="7"/>
        <v>350</v>
      </c>
      <c r="K32" s="9">
        <f t="shared" si="8"/>
        <v>460.97722286464438</v>
      </c>
      <c r="L32" s="92">
        <f t="shared" si="9"/>
        <v>0.65079137345596849</v>
      </c>
      <c r="M32" s="92">
        <f t="shared" si="10"/>
        <v>0.75925660236529657</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350</v>
      </c>
      <c r="G33" s="5">
        <f t="shared" si="4"/>
        <v>300</v>
      </c>
      <c r="H33" s="5">
        <f t="shared" si="5"/>
        <v>0</v>
      </c>
      <c r="I33" s="9">
        <f t="shared" si="6"/>
        <v>0</v>
      </c>
      <c r="J33" s="9">
        <f t="shared" si="7"/>
        <v>-350</v>
      </c>
      <c r="K33" s="9">
        <f t="shared" si="8"/>
        <v>350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6</v>
      </c>
      <c r="E34" s="5">
        <f t="shared" si="2"/>
        <v>300</v>
      </c>
      <c r="F34" s="5">
        <f t="shared" si="3"/>
        <v>0</v>
      </c>
      <c r="G34" s="5">
        <f t="shared" si="4"/>
        <v>600</v>
      </c>
      <c r="H34" s="5">
        <f t="shared" si="5"/>
        <v>350</v>
      </c>
      <c r="I34" s="9">
        <f t="shared" si="6"/>
        <v>300</v>
      </c>
      <c r="J34" s="9">
        <f t="shared" si="7"/>
        <v>350</v>
      </c>
      <c r="K34" s="9">
        <f t="shared" si="8"/>
        <v>460.97722286464438</v>
      </c>
      <c r="L34" s="92">
        <f t="shared" si="9"/>
        <v>0.65079137345596849</v>
      </c>
      <c r="M34" s="92">
        <f t="shared" si="10"/>
        <v>0.75925660236529657</v>
      </c>
      <c r="N34" s="22">
        <v>12</v>
      </c>
      <c r="O34" s="24">
        <v>2100000</v>
      </c>
    </row>
    <row r="35" spans="2:29" ht="19.05" customHeight="1" x14ac:dyDescent="0.3">
      <c r="B35" s="89">
        <v>8</v>
      </c>
      <c r="C35" s="23">
        <v>6</v>
      </c>
      <c r="D35" s="23">
        <v>3</v>
      </c>
      <c r="E35" s="5">
        <f t="shared" si="2"/>
        <v>600</v>
      </c>
      <c r="F35" s="5">
        <f t="shared" si="3"/>
        <v>350</v>
      </c>
      <c r="G35" s="5">
        <f t="shared" si="4"/>
        <v>600</v>
      </c>
      <c r="H35" s="5">
        <f t="shared" si="5"/>
        <v>0</v>
      </c>
      <c r="I35" s="9">
        <f t="shared" si="6"/>
        <v>0</v>
      </c>
      <c r="J35" s="9">
        <f t="shared" si="7"/>
        <v>-350</v>
      </c>
      <c r="K35" s="9">
        <f t="shared" si="8"/>
        <v>350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350</v>
      </c>
      <c r="G36" s="5">
        <f t="shared" si="4"/>
        <v>900</v>
      </c>
      <c r="H36" s="5">
        <f t="shared" si="5"/>
        <v>0</v>
      </c>
      <c r="I36" s="9">
        <f t="shared" si="6"/>
        <v>300</v>
      </c>
      <c r="J36" s="9">
        <f t="shared" si="7"/>
        <v>-350</v>
      </c>
      <c r="K36" s="9">
        <f t="shared" si="8"/>
        <v>460.97722286464438</v>
      </c>
      <c r="L36" s="92">
        <f t="shared" si="9"/>
        <v>0.65079137345596849</v>
      </c>
      <c r="M36" s="92">
        <f t="shared" si="10"/>
        <v>-0.75925660236529657</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700-000000000000}">
      <formula1>"Fijo (articulado),Rodillo Y (despl. X libre),Rodillo X (despl. Y libre),Libre (0 reac.)"</formula1>
    </dataValidation>
  </dataValidations>
  <pageMargins left="0.75" right="0.75" top="1" bottom="1" header="0.5" footer="0.5"/>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571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GRAFICA_35!E28</f>
        <v>0</v>
      </c>
      <c r="D6" s="22">
        <f>GRAFICA_35!F28</f>
        <v>0</v>
      </c>
      <c r="E6" s="22">
        <f>GRAFICA_35!G28</f>
        <v>300</v>
      </c>
      <c r="F6" s="22">
        <f>GRAFICA_35!H28</f>
        <v>0</v>
      </c>
      <c r="G6" s="9">
        <f t="shared" ref="G6:G14" si="0">E6-C6</f>
        <v>300</v>
      </c>
      <c r="H6" s="9">
        <f t="shared" ref="H6:H14" si="1">F6-D6</f>
        <v>0</v>
      </c>
      <c r="I6" s="9">
        <f t="shared" ref="I6:I14" si="2">SQRT(G6*G6+H6*H6)</f>
        <v>300</v>
      </c>
      <c r="J6" s="92">
        <f t="shared" ref="J6:J14" si="3">G6/I6</f>
        <v>1</v>
      </c>
      <c r="K6" s="92">
        <f t="shared" ref="K6:K14" si="4">H6/I6</f>
        <v>0</v>
      </c>
      <c r="L6" s="22">
        <f>GRAFICA_35!N28</f>
        <v>12</v>
      </c>
      <c r="M6" s="22">
        <f>GRAFICA_35!O28</f>
        <v>2100000</v>
      </c>
      <c r="N6" s="6">
        <f t="shared" ref="N6:N14" si="5">L6*M6/I6</f>
        <v>84000</v>
      </c>
    </row>
    <row r="7" spans="2:14" ht="19.05" customHeight="1" x14ac:dyDescent="0.3">
      <c r="B7" s="25">
        <v>2</v>
      </c>
      <c r="C7" s="22">
        <f>GRAFICA_35!E29</f>
        <v>300</v>
      </c>
      <c r="D7" s="22">
        <f>GRAFICA_35!F29</f>
        <v>0</v>
      </c>
      <c r="E7" s="22">
        <f>GRAFICA_35!G29</f>
        <v>600</v>
      </c>
      <c r="F7" s="22">
        <f>GRAFICA_35!H29</f>
        <v>0</v>
      </c>
      <c r="G7" s="9">
        <f t="shared" si="0"/>
        <v>300</v>
      </c>
      <c r="H7" s="9">
        <f t="shared" si="1"/>
        <v>0</v>
      </c>
      <c r="I7" s="9">
        <f t="shared" si="2"/>
        <v>300</v>
      </c>
      <c r="J7" s="92">
        <f t="shared" si="3"/>
        <v>1</v>
      </c>
      <c r="K7" s="92">
        <f t="shared" si="4"/>
        <v>0</v>
      </c>
      <c r="L7" s="22">
        <f>GRAFICA_35!N29</f>
        <v>12</v>
      </c>
      <c r="M7" s="22">
        <f>GRAFICA_35!O29</f>
        <v>2100000</v>
      </c>
      <c r="N7" s="6">
        <f t="shared" si="5"/>
        <v>84000</v>
      </c>
    </row>
    <row r="8" spans="2:14" ht="19.05" customHeight="1" x14ac:dyDescent="0.3">
      <c r="B8" s="26">
        <v>3</v>
      </c>
      <c r="C8" s="22">
        <f>GRAFICA_35!E30</f>
        <v>600</v>
      </c>
      <c r="D8" s="22">
        <f>GRAFICA_35!F30</f>
        <v>0</v>
      </c>
      <c r="E8" s="22">
        <f>GRAFICA_35!G30</f>
        <v>900</v>
      </c>
      <c r="F8" s="22">
        <f>GRAFICA_35!H30</f>
        <v>0</v>
      </c>
      <c r="G8" s="9">
        <f t="shared" si="0"/>
        <v>300</v>
      </c>
      <c r="H8" s="9">
        <f t="shared" si="1"/>
        <v>0</v>
      </c>
      <c r="I8" s="9">
        <f t="shared" si="2"/>
        <v>300</v>
      </c>
      <c r="J8" s="92">
        <f t="shared" si="3"/>
        <v>1</v>
      </c>
      <c r="K8" s="92">
        <f t="shared" si="4"/>
        <v>0</v>
      </c>
      <c r="L8" s="22">
        <f>GRAFICA_35!N30</f>
        <v>12</v>
      </c>
      <c r="M8" s="22">
        <f>GRAFICA_35!O30</f>
        <v>2100000</v>
      </c>
      <c r="N8" s="6">
        <f t="shared" si="5"/>
        <v>84000</v>
      </c>
    </row>
    <row r="9" spans="2:14" ht="19.05" customHeight="1" x14ac:dyDescent="0.3">
      <c r="B9" s="43">
        <v>4</v>
      </c>
      <c r="C9" s="22">
        <f>GRAFICA_35!E31</f>
        <v>300</v>
      </c>
      <c r="D9" s="22">
        <f>GRAFICA_35!F31</f>
        <v>350</v>
      </c>
      <c r="E9" s="22">
        <f>GRAFICA_35!G31</f>
        <v>600</v>
      </c>
      <c r="F9" s="22">
        <f>GRAFICA_35!H31</f>
        <v>350</v>
      </c>
      <c r="G9" s="9">
        <f t="shared" si="0"/>
        <v>300</v>
      </c>
      <c r="H9" s="9">
        <f t="shared" si="1"/>
        <v>0</v>
      </c>
      <c r="I9" s="9">
        <f t="shared" si="2"/>
        <v>300</v>
      </c>
      <c r="J9" s="92">
        <f t="shared" si="3"/>
        <v>1</v>
      </c>
      <c r="K9" s="92">
        <f t="shared" si="4"/>
        <v>0</v>
      </c>
      <c r="L9" s="22">
        <f>GRAFICA_35!N31</f>
        <v>12</v>
      </c>
      <c r="M9" s="22">
        <f>GRAFICA_35!O31</f>
        <v>2100000</v>
      </c>
      <c r="N9" s="6">
        <f t="shared" si="5"/>
        <v>84000</v>
      </c>
    </row>
    <row r="10" spans="2:14" ht="19.05" customHeight="1" x14ac:dyDescent="0.3">
      <c r="B10" s="44">
        <v>5</v>
      </c>
      <c r="C10" s="22">
        <f>GRAFICA_35!E32</f>
        <v>0</v>
      </c>
      <c r="D10" s="22">
        <f>GRAFICA_35!F32</f>
        <v>0</v>
      </c>
      <c r="E10" s="22">
        <f>GRAFICA_35!G32</f>
        <v>300</v>
      </c>
      <c r="F10" s="22">
        <f>GRAFICA_35!H32</f>
        <v>350</v>
      </c>
      <c r="G10" s="9">
        <f t="shared" si="0"/>
        <v>300</v>
      </c>
      <c r="H10" s="9">
        <f t="shared" si="1"/>
        <v>350</v>
      </c>
      <c r="I10" s="9">
        <f t="shared" si="2"/>
        <v>460.97722286464438</v>
      </c>
      <c r="J10" s="92">
        <f t="shared" si="3"/>
        <v>0.65079137345596849</v>
      </c>
      <c r="K10" s="92">
        <f t="shared" si="4"/>
        <v>0.75925660236529657</v>
      </c>
      <c r="L10" s="22">
        <f>GRAFICA_35!N32</f>
        <v>12</v>
      </c>
      <c r="M10" s="22">
        <f>GRAFICA_35!O32</f>
        <v>2100000</v>
      </c>
      <c r="N10" s="6">
        <f t="shared" si="5"/>
        <v>54666.475370301356</v>
      </c>
    </row>
    <row r="11" spans="2:14" ht="19.05" customHeight="1" x14ac:dyDescent="0.3">
      <c r="B11" s="51">
        <v>6</v>
      </c>
      <c r="C11" s="22">
        <f>GRAFICA_35!E33</f>
        <v>300</v>
      </c>
      <c r="D11" s="22">
        <f>GRAFICA_35!F33</f>
        <v>350</v>
      </c>
      <c r="E11" s="22">
        <f>GRAFICA_35!G33</f>
        <v>300</v>
      </c>
      <c r="F11" s="22">
        <f>GRAFICA_35!H33</f>
        <v>0</v>
      </c>
      <c r="G11" s="9">
        <f t="shared" si="0"/>
        <v>0</v>
      </c>
      <c r="H11" s="9">
        <f t="shared" si="1"/>
        <v>-350</v>
      </c>
      <c r="I11" s="9">
        <f t="shared" si="2"/>
        <v>350</v>
      </c>
      <c r="J11" s="92">
        <f t="shared" si="3"/>
        <v>0</v>
      </c>
      <c r="K11" s="92">
        <f t="shared" si="4"/>
        <v>-1</v>
      </c>
      <c r="L11" s="22">
        <f>GRAFICA_35!N33</f>
        <v>12</v>
      </c>
      <c r="M11" s="22">
        <f>GRAFICA_35!O33</f>
        <v>2100000</v>
      </c>
      <c r="N11" s="6">
        <f t="shared" si="5"/>
        <v>72000</v>
      </c>
    </row>
    <row r="12" spans="2:14" ht="19.05" customHeight="1" x14ac:dyDescent="0.3">
      <c r="B12" s="52">
        <v>7</v>
      </c>
      <c r="C12" s="22">
        <f>GRAFICA_35!E34</f>
        <v>300</v>
      </c>
      <c r="D12" s="22">
        <f>GRAFICA_35!F34</f>
        <v>0</v>
      </c>
      <c r="E12" s="22">
        <f>GRAFICA_35!G34</f>
        <v>600</v>
      </c>
      <c r="F12" s="22">
        <f>GRAFICA_35!H34</f>
        <v>350</v>
      </c>
      <c r="G12" s="9">
        <f t="shared" si="0"/>
        <v>300</v>
      </c>
      <c r="H12" s="9">
        <f t="shared" si="1"/>
        <v>350</v>
      </c>
      <c r="I12" s="9">
        <f t="shared" si="2"/>
        <v>460.97722286464438</v>
      </c>
      <c r="J12" s="92">
        <f t="shared" si="3"/>
        <v>0.65079137345596849</v>
      </c>
      <c r="K12" s="92">
        <f t="shared" si="4"/>
        <v>0.75925660236529657</v>
      </c>
      <c r="L12" s="22">
        <f>GRAFICA_35!N34</f>
        <v>12</v>
      </c>
      <c r="M12" s="22">
        <f>GRAFICA_35!O34</f>
        <v>2100000</v>
      </c>
      <c r="N12" s="6">
        <f t="shared" si="5"/>
        <v>54666.475370301356</v>
      </c>
    </row>
    <row r="13" spans="2:14" ht="19.05" customHeight="1" x14ac:dyDescent="0.3">
      <c r="B13" s="59">
        <v>8</v>
      </c>
      <c r="C13" s="22">
        <f>GRAFICA_35!E35</f>
        <v>600</v>
      </c>
      <c r="D13" s="22">
        <f>GRAFICA_35!F35</f>
        <v>350</v>
      </c>
      <c r="E13" s="22">
        <f>GRAFICA_35!G35</f>
        <v>600</v>
      </c>
      <c r="F13" s="22">
        <f>GRAFICA_35!H35</f>
        <v>0</v>
      </c>
      <c r="G13" s="9">
        <f t="shared" si="0"/>
        <v>0</v>
      </c>
      <c r="H13" s="9">
        <f t="shared" si="1"/>
        <v>-350</v>
      </c>
      <c r="I13" s="9">
        <f t="shared" si="2"/>
        <v>350</v>
      </c>
      <c r="J13" s="92">
        <f t="shared" si="3"/>
        <v>0</v>
      </c>
      <c r="K13" s="92">
        <f t="shared" si="4"/>
        <v>-1</v>
      </c>
      <c r="L13" s="22">
        <f>GRAFICA_35!N35</f>
        <v>12</v>
      </c>
      <c r="M13" s="22">
        <f>GRAFICA_35!O35</f>
        <v>2100000</v>
      </c>
      <c r="N13" s="6">
        <f t="shared" si="5"/>
        <v>72000</v>
      </c>
    </row>
    <row r="14" spans="2:14" ht="19.05" customHeight="1" x14ac:dyDescent="0.3">
      <c r="B14" s="60">
        <v>9</v>
      </c>
      <c r="C14" s="22">
        <f>GRAFICA_35!E36</f>
        <v>600</v>
      </c>
      <c r="D14" s="22">
        <f>GRAFICA_35!F36</f>
        <v>350</v>
      </c>
      <c r="E14" s="22">
        <f>GRAFICA_35!G36</f>
        <v>900</v>
      </c>
      <c r="F14" s="22">
        <f>GRAFICA_35!H36</f>
        <v>0</v>
      </c>
      <c r="G14" s="9">
        <f t="shared" si="0"/>
        <v>300</v>
      </c>
      <c r="H14" s="9">
        <f t="shared" si="1"/>
        <v>-350</v>
      </c>
      <c r="I14" s="9">
        <f t="shared" si="2"/>
        <v>460.97722286464438</v>
      </c>
      <c r="J14" s="92">
        <f t="shared" si="3"/>
        <v>0.65079137345596849</v>
      </c>
      <c r="K14" s="92">
        <f t="shared" si="4"/>
        <v>-0.75925660236529657</v>
      </c>
      <c r="L14" s="22">
        <f>GRAFICA_35!N36</f>
        <v>12</v>
      </c>
      <c r="M14" s="22">
        <f>GRAFICA_35!O36</f>
        <v>2100000</v>
      </c>
      <c r="N14" s="6">
        <f t="shared" si="5"/>
        <v>54666.475370301356</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GRAFICA_35!C28</f>
        <v>1</v>
      </c>
      <c r="D18" s="23">
        <f>GRAFICA_35!C28</f>
        <v>1</v>
      </c>
      <c r="E18" s="23">
        <f>GRAFICA_35!D28</f>
        <v>2</v>
      </c>
      <c r="F18" s="23">
        <f>GRAFICA_35!D28</f>
        <v>2</v>
      </c>
    </row>
    <row r="19" spans="1:6" ht="19.05" customHeight="1" x14ac:dyDescent="0.3">
      <c r="B19" s="25">
        <v>2</v>
      </c>
      <c r="C19" s="23">
        <f>GRAFICA_35!C29</f>
        <v>2</v>
      </c>
      <c r="D19" s="23">
        <f>GRAFICA_35!C29</f>
        <v>2</v>
      </c>
      <c r="E19" s="23">
        <f>GRAFICA_35!D29</f>
        <v>3</v>
      </c>
      <c r="F19" s="23">
        <f>GRAFICA_35!D29</f>
        <v>3</v>
      </c>
    </row>
    <row r="20" spans="1:6" ht="19.05" customHeight="1" x14ac:dyDescent="0.3">
      <c r="B20" s="26">
        <v>3</v>
      </c>
      <c r="C20" s="23">
        <f>GRAFICA_35!C30</f>
        <v>3</v>
      </c>
      <c r="D20" s="23">
        <f>GRAFICA_35!C30</f>
        <v>3</v>
      </c>
      <c r="E20" s="23">
        <f>GRAFICA_35!D30</f>
        <v>4</v>
      </c>
      <c r="F20" s="23">
        <f>GRAFICA_35!D30</f>
        <v>4</v>
      </c>
    </row>
    <row r="21" spans="1:6" ht="19.05" customHeight="1" x14ac:dyDescent="0.3">
      <c r="B21" s="43">
        <v>4</v>
      </c>
      <c r="C21" s="23">
        <f>GRAFICA_35!C31</f>
        <v>5</v>
      </c>
      <c r="D21" s="23">
        <f>GRAFICA_35!C31</f>
        <v>5</v>
      </c>
      <c r="E21" s="23">
        <f>GRAFICA_35!D31</f>
        <v>6</v>
      </c>
      <c r="F21" s="23">
        <f>GRAFICA_35!D31</f>
        <v>6</v>
      </c>
    </row>
    <row r="22" spans="1:6" ht="19.05" customHeight="1" x14ac:dyDescent="0.3">
      <c r="B22" s="44">
        <v>5</v>
      </c>
      <c r="C22" s="23">
        <f>GRAFICA_35!C32</f>
        <v>1</v>
      </c>
      <c r="D22" s="23">
        <f>GRAFICA_35!C32</f>
        <v>1</v>
      </c>
      <c r="E22" s="23">
        <f>GRAFICA_35!D32</f>
        <v>5</v>
      </c>
      <c r="F22" s="23">
        <f>GRAFICA_35!D32</f>
        <v>5</v>
      </c>
    </row>
    <row r="23" spans="1:6" ht="19.05" customHeight="1" x14ac:dyDescent="0.3">
      <c r="B23" s="51">
        <v>6</v>
      </c>
      <c r="C23" s="23">
        <f>GRAFICA_35!C33</f>
        <v>5</v>
      </c>
      <c r="D23" s="23">
        <f>GRAFICA_35!C33</f>
        <v>5</v>
      </c>
      <c r="E23" s="23">
        <f>GRAFICA_35!D33</f>
        <v>2</v>
      </c>
      <c r="F23" s="23">
        <f>GRAFICA_35!D33</f>
        <v>2</v>
      </c>
    </row>
    <row r="24" spans="1:6" ht="19.05" customHeight="1" x14ac:dyDescent="0.3">
      <c r="B24" s="52">
        <v>7</v>
      </c>
      <c r="C24" s="23">
        <f>GRAFICA_35!C34</f>
        <v>2</v>
      </c>
      <c r="D24" s="23">
        <f>GRAFICA_35!C34</f>
        <v>2</v>
      </c>
      <c r="E24" s="23">
        <f>GRAFICA_35!D34</f>
        <v>6</v>
      </c>
      <c r="F24" s="23">
        <f>GRAFICA_35!D34</f>
        <v>6</v>
      </c>
    </row>
    <row r="25" spans="1:6" ht="19.05" customHeight="1" x14ac:dyDescent="0.3">
      <c r="B25" s="59">
        <v>8</v>
      </c>
      <c r="C25" s="23">
        <f>GRAFICA_35!C35</f>
        <v>6</v>
      </c>
      <c r="D25" s="23">
        <f>GRAFICA_35!C35</f>
        <v>6</v>
      </c>
      <c r="E25" s="23">
        <f>GRAFICA_35!D35</f>
        <v>3</v>
      </c>
      <c r="F25" s="23">
        <f>GRAFICA_35!D35</f>
        <v>3</v>
      </c>
    </row>
    <row r="26" spans="1:6" ht="19.05" customHeight="1" x14ac:dyDescent="0.3">
      <c r="B26" s="60">
        <v>9</v>
      </c>
      <c r="C26" s="23">
        <f>GRAFICA_35!C36</f>
        <v>6</v>
      </c>
      <c r="D26" s="23">
        <f>GRAFICA_35!C36</f>
        <v>6</v>
      </c>
      <c r="E26" s="23">
        <f>GRAFICA_35!D36</f>
        <v>4</v>
      </c>
      <c r="F26" s="23">
        <f>GRAFICA_35!D36</f>
        <v>4</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U5X</v>
      </c>
      <c r="E113" s="48" t="str">
        <f>CONCATENATE("U",F22,F$17)</f>
        <v>U5Y</v>
      </c>
    </row>
    <row r="114" spans="1:14" x14ac:dyDescent="0.3">
      <c r="B114" s="49">
        <f>J10*J10*N10</f>
        <v>23152.860156833514</v>
      </c>
      <c r="C114" s="49">
        <f>J10*K10*N10</f>
        <v>27011.670182972433</v>
      </c>
      <c r="D114" s="49">
        <f>-B114</f>
        <v>-23152.860156833514</v>
      </c>
      <c r="E114" s="49">
        <f>-C114</f>
        <v>-27011.670182972433</v>
      </c>
      <c r="F114" s="48" t="str">
        <f>B113</f>
        <v>U1X</v>
      </c>
    </row>
    <row r="115" spans="1:14" ht="16.8" customHeight="1" x14ac:dyDescent="0.3">
      <c r="A115" s="28" t="s">
        <v>197</v>
      </c>
      <c r="B115" s="49">
        <f>C114</f>
        <v>27011.670182972433</v>
      </c>
      <c r="C115" s="49">
        <f>K10*K10*N10</f>
        <v>31513.615213467838</v>
      </c>
      <c r="D115" s="49">
        <f>-B115</f>
        <v>-27011.670182972433</v>
      </c>
      <c r="E115" s="49">
        <f>-C115</f>
        <v>-31513.615213467838</v>
      </c>
      <c r="F115" s="48" t="str">
        <f>C113</f>
        <v>U1Y</v>
      </c>
    </row>
    <row r="116" spans="1:14" x14ac:dyDescent="0.3">
      <c r="B116" s="49">
        <f>D114</f>
        <v>-23152.860156833514</v>
      </c>
      <c r="C116" s="49">
        <f>E114</f>
        <v>-27011.670182972433</v>
      </c>
      <c r="D116" s="49">
        <f>B114</f>
        <v>23152.860156833514</v>
      </c>
      <c r="E116" s="49">
        <f>C114</f>
        <v>27011.670182972433</v>
      </c>
      <c r="F116" s="48" t="str">
        <f>D113</f>
        <v>U5X</v>
      </c>
    </row>
    <row r="117" spans="1:14" x14ac:dyDescent="0.3">
      <c r="B117" s="49">
        <f>D115</f>
        <v>-27011.670182972433</v>
      </c>
      <c r="C117" s="49">
        <f>E115</f>
        <v>-31513.615213467838</v>
      </c>
      <c r="D117" s="49">
        <f>B115</f>
        <v>27011.670182972433</v>
      </c>
      <c r="E117" s="49">
        <f>C115</f>
        <v>31513.615213467838</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23152.860156833514</v>
      </c>
      <c r="C120" s="50">
        <f t="shared" si="10"/>
        <v>27011.670182972433</v>
      </c>
      <c r="D120" s="9">
        <f t="shared" si="10"/>
        <v>0</v>
      </c>
      <c r="E120" s="9">
        <f t="shared" si="10"/>
        <v>0</v>
      </c>
      <c r="F120" s="9">
        <f t="shared" si="10"/>
        <v>0</v>
      </c>
      <c r="G120" s="9">
        <f t="shared" si="10"/>
        <v>0</v>
      </c>
      <c r="H120" s="9">
        <f t="shared" si="10"/>
        <v>0</v>
      </c>
      <c r="I120" s="9">
        <f t="shared" si="10"/>
        <v>0</v>
      </c>
      <c r="J120" s="50">
        <f t="shared" si="10"/>
        <v>-23152.860156833514</v>
      </c>
      <c r="K120" s="50">
        <f t="shared" si="10"/>
        <v>-27011.670182972433</v>
      </c>
      <c r="L120" s="9">
        <f t="shared" si="10"/>
        <v>0</v>
      </c>
      <c r="M120" s="9">
        <f t="shared" si="10"/>
        <v>0</v>
      </c>
      <c r="N120" s="48" t="s">
        <v>178</v>
      </c>
    </row>
    <row r="121" spans="1:14" ht="19.05" customHeight="1" x14ac:dyDescent="0.3">
      <c r="B121" s="50">
        <f t="shared" si="10"/>
        <v>27011.670182972433</v>
      </c>
      <c r="C121" s="50">
        <f t="shared" si="10"/>
        <v>31513.615213467838</v>
      </c>
      <c r="D121" s="9">
        <f t="shared" si="10"/>
        <v>0</v>
      </c>
      <c r="E121" s="9">
        <f t="shared" si="10"/>
        <v>0</v>
      </c>
      <c r="F121" s="9">
        <f t="shared" si="10"/>
        <v>0</v>
      </c>
      <c r="G121" s="9">
        <f t="shared" si="10"/>
        <v>0</v>
      </c>
      <c r="H121" s="9">
        <f t="shared" si="10"/>
        <v>0</v>
      </c>
      <c r="I121" s="9">
        <f t="shared" si="10"/>
        <v>0</v>
      </c>
      <c r="J121" s="50">
        <f t="shared" si="10"/>
        <v>-27011.670182972433</v>
      </c>
      <c r="K121" s="50">
        <f t="shared" si="10"/>
        <v>-31513.615213467838</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50">
        <f t="shared" si="10"/>
        <v>-23152.860156833514</v>
      </c>
      <c r="C128" s="50">
        <f t="shared" si="10"/>
        <v>-27011.670182972433</v>
      </c>
      <c r="D128" s="9">
        <f t="shared" si="10"/>
        <v>0</v>
      </c>
      <c r="E128" s="9">
        <f t="shared" si="10"/>
        <v>0</v>
      </c>
      <c r="F128" s="9">
        <f t="shared" si="10"/>
        <v>0</v>
      </c>
      <c r="G128" s="9">
        <f t="shared" si="10"/>
        <v>0</v>
      </c>
      <c r="H128" s="9">
        <f t="shared" si="10"/>
        <v>0</v>
      </c>
      <c r="I128" s="9">
        <f t="shared" si="10"/>
        <v>0</v>
      </c>
      <c r="J128" s="50">
        <f t="shared" si="10"/>
        <v>23152.860156833514</v>
      </c>
      <c r="K128" s="50">
        <f t="shared" si="10"/>
        <v>27011.670182972433</v>
      </c>
      <c r="L128" s="9">
        <f t="shared" si="10"/>
        <v>0</v>
      </c>
      <c r="M128" s="9">
        <f t="shared" si="10"/>
        <v>0</v>
      </c>
      <c r="N128" s="48" t="s">
        <v>186</v>
      </c>
    </row>
    <row r="129" spans="1:14" ht="19.05" customHeight="1" x14ac:dyDescent="0.3">
      <c r="B129" s="50">
        <f t="shared" si="10"/>
        <v>-27011.670182972433</v>
      </c>
      <c r="C129" s="50">
        <f t="shared" si="10"/>
        <v>-31513.615213467838</v>
      </c>
      <c r="D129" s="9">
        <f t="shared" si="10"/>
        <v>0</v>
      </c>
      <c r="E129" s="9">
        <f t="shared" si="10"/>
        <v>0</v>
      </c>
      <c r="F129" s="9">
        <f t="shared" si="10"/>
        <v>0</v>
      </c>
      <c r="G129" s="9">
        <f t="shared" si="10"/>
        <v>0</v>
      </c>
      <c r="H129" s="9">
        <f t="shared" si="10"/>
        <v>0</v>
      </c>
      <c r="I129" s="9">
        <f t="shared" si="10"/>
        <v>0</v>
      </c>
      <c r="J129" s="50">
        <f t="shared" si="10"/>
        <v>27011.670182972433</v>
      </c>
      <c r="K129" s="50">
        <f t="shared" si="10"/>
        <v>31513.615213467838</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U5X</v>
      </c>
      <c r="C134" s="53" t="str">
        <f>CONCATENATE("U",D23,D$17)</f>
        <v>U5Y</v>
      </c>
      <c r="D134" s="53" t="str">
        <f>CONCATENATE("U",E23,E$17)</f>
        <v>U2X</v>
      </c>
      <c r="E134" s="53" t="str">
        <f>CONCATENATE("U",F23,F$17)</f>
        <v>U2Y</v>
      </c>
    </row>
    <row r="135" spans="1:14" x14ac:dyDescent="0.3">
      <c r="B135" s="54">
        <f>J11*J11*N11</f>
        <v>0</v>
      </c>
      <c r="C135" s="54">
        <f>J11*K11*N11</f>
        <v>0</v>
      </c>
      <c r="D135" s="54">
        <f>-B135</f>
        <v>0</v>
      </c>
      <c r="E135" s="54">
        <f>-C135</f>
        <v>0</v>
      </c>
      <c r="F135" s="53" t="str">
        <f>B134</f>
        <v>U5X</v>
      </c>
    </row>
    <row r="136" spans="1:14" ht="16.8" customHeight="1" x14ac:dyDescent="0.3">
      <c r="A136" s="28" t="s">
        <v>199</v>
      </c>
      <c r="B136" s="54">
        <f>C135</f>
        <v>0</v>
      </c>
      <c r="C136" s="54">
        <f>K11*K11*N11</f>
        <v>72000</v>
      </c>
      <c r="D136" s="54">
        <f>-B136</f>
        <v>0</v>
      </c>
      <c r="E136" s="54">
        <f>-C136</f>
        <v>-72000</v>
      </c>
      <c r="F136" s="53" t="str">
        <f>C134</f>
        <v>U5Y</v>
      </c>
    </row>
    <row r="137" spans="1:14" x14ac:dyDescent="0.3">
      <c r="B137" s="54">
        <f>D135</f>
        <v>0</v>
      </c>
      <c r="C137" s="54">
        <f>E135</f>
        <v>0</v>
      </c>
      <c r="D137" s="54">
        <f>B135</f>
        <v>0</v>
      </c>
      <c r="E137" s="54">
        <f>C135</f>
        <v>0</v>
      </c>
      <c r="F137" s="53" t="str">
        <f>D134</f>
        <v>U2X</v>
      </c>
    </row>
    <row r="138" spans="1:14" x14ac:dyDescent="0.3">
      <c r="B138" s="54">
        <f>D136</f>
        <v>0</v>
      </c>
      <c r="C138" s="54">
        <f>E136</f>
        <v>-72000</v>
      </c>
      <c r="D138" s="54">
        <f>B136</f>
        <v>0</v>
      </c>
      <c r="E138" s="54">
        <f>C136</f>
        <v>72000</v>
      </c>
      <c r="F138" s="53" t="str">
        <f>E134</f>
        <v>U2Y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72000</v>
      </c>
      <c r="F144" s="9">
        <f t="shared" si="11"/>
        <v>0</v>
      </c>
      <c r="G144" s="9">
        <f t="shared" si="11"/>
        <v>0</v>
      </c>
      <c r="H144" s="9">
        <f t="shared" si="11"/>
        <v>0</v>
      </c>
      <c r="I144" s="9">
        <f t="shared" si="11"/>
        <v>0</v>
      </c>
      <c r="J144" s="55">
        <f t="shared" si="11"/>
        <v>0</v>
      </c>
      <c r="K144" s="55">
        <f t="shared" si="11"/>
        <v>-72000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-72000</v>
      </c>
      <c r="F150" s="9">
        <f t="shared" si="11"/>
        <v>0</v>
      </c>
      <c r="G150" s="9">
        <f t="shared" si="11"/>
        <v>0</v>
      </c>
      <c r="H150" s="9">
        <f t="shared" si="11"/>
        <v>0</v>
      </c>
      <c r="I150" s="9">
        <f t="shared" si="11"/>
        <v>0</v>
      </c>
      <c r="J150" s="55">
        <f t="shared" si="11"/>
        <v>0</v>
      </c>
      <c r="K150" s="55">
        <f t="shared" si="11"/>
        <v>72000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U6X</v>
      </c>
      <c r="E155" s="56" t="str">
        <f>CONCATENATE("U",F24,F$17)</f>
        <v>U6Y</v>
      </c>
    </row>
    <row r="156" spans="1:14" x14ac:dyDescent="0.3">
      <c r="B156" s="57">
        <f>J12*J12*N12</f>
        <v>23152.860156833514</v>
      </c>
      <c r="C156" s="57">
        <f>J12*K12*N12</f>
        <v>27011.670182972433</v>
      </c>
      <c r="D156" s="57">
        <f>-B156</f>
        <v>-23152.860156833514</v>
      </c>
      <c r="E156" s="57">
        <f>-C156</f>
        <v>-27011.670182972433</v>
      </c>
      <c r="F156" s="56" t="str">
        <f>B155</f>
        <v>U2X</v>
      </c>
    </row>
    <row r="157" spans="1:14" ht="16.8" customHeight="1" x14ac:dyDescent="0.3">
      <c r="A157" s="28" t="s">
        <v>201</v>
      </c>
      <c r="B157" s="57">
        <f>C156</f>
        <v>27011.670182972433</v>
      </c>
      <c r="C157" s="57">
        <f>K12*K12*N12</f>
        <v>31513.615213467838</v>
      </c>
      <c r="D157" s="57">
        <f>-B157</f>
        <v>-27011.670182972433</v>
      </c>
      <c r="E157" s="57">
        <f>-C157</f>
        <v>-31513.615213467838</v>
      </c>
      <c r="F157" s="56" t="str">
        <f>C155</f>
        <v>U2Y</v>
      </c>
    </row>
    <row r="158" spans="1:14" x14ac:dyDescent="0.3">
      <c r="B158" s="57">
        <f>D156</f>
        <v>-23152.860156833514</v>
      </c>
      <c r="C158" s="57">
        <f>E156</f>
        <v>-27011.670182972433</v>
      </c>
      <c r="D158" s="57">
        <f>B156</f>
        <v>23152.860156833514</v>
      </c>
      <c r="E158" s="57">
        <f>C156</f>
        <v>27011.670182972433</v>
      </c>
      <c r="F158" s="56" t="str">
        <f>D155</f>
        <v>U6X</v>
      </c>
    </row>
    <row r="159" spans="1:14" x14ac:dyDescent="0.3">
      <c r="B159" s="57">
        <f>D157</f>
        <v>-27011.670182972433</v>
      </c>
      <c r="C159" s="57">
        <f>E157</f>
        <v>-31513.615213467838</v>
      </c>
      <c r="D159" s="57">
        <f>B157</f>
        <v>27011.670182972433</v>
      </c>
      <c r="E159" s="57">
        <f>C157</f>
        <v>31513.615213467838</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23152.860156833514</v>
      </c>
      <c r="E164" s="58">
        <f t="shared" si="12"/>
        <v>27011.670182972433</v>
      </c>
      <c r="F164" s="9">
        <f t="shared" si="12"/>
        <v>0</v>
      </c>
      <c r="G164" s="9">
        <f t="shared" si="12"/>
        <v>0</v>
      </c>
      <c r="H164" s="9">
        <f t="shared" si="12"/>
        <v>0</v>
      </c>
      <c r="I164" s="9">
        <f t="shared" si="12"/>
        <v>0</v>
      </c>
      <c r="J164" s="9">
        <f t="shared" si="12"/>
        <v>0</v>
      </c>
      <c r="K164" s="9">
        <f t="shared" si="12"/>
        <v>0</v>
      </c>
      <c r="L164" s="58">
        <f t="shared" si="12"/>
        <v>-23152.860156833514</v>
      </c>
      <c r="M164" s="58">
        <f t="shared" si="12"/>
        <v>-27011.670182972433</v>
      </c>
      <c r="N164" s="56" t="s">
        <v>180</v>
      </c>
    </row>
    <row r="165" spans="1:14" ht="19.05" customHeight="1" x14ac:dyDescent="0.3">
      <c r="B165" s="9">
        <f t="shared" si="12"/>
        <v>0</v>
      </c>
      <c r="C165" s="9">
        <f t="shared" si="12"/>
        <v>0</v>
      </c>
      <c r="D165" s="58">
        <f t="shared" si="12"/>
        <v>27011.670182972433</v>
      </c>
      <c r="E165" s="58">
        <f t="shared" si="12"/>
        <v>31513.615213467838</v>
      </c>
      <c r="F165" s="9">
        <f t="shared" si="12"/>
        <v>0</v>
      </c>
      <c r="G165" s="9">
        <f t="shared" si="12"/>
        <v>0</v>
      </c>
      <c r="H165" s="9">
        <f t="shared" si="12"/>
        <v>0</v>
      </c>
      <c r="I165" s="9">
        <f t="shared" si="12"/>
        <v>0</v>
      </c>
      <c r="J165" s="9">
        <f t="shared" si="12"/>
        <v>0</v>
      </c>
      <c r="K165" s="9">
        <f t="shared" si="12"/>
        <v>0</v>
      </c>
      <c r="L165" s="58">
        <f t="shared" si="12"/>
        <v>-27011.670182972433</v>
      </c>
      <c r="M165" s="58">
        <f t="shared" si="12"/>
        <v>-31513.615213467838</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58">
        <f t="shared" si="12"/>
        <v>-23152.860156833514</v>
      </c>
      <c r="E172" s="58">
        <f t="shared" si="12"/>
        <v>-27011.670182972433</v>
      </c>
      <c r="F172" s="9">
        <f t="shared" si="12"/>
        <v>0</v>
      </c>
      <c r="G172" s="9">
        <f t="shared" si="12"/>
        <v>0</v>
      </c>
      <c r="H172" s="9">
        <f t="shared" si="12"/>
        <v>0</v>
      </c>
      <c r="I172" s="9">
        <f t="shared" si="12"/>
        <v>0</v>
      </c>
      <c r="J172" s="9">
        <f t="shared" si="12"/>
        <v>0</v>
      </c>
      <c r="K172" s="9">
        <f t="shared" si="12"/>
        <v>0</v>
      </c>
      <c r="L172" s="58">
        <f t="shared" si="12"/>
        <v>23152.860156833514</v>
      </c>
      <c r="M172" s="58">
        <f t="shared" si="12"/>
        <v>27011.670182972433</v>
      </c>
      <c r="N172" s="56" t="s">
        <v>188</v>
      </c>
    </row>
    <row r="173" spans="1:14" ht="19.05" customHeight="1" x14ac:dyDescent="0.3">
      <c r="B173" s="9">
        <f t="shared" si="12"/>
        <v>0</v>
      </c>
      <c r="C173" s="9">
        <f t="shared" si="12"/>
        <v>0</v>
      </c>
      <c r="D173" s="58">
        <f t="shared" si="12"/>
        <v>-27011.670182972433</v>
      </c>
      <c r="E173" s="58">
        <f t="shared" si="12"/>
        <v>-31513.615213467838</v>
      </c>
      <c r="F173" s="9">
        <f t="shared" si="12"/>
        <v>0</v>
      </c>
      <c r="G173" s="9">
        <f t="shared" si="12"/>
        <v>0</v>
      </c>
      <c r="H173" s="9">
        <f t="shared" si="12"/>
        <v>0</v>
      </c>
      <c r="I173" s="9">
        <f t="shared" si="12"/>
        <v>0</v>
      </c>
      <c r="J173" s="9">
        <f t="shared" si="12"/>
        <v>0</v>
      </c>
      <c r="K173" s="9">
        <f t="shared" si="12"/>
        <v>0</v>
      </c>
      <c r="L173" s="58">
        <f t="shared" si="12"/>
        <v>27011.670182972433</v>
      </c>
      <c r="M173" s="58">
        <f t="shared" si="12"/>
        <v>31513.615213467838</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72000</v>
      </c>
      <c r="D178" s="62">
        <f>-B178</f>
        <v>0</v>
      </c>
      <c r="E178" s="62">
        <f>-C178</f>
        <v>-72000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-72000</v>
      </c>
      <c r="D180" s="62">
        <f>B178</f>
        <v>0</v>
      </c>
      <c r="E180" s="62">
        <f>C178</f>
        <v>72000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72000</v>
      </c>
      <c r="H188" s="9">
        <f t="shared" si="13"/>
        <v>0</v>
      </c>
      <c r="I188" s="9">
        <f t="shared" si="13"/>
        <v>0</v>
      </c>
      <c r="J188" s="9">
        <f t="shared" si="13"/>
        <v>0</v>
      </c>
      <c r="K188" s="9">
        <f t="shared" si="13"/>
        <v>0</v>
      </c>
      <c r="L188" s="63">
        <f t="shared" si="13"/>
        <v>0</v>
      </c>
      <c r="M188" s="63">
        <f t="shared" si="13"/>
        <v>-72000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-72000</v>
      </c>
      <c r="H194" s="9">
        <f t="shared" si="13"/>
        <v>0</v>
      </c>
      <c r="I194" s="9">
        <f t="shared" si="13"/>
        <v>0</v>
      </c>
      <c r="J194" s="9">
        <f t="shared" si="13"/>
        <v>0</v>
      </c>
      <c r="K194" s="9">
        <f t="shared" si="13"/>
        <v>0</v>
      </c>
      <c r="L194" s="63">
        <f t="shared" si="13"/>
        <v>0</v>
      </c>
      <c r="M194" s="63">
        <f t="shared" si="13"/>
        <v>72000</v>
      </c>
      <c r="N194" s="61" t="s">
        <v>189</v>
      </c>
    </row>
    <row r="197" spans="1:14" ht="18" customHeight="1" x14ac:dyDescent="0.3">
      <c r="B197" s="64" t="str">
        <f>CONCATENATE("U",C26,C$17)</f>
        <v>U6X</v>
      </c>
      <c r="C197" s="64" t="str">
        <f>CONCATENATE("U",D26,D$17)</f>
        <v>U6Y</v>
      </c>
      <c r="D197" s="64" t="str">
        <f>CONCATENATE("U",E26,E$17)</f>
        <v>U4X</v>
      </c>
      <c r="E197" s="64" t="str">
        <f>CONCATENATE("U",F26,F$17)</f>
        <v>U4Y</v>
      </c>
    </row>
    <row r="198" spans="1:14" x14ac:dyDescent="0.3">
      <c r="B198" s="65">
        <f>J14*J14*N14</f>
        <v>23152.860156833514</v>
      </c>
      <c r="C198" s="65">
        <f>J14*K14*N14</f>
        <v>-27011.670182972433</v>
      </c>
      <c r="D198" s="65">
        <f>-B198</f>
        <v>-23152.860156833514</v>
      </c>
      <c r="E198" s="65">
        <f>-C198</f>
        <v>27011.670182972433</v>
      </c>
      <c r="F198" s="64" t="str">
        <f>B197</f>
        <v>U6X</v>
      </c>
    </row>
    <row r="199" spans="1:14" ht="16.8" customHeight="1" x14ac:dyDescent="0.3">
      <c r="A199" s="28" t="s">
        <v>528</v>
      </c>
      <c r="B199" s="65">
        <f>C198</f>
        <v>-27011.670182972433</v>
      </c>
      <c r="C199" s="65">
        <f>K14*K14*N14</f>
        <v>31513.615213467838</v>
      </c>
      <c r="D199" s="65">
        <f>-B199</f>
        <v>27011.670182972433</v>
      </c>
      <c r="E199" s="65">
        <f>-C199</f>
        <v>-31513.615213467838</v>
      </c>
      <c r="F199" s="64" t="str">
        <f>C197</f>
        <v>U6Y</v>
      </c>
    </row>
    <row r="200" spans="1:14" x14ac:dyDescent="0.3">
      <c r="B200" s="65">
        <f>D198</f>
        <v>-23152.860156833514</v>
      </c>
      <c r="C200" s="65">
        <f>E198</f>
        <v>27011.670182972433</v>
      </c>
      <c r="D200" s="65">
        <f>B198</f>
        <v>23152.860156833514</v>
      </c>
      <c r="E200" s="65">
        <f>C198</f>
        <v>-27011.670182972433</v>
      </c>
      <c r="F200" s="64" t="str">
        <f>D197</f>
        <v>U4X</v>
      </c>
    </row>
    <row r="201" spans="1:14" x14ac:dyDescent="0.3">
      <c r="B201" s="65">
        <f>D199</f>
        <v>27011.670182972433</v>
      </c>
      <c r="C201" s="65">
        <f>E199</f>
        <v>-31513.615213467838</v>
      </c>
      <c r="D201" s="65">
        <f>B199</f>
        <v>-27011.670182972433</v>
      </c>
      <c r="E201" s="65">
        <f>C199</f>
        <v>31513.615213467838</v>
      </c>
      <c r="F201" s="64" t="str">
        <f>E197</f>
        <v>U4Y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23152.860156833514</v>
      </c>
      <c r="I210" s="66">
        <f t="shared" si="14"/>
        <v>-27011.670182972433</v>
      </c>
      <c r="J210" s="9">
        <f t="shared" si="14"/>
        <v>0</v>
      </c>
      <c r="K210" s="9">
        <f t="shared" si="14"/>
        <v>0</v>
      </c>
      <c r="L210" s="66">
        <f t="shared" si="14"/>
        <v>-23152.860156833514</v>
      </c>
      <c r="M210" s="66">
        <f t="shared" si="14"/>
        <v>27011.670182972433</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-27011.670182972433</v>
      </c>
      <c r="I211" s="66">
        <f t="shared" si="14"/>
        <v>31513.615213467838</v>
      </c>
      <c r="J211" s="9">
        <f t="shared" si="14"/>
        <v>0</v>
      </c>
      <c r="K211" s="9">
        <f t="shared" si="14"/>
        <v>0</v>
      </c>
      <c r="L211" s="66">
        <f t="shared" si="14"/>
        <v>27011.670182972433</v>
      </c>
      <c r="M211" s="66">
        <f t="shared" si="14"/>
        <v>-31513.615213467838</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-23152.860156833514</v>
      </c>
      <c r="I214" s="66">
        <f t="shared" si="14"/>
        <v>27011.670182972433</v>
      </c>
      <c r="J214" s="9">
        <f t="shared" si="14"/>
        <v>0</v>
      </c>
      <c r="K214" s="9">
        <f t="shared" si="14"/>
        <v>0</v>
      </c>
      <c r="L214" s="66">
        <f t="shared" si="14"/>
        <v>23152.860156833514</v>
      </c>
      <c r="M214" s="66">
        <f t="shared" si="14"/>
        <v>-27011.670182972433</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27011.670182972433</v>
      </c>
      <c r="I215" s="66">
        <f t="shared" si="14"/>
        <v>-31513.615213467838</v>
      </c>
      <c r="J215" s="9">
        <f t="shared" si="14"/>
        <v>0</v>
      </c>
      <c r="K215" s="9">
        <f t="shared" si="14"/>
        <v>0</v>
      </c>
      <c r="L215" s="66">
        <f t="shared" si="14"/>
        <v>-27011.670182972433</v>
      </c>
      <c r="M215" s="66">
        <f t="shared" si="14"/>
        <v>31513.615213467838</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107152.86015683351</v>
      </c>
      <c r="C219" s="36">
        <f t="shared" si="15"/>
        <v>27011.670182972433</v>
      </c>
      <c r="D219" s="9">
        <f t="shared" si="15"/>
        <v>-84000</v>
      </c>
      <c r="E219" s="9">
        <f t="shared" si="15"/>
        <v>0</v>
      </c>
      <c r="F219" s="9">
        <f t="shared" si="15"/>
        <v>0</v>
      </c>
      <c r="G219" s="9">
        <f t="shared" si="15"/>
        <v>0</v>
      </c>
      <c r="H219" s="9">
        <f t="shared" si="15"/>
        <v>0</v>
      </c>
      <c r="I219" s="9">
        <f t="shared" si="15"/>
        <v>0</v>
      </c>
      <c r="J219" s="9">
        <f t="shared" si="15"/>
        <v>-23152.860156833514</v>
      </c>
      <c r="K219" s="9">
        <f t="shared" si="15"/>
        <v>-27011.670182972433</v>
      </c>
      <c r="L219" s="9">
        <f t="shared" si="15"/>
        <v>0</v>
      </c>
      <c r="M219" s="9">
        <f t="shared" si="15"/>
        <v>0</v>
      </c>
      <c r="N219" s="89" t="s">
        <v>178</v>
      </c>
    </row>
    <row r="220" spans="1:14" ht="19.95" customHeight="1" x14ac:dyDescent="0.3">
      <c r="B220" s="36">
        <f t="shared" ref="B220:M220" si="16">B37+B58+B79+B100+B121+B142+B163+B184+B205</f>
        <v>27011.670182972433</v>
      </c>
      <c r="C220" s="35">
        <f t="shared" si="16"/>
        <v>31513.615213467838</v>
      </c>
      <c r="D220" s="9">
        <f t="shared" si="16"/>
        <v>0</v>
      </c>
      <c r="E220" s="9">
        <f t="shared" si="16"/>
        <v>0</v>
      </c>
      <c r="F220" s="9">
        <f t="shared" si="16"/>
        <v>0</v>
      </c>
      <c r="G220" s="9">
        <f t="shared" si="16"/>
        <v>0</v>
      </c>
      <c r="H220" s="9">
        <f t="shared" si="16"/>
        <v>0</v>
      </c>
      <c r="I220" s="9">
        <f t="shared" si="16"/>
        <v>0</v>
      </c>
      <c r="J220" s="9">
        <f t="shared" si="16"/>
        <v>-27011.670182972433</v>
      </c>
      <c r="K220" s="9">
        <f t="shared" si="16"/>
        <v>-31513.615213467838</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191152.86015683351</v>
      </c>
      <c r="E221" s="36">
        <f t="shared" si="17"/>
        <v>27011.670182972433</v>
      </c>
      <c r="F221" s="9">
        <f t="shared" si="17"/>
        <v>-84000</v>
      </c>
      <c r="G221" s="9">
        <f t="shared" si="17"/>
        <v>0</v>
      </c>
      <c r="H221" s="9">
        <f t="shared" si="17"/>
        <v>0</v>
      </c>
      <c r="I221" s="9">
        <f t="shared" si="17"/>
        <v>0</v>
      </c>
      <c r="J221" s="9">
        <f t="shared" si="17"/>
        <v>0</v>
      </c>
      <c r="K221" s="9">
        <f t="shared" si="17"/>
        <v>0</v>
      </c>
      <c r="L221" s="9">
        <f t="shared" si="17"/>
        <v>-23152.860156833514</v>
      </c>
      <c r="M221" s="9">
        <f t="shared" si="17"/>
        <v>-27011.670182972433</v>
      </c>
      <c r="N221" s="89" t="s">
        <v>180</v>
      </c>
    </row>
    <row r="222" spans="1:14" ht="19.95" customHeight="1" x14ac:dyDescent="0.3">
      <c r="B222" s="9">
        <f t="shared" ref="B222:M222" si="18">B39+B60+B81+B102+B123+B144+B165+B186+B207</f>
        <v>0</v>
      </c>
      <c r="C222" s="9">
        <f t="shared" si="18"/>
        <v>0</v>
      </c>
      <c r="D222" s="36">
        <f t="shared" si="18"/>
        <v>27011.670182972433</v>
      </c>
      <c r="E222" s="35">
        <f t="shared" si="18"/>
        <v>103513.61521346784</v>
      </c>
      <c r="F222" s="9">
        <f t="shared" si="18"/>
        <v>0</v>
      </c>
      <c r="G222" s="9">
        <f t="shared" si="18"/>
        <v>0</v>
      </c>
      <c r="H222" s="9">
        <f t="shared" si="18"/>
        <v>0</v>
      </c>
      <c r="I222" s="9">
        <f t="shared" si="18"/>
        <v>0</v>
      </c>
      <c r="J222" s="9">
        <f t="shared" si="18"/>
        <v>0</v>
      </c>
      <c r="K222" s="9">
        <f t="shared" si="18"/>
        <v>-72000</v>
      </c>
      <c r="L222" s="9">
        <f t="shared" si="18"/>
        <v>-27011.670182972433</v>
      </c>
      <c r="M222" s="9">
        <f t="shared" si="18"/>
        <v>-31513.615213467838</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72000</v>
      </c>
      <c r="H224" s="9">
        <f t="shared" si="20"/>
        <v>0</v>
      </c>
      <c r="I224" s="9">
        <f t="shared" si="20"/>
        <v>0</v>
      </c>
      <c r="J224" s="9">
        <f t="shared" si="20"/>
        <v>0</v>
      </c>
      <c r="K224" s="9">
        <f t="shared" si="20"/>
        <v>0</v>
      </c>
      <c r="L224" s="9">
        <f t="shared" si="20"/>
        <v>0</v>
      </c>
      <c r="M224" s="9">
        <f t="shared" si="20"/>
        <v>-72000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107152.86015683351</v>
      </c>
      <c r="I225" s="36">
        <f t="shared" si="21"/>
        <v>-27011.670182972433</v>
      </c>
      <c r="J225" s="9">
        <f t="shared" si="21"/>
        <v>0</v>
      </c>
      <c r="K225" s="9">
        <f t="shared" si="21"/>
        <v>0</v>
      </c>
      <c r="L225" s="9">
        <f t="shared" si="21"/>
        <v>-23152.860156833514</v>
      </c>
      <c r="M225" s="9">
        <f t="shared" si="21"/>
        <v>27011.670182972433</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-27011.670182972433</v>
      </c>
      <c r="I226" s="35">
        <f t="shared" si="22"/>
        <v>31513.615213467838</v>
      </c>
      <c r="J226" s="9">
        <f t="shared" si="22"/>
        <v>0</v>
      </c>
      <c r="K226" s="9">
        <f t="shared" si="22"/>
        <v>0</v>
      </c>
      <c r="L226" s="9">
        <f t="shared" si="22"/>
        <v>27011.670182972433</v>
      </c>
      <c r="M226" s="9">
        <f t="shared" si="22"/>
        <v>-31513.615213467838</v>
      </c>
      <c r="N226" s="89" t="s">
        <v>185</v>
      </c>
    </row>
    <row r="227" spans="1:21" ht="19.95" customHeight="1" x14ac:dyDescent="0.3">
      <c r="B227" s="9">
        <f t="shared" ref="B227:M227" si="23">B44+B65+B86+B107+B128+B149+B170+B191+B212</f>
        <v>-23152.860156833514</v>
      </c>
      <c r="C227" s="9">
        <f t="shared" si="23"/>
        <v>-27011.670182972433</v>
      </c>
      <c r="D227" s="9">
        <f t="shared" si="23"/>
        <v>0</v>
      </c>
      <c r="E227" s="9">
        <f t="shared" si="23"/>
        <v>0</v>
      </c>
      <c r="F227" s="9">
        <f t="shared" si="23"/>
        <v>0</v>
      </c>
      <c r="G227" s="9">
        <f t="shared" si="23"/>
        <v>0</v>
      </c>
      <c r="H227" s="9">
        <f t="shared" si="23"/>
        <v>0</v>
      </c>
      <c r="I227" s="9">
        <f t="shared" si="23"/>
        <v>0</v>
      </c>
      <c r="J227" s="35">
        <f t="shared" si="23"/>
        <v>107152.86015683351</v>
      </c>
      <c r="K227" s="36">
        <f t="shared" si="23"/>
        <v>27011.670182972433</v>
      </c>
      <c r="L227" s="9">
        <f t="shared" si="23"/>
        <v>-84000</v>
      </c>
      <c r="M227" s="9">
        <f t="shared" si="23"/>
        <v>0</v>
      </c>
      <c r="N227" s="89" t="s">
        <v>186</v>
      </c>
    </row>
    <row r="228" spans="1:21" ht="19.95" customHeight="1" x14ac:dyDescent="0.3">
      <c r="B228" s="9">
        <f t="shared" ref="B228:M228" si="24">B45+B66+B87+B108+B129+B150+B171+B192+B213</f>
        <v>-27011.670182972433</v>
      </c>
      <c r="C228" s="9">
        <f t="shared" si="24"/>
        <v>-31513.615213467838</v>
      </c>
      <c r="D228" s="9">
        <f t="shared" si="24"/>
        <v>0</v>
      </c>
      <c r="E228" s="9">
        <f t="shared" si="24"/>
        <v>-72000</v>
      </c>
      <c r="F228" s="9">
        <f t="shared" si="24"/>
        <v>0</v>
      </c>
      <c r="G228" s="9">
        <f t="shared" si="24"/>
        <v>0</v>
      </c>
      <c r="H228" s="9">
        <f t="shared" si="24"/>
        <v>0</v>
      </c>
      <c r="I228" s="9">
        <f t="shared" si="24"/>
        <v>0</v>
      </c>
      <c r="J228" s="36">
        <f t="shared" si="24"/>
        <v>27011.670182972433</v>
      </c>
      <c r="K228" s="35">
        <f t="shared" si="24"/>
        <v>103513.61521346784</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-23152.860156833514</v>
      </c>
      <c r="E229" s="9">
        <f t="shared" si="25"/>
        <v>-27011.670182972433</v>
      </c>
      <c r="F229" s="9">
        <f t="shared" si="25"/>
        <v>0</v>
      </c>
      <c r="G229" s="9">
        <f t="shared" si="25"/>
        <v>0</v>
      </c>
      <c r="H229" s="9">
        <f t="shared" si="25"/>
        <v>-23152.860156833514</v>
      </c>
      <c r="I229" s="9">
        <f t="shared" si="25"/>
        <v>27011.670182972433</v>
      </c>
      <c r="J229" s="9">
        <f t="shared" si="25"/>
        <v>-84000</v>
      </c>
      <c r="K229" s="9">
        <f t="shared" si="25"/>
        <v>0</v>
      </c>
      <c r="L229" s="35">
        <f t="shared" si="25"/>
        <v>130305.72031366703</v>
      </c>
      <c r="M229" s="36">
        <f t="shared" si="25"/>
        <v>0</v>
      </c>
      <c r="N229" s="89" t="s">
        <v>188</v>
      </c>
    </row>
    <row r="230" spans="1:21" ht="19.95" customHeight="1" x14ac:dyDescent="0.3">
      <c r="B230" s="9">
        <f t="shared" ref="B230:M230" si="26">B47+B68+B89+B110+B131+B152+B173+B194+B215</f>
        <v>0</v>
      </c>
      <c r="C230" s="9">
        <f t="shared" si="26"/>
        <v>0</v>
      </c>
      <c r="D230" s="9">
        <f t="shared" si="26"/>
        <v>-27011.670182972433</v>
      </c>
      <c r="E230" s="9">
        <f t="shared" si="26"/>
        <v>-31513.615213467838</v>
      </c>
      <c r="F230" s="9">
        <f t="shared" si="26"/>
        <v>0</v>
      </c>
      <c r="G230" s="9">
        <f t="shared" si="26"/>
        <v>-72000</v>
      </c>
      <c r="H230" s="9">
        <f t="shared" si="26"/>
        <v>27011.670182972433</v>
      </c>
      <c r="I230" s="9">
        <f t="shared" si="26"/>
        <v>-31513.615213467838</v>
      </c>
      <c r="J230" s="9">
        <f t="shared" si="26"/>
        <v>0</v>
      </c>
      <c r="K230" s="9">
        <f t="shared" si="26"/>
        <v>0</v>
      </c>
      <c r="L230" s="36">
        <f t="shared" si="26"/>
        <v>0</v>
      </c>
      <c r="M230" s="35">
        <f t="shared" si="26"/>
        <v>135027.23042693568</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IF(GRAFICA_35!F14=1, B234, GRAFICA_35!H14)</f>
        <v>C1X</v>
      </c>
      <c r="P234" s="215" t="s">
        <v>376</v>
      </c>
      <c r="Q234" s="172"/>
      <c r="R234" s="172"/>
      <c r="S234" s="172"/>
      <c r="T234" s="172"/>
      <c r="U234" s="173"/>
    </row>
    <row r="235" spans="1:21" ht="16.95" customHeight="1" x14ac:dyDescent="0.3">
      <c r="B235" s="12" t="s">
        <v>210</v>
      </c>
      <c r="C235" s="12" t="s">
        <v>179</v>
      </c>
      <c r="E235" s="37" t="str">
        <f>IF(GRAFICA_35!G14=1, B235, GRAFICA_35!I14)</f>
        <v>C1Y</v>
      </c>
      <c r="P235" s="215" t="s">
        <v>211</v>
      </c>
      <c r="Q235" s="172"/>
      <c r="R235" s="172"/>
      <c r="S235" s="172"/>
      <c r="T235" s="172"/>
      <c r="U235" s="173"/>
    </row>
    <row r="236" spans="1:21" ht="16.95" customHeight="1" x14ac:dyDescent="0.3">
      <c r="B236" s="12" t="s">
        <v>212</v>
      </c>
      <c r="C236" s="12" t="s">
        <v>180</v>
      </c>
      <c r="E236" s="37">
        <f>IF(GRAFICA_35!F15=1, B236, GRAFICA_35!H15)</f>
        <v>0</v>
      </c>
      <c r="P236" s="215" t="s">
        <v>377</v>
      </c>
      <c r="Q236" s="172"/>
      <c r="R236" s="172"/>
      <c r="S236" s="172"/>
      <c r="T236" s="172"/>
      <c r="U236" s="173"/>
    </row>
    <row r="237" spans="1:21" ht="16.95" customHeight="1" x14ac:dyDescent="0.3">
      <c r="B237" s="12" t="s">
        <v>214</v>
      </c>
      <c r="C237" s="12" t="s">
        <v>181</v>
      </c>
      <c r="E237" s="37">
        <f>IF(GRAFICA_35!G15=1, B237, GRAFICA_35!I15)</f>
        <v>-5000</v>
      </c>
      <c r="P237" s="215" t="s">
        <v>215</v>
      </c>
      <c r="Q237" s="172"/>
      <c r="R237" s="172"/>
      <c r="S237" s="172"/>
      <c r="T237" s="172"/>
      <c r="U237" s="173"/>
    </row>
    <row r="238" spans="1:21" ht="16.95" customHeight="1" x14ac:dyDescent="0.3">
      <c r="B238" s="12" t="s">
        <v>216</v>
      </c>
      <c r="C238" s="12" t="s">
        <v>182</v>
      </c>
      <c r="E238" s="37">
        <f>IF(GRAFICA_35!F16=1, B238, GRAFICA_35!H16)</f>
        <v>0</v>
      </c>
      <c r="P238" s="215" t="s">
        <v>378</v>
      </c>
      <c r="Q238" s="172"/>
      <c r="R238" s="172"/>
      <c r="S238" s="172"/>
      <c r="T238" s="172"/>
      <c r="U238" s="173"/>
    </row>
    <row r="239" spans="1:21" ht="16.95" customHeight="1" x14ac:dyDescent="0.3">
      <c r="A239" s="38" t="s">
        <v>218</v>
      </c>
      <c r="B239" s="12" t="s">
        <v>219</v>
      </c>
      <c r="C239" s="12" t="s">
        <v>183</v>
      </c>
      <c r="D239" s="13" t="s">
        <v>220</v>
      </c>
      <c r="E239" s="37">
        <f>IF(GRAFICA_35!G16=1, B239, GRAFICA_35!I16)</f>
        <v>-5000</v>
      </c>
      <c r="P239" s="215" t="s">
        <v>379</v>
      </c>
      <c r="Q239" s="172"/>
      <c r="R239" s="172"/>
      <c r="S239" s="172"/>
      <c r="T239" s="172"/>
      <c r="U239" s="173"/>
    </row>
    <row r="240" spans="1:21" ht="16.95" customHeight="1" x14ac:dyDescent="0.3">
      <c r="B240" s="12" t="s">
        <v>221</v>
      </c>
      <c r="C240" s="12" t="s">
        <v>184</v>
      </c>
      <c r="E240" s="37">
        <f>IF(GRAFICA_35!F17=1, B240, GRAFICA_35!H17)</f>
        <v>0</v>
      </c>
      <c r="P240" s="215"/>
      <c r="Q240" s="172"/>
      <c r="R240" s="172"/>
      <c r="S240" s="172"/>
      <c r="T240" s="172"/>
      <c r="U240" s="173"/>
    </row>
    <row r="241" spans="1:21" ht="16.95" customHeight="1" x14ac:dyDescent="0.3">
      <c r="B241" s="12" t="s">
        <v>222</v>
      </c>
      <c r="C241" s="12" t="s">
        <v>185</v>
      </c>
      <c r="E241" s="37" t="str">
        <f>IF(GRAFICA_35!G17=1, B241, GRAFICA_35!I17)</f>
        <v>C4Y</v>
      </c>
      <c r="P241" s="215"/>
      <c r="Q241" s="172"/>
      <c r="R241" s="172"/>
      <c r="S241" s="172"/>
      <c r="T241" s="172"/>
      <c r="U241" s="173"/>
    </row>
    <row r="242" spans="1:21" ht="16.95" customHeight="1" x14ac:dyDescent="0.3">
      <c r="B242" s="12" t="s">
        <v>223</v>
      </c>
      <c r="C242" s="12" t="s">
        <v>186</v>
      </c>
      <c r="E242" s="37">
        <f>IF(GRAFICA_35!F18=1, B242, GRAFICA_35!H18)</f>
        <v>2000</v>
      </c>
      <c r="P242" s="215"/>
      <c r="Q242" s="172"/>
      <c r="R242" s="172"/>
      <c r="S242" s="172"/>
      <c r="T242" s="172"/>
      <c r="U242" s="173"/>
    </row>
    <row r="243" spans="1:21" ht="16.95" customHeight="1" x14ac:dyDescent="0.3">
      <c r="B243" s="12" t="s">
        <v>224</v>
      </c>
      <c r="C243" s="12" t="s">
        <v>187</v>
      </c>
      <c r="E243" s="37">
        <f>IF(GRAFICA_35!G18=1, B243, GRAFICA_35!I18)</f>
        <v>-4000</v>
      </c>
      <c r="P243" s="215"/>
      <c r="Q243" s="172"/>
      <c r="R243" s="172"/>
      <c r="S243" s="172"/>
      <c r="T243" s="172"/>
      <c r="U243" s="173"/>
    </row>
    <row r="244" spans="1:21" ht="16.95" customHeight="1" x14ac:dyDescent="0.3">
      <c r="B244" s="12" t="s">
        <v>225</v>
      </c>
      <c r="C244" s="12" t="s">
        <v>188</v>
      </c>
      <c r="E244" s="37">
        <f>IF(GRAFICA_35!F19=1, B244, GRAFICA_35!H19)</f>
        <v>2000</v>
      </c>
      <c r="P244" s="215"/>
      <c r="Q244" s="172"/>
      <c r="R244" s="172"/>
      <c r="S244" s="172"/>
      <c r="T244" s="172"/>
      <c r="U244" s="173"/>
    </row>
    <row r="245" spans="1:21" ht="16.95" customHeight="1" x14ac:dyDescent="0.3">
      <c r="B245" s="12" t="s">
        <v>226</v>
      </c>
      <c r="C245" s="12" t="s">
        <v>189</v>
      </c>
      <c r="E245" s="37">
        <f>IF(GRAFICA_35!G19=1, B245, GRAFICA_35!I19)</f>
        <v>-4000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IF(GRAFICA_35!F14=1,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IF(GRAFICA_35!G14=1,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IF(GRAFICA_35!F15=1,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t="str">
        <f>IF(GRAFICA_35!G15=1, 0, B251)</f>
        <v>D2Y</v>
      </c>
      <c r="F251" s="14">
        <f>IF(E251&lt;&gt;0, COUNTIF(E$248:E251, "&lt;&gt;0"), "")</f>
        <v>2</v>
      </c>
      <c r="G251" s="14" t="str">
        <f>IF(E251=0, COUNTIF(E$248:E251, 0), "")</f>
        <v/>
      </c>
      <c r="P251" s="215"/>
      <c r="Q251" s="172"/>
      <c r="R251" s="172"/>
      <c r="S251" s="172"/>
      <c r="T251" s="172"/>
      <c r="U251" s="173"/>
    </row>
    <row r="252" spans="1:21" ht="16.95" customHeight="1" x14ac:dyDescent="0.3">
      <c r="B252" s="12" t="s">
        <v>232</v>
      </c>
      <c r="C252" s="12" t="s">
        <v>182</v>
      </c>
      <c r="E252" s="39" t="str">
        <f>IF(GRAFICA_35!F16=1, 0, B252)</f>
        <v>D3X</v>
      </c>
      <c r="F252" s="14">
        <f>IF(E252&lt;&gt;0, COUNTIF(E$248:E252, "&lt;&gt;0"), "")</f>
        <v>3</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t="str">
        <f>IF(GRAFICA_35!G16=1, 0, B253)</f>
        <v>D3Y</v>
      </c>
      <c r="F253" s="14">
        <f>IF(E253&lt;&gt;0, COUNTIF(E$248:E253, "&lt;&gt;0"), "")</f>
        <v>4</v>
      </c>
      <c r="G253" s="14" t="str">
        <f>IF(E253=0, COUNTIF(E$248:E253, 0), "")</f>
        <v/>
      </c>
      <c r="P253" s="215"/>
      <c r="Q253" s="172"/>
      <c r="R253" s="172"/>
      <c r="S253" s="172"/>
      <c r="T253" s="172"/>
      <c r="U253" s="173"/>
    </row>
    <row r="254" spans="1:21" ht="16.95" customHeight="1" x14ac:dyDescent="0.3">
      <c r="B254" s="12" t="s">
        <v>235</v>
      </c>
      <c r="C254" s="12" t="s">
        <v>184</v>
      </c>
      <c r="E254" s="39" t="str">
        <f>IF(GRAFICA_35!F17=1, 0, B254)</f>
        <v>D4X</v>
      </c>
      <c r="F254" s="14">
        <f>IF(E254&lt;&gt;0, COUNTIF(E$248:E254, "&lt;&gt;0"), "")</f>
        <v>5</v>
      </c>
      <c r="G254" s="14" t="str">
        <f>IF(E254=0, COUNTIF(E$248:E254, 0), "")</f>
        <v/>
      </c>
      <c r="P254" s="215"/>
      <c r="Q254" s="172"/>
      <c r="R254" s="172"/>
      <c r="S254" s="172"/>
      <c r="T254" s="172"/>
      <c r="U254" s="173"/>
    </row>
    <row r="255" spans="1:21" ht="16.95" customHeight="1" x14ac:dyDescent="0.3">
      <c r="B255" s="12" t="s">
        <v>236</v>
      </c>
      <c r="C255" s="12" t="s">
        <v>185</v>
      </c>
      <c r="E255" s="39">
        <f>IF(GRAFICA_35!G17=1, 0, B255)</f>
        <v>0</v>
      </c>
      <c r="F255" s="14" t="str">
        <f>IF(E255&lt;&gt;0, COUNTIF(E$248:E255, "&lt;&gt;0"), "")</f>
        <v/>
      </c>
      <c r="G255" s="14">
        <f>IF(E255=0, COUNTIF(E$248:E255, 0), "")</f>
        <v>3</v>
      </c>
      <c r="P255" s="215"/>
      <c r="Q255" s="172"/>
      <c r="R255" s="172"/>
      <c r="S255" s="172"/>
      <c r="T255" s="172"/>
      <c r="U255" s="173"/>
    </row>
    <row r="256" spans="1:21" ht="16.95" customHeight="1" x14ac:dyDescent="0.3">
      <c r="B256" s="12" t="s">
        <v>237</v>
      </c>
      <c r="C256" s="12" t="s">
        <v>186</v>
      </c>
      <c r="E256" s="39" t="str">
        <f>IF(GRAFICA_35!F18=1, 0, B256)</f>
        <v>D5X</v>
      </c>
      <c r="F256" s="14">
        <f>IF(E256&lt;&gt;0, COUNTIF(E$248:E256, "&lt;&gt;0"), "")</f>
        <v>6</v>
      </c>
      <c r="G256" s="14" t="str">
        <f>IF(E256=0, COUNTIF(E$248:E256, 0), "")</f>
        <v/>
      </c>
      <c r="P256" s="215"/>
      <c r="Q256" s="172"/>
      <c r="R256" s="172"/>
      <c r="S256" s="172"/>
      <c r="T256" s="172"/>
      <c r="U256" s="173"/>
    </row>
    <row r="257" spans="1:21" ht="16.95" customHeight="1" x14ac:dyDescent="0.3">
      <c r="B257" s="12" t="s">
        <v>238</v>
      </c>
      <c r="C257" s="12" t="s">
        <v>187</v>
      </c>
      <c r="E257" s="39" t="str">
        <f>IF(GRAFICA_35!G18=1, 0, B257)</f>
        <v>D5Y</v>
      </c>
      <c r="F257" s="14">
        <f>IF(E257&lt;&gt;0, COUNTIF(E$248:E257, "&lt;&gt;0"), "")</f>
        <v>7</v>
      </c>
      <c r="G257" s="14" t="str">
        <f>IF(E257=0, COUNTIF(E$248:E257, 0), "")</f>
        <v/>
      </c>
      <c r="P257" s="215"/>
      <c r="Q257" s="172"/>
      <c r="R257" s="172"/>
      <c r="S257" s="172"/>
      <c r="T257" s="172"/>
      <c r="U257" s="173"/>
    </row>
    <row r="258" spans="1:21" ht="16.95" customHeight="1" x14ac:dyDescent="0.3">
      <c r="B258" s="12" t="s">
        <v>239</v>
      </c>
      <c r="C258" s="12" t="s">
        <v>188</v>
      </c>
      <c r="E258" s="39" t="str">
        <f>IF(GRAFICA_35!F19=1, 0, B258)</f>
        <v>D6X</v>
      </c>
      <c r="F258" s="14">
        <f>IF(E258&lt;&gt;0, COUNTIF(E$248:E258, "&lt;&gt;0"), "")</f>
        <v>8</v>
      </c>
      <c r="G258" s="14" t="str">
        <f>IF(E258=0, COUNTIF(E$248:E258, 0), "")</f>
        <v/>
      </c>
      <c r="P258" s="215"/>
      <c r="Q258" s="172"/>
      <c r="R258" s="172"/>
      <c r="S258" s="172"/>
      <c r="T258" s="172"/>
      <c r="U258" s="173"/>
    </row>
    <row r="259" spans="1:21" ht="16.95" customHeight="1" x14ac:dyDescent="0.3">
      <c r="B259" s="12" t="s">
        <v>240</v>
      </c>
      <c r="C259" s="12" t="s">
        <v>189</v>
      </c>
      <c r="E259" s="39" t="str">
        <f>IF(GRAFICA_35!G19=1, 0, B259)</f>
        <v>D6Y</v>
      </c>
      <c r="F259" s="14">
        <f>IF(E259&lt;&gt;0, COUNTIF(E$248:E259, "&lt;&gt;0"), "")</f>
        <v>9</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107152.86015683351</v>
      </c>
      <c r="D264" s="9">
        <f t="shared" si="28"/>
        <v>27011.670182972433</v>
      </c>
      <c r="E264" s="9">
        <f t="shared" si="28"/>
        <v>-84000</v>
      </c>
      <c r="F264" s="9">
        <f t="shared" si="28"/>
        <v>0</v>
      </c>
      <c r="G264" s="9">
        <f t="shared" si="28"/>
        <v>0</v>
      </c>
      <c r="H264" s="9">
        <f t="shared" si="28"/>
        <v>0</v>
      </c>
      <c r="I264" s="9">
        <f t="shared" si="28"/>
        <v>0</v>
      </c>
      <c r="J264" s="9">
        <f t="shared" si="28"/>
        <v>0</v>
      </c>
      <c r="K264" s="9">
        <f t="shared" si="28"/>
        <v>-23152.860156833514</v>
      </c>
      <c r="L264" s="9">
        <f t="shared" si="28"/>
        <v>-27011.670182972433</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27011.670182972433</v>
      </c>
      <c r="D265" s="9">
        <f t="shared" si="29"/>
        <v>31513.615213467838</v>
      </c>
      <c r="E265" s="9">
        <f t="shared" si="29"/>
        <v>0</v>
      </c>
      <c r="F265" s="9">
        <f t="shared" si="29"/>
        <v>0</v>
      </c>
      <c r="G265" s="9">
        <f t="shared" si="29"/>
        <v>0</v>
      </c>
      <c r="H265" s="9">
        <f t="shared" si="29"/>
        <v>0</v>
      </c>
      <c r="I265" s="9">
        <f t="shared" si="29"/>
        <v>0</v>
      </c>
      <c r="J265" s="9">
        <f t="shared" si="29"/>
        <v>0</v>
      </c>
      <c r="K265" s="9">
        <f t="shared" si="29"/>
        <v>-27011.670182972433</v>
      </c>
      <c r="L265" s="9">
        <f t="shared" si="29"/>
        <v>-31513.615213467838</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-84000</v>
      </c>
      <c r="D266" s="9">
        <f t="shared" si="30"/>
        <v>0</v>
      </c>
      <c r="E266" s="41">
        <f t="shared" si="30"/>
        <v>191152.86015683351</v>
      </c>
      <c r="F266" s="41">
        <f t="shared" si="30"/>
        <v>27011.670182972433</v>
      </c>
      <c r="G266" s="41">
        <f t="shared" si="30"/>
        <v>-84000</v>
      </c>
      <c r="H266" s="41">
        <f t="shared" si="30"/>
        <v>0</v>
      </c>
      <c r="I266" s="41">
        <f t="shared" si="30"/>
        <v>0</v>
      </c>
      <c r="J266" s="9">
        <f t="shared" si="30"/>
        <v>0</v>
      </c>
      <c r="K266" s="41">
        <f t="shared" si="30"/>
        <v>0</v>
      </c>
      <c r="L266" s="41">
        <f t="shared" si="30"/>
        <v>0</v>
      </c>
      <c r="M266" s="41">
        <f t="shared" si="30"/>
        <v>-23152.860156833514</v>
      </c>
      <c r="N266" s="41">
        <f t="shared" si="30"/>
        <v>-27011.670182972433</v>
      </c>
      <c r="O266" s="13" t="s">
        <v>251</v>
      </c>
      <c r="P266" s="215" t="s">
        <v>254</v>
      </c>
      <c r="Q266" s="172"/>
      <c r="R266" s="172"/>
      <c r="S266" s="172"/>
      <c r="T266" s="172"/>
      <c r="U266" s="173"/>
    </row>
    <row r="267" spans="1:21" ht="16.95" customHeight="1" x14ac:dyDescent="0.3">
      <c r="A267" s="41">
        <f t="shared" si="27"/>
        <v>-5000</v>
      </c>
      <c r="C267" s="9">
        <f t="shared" ref="C267:N267" si="31">B222</f>
        <v>0</v>
      </c>
      <c r="D267" s="9">
        <f t="shared" si="31"/>
        <v>0</v>
      </c>
      <c r="E267" s="41">
        <f t="shared" si="31"/>
        <v>27011.670182972433</v>
      </c>
      <c r="F267" s="41">
        <f t="shared" si="31"/>
        <v>103513.61521346784</v>
      </c>
      <c r="G267" s="41">
        <f t="shared" si="31"/>
        <v>0</v>
      </c>
      <c r="H267" s="41">
        <f t="shared" si="31"/>
        <v>0</v>
      </c>
      <c r="I267" s="41">
        <f t="shared" si="31"/>
        <v>0</v>
      </c>
      <c r="J267" s="9">
        <f t="shared" si="31"/>
        <v>0</v>
      </c>
      <c r="K267" s="41">
        <f t="shared" si="31"/>
        <v>0</v>
      </c>
      <c r="L267" s="41">
        <f t="shared" si="31"/>
        <v>-72000</v>
      </c>
      <c r="M267" s="41">
        <f t="shared" si="31"/>
        <v>-27011.670182972433</v>
      </c>
      <c r="N267" s="41">
        <f t="shared" si="31"/>
        <v>-31513.615213467838</v>
      </c>
      <c r="O267" s="13" t="s">
        <v>251</v>
      </c>
      <c r="P267" s="215" t="s">
        <v>381</v>
      </c>
      <c r="Q267" s="172"/>
      <c r="R267" s="172"/>
      <c r="S267" s="172"/>
      <c r="T267" s="172"/>
      <c r="U267" s="173"/>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215" t="s">
        <v>382</v>
      </c>
      <c r="Q268" s="172"/>
      <c r="R268" s="172"/>
      <c r="S268" s="172"/>
      <c r="T268" s="172"/>
      <c r="U268" s="173"/>
    </row>
    <row r="269" spans="1:21" ht="16.95" customHeight="1" x14ac:dyDescent="0.3">
      <c r="A269" s="41">
        <f t="shared" si="27"/>
        <v>-5000</v>
      </c>
      <c r="C269" s="9">
        <f t="shared" ref="C269:N269" si="33">B224</f>
        <v>0</v>
      </c>
      <c r="D269" s="9">
        <f t="shared" si="33"/>
        <v>0</v>
      </c>
      <c r="E269" s="41">
        <f t="shared" si="33"/>
        <v>0</v>
      </c>
      <c r="F269" s="41">
        <f t="shared" si="33"/>
        <v>0</v>
      </c>
      <c r="G269" s="41">
        <f t="shared" si="33"/>
        <v>0</v>
      </c>
      <c r="H269" s="41">
        <f t="shared" si="33"/>
        <v>72000</v>
      </c>
      <c r="I269" s="41">
        <f t="shared" si="33"/>
        <v>0</v>
      </c>
      <c r="J269" s="9">
        <f t="shared" si="33"/>
        <v>0</v>
      </c>
      <c r="K269" s="41">
        <f t="shared" si="33"/>
        <v>0</v>
      </c>
      <c r="L269" s="41">
        <f t="shared" si="33"/>
        <v>0</v>
      </c>
      <c r="M269" s="41">
        <f t="shared" si="33"/>
        <v>0</v>
      </c>
      <c r="N269" s="41">
        <f t="shared" si="33"/>
        <v>-72000</v>
      </c>
      <c r="O269" s="13" t="s">
        <v>251</v>
      </c>
      <c r="P269" s="215" t="str">
        <f t="shared" ref="P269:P275" si="34">E253</f>
        <v>D3Y</v>
      </c>
      <c r="Q269" s="172"/>
      <c r="R269" s="172"/>
      <c r="S269" s="172"/>
      <c r="T269" s="172"/>
      <c r="U269" s="173"/>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107152.86015683351</v>
      </c>
      <c r="J270" s="9">
        <f t="shared" si="35"/>
        <v>-27011.670182972433</v>
      </c>
      <c r="K270" s="41">
        <f t="shared" si="35"/>
        <v>0</v>
      </c>
      <c r="L270" s="41">
        <f t="shared" si="35"/>
        <v>0</v>
      </c>
      <c r="M270" s="41">
        <f t="shared" si="35"/>
        <v>-23152.860156833514</v>
      </c>
      <c r="N270" s="41">
        <f t="shared" si="35"/>
        <v>27011.670182972433</v>
      </c>
      <c r="O270" s="13" t="s">
        <v>251</v>
      </c>
      <c r="P270" s="215" t="str">
        <f t="shared" si="34"/>
        <v>D4X</v>
      </c>
      <c r="Q270" s="172"/>
      <c r="R270" s="172"/>
      <c r="S270" s="172"/>
      <c r="T270" s="172"/>
      <c r="U270" s="173"/>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-27011.670182972433</v>
      </c>
      <c r="J271" s="9">
        <f t="shared" si="36"/>
        <v>31513.615213467838</v>
      </c>
      <c r="K271" s="9">
        <f t="shared" si="36"/>
        <v>0</v>
      </c>
      <c r="L271" s="9">
        <f t="shared" si="36"/>
        <v>0</v>
      </c>
      <c r="M271" s="9">
        <f t="shared" si="36"/>
        <v>27011.670182972433</v>
      </c>
      <c r="N271" s="9">
        <f t="shared" si="36"/>
        <v>-31513.615213467838</v>
      </c>
      <c r="O271" s="13" t="s">
        <v>251</v>
      </c>
      <c r="P271" s="219">
        <f t="shared" si="34"/>
        <v>0</v>
      </c>
      <c r="Q271" s="172"/>
      <c r="R271" s="172"/>
      <c r="S271" s="172"/>
      <c r="T271" s="172"/>
      <c r="U271" s="173"/>
    </row>
    <row r="272" spans="1:21" ht="16.95" customHeight="1" x14ac:dyDescent="0.3">
      <c r="A272" s="41">
        <f t="shared" si="27"/>
        <v>2000</v>
      </c>
      <c r="C272" s="9">
        <f t="shared" ref="C272:N272" si="37">B227</f>
        <v>-23152.860156833514</v>
      </c>
      <c r="D272" s="9">
        <f t="shared" si="37"/>
        <v>-27011.670182972433</v>
      </c>
      <c r="E272" s="41">
        <f t="shared" si="37"/>
        <v>0</v>
      </c>
      <c r="F272" s="41">
        <f t="shared" si="37"/>
        <v>0</v>
      </c>
      <c r="G272" s="41">
        <f t="shared" si="37"/>
        <v>0</v>
      </c>
      <c r="H272" s="41">
        <f t="shared" si="37"/>
        <v>0</v>
      </c>
      <c r="I272" s="41">
        <f t="shared" si="37"/>
        <v>0</v>
      </c>
      <c r="J272" s="9">
        <f t="shared" si="37"/>
        <v>0</v>
      </c>
      <c r="K272" s="41">
        <f t="shared" si="37"/>
        <v>107152.86015683351</v>
      </c>
      <c r="L272" s="41">
        <f t="shared" si="37"/>
        <v>27011.670182972433</v>
      </c>
      <c r="M272" s="41">
        <f t="shared" si="37"/>
        <v>-84000</v>
      </c>
      <c r="N272" s="41">
        <f t="shared" si="37"/>
        <v>0</v>
      </c>
      <c r="O272" s="13" t="s">
        <v>251</v>
      </c>
      <c r="P272" s="215" t="str">
        <f t="shared" si="34"/>
        <v>D5X</v>
      </c>
      <c r="Q272" s="172"/>
      <c r="R272" s="172"/>
      <c r="S272" s="172"/>
      <c r="T272" s="172"/>
      <c r="U272" s="173"/>
    </row>
    <row r="273" spans="1:21" ht="16.95" customHeight="1" x14ac:dyDescent="0.3">
      <c r="A273" s="41">
        <f t="shared" si="27"/>
        <v>-4000</v>
      </c>
      <c r="C273" s="9">
        <f t="shared" ref="C273:N273" si="38">B228</f>
        <v>-27011.670182972433</v>
      </c>
      <c r="D273" s="9">
        <f t="shared" si="38"/>
        <v>-31513.615213467838</v>
      </c>
      <c r="E273" s="41">
        <f t="shared" si="38"/>
        <v>0</v>
      </c>
      <c r="F273" s="41">
        <f t="shared" si="38"/>
        <v>-72000</v>
      </c>
      <c r="G273" s="41">
        <f t="shared" si="38"/>
        <v>0</v>
      </c>
      <c r="H273" s="41">
        <f t="shared" si="38"/>
        <v>0</v>
      </c>
      <c r="I273" s="41">
        <f t="shared" si="38"/>
        <v>0</v>
      </c>
      <c r="J273" s="9">
        <f t="shared" si="38"/>
        <v>0</v>
      </c>
      <c r="K273" s="41">
        <f t="shared" si="38"/>
        <v>27011.670182972433</v>
      </c>
      <c r="L273" s="41">
        <f t="shared" si="38"/>
        <v>103513.61521346784</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2000</v>
      </c>
      <c r="C274" s="9">
        <f t="shared" ref="C274:N274" si="39">B229</f>
        <v>0</v>
      </c>
      <c r="D274" s="9">
        <f t="shared" si="39"/>
        <v>0</v>
      </c>
      <c r="E274" s="41">
        <f t="shared" si="39"/>
        <v>-23152.860156833514</v>
      </c>
      <c r="F274" s="41">
        <f t="shared" si="39"/>
        <v>-27011.670182972433</v>
      </c>
      <c r="G274" s="41">
        <f t="shared" si="39"/>
        <v>0</v>
      </c>
      <c r="H274" s="41">
        <f t="shared" si="39"/>
        <v>0</v>
      </c>
      <c r="I274" s="41">
        <f t="shared" si="39"/>
        <v>-23152.860156833514</v>
      </c>
      <c r="J274" s="9">
        <f t="shared" si="39"/>
        <v>27011.670182972433</v>
      </c>
      <c r="K274" s="41">
        <f t="shared" si="39"/>
        <v>-84000</v>
      </c>
      <c r="L274" s="41">
        <f t="shared" si="39"/>
        <v>0</v>
      </c>
      <c r="M274" s="41">
        <f t="shared" si="39"/>
        <v>130305.72031366703</v>
      </c>
      <c r="N274" s="41">
        <f t="shared" si="39"/>
        <v>0</v>
      </c>
      <c r="O274" s="13" t="s">
        <v>251</v>
      </c>
      <c r="P274" s="215" t="str">
        <f t="shared" si="34"/>
        <v>D6X</v>
      </c>
      <c r="Q274" s="172"/>
      <c r="R274" s="172"/>
      <c r="S274" s="172"/>
      <c r="T274" s="172"/>
      <c r="U274" s="173"/>
    </row>
    <row r="275" spans="1:21" ht="16.95" customHeight="1" x14ac:dyDescent="0.3">
      <c r="A275" s="41">
        <f t="shared" si="27"/>
        <v>-4000</v>
      </c>
      <c r="C275" s="9">
        <f t="shared" ref="C275:N275" si="40">B230</f>
        <v>0</v>
      </c>
      <c r="D275" s="9">
        <f t="shared" si="40"/>
        <v>0</v>
      </c>
      <c r="E275" s="41">
        <f t="shared" si="40"/>
        <v>-27011.670182972433</v>
      </c>
      <c r="F275" s="41">
        <f t="shared" si="40"/>
        <v>-31513.615213467838</v>
      </c>
      <c r="G275" s="41">
        <f t="shared" si="40"/>
        <v>0</v>
      </c>
      <c r="H275" s="41">
        <f t="shared" si="40"/>
        <v>-72000</v>
      </c>
      <c r="I275" s="41">
        <f t="shared" si="40"/>
        <v>27011.670182972433</v>
      </c>
      <c r="J275" s="9">
        <f t="shared" si="40"/>
        <v>-31513.615213467838</v>
      </c>
      <c r="K275" s="41">
        <f t="shared" si="40"/>
        <v>0</v>
      </c>
      <c r="L275" s="41">
        <f t="shared" si="40"/>
        <v>0</v>
      </c>
      <c r="M275" s="41">
        <f t="shared" si="40"/>
        <v>0</v>
      </c>
      <c r="N275" s="41">
        <f t="shared" si="40"/>
        <v>135027.23042693568</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15" t="s">
        <v>383</v>
      </c>
      <c r="Q279" s="172"/>
      <c r="R279" s="172"/>
      <c r="S279" s="172"/>
      <c r="T279" s="172"/>
      <c r="U279" s="173"/>
    </row>
    <row r="280" spans="1:21" ht="16.95" customHeight="1" x14ac:dyDescent="0.3">
      <c r="A280" s="41">
        <f t="shared" ref="A280:A288" si="41">INDEX(E$234:E$245, MATCH(N280, C$234:C$245, 0))</f>
        <v>0</v>
      </c>
      <c r="C280" s="41">
        <f t="shared" ref="C280:K288" si="42">INDEX($B$219:$M$230, MATCH($N280, $N$219:$N$230, 0), MATCH(C$279, $B$218:$M$218, 0))</f>
        <v>191152.86015683351</v>
      </c>
      <c r="D280" s="41">
        <f t="shared" si="42"/>
        <v>27011.670182972433</v>
      </c>
      <c r="E280" s="41">
        <f t="shared" si="42"/>
        <v>-84000</v>
      </c>
      <c r="F280" s="41">
        <f t="shared" si="42"/>
        <v>0</v>
      </c>
      <c r="G280" s="41">
        <f t="shared" si="42"/>
        <v>0</v>
      </c>
      <c r="H280" s="41">
        <f t="shared" si="42"/>
        <v>0</v>
      </c>
      <c r="I280" s="41">
        <f t="shared" si="42"/>
        <v>0</v>
      </c>
      <c r="J280" s="41">
        <f t="shared" si="42"/>
        <v>-23152.860156833514</v>
      </c>
      <c r="K280" s="41">
        <f t="shared" si="42"/>
        <v>-27011.670182972433</v>
      </c>
      <c r="L280" s="13" t="s">
        <v>251</v>
      </c>
      <c r="M280" s="38" t="str">
        <f>INDEX(B$248:B$259, MATCH(1, F$248:F$259, 0))</f>
        <v>D2X</v>
      </c>
      <c r="N280" s="14" t="str">
        <f>INDEX(C$248:C$259, MATCH(1, F$248:F$259, 0))</f>
        <v>U2X</v>
      </c>
      <c r="P280" s="215" t="s">
        <v>384</v>
      </c>
      <c r="Q280" s="172"/>
      <c r="R280" s="172"/>
      <c r="S280" s="172"/>
      <c r="T280" s="172"/>
      <c r="U280" s="173"/>
    </row>
    <row r="281" spans="1:21" ht="16.95" customHeight="1" x14ac:dyDescent="0.3">
      <c r="A281" s="41">
        <f t="shared" si="41"/>
        <v>-5000</v>
      </c>
      <c r="C281" s="41">
        <f t="shared" si="42"/>
        <v>27011.670182972433</v>
      </c>
      <c r="D281" s="41">
        <f t="shared" si="42"/>
        <v>103513.61521346784</v>
      </c>
      <c r="E281" s="41">
        <f t="shared" si="42"/>
        <v>0</v>
      </c>
      <c r="F281" s="41">
        <f t="shared" si="42"/>
        <v>0</v>
      </c>
      <c r="G281" s="41">
        <f t="shared" si="42"/>
        <v>0</v>
      </c>
      <c r="H281" s="41">
        <f t="shared" si="42"/>
        <v>0</v>
      </c>
      <c r="I281" s="41">
        <f t="shared" si="42"/>
        <v>-72000</v>
      </c>
      <c r="J281" s="41">
        <f t="shared" si="42"/>
        <v>-27011.670182972433</v>
      </c>
      <c r="K281" s="41">
        <f t="shared" si="42"/>
        <v>-31513.615213467838</v>
      </c>
      <c r="L281" s="13" t="s">
        <v>251</v>
      </c>
      <c r="M281" s="38" t="str">
        <f>INDEX(B$248:B$259, MATCH(2, F$248:F$259, 0))</f>
        <v>D2Y</v>
      </c>
      <c r="N281" s="14" t="str">
        <f>INDEX(C$248:C$259, MATCH(2, F$248:F$259, 0))</f>
        <v>U2Y</v>
      </c>
      <c r="P281" s="215" t="s">
        <v>385</v>
      </c>
      <c r="Q281" s="172"/>
      <c r="R281" s="172"/>
      <c r="S281" s="172"/>
      <c r="T281" s="172"/>
      <c r="U281" s="173"/>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215" t="s">
        <v>386</v>
      </c>
      <c r="Q282" s="172"/>
      <c r="R282" s="172"/>
      <c r="S282" s="172"/>
      <c r="T282" s="172"/>
      <c r="U282" s="173"/>
    </row>
    <row r="283" spans="1:21" ht="16.95" customHeight="1" x14ac:dyDescent="0.3">
      <c r="A283" s="41">
        <f t="shared" si="41"/>
        <v>-5000</v>
      </c>
      <c r="C283" s="41">
        <f t="shared" si="42"/>
        <v>0</v>
      </c>
      <c r="D283" s="41">
        <f t="shared" si="42"/>
        <v>0</v>
      </c>
      <c r="E283" s="41">
        <f t="shared" si="42"/>
        <v>0</v>
      </c>
      <c r="F283" s="41">
        <f t="shared" si="42"/>
        <v>72000</v>
      </c>
      <c r="G283" s="41">
        <f t="shared" si="42"/>
        <v>0</v>
      </c>
      <c r="H283" s="41">
        <f t="shared" si="42"/>
        <v>0</v>
      </c>
      <c r="I283" s="41">
        <f t="shared" si="42"/>
        <v>0</v>
      </c>
      <c r="J283" s="41">
        <f t="shared" si="42"/>
        <v>0</v>
      </c>
      <c r="K283" s="41">
        <f t="shared" si="42"/>
        <v>-72000</v>
      </c>
      <c r="L283" s="13" t="s">
        <v>251</v>
      </c>
      <c r="M283" s="38" t="str">
        <f>INDEX(B$248:B$259, MATCH(4, F$248:F$259, 0))</f>
        <v>D3Y</v>
      </c>
      <c r="N283" s="14" t="str">
        <f>INDEX(C$248:C$259, MATCH(4, F$248:F$259, 0))</f>
        <v>U3Y</v>
      </c>
      <c r="P283" s="215" t="s">
        <v>387</v>
      </c>
      <c r="Q283" s="172"/>
      <c r="R283" s="172"/>
      <c r="S283" s="172"/>
      <c r="T283" s="172"/>
      <c r="U283" s="173"/>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107152.86015683351</v>
      </c>
      <c r="H284" s="41">
        <f t="shared" si="42"/>
        <v>0</v>
      </c>
      <c r="I284" s="41">
        <f t="shared" si="42"/>
        <v>0</v>
      </c>
      <c r="J284" s="41">
        <f t="shared" si="42"/>
        <v>-23152.860156833514</v>
      </c>
      <c r="K284" s="41">
        <f t="shared" si="42"/>
        <v>27011.670182972433</v>
      </c>
      <c r="L284" s="13" t="s">
        <v>251</v>
      </c>
      <c r="M284" s="38" t="str">
        <f>INDEX(B$248:B$259, MATCH(5, F$248:F$259, 0))</f>
        <v>D4X</v>
      </c>
      <c r="N284" s="14" t="str">
        <f>INDEX(C$248:C$259, MATCH(5, F$248:F$259, 0))</f>
        <v>U4X</v>
      </c>
      <c r="P284" s="215" t="s">
        <v>388</v>
      </c>
      <c r="Q284" s="172"/>
      <c r="R284" s="172"/>
      <c r="S284" s="172"/>
      <c r="T284" s="172"/>
      <c r="U284" s="173"/>
    </row>
    <row r="285" spans="1:21" ht="16.95" customHeight="1" x14ac:dyDescent="0.3">
      <c r="A285" s="41">
        <f t="shared" si="41"/>
        <v>2000</v>
      </c>
      <c r="C285" s="41">
        <f t="shared" si="42"/>
        <v>0</v>
      </c>
      <c r="D285" s="41">
        <f t="shared" si="42"/>
        <v>0</v>
      </c>
      <c r="E285" s="41">
        <f t="shared" si="42"/>
        <v>0</v>
      </c>
      <c r="F285" s="41">
        <f t="shared" si="42"/>
        <v>0</v>
      </c>
      <c r="G285" s="41">
        <f t="shared" si="42"/>
        <v>0</v>
      </c>
      <c r="H285" s="41">
        <f t="shared" si="42"/>
        <v>107152.86015683351</v>
      </c>
      <c r="I285" s="41">
        <f t="shared" si="42"/>
        <v>27011.670182972433</v>
      </c>
      <c r="J285" s="41">
        <f t="shared" si="42"/>
        <v>-84000</v>
      </c>
      <c r="K285" s="41">
        <f t="shared" si="42"/>
        <v>0</v>
      </c>
      <c r="L285" s="13" t="s">
        <v>251</v>
      </c>
      <c r="M285" s="38" t="str">
        <f>INDEX(B$248:B$259, MATCH(6, F$248:F$259, 0))</f>
        <v>D5X</v>
      </c>
      <c r="N285" s="14" t="str">
        <f>INDEX(C$248:C$259, MATCH(6, F$248:F$259, 0))</f>
        <v>U5X</v>
      </c>
      <c r="P285" s="215"/>
      <c r="Q285" s="172"/>
      <c r="R285" s="172"/>
      <c r="S285" s="172"/>
      <c r="T285" s="172"/>
      <c r="U285" s="173"/>
    </row>
    <row r="286" spans="1:21" ht="16.95" customHeight="1" x14ac:dyDescent="0.3">
      <c r="A286" s="41">
        <f t="shared" si="41"/>
        <v>-4000</v>
      </c>
      <c r="C286" s="41">
        <f t="shared" si="42"/>
        <v>0</v>
      </c>
      <c r="D286" s="41">
        <f t="shared" si="42"/>
        <v>-72000</v>
      </c>
      <c r="E286" s="41">
        <f t="shared" si="42"/>
        <v>0</v>
      </c>
      <c r="F286" s="41">
        <f t="shared" si="42"/>
        <v>0</v>
      </c>
      <c r="G286" s="41">
        <f t="shared" si="42"/>
        <v>0</v>
      </c>
      <c r="H286" s="41">
        <f t="shared" si="42"/>
        <v>27011.670182972433</v>
      </c>
      <c r="I286" s="41">
        <f t="shared" si="42"/>
        <v>103513.61521346784</v>
      </c>
      <c r="J286" s="41">
        <f t="shared" si="42"/>
        <v>0</v>
      </c>
      <c r="K286" s="41">
        <f t="shared" si="42"/>
        <v>0</v>
      </c>
      <c r="L286" s="13" t="s">
        <v>251</v>
      </c>
      <c r="M286" s="38" t="str">
        <f>INDEX(B$248:B$259, MATCH(7, F$248:F$259, 0))</f>
        <v>D5Y</v>
      </c>
      <c r="N286" s="14" t="str">
        <f>INDEX(C$248:C$259, MATCH(7, F$248:F$259, 0))</f>
        <v>U5Y</v>
      </c>
      <c r="P286" s="215"/>
      <c r="Q286" s="172"/>
      <c r="R286" s="172"/>
      <c r="S286" s="172"/>
      <c r="T286" s="172"/>
      <c r="U286" s="173"/>
    </row>
    <row r="287" spans="1:21" ht="16.95" customHeight="1" x14ac:dyDescent="0.3">
      <c r="A287" s="41">
        <f t="shared" si="41"/>
        <v>2000</v>
      </c>
      <c r="C287" s="41">
        <f t="shared" si="42"/>
        <v>-23152.860156833514</v>
      </c>
      <c r="D287" s="41">
        <f t="shared" si="42"/>
        <v>-27011.670182972433</v>
      </c>
      <c r="E287" s="41">
        <f t="shared" si="42"/>
        <v>0</v>
      </c>
      <c r="F287" s="41">
        <f t="shared" si="42"/>
        <v>0</v>
      </c>
      <c r="G287" s="41">
        <f t="shared" si="42"/>
        <v>-23152.860156833514</v>
      </c>
      <c r="H287" s="41">
        <f t="shared" si="42"/>
        <v>-84000</v>
      </c>
      <c r="I287" s="41">
        <f t="shared" si="42"/>
        <v>0</v>
      </c>
      <c r="J287" s="41">
        <f t="shared" si="42"/>
        <v>130305.72031366703</v>
      </c>
      <c r="K287" s="41">
        <f t="shared" si="42"/>
        <v>0</v>
      </c>
      <c r="L287" s="13" t="s">
        <v>251</v>
      </c>
      <c r="M287" s="38" t="str">
        <f>INDEX(B$248:B$259, MATCH(8, F$248:F$259, 0))</f>
        <v>D6X</v>
      </c>
      <c r="N287" s="14" t="str">
        <f>INDEX(C$248:C$259, MATCH(8, F$248:F$259, 0))</f>
        <v>U6X</v>
      </c>
      <c r="P287" s="215"/>
      <c r="Q287" s="172"/>
      <c r="R287" s="172"/>
      <c r="S287" s="172"/>
      <c r="T287" s="172"/>
      <c r="U287" s="173"/>
    </row>
    <row r="288" spans="1:21" ht="16.95" customHeight="1" x14ac:dyDescent="0.3">
      <c r="A288" s="41">
        <f t="shared" si="41"/>
        <v>-4000</v>
      </c>
      <c r="C288" s="41">
        <f t="shared" si="42"/>
        <v>-27011.670182972433</v>
      </c>
      <c r="D288" s="41">
        <f t="shared" si="42"/>
        <v>-31513.615213467838</v>
      </c>
      <c r="E288" s="41">
        <f t="shared" si="42"/>
        <v>0</v>
      </c>
      <c r="F288" s="41">
        <f t="shared" si="42"/>
        <v>-72000</v>
      </c>
      <c r="G288" s="41">
        <f t="shared" si="42"/>
        <v>27011.670182972433</v>
      </c>
      <c r="H288" s="41">
        <f t="shared" si="42"/>
        <v>0</v>
      </c>
      <c r="I288" s="41">
        <f t="shared" si="42"/>
        <v>0</v>
      </c>
      <c r="J288" s="41">
        <f t="shared" si="42"/>
        <v>0</v>
      </c>
      <c r="K288" s="41">
        <f t="shared" si="42"/>
        <v>135027.23042693568</v>
      </c>
      <c r="L288" s="13" t="s">
        <v>251</v>
      </c>
      <c r="M288" s="38" t="str">
        <f>INDEX(B$248:B$259, MATCH(9, F$248:F$259, 0))</f>
        <v>D6Y</v>
      </c>
      <c r="N288" s="14" t="str">
        <f>INDEX(C$248:C$259, MATCH(9, F$248:F$259, 0))</f>
        <v>U6Y</v>
      </c>
      <c r="P288" s="215"/>
      <c r="Q288" s="172"/>
      <c r="R288" s="172"/>
      <c r="S288" s="172"/>
      <c r="T288" s="172"/>
      <c r="U288" s="173"/>
    </row>
    <row r="289" spans="1:21" ht="16.95" customHeight="1" x14ac:dyDescent="0.3">
      <c r="P289" s="215"/>
      <c r="Q289" s="172"/>
      <c r="R289" s="172"/>
      <c r="S289" s="172"/>
      <c r="T289" s="172"/>
      <c r="U289" s="173"/>
    </row>
    <row r="290" spans="1:21" ht="16.95" customHeight="1" x14ac:dyDescent="0.3">
      <c r="C290" s="218" t="s">
        <v>263</v>
      </c>
      <c r="D290" s="172"/>
      <c r="E290" s="172"/>
      <c r="F290" s="172"/>
      <c r="G290" s="172"/>
      <c r="H290" s="172"/>
      <c r="I290" s="172"/>
      <c r="J290" s="172"/>
      <c r="K290" s="173"/>
      <c r="P290" s="215"/>
      <c r="Q290" s="172"/>
      <c r="R290" s="172"/>
      <c r="S290" s="172"/>
      <c r="T290" s="172"/>
      <c r="U290" s="173"/>
    </row>
    <row r="291" spans="1:21" ht="16.95" customHeight="1" x14ac:dyDescent="0.3">
      <c r="A291" s="99" t="s">
        <v>249</v>
      </c>
      <c r="C291" s="193" t="s">
        <v>264</v>
      </c>
      <c r="D291" s="175"/>
      <c r="E291" s="175"/>
      <c r="F291" s="175"/>
      <c r="G291" s="175"/>
      <c r="H291" s="175"/>
      <c r="I291" s="175"/>
      <c r="J291" s="175"/>
      <c r="K291" s="175"/>
      <c r="M291" s="99" t="s">
        <v>247</v>
      </c>
      <c r="P291" s="215"/>
      <c r="Q291" s="172"/>
      <c r="R291" s="172"/>
      <c r="S291" s="172"/>
      <c r="T291" s="172"/>
      <c r="U291" s="173"/>
    </row>
    <row r="292" spans="1:21" ht="16.95" customHeight="1" x14ac:dyDescent="0.3">
      <c r="A292" s="12" t="str">
        <f t="shared" ref="A292:A300" si="43">M280</f>
        <v>D2X</v>
      </c>
      <c r="C292" s="93">
        <f t="array" ref="C292:K300">MINVERSE(C280:K288)</f>
        <v>1.1904761904761905E-5</v>
      </c>
      <c r="D292" s="93">
        <v>-6.8027210884353753E-6</v>
      </c>
      <c r="E292" s="93">
        <v>1.1904761904761908E-5</v>
      </c>
      <c r="F292" s="93">
        <v>-3.4013605442176889E-6</v>
      </c>
      <c r="G292" s="93">
        <v>1.1904761904761908E-5</v>
      </c>
      <c r="H292" s="93">
        <v>7.9365079365079396E-6</v>
      </c>
      <c r="I292" s="93">
        <v>-6.8027210884353753E-6</v>
      </c>
      <c r="J292" s="93">
        <v>7.9365079365079379E-6</v>
      </c>
      <c r="K292" s="93">
        <v>-3.4013605442176889E-6</v>
      </c>
      <c r="M292" s="17">
        <f t="shared" ref="M292:M300" si="44">A280</f>
        <v>0</v>
      </c>
      <c r="P292" s="215"/>
      <c r="Q292" s="172"/>
      <c r="R292" s="172"/>
      <c r="S292" s="172"/>
      <c r="T292" s="172"/>
      <c r="U292" s="173"/>
    </row>
    <row r="293" spans="1:21" ht="16.95" customHeight="1" x14ac:dyDescent="0.3">
      <c r="A293" s="12" t="str">
        <f t="shared" si="43"/>
        <v>D2Y</v>
      </c>
      <c r="C293" s="93">
        <v>-6.8027210884353753E-6</v>
      </c>
      <c r="D293" s="93">
        <v>3.7045889902185574E-5</v>
      </c>
      <c r="E293" s="93">
        <v>-1.0204081632653061E-5</v>
      </c>
      <c r="F293" s="93">
        <v>2.1438396846136509E-5</v>
      </c>
      <c r="G293" s="93">
        <v>-1.3605442176870747E-5</v>
      </c>
      <c r="H293" s="93">
        <v>-7.7370454354581359E-6</v>
      </c>
      <c r="I293" s="93">
        <v>2.7786630642926313E-5</v>
      </c>
      <c r="J293" s="93">
        <v>-9.3432434702275947E-7</v>
      </c>
      <c r="K293" s="93">
        <v>2.1438396846136509E-5</v>
      </c>
      <c r="M293" s="17">
        <f t="shared" si="44"/>
        <v>-5000</v>
      </c>
      <c r="P293" s="215"/>
      <c r="Q293" s="172"/>
      <c r="R293" s="172"/>
      <c r="S293" s="172"/>
      <c r="T293" s="172"/>
      <c r="U293" s="173"/>
    </row>
    <row r="294" spans="1:21" ht="16.95" customHeight="1" x14ac:dyDescent="0.3">
      <c r="A294" s="12" t="str">
        <f t="shared" si="43"/>
        <v>D3X</v>
      </c>
      <c r="C294" s="93">
        <v>1.1904761904761905E-5</v>
      </c>
      <c r="D294" s="93">
        <v>-1.0204081632653063E-5</v>
      </c>
      <c r="E294" s="93">
        <v>2.3809523809523814E-5</v>
      </c>
      <c r="F294" s="93">
        <v>-1.0204081632653063E-5</v>
      </c>
      <c r="G294" s="93">
        <v>2.3809523809523814E-5</v>
      </c>
      <c r="H294" s="93">
        <v>1.190476190476191E-5</v>
      </c>
      <c r="I294" s="93">
        <v>-1.0204081632653061E-5</v>
      </c>
      <c r="J294" s="93">
        <v>1.1904761904761907E-5</v>
      </c>
      <c r="K294" s="93">
        <v>-1.0204081632653063E-5</v>
      </c>
      <c r="M294" s="17">
        <f t="shared" si="44"/>
        <v>0</v>
      </c>
      <c r="P294" s="215"/>
      <c r="Q294" s="172"/>
      <c r="R294" s="172"/>
      <c r="S294" s="172"/>
      <c r="T294" s="172"/>
      <c r="U294" s="173"/>
    </row>
    <row r="295" spans="1:21" ht="16.95" customHeight="1" x14ac:dyDescent="0.3">
      <c r="A295" s="12" t="str">
        <f t="shared" si="43"/>
        <v>D3Y</v>
      </c>
      <c r="C295" s="93">
        <v>-3.4013605442176877E-6</v>
      </c>
      <c r="D295" s="93">
        <v>2.1438396846136512E-5</v>
      </c>
      <c r="E295" s="93">
        <v>-1.0204081632653061E-5</v>
      </c>
      <c r="F295" s="93">
        <v>4.6305149161444824E-5</v>
      </c>
      <c r="G295" s="93">
        <v>-1.7006802721088431E-5</v>
      </c>
      <c r="H295" s="93">
        <v>-7.2698832619467548E-6</v>
      </c>
      <c r="I295" s="93">
        <v>1.6808767216506887E-5</v>
      </c>
      <c r="J295" s="93">
        <v>-3.8685227177290671E-6</v>
      </c>
      <c r="K295" s="93">
        <v>3.2416260272555931E-5</v>
      </c>
      <c r="M295" s="17">
        <f t="shared" si="44"/>
        <v>-5000</v>
      </c>
      <c r="P295" s="215"/>
      <c r="Q295" s="172"/>
      <c r="R295" s="172"/>
      <c r="S295" s="172"/>
      <c r="T295" s="172"/>
      <c r="U295" s="173"/>
    </row>
    <row r="296" spans="1:21" ht="16.95" customHeight="1" x14ac:dyDescent="0.3">
      <c r="A296" s="12" t="str">
        <f t="shared" si="43"/>
        <v>D4X</v>
      </c>
      <c r="B296" s="13" t="s">
        <v>220</v>
      </c>
      <c r="C296" s="93">
        <v>1.1904761904761905E-5</v>
      </c>
      <c r="D296" s="93">
        <v>-1.3605442176870751E-5</v>
      </c>
      <c r="E296" s="93">
        <v>2.3809523809523814E-5</v>
      </c>
      <c r="F296" s="93">
        <v>-1.7006802721088435E-5</v>
      </c>
      <c r="G296" s="93">
        <v>3.5714285714285717E-5</v>
      </c>
      <c r="H296" s="93">
        <v>1.5873015873015879E-5</v>
      </c>
      <c r="I296" s="93">
        <v>-1.3605442176870751E-5</v>
      </c>
      <c r="J296" s="93">
        <v>1.5873015873015876E-5</v>
      </c>
      <c r="K296" s="93">
        <v>-1.7006802721088435E-5</v>
      </c>
      <c r="M296" s="17">
        <f t="shared" si="44"/>
        <v>0</v>
      </c>
      <c r="P296" s="215"/>
      <c r="Q296" s="172"/>
      <c r="R296" s="172"/>
      <c r="S296" s="172"/>
      <c r="T296" s="172"/>
      <c r="U296" s="173"/>
    </row>
    <row r="297" spans="1:21" ht="16.95" customHeight="1" x14ac:dyDescent="0.3">
      <c r="A297" s="12" t="str">
        <f t="shared" si="43"/>
        <v>D5X</v>
      </c>
      <c r="C297" s="93">
        <v>7.9365079365079396E-6</v>
      </c>
      <c r="D297" s="93">
        <v>-7.7370454354581359E-6</v>
      </c>
      <c r="E297" s="93">
        <v>1.190476190476191E-5</v>
      </c>
      <c r="F297" s="93">
        <v>-7.2698832619467548E-6</v>
      </c>
      <c r="G297" s="93">
        <v>1.5873015873015876E-5</v>
      </c>
      <c r="H297" s="93">
        <v>2.9725062687449098E-5</v>
      </c>
      <c r="I297" s="93">
        <v>-1.3138280003359371E-5</v>
      </c>
      <c r="J297" s="93">
        <v>2.178855475094116E-5</v>
      </c>
      <c r="K297" s="93">
        <v>-7.2698832619467548E-6</v>
      </c>
      <c r="M297" s="17">
        <f t="shared" si="44"/>
        <v>2000</v>
      </c>
      <c r="P297" s="215"/>
      <c r="Q297" s="172"/>
      <c r="R297" s="172"/>
      <c r="S297" s="172"/>
      <c r="T297" s="172"/>
      <c r="U297" s="173"/>
    </row>
    <row r="298" spans="1:21" ht="16.95" customHeight="1" x14ac:dyDescent="0.3">
      <c r="A298" s="12" t="str">
        <f t="shared" si="43"/>
        <v>D5Y</v>
      </c>
      <c r="C298" s="93">
        <v>-6.8027210884353762E-6</v>
      </c>
      <c r="D298" s="93">
        <v>2.7786630642926313E-5</v>
      </c>
      <c r="E298" s="93">
        <v>-1.0204081632653063E-5</v>
      </c>
      <c r="F298" s="93">
        <v>1.6808767216506884E-5</v>
      </c>
      <c r="G298" s="93">
        <v>-1.3605442176870749E-5</v>
      </c>
      <c r="H298" s="93">
        <v>-1.3138280003359371E-5</v>
      </c>
      <c r="I298" s="93">
        <v>3.2416260272555938E-5</v>
      </c>
      <c r="J298" s="93">
        <v>-6.3355589149239967E-6</v>
      </c>
      <c r="K298" s="93">
        <v>1.6808767216506884E-5</v>
      </c>
      <c r="M298" s="17">
        <f t="shared" si="44"/>
        <v>-4000</v>
      </c>
      <c r="P298" s="215"/>
      <c r="Q298" s="172"/>
      <c r="R298" s="172"/>
      <c r="S298" s="172"/>
      <c r="T298" s="172"/>
      <c r="U298" s="173"/>
    </row>
    <row r="299" spans="1:21" ht="16.95" customHeight="1" x14ac:dyDescent="0.3">
      <c r="A299" s="12" t="str">
        <f t="shared" si="43"/>
        <v>D6X</v>
      </c>
      <c r="C299" s="93">
        <v>7.9365079365079396E-6</v>
      </c>
      <c r="D299" s="93">
        <v>-9.3432434702276074E-7</v>
      </c>
      <c r="E299" s="93">
        <v>1.190476190476191E-5</v>
      </c>
      <c r="F299" s="93">
        <v>-3.8685227177290688E-6</v>
      </c>
      <c r="G299" s="93">
        <v>1.5873015873015876E-5</v>
      </c>
      <c r="H299" s="93">
        <v>2.178855475094116E-5</v>
      </c>
      <c r="I299" s="93">
        <v>-6.3355589149239984E-6</v>
      </c>
      <c r="J299" s="93">
        <v>2.5756808719195129E-5</v>
      </c>
      <c r="K299" s="93">
        <v>-3.8685227177290688E-6</v>
      </c>
      <c r="M299" s="17">
        <f t="shared" si="44"/>
        <v>2000</v>
      </c>
      <c r="P299" s="215"/>
      <c r="Q299" s="172"/>
      <c r="R299" s="172"/>
      <c r="S299" s="172"/>
      <c r="T299" s="172"/>
      <c r="U299" s="173"/>
    </row>
    <row r="300" spans="1:21" ht="16.95" customHeight="1" x14ac:dyDescent="0.3">
      <c r="A300" s="12" t="str">
        <f t="shared" si="43"/>
        <v>D6Y</v>
      </c>
      <c r="C300" s="93">
        <v>-3.4013605442176877E-6</v>
      </c>
      <c r="D300" s="93">
        <v>2.1438396846136512E-5</v>
      </c>
      <c r="E300" s="93">
        <v>-1.0204081632653061E-5</v>
      </c>
      <c r="F300" s="93">
        <v>3.2416260272555931E-5</v>
      </c>
      <c r="G300" s="93">
        <v>-1.7006802721088431E-5</v>
      </c>
      <c r="H300" s="93">
        <v>-7.2698832619467548E-6</v>
      </c>
      <c r="I300" s="93">
        <v>1.6808767216506887E-5</v>
      </c>
      <c r="J300" s="93">
        <v>-3.8685227177290671E-6</v>
      </c>
      <c r="K300" s="93">
        <v>3.2416260272555931E-5</v>
      </c>
      <c r="M300" s="17">
        <f t="shared" si="44"/>
        <v>-4000</v>
      </c>
      <c r="P300" s="215"/>
      <c r="Q300" s="172"/>
      <c r="R300" s="172"/>
      <c r="S300" s="172"/>
      <c r="T300" s="172"/>
      <c r="U300" s="173"/>
    </row>
    <row r="301" spans="1:21" ht="16.95" customHeight="1" x14ac:dyDescent="0.3">
      <c r="P301" s="215"/>
      <c r="Q301" s="172"/>
      <c r="R301" s="172"/>
      <c r="S301" s="172"/>
      <c r="T301" s="172"/>
      <c r="U301" s="173"/>
    </row>
    <row r="302" spans="1:21" ht="16.95" customHeight="1" x14ac:dyDescent="0.3">
      <c r="C302" s="218" t="s">
        <v>265</v>
      </c>
      <c r="D302" s="173"/>
      <c r="P302" s="215"/>
      <c r="Q302" s="172"/>
      <c r="R302" s="172"/>
      <c r="S302" s="172"/>
      <c r="T302" s="172"/>
      <c r="U302" s="173"/>
    </row>
    <row r="303" spans="1:21" ht="16.95" customHeight="1" x14ac:dyDescent="0.3">
      <c r="A303" s="99" t="s">
        <v>249</v>
      </c>
      <c r="C303" s="99" t="s">
        <v>266</v>
      </c>
      <c r="P303" s="215"/>
      <c r="Q303" s="172"/>
      <c r="R303" s="172"/>
      <c r="S303" s="172"/>
      <c r="T303" s="172"/>
      <c r="U303" s="173"/>
    </row>
    <row r="304" spans="1:21" ht="16.95" customHeight="1" x14ac:dyDescent="0.3">
      <c r="A304" s="12" t="str">
        <f t="shared" ref="A304:A312" si="45">A292</f>
        <v>D2X</v>
      </c>
      <c r="C304" s="94">
        <f t="array" ref="C304:C312">MMULT(C292:K300, M292:M300)</f>
        <v>0.12358276643990934</v>
      </c>
      <c r="D304" s="12" t="s">
        <v>267</v>
      </c>
      <c r="P304" s="215"/>
      <c r="Q304" s="172"/>
      <c r="R304" s="172"/>
      <c r="S304" s="172"/>
      <c r="T304" s="172"/>
      <c r="U304" s="173"/>
    </row>
    <row r="305" spans="1:21" ht="16.95" customHeight="1" x14ac:dyDescent="0.3">
      <c r="A305" s="12" t="str">
        <f t="shared" si="45"/>
        <v>D2Y</v>
      </c>
      <c r="C305" s="94">
        <v>-0.50666428326282353</v>
      </c>
      <c r="D305" s="12" t="s">
        <v>267</v>
      </c>
      <c r="P305" s="215"/>
      <c r="Q305" s="172"/>
      <c r="R305" s="172"/>
      <c r="S305" s="172"/>
      <c r="T305" s="172"/>
      <c r="U305" s="173"/>
    </row>
    <row r="306" spans="1:21" ht="16.95" customHeight="1" x14ac:dyDescent="0.3">
      <c r="A306" s="12" t="str">
        <f t="shared" si="45"/>
        <v>D3X</v>
      </c>
      <c r="C306" s="94">
        <v>0.23129251700680276</v>
      </c>
      <c r="D306" s="12" t="s">
        <v>267</v>
      </c>
      <c r="P306" s="215"/>
      <c r="Q306" s="172"/>
      <c r="R306" s="172"/>
      <c r="S306" s="172"/>
      <c r="T306" s="172"/>
      <c r="U306" s="173"/>
    </row>
    <row r="307" spans="1:21" ht="16.95" customHeight="1" x14ac:dyDescent="0.3">
      <c r="A307" s="12" t="str">
        <f t="shared" si="45"/>
        <v>D3Y</v>
      </c>
      <c r="C307" s="94">
        <v>-0.55789465195350951</v>
      </c>
      <c r="D307" s="12" t="s">
        <v>267</v>
      </c>
      <c r="P307" s="215"/>
      <c r="Q307" s="172"/>
      <c r="R307" s="172"/>
      <c r="S307" s="172"/>
      <c r="T307" s="172"/>
      <c r="U307" s="173"/>
    </row>
    <row r="308" spans="1:21" ht="16.95" customHeight="1" x14ac:dyDescent="0.3">
      <c r="A308" s="12" t="str">
        <f t="shared" si="45"/>
        <v>D4X</v>
      </c>
      <c r="B308" s="13" t="s">
        <v>220</v>
      </c>
      <c r="C308" s="94">
        <v>0.33900226757369611</v>
      </c>
      <c r="D308" s="12" t="s">
        <v>267</v>
      </c>
      <c r="P308" s="215"/>
      <c r="Q308" s="172"/>
      <c r="R308" s="172"/>
      <c r="S308" s="172"/>
      <c r="T308" s="172"/>
      <c r="U308" s="173"/>
    </row>
    <row r="309" spans="1:21" ht="16.95" customHeight="1" x14ac:dyDescent="0.3">
      <c r="A309" s="12" t="str">
        <f t="shared" si="45"/>
        <v>D5X</v>
      </c>
      <c r="C309" s="94">
        <v>0.25969453142502946</v>
      </c>
      <c r="D309" s="12" t="s">
        <v>267</v>
      </c>
      <c r="P309" s="215"/>
      <c r="Q309" s="172"/>
      <c r="R309" s="172"/>
      <c r="S309" s="172"/>
      <c r="T309" s="172"/>
      <c r="U309" s="173"/>
    </row>
    <row r="310" spans="1:21" ht="16.95" customHeight="1" x14ac:dyDescent="0.3">
      <c r="A310" s="12" t="str">
        <f t="shared" si="45"/>
        <v>D5Y</v>
      </c>
      <c r="C310" s="94">
        <v>-0.45882477708998398</v>
      </c>
      <c r="D310" s="12" t="s">
        <v>267</v>
      </c>
      <c r="P310" s="215"/>
      <c r="Q310" s="172"/>
      <c r="R310" s="172"/>
      <c r="S310" s="172"/>
      <c r="T310" s="172"/>
      <c r="U310" s="173"/>
    </row>
    <row r="311" spans="1:21" ht="16.95" customHeight="1" x14ac:dyDescent="0.3">
      <c r="A311" s="12" t="str">
        <f t="shared" si="45"/>
        <v>D6X</v>
      </c>
      <c r="C311" s="94">
        <v>0.15992128879464401</v>
      </c>
      <c r="D311" s="12" t="s">
        <v>267</v>
      </c>
      <c r="P311" s="215"/>
      <c r="Q311" s="172"/>
      <c r="R311" s="172"/>
      <c r="S311" s="172"/>
      <c r="T311" s="172"/>
      <c r="U311" s="173"/>
    </row>
    <row r="312" spans="1:21" ht="16.95" customHeight="1" x14ac:dyDescent="0.3">
      <c r="A312" s="12" t="str">
        <f t="shared" si="45"/>
        <v>D6Y</v>
      </c>
      <c r="C312" s="94">
        <v>-0.48845020750906509</v>
      </c>
      <c r="D312" s="12" t="s">
        <v>267</v>
      </c>
      <c r="P312" s="215"/>
      <c r="Q312" s="172"/>
      <c r="R312" s="172"/>
      <c r="S312" s="172"/>
      <c r="T312" s="172"/>
      <c r="U312" s="173"/>
    </row>
    <row r="315" spans="1:21" ht="19.95" customHeight="1" x14ac:dyDescent="0.35">
      <c r="A315" s="11" t="s">
        <v>268</v>
      </c>
      <c r="P315" s="216" t="s">
        <v>269</v>
      </c>
      <c r="Q315" s="172"/>
      <c r="R315" s="172"/>
      <c r="S315" s="172"/>
      <c r="T315" s="172"/>
      <c r="U315" s="173"/>
    </row>
    <row r="316" spans="1:21" ht="16.95" customHeight="1" x14ac:dyDescent="0.3">
      <c r="A316" s="99" t="s">
        <v>247</v>
      </c>
      <c r="M316" s="99" t="s">
        <v>249</v>
      </c>
      <c r="P316" s="215" t="s">
        <v>389</v>
      </c>
      <c r="Q316" s="172"/>
      <c r="R316" s="172"/>
      <c r="S316" s="172"/>
      <c r="T316" s="172"/>
      <c r="U316" s="173"/>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-23152.860156833514</v>
      </c>
      <c r="I317" s="9">
        <f t="shared" si="46"/>
        <v>-27011.670182972433</v>
      </c>
      <c r="J317" s="9">
        <f t="shared" si="46"/>
        <v>0</v>
      </c>
      <c r="K317" s="9">
        <f t="shared" si="46"/>
        <v>0</v>
      </c>
      <c r="M317" s="95">
        <f t="shared" ref="M317:M325" si="47">C304</f>
        <v>0.12358276643990934</v>
      </c>
      <c r="N317" s="14" t="str">
        <f>INDEX(C$248:C$259, MATCH(1, G$248:G$259, 0))</f>
        <v>U1X</v>
      </c>
      <c r="P317" s="215" t="s">
        <v>390</v>
      </c>
      <c r="Q317" s="172"/>
      <c r="R317" s="172"/>
      <c r="S317" s="172"/>
      <c r="T317" s="172"/>
      <c r="U317" s="173"/>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-27011.670182972433</v>
      </c>
      <c r="I318" s="9">
        <f t="shared" si="46"/>
        <v>-31513.615213467838</v>
      </c>
      <c r="J318" s="9">
        <f t="shared" si="46"/>
        <v>0</v>
      </c>
      <c r="K318" s="9">
        <f t="shared" si="46"/>
        <v>0</v>
      </c>
      <c r="M318" s="95">
        <f t="shared" si="47"/>
        <v>-0.50666428326282353</v>
      </c>
      <c r="N318" s="14" t="str">
        <f>INDEX(C$248:C$259, MATCH(2, G$248:G$259, 0))</f>
        <v>U1Y</v>
      </c>
      <c r="P318" s="215" t="s">
        <v>391</v>
      </c>
      <c r="Q318" s="172"/>
      <c r="R318" s="172"/>
      <c r="S318" s="172"/>
      <c r="T318" s="172"/>
      <c r="U318" s="173"/>
    </row>
    <row r="319" spans="1:21" ht="16.95" customHeight="1" x14ac:dyDescent="0.3">
      <c r="A319" s="18" t="str">
        <f>INDEX(B$234:B$245, MATCH(N319, C$234:C$245, 0))</f>
        <v>C4Y</v>
      </c>
      <c r="C319" s="9">
        <f t="shared" si="46"/>
        <v>0</v>
      </c>
      <c r="D319" s="9">
        <f t="shared" si="46"/>
        <v>0</v>
      </c>
      <c r="E319" s="9">
        <f t="shared" si="46"/>
        <v>0</v>
      </c>
      <c r="F319" s="9">
        <f t="shared" si="46"/>
        <v>0</v>
      </c>
      <c r="G319" s="9">
        <f t="shared" si="46"/>
        <v>-27011.670182972433</v>
      </c>
      <c r="H319" s="9">
        <f t="shared" si="46"/>
        <v>0</v>
      </c>
      <c r="I319" s="9">
        <f t="shared" si="46"/>
        <v>0</v>
      </c>
      <c r="J319" s="9">
        <f t="shared" si="46"/>
        <v>27011.670182972433</v>
      </c>
      <c r="K319" s="9">
        <f t="shared" si="46"/>
        <v>-31513.615213467838</v>
      </c>
      <c r="M319" s="95">
        <f t="shared" si="47"/>
        <v>0.23129251700680276</v>
      </c>
      <c r="N319" s="14" t="str">
        <f>INDEX(C$248:C$259, MATCH(3, G$248:G$259, 0))</f>
        <v>U4Y</v>
      </c>
      <c r="P319" s="215" t="s">
        <v>392</v>
      </c>
      <c r="Q319" s="172"/>
      <c r="R319" s="172"/>
      <c r="S319" s="172"/>
      <c r="T319" s="172"/>
      <c r="U319" s="173"/>
    </row>
    <row r="320" spans="1:21" ht="16.95" customHeight="1" x14ac:dyDescent="0.3">
      <c r="M320" s="95">
        <f t="shared" si="47"/>
        <v>-0.55789465195350951</v>
      </c>
      <c r="P320" s="215" t="s">
        <v>393</v>
      </c>
      <c r="Q320" s="172"/>
      <c r="R320" s="172"/>
      <c r="S320" s="172"/>
      <c r="T320" s="172"/>
      <c r="U320" s="173"/>
    </row>
    <row r="321" spans="1:21" ht="16.95" customHeight="1" x14ac:dyDescent="0.3">
      <c r="M321" s="95">
        <f t="shared" si="47"/>
        <v>0.33900226757369611</v>
      </c>
      <c r="P321" s="215" t="s">
        <v>394</v>
      </c>
      <c r="Q321" s="172"/>
      <c r="R321" s="172"/>
      <c r="S321" s="172"/>
      <c r="T321" s="172"/>
      <c r="U321" s="173"/>
    </row>
    <row r="322" spans="1:21" ht="16.95" customHeight="1" x14ac:dyDescent="0.3">
      <c r="M322" s="95">
        <f t="shared" si="47"/>
        <v>0.25969453142502946</v>
      </c>
      <c r="P322" s="215"/>
      <c r="Q322" s="172"/>
      <c r="R322" s="172"/>
      <c r="S322" s="172"/>
      <c r="T322" s="172"/>
      <c r="U322" s="173"/>
    </row>
    <row r="323" spans="1:21" ht="16.95" customHeight="1" x14ac:dyDescent="0.3">
      <c r="M323" s="95">
        <f t="shared" si="47"/>
        <v>-0.45882477708998398</v>
      </c>
      <c r="P323" s="215"/>
      <c r="Q323" s="172"/>
      <c r="R323" s="172"/>
      <c r="S323" s="172"/>
      <c r="T323" s="172"/>
      <c r="U323" s="173"/>
    </row>
    <row r="324" spans="1:21" ht="16.95" customHeight="1" x14ac:dyDescent="0.3">
      <c r="M324" s="95">
        <f t="shared" si="47"/>
        <v>0.15992128879464401</v>
      </c>
      <c r="P324" s="215"/>
      <c r="Q324" s="172"/>
      <c r="R324" s="172"/>
      <c r="S324" s="172"/>
      <c r="T324" s="172"/>
      <c r="U324" s="173"/>
    </row>
    <row r="325" spans="1:21" ht="16.95" customHeight="1" x14ac:dyDescent="0.3">
      <c r="M325" s="95">
        <f t="shared" si="47"/>
        <v>-0.48845020750906509</v>
      </c>
      <c r="P325" s="215"/>
      <c r="Q325" s="172"/>
      <c r="R325" s="172"/>
      <c r="S325" s="172"/>
      <c r="T325" s="172"/>
      <c r="U325" s="173"/>
    </row>
    <row r="326" spans="1:21" ht="16.95" customHeight="1" x14ac:dyDescent="0.3">
      <c r="P326" s="215"/>
      <c r="Q326" s="172"/>
      <c r="R326" s="172"/>
      <c r="S326" s="172"/>
      <c r="T326" s="172"/>
      <c r="U326" s="173"/>
    </row>
    <row r="327" spans="1:21" ht="16.95" customHeight="1" x14ac:dyDescent="0.3">
      <c r="A327" s="12" t="str">
        <f>A317</f>
        <v>C1X</v>
      </c>
      <c r="C327" s="17">
        <f t="array" ref="C327:C329">MMULT(C317:K319, M317:M325)</f>
        <v>-4000.0000000000036</v>
      </c>
      <c r="D327" s="12" t="s">
        <v>273</v>
      </c>
      <c r="P327" s="215"/>
      <c r="Q327" s="172"/>
      <c r="R327" s="172"/>
      <c r="S327" s="172"/>
      <c r="T327" s="172"/>
      <c r="U327" s="173"/>
    </row>
    <row r="328" spans="1:21" ht="16.95" customHeight="1" x14ac:dyDescent="0.3">
      <c r="A328" s="12" t="str">
        <f>A318</f>
        <v>C1Y</v>
      </c>
      <c r="B328" s="13" t="s">
        <v>220</v>
      </c>
      <c r="C328" s="17">
        <v>7444.4444444444434</v>
      </c>
      <c r="D328" s="12" t="s">
        <v>273</v>
      </c>
      <c r="P328" s="215"/>
      <c r="Q328" s="172"/>
      <c r="R328" s="172"/>
      <c r="S328" s="172"/>
      <c r="T328" s="172"/>
      <c r="U328" s="173"/>
    </row>
    <row r="329" spans="1:21" ht="16.95" customHeight="1" x14ac:dyDescent="0.3">
      <c r="A329" s="12" t="str">
        <f>A319</f>
        <v>C4Y</v>
      </c>
      <c r="C329" s="17">
        <v>10555.555555555555</v>
      </c>
      <c r="D329" s="12" t="s">
        <v>273</v>
      </c>
      <c r="P329" s="215"/>
      <c r="Q329" s="172"/>
      <c r="R329" s="172"/>
      <c r="S329" s="172"/>
      <c r="T329" s="172"/>
      <c r="U329" s="173"/>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0.12358276643990934</v>
      </c>
    </row>
    <row r="337" spans="1:21" ht="19.05" customHeight="1" x14ac:dyDescent="0.3">
      <c r="A337" s="12" t="s">
        <v>231</v>
      </c>
      <c r="B337" s="12" t="s">
        <v>181</v>
      </c>
      <c r="D337" s="94">
        <f t="shared" si="48"/>
        <v>-0.50666428326282353</v>
      </c>
    </row>
    <row r="338" spans="1:21" ht="19.05" customHeight="1" x14ac:dyDescent="0.3">
      <c r="A338" s="12" t="s">
        <v>232</v>
      </c>
      <c r="B338" s="12" t="s">
        <v>182</v>
      </c>
      <c r="D338" s="94">
        <f t="shared" si="48"/>
        <v>0.23129251700680276</v>
      </c>
    </row>
    <row r="339" spans="1:21" ht="19.05" customHeight="1" x14ac:dyDescent="0.3">
      <c r="A339" s="12" t="s">
        <v>234</v>
      </c>
      <c r="B339" s="12" t="s">
        <v>183</v>
      </c>
      <c r="D339" s="94">
        <f t="shared" si="48"/>
        <v>-0.55789465195350951</v>
      </c>
    </row>
    <row r="340" spans="1:21" ht="19.05" customHeight="1" x14ac:dyDescent="0.3">
      <c r="A340" s="12" t="s">
        <v>235</v>
      </c>
      <c r="B340" s="12" t="s">
        <v>184</v>
      </c>
      <c r="D340" s="94">
        <f t="shared" si="48"/>
        <v>0.33900226757369611</v>
      </c>
    </row>
    <row r="341" spans="1:21" ht="19.05" customHeight="1" x14ac:dyDescent="0.3">
      <c r="A341" s="12" t="s">
        <v>236</v>
      </c>
      <c r="B341" s="12" t="s">
        <v>185</v>
      </c>
      <c r="D341" s="94">
        <f t="shared" si="48"/>
        <v>0</v>
      </c>
    </row>
    <row r="342" spans="1:21" ht="19.05" customHeight="1" x14ac:dyDescent="0.3">
      <c r="A342" s="12" t="s">
        <v>237</v>
      </c>
      <c r="B342" s="12" t="s">
        <v>186</v>
      </c>
      <c r="D342" s="94">
        <f t="shared" si="48"/>
        <v>0.25969453142502946</v>
      </c>
    </row>
    <row r="343" spans="1:21" ht="19.05" customHeight="1" x14ac:dyDescent="0.3">
      <c r="A343" s="12" t="s">
        <v>238</v>
      </c>
      <c r="B343" s="12" t="s">
        <v>187</v>
      </c>
      <c r="D343" s="94">
        <f t="shared" si="48"/>
        <v>-0.45882477708998398</v>
      </c>
    </row>
    <row r="344" spans="1:21" ht="19.05" customHeight="1" x14ac:dyDescent="0.3">
      <c r="A344" s="12" t="s">
        <v>239</v>
      </c>
      <c r="B344" s="12" t="s">
        <v>188</v>
      </c>
      <c r="D344" s="94">
        <f t="shared" si="48"/>
        <v>0.15992128879464401</v>
      </c>
    </row>
    <row r="345" spans="1:21" ht="19.05" customHeight="1" x14ac:dyDescent="0.3">
      <c r="A345" s="12" t="s">
        <v>240</v>
      </c>
      <c r="B345" s="12" t="s">
        <v>189</v>
      </c>
      <c r="D345" s="94">
        <f t="shared" si="48"/>
        <v>-0.48845020750906509</v>
      </c>
    </row>
    <row r="348" spans="1:21" ht="19.95" customHeight="1" x14ac:dyDescent="0.35">
      <c r="A348" s="11" t="s">
        <v>275</v>
      </c>
      <c r="P348" s="216" t="s">
        <v>276</v>
      </c>
      <c r="Q348" s="172"/>
      <c r="R348" s="172"/>
      <c r="S348" s="172"/>
      <c r="T348" s="172"/>
      <c r="U348" s="173"/>
    </row>
    <row r="349" spans="1:21" ht="16.95" customHeight="1" x14ac:dyDescent="0.3">
      <c r="P349" s="215" t="s">
        <v>395</v>
      </c>
      <c r="Q349" s="172"/>
      <c r="R349" s="172"/>
      <c r="S349" s="172"/>
      <c r="T349" s="172"/>
      <c r="U349" s="173"/>
    </row>
    <row r="350" spans="1:21" ht="16.95" customHeight="1" x14ac:dyDescent="0.3">
      <c r="A350" s="19" t="s">
        <v>278</v>
      </c>
      <c r="C350" s="19" t="s">
        <v>279</v>
      </c>
      <c r="D350" s="19" t="s">
        <v>280</v>
      </c>
      <c r="E350" s="19" t="s">
        <v>279</v>
      </c>
      <c r="F350" s="19" t="s">
        <v>280</v>
      </c>
      <c r="G350" s="19" t="s">
        <v>249</v>
      </c>
      <c r="P350" s="215" t="s">
        <v>396</v>
      </c>
      <c r="Q350" s="172"/>
      <c r="R350" s="172"/>
      <c r="S350" s="172"/>
      <c r="T350" s="172"/>
      <c r="U350" s="173"/>
    </row>
    <row r="351" spans="1:21" ht="16.95" customHeight="1" x14ac:dyDescent="0.3">
      <c r="C351" s="19" t="s">
        <v>282</v>
      </c>
      <c r="D351" s="19" t="s">
        <v>282</v>
      </c>
      <c r="E351" s="19" t="s">
        <v>283</v>
      </c>
      <c r="F351" s="19" t="s">
        <v>283</v>
      </c>
      <c r="P351" s="215" t="s">
        <v>397</v>
      </c>
      <c r="Q351" s="172"/>
      <c r="R351" s="172"/>
      <c r="S351" s="172"/>
      <c r="T351" s="172"/>
      <c r="U351" s="173"/>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15" t="s">
        <v>398</v>
      </c>
      <c r="Q352" s="172"/>
      <c r="R352" s="172"/>
      <c r="S352" s="172"/>
      <c r="T352" s="172"/>
      <c r="U352" s="173"/>
    </row>
    <row r="353" spans="1:21" ht="16.95" customHeight="1" x14ac:dyDescent="0.3">
      <c r="A353" s="99" t="s">
        <v>285</v>
      </c>
      <c r="B353" s="97">
        <f>(MMULT(C352:F352, G352:G355)*A352)</f>
        <v>10380.952380952385</v>
      </c>
      <c r="G353" s="96">
        <f>IFERROR(VLOOKUP(H353, A$334:D$345, 4, FALSE), 0)</f>
        <v>0</v>
      </c>
      <c r="H353" s="12" t="str">
        <f>"D" &amp; D18 &amp; "Y"</f>
        <v>D1Y</v>
      </c>
      <c r="P353" s="215" t="s">
        <v>399</v>
      </c>
      <c r="Q353" s="172"/>
      <c r="R353" s="172"/>
      <c r="S353" s="172"/>
      <c r="T353" s="172"/>
      <c r="U353" s="173"/>
    </row>
    <row r="354" spans="1:21" ht="16.95" customHeight="1" x14ac:dyDescent="0.3">
      <c r="G354" s="96">
        <f>IFERROR(VLOOKUP(H354, A$334:D$345, 4, FALSE), 0)</f>
        <v>0.12358276643990934</v>
      </c>
      <c r="H354" s="12" t="str">
        <f>"D" &amp; E18 &amp; "X"</f>
        <v>D2X</v>
      </c>
      <c r="P354" s="215" t="s">
        <v>400</v>
      </c>
      <c r="Q354" s="172"/>
      <c r="R354" s="172"/>
      <c r="S354" s="172"/>
      <c r="T354" s="172"/>
      <c r="U354" s="173"/>
    </row>
    <row r="355" spans="1:21" ht="16.95" customHeight="1" x14ac:dyDescent="0.3">
      <c r="G355" s="96">
        <f>IFERROR(VLOOKUP(H355, A$334:D$345, 4, FALSE), 0)</f>
        <v>-0.50666428326282353</v>
      </c>
      <c r="H355" s="12" t="str">
        <f>"D" &amp; F18 &amp; "Y"</f>
        <v>D2Y</v>
      </c>
      <c r="P355" s="215" t="s">
        <v>401</v>
      </c>
      <c r="Q355" s="172"/>
      <c r="R355" s="172"/>
      <c r="S355" s="172"/>
      <c r="T355" s="172"/>
      <c r="U355" s="173"/>
    </row>
    <row r="356" spans="1:21" ht="16.95" customHeight="1" x14ac:dyDescent="0.3">
      <c r="B356" s="99" t="s">
        <v>273</v>
      </c>
      <c r="C356" s="178" t="str">
        <f>IF(B353&gt;0.001,"BARRA A TRACCIÓN (+)",IF(B353&lt;-0.001,"BARRA A COMPRESIÓN (-)","BARRA DE FUERZA NULA"))</f>
        <v>BARRA A TRACCIÓN (+)</v>
      </c>
      <c r="D356" s="172"/>
      <c r="E356" s="172"/>
      <c r="F356" s="173"/>
      <c r="P356" s="215" t="s">
        <v>402</v>
      </c>
      <c r="Q356" s="172"/>
      <c r="R356" s="172"/>
      <c r="S356" s="172"/>
      <c r="T356" s="172"/>
      <c r="U356" s="173"/>
    </row>
    <row r="357" spans="1:21" ht="16.95" customHeight="1" x14ac:dyDescent="0.3">
      <c r="P357" s="215" t="s">
        <v>403</v>
      </c>
      <c r="Q357" s="172"/>
      <c r="R357" s="172"/>
      <c r="S357" s="172"/>
      <c r="T357" s="172"/>
      <c r="U357" s="173"/>
    </row>
    <row r="358" spans="1:21" ht="16.95" customHeight="1" x14ac:dyDescent="0.3">
      <c r="A358" s="19" t="s">
        <v>278</v>
      </c>
      <c r="C358" s="19" t="s">
        <v>279</v>
      </c>
      <c r="D358" s="19" t="s">
        <v>280</v>
      </c>
      <c r="E358" s="19" t="s">
        <v>279</v>
      </c>
      <c r="F358" s="19" t="s">
        <v>280</v>
      </c>
      <c r="G358" s="19" t="s">
        <v>249</v>
      </c>
      <c r="P358" s="215"/>
      <c r="Q358" s="172"/>
      <c r="R358" s="172"/>
      <c r="S358" s="172"/>
      <c r="T358" s="172"/>
      <c r="U358" s="173"/>
    </row>
    <row r="359" spans="1:21" ht="16.95" customHeight="1" x14ac:dyDescent="0.3">
      <c r="C359" s="19" t="s">
        <v>282</v>
      </c>
      <c r="D359" s="19" t="s">
        <v>282</v>
      </c>
      <c r="E359" s="19" t="s">
        <v>283</v>
      </c>
      <c r="F359" s="19" t="s">
        <v>283</v>
      </c>
      <c r="P359" s="215"/>
      <c r="Q359" s="172"/>
      <c r="R359" s="172"/>
      <c r="S359" s="172"/>
      <c r="T359" s="172"/>
      <c r="U359" s="173"/>
    </row>
    <row r="360" spans="1:21" ht="16.95" customHeight="1" x14ac:dyDescent="0.3">
      <c r="A360" s="17">
        <f>N7</f>
        <v>84000</v>
      </c>
      <c r="C360" s="92">
        <f>-J7</f>
        <v>-1</v>
      </c>
      <c r="D360" s="92">
        <f>-K7</f>
        <v>0</v>
      </c>
      <c r="E360" s="92">
        <f>J7</f>
        <v>1</v>
      </c>
      <c r="F360" s="92">
        <f>K7</f>
        <v>0</v>
      </c>
      <c r="G360" s="96">
        <f>IFERROR(VLOOKUP(H360, A$334:D$345, 4, FALSE), 0)</f>
        <v>0.12358276643990934</v>
      </c>
      <c r="H360" s="12" t="str">
        <f>"D" &amp; C19 &amp; "X"</f>
        <v>D2X</v>
      </c>
      <c r="P360" s="215"/>
      <c r="Q360" s="172"/>
      <c r="R360" s="172"/>
      <c r="S360" s="172"/>
      <c r="T360" s="172"/>
      <c r="U360" s="173"/>
    </row>
    <row r="361" spans="1:21" ht="16.95" customHeight="1" x14ac:dyDescent="0.3">
      <c r="A361" s="99" t="s">
        <v>286</v>
      </c>
      <c r="B361" s="97">
        <f>(MMULT(C360:F360, G360:G363)*A360)</f>
        <v>9047.6190476190459</v>
      </c>
      <c r="G361" s="96">
        <f>IFERROR(VLOOKUP(H361, A$334:D$345, 4, FALSE), 0)</f>
        <v>-0.50666428326282353</v>
      </c>
      <c r="H361" s="12" t="str">
        <f>"D" &amp; D19 &amp; "Y"</f>
        <v>D2Y</v>
      </c>
      <c r="P361" s="215"/>
      <c r="Q361" s="172"/>
      <c r="R361" s="172"/>
      <c r="S361" s="172"/>
      <c r="T361" s="172"/>
      <c r="U361" s="173"/>
    </row>
    <row r="362" spans="1:21" ht="16.95" customHeight="1" x14ac:dyDescent="0.3">
      <c r="G362" s="96">
        <f>IFERROR(VLOOKUP(H362, A$334:D$345, 4, FALSE), 0)</f>
        <v>0.23129251700680276</v>
      </c>
      <c r="H362" s="12" t="str">
        <f>"D" &amp; E19 &amp; "X"</f>
        <v>D3X</v>
      </c>
      <c r="P362" s="215"/>
      <c r="Q362" s="172"/>
      <c r="R362" s="172"/>
      <c r="S362" s="172"/>
      <c r="T362" s="172"/>
      <c r="U362" s="173"/>
    </row>
    <row r="363" spans="1:21" ht="16.95" customHeight="1" x14ac:dyDescent="0.3">
      <c r="G363" s="96">
        <f>IFERROR(VLOOKUP(H363, A$334:D$345, 4, FALSE), 0)</f>
        <v>-0.55789465195350951</v>
      </c>
      <c r="H363" s="12" t="str">
        <f>"D" &amp; F19 &amp; "Y"</f>
        <v>D3Y</v>
      </c>
      <c r="P363" s="215"/>
      <c r="Q363" s="172"/>
      <c r="R363" s="172"/>
      <c r="S363" s="172"/>
      <c r="T363" s="172"/>
      <c r="U363" s="173"/>
    </row>
    <row r="364" spans="1:21" ht="16.95" customHeight="1" x14ac:dyDescent="0.3">
      <c r="B364" s="99" t="s">
        <v>273</v>
      </c>
      <c r="C364" s="178" t="str">
        <f>IF(B361&gt;0.001,"BARRA A TRACCIÓN (+)",IF(B361&lt;-0.001,"BARRA A COMPRESIÓN (-)","BARRA DE FUERZA NULA"))</f>
        <v>BARRA A TRACCIÓN (+)</v>
      </c>
      <c r="D364" s="172"/>
      <c r="E364" s="172"/>
      <c r="F364" s="173"/>
      <c r="P364" s="215"/>
      <c r="Q364" s="172"/>
      <c r="R364" s="172"/>
      <c r="S364" s="172"/>
      <c r="T364" s="172"/>
      <c r="U364" s="173"/>
    </row>
    <row r="365" spans="1:21" ht="16.95" customHeight="1" x14ac:dyDescent="0.3">
      <c r="P365" s="215"/>
      <c r="Q365" s="172"/>
      <c r="R365" s="172"/>
      <c r="S365" s="172"/>
      <c r="T365" s="172"/>
      <c r="U365" s="173"/>
    </row>
    <row r="366" spans="1:21" ht="16.95" customHeight="1" x14ac:dyDescent="0.3">
      <c r="A366" s="19" t="s">
        <v>278</v>
      </c>
      <c r="C366" s="19" t="s">
        <v>279</v>
      </c>
      <c r="D366" s="19" t="s">
        <v>280</v>
      </c>
      <c r="E366" s="19" t="s">
        <v>279</v>
      </c>
      <c r="F366" s="19" t="s">
        <v>280</v>
      </c>
      <c r="G366" s="19" t="s">
        <v>249</v>
      </c>
      <c r="P366" s="215"/>
      <c r="Q366" s="172"/>
      <c r="R366" s="172"/>
      <c r="S366" s="172"/>
      <c r="T366" s="172"/>
      <c r="U366" s="173"/>
    </row>
    <row r="367" spans="1:21" ht="16.95" customHeight="1" x14ac:dyDescent="0.3">
      <c r="C367" s="19" t="s">
        <v>282</v>
      </c>
      <c r="D367" s="19" t="s">
        <v>282</v>
      </c>
      <c r="E367" s="19" t="s">
        <v>283</v>
      </c>
      <c r="F367" s="19" t="s">
        <v>283</v>
      </c>
      <c r="P367" s="215"/>
      <c r="Q367" s="172"/>
      <c r="R367" s="172"/>
      <c r="S367" s="172"/>
      <c r="T367" s="172"/>
      <c r="U367" s="173"/>
    </row>
    <row r="368" spans="1:21" ht="16.95" customHeight="1" x14ac:dyDescent="0.3">
      <c r="A368" s="17">
        <f>N8</f>
        <v>84000</v>
      </c>
      <c r="C368" s="92">
        <f>-J8</f>
        <v>-1</v>
      </c>
      <c r="D368" s="92">
        <f>-K8</f>
        <v>0</v>
      </c>
      <c r="E368" s="92">
        <f>J8</f>
        <v>1</v>
      </c>
      <c r="F368" s="92">
        <f>K8</f>
        <v>0</v>
      </c>
      <c r="G368" s="96">
        <f>IFERROR(VLOOKUP(H368, A$334:D$345, 4, FALSE), 0)</f>
        <v>0.23129251700680276</v>
      </c>
      <c r="H368" s="12" t="str">
        <f>"D" &amp; C20 &amp; "X"</f>
        <v>D3X</v>
      </c>
      <c r="P368" s="215"/>
      <c r="Q368" s="172"/>
      <c r="R368" s="172"/>
      <c r="S368" s="172"/>
      <c r="T368" s="172"/>
      <c r="U368" s="173"/>
    </row>
    <row r="369" spans="1:21" ht="16.95" customHeight="1" x14ac:dyDescent="0.3">
      <c r="A369" s="99" t="s">
        <v>287</v>
      </c>
      <c r="B369" s="97">
        <f>(MMULT(C368:F368, G368:G371)*A368)</f>
        <v>9047.6190476190422</v>
      </c>
      <c r="G369" s="96">
        <f>IFERROR(VLOOKUP(H369, A$334:D$345, 4, FALSE), 0)</f>
        <v>-0.55789465195350951</v>
      </c>
      <c r="H369" s="12" t="str">
        <f>"D" &amp; D20 &amp; "Y"</f>
        <v>D3Y</v>
      </c>
      <c r="P369" s="215"/>
      <c r="Q369" s="172"/>
      <c r="R369" s="172"/>
      <c r="S369" s="172"/>
      <c r="T369" s="172"/>
      <c r="U369" s="173"/>
    </row>
    <row r="370" spans="1:21" ht="16.95" customHeight="1" x14ac:dyDescent="0.3">
      <c r="G370" s="96">
        <f>IFERROR(VLOOKUP(H370, A$334:D$345, 4, FALSE), 0)</f>
        <v>0.33900226757369611</v>
      </c>
      <c r="H370" s="12" t="str">
        <f>"D" &amp; E20 &amp; "X"</f>
        <v>D4X</v>
      </c>
      <c r="P370" s="215"/>
      <c r="Q370" s="172"/>
      <c r="R370" s="172"/>
      <c r="S370" s="172"/>
      <c r="T370" s="172"/>
      <c r="U370" s="173"/>
    </row>
    <row r="371" spans="1:21" ht="16.95" customHeight="1" x14ac:dyDescent="0.3">
      <c r="G371" s="96">
        <f>IFERROR(VLOOKUP(H371, A$334:D$345, 4, FALSE), 0)</f>
        <v>0</v>
      </c>
      <c r="H371" s="12" t="str">
        <f>"D" &amp; F20 &amp; "Y"</f>
        <v>D4Y</v>
      </c>
      <c r="P371" s="215"/>
      <c r="Q371" s="172"/>
      <c r="R371" s="172"/>
      <c r="S371" s="172"/>
      <c r="T371" s="172"/>
      <c r="U371" s="173"/>
    </row>
    <row r="372" spans="1:21" ht="16.95" customHeight="1" x14ac:dyDescent="0.3">
      <c r="B372" s="99" t="s">
        <v>273</v>
      </c>
      <c r="C372" s="178" t="str">
        <f>IF(B369&gt;0.001,"BARRA A TRACCIÓN (+)",IF(B369&lt;-0.001,"BARRA A COMPRESIÓN (-)","BARRA DE FUERZA NULA"))</f>
        <v>BARRA A TRACCIÓN (+)</v>
      </c>
      <c r="D372" s="172"/>
      <c r="E372" s="172"/>
      <c r="F372" s="173"/>
      <c r="P372" s="215"/>
      <c r="Q372" s="172"/>
      <c r="R372" s="172"/>
      <c r="S372" s="172"/>
      <c r="T372" s="172"/>
      <c r="U372" s="173"/>
    </row>
    <row r="373" spans="1:21" ht="16.95" customHeight="1" x14ac:dyDescent="0.3">
      <c r="P373" s="215"/>
      <c r="Q373" s="172"/>
      <c r="R373" s="172"/>
      <c r="S373" s="172"/>
      <c r="T373" s="172"/>
      <c r="U373" s="173"/>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0.25969453142502946</v>
      </c>
      <c r="H376" s="12" t="str">
        <f>"D" &amp; C21 &amp; "X"</f>
        <v>D5X</v>
      </c>
    </row>
    <row r="377" spans="1:21" ht="19.95" customHeight="1" x14ac:dyDescent="0.3">
      <c r="A377" s="99" t="s">
        <v>288</v>
      </c>
      <c r="B377" s="97">
        <f>(MMULT(C376:F376, G376:G379)*A376)</f>
        <v>-8380.952380952378</v>
      </c>
      <c r="G377" s="96">
        <f>IFERROR(VLOOKUP(H377, A$334:D$345, 4, FALSE), 0)</f>
        <v>-0.45882477708998398</v>
      </c>
      <c r="H377" s="12" t="str">
        <f>"D" &amp; D21 &amp; "Y"</f>
        <v>D5Y</v>
      </c>
    </row>
    <row r="378" spans="1:21" ht="19.95" customHeight="1" x14ac:dyDescent="0.3">
      <c r="G378" s="96">
        <f>IFERROR(VLOOKUP(H378, A$334:D$345, 4, FALSE), 0)</f>
        <v>0.15992128879464401</v>
      </c>
      <c r="H378" s="12" t="str">
        <f>"D" &amp; E21 &amp; "X"</f>
        <v>D6X</v>
      </c>
    </row>
    <row r="379" spans="1:21" ht="19.95" customHeight="1" x14ac:dyDescent="0.3">
      <c r="G379" s="96">
        <f>IFERROR(VLOOKUP(H379, A$334:D$345, 4, FALSE), 0)</f>
        <v>-0.48845020750906509</v>
      </c>
      <c r="H379" s="12" t="str">
        <f>"D" &amp; F21 &amp; "Y"</f>
        <v>D6Y</v>
      </c>
    </row>
    <row r="380" spans="1:21" ht="19.95" customHeight="1" x14ac:dyDescent="0.3">
      <c r="B380" s="99" t="s">
        <v>273</v>
      </c>
      <c r="C380" s="178" t="str">
        <f>IF(B377&gt;0.001,"BARRA A TRACCIÓN (+)",IF(B377&lt;-0.001,"BARRA A COMPRESIÓN (-)","BARRA DE FUERZA NULA"))</f>
        <v>BARRA A COMPRESIÓN (-)</v>
      </c>
      <c r="D380" s="172"/>
      <c r="E380" s="172"/>
      <c r="F380" s="173"/>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54666.475370301356</v>
      </c>
      <c r="C384" s="92">
        <f>-J10</f>
        <v>-0.65079137345596849</v>
      </c>
      <c r="D384" s="92">
        <f>-K10</f>
        <v>-0.75925660236529657</v>
      </c>
      <c r="E384" s="92">
        <f>J10</f>
        <v>0.65079137345596849</v>
      </c>
      <c r="F384" s="92">
        <f>K10</f>
        <v>0.75925660236529657</v>
      </c>
      <c r="G384" s="96">
        <f>IFERROR(VLOOKUP(H384, A$334:D$345, 4, FALSE), 0)</f>
        <v>0</v>
      </c>
      <c r="H384" s="12" t="str">
        <f>"D" &amp; C22 &amp; "X"</f>
        <v>D1X</v>
      </c>
    </row>
    <row r="385" spans="1:8" ht="19.95" customHeight="1" x14ac:dyDescent="0.3">
      <c r="A385" s="99" t="s">
        <v>289</v>
      </c>
      <c r="B385" s="97">
        <f>(MMULT(C384:F384, G384:G387)*A384)</f>
        <v>-9804.9123593432305</v>
      </c>
      <c r="G385" s="96">
        <f>IFERROR(VLOOKUP(H385, A$334:D$345, 4, FALSE), 0)</f>
        <v>0</v>
      </c>
      <c r="H385" s="12" t="str">
        <f>"D" &amp; D22 &amp; "Y"</f>
        <v>D1Y</v>
      </c>
    </row>
    <row r="386" spans="1:8" ht="19.95" customHeight="1" x14ac:dyDescent="0.3">
      <c r="G386" s="96">
        <f>IFERROR(VLOOKUP(H386, A$334:D$345, 4, FALSE), 0)</f>
        <v>0.25969453142502946</v>
      </c>
      <c r="H386" s="12" t="str">
        <f>"D" &amp; E22 &amp; "X"</f>
        <v>D5X</v>
      </c>
    </row>
    <row r="387" spans="1:8" ht="19.95" customHeight="1" x14ac:dyDescent="0.3">
      <c r="G387" s="96">
        <f>IFERROR(VLOOKUP(H387, A$334:D$345, 4, FALSE), 0)</f>
        <v>-0.45882477708998398</v>
      </c>
      <c r="H387" s="12" t="str">
        <f>"D" &amp; F22 &amp; "Y"</f>
        <v>D5Y</v>
      </c>
    </row>
    <row r="388" spans="1:8" ht="19.95" customHeight="1" x14ac:dyDescent="0.3">
      <c r="B388" s="99" t="s">
        <v>273</v>
      </c>
      <c r="C388" s="178" t="str">
        <f>IF(B385&gt;0.001,"BARRA A TRACCIÓN (+)",IF(B385&lt;-0.001,"BARRA A COMPRESIÓN (-)","BARRA DE FUERZA NULA"))</f>
        <v>BARRA A COMPRESIÓN (-)</v>
      </c>
      <c r="D388" s="172"/>
      <c r="E388" s="172"/>
      <c r="F388" s="173"/>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72000</v>
      </c>
      <c r="C392" s="92">
        <f>-J11</f>
        <v>0</v>
      </c>
      <c r="D392" s="92">
        <f>-K11</f>
        <v>1</v>
      </c>
      <c r="E392" s="92">
        <f>J11</f>
        <v>0</v>
      </c>
      <c r="F392" s="92">
        <f>K11</f>
        <v>-1</v>
      </c>
      <c r="G392" s="96">
        <f>IFERROR(VLOOKUP(H392, A$334:D$345, 4, FALSE), 0)</f>
        <v>0.25969453142502946</v>
      </c>
      <c r="H392" s="12" t="str">
        <f>"D" &amp; C23 &amp; "X"</f>
        <v>D5X</v>
      </c>
    </row>
    <row r="393" spans="1:8" ht="19.95" customHeight="1" x14ac:dyDescent="0.3">
      <c r="A393" s="99" t="s">
        <v>290</v>
      </c>
      <c r="B393" s="97">
        <f>(MMULT(C392:F392, G392:G395)*A392)</f>
        <v>3444.4444444444475</v>
      </c>
      <c r="G393" s="96">
        <f>IFERROR(VLOOKUP(H393, A$334:D$345, 4, FALSE), 0)</f>
        <v>-0.45882477708998398</v>
      </c>
      <c r="H393" s="12" t="str">
        <f>"D" &amp; D23 &amp; "Y"</f>
        <v>D5Y</v>
      </c>
    </row>
    <row r="394" spans="1:8" ht="19.95" customHeight="1" x14ac:dyDescent="0.3">
      <c r="G394" s="96">
        <f>IFERROR(VLOOKUP(H394, A$334:D$345, 4, FALSE), 0)</f>
        <v>0.12358276643990934</v>
      </c>
      <c r="H394" s="12" t="str">
        <f>"D" &amp; E23 &amp; "X"</f>
        <v>D2X</v>
      </c>
    </row>
    <row r="395" spans="1:8" ht="19.95" customHeight="1" x14ac:dyDescent="0.3">
      <c r="G395" s="96">
        <f>IFERROR(VLOOKUP(H395, A$334:D$345, 4, FALSE), 0)</f>
        <v>-0.50666428326282353</v>
      </c>
      <c r="H395" s="12" t="str">
        <f>"D" &amp; F23 &amp; "Y"</f>
        <v>D2Y</v>
      </c>
    </row>
    <row r="396" spans="1:8" ht="19.95" customHeight="1" x14ac:dyDescent="0.3">
      <c r="B396" s="99" t="s">
        <v>273</v>
      </c>
      <c r="C396" s="178" t="str">
        <f>IF(B393&gt;0.001,"BARRA A TRACCIÓN (+)",IF(B393&lt;-0.001,"BARRA A COMPRESIÓN (-)","BARRA DE FUERZA NULA"))</f>
        <v>BARRA A TRACCIÓN (+)</v>
      </c>
      <c r="D396" s="172"/>
      <c r="E396" s="172"/>
      <c r="F396" s="173"/>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54666.475370301356</v>
      </c>
      <c r="C400" s="92">
        <f>-J12</f>
        <v>-0.65079137345596849</v>
      </c>
      <c r="D400" s="92">
        <f>-K12</f>
        <v>-0.75925660236529657</v>
      </c>
      <c r="E400" s="92">
        <f>J12</f>
        <v>0.65079137345596849</v>
      </c>
      <c r="F400" s="92">
        <f>K12</f>
        <v>0.75925660236529657</v>
      </c>
      <c r="G400" s="96">
        <f>IFERROR(VLOOKUP(H400, A$334:D$345, 4, FALSE), 0)</f>
        <v>0.12358276643990934</v>
      </c>
      <c r="H400" s="12" t="str">
        <f>"D" &amp; C24 &amp; "X"</f>
        <v>D2X</v>
      </c>
    </row>
    <row r="401" spans="1:8" ht="19.95" customHeight="1" x14ac:dyDescent="0.3">
      <c r="A401" s="99" t="s">
        <v>291</v>
      </c>
      <c r="B401" s="97">
        <f>(MMULT(C400:F400, G400:G403)*A400)</f>
        <v>2048.7876571762022</v>
      </c>
      <c r="G401" s="96">
        <f>IFERROR(VLOOKUP(H401, A$334:D$345, 4, FALSE), 0)</f>
        <v>-0.50666428326282353</v>
      </c>
      <c r="H401" s="12" t="str">
        <f>"D" &amp; D24 &amp; "Y"</f>
        <v>D2Y</v>
      </c>
    </row>
    <row r="402" spans="1:8" ht="19.95" customHeight="1" x14ac:dyDescent="0.3">
      <c r="G402" s="96">
        <f>IFERROR(VLOOKUP(H402, A$334:D$345, 4, FALSE), 0)</f>
        <v>0.15992128879464401</v>
      </c>
      <c r="H402" s="12" t="str">
        <f>"D" &amp; E24 &amp; "X"</f>
        <v>D6X</v>
      </c>
    </row>
    <row r="403" spans="1:8" ht="19.95" customHeight="1" x14ac:dyDescent="0.3">
      <c r="G403" s="96">
        <f>IFERROR(VLOOKUP(H403, A$334:D$345, 4, FALSE), 0)</f>
        <v>-0.48845020750906509</v>
      </c>
      <c r="H403" s="12" t="str">
        <f>"D" &amp; F24 &amp; "Y"</f>
        <v>D6Y</v>
      </c>
    </row>
    <row r="404" spans="1:8" ht="19.95" customHeight="1" x14ac:dyDescent="0.3">
      <c r="B404" s="99" t="s">
        <v>273</v>
      </c>
      <c r="C404" s="178" t="str">
        <f>IF(B401&gt;0.001,"BARRA A TRACCIÓN (+)",IF(B401&lt;-0.001,"BARRA A COMPRESIÓN (-)","BARRA DE FUERZA NULA"))</f>
        <v>BARRA A TRACCIÓN (+)</v>
      </c>
      <c r="D404" s="172"/>
      <c r="E404" s="172"/>
      <c r="F404" s="173"/>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72000</v>
      </c>
      <c r="C408" s="92">
        <f>-J13</f>
        <v>0</v>
      </c>
      <c r="D408" s="92">
        <f>-K13</f>
        <v>1</v>
      </c>
      <c r="E408" s="92">
        <f>J13</f>
        <v>0</v>
      </c>
      <c r="F408" s="92">
        <f>K13</f>
        <v>-1</v>
      </c>
      <c r="G408" s="96">
        <f>IFERROR(VLOOKUP(H408, A$334:D$345, 4, FALSE), 0)</f>
        <v>0.15992128879464401</v>
      </c>
      <c r="H408" s="12" t="str">
        <f>"D" &amp; C25 &amp; "X"</f>
        <v>D6X</v>
      </c>
    </row>
    <row r="409" spans="1:8" ht="19.95" customHeight="1" x14ac:dyDescent="0.3">
      <c r="A409" s="99" t="s">
        <v>292</v>
      </c>
      <c r="B409" s="97">
        <f>(MMULT(C408:F408, G408:G411)*A408)</f>
        <v>4999.9999999999982</v>
      </c>
      <c r="G409" s="96">
        <f>IFERROR(VLOOKUP(H409, A$334:D$345, 4, FALSE), 0)</f>
        <v>-0.48845020750906509</v>
      </c>
      <c r="H409" s="12" t="str">
        <f>"D" &amp; D25 &amp; "Y"</f>
        <v>D6Y</v>
      </c>
    </row>
    <row r="410" spans="1:8" ht="19.95" customHeight="1" x14ac:dyDescent="0.3">
      <c r="G410" s="96">
        <f>IFERROR(VLOOKUP(H410, A$334:D$345, 4, FALSE), 0)</f>
        <v>0.23129251700680276</v>
      </c>
      <c r="H410" s="12" t="str">
        <f>"D" &amp; E25 &amp; "X"</f>
        <v>D3X</v>
      </c>
    </row>
    <row r="411" spans="1:8" ht="19.95" customHeight="1" x14ac:dyDescent="0.3">
      <c r="G411" s="96">
        <f>IFERROR(VLOOKUP(H411, A$334:D$345, 4, FALSE), 0)</f>
        <v>-0.55789465195350951</v>
      </c>
      <c r="H411" s="12" t="str">
        <f>"D" &amp; F25 &amp; "Y"</f>
        <v>D3Y</v>
      </c>
    </row>
    <row r="412" spans="1:8" ht="19.95" customHeight="1" x14ac:dyDescent="0.3">
      <c r="B412" s="99" t="s">
        <v>273</v>
      </c>
      <c r="C412" s="178" t="str">
        <f>IF(B409&gt;0.001,"BARRA A TRACCIÓN (+)",IF(B409&lt;-0.001,"BARRA A COMPRESIÓN (-)","BARRA DE FUERZA NULA"))</f>
        <v>BARRA A TRACCIÓN (+)</v>
      </c>
      <c r="D412" s="172"/>
      <c r="E412" s="172"/>
      <c r="F412" s="173"/>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54666.475370301356</v>
      </c>
      <c r="C416" s="92">
        <f>-J14</f>
        <v>-0.65079137345596849</v>
      </c>
      <c r="D416" s="92">
        <f>-K14</f>
        <v>0.75925660236529657</v>
      </c>
      <c r="E416" s="92">
        <f>J14</f>
        <v>0.65079137345596849</v>
      </c>
      <c r="F416" s="92">
        <f>K14</f>
        <v>-0.75925660236529657</v>
      </c>
      <c r="G416" s="96">
        <f>IFERROR(VLOOKUP(H416, A$334:D$345, 4, FALSE), 0)</f>
        <v>0.15992128879464401</v>
      </c>
      <c r="H416" s="12" t="str">
        <f>"D" &amp; C26 &amp; "X"</f>
        <v>D6X</v>
      </c>
    </row>
    <row r="417" spans="1:8" ht="19.95" customHeight="1" x14ac:dyDescent="0.3">
      <c r="A417" s="99" t="s">
        <v>530</v>
      </c>
      <c r="B417" s="97">
        <f>(MMULT(C416:F416, G416:G419)*A416)</f>
        <v>-13902.487673695625</v>
      </c>
      <c r="G417" s="96">
        <f>IFERROR(VLOOKUP(H417, A$334:D$345, 4, FALSE), 0)</f>
        <v>-0.48845020750906509</v>
      </c>
      <c r="H417" s="12" t="str">
        <f>"D" &amp; D26 &amp; "Y"</f>
        <v>D6Y</v>
      </c>
    </row>
    <row r="418" spans="1:8" ht="19.95" customHeight="1" x14ac:dyDescent="0.3">
      <c r="G418" s="96">
        <f>IFERROR(VLOOKUP(H418, A$334:D$345, 4, FALSE), 0)</f>
        <v>0.33900226757369611</v>
      </c>
      <c r="H418" s="12" t="str">
        <f>"D" &amp; E26 &amp; "X"</f>
        <v>D4X</v>
      </c>
    </row>
    <row r="419" spans="1:8" ht="19.95" customHeight="1" x14ac:dyDescent="0.3">
      <c r="G419" s="96">
        <f>IFERROR(VLOOKUP(H419, A$334:D$345, 4, FALSE), 0)</f>
        <v>0</v>
      </c>
      <c r="H419" s="12" t="str">
        <f>"D" &amp; F26 &amp; "Y"</f>
        <v>D4Y</v>
      </c>
    </row>
    <row r="420" spans="1:8" ht="19.95" customHeight="1" x14ac:dyDescent="0.3">
      <c r="B420" s="99" t="s">
        <v>273</v>
      </c>
      <c r="C420" s="178" t="str">
        <f>IF(B417&gt;0.001,"BARRA A TRACCIÓN (+)",IF(B417&lt;-0.001,"BARRA A COMPRESIÓN (-)","BARRA DE FUERZA NULA"))</f>
        <v>BARRA A COMPRESIÓN (-)</v>
      </c>
      <c r="D420" s="172"/>
      <c r="E420" s="172"/>
      <c r="F420" s="173"/>
    </row>
    <row r="423" spans="1:8" ht="22.05" customHeight="1" x14ac:dyDescent="0.3">
      <c r="B423" s="217" t="s">
        <v>404</v>
      </c>
      <c r="C423" s="175"/>
      <c r="D423" s="175"/>
      <c r="E423" s="175"/>
      <c r="F423" s="175"/>
      <c r="G423" s="175"/>
      <c r="H423" s="17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10380.952380952385</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9047.6190476190459</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9047.6190476190422</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-8380.952380952378</v>
      </c>
      <c r="H428" s="84" t="str">
        <f>C380</f>
        <v>BARRA A COMPRESIÓN (-)</v>
      </c>
    </row>
    <row r="429" spans="1:8" ht="19.95" customHeight="1" x14ac:dyDescent="0.3">
      <c r="B429" s="44">
        <v>5</v>
      </c>
      <c r="C429" s="86">
        <f t="shared" si="49"/>
        <v>1</v>
      </c>
      <c r="D429" s="86">
        <f t="shared" si="50"/>
        <v>5</v>
      </c>
      <c r="E429" s="9">
        <f t="shared" si="51"/>
        <v>460.97722286464438</v>
      </c>
      <c r="F429" s="9">
        <f t="shared" si="52"/>
        <v>12</v>
      </c>
      <c r="G429" s="97">
        <f>B385</f>
        <v>-9804.9123593432305</v>
      </c>
      <c r="H429" s="84" t="str">
        <f>C388</f>
        <v>BARRA A COMPRESIÓN (-)</v>
      </c>
    </row>
    <row r="430" spans="1:8" ht="19.95" customHeight="1" x14ac:dyDescent="0.3">
      <c r="B430" s="51">
        <v>6</v>
      </c>
      <c r="C430" s="86">
        <f t="shared" si="49"/>
        <v>5</v>
      </c>
      <c r="D430" s="86">
        <f t="shared" si="50"/>
        <v>2</v>
      </c>
      <c r="E430" s="9">
        <f t="shared" si="51"/>
        <v>350</v>
      </c>
      <c r="F430" s="9">
        <f t="shared" si="52"/>
        <v>12</v>
      </c>
      <c r="G430" s="97">
        <f>B393</f>
        <v>3444.4444444444475</v>
      </c>
      <c r="H430" s="84" t="str">
        <f>C396</f>
        <v>BARRA A TRACCIÓN (+)</v>
      </c>
    </row>
    <row r="431" spans="1:8" ht="19.95" customHeight="1" x14ac:dyDescent="0.3">
      <c r="B431" s="52">
        <v>7</v>
      </c>
      <c r="C431" s="86">
        <f t="shared" si="49"/>
        <v>2</v>
      </c>
      <c r="D431" s="86">
        <f t="shared" si="50"/>
        <v>6</v>
      </c>
      <c r="E431" s="9">
        <f t="shared" si="51"/>
        <v>460.97722286464438</v>
      </c>
      <c r="F431" s="9">
        <f t="shared" si="52"/>
        <v>12</v>
      </c>
      <c r="G431" s="97">
        <f>B401</f>
        <v>2048.7876571762022</v>
      </c>
      <c r="H431" s="84" t="str">
        <f>C404</f>
        <v>BARRA A TRACCIÓN (+)</v>
      </c>
    </row>
    <row r="432" spans="1:8" ht="19.95" customHeight="1" x14ac:dyDescent="0.3">
      <c r="B432" s="59">
        <v>8</v>
      </c>
      <c r="C432" s="86">
        <f t="shared" si="49"/>
        <v>6</v>
      </c>
      <c r="D432" s="86">
        <f t="shared" si="50"/>
        <v>3</v>
      </c>
      <c r="E432" s="9">
        <f t="shared" si="51"/>
        <v>350</v>
      </c>
      <c r="F432" s="9">
        <f t="shared" si="52"/>
        <v>12</v>
      </c>
      <c r="G432" s="97">
        <f>B409</f>
        <v>4999.9999999999982</v>
      </c>
      <c r="H432" s="84" t="str">
        <f>C412</f>
        <v>BARRA A TRACCIÓN (+)</v>
      </c>
    </row>
    <row r="433" spans="2:8" ht="19.95" customHeight="1" x14ac:dyDescent="0.3">
      <c r="B433" s="60">
        <v>9</v>
      </c>
      <c r="C433" s="86">
        <f t="shared" si="49"/>
        <v>6</v>
      </c>
      <c r="D433" s="86">
        <f t="shared" si="50"/>
        <v>4</v>
      </c>
      <c r="E433" s="9">
        <f t="shared" si="51"/>
        <v>460.97722286464438</v>
      </c>
      <c r="F433" s="9">
        <f t="shared" si="52"/>
        <v>12</v>
      </c>
      <c r="G433" s="97">
        <f>B417</f>
        <v>-13902.487673695625</v>
      </c>
      <c r="H433" s="84" t="str">
        <f>C420</f>
        <v>BARRA A COMPRESIÓN (-)</v>
      </c>
    </row>
  </sheetData>
  <mergeCells count="150">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 ref="B423:H423"/>
    <mergeCell ref="P257:U257"/>
    <mergeCell ref="P282:U282"/>
    <mergeCell ref="P297:U297"/>
    <mergeCell ref="P291:U291"/>
    <mergeCell ref="P356:U356"/>
    <mergeCell ref="P359:U359"/>
    <mergeCell ref="C291:K291"/>
    <mergeCell ref="P263:U263"/>
    <mergeCell ref="P355:U355"/>
    <mergeCell ref="P293:U293"/>
    <mergeCell ref="P268:U268"/>
    <mergeCell ref="P259:U259"/>
    <mergeCell ref="P310:U310"/>
    <mergeCell ref="P324:U324"/>
    <mergeCell ref="C380:F380"/>
    <mergeCell ref="P266:U266"/>
    <mergeCell ref="P366:U366"/>
    <mergeCell ref="P288:U288"/>
    <mergeCell ref="P270:U270"/>
    <mergeCell ref="P350:U350"/>
    <mergeCell ref="P325:U325"/>
    <mergeCell ref="P353:U353"/>
    <mergeCell ref="P369:U369"/>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C4:D4"/>
    <mergeCell ref="E4:F4"/>
    <mergeCell ref="E3:H3"/>
    <mergeCell ref="P243:U243"/>
    <mergeCell ref="P244:U244"/>
    <mergeCell ref="P240:U240"/>
    <mergeCell ref="P252:U252"/>
    <mergeCell ref="P253:U253"/>
    <mergeCell ref="P290:U290"/>
    <mergeCell ref="P299:U299"/>
    <mergeCell ref="P328:U328"/>
    <mergeCell ref="P312:U312"/>
    <mergeCell ref="P321:U321"/>
    <mergeCell ref="P323:U323"/>
    <mergeCell ref="P354:U354"/>
    <mergeCell ref="P298:U298"/>
    <mergeCell ref="P255:U255"/>
    <mergeCell ref="P307:U307"/>
    <mergeCell ref="P242:U242"/>
    <mergeCell ref="P294:U294"/>
    <mergeCell ref="P271:U271"/>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P258:U258"/>
    <mergeCell ref="P267:U267"/>
    <mergeCell ref="P360:U360"/>
    <mergeCell ref="P273:U273"/>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286:U286"/>
    <mergeCell ref="P261:U261"/>
    <mergeCell ref="G4:G5"/>
    <mergeCell ref="P251:U251"/>
    <mergeCell ref="I4:I5"/>
    <mergeCell ref="P303:U303"/>
    <mergeCell ref="P238:U238"/>
    <mergeCell ref="P278:U278"/>
    <mergeCell ref="P352:U352"/>
    <mergeCell ref="E16:F16"/>
    <mergeCell ref="B16:B17"/>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P364:U364"/>
    <mergeCell ref="P287:U287"/>
    <mergeCell ref="P281:U281"/>
    <mergeCell ref="P296:U296"/>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572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7</v>
      </c>
      <c r="C6" s="173"/>
      <c r="D6" s="206">
        <f>COUNT(C28:C42)</f>
        <v>11</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800</v>
      </c>
      <c r="AB11" s="20">
        <f>IF(F30="","",F30)</f>
        <v>0</v>
      </c>
      <c r="AC11" t="s">
        <v>324</v>
      </c>
    </row>
    <row r="12" spans="2:29" x14ac:dyDescent="0.3">
      <c r="AA12" s="20">
        <f>IF(G30="","",G30)</f>
        <v>1200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0</v>
      </c>
      <c r="AC14" t="s">
        <v>328</v>
      </c>
    </row>
    <row r="15" spans="2:29" ht="19.05" customHeight="1" x14ac:dyDescent="0.3">
      <c r="B15" s="89">
        <v>2</v>
      </c>
      <c r="C15" s="21">
        <v>400</v>
      </c>
      <c r="D15" s="21">
        <v>0</v>
      </c>
      <c r="E15" s="21" t="s">
        <v>326</v>
      </c>
      <c r="F15" s="88">
        <f t="shared" si="0"/>
        <v>0</v>
      </c>
      <c r="G15" s="88">
        <f t="shared" si="1"/>
        <v>0</v>
      </c>
      <c r="H15" s="22">
        <v>0</v>
      </c>
      <c r="I15" s="22">
        <v>-4000</v>
      </c>
      <c r="J15" s="205" t="s">
        <v>573</v>
      </c>
      <c r="K15" s="172"/>
      <c r="L15" s="172"/>
      <c r="M15" s="172"/>
      <c r="N15" s="172"/>
      <c r="O15" s="173"/>
      <c r="AA15" s="20">
        <f>IF(G31="","",G31)</f>
        <v>200</v>
      </c>
      <c r="AB15" s="20">
        <f>IF(H31="","",H31)</f>
        <v>350</v>
      </c>
      <c r="AC15" t="s">
        <v>331</v>
      </c>
    </row>
    <row r="16" spans="2:29" ht="19.05" customHeight="1" x14ac:dyDescent="0.3">
      <c r="B16" s="89">
        <v>3</v>
      </c>
      <c r="C16" s="21">
        <v>800</v>
      </c>
      <c r="D16" s="21">
        <v>0</v>
      </c>
      <c r="E16" s="21" t="s">
        <v>326</v>
      </c>
      <c r="F16" s="88">
        <f t="shared" si="0"/>
        <v>0</v>
      </c>
      <c r="G16" s="88">
        <f t="shared" si="1"/>
        <v>0</v>
      </c>
      <c r="H16" s="22">
        <v>0</v>
      </c>
      <c r="I16" s="22">
        <v>-4000</v>
      </c>
      <c r="J16" s="205" t="s">
        <v>574</v>
      </c>
      <c r="K16" s="172"/>
      <c r="L16" s="172"/>
      <c r="M16" s="172"/>
      <c r="N16" s="172"/>
      <c r="O16" s="173"/>
    </row>
    <row r="17" spans="2:29" ht="19.05" customHeight="1" x14ac:dyDescent="0.3">
      <c r="B17" s="89">
        <v>4</v>
      </c>
      <c r="C17" s="21">
        <v>1200</v>
      </c>
      <c r="D17" s="21">
        <v>0</v>
      </c>
      <c r="E17" s="21" t="s">
        <v>329</v>
      </c>
      <c r="F17" s="88">
        <f t="shared" si="0"/>
        <v>0</v>
      </c>
      <c r="G17" s="88">
        <f t="shared" si="1"/>
        <v>1</v>
      </c>
      <c r="H17" s="22">
        <v>0</v>
      </c>
      <c r="I17" s="22">
        <v>0</v>
      </c>
      <c r="J17" s="205" t="s">
        <v>407</v>
      </c>
      <c r="K17" s="172"/>
      <c r="L17" s="172"/>
      <c r="M17" s="172"/>
      <c r="N17" s="172"/>
      <c r="O17" s="173"/>
      <c r="AA17" s="20">
        <f>IF(E32="","",E32)</f>
        <v>200</v>
      </c>
      <c r="AB17" s="20">
        <f>IF(F32="","",F32)</f>
        <v>350</v>
      </c>
      <c r="AC17" t="s">
        <v>334</v>
      </c>
    </row>
    <row r="18" spans="2:29" ht="19.05" customHeight="1" x14ac:dyDescent="0.3">
      <c r="B18" s="89">
        <v>5</v>
      </c>
      <c r="C18" s="21">
        <v>200</v>
      </c>
      <c r="D18" s="21">
        <v>350</v>
      </c>
      <c r="E18" s="21" t="s">
        <v>326</v>
      </c>
      <c r="F18" s="88">
        <f t="shared" si="0"/>
        <v>0</v>
      </c>
      <c r="G18" s="88">
        <f t="shared" si="1"/>
        <v>0</v>
      </c>
      <c r="H18" s="22">
        <v>0</v>
      </c>
      <c r="I18" s="22">
        <v>0</v>
      </c>
      <c r="J18" s="205" t="s">
        <v>575</v>
      </c>
      <c r="K18" s="172"/>
      <c r="L18" s="172"/>
      <c r="M18" s="172"/>
      <c r="N18" s="172"/>
      <c r="O18" s="173"/>
      <c r="AA18" s="20">
        <f>IF(G32="","",G32)</f>
        <v>400</v>
      </c>
      <c r="AB18" s="20">
        <f>IF(H32="","",H32)</f>
        <v>0</v>
      </c>
      <c r="AC18" t="s">
        <v>335</v>
      </c>
    </row>
    <row r="19" spans="2:29" ht="19.05" customHeight="1" x14ac:dyDescent="0.3">
      <c r="B19" s="89">
        <v>6</v>
      </c>
      <c r="C19" s="21">
        <v>600</v>
      </c>
      <c r="D19" s="21">
        <v>350</v>
      </c>
      <c r="E19" s="21" t="s">
        <v>326</v>
      </c>
      <c r="F19" s="88">
        <f t="shared" si="0"/>
        <v>0</v>
      </c>
      <c r="G19" s="88">
        <f t="shared" si="1"/>
        <v>0</v>
      </c>
      <c r="H19" s="22">
        <v>0</v>
      </c>
      <c r="I19" s="22">
        <v>-6000</v>
      </c>
      <c r="J19" s="205" t="s">
        <v>576</v>
      </c>
      <c r="K19" s="172"/>
      <c r="L19" s="172"/>
      <c r="M19" s="172"/>
      <c r="N19" s="172"/>
      <c r="O19" s="173"/>
    </row>
    <row r="20" spans="2:29" ht="19.05" customHeight="1" x14ac:dyDescent="0.3">
      <c r="B20" s="89">
        <v>7</v>
      </c>
      <c r="C20" s="21">
        <v>1000</v>
      </c>
      <c r="D20" s="21">
        <v>350</v>
      </c>
      <c r="E20" s="21" t="s">
        <v>326</v>
      </c>
      <c r="F20" s="88">
        <f t="shared" si="0"/>
        <v>0</v>
      </c>
      <c r="G20" s="88">
        <f t="shared" si="1"/>
        <v>0</v>
      </c>
      <c r="H20" s="22">
        <v>0</v>
      </c>
      <c r="I20" s="22">
        <v>0</v>
      </c>
      <c r="J20" s="205" t="s">
        <v>577</v>
      </c>
      <c r="K20" s="172"/>
      <c r="L20" s="172"/>
      <c r="M20" s="172"/>
      <c r="N20" s="172"/>
      <c r="O20" s="173"/>
      <c r="AA20" s="20">
        <f>IF(E33="","",E33)</f>
        <v>200</v>
      </c>
      <c r="AB20" s="20">
        <f>IF(F33="","",F33)</f>
        <v>350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400</v>
      </c>
      <c r="AB23" s="20">
        <f>IF(F34="","",F34)</f>
        <v>0</v>
      </c>
      <c r="AC23" t="s">
        <v>338</v>
      </c>
    </row>
    <row r="24" spans="2:29" x14ac:dyDescent="0.3">
      <c r="AA24" s="20">
        <f>IF(G34="","",G34)</f>
        <v>600</v>
      </c>
      <c r="AB24" s="20">
        <f>IF(H34="","",H34)</f>
        <v>350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350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800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600</v>
      </c>
      <c r="AB29" s="20">
        <f>IF(F36="","",F36)</f>
        <v>350</v>
      </c>
      <c r="AC29" t="s">
        <v>353</v>
      </c>
    </row>
    <row r="30" spans="2:29" ht="19.05" customHeight="1" x14ac:dyDescent="0.3">
      <c r="B30" s="89">
        <v>3</v>
      </c>
      <c r="C30" s="23">
        <v>3</v>
      </c>
      <c r="D30" s="23">
        <v>4</v>
      </c>
      <c r="E30" s="5">
        <f t="shared" si="2"/>
        <v>800</v>
      </c>
      <c r="F30" s="5">
        <f t="shared" si="3"/>
        <v>0</v>
      </c>
      <c r="G30" s="5">
        <f t="shared" si="4"/>
        <v>1200</v>
      </c>
      <c r="H30" s="5">
        <f t="shared" si="5"/>
        <v>0</v>
      </c>
      <c r="I30" s="9">
        <f t="shared" si="6"/>
        <v>400</v>
      </c>
      <c r="J30" s="9">
        <f t="shared" si="7"/>
        <v>0</v>
      </c>
      <c r="K30" s="9">
        <f t="shared" si="8"/>
        <v>400</v>
      </c>
      <c r="L30" s="92">
        <f t="shared" si="9"/>
        <v>1</v>
      </c>
      <c r="M30" s="92">
        <f t="shared" si="10"/>
        <v>0</v>
      </c>
      <c r="N30" s="22">
        <v>12</v>
      </c>
      <c r="O30" s="24">
        <v>2100000</v>
      </c>
      <c r="AA30" s="20">
        <f>IF(G36="","",G36)</f>
        <v>1000</v>
      </c>
      <c r="AB30" s="20">
        <f>IF(H36="","",H36)</f>
        <v>350</v>
      </c>
      <c r="AC30" t="s">
        <v>354</v>
      </c>
    </row>
    <row r="31" spans="2:29" ht="19.05" customHeight="1" x14ac:dyDescent="0.3">
      <c r="B31" s="89">
        <v>4</v>
      </c>
      <c r="C31" s="23">
        <v>1</v>
      </c>
      <c r="D31" s="23">
        <v>5</v>
      </c>
      <c r="E31" s="5">
        <f t="shared" si="2"/>
        <v>0</v>
      </c>
      <c r="F31" s="5">
        <f t="shared" si="3"/>
        <v>0</v>
      </c>
      <c r="G31" s="5">
        <f t="shared" si="4"/>
        <v>200</v>
      </c>
      <c r="H31" s="5">
        <f t="shared" si="5"/>
        <v>350</v>
      </c>
      <c r="I31" s="9">
        <f t="shared" si="6"/>
        <v>200</v>
      </c>
      <c r="J31" s="9">
        <f t="shared" si="7"/>
        <v>350</v>
      </c>
      <c r="K31" s="9">
        <f t="shared" si="8"/>
        <v>403.11288741492746</v>
      </c>
      <c r="L31" s="92">
        <f t="shared" si="9"/>
        <v>0.49613893835683387</v>
      </c>
      <c r="M31" s="92">
        <f t="shared" si="10"/>
        <v>0.8682431421244593</v>
      </c>
      <c r="N31" s="22">
        <v>12</v>
      </c>
      <c r="O31" s="24">
        <v>2100000</v>
      </c>
    </row>
    <row r="32" spans="2:29" ht="19.05" customHeight="1" x14ac:dyDescent="0.3">
      <c r="B32" s="89">
        <v>5</v>
      </c>
      <c r="C32" s="23">
        <v>5</v>
      </c>
      <c r="D32" s="23">
        <v>2</v>
      </c>
      <c r="E32" s="5">
        <f t="shared" si="2"/>
        <v>200</v>
      </c>
      <c r="F32" s="5">
        <f t="shared" si="3"/>
        <v>350</v>
      </c>
      <c r="G32" s="5">
        <f t="shared" si="4"/>
        <v>400</v>
      </c>
      <c r="H32" s="5">
        <f t="shared" si="5"/>
        <v>0</v>
      </c>
      <c r="I32" s="9">
        <f t="shared" si="6"/>
        <v>200</v>
      </c>
      <c r="J32" s="9">
        <f t="shared" si="7"/>
        <v>-350</v>
      </c>
      <c r="K32" s="9">
        <f t="shared" si="8"/>
        <v>403.11288741492746</v>
      </c>
      <c r="L32" s="92">
        <f t="shared" si="9"/>
        <v>0.49613893835683387</v>
      </c>
      <c r="M32" s="92">
        <f t="shared" si="10"/>
        <v>-0.8682431421244593</v>
      </c>
      <c r="N32" s="22">
        <v>12</v>
      </c>
      <c r="O32" s="24">
        <v>2100000</v>
      </c>
      <c r="AA32" s="20">
        <f>IF(E37="","",E37)</f>
        <v>1000</v>
      </c>
      <c r="AB32" s="20">
        <f>IF(F37="","",F37)</f>
        <v>350</v>
      </c>
      <c r="AC32" t="s">
        <v>355</v>
      </c>
    </row>
    <row r="33" spans="2:29" ht="19.05" customHeight="1" x14ac:dyDescent="0.3">
      <c r="B33" s="89">
        <v>6</v>
      </c>
      <c r="C33" s="23">
        <v>5</v>
      </c>
      <c r="D33" s="23">
        <v>6</v>
      </c>
      <c r="E33" s="5">
        <f t="shared" si="2"/>
        <v>200</v>
      </c>
      <c r="F33" s="5">
        <f t="shared" si="3"/>
        <v>350</v>
      </c>
      <c r="G33" s="5">
        <f t="shared" si="4"/>
        <v>600</v>
      </c>
      <c r="H33" s="5">
        <f t="shared" si="5"/>
        <v>350</v>
      </c>
      <c r="I33" s="9">
        <f t="shared" si="6"/>
        <v>400</v>
      </c>
      <c r="J33" s="9">
        <f t="shared" si="7"/>
        <v>0</v>
      </c>
      <c r="K33" s="9">
        <f t="shared" si="8"/>
        <v>400</v>
      </c>
      <c r="L33" s="92">
        <f t="shared" si="9"/>
        <v>1</v>
      </c>
      <c r="M33" s="92">
        <f t="shared" si="10"/>
        <v>0</v>
      </c>
      <c r="N33" s="22">
        <v>12</v>
      </c>
      <c r="O33" s="24">
        <v>2100000</v>
      </c>
      <c r="AA33" s="20">
        <f>IF(G37="","",G37)</f>
        <v>800</v>
      </c>
      <c r="AB33" s="20">
        <f>IF(H37="","",H37)</f>
        <v>0</v>
      </c>
      <c r="AC33" t="s">
        <v>356</v>
      </c>
    </row>
    <row r="34" spans="2:29" ht="19.05" customHeight="1" x14ac:dyDescent="0.3">
      <c r="B34" s="89">
        <v>7</v>
      </c>
      <c r="C34" s="23">
        <v>2</v>
      </c>
      <c r="D34" s="23">
        <v>6</v>
      </c>
      <c r="E34" s="5">
        <f t="shared" si="2"/>
        <v>400</v>
      </c>
      <c r="F34" s="5">
        <f t="shared" si="3"/>
        <v>0</v>
      </c>
      <c r="G34" s="5">
        <f t="shared" si="4"/>
        <v>600</v>
      </c>
      <c r="H34" s="5">
        <f t="shared" si="5"/>
        <v>350</v>
      </c>
      <c r="I34" s="9">
        <f t="shared" si="6"/>
        <v>200</v>
      </c>
      <c r="J34" s="9">
        <f t="shared" si="7"/>
        <v>350</v>
      </c>
      <c r="K34" s="9">
        <f t="shared" si="8"/>
        <v>403.11288741492746</v>
      </c>
      <c r="L34" s="92">
        <f t="shared" si="9"/>
        <v>0.49613893835683387</v>
      </c>
      <c r="M34" s="92">
        <f t="shared" si="10"/>
        <v>0.8682431421244593</v>
      </c>
      <c r="N34" s="22">
        <v>12</v>
      </c>
      <c r="O34" s="24">
        <v>2100000</v>
      </c>
    </row>
    <row r="35" spans="2:29" ht="19.05" customHeight="1" x14ac:dyDescent="0.3">
      <c r="B35" s="89">
        <v>8</v>
      </c>
      <c r="C35" s="23">
        <v>6</v>
      </c>
      <c r="D35" s="23">
        <v>3</v>
      </c>
      <c r="E35" s="5">
        <f t="shared" si="2"/>
        <v>600</v>
      </c>
      <c r="F35" s="5">
        <f t="shared" si="3"/>
        <v>350</v>
      </c>
      <c r="G35" s="5">
        <f t="shared" si="4"/>
        <v>800</v>
      </c>
      <c r="H35" s="5">
        <f t="shared" si="5"/>
        <v>0</v>
      </c>
      <c r="I35" s="9">
        <f t="shared" si="6"/>
        <v>200</v>
      </c>
      <c r="J35" s="9">
        <f t="shared" si="7"/>
        <v>-350</v>
      </c>
      <c r="K35" s="9">
        <f t="shared" si="8"/>
        <v>403.11288741492746</v>
      </c>
      <c r="L35" s="92">
        <f t="shared" si="9"/>
        <v>0.49613893835683387</v>
      </c>
      <c r="M35" s="92">
        <f t="shared" si="10"/>
        <v>-0.8682431421244593</v>
      </c>
      <c r="N35" s="22">
        <v>12</v>
      </c>
      <c r="O35" s="24">
        <v>2100000</v>
      </c>
      <c r="AA35" s="20">
        <f>IF(E38="","",E38)</f>
        <v>1000</v>
      </c>
      <c r="AB35" s="20">
        <f>IF(F38="","",F38)</f>
        <v>350</v>
      </c>
      <c r="AC35" t="s">
        <v>357</v>
      </c>
    </row>
    <row r="36" spans="2:29" ht="19.05" customHeight="1" x14ac:dyDescent="0.3">
      <c r="B36" s="89">
        <v>9</v>
      </c>
      <c r="C36" s="23">
        <v>6</v>
      </c>
      <c r="D36" s="23">
        <v>7</v>
      </c>
      <c r="E36" s="5">
        <f t="shared" si="2"/>
        <v>600</v>
      </c>
      <c r="F36" s="5">
        <f t="shared" si="3"/>
        <v>350</v>
      </c>
      <c r="G36" s="5">
        <f t="shared" si="4"/>
        <v>1000</v>
      </c>
      <c r="H36" s="5">
        <f t="shared" si="5"/>
        <v>350</v>
      </c>
      <c r="I36" s="9">
        <f t="shared" si="6"/>
        <v>400</v>
      </c>
      <c r="J36" s="9">
        <f t="shared" si="7"/>
        <v>0</v>
      </c>
      <c r="K36" s="9">
        <f t="shared" si="8"/>
        <v>400</v>
      </c>
      <c r="L36" s="92">
        <f t="shared" si="9"/>
        <v>1</v>
      </c>
      <c r="M36" s="92">
        <f t="shared" si="10"/>
        <v>0</v>
      </c>
      <c r="N36" s="22">
        <v>12</v>
      </c>
      <c r="O36" s="24">
        <v>2100000</v>
      </c>
      <c r="AA36" s="20">
        <f>IF(G38="","",G38)</f>
        <v>1200</v>
      </c>
      <c r="AB36" s="20">
        <f>IF(H38="","",H38)</f>
        <v>0</v>
      </c>
      <c r="AC36" t="s">
        <v>358</v>
      </c>
    </row>
    <row r="37" spans="2:29" ht="19.05" customHeight="1" x14ac:dyDescent="0.3">
      <c r="B37" s="89">
        <v>10</v>
      </c>
      <c r="C37" s="23">
        <v>7</v>
      </c>
      <c r="D37" s="23">
        <v>3</v>
      </c>
      <c r="E37" s="5">
        <f t="shared" si="2"/>
        <v>1000</v>
      </c>
      <c r="F37" s="5">
        <f t="shared" si="3"/>
        <v>350</v>
      </c>
      <c r="G37" s="5">
        <f t="shared" si="4"/>
        <v>800</v>
      </c>
      <c r="H37" s="5">
        <f t="shared" si="5"/>
        <v>0</v>
      </c>
      <c r="I37" s="9">
        <f t="shared" si="6"/>
        <v>-200</v>
      </c>
      <c r="J37" s="9">
        <f t="shared" si="7"/>
        <v>-350</v>
      </c>
      <c r="K37" s="9">
        <f t="shared" si="8"/>
        <v>403.11288741492746</v>
      </c>
      <c r="L37" s="92">
        <f t="shared" si="9"/>
        <v>-0.49613893835683387</v>
      </c>
      <c r="M37" s="92">
        <f t="shared" si="10"/>
        <v>-0.8682431421244593</v>
      </c>
      <c r="N37" s="22">
        <v>12</v>
      </c>
      <c r="O37" s="24">
        <v>2100000</v>
      </c>
    </row>
    <row r="38" spans="2:29" ht="19.05" customHeight="1" x14ac:dyDescent="0.3">
      <c r="B38" s="89">
        <v>11</v>
      </c>
      <c r="C38" s="23">
        <v>7</v>
      </c>
      <c r="D38" s="23">
        <v>4</v>
      </c>
      <c r="E38" s="5">
        <f t="shared" si="2"/>
        <v>1000</v>
      </c>
      <c r="F38" s="5">
        <f t="shared" si="3"/>
        <v>350</v>
      </c>
      <c r="G38" s="5">
        <f t="shared" si="4"/>
        <v>1200</v>
      </c>
      <c r="H38" s="5">
        <f t="shared" si="5"/>
        <v>0</v>
      </c>
      <c r="I38" s="9">
        <f t="shared" si="6"/>
        <v>200</v>
      </c>
      <c r="J38" s="9">
        <f t="shared" si="7"/>
        <v>-350</v>
      </c>
      <c r="K38" s="9">
        <f t="shared" si="8"/>
        <v>403.11288741492746</v>
      </c>
      <c r="L38" s="92">
        <f t="shared" si="9"/>
        <v>0.49613893835683387</v>
      </c>
      <c r="M38" s="92">
        <f t="shared" si="10"/>
        <v>-0.8682431421244593</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900-000000000000}">
      <formula1>"Fijo (articulado),Rodillo Y (despl. X libre),Rodillo X (despl. Y libre),Libre (0 reac.)"</formula1>
    </dataValidation>
  </dataValidations>
  <pageMargins left="0.75" right="0.75" top="1" bottom="1" header="0.5" footer="0.5"/>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74" t="s">
        <v>578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GRAFICA_36!E28</f>
        <v>0</v>
      </c>
      <c r="D6" s="22">
        <f>GRAFICA_36!F28</f>
        <v>0</v>
      </c>
      <c r="E6" s="22">
        <f>GRAFICA_36!G28</f>
        <v>400</v>
      </c>
      <c r="F6" s="22">
        <f>GRAFICA_36!H28</f>
        <v>0</v>
      </c>
      <c r="G6" s="9">
        <f t="shared" ref="G6:G16" si="0">E6-C6</f>
        <v>400</v>
      </c>
      <c r="H6" s="9">
        <f t="shared" ref="H6:H16" si="1">F6-D6</f>
        <v>0</v>
      </c>
      <c r="I6" s="9">
        <f t="shared" ref="I6:I16" si="2">SQRT(G6*G6+H6*H6)</f>
        <v>400</v>
      </c>
      <c r="J6" s="92">
        <f t="shared" ref="J6:J16" si="3">G6/I6</f>
        <v>1</v>
      </c>
      <c r="K6" s="92">
        <f t="shared" ref="K6:K16" si="4">H6/I6</f>
        <v>0</v>
      </c>
      <c r="L6" s="22">
        <f>GRAFICA_36!N28</f>
        <v>12</v>
      </c>
      <c r="M6" s="22">
        <f>GRAFICA_36!O28</f>
        <v>2100000</v>
      </c>
      <c r="N6" s="6">
        <f t="shared" ref="N6:N16" si="5">L6*M6/I6</f>
        <v>63000</v>
      </c>
    </row>
    <row r="7" spans="2:14" ht="19.05" customHeight="1" x14ac:dyDescent="0.3">
      <c r="B7" s="25">
        <v>2</v>
      </c>
      <c r="C7" s="22">
        <f>GRAFICA_36!E29</f>
        <v>400</v>
      </c>
      <c r="D7" s="22">
        <f>GRAFICA_36!F29</f>
        <v>0</v>
      </c>
      <c r="E7" s="22">
        <f>GRAFICA_36!G29</f>
        <v>800</v>
      </c>
      <c r="F7" s="22">
        <f>GRAFICA_36!H29</f>
        <v>0</v>
      </c>
      <c r="G7" s="9">
        <f t="shared" si="0"/>
        <v>400</v>
      </c>
      <c r="H7" s="9">
        <f t="shared" si="1"/>
        <v>0</v>
      </c>
      <c r="I7" s="9">
        <f t="shared" si="2"/>
        <v>400</v>
      </c>
      <c r="J7" s="92">
        <f t="shared" si="3"/>
        <v>1</v>
      </c>
      <c r="K7" s="92">
        <f t="shared" si="4"/>
        <v>0</v>
      </c>
      <c r="L7" s="22">
        <f>GRAFICA_36!N29</f>
        <v>12</v>
      </c>
      <c r="M7" s="22">
        <f>GRAFICA_36!O29</f>
        <v>2100000</v>
      </c>
      <c r="N7" s="6">
        <f t="shared" si="5"/>
        <v>63000</v>
      </c>
    </row>
    <row r="8" spans="2:14" ht="19.05" customHeight="1" x14ac:dyDescent="0.3">
      <c r="B8" s="26">
        <v>3</v>
      </c>
      <c r="C8" s="22">
        <f>GRAFICA_36!E30</f>
        <v>800</v>
      </c>
      <c r="D8" s="22">
        <f>GRAFICA_36!F30</f>
        <v>0</v>
      </c>
      <c r="E8" s="22">
        <f>GRAFICA_36!G30</f>
        <v>1200</v>
      </c>
      <c r="F8" s="22">
        <f>GRAFICA_36!H30</f>
        <v>0</v>
      </c>
      <c r="G8" s="9">
        <f t="shared" si="0"/>
        <v>400</v>
      </c>
      <c r="H8" s="9">
        <f t="shared" si="1"/>
        <v>0</v>
      </c>
      <c r="I8" s="9">
        <f t="shared" si="2"/>
        <v>400</v>
      </c>
      <c r="J8" s="92">
        <f t="shared" si="3"/>
        <v>1</v>
      </c>
      <c r="K8" s="92">
        <f t="shared" si="4"/>
        <v>0</v>
      </c>
      <c r="L8" s="22">
        <f>GRAFICA_36!N30</f>
        <v>12</v>
      </c>
      <c r="M8" s="22">
        <f>GRAFICA_36!O30</f>
        <v>2100000</v>
      </c>
      <c r="N8" s="6">
        <f t="shared" si="5"/>
        <v>63000</v>
      </c>
    </row>
    <row r="9" spans="2:14" ht="19.05" customHeight="1" x14ac:dyDescent="0.3">
      <c r="B9" s="43">
        <v>4</v>
      </c>
      <c r="C9" s="22">
        <f>GRAFICA_36!E31</f>
        <v>0</v>
      </c>
      <c r="D9" s="22">
        <f>GRAFICA_36!F31</f>
        <v>0</v>
      </c>
      <c r="E9" s="22">
        <f>GRAFICA_36!G31</f>
        <v>200</v>
      </c>
      <c r="F9" s="22">
        <f>GRAFICA_36!H31</f>
        <v>350</v>
      </c>
      <c r="G9" s="9">
        <f t="shared" si="0"/>
        <v>200</v>
      </c>
      <c r="H9" s="9">
        <f t="shared" si="1"/>
        <v>350</v>
      </c>
      <c r="I9" s="9">
        <f t="shared" si="2"/>
        <v>403.11288741492746</v>
      </c>
      <c r="J9" s="92">
        <f t="shared" si="3"/>
        <v>0.49613893835683387</v>
      </c>
      <c r="K9" s="92">
        <f t="shared" si="4"/>
        <v>0.8682431421244593</v>
      </c>
      <c r="L9" s="22">
        <f>GRAFICA_36!N31</f>
        <v>12</v>
      </c>
      <c r="M9" s="22">
        <f>GRAFICA_36!O31</f>
        <v>2100000</v>
      </c>
      <c r="N9" s="6">
        <f t="shared" si="5"/>
        <v>62513.506232961066</v>
      </c>
    </row>
    <row r="10" spans="2:14" ht="19.05" customHeight="1" x14ac:dyDescent="0.3">
      <c r="B10" s="44">
        <v>5</v>
      </c>
      <c r="C10" s="22">
        <f>GRAFICA_36!E32</f>
        <v>200</v>
      </c>
      <c r="D10" s="22">
        <f>GRAFICA_36!F32</f>
        <v>350</v>
      </c>
      <c r="E10" s="22">
        <f>GRAFICA_36!G32</f>
        <v>400</v>
      </c>
      <c r="F10" s="22">
        <f>GRAFICA_36!H32</f>
        <v>0</v>
      </c>
      <c r="G10" s="9">
        <f t="shared" si="0"/>
        <v>200</v>
      </c>
      <c r="H10" s="9">
        <f t="shared" si="1"/>
        <v>-350</v>
      </c>
      <c r="I10" s="9">
        <f t="shared" si="2"/>
        <v>403.11288741492746</v>
      </c>
      <c r="J10" s="92">
        <f t="shared" si="3"/>
        <v>0.49613893835683387</v>
      </c>
      <c r="K10" s="92">
        <f t="shared" si="4"/>
        <v>-0.8682431421244593</v>
      </c>
      <c r="L10" s="22">
        <f>GRAFICA_36!N32</f>
        <v>12</v>
      </c>
      <c r="M10" s="22">
        <f>GRAFICA_36!O32</f>
        <v>2100000</v>
      </c>
      <c r="N10" s="6">
        <f t="shared" si="5"/>
        <v>62513.506232961066</v>
      </c>
    </row>
    <row r="11" spans="2:14" ht="19.05" customHeight="1" x14ac:dyDescent="0.3">
      <c r="B11" s="51">
        <v>6</v>
      </c>
      <c r="C11" s="22">
        <f>GRAFICA_36!E33</f>
        <v>200</v>
      </c>
      <c r="D11" s="22">
        <f>GRAFICA_36!F33</f>
        <v>350</v>
      </c>
      <c r="E11" s="22">
        <f>GRAFICA_36!G33</f>
        <v>600</v>
      </c>
      <c r="F11" s="22">
        <f>GRAFICA_36!H33</f>
        <v>350</v>
      </c>
      <c r="G11" s="9">
        <f t="shared" si="0"/>
        <v>400</v>
      </c>
      <c r="H11" s="9">
        <f t="shared" si="1"/>
        <v>0</v>
      </c>
      <c r="I11" s="9">
        <f t="shared" si="2"/>
        <v>400</v>
      </c>
      <c r="J11" s="92">
        <f t="shared" si="3"/>
        <v>1</v>
      </c>
      <c r="K11" s="92">
        <f t="shared" si="4"/>
        <v>0</v>
      </c>
      <c r="L11" s="22">
        <f>GRAFICA_36!N33</f>
        <v>12</v>
      </c>
      <c r="M11" s="22">
        <f>GRAFICA_36!O33</f>
        <v>2100000</v>
      </c>
      <c r="N11" s="6">
        <f t="shared" si="5"/>
        <v>63000</v>
      </c>
    </row>
    <row r="12" spans="2:14" ht="19.05" customHeight="1" x14ac:dyDescent="0.3">
      <c r="B12" s="52">
        <v>7</v>
      </c>
      <c r="C12" s="22">
        <f>GRAFICA_36!E34</f>
        <v>400</v>
      </c>
      <c r="D12" s="22">
        <f>GRAFICA_36!F34</f>
        <v>0</v>
      </c>
      <c r="E12" s="22">
        <f>GRAFICA_36!G34</f>
        <v>600</v>
      </c>
      <c r="F12" s="22">
        <f>GRAFICA_36!H34</f>
        <v>350</v>
      </c>
      <c r="G12" s="9">
        <f t="shared" si="0"/>
        <v>200</v>
      </c>
      <c r="H12" s="9">
        <f t="shared" si="1"/>
        <v>350</v>
      </c>
      <c r="I12" s="9">
        <f t="shared" si="2"/>
        <v>403.11288741492746</v>
      </c>
      <c r="J12" s="92">
        <f t="shared" si="3"/>
        <v>0.49613893835683387</v>
      </c>
      <c r="K12" s="92">
        <f t="shared" si="4"/>
        <v>0.8682431421244593</v>
      </c>
      <c r="L12" s="22">
        <f>GRAFICA_36!N34</f>
        <v>12</v>
      </c>
      <c r="M12" s="22">
        <f>GRAFICA_36!O34</f>
        <v>2100000</v>
      </c>
      <c r="N12" s="6">
        <f t="shared" si="5"/>
        <v>62513.506232961066</v>
      </c>
    </row>
    <row r="13" spans="2:14" ht="19.05" customHeight="1" x14ac:dyDescent="0.3">
      <c r="B13" s="59">
        <v>8</v>
      </c>
      <c r="C13" s="22">
        <f>GRAFICA_36!E35</f>
        <v>600</v>
      </c>
      <c r="D13" s="22">
        <f>GRAFICA_36!F35</f>
        <v>350</v>
      </c>
      <c r="E13" s="22">
        <f>GRAFICA_36!G35</f>
        <v>800</v>
      </c>
      <c r="F13" s="22">
        <f>GRAFICA_36!H35</f>
        <v>0</v>
      </c>
      <c r="G13" s="9">
        <f t="shared" si="0"/>
        <v>200</v>
      </c>
      <c r="H13" s="9">
        <f t="shared" si="1"/>
        <v>-350</v>
      </c>
      <c r="I13" s="9">
        <f t="shared" si="2"/>
        <v>403.11288741492746</v>
      </c>
      <c r="J13" s="92">
        <f t="shared" si="3"/>
        <v>0.49613893835683387</v>
      </c>
      <c r="K13" s="92">
        <f t="shared" si="4"/>
        <v>-0.8682431421244593</v>
      </c>
      <c r="L13" s="22">
        <f>GRAFICA_36!N35</f>
        <v>12</v>
      </c>
      <c r="M13" s="22">
        <f>GRAFICA_36!O35</f>
        <v>2100000</v>
      </c>
      <c r="N13" s="6">
        <f t="shared" si="5"/>
        <v>62513.506232961066</v>
      </c>
    </row>
    <row r="14" spans="2:14" ht="19.05" customHeight="1" x14ac:dyDescent="0.3">
      <c r="B14" s="60">
        <v>9</v>
      </c>
      <c r="C14" s="22">
        <f>GRAFICA_36!E36</f>
        <v>600</v>
      </c>
      <c r="D14" s="22">
        <f>GRAFICA_36!F36</f>
        <v>350</v>
      </c>
      <c r="E14" s="22">
        <f>GRAFICA_36!G36</f>
        <v>1000</v>
      </c>
      <c r="F14" s="22">
        <f>GRAFICA_36!H36</f>
        <v>350</v>
      </c>
      <c r="G14" s="9">
        <f t="shared" si="0"/>
        <v>400</v>
      </c>
      <c r="H14" s="9">
        <f t="shared" si="1"/>
        <v>0</v>
      </c>
      <c r="I14" s="9">
        <f t="shared" si="2"/>
        <v>400</v>
      </c>
      <c r="J14" s="92">
        <f t="shared" si="3"/>
        <v>1</v>
      </c>
      <c r="K14" s="92">
        <f t="shared" si="4"/>
        <v>0</v>
      </c>
      <c r="L14" s="22">
        <f>GRAFICA_36!N36</f>
        <v>12</v>
      </c>
      <c r="M14" s="22">
        <f>GRAFICA_36!O36</f>
        <v>2100000</v>
      </c>
      <c r="N14" s="6">
        <f t="shared" si="5"/>
        <v>63000</v>
      </c>
    </row>
    <row r="15" spans="2:14" ht="19.05" customHeight="1" x14ac:dyDescent="0.3">
      <c r="B15" s="67">
        <v>10</v>
      </c>
      <c r="C15" s="22">
        <f>GRAFICA_36!E37</f>
        <v>1000</v>
      </c>
      <c r="D15" s="22">
        <f>GRAFICA_36!F37</f>
        <v>350</v>
      </c>
      <c r="E15" s="22">
        <f>GRAFICA_36!G37</f>
        <v>800</v>
      </c>
      <c r="F15" s="22">
        <f>GRAFICA_36!H37</f>
        <v>0</v>
      </c>
      <c r="G15" s="9">
        <f t="shared" si="0"/>
        <v>-200</v>
      </c>
      <c r="H15" s="9">
        <f t="shared" si="1"/>
        <v>-350</v>
      </c>
      <c r="I15" s="9">
        <f t="shared" si="2"/>
        <v>403.11288741492746</v>
      </c>
      <c r="J15" s="92">
        <f t="shared" si="3"/>
        <v>-0.49613893835683387</v>
      </c>
      <c r="K15" s="92">
        <f t="shared" si="4"/>
        <v>-0.8682431421244593</v>
      </c>
      <c r="L15" s="22">
        <f>GRAFICA_36!N37</f>
        <v>12</v>
      </c>
      <c r="M15" s="22">
        <f>GRAFICA_36!O37</f>
        <v>2100000</v>
      </c>
      <c r="N15" s="6">
        <f t="shared" si="5"/>
        <v>62513.506232961066</v>
      </c>
    </row>
    <row r="16" spans="2:14" ht="19.05" customHeight="1" x14ac:dyDescent="0.3">
      <c r="B16" s="68">
        <v>11</v>
      </c>
      <c r="C16" s="22">
        <f>GRAFICA_36!E38</f>
        <v>1000</v>
      </c>
      <c r="D16" s="22">
        <f>GRAFICA_36!F38</f>
        <v>350</v>
      </c>
      <c r="E16" s="22">
        <f>GRAFICA_36!G38</f>
        <v>1200</v>
      </c>
      <c r="F16" s="22">
        <f>GRAFICA_36!H38</f>
        <v>0</v>
      </c>
      <c r="G16" s="9">
        <f t="shared" si="0"/>
        <v>200</v>
      </c>
      <c r="H16" s="9">
        <f t="shared" si="1"/>
        <v>-350</v>
      </c>
      <c r="I16" s="9">
        <f t="shared" si="2"/>
        <v>403.11288741492746</v>
      </c>
      <c r="J16" s="92">
        <f t="shared" si="3"/>
        <v>0.49613893835683387</v>
      </c>
      <c r="K16" s="92">
        <f t="shared" si="4"/>
        <v>-0.8682431421244593</v>
      </c>
      <c r="L16" s="22">
        <f>GRAFICA_36!N38</f>
        <v>12</v>
      </c>
      <c r="M16" s="22">
        <f>GRAFICA_36!O38</f>
        <v>2100000</v>
      </c>
      <c r="N16" s="6">
        <f t="shared" si="5"/>
        <v>62513.506232961066</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GRAFICA_36!C28</f>
        <v>1</v>
      </c>
      <c r="D20" s="23">
        <f>GRAFICA_36!C28</f>
        <v>1</v>
      </c>
      <c r="E20" s="23">
        <f>GRAFICA_36!D28</f>
        <v>2</v>
      </c>
      <c r="F20" s="23">
        <f>GRAFICA_36!D28</f>
        <v>2</v>
      </c>
    </row>
    <row r="21" spans="2:6" ht="19.05" customHeight="1" x14ac:dyDescent="0.3">
      <c r="B21" s="25">
        <v>2</v>
      </c>
      <c r="C21" s="23">
        <f>GRAFICA_36!C29</f>
        <v>2</v>
      </c>
      <c r="D21" s="23">
        <f>GRAFICA_36!C29</f>
        <v>2</v>
      </c>
      <c r="E21" s="23">
        <f>GRAFICA_36!D29</f>
        <v>3</v>
      </c>
      <c r="F21" s="23">
        <f>GRAFICA_36!D29</f>
        <v>3</v>
      </c>
    </row>
    <row r="22" spans="2:6" ht="19.05" customHeight="1" x14ac:dyDescent="0.3">
      <c r="B22" s="26">
        <v>3</v>
      </c>
      <c r="C22" s="23">
        <f>GRAFICA_36!C30</f>
        <v>3</v>
      </c>
      <c r="D22" s="23">
        <f>GRAFICA_36!C30</f>
        <v>3</v>
      </c>
      <c r="E22" s="23">
        <f>GRAFICA_36!D30</f>
        <v>4</v>
      </c>
      <c r="F22" s="23">
        <f>GRAFICA_36!D30</f>
        <v>4</v>
      </c>
    </row>
    <row r="23" spans="2:6" ht="19.05" customHeight="1" x14ac:dyDescent="0.3">
      <c r="B23" s="43">
        <v>4</v>
      </c>
      <c r="C23" s="23">
        <f>GRAFICA_36!C31</f>
        <v>1</v>
      </c>
      <c r="D23" s="23">
        <f>GRAFICA_36!C31</f>
        <v>1</v>
      </c>
      <c r="E23" s="23">
        <f>GRAFICA_36!D31</f>
        <v>5</v>
      </c>
      <c r="F23" s="23">
        <f>GRAFICA_36!D31</f>
        <v>5</v>
      </c>
    </row>
    <row r="24" spans="2:6" ht="19.05" customHeight="1" x14ac:dyDescent="0.3">
      <c r="B24" s="44">
        <v>5</v>
      </c>
      <c r="C24" s="23">
        <f>GRAFICA_36!C32</f>
        <v>5</v>
      </c>
      <c r="D24" s="23">
        <f>GRAFICA_36!C32</f>
        <v>5</v>
      </c>
      <c r="E24" s="23">
        <f>GRAFICA_36!D32</f>
        <v>2</v>
      </c>
      <c r="F24" s="23">
        <f>GRAFICA_36!D32</f>
        <v>2</v>
      </c>
    </row>
    <row r="25" spans="2:6" ht="19.05" customHeight="1" x14ac:dyDescent="0.3">
      <c r="B25" s="51">
        <v>6</v>
      </c>
      <c r="C25" s="23">
        <f>GRAFICA_36!C33</f>
        <v>5</v>
      </c>
      <c r="D25" s="23">
        <f>GRAFICA_36!C33</f>
        <v>5</v>
      </c>
      <c r="E25" s="23">
        <f>GRAFICA_36!D33</f>
        <v>6</v>
      </c>
      <c r="F25" s="23">
        <f>GRAFICA_36!D33</f>
        <v>6</v>
      </c>
    </row>
    <row r="26" spans="2:6" ht="19.05" customHeight="1" x14ac:dyDescent="0.3">
      <c r="B26" s="52">
        <v>7</v>
      </c>
      <c r="C26" s="23">
        <f>GRAFICA_36!C34</f>
        <v>2</v>
      </c>
      <c r="D26" s="23">
        <f>GRAFICA_36!C34</f>
        <v>2</v>
      </c>
      <c r="E26" s="23">
        <f>GRAFICA_36!D34</f>
        <v>6</v>
      </c>
      <c r="F26" s="23">
        <f>GRAFICA_36!D34</f>
        <v>6</v>
      </c>
    </row>
    <row r="27" spans="2:6" ht="19.05" customHeight="1" x14ac:dyDescent="0.3">
      <c r="B27" s="59">
        <v>8</v>
      </c>
      <c r="C27" s="23">
        <f>GRAFICA_36!C35</f>
        <v>6</v>
      </c>
      <c r="D27" s="23">
        <f>GRAFICA_36!C35</f>
        <v>6</v>
      </c>
      <c r="E27" s="23">
        <f>GRAFICA_36!D35</f>
        <v>3</v>
      </c>
      <c r="F27" s="23">
        <f>GRAFICA_36!D35</f>
        <v>3</v>
      </c>
    </row>
    <row r="28" spans="2:6" ht="19.05" customHeight="1" x14ac:dyDescent="0.3">
      <c r="B28" s="60">
        <v>9</v>
      </c>
      <c r="C28" s="23">
        <f>GRAFICA_36!C36</f>
        <v>6</v>
      </c>
      <c r="D28" s="23">
        <f>GRAFICA_36!C36</f>
        <v>6</v>
      </c>
      <c r="E28" s="23">
        <f>GRAFICA_36!D36</f>
        <v>7</v>
      </c>
      <c r="F28" s="23">
        <f>GRAFICA_36!D36</f>
        <v>7</v>
      </c>
    </row>
    <row r="29" spans="2:6" ht="19.05" customHeight="1" x14ac:dyDescent="0.3">
      <c r="B29" s="67">
        <v>10</v>
      </c>
      <c r="C29" s="23">
        <f>GRAFICA_36!C37</f>
        <v>7</v>
      </c>
      <c r="D29" s="23">
        <f>GRAFICA_36!C37</f>
        <v>7</v>
      </c>
      <c r="E29" s="23">
        <f>GRAFICA_36!D37</f>
        <v>3</v>
      </c>
      <c r="F29" s="23">
        <f>GRAFICA_36!D37</f>
        <v>3</v>
      </c>
    </row>
    <row r="30" spans="2:6" ht="19.05" customHeight="1" x14ac:dyDescent="0.3">
      <c r="B30" s="68">
        <v>11</v>
      </c>
      <c r="C30" s="23">
        <f>GRAFICA_36!C38</f>
        <v>7</v>
      </c>
      <c r="D30" s="23">
        <f>GRAFICA_36!C38</f>
        <v>7</v>
      </c>
      <c r="E30" s="23">
        <f>GRAFICA_36!D38</f>
        <v>4</v>
      </c>
      <c r="F30" s="23">
        <f>GRAFICA_36!D38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63000</v>
      </c>
      <c r="C34" s="7">
        <f>J6*K6*N6</f>
        <v>0</v>
      </c>
      <c r="D34" s="7">
        <f>-B34</f>
        <v>-63000</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-63000</v>
      </c>
      <c r="C36" s="7">
        <f>E34</f>
        <v>0</v>
      </c>
      <c r="D36" s="7">
        <f>B34</f>
        <v>63000</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63000</v>
      </c>
      <c r="C57" s="30">
        <f>J7*K7*N7</f>
        <v>0</v>
      </c>
      <c r="D57" s="30">
        <f>-B57</f>
        <v>-63000</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-63000</v>
      </c>
      <c r="C59" s="30">
        <f>E57</f>
        <v>0</v>
      </c>
      <c r="D59" s="30">
        <f>B57</f>
        <v>63000</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-63000</v>
      </c>
      <c r="E67" s="31">
        <f t="shared" si="7"/>
        <v>0</v>
      </c>
      <c r="F67" s="31">
        <f t="shared" si="7"/>
        <v>63000</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63000</v>
      </c>
      <c r="C80" s="33">
        <f>J8*K8*N8</f>
        <v>0</v>
      </c>
      <c r="D80" s="33">
        <f>-B80</f>
        <v>-63000</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-63000</v>
      </c>
      <c r="C82" s="33">
        <f>E80</f>
        <v>0</v>
      </c>
      <c r="D82" s="33">
        <f>B80</f>
        <v>63000</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63000</v>
      </c>
      <c r="G90" s="34">
        <f t="shared" si="8"/>
        <v>0</v>
      </c>
      <c r="H90" s="34">
        <f t="shared" si="8"/>
        <v>-63000</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-63000</v>
      </c>
      <c r="G92" s="34">
        <f t="shared" si="8"/>
        <v>0</v>
      </c>
      <c r="H92" s="34">
        <f t="shared" si="8"/>
        <v>63000</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15387.939995805804</v>
      </c>
      <c r="C103" s="46">
        <f>J9*K9*N9</f>
        <v>26928.894992660156</v>
      </c>
      <c r="D103" s="46">
        <f>-B103</f>
        <v>-15387.939995805804</v>
      </c>
      <c r="E103" s="46">
        <f>-C103</f>
        <v>-26928.894992660156</v>
      </c>
      <c r="F103" s="45" t="str">
        <f>B102</f>
        <v>U1X</v>
      </c>
    </row>
    <row r="104" spans="1:16" ht="16.8" customHeight="1" x14ac:dyDescent="0.3">
      <c r="A104" s="28" t="s">
        <v>195</v>
      </c>
      <c r="B104" s="46">
        <f>C103</f>
        <v>26928.894992660156</v>
      </c>
      <c r="C104" s="46">
        <f>K9*K9*N9</f>
        <v>47125.566237155275</v>
      </c>
      <c r="D104" s="46">
        <f>-B104</f>
        <v>-26928.894992660156</v>
      </c>
      <c r="E104" s="46">
        <f>-C104</f>
        <v>-47125.566237155275</v>
      </c>
      <c r="F104" s="45" t="str">
        <f>C102</f>
        <v>U1Y</v>
      </c>
    </row>
    <row r="105" spans="1:16" x14ac:dyDescent="0.3">
      <c r="B105" s="46">
        <f>D103</f>
        <v>-15387.939995805804</v>
      </c>
      <c r="C105" s="46">
        <f>E103</f>
        <v>-26928.894992660156</v>
      </c>
      <c r="D105" s="46">
        <f>B103</f>
        <v>15387.939995805804</v>
      </c>
      <c r="E105" s="46">
        <f>C103</f>
        <v>26928.894992660156</v>
      </c>
      <c r="F105" s="45" t="str">
        <f>D102</f>
        <v>U5X</v>
      </c>
    </row>
    <row r="106" spans="1:16" x14ac:dyDescent="0.3">
      <c r="B106" s="46">
        <f>D104</f>
        <v>-26928.894992660156</v>
      </c>
      <c r="C106" s="46">
        <f>E104</f>
        <v>-47125.566237155275</v>
      </c>
      <c r="D106" s="46">
        <f>B104</f>
        <v>26928.894992660156</v>
      </c>
      <c r="E106" s="46">
        <f>C104</f>
        <v>47125.566237155275</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15387.939995805804</v>
      </c>
      <c r="C109" s="47">
        <f t="shared" si="9"/>
        <v>26928.894992660156</v>
      </c>
      <c r="D109" s="9">
        <f t="shared" si="9"/>
        <v>0</v>
      </c>
      <c r="E109" s="9">
        <f t="shared" si="9"/>
        <v>0</v>
      </c>
      <c r="F109" s="9">
        <f t="shared" si="9"/>
        <v>0</v>
      </c>
      <c r="G109" s="9">
        <f t="shared" si="9"/>
        <v>0</v>
      </c>
      <c r="H109" s="9">
        <f t="shared" si="9"/>
        <v>0</v>
      </c>
      <c r="I109" s="9">
        <f t="shared" si="9"/>
        <v>0</v>
      </c>
      <c r="J109" s="47">
        <f t="shared" si="9"/>
        <v>-15387.939995805804</v>
      </c>
      <c r="K109" s="47">
        <f t="shared" si="9"/>
        <v>-26928.894992660156</v>
      </c>
      <c r="L109" s="9">
        <f t="shared" si="9"/>
        <v>0</v>
      </c>
      <c r="M109" s="9">
        <f t="shared" si="9"/>
        <v>0</v>
      </c>
      <c r="N109" s="9">
        <f t="shared" si="9"/>
        <v>0</v>
      </c>
      <c r="O109" s="9">
        <f t="shared" si="9"/>
        <v>0</v>
      </c>
      <c r="P109" s="45" t="s">
        <v>178</v>
      </c>
    </row>
    <row r="110" spans="1:16" ht="19.05" customHeight="1" x14ac:dyDescent="0.3">
      <c r="B110" s="47">
        <f t="shared" si="9"/>
        <v>26928.894992660156</v>
      </c>
      <c r="C110" s="47">
        <f t="shared" si="9"/>
        <v>47125.566237155275</v>
      </c>
      <c r="D110" s="9">
        <f t="shared" si="9"/>
        <v>0</v>
      </c>
      <c r="E110" s="9">
        <f t="shared" si="9"/>
        <v>0</v>
      </c>
      <c r="F110" s="9">
        <f t="shared" si="9"/>
        <v>0</v>
      </c>
      <c r="G110" s="9">
        <f t="shared" si="9"/>
        <v>0</v>
      </c>
      <c r="H110" s="9">
        <f t="shared" si="9"/>
        <v>0</v>
      </c>
      <c r="I110" s="9">
        <f t="shared" si="9"/>
        <v>0</v>
      </c>
      <c r="J110" s="47">
        <f t="shared" si="9"/>
        <v>-26928.894992660156</v>
      </c>
      <c r="K110" s="47">
        <f t="shared" si="9"/>
        <v>-47125.566237155275</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-15387.939995805804</v>
      </c>
      <c r="C117" s="47">
        <f t="shared" si="9"/>
        <v>-26928.894992660156</v>
      </c>
      <c r="D117" s="9">
        <f t="shared" si="9"/>
        <v>0</v>
      </c>
      <c r="E117" s="9">
        <f t="shared" si="9"/>
        <v>0</v>
      </c>
      <c r="F117" s="9">
        <f t="shared" si="9"/>
        <v>0</v>
      </c>
      <c r="G117" s="9">
        <f t="shared" si="9"/>
        <v>0</v>
      </c>
      <c r="H117" s="9">
        <f t="shared" si="9"/>
        <v>0</v>
      </c>
      <c r="I117" s="9">
        <f t="shared" si="9"/>
        <v>0</v>
      </c>
      <c r="J117" s="47">
        <f t="shared" si="9"/>
        <v>15387.939995805804</v>
      </c>
      <c r="K117" s="47">
        <f t="shared" si="9"/>
        <v>26928.894992660156</v>
      </c>
      <c r="L117" s="9">
        <f t="shared" si="9"/>
        <v>0</v>
      </c>
      <c r="M117" s="9">
        <f t="shared" si="9"/>
        <v>0</v>
      </c>
      <c r="N117" s="9">
        <f t="shared" si="9"/>
        <v>0</v>
      </c>
      <c r="O117" s="9">
        <f t="shared" si="9"/>
        <v>0</v>
      </c>
      <c r="P117" s="45" t="s">
        <v>186</v>
      </c>
    </row>
    <row r="118" spans="1:16" ht="19.05" customHeight="1" x14ac:dyDescent="0.3">
      <c r="B118" s="47">
        <f t="shared" si="9"/>
        <v>-26928.894992660156</v>
      </c>
      <c r="C118" s="47">
        <f t="shared" si="9"/>
        <v>-47125.566237155275</v>
      </c>
      <c r="D118" s="9">
        <f t="shared" si="9"/>
        <v>0</v>
      </c>
      <c r="E118" s="9">
        <f t="shared" si="9"/>
        <v>0</v>
      </c>
      <c r="F118" s="9">
        <f t="shared" si="9"/>
        <v>0</v>
      </c>
      <c r="G118" s="9">
        <f t="shared" si="9"/>
        <v>0</v>
      </c>
      <c r="H118" s="9">
        <f t="shared" si="9"/>
        <v>0</v>
      </c>
      <c r="I118" s="9">
        <f t="shared" si="9"/>
        <v>0</v>
      </c>
      <c r="J118" s="47">
        <f t="shared" si="9"/>
        <v>26928.894992660156</v>
      </c>
      <c r="K118" s="47">
        <f t="shared" si="9"/>
        <v>47125.566237155275</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15387.939995805804</v>
      </c>
      <c r="C126" s="49">
        <f>J10*K10*N10</f>
        <v>-26928.894992660156</v>
      </c>
      <c r="D126" s="49">
        <f>-B126</f>
        <v>-15387.939995805804</v>
      </c>
      <c r="E126" s="49">
        <f>-C126</f>
        <v>26928.894992660156</v>
      </c>
      <c r="F126" s="48" t="str">
        <f>B125</f>
        <v>U5X</v>
      </c>
    </row>
    <row r="127" spans="1:16" ht="16.8" customHeight="1" x14ac:dyDescent="0.3">
      <c r="A127" s="28" t="s">
        <v>197</v>
      </c>
      <c r="B127" s="49">
        <f>C126</f>
        <v>-26928.894992660156</v>
      </c>
      <c r="C127" s="49">
        <f>K10*K10*N10</f>
        <v>47125.566237155275</v>
      </c>
      <c r="D127" s="49">
        <f>-B127</f>
        <v>26928.894992660156</v>
      </c>
      <c r="E127" s="49">
        <f>-C127</f>
        <v>-47125.566237155275</v>
      </c>
      <c r="F127" s="48" t="str">
        <f>C125</f>
        <v>U5Y</v>
      </c>
    </row>
    <row r="128" spans="1:16" x14ac:dyDescent="0.3">
      <c r="B128" s="49">
        <f>D126</f>
        <v>-15387.939995805804</v>
      </c>
      <c r="C128" s="49">
        <f>E126</f>
        <v>26928.894992660156</v>
      </c>
      <c r="D128" s="49">
        <f>B126</f>
        <v>15387.939995805804</v>
      </c>
      <c r="E128" s="49">
        <f>C126</f>
        <v>-26928.894992660156</v>
      </c>
      <c r="F128" s="48" t="str">
        <f>D125</f>
        <v>U2X</v>
      </c>
    </row>
    <row r="129" spans="1:16" x14ac:dyDescent="0.3">
      <c r="B129" s="49">
        <f>D127</f>
        <v>26928.894992660156</v>
      </c>
      <c r="C129" s="49">
        <f>E127</f>
        <v>-47125.566237155275</v>
      </c>
      <c r="D129" s="49">
        <f>B127</f>
        <v>-26928.894992660156</v>
      </c>
      <c r="E129" s="49">
        <f>C127</f>
        <v>47125.566237155275</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15387.939995805804</v>
      </c>
      <c r="E134" s="50">
        <f t="shared" si="10"/>
        <v>-26928.894992660156</v>
      </c>
      <c r="F134" s="9">
        <f t="shared" si="10"/>
        <v>0</v>
      </c>
      <c r="G134" s="9">
        <f t="shared" si="10"/>
        <v>0</v>
      </c>
      <c r="H134" s="9">
        <f t="shared" si="10"/>
        <v>0</v>
      </c>
      <c r="I134" s="9">
        <f t="shared" si="10"/>
        <v>0</v>
      </c>
      <c r="J134" s="50">
        <f t="shared" si="10"/>
        <v>-15387.939995805804</v>
      </c>
      <c r="K134" s="50">
        <f t="shared" si="10"/>
        <v>26928.894992660156</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-26928.894992660156</v>
      </c>
      <c r="E135" s="50">
        <f t="shared" si="10"/>
        <v>47125.566237155275</v>
      </c>
      <c r="F135" s="9">
        <f t="shared" si="10"/>
        <v>0</v>
      </c>
      <c r="G135" s="9">
        <f t="shared" si="10"/>
        <v>0</v>
      </c>
      <c r="H135" s="9">
        <f t="shared" si="10"/>
        <v>0</v>
      </c>
      <c r="I135" s="9">
        <f t="shared" si="10"/>
        <v>0</v>
      </c>
      <c r="J135" s="50">
        <f t="shared" si="10"/>
        <v>26928.894992660156</v>
      </c>
      <c r="K135" s="50">
        <f t="shared" si="10"/>
        <v>-47125.566237155275</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-15387.939995805804</v>
      </c>
      <c r="E140" s="50">
        <f t="shared" si="10"/>
        <v>26928.894992660156</v>
      </c>
      <c r="F140" s="9">
        <f t="shared" si="10"/>
        <v>0</v>
      </c>
      <c r="G140" s="9">
        <f t="shared" si="10"/>
        <v>0</v>
      </c>
      <c r="H140" s="9">
        <f t="shared" si="10"/>
        <v>0</v>
      </c>
      <c r="I140" s="9">
        <f t="shared" si="10"/>
        <v>0</v>
      </c>
      <c r="J140" s="50">
        <f t="shared" si="10"/>
        <v>15387.939995805804</v>
      </c>
      <c r="K140" s="50">
        <f t="shared" si="10"/>
        <v>-26928.894992660156</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26928.894992660156</v>
      </c>
      <c r="E141" s="50">
        <f t="shared" si="10"/>
        <v>-47125.566237155275</v>
      </c>
      <c r="F141" s="9">
        <f t="shared" si="10"/>
        <v>0</v>
      </c>
      <c r="G141" s="9">
        <f t="shared" si="10"/>
        <v>0</v>
      </c>
      <c r="H141" s="9">
        <f t="shared" si="10"/>
        <v>0</v>
      </c>
      <c r="I141" s="9">
        <f t="shared" si="10"/>
        <v>0</v>
      </c>
      <c r="J141" s="50">
        <f t="shared" si="10"/>
        <v>-26928.894992660156</v>
      </c>
      <c r="K141" s="50">
        <f t="shared" si="10"/>
        <v>47125.566237155275</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63000</v>
      </c>
      <c r="C149" s="54">
        <f>J11*K11*N11</f>
        <v>0</v>
      </c>
      <c r="D149" s="54">
        <f>-B149</f>
        <v>-63000</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-63000</v>
      </c>
      <c r="C151" s="54">
        <f>E149</f>
        <v>0</v>
      </c>
      <c r="D151" s="54">
        <f>B149</f>
        <v>63000</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63000</v>
      </c>
      <c r="K163" s="55">
        <f t="shared" si="11"/>
        <v>0</v>
      </c>
      <c r="L163" s="55">
        <f t="shared" si="11"/>
        <v>-63000</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-63000</v>
      </c>
      <c r="K165" s="55">
        <f t="shared" si="11"/>
        <v>0</v>
      </c>
      <c r="L165" s="55">
        <f t="shared" si="11"/>
        <v>63000</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15387.939995805804</v>
      </c>
      <c r="C172" s="57">
        <f>J12*K12*N12</f>
        <v>26928.894992660156</v>
      </c>
      <c r="D172" s="57">
        <f>-B172</f>
        <v>-15387.939995805804</v>
      </c>
      <c r="E172" s="57">
        <f>-C172</f>
        <v>-26928.894992660156</v>
      </c>
      <c r="F172" s="56" t="str">
        <f>B171</f>
        <v>U2X</v>
      </c>
    </row>
    <row r="173" spans="1:16" ht="16.8" customHeight="1" x14ac:dyDescent="0.3">
      <c r="A173" s="28" t="s">
        <v>201</v>
      </c>
      <c r="B173" s="57">
        <f>C172</f>
        <v>26928.894992660156</v>
      </c>
      <c r="C173" s="57">
        <f>K12*K12*N12</f>
        <v>47125.566237155275</v>
      </c>
      <c r="D173" s="57">
        <f>-B173</f>
        <v>-26928.894992660156</v>
      </c>
      <c r="E173" s="57">
        <f>-C173</f>
        <v>-47125.566237155275</v>
      </c>
      <c r="F173" s="56" t="str">
        <f>C171</f>
        <v>U2Y</v>
      </c>
    </row>
    <row r="174" spans="1:16" x14ac:dyDescent="0.3">
      <c r="B174" s="57">
        <f>D172</f>
        <v>-15387.939995805804</v>
      </c>
      <c r="C174" s="57">
        <f>E172</f>
        <v>-26928.894992660156</v>
      </c>
      <c r="D174" s="57">
        <f>B172</f>
        <v>15387.939995805804</v>
      </c>
      <c r="E174" s="57">
        <f>C172</f>
        <v>26928.894992660156</v>
      </c>
      <c r="F174" s="56" t="str">
        <f>D171</f>
        <v>U6X</v>
      </c>
    </row>
    <row r="175" spans="1:16" x14ac:dyDescent="0.3">
      <c r="B175" s="57">
        <f>D173</f>
        <v>-26928.894992660156</v>
      </c>
      <c r="C175" s="57">
        <f>E173</f>
        <v>-47125.566237155275</v>
      </c>
      <c r="D175" s="57">
        <f>B173</f>
        <v>26928.894992660156</v>
      </c>
      <c r="E175" s="57">
        <f>C173</f>
        <v>47125.566237155275</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15387.939995805804</v>
      </c>
      <c r="E180" s="58">
        <f t="shared" si="12"/>
        <v>26928.894992660156</v>
      </c>
      <c r="F180" s="9">
        <f t="shared" si="12"/>
        <v>0</v>
      </c>
      <c r="G180" s="9">
        <f t="shared" si="12"/>
        <v>0</v>
      </c>
      <c r="H180" s="9">
        <f t="shared" si="12"/>
        <v>0</v>
      </c>
      <c r="I180" s="9">
        <f t="shared" si="12"/>
        <v>0</v>
      </c>
      <c r="J180" s="9">
        <f t="shared" si="12"/>
        <v>0</v>
      </c>
      <c r="K180" s="9">
        <f t="shared" si="12"/>
        <v>0</v>
      </c>
      <c r="L180" s="58">
        <f t="shared" si="12"/>
        <v>-15387.939995805804</v>
      </c>
      <c r="M180" s="58">
        <f t="shared" si="12"/>
        <v>-26928.894992660156</v>
      </c>
      <c r="N180" s="9">
        <f t="shared" si="12"/>
        <v>0</v>
      </c>
      <c r="O180" s="9">
        <f t="shared" si="12"/>
        <v>0</v>
      </c>
      <c r="P180" s="56" t="s">
        <v>180</v>
      </c>
    </row>
    <row r="181" spans="1:16" ht="19.05" customHeight="1" x14ac:dyDescent="0.3">
      <c r="B181" s="9">
        <f t="shared" si="12"/>
        <v>0</v>
      </c>
      <c r="C181" s="9">
        <f t="shared" si="12"/>
        <v>0</v>
      </c>
      <c r="D181" s="58">
        <f t="shared" si="12"/>
        <v>26928.894992660156</v>
      </c>
      <c r="E181" s="58">
        <f t="shared" si="12"/>
        <v>47125.566237155275</v>
      </c>
      <c r="F181" s="9">
        <f t="shared" si="12"/>
        <v>0</v>
      </c>
      <c r="G181" s="9">
        <f t="shared" si="12"/>
        <v>0</v>
      </c>
      <c r="H181" s="9">
        <f t="shared" si="12"/>
        <v>0</v>
      </c>
      <c r="I181" s="9">
        <f t="shared" si="12"/>
        <v>0</v>
      </c>
      <c r="J181" s="9">
        <f t="shared" si="12"/>
        <v>0</v>
      </c>
      <c r="K181" s="9">
        <f t="shared" si="12"/>
        <v>0</v>
      </c>
      <c r="L181" s="58">
        <f t="shared" si="12"/>
        <v>-26928.894992660156</v>
      </c>
      <c r="M181" s="58">
        <f t="shared" si="12"/>
        <v>-47125.566237155275</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-15387.939995805804</v>
      </c>
      <c r="E188" s="58">
        <f t="shared" si="12"/>
        <v>-26928.894992660156</v>
      </c>
      <c r="F188" s="9">
        <f t="shared" si="12"/>
        <v>0</v>
      </c>
      <c r="G188" s="9">
        <f t="shared" si="12"/>
        <v>0</v>
      </c>
      <c r="H188" s="9">
        <f t="shared" si="12"/>
        <v>0</v>
      </c>
      <c r="I188" s="9">
        <f t="shared" si="12"/>
        <v>0</v>
      </c>
      <c r="J188" s="9">
        <f t="shared" si="12"/>
        <v>0</v>
      </c>
      <c r="K188" s="9">
        <f t="shared" si="12"/>
        <v>0</v>
      </c>
      <c r="L188" s="58">
        <f t="shared" si="12"/>
        <v>15387.939995805804</v>
      </c>
      <c r="M188" s="58">
        <f t="shared" si="12"/>
        <v>26928.894992660156</v>
      </c>
      <c r="N188" s="9">
        <f t="shared" si="12"/>
        <v>0</v>
      </c>
      <c r="O188" s="9">
        <f t="shared" si="12"/>
        <v>0</v>
      </c>
      <c r="P188" s="56" t="s">
        <v>188</v>
      </c>
    </row>
    <row r="189" spans="1:16" ht="19.05" customHeight="1" x14ac:dyDescent="0.3">
      <c r="B189" s="9">
        <f t="shared" si="12"/>
        <v>0</v>
      </c>
      <c r="C189" s="9">
        <f t="shared" si="12"/>
        <v>0</v>
      </c>
      <c r="D189" s="58">
        <f t="shared" si="12"/>
        <v>-26928.894992660156</v>
      </c>
      <c r="E189" s="58">
        <f t="shared" si="12"/>
        <v>-47125.566237155275</v>
      </c>
      <c r="F189" s="9">
        <f t="shared" si="12"/>
        <v>0</v>
      </c>
      <c r="G189" s="9">
        <f t="shared" si="12"/>
        <v>0</v>
      </c>
      <c r="H189" s="9">
        <f t="shared" si="12"/>
        <v>0</v>
      </c>
      <c r="I189" s="9">
        <f t="shared" si="12"/>
        <v>0</v>
      </c>
      <c r="J189" s="9">
        <f t="shared" si="12"/>
        <v>0</v>
      </c>
      <c r="K189" s="9">
        <f t="shared" si="12"/>
        <v>0</v>
      </c>
      <c r="L189" s="58">
        <f t="shared" si="12"/>
        <v>26928.894992660156</v>
      </c>
      <c r="M189" s="58">
        <f t="shared" si="12"/>
        <v>47125.566237155275</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15387.939995805804</v>
      </c>
      <c r="C195" s="62">
        <f>J13*K13*N13</f>
        <v>-26928.894992660156</v>
      </c>
      <c r="D195" s="62">
        <f>-B195</f>
        <v>-15387.939995805804</v>
      </c>
      <c r="E195" s="62">
        <f>-C195</f>
        <v>26928.894992660156</v>
      </c>
      <c r="F195" s="61" t="str">
        <f>B194</f>
        <v>U6X</v>
      </c>
    </row>
    <row r="196" spans="1:16" ht="16.8" customHeight="1" x14ac:dyDescent="0.3">
      <c r="A196" s="28" t="s">
        <v>203</v>
      </c>
      <c r="B196" s="62">
        <f>C195</f>
        <v>-26928.894992660156</v>
      </c>
      <c r="C196" s="62">
        <f>K13*K13*N13</f>
        <v>47125.566237155275</v>
      </c>
      <c r="D196" s="62">
        <f>-B196</f>
        <v>26928.894992660156</v>
      </c>
      <c r="E196" s="62">
        <f>-C196</f>
        <v>-47125.566237155275</v>
      </c>
      <c r="F196" s="61" t="str">
        <f>C194</f>
        <v>U6Y</v>
      </c>
    </row>
    <row r="197" spans="1:16" x14ac:dyDescent="0.3">
      <c r="B197" s="62">
        <f>D195</f>
        <v>-15387.939995805804</v>
      </c>
      <c r="C197" s="62">
        <f>E195</f>
        <v>26928.894992660156</v>
      </c>
      <c r="D197" s="62">
        <f>B195</f>
        <v>15387.939995805804</v>
      </c>
      <c r="E197" s="62">
        <f>C195</f>
        <v>-26928.894992660156</v>
      </c>
      <c r="F197" s="61" t="str">
        <f>D194</f>
        <v>U3X</v>
      </c>
    </row>
    <row r="198" spans="1:16" x14ac:dyDescent="0.3">
      <c r="B198" s="62">
        <f>D196</f>
        <v>26928.894992660156</v>
      </c>
      <c r="C198" s="62">
        <f>E196</f>
        <v>-47125.566237155275</v>
      </c>
      <c r="D198" s="62">
        <f>B196</f>
        <v>-26928.894992660156</v>
      </c>
      <c r="E198" s="62">
        <f>C196</f>
        <v>47125.566237155275</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15387.939995805804</v>
      </c>
      <c r="G205" s="63">
        <f t="shared" si="13"/>
        <v>-26928.894992660156</v>
      </c>
      <c r="H205" s="9">
        <f t="shared" si="13"/>
        <v>0</v>
      </c>
      <c r="I205" s="9">
        <f t="shared" si="13"/>
        <v>0</v>
      </c>
      <c r="J205" s="9">
        <f t="shared" si="13"/>
        <v>0</v>
      </c>
      <c r="K205" s="9">
        <f t="shared" si="13"/>
        <v>0</v>
      </c>
      <c r="L205" s="63">
        <f t="shared" si="13"/>
        <v>-15387.939995805804</v>
      </c>
      <c r="M205" s="63">
        <f t="shared" si="13"/>
        <v>26928.894992660156</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-26928.894992660156</v>
      </c>
      <c r="G206" s="63">
        <f t="shared" si="13"/>
        <v>47125.566237155275</v>
      </c>
      <c r="H206" s="9">
        <f t="shared" si="13"/>
        <v>0</v>
      </c>
      <c r="I206" s="9">
        <f t="shared" si="13"/>
        <v>0</v>
      </c>
      <c r="J206" s="9">
        <f t="shared" si="13"/>
        <v>0</v>
      </c>
      <c r="K206" s="9">
        <f t="shared" si="13"/>
        <v>0</v>
      </c>
      <c r="L206" s="63">
        <f t="shared" si="13"/>
        <v>26928.894992660156</v>
      </c>
      <c r="M206" s="63">
        <f t="shared" si="13"/>
        <v>-47125.566237155275</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-15387.939995805804</v>
      </c>
      <c r="G211" s="63">
        <f t="shared" si="13"/>
        <v>26928.894992660156</v>
      </c>
      <c r="H211" s="9">
        <f t="shared" si="13"/>
        <v>0</v>
      </c>
      <c r="I211" s="9">
        <f t="shared" si="13"/>
        <v>0</v>
      </c>
      <c r="J211" s="9">
        <f t="shared" si="13"/>
        <v>0</v>
      </c>
      <c r="K211" s="9">
        <f t="shared" si="13"/>
        <v>0</v>
      </c>
      <c r="L211" s="63">
        <f t="shared" si="13"/>
        <v>15387.939995805804</v>
      </c>
      <c r="M211" s="63">
        <f t="shared" si="13"/>
        <v>-26928.894992660156</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26928.894992660156</v>
      </c>
      <c r="G212" s="63">
        <f t="shared" si="13"/>
        <v>-47125.566237155275</v>
      </c>
      <c r="H212" s="9">
        <f t="shared" si="13"/>
        <v>0</v>
      </c>
      <c r="I212" s="9">
        <f t="shared" si="13"/>
        <v>0</v>
      </c>
      <c r="J212" s="9">
        <f t="shared" si="13"/>
        <v>0</v>
      </c>
      <c r="K212" s="9">
        <f t="shared" si="13"/>
        <v>0</v>
      </c>
      <c r="L212" s="63">
        <f t="shared" si="13"/>
        <v>-26928.894992660156</v>
      </c>
      <c r="M212" s="63">
        <f t="shared" si="13"/>
        <v>47125.566237155275</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63000</v>
      </c>
      <c r="C218" s="65">
        <f>J14*K14*N14</f>
        <v>0</v>
      </c>
      <c r="D218" s="65">
        <f>-B218</f>
        <v>-63000</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-63000</v>
      </c>
      <c r="C220" s="65">
        <f>E218</f>
        <v>0</v>
      </c>
      <c r="D220" s="65">
        <f>B218</f>
        <v>63000</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63000</v>
      </c>
      <c r="M234" s="66">
        <f t="shared" si="14"/>
        <v>0</v>
      </c>
      <c r="N234" s="66">
        <f t="shared" si="14"/>
        <v>-63000</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-63000</v>
      </c>
      <c r="M236" s="66">
        <f t="shared" si="14"/>
        <v>0</v>
      </c>
      <c r="N236" s="66">
        <f t="shared" si="14"/>
        <v>63000</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15387.939995805804</v>
      </c>
      <c r="C241" s="70">
        <f>J15*K15*N15</f>
        <v>26928.894992660156</v>
      </c>
      <c r="D241" s="70">
        <f>-B241</f>
        <v>-15387.939995805804</v>
      </c>
      <c r="E241" s="70">
        <f>-C241</f>
        <v>-26928.894992660156</v>
      </c>
      <c r="F241" s="69" t="str">
        <f>B240</f>
        <v>U7X</v>
      </c>
    </row>
    <row r="242" spans="1:16" ht="16.8" customHeight="1" x14ac:dyDescent="0.3">
      <c r="A242" s="28" t="s">
        <v>581</v>
      </c>
      <c r="B242" s="70">
        <f>C241</f>
        <v>26928.894992660156</v>
      </c>
      <c r="C242" s="70">
        <f>K15*K15*N15</f>
        <v>47125.566237155275</v>
      </c>
      <c r="D242" s="70">
        <f>-B242</f>
        <v>-26928.894992660156</v>
      </c>
      <c r="E242" s="70">
        <f>-C242</f>
        <v>-47125.566237155275</v>
      </c>
      <c r="F242" s="69" t="str">
        <f>C240</f>
        <v>U7Y</v>
      </c>
    </row>
    <row r="243" spans="1:16" x14ac:dyDescent="0.3">
      <c r="B243" s="70">
        <f>D241</f>
        <v>-15387.939995805804</v>
      </c>
      <c r="C243" s="70">
        <f>E241</f>
        <v>-26928.894992660156</v>
      </c>
      <c r="D243" s="70">
        <f>B241</f>
        <v>15387.939995805804</v>
      </c>
      <c r="E243" s="70">
        <f>C241</f>
        <v>26928.894992660156</v>
      </c>
      <c r="F243" s="69" t="str">
        <f>D240</f>
        <v>U3X</v>
      </c>
    </row>
    <row r="244" spans="1:16" x14ac:dyDescent="0.3">
      <c r="B244" s="70">
        <f>D242</f>
        <v>-26928.894992660156</v>
      </c>
      <c r="C244" s="70">
        <f>E242</f>
        <v>-47125.566237155275</v>
      </c>
      <c r="D244" s="70">
        <f>B242</f>
        <v>26928.894992660156</v>
      </c>
      <c r="E244" s="70">
        <f>C242</f>
        <v>47125.566237155275</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15387.939995805804</v>
      </c>
      <c r="G251" s="71">
        <f t="shared" si="15"/>
        <v>26928.894992660156</v>
      </c>
      <c r="H251" s="9">
        <f t="shared" si="15"/>
        <v>0</v>
      </c>
      <c r="I251" s="9">
        <f t="shared" si="15"/>
        <v>0</v>
      </c>
      <c r="J251" s="9">
        <f t="shared" si="15"/>
        <v>0</v>
      </c>
      <c r="K251" s="9">
        <f t="shared" si="15"/>
        <v>0</v>
      </c>
      <c r="L251" s="9">
        <f t="shared" si="15"/>
        <v>0</v>
      </c>
      <c r="M251" s="9">
        <f t="shared" si="15"/>
        <v>0</v>
      </c>
      <c r="N251" s="71">
        <f t="shared" si="15"/>
        <v>-15387.939995805804</v>
      </c>
      <c r="O251" s="71">
        <f t="shared" si="15"/>
        <v>-26928.894992660156</v>
      </c>
      <c r="P251" s="69" t="s">
        <v>182</v>
      </c>
    </row>
    <row r="252" spans="1:16" ht="19.05" customHeight="1" x14ac:dyDescent="0.3">
      <c r="B252" s="9">
        <f t="shared" si="15"/>
        <v>0</v>
      </c>
      <c r="C252" s="9">
        <f t="shared" si="15"/>
        <v>0</v>
      </c>
      <c r="D252" s="9">
        <f t="shared" si="15"/>
        <v>0</v>
      </c>
      <c r="E252" s="9">
        <f t="shared" si="15"/>
        <v>0</v>
      </c>
      <c r="F252" s="71">
        <f t="shared" si="15"/>
        <v>26928.894992660156</v>
      </c>
      <c r="G252" s="71">
        <f t="shared" si="15"/>
        <v>47125.566237155275</v>
      </c>
      <c r="H252" s="9">
        <f t="shared" si="15"/>
        <v>0</v>
      </c>
      <c r="I252" s="9">
        <f t="shared" si="15"/>
        <v>0</v>
      </c>
      <c r="J252" s="9">
        <f t="shared" si="15"/>
        <v>0</v>
      </c>
      <c r="K252" s="9">
        <f t="shared" si="15"/>
        <v>0</v>
      </c>
      <c r="L252" s="9">
        <f t="shared" si="15"/>
        <v>0</v>
      </c>
      <c r="M252" s="9">
        <f t="shared" si="15"/>
        <v>0</v>
      </c>
      <c r="N252" s="71">
        <f t="shared" si="15"/>
        <v>-26928.894992660156</v>
      </c>
      <c r="O252" s="71">
        <f t="shared" si="15"/>
        <v>-47125.566237155275</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-15387.939995805804</v>
      </c>
      <c r="G259" s="71">
        <f t="shared" si="15"/>
        <v>-26928.894992660156</v>
      </c>
      <c r="H259" s="9">
        <f t="shared" si="15"/>
        <v>0</v>
      </c>
      <c r="I259" s="9">
        <f t="shared" si="15"/>
        <v>0</v>
      </c>
      <c r="J259" s="9">
        <f t="shared" si="15"/>
        <v>0</v>
      </c>
      <c r="K259" s="9">
        <f t="shared" si="15"/>
        <v>0</v>
      </c>
      <c r="L259" s="9">
        <f t="shared" si="15"/>
        <v>0</v>
      </c>
      <c r="M259" s="9">
        <f t="shared" si="15"/>
        <v>0</v>
      </c>
      <c r="N259" s="71">
        <f t="shared" si="15"/>
        <v>15387.939995805804</v>
      </c>
      <c r="O259" s="71">
        <f t="shared" si="15"/>
        <v>26928.894992660156</v>
      </c>
      <c r="P259" s="69" t="s">
        <v>579</v>
      </c>
    </row>
    <row r="260" spans="1:16" ht="19.05" customHeight="1" x14ac:dyDescent="0.3">
      <c r="B260" s="9">
        <f t="shared" si="15"/>
        <v>0</v>
      </c>
      <c r="C260" s="9">
        <f t="shared" si="15"/>
        <v>0</v>
      </c>
      <c r="D260" s="9">
        <f t="shared" si="15"/>
        <v>0</v>
      </c>
      <c r="E260" s="9">
        <f t="shared" si="15"/>
        <v>0</v>
      </c>
      <c r="F260" s="71">
        <f t="shared" si="15"/>
        <v>-26928.894992660156</v>
      </c>
      <c r="G260" s="71">
        <f t="shared" si="15"/>
        <v>-47125.566237155275</v>
      </c>
      <c r="H260" s="9">
        <f t="shared" si="15"/>
        <v>0</v>
      </c>
      <c r="I260" s="9">
        <f t="shared" si="15"/>
        <v>0</v>
      </c>
      <c r="J260" s="9">
        <f t="shared" si="15"/>
        <v>0</v>
      </c>
      <c r="K260" s="9">
        <f t="shared" si="15"/>
        <v>0</v>
      </c>
      <c r="L260" s="9">
        <f t="shared" si="15"/>
        <v>0</v>
      </c>
      <c r="M260" s="9">
        <f t="shared" si="15"/>
        <v>0</v>
      </c>
      <c r="N260" s="71">
        <f t="shared" si="15"/>
        <v>26928.894992660156</v>
      </c>
      <c r="O260" s="71">
        <f t="shared" si="15"/>
        <v>47125.566237155275</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15387.939995805804</v>
      </c>
      <c r="C264" s="73">
        <f>J16*K16*N16</f>
        <v>-26928.894992660156</v>
      </c>
      <c r="D264" s="73">
        <f>-B264</f>
        <v>-15387.939995805804</v>
      </c>
      <c r="E264" s="73">
        <f>-C264</f>
        <v>26928.894992660156</v>
      </c>
      <c r="F264" s="72" t="str">
        <f>B263</f>
        <v>U7X</v>
      </c>
    </row>
    <row r="265" spans="1:16" ht="16.8" customHeight="1" x14ac:dyDescent="0.3">
      <c r="A265" s="28" t="s">
        <v>583</v>
      </c>
      <c r="B265" s="73">
        <f>C264</f>
        <v>-26928.894992660156</v>
      </c>
      <c r="C265" s="73">
        <f>K16*K16*N16</f>
        <v>47125.566237155275</v>
      </c>
      <c r="D265" s="73">
        <f>-B265</f>
        <v>26928.894992660156</v>
      </c>
      <c r="E265" s="73">
        <f>-C265</f>
        <v>-47125.566237155275</v>
      </c>
      <c r="F265" s="72" t="str">
        <f>C263</f>
        <v>U7Y</v>
      </c>
    </row>
    <row r="266" spans="1:16" x14ac:dyDescent="0.3">
      <c r="B266" s="73">
        <f>D264</f>
        <v>-15387.939995805804</v>
      </c>
      <c r="C266" s="73">
        <f>E264</f>
        <v>26928.894992660156</v>
      </c>
      <c r="D266" s="73">
        <f>B264</f>
        <v>15387.939995805804</v>
      </c>
      <c r="E266" s="73">
        <f>C264</f>
        <v>-26928.894992660156</v>
      </c>
      <c r="F266" s="72" t="str">
        <f>D263</f>
        <v>U4X</v>
      </c>
    </row>
    <row r="267" spans="1:16" x14ac:dyDescent="0.3">
      <c r="B267" s="73">
        <f>D265</f>
        <v>26928.894992660156</v>
      </c>
      <c r="C267" s="73">
        <f>E265</f>
        <v>-47125.566237155275</v>
      </c>
      <c r="D267" s="73">
        <f>B265</f>
        <v>-26928.894992660156</v>
      </c>
      <c r="E267" s="73">
        <f>C265</f>
        <v>47125.566237155275</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15387.939995805804</v>
      </c>
      <c r="I276" s="74">
        <f t="shared" si="16"/>
        <v>-26928.894992660156</v>
      </c>
      <c r="J276" s="9">
        <f t="shared" si="16"/>
        <v>0</v>
      </c>
      <c r="K276" s="9">
        <f t="shared" si="16"/>
        <v>0</v>
      </c>
      <c r="L276" s="9">
        <f t="shared" si="16"/>
        <v>0</v>
      </c>
      <c r="M276" s="9">
        <f t="shared" si="16"/>
        <v>0</v>
      </c>
      <c r="N276" s="74">
        <f t="shared" si="16"/>
        <v>-15387.939995805804</v>
      </c>
      <c r="O276" s="74">
        <f t="shared" si="16"/>
        <v>26928.894992660156</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-26928.894992660156</v>
      </c>
      <c r="I277" s="74">
        <f t="shared" si="16"/>
        <v>47125.566237155275</v>
      </c>
      <c r="J277" s="9">
        <f t="shared" si="16"/>
        <v>0</v>
      </c>
      <c r="K277" s="9">
        <f t="shared" si="16"/>
        <v>0</v>
      </c>
      <c r="L277" s="9">
        <f t="shared" si="16"/>
        <v>0</v>
      </c>
      <c r="M277" s="9">
        <f t="shared" si="16"/>
        <v>0</v>
      </c>
      <c r="N277" s="74">
        <f t="shared" si="16"/>
        <v>26928.894992660156</v>
      </c>
      <c r="O277" s="74">
        <f t="shared" si="16"/>
        <v>-47125.566237155275</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-15387.939995805804</v>
      </c>
      <c r="I282" s="74">
        <f t="shared" si="16"/>
        <v>26928.894992660156</v>
      </c>
      <c r="J282" s="9">
        <f t="shared" si="16"/>
        <v>0</v>
      </c>
      <c r="K282" s="9">
        <f t="shared" si="16"/>
        <v>0</v>
      </c>
      <c r="L282" s="9">
        <f t="shared" si="16"/>
        <v>0</v>
      </c>
      <c r="M282" s="9">
        <f t="shared" si="16"/>
        <v>0</v>
      </c>
      <c r="N282" s="74">
        <f t="shared" si="16"/>
        <v>15387.939995805804</v>
      </c>
      <c r="O282" s="74">
        <f t="shared" si="16"/>
        <v>-26928.894992660156</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26928.894992660156</v>
      </c>
      <c r="I283" s="74">
        <f t="shared" si="16"/>
        <v>-47125.566237155275</v>
      </c>
      <c r="J283" s="9">
        <f t="shared" si="16"/>
        <v>0</v>
      </c>
      <c r="K283" s="9">
        <f t="shared" si="16"/>
        <v>0</v>
      </c>
      <c r="L283" s="9">
        <f t="shared" si="16"/>
        <v>0</v>
      </c>
      <c r="M283" s="9">
        <f t="shared" si="16"/>
        <v>0</v>
      </c>
      <c r="N283" s="74">
        <f t="shared" si="16"/>
        <v>-26928.894992660156</v>
      </c>
      <c r="O283" s="74">
        <f t="shared" si="16"/>
        <v>47125.566237155275</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78387.939995805806</v>
      </c>
      <c r="C287" s="36">
        <f t="shared" si="17"/>
        <v>26928.894992660156</v>
      </c>
      <c r="D287" s="9">
        <f t="shared" si="17"/>
        <v>-63000</v>
      </c>
      <c r="E287" s="9">
        <f t="shared" si="17"/>
        <v>0</v>
      </c>
      <c r="F287" s="9">
        <f t="shared" si="17"/>
        <v>0</v>
      </c>
      <c r="G287" s="9">
        <f t="shared" si="17"/>
        <v>0</v>
      </c>
      <c r="H287" s="9">
        <f t="shared" si="17"/>
        <v>0</v>
      </c>
      <c r="I287" s="9">
        <f t="shared" si="17"/>
        <v>0</v>
      </c>
      <c r="J287" s="9">
        <f t="shared" si="17"/>
        <v>-15387.939995805804</v>
      </c>
      <c r="K287" s="9">
        <f t="shared" si="17"/>
        <v>-26928.894992660156</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26928.894992660156</v>
      </c>
      <c r="C288" s="35">
        <f t="shared" si="18"/>
        <v>47125.566237155275</v>
      </c>
      <c r="D288" s="9">
        <f t="shared" si="18"/>
        <v>0</v>
      </c>
      <c r="E288" s="9">
        <f t="shared" si="18"/>
        <v>0</v>
      </c>
      <c r="F288" s="9">
        <f t="shared" si="18"/>
        <v>0</v>
      </c>
      <c r="G288" s="9">
        <f t="shared" si="18"/>
        <v>0</v>
      </c>
      <c r="H288" s="9">
        <f t="shared" si="18"/>
        <v>0</v>
      </c>
      <c r="I288" s="9">
        <f t="shared" si="18"/>
        <v>0</v>
      </c>
      <c r="J288" s="9">
        <f t="shared" si="18"/>
        <v>-26928.894992660156</v>
      </c>
      <c r="K288" s="9">
        <f t="shared" si="18"/>
        <v>-47125.566237155275</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-63000</v>
      </c>
      <c r="C289" s="9">
        <f t="shared" si="19"/>
        <v>0</v>
      </c>
      <c r="D289" s="35">
        <f t="shared" si="19"/>
        <v>156775.87999161158</v>
      </c>
      <c r="E289" s="36">
        <f t="shared" si="19"/>
        <v>0</v>
      </c>
      <c r="F289" s="9">
        <f t="shared" si="19"/>
        <v>-63000</v>
      </c>
      <c r="G289" s="9">
        <f t="shared" si="19"/>
        <v>0</v>
      </c>
      <c r="H289" s="9">
        <f t="shared" si="19"/>
        <v>0</v>
      </c>
      <c r="I289" s="9">
        <f t="shared" si="19"/>
        <v>0</v>
      </c>
      <c r="J289" s="9">
        <f t="shared" si="19"/>
        <v>-15387.939995805804</v>
      </c>
      <c r="K289" s="9">
        <f t="shared" si="19"/>
        <v>26928.894992660156</v>
      </c>
      <c r="L289" s="9">
        <f t="shared" si="19"/>
        <v>-15387.939995805804</v>
      </c>
      <c r="M289" s="9">
        <f t="shared" si="19"/>
        <v>-26928.894992660156</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94251.132474310551</v>
      </c>
      <c r="F290" s="9">
        <f t="shared" si="20"/>
        <v>0</v>
      </c>
      <c r="G290" s="9">
        <f t="shared" si="20"/>
        <v>0</v>
      </c>
      <c r="H290" s="9">
        <f t="shared" si="20"/>
        <v>0</v>
      </c>
      <c r="I290" s="9">
        <f t="shared" si="20"/>
        <v>0</v>
      </c>
      <c r="J290" s="9">
        <f t="shared" si="20"/>
        <v>26928.894992660156</v>
      </c>
      <c r="K290" s="9">
        <f t="shared" si="20"/>
        <v>-47125.566237155275</v>
      </c>
      <c r="L290" s="9">
        <f t="shared" si="20"/>
        <v>-26928.894992660156</v>
      </c>
      <c r="M290" s="9">
        <f t="shared" si="20"/>
        <v>-47125.566237155275</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-63000</v>
      </c>
      <c r="E291" s="9">
        <f t="shared" si="21"/>
        <v>0</v>
      </c>
      <c r="F291" s="35">
        <f t="shared" si="21"/>
        <v>156775.87999161158</v>
      </c>
      <c r="G291" s="36">
        <f t="shared" si="21"/>
        <v>0</v>
      </c>
      <c r="H291" s="9">
        <f t="shared" si="21"/>
        <v>-63000</v>
      </c>
      <c r="I291" s="9">
        <f t="shared" si="21"/>
        <v>0</v>
      </c>
      <c r="J291" s="9">
        <f t="shared" si="21"/>
        <v>0</v>
      </c>
      <c r="K291" s="9">
        <f t="shared" si="21"/>
        <v>0</v>
      </c>
      <c r="L291" s="9">
        <f t="shared" si="21"/>
        <v>-15387.939995805804</v>
      </c>
      <c r="M291" s="9">
        <f t="shared" si="21"/>
        <v>26928.894992660156</v>
      </c>
      <c r="N291" s="9">
        <f t="shared" si="21"/>
        <v>-15387.939995805804</v>
      </c>
      <c r="O291" s="9">
        <f t="shared" si="21"/>
        <v>-26928.894992660156</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94251.132474310551</v>
      </c>
      <c r="H292" s="9">
        <f t="shared" si="22"/>
        <v>0</v>
      </c>
      <c r="I292" s="9">
        <f t="shared" si="22"/>
        <v>0</v>
      </c>
      <c r="J292" s="9">
        <f t="shared" si="22"/>
        <v>0</v>
      </c>
      <c r="K292" s="9">
        <f t="shared" si="22"/>
        <v>0</v>
      </c>
      <c r="L292" s="9">
        <f t="shared" si="22"/>
        <v>26928.894992660156</v>
      </c>
      <c r="M292" s="9">
        <f t="shared" si="22"/>
        <v>-47125.566237155275</v>
      </c>
      <c r="N292" s="9">
        <f t="shared" si="22"/>
        <v>-26928.894992660156</v>
      </c>
      <c r="O292" s="9">
        <f t="shared" si="22"/>
        <v>-47125.566237155275</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-63000</v>
      </c>
      <c r="G293" s="9">
        <f t="shared" si="23"/>
        <v>0</v>
      </c>
      <c r="H293" s="35">
        <f t="shared" si="23"/>
        <v>78387.939995805806</v>
      </c>
      <c r="I293" s="36">
        <f t="shared" si="23"/>
        <v>-26928.894992660156</v>
      </c>
      <c r="J293" s="9">
        <f t="shared" si="23"/>
        <v>0</v>
      </c>
      <c r="K293" s="9">
        <f t="shared" si="23"/>
        <v>0</v>
      </c>
      <c r="L293" s="9">
        <f t="shared" si="23"/>
        <v>0</v>
      </c>
      <c r="M293" s="9">
        <f t="shared" si="23"/>
        <v>0</v>
      </c>
      <c r="N293" s="9">
        <f t="shared" si="23"/>
        <v>-15387.939995805804</v>
      </c>
      <c r="O293" s="9">
        <f t="shared" si="23"/>
        <v>26928.894992660156</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-26928.894992660156</v>
      </c>
      <c r="I294" s="35">
        <f t="shared" si="24"/>
        <v>47125.566237155275</v>
      </c>
      <c r="J294" s="9">
        <f t="shared" si="24"/>
        <v>0</v>
      </c>
      <c r="K294" s="9">
        <f t="shared" si="24"/>
        <v>0</v>
      </c>
      <c r="L294" s="9">
        <f t="shared" si="24"/>
        <v>0</v>
      </c>
      <c r="M294" s="9">
        <f t="shared" si="24"/>
        <v>0</v>
      </c>
      <c r="N294" s="9">
        <f t="shared" si="24"/>
        <v>26928.894992660156</v>
      </c>
      <c r="O294" s="9">
        <f t="shared" si="24"/>
        <v>-47125.566237155275</v>
      </c>
      <c r="P294" s="89" t="s">
        <v>185</v>
      </c>
    </row>
    <row r="295" spans="1:23" ht="19.95" customHeight="1" x14ac:dyDescent="0.3">
      <c r="B295" s="9">
        <f t="shared" ref="B295:O295" si="25">B48+B71+B94+B117+B140+B163+B186+B209+B232+B255+B278</f>
        <v>-15387.939995805804</v>
      </c>
      <c r="C295" s="9">
        <f t="shared" si="25"/>
        <v>-26928.894992660156</v>
      </c>
      <c r="D295" s="9">
        <f t="shared" si="25"/>
        <v>-15387.939995805804</v>
      </c>
      <c r="E295" s="9">
        <f t="shared" si="25"/>
        <v>26928.894992660156</v>
      </c>
      <c r="F295" s="9">
        <f t="shared" si="25"/>
        <v>0</v>
      </c>
      <c r="G295" s="9">
        <f t="shared" si="25"/>
        <v>0</v>
      </c>
      <c r="H295" s="9">
        <f t="shared" si="25"/>
        <v>0</v>
      </c>
      <c r="I295" s="9">
        <f t="shared" si="25"/>
        <v>0</v>
      </c>
      <c r="J295" s="35">
        <f t="shared" si="25"/>
        <v>93775.879991611611</v>
      </c>
      <c r="K295" s="36">
        <f t="shared" si="25"/>
        <v>0</v>
      </c>
      <c r="L295" s="9">
        <f t="shared" si="25"/>
        <v>-63000</v>
      </c>
      <c r="M295" s="9">
        <f t="shared" si="25"/>
        <v>0</v>
      </c>
      <c r="N295" s="9">
        <f t="shared" si="25"/>
        <v>0</v>
      </c>
      <c r="O295" s="9">
        <f t="shared" si="25"/>
        <v>0</v>
      </c>
      <c r="P295" s="89" t="s">
        <v>186</v>
      </c>
    </row>
    <row r="296" spans="1:23" ht="19.95" customHeight="1" x14ac:dyDescent="0.3">
      <c r="B296" s="9">
        <f t="shared" ref="B296:O296" si="26">B49+B72+B95+B118+B141+B164+B187+B210+B233+B256+B279</f>
        <v>-26928.894992660156</v>
      </c>
      <c r="C296" s="9">
        <f t="shared" si="26"/>
        <v>-47125.566237155275</v>
      </c>
      <c r="D296" s="9">
        <f t="shared" si="26"/>
        <v>26928.894992660156</v>
      </c>
      <c r="E296" s="9">
        <f t="shared" si="26"/>
        <v>-47125.566237155275</v>
      </c>
      <c r="F296" s="9">
        <f t="shared" si="26"/>
        <v>0</v>
      </c>
      <c r="G296" s="9">
        <f t="shared" si="26"/>
        <v>0</v>
      </c>
      <c r="H296" s="9">
        <f t="shared" si="26"/>
        <v>0</v>
      </c>
      <c r="I296" s="9">
        <f t="shared" si="26"/>
        <v>0</v>
      </c>
      <c r="J296" s="36">
        <f t="shared" si="26"/>
        <v>0</v>
      </c>
      <c r="K296" s="35">
        <f t="shared" si="26"/>
        <v>94251.132474310551</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-15387.939995805804</v>
      </c>
      <c r="E297" s="9">
        <f t="shared" si="27"/>
        <v>-26928.894992660156</v>
      </c>
      <c r="F297" s="9">
        <f t="shared" si="27"/>
        <v>-15387.939995805804</v>
      </c>
      <c r="G297" s="9">
        <f t="shared" si="27"/>
        <v>26928.894992660156</v>
      </c>
      <c r="H297" s="9">
        <f t="shared" si="27"/>
        <v>0</v>
      </c>
      <c r="I297" s="9">
        <f t="shared" si="27"/>
        <v>0</v>
      </c>
      <c r="J297" s="9">
        <f t="shared" si="27"/>
        <v>-63000</v>
      </c>
      <c r="K297" s="9">
        <f t="shared" si="27"/>
        <v>0</v>
      </c>
      <c r="L297" s="35">
        <f t="shared" si="27"/>
        <v>156775.87999161161</v>
      </c>
      <c r="M297" s="36">
        <f t="shared" si="27"/>
        <v>0</v>
      </c>
      <c r="N297" s="9">
        <f t="shared" si="27"/>
        <v>-63000</v>
      </c>
      <c r="O297" s="9">
        <f t="shared" si="27"/>
        <v>0</v>
      </c>
      <c r="P297" s="89" t="s">
        <v>188</v>
      </c>
    </row>
    <row r="298" spans="1:23" ht="19.95" customHeight="1" x14ac:dyDescent="0.3">
      <c r="B298" s="9">
        <f t="shared" ref="B298:O298" si="28">B51+B74+B97+B120+B143+B166+B189+B212+B235+B258+B281</f>
        <v>0</v>
      </c>
      <c r="C298" s="9">
        <f t="shared" si="28"/>
        <v>0</v>
      </c>
      <c r="D298" s="9">
        <f t="shared" si="28"/>
        <v>-26928.894992660156</v>
      </c>
      <c r="E298" s="9">
        <f t="shared" si="28"/>
        <v>-47125.566237155275</v>
      </c>
      <c r="F298" s="9">
        <f t="shared" si="28"/>
        <v>26928.894992660156</v>
      </c>
      <c r="G298" s="9">
        <f t="shared" si="28"/>
        <v>-47125.566237155275</v>
      </c>
      <c r="H298" s="9">
        <f t="shared" si="28"/>
        <v>0</v>
      </c>
      <c r="I298" s="9">
        <f t="shared" si="28"/>
        <v>0</v>
      </c>
      <c r="J298" s="9">
        <f t="shared" si="28"/>
        <v>0</v>
      </c>
      <c r="K298" s="9">
        <f t="shared" si="28"/>
        <v>0</v>
      </c>
      <c r="L298" s="36">
        <f t="shared" si="28"/>
        <v>0</v>
      </c>
      <c r="M298" s="35">
        <f t="shared" si="28"/>
        <v>94251.132474310551</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-15387.939995805804</v>
      </c>
      <c r="G299" s="9">
        <f t="shared" si="29"/>
        <v>-26928.894992660156</v>
      </c>
      <c r="H299" s="9">
        <f t="shared" si="29"/>
        <v>-15387.939995805804</v>
      </c>
      <c r="I299" s="9">
        <f t="shared" si="29"/>
        <v>26928.894992660156</v>
      </c>
      <c r="J299" s="9">
        <f t="shared" si="29"/>
        <v>0</v>
      </c>
      <c r="K299" s="9">
        <f t="shared" si="29"/>
        <v>0</v>
      </c>
      <c r="L299" s="9">
        <f t="shared" si="29"/>
        <v>-63000</v>
      </c>
      <c r="M299" s="9">
        <f t="shared" si="29"/>
        <v>0</v>
      </c>
      <c r="N299" s="35">
        <f t="shared" si="29"/>
        <v>93775.879991611611</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-26928.894992660156</v>
      </c>
      <c r="G300" s="9">
        <f t="shared" si="30"/>
        <v>-47125.566237155275</v>
      </c>
      <c r="H300" s="9">
        <f t="shared" si="30"/>
        <v>26928.894992660156</v>
      </c>
      <c r="I300" s="9">
        <f t="shared" si="30"/>
        <v>-47125.566237155275</v>
      </c>
      <c r="J300" s="9">
        <f t="shared" si="30"/>
        <v>0</v>
      </c>
      <c r="K300" s="9">
        <f t="shared" si="30"/>
        <v>0</v>
      </c>
      <c r="L300" s="9">
        <f t="shared" si="30"/>
        <v>0</v>
      </c>
      <c r="M300" s="9">
        <f t="shared" si="30"/>
        <v>0</v>
      </c>
      <c r="N300" s="36">
        <f t="shared" si="30"/>
        <v>0</v>
      </c>
      <c r="O300" s="35">
        <f t="shared" si="30"/>
        <v>94251.132474310551</v>
      </c>
      <c r="P300" s="89" t="s">
        <v>580</v>
      </c>
    </row>
    <row r="303" spans="1:23" ht="19.95" customHeight="1" x14ac:dyDescent="0.35">
      <c r="A303" s="11" t="s">
        <v>206</v>
      </c>
      <c r="R303" s="216" t="s">
        <v>207</v>
      </c>
      <c r="S303" s="172"/>
      <c r="T303" s="172"/>
      <c r="U303" s="172"/>
      <c r="V303" s="172"/>
      <c r="W303" s="173"/>
    </row>
    <row r="304" spans="1:23" ht="16.95" customHeight="1" x14ac:dyDescent="0.3">
      <c r="B304" s="12" t="s">
        <v>208</v>
      </c>
      <c r="C304" s="12" t="s">
        <v>178</v>
      </c>
      <c r="E304" s="37" t="str">
        <f>IF(GRAFICA_36!F14=1, B304, GRAFICA_36!H14)</f>
        <v>C1X</v>
      </c>
      <c r="R304" s="215" t="s">
        <v>376</v>
      </c>
      <c r="S304" s="172"/>
      <c r="T304" s="172"/>
      <c r="U304" s="172"/>
      <c r="V304" s="172"/>
      <c r="W304" s="173"/>
    </row>
    <row r="305" spans="1:23" ht="16.95" customHeight="1" x14ac:dyDescent="0.3">
      <c r="B305" s="12" t="s">
        <v>210</v>
      </c>
      <c r="C305" s="12" t="s">
        <v>179</v>
      </c>
      <c r="E305" s="37" t="str">
        <f>IF(GRAFICA_36!G14=1, B305, GRAFICA_36!I14)</f>
        <v>C1Y</v>
      </c>
      <c r="R305" s="215" t="s">
        <v>211</v>
      </c>
      <c r="S305" s="172"/>
      <c r="T305" s="172"/>
      <c r="U305" s="172"/>
      <c r="V305" s="172"/>
      <c r="W305" s="173"/>
    </row>
    <row r="306" spans="1:23" ht="16.95" customHeight="1" x14ac:dyDescent="0.3">
      <c r="B306" s="12" t="s">
        <v>212</v>
      </c>
      <c r="C306" s="12" t="s">
        <v>180</v>
      </c>
      <c r="E306" s="37">
        <f>IF(GRAFICA_36!F15=1, B306, GRAFICA_36!H15)</f>
        <v>0</v>
      </c>
      <c r="R306" s="215" t="s">
        <v>377</v>
      </c>
      <c r="S306" s="172"/>
      <c r="T306" s="172"/>
      <c r="U306" s="172"/>
      <c r="V306" s="172"/>
      <c r="W306" s="173"/>
    </row>
    <row r="307" spans="1:23" ht="16.95" customHeight="1" x14ac:dyDescent="0.3">
      <c r="B307" s="12" t="s">
        <v>214</v>
      </c>
      <c r="C307" s="12" t="s">
        <v>181</v>
      </c>
      <c r="E307" s="37">
        <f>IF(GRAFICA_36!G15=1, B307, GRAFICA_36!I15)</f>
        <v>-4000</v>
      </c>
      <c r="R307" s="215" t="s">
        <v>215</v>
      </c>
      <c r="S307" s="172"/>
      <c r="T307" s="172"/>
      <c r="U307" s="172"/>
      <c r="V307" s="172"/>
      <c r="W307" s="173"/>
    </row>
    <row r="308" spans="1:23" ht="16.95" customHeight="1" x14ac:dyDescent="0.3">
      <c r="B308" s="12" t="s">
        <v>216</v>
      </c>
      <c r="C308" s="12" t="s">
        <v>182</v>
      </c>
      <c r="E308" s="37">
        <f>IF(GRAFICA_36!F16=1, B308, GRAFICA_36!H16)</f>
        <v>0</v>
      </c>
      <c r="R308" s="215" t="s">
        <v>378</v>
      </c>
      <c r="S308" s="172"/>
      <c r="T308" s="172"/>
      <c r="U308" s="172"/>
      <c r="V308" s="172"/>
      <c r="W308" s="173"/>
    </row>
    <row r="309" spans="1:23" ht="16.95" customHeight="1" x14ac:dyDescent="0.3">
      <c r="B309" s="12" t="s">
        <v>219</v>
      </c>
      <c r="C309" s="12" t="s">
        <v>183</v>
      </c>
      <c r="E309" s="37">
        <f>IF(GRAFICA_36!G16=1, B309, GRAFICA_36!I16)</f>
        <v>-4000</v>
      </c>
      <c r="R309" s="215" t="s">
        <v>379</v>
      </c>
      <c r="S309" s="172"/>
      <c r="T309" s="172"/>
      <c r="U309" s="172"/>
      <c r="V309" s="172"/>
      <c r="W309" s="173"/>
    </row>
    <row r="310" spans="1:23" ht="16.95" customHeight="1" x14ac:dyDescent="0.3">
      <c r="A310" s="38" t="s">
        <v>218</v>
      </c>
      <c r="B310" s="12" t="s">
        <v>221</v>
      </c>
      <c r="C310" s="12" t="s">
        <v>184</v>
      </c>
      <c r="D310" s="13" t="s">
        <v>220</v>
      </c>
      <c r="E310" s="37">
        <f>IF(GRAFICA_36!F17=1, B310, GRAFICA_36!H17)</f>
        <v>0</v>
      </c>
      <c r="R310" s="215"/>
      <c r="S310" s="172"/>
      <c r="T310" s="172"/>
      <c r="U310" s="172"/>
      <c r="V310" s="172"/>
      <c r="W310" s="173"/>
    </row>
    <row r="311" spans="1:23" ht="16.95" customHeight="1" x14ac:dyDescent="0.3">
      <c r="B311" s="12" t="s">
        <v>222</v>
      </c>
      <c r="C311" s="12" t="s">
        <v>185</v>
      </c>
      <c r="E311" s="37" t="str">
        <f>IF(GRAFICA_36!G17=1, B311, GRAFICA_36!I17)</f>
        <v>C4Y</v>
      </c>
      <c r="R311" s="215"/>
      <c r="S311" s="172"/>
      <c r="T311" s="172"/>
      <c r="U311" s="172"/>
      <c r="V311" s="172"/>
      <c r="W311" s="173"/>
    </row>
    <row r="312" spans="1:23" ht="16.95" customHeight="1" x14ac:dyDescent="0.3">
      <c r="B312" s="12" t="s">
        <v>223</v>
      </c>
      <c r="C312" s="12" t="s">
        <v>186</v>
      </c>
      <c r="E312" s="37">
        <f>IF(GRAFICA_36!F18=1, B312, GRAFICA_36!H18)</f>
        <v>0</v>
      </c>
      <c r="R312" s="215"/>
      <c r="S312" s="172"/>
      <c r="T312" s="172"/>
      <c r="U312" s="172"/>
      <c r="V312" s="172"/>
      <c r="W312" s="173"/>
    </row>
    <row r="313" spans="1:23" ht="16.95" customHeight="1" x14ac:dyDescent="0.3">
      <c r="B313" s="12" t="s">
        <v>224</v>
      </c>
      <c r="C313" s="12" t="s">
        <v>187</v>
      </c>
      <c r="E313" s="37">
        <f>IF(GRAFICA_36!G18=1, B313, GRAFICA_36!I18)</f>
        <v>0</v>
      </c>
      <c r="R313" s="215"/>
      <c r="S313" s="172"/>
      <c r="T313" s="172"/>
      <c r="U313" s="172"/>
      <c r="V313" s="172"/>
      <c r="W313" s="173"/>
    </row>
    <row r="314" spans="1:23" ht="16.95" customHeight="1" x14ac:dyDescent="0.3">
      <c r="B314" s="12" t="s">
        <v>225</v>
      </c>
      <c r="C314" s="12" t="s">
        <v>188</v>
      </c>
      <c r="E314" s="37">
        <f>IF(GRAFICA_36!F19=1, B314, GRAFICA_36!H19)</f>
        <v>0</v>
      </c>
      <c r="R314" s="215"/>
      <c r="S314" s="172"/>
      <c r="T314" s="172"/>
      <c r="U314" s="172"/>
      <c r="V314" s="172"/>
      <c r="W314" s="173"/>
    </row>
    <row r="315" spans="1:23" ht="16.95" customHeight="1" x14ac:dyDescent="0.3">
      <c r="B315" s="12" t="s">
        <v>226</v>
      </c>
      <c r="C315" s="12" t="s">
        <v>189</v>
      </c>
      <c r="E315" s="37">
        <f>IF(GRAFICA_36!G19=1, B315, GRAFICA_36!I19)</f>
        <v>-6000</v>
      </c>
      <c r="R315" s="215"/>
      <c r="S315" s="172"/>
      <c r="T315" s="172"/>
      <c r="U315" s="172"/>
      <c r="V315" s="172"/>
      <c r="W315" s="173"/>
    </row>
    <row r="316" spans="1:23" ht="16.95" customHeight="1" x14ac:dyDescent="0.3">
      <c r="B316" s="12" t="s">
        <v>585</v>
      </c>
      <c r="C316" s="12" t="s">
        <v>579</v>
      </c>
      <c r="E316" s="37">
        <f>IF(GRAFICA_36!F20=1, B316, GRAFICA_36!H20)</f>
        <v>0</v>
      </c>
      <c r="R316" s="215"/>
      <c r="S316" s="172"/>
      <c r="T316" s="172"/>
      <c r="U316" s="172"/>
      <c r="V316" s="172"/>
      <c r="W316" s="173"/>
    </row>
    <row r="317" spans="1:23" ht="16.95" customHeight="1" x14ac:dyDescent="0.3">
      <c r="B317" s="12" t="s">
        <v>586</v>
      </c>
      <c r="C317" s="12" t="s">
        <v>580</v>
      </c>
      <c r="E317" s="37">
        <f>IF(GRAFICA_36!G20=1, B317, GRAFICA_36!I20)</f>
        <v>0</v>
      </c>
      <c r="R317" s="215"/>
      <c r="S317" s="172"/>
      <c r="T317" s="172"/>
      <c r="U317" s="172"/>
      <c r="V317" s="172"/>
      <c r="W317" s="173"/>
    </row>
    <row r="318" spans="1:23" ht="16.95" customHeight="1" x14ac:dyDescent="0.3">
      <c r="R318" s="215"/>
      <c r="S318" s="172"/>
      <c r="T318" s="172"/>
      <c r="U318" s="172"/>
      <c r="V318" s="172"/>
      <c r="W318" s="173"/>
    </row>
    <row r="319" spans="1:23" ht="16.95" customHeight="1" x14ac:dyDescent="0.35">
      <c r="A319" s="11" t="s">
        <v>227</v>
      </c>
      <c r="R319" s="215"/>
      <c r="S319" s="172"/>
      <c r="T319" s="172"/>
      <c r="U319" s="172"/>
      <c r="V319" s="172"/>
      <c r="W319" s="173"/>
    </row>
    <row r="320" spans="1:23" ht="16.95" customHeight="1" x14ac:dyDescent="0.3">
      <c r="B320" s="12" t="s">
        <v>228</v>
      </c>
      <c r="C320" s="12" t="s">
        <v>178</v>
      </c>
      <c r="E320" s="39">
        <f>IF(GRAFICA_36!F14=1, 0, B320)</f>
        <v>0</v>
      </c>
      <c r="F320" s="14" t="str">
        <f>IF(E320&lt;&gt;0, COUNTIF(E$320:E320, "&lt;&gt;0"), "")</f>
        <v/>
      </c>
      <c r="G320" s="14">
        <f>IF(E320=0, COUNTIF(E$320:E320, 0), "")</f>
        <v>1</v>
      </c>
      <c r="R320" s="215"/>
      <c r="S320" s="172"/>
      <c r="T320" s="172"/>
      <c r="U320" s="172"/>
      <c r="V320" s="172"/>
      <c r="W320" s="173"/>
    </row>
    <row r="321" spans="1:23" ht="16.95" customHeight="1" x14ac:dyDescent="0.3">
      <c r="B321" s="12" t="s">
        <v>229</v>
      </c>
      <c r="C321" s="12" t="s">
        <v>179</v>
      </c>
      <c r="E321" s="39">
        <f>IF(GRAFICA_36!G14=1, 0, B321)</f>
        <v>0</v>
      </c>
      <c r="F321" s="14" t="str">
        <f>IF(E321&lt;&gt;0, COUNTIF(E$320:E321, "&lt;&gt;0"), "")</f>
        <v/>
      </c>
      <c r="G321" s="14">
        <f>IF(E321=0, COUNTIF(E$320:E321, 0), "")</f>
        <v>2</v>
      </c>
      <c r="R321" s="215"/>
      <c r="S321" s="172"/>
      <c r="T321" s="172"/>
      <c r="U321" s="172"/>
      <c r="V321" s="172"/>
      <c r="W321" s="173"/>
    </row>
    <row r="322" spans="1:23" ht="16.95" customHeight="1" x14ac:dyDescent="0.3">
      <c r="B322" s="12" t="s">
        <v>230</v>
      </c>
      <c r="C322" s="12" t="s">
        <v>180</v>
      </c>
      <c r="E322" s="39" t="str">
        <f>IF(GRAFICA_36!F15=1, 0, B322)</f>
        <v>D2X</v>
      </c>
      <c r="F322" s="14">
        <f>IF(E322&lt;&gt;0, COUNTIF(E$320:E322, "&lt;&gt;0"), "")</f>
        <v>1</v>
      </c>
      <c r="G322" s="14" t="str">
        <f>IF(E322=0, COUNTIF(E$320:E322, 0), "")</f>
        <v/>
      </c>
      <c r="R322" s="215"/>
      <c r="S322" s="172"/>
      <c r="T322" s="172"/>
      <c r="U322" s="172"/>
      <c r="V322" s="172"/>
      <c r="W322" s="173"/>
    </row>
    <row r="323" spans="1:23" ht="16.95" customHeight="1" x14ac:dyDescent="0.3">
      <c r="B323" s="12" t="s">
        <v>231</v>
      </c>
      <c r="C323" s="12" t="s">
        <v>181</v>
      </c>
      <c r="E323" s="39" t="str">
        <f>IF(GRAFICA_36!G15=1, 0, B323)</f>
        <v>D2Y</v>
      </c>
      <c r="F323" s="14">
        <f>IF(E323&lt;&gt;0, COUNTIF(E$320:E323, "&lt;&gt;0"), "")</f>
        <v>2</v>
      </c>
      <c r="G323" s="14" t="str">
        <f>IF(E323=0, COUNTIF(E$320:E323, 0), "")</f>
        <v/>
      </c>
      <c r="R323" s="215"/>
      <c r="S323" s="172"/>
      <c r="T323" s="172"/>
      <c r="U323" s="172"/>
      <c r="V323" s="172"/>
      <c r="W323" s="173"/>
    </row>
    <row r="324" spans="1:23" ht="16.95" customHeight="1" x14ac:dyDescent="0.3">
      <c r="B324" s="12" t="s">
        <v>232</v>
      </c>
      <c r="C324" s="12" t="s">
        <v>182</v>
      </c>
      <c r="E324" s="39" t="str">
        <f>IF(GRAFICA_36!F16=1, 0, B324)</f>
        <v>D3X</v>
      </c>
      <c r="F324" s="14">
        <f>IF(E324&lt;&gt;0, COUNTIF(E$320:E324, "&lt;&gt;0"), "")</f>
        <v>3</v>
      </c>
      <c r="G324" s="14" t="str">
        <f>IF(E324=0, COUNTIF(E$320:E324, 0), "")</f>
        <v/>
      </c>
      <c r="R324" s="215"/>
      <c r="S324" s="172"/>
      <c r="T324" s="172"/>
      <c r="U324" s="172"/>
      <c r="V324" s="172"/>
      <c r="W324" s="173"/>
    </row>
    <row r="325" spans="1:23" ht="16.95" customHeight="1" x14ac:dyDescent="0.3">
      <c r="B325" s="12" t="s">
        <v>234</v>
      </c>
      <c r="C325" s="12" t="s">
        <v>183</v>
      </c>
      <c r="E325" s="39" t="str">
        <f>IF(GRAFICA_36!G16=1, 0, B325)</f>
        <v>D3Y</v>
      </c>
      <c r="F325" s="14">
        <f>IF(E325&lt;&gt;0, COUNTIF(E$320:E325, "&lt;&gt;0"), "")</f>
        <v>4</v>
      </c>
      <c r="G325" s="14" t="str">
        <f>IF(E325=0, COUNTIF(E$320:E325, 0), "")</f>
        <v/>
      </c>
      <c r="R325" s="215"/>
      <c r="S325" s="172"/>
      <c r="T325" s="172"/>
      <c r="U325" s="172"/>
      <c r="V325" s="172"/>
      <c r="W325" s="173"/>
    </row>
    <row r="326" spans="1:23" ht="16.95" customHeight="1" x14ac:dyDescent="0.3">
      <c r="A326" s="38" t="s">
        <v>233</v>
      </c>
      <c r="B326" s="12" t="s">
        <v>235</v>
      </c>
      <c r="C326" s="12" t="s">
        <v>184</v>
      </c>
      <c r="D326" s="13" t="s">
        <v>220</v>
      </c>
      <c r="E326" s="39" t="str">
        <f>IF(GRAFICA_36!F17=1, 0, B326)</f>
        <v>D4X</v>
      </c>
      <c r="F326" s="14">
        <f>IF(E326&lt;&gt;0, COUNTIF(E$320:E326, "&lt;&gt;0"), "")</f>
        <v>5</v>
      </c>
      <c r="G326" s="14" t="str">
        <f>IF(E326=0, COUNTIF(E$320:E326, 0), "")</f>
        <v/>
      </c>
      <c r="R326" s="215"/>
      <c r="S326" s="172"/>
      <c r="T326" s="172"/>
      <c r="U326" s="172"/>
      <c r="V326" s="172"/>
      <c r="W326" s="173"/>
    </row>
    <row r="327" spans="1:23" ht="16.95" customHeight="1" x14ac:dyDescent="0.3">
      <c r="B327" s="12" t="s">
        <v>236</v>
      </c>
      <c r="C327" s="12" t="s">
        <v>185</v>
      </c>
      <c r="E327" s="39">
        <f>IF(GRAFICA_36!G17=1, 0, B327)</f>
        <v>0</v>
      </c>
      <c r="F327" s="14" t="str">
        <f>IF(E327&lt;&gt;0, COUNTIF(E$320:E327, "&lt;&gt;0"), "")</f>
        <v/>
      </c>
      <c r="G327" s="14">
        <f>IF(E327=0, COUNTIF(E$320:E327, 0), "")</f>
        <v>3</v>
      </c>
      <c r="R327" s="215"/>
      <c r="S327" s="172"/>
      <c r="T327" s="172"/>
      <c r="U327" s="172"/>
      <c r="V327" s="172"/>
      <c r="W327" s="173"/>
    </row>
    <row r="328" spans="1:23" ht="16.95" customHeight="1" x14ac:dyDescent="0.3">
      <c r="B328" s="12" t="s">
        <v>237</v>
      </c>
      <c r="C328" s="12" t="s">
        <v>186</v>
      </c>
      <c r="E328" s="39" t="str">
        <f>IF(GRAFICA_36!F18=1, 0, B328)</f>
        <v>D5X</v>
      </c>
      <c r="F328" s="14">
        <f>IF(E328&lt;&gt;0, COUNTIF(E$320:E328, "&lt;&gt;0"), "")</f>
        <v>6</v>
      </c>
      <c r="G328" s="14" t="str">
        <f>IF(E328=0, COUNTIF(E$320:E328, 0), "")</f>
        <v/>
      </c>
      <c r="R328" s="215"/>
      <c r="S328" s="172"/>
      <c r="T328" s="172"/>
      <c r="U328" s="172"/>
      <c r="V328" s="172"/>
      <c r="W328" s="173"/>
    </row>
    <row r="329" spans="1:23" ht="16.95" customHeight="1" x14ac:dyDescent="0.3">
      <c r="B329" s="12" t="s">
        <v>238</v>
      </c>
      <c r="C329" s="12" t="s">
        <v>187</v>
      </c>
      <c r="E329" s="39" t="str">
        <f>IF(GRAFICA_36!G18=1, 0, B329)</f>
        <v>D5Y</v>
      </c>
      <c r="F329" s="14">
        <f>IF(E329&lt;&gt;0, COUNTIF(E$320:E329, "&lt;&gt;0"), "")</f>
        <v>7</v>
      </c>
      <c r="G329" s="14" t="str">
        <f>IF(E329=0, COUNTIF(E$320:E329, 0), "")</f>
        <v/>
      </c>
      <c r="R329" s="215"/>
      <c r="S329" s="172"/>
      <c r="T329" s="172"/>
      <c r="U329" s="172"/>
      <c r="V329" s="172"/>
      <c r="W329" s="173"/>
    </row>
    <row r="330" spans="1:23" ht="16.95" customHeight="1" x14ac:dyDescent="0.3">
      <c r="B330" s="12" t="s">
        <v>239</v>
      </c>
      <c r="C330" s="12" t="s">
        <v>188</v>
      </c>
      <c r="E330" s="39" t="str">
        <f>IF(GRAFICA_36!F19=1, 0, B330)</f>
        <v>D6X</v>
      </c>
      <c r="F330" s="14">
        <f>IF(E330&lt;&gt;0, COUNTIF(E$320:E330, "&lt;&gt;0"), "")</f>
        <v>8</v>
      </c>
      <c r="G330" s="14" t="str">
        <f>IF(E330=0, COUNTIF(E$320:E330, 0), "")</f>
        <v/>
      </c>
      <c r="R330" s="215"/>
      <c r="S330" s="172"/>
      <c r="T330" s="172"/>
      <c r="U330" s="172"/>
      <c r="V330" s="172"/>
      <c r="W330" s="173"/>
    </row>
    <row r="331" spans="1:23" ht="16.95" customHeight="1" x14ac:dyDescent="0.3">
      <c r="B331" s="12" t="s">
        <v>240</v>
      </c>
      <c r="C331" s="12" t="s">
        <v>189</v>
      </c>
      <c r="E331" s="39" t="str">
        <f>IF(GRAFICA_36!G19=1, 0, B331)</f>
        <v>D6Y</v>
      </c>
      <c r="F331" s="14">
        <f>IF(E331&lt;&gt;0, COUNTIF(E$320:E331, "&lt;&gt;0"), "")</f>
        <v>9</v>
      </c>
      <c r="G331" s="14" t="str">
        <f>IF(E331=0, COUNTIF(E$320:E331, 0), "")</f>
        <v/>
      </c>
      <c r="R331" s="215"/>
      <c r="S331" s="172"/>
      <c r="T331" s="172"/>
      <c r="U331" s="172"/>
      <c r="V331" s="172"/>
      <c r="W331" s="173"/>
    </row>
    <row r="332" spans="1:23" ht="16.95" customHeight="1" x14ac:dyDescent="0.3">
      <c r="B332" s="12" t="s">
        <v>587</v>
      </c>
      <c r="C332" s="12" t="s">
        <v>579</v>
      </c>
      <c r="E332" s="39" t="str">
        <f>IF(GRAFICA_36!F20=1, 0, B332)</f>
        <v>D7X</v>
      </c>
      <c r="F332" s="14">
        <f>IF(E332&lt;&gt;0, COUNTIF(E$320:E332, "&lt;&gt;0"), "")</f>
        <v>10</v>
      </c>
      <c r="G332" s="14" t="str">
        <f>IF(E332=0, COUNTIF(E$320:E332, 0), "")</f>
        <v/>
      </c>
      <c r="R332" s="215"/>
      <c r="S332" s="172"/>
      <c r="T332" s="172"/>
      <c r="U332" s="172"/>
      <c r="V332" s="172"/>
      <c r="W332" s="173"/>
    </row>
    <row r="333" spans="1:23" ht="16.95" customHeight="1" x14ac:dyDescent="0.3">
      <c r="B333" s="12" t="s">
        <v>588</v>
      </c>
      <c r="C333" s="12" t="s">
        <v>580</v>
      </c>
      <c r="E333" s="39" t="str">
        <f>IF(GRAFICA_36!G20=1, 0, B333)</f>
        <v>D7Y</v>
      </c>
      <c r="F333" s="14">
        <f>IF(E333&lt;&gt;0, COUNTIF(E$320:E333, "&lt;&gt;0"), "")</f>
        <v>11</v>
      </c>
      <c r="G333" s="14" t="str">
        <f>IF(E333=0, COUNTIF(E$320:E333, 0), "")</f>
        <v/>
      </c>
      <c r="R333" s="215"/>
      <c r="S333" s="172"/>
      <c r="T333" s="172"/>
      <c r="U333" s="172"/>
      <c r="V333" s="172"/>
      <c r="W333" s="173"/>
    </row>
    <row r="335" spans="1:23" ht="19.95" customHeight="1" x14ac:dyDescent="0.35">
      <c r="A335" s="15" t="s">
        <v>241</v>
      </c>
      <c r="C335" s="218" t="s">
        <v>242</v>
      </c>
      <c r="D335" s="173"/>
      <c r="E335" s="40" t="s">
        <v>243</v>
      </c>
      <c r="R335" s="216" t="s">
        <v>244</v>
      </c>
      <c r="S335" s="172"/>
      <c r="T335" s="172"/>
      <c r="U335" s="172"/>
      <c r="V335" s="172"/>
      <c r="W335" s="173"/>
    </row>
    <row r="336" spans="1:23" ht="16.95" customHeight="1" x14ac:dyDescent="0.3">
      <c r="E336" s="40" t="s">
        <v>245</v>
      </c>
      <c r="R336" s="215" t="s">
        <v>246</v>
      </c>
      <c r="S336" s="172"/>
      <c r="T336" s="172"/>
      <c r="U336" s="172"/>
      <c r="V336" s="172"/>
      <c r="W336" s="173"/>
    </row>
    <row r="337" spans="1:23" ht="16.95" customHeight="1" x14ac:dyDescent="0.3">
      <c r="A337" s="99" t="s">
        <v>247</v>
      </c>
      <c r="C337" s="99" t="s">
        <v>248</v>
      </c>
      <c r="R337" s="215" t="s">
        <v>250</v>
      </c>
      <c r="S337" s="172"/>
      <c r="T337" s="172"/>
      <c r="U337" s="172"/>
      <c r="V337" s="172"/>
      <c r="W337" s="173"/>
    </row>
    <row r="338" spans="1:23" ht="16.95" customHeight="1" x14ac:dyDescent="0.3">
      <c r="A338" s="12" t="str">
        <f t="shared" ref="A338:A351" si="31">E304</f>
        <v>C1X</v>
      </c>
      <c r="C338" s="9">
        <f t="shared" ref="C338:P338" si="32">B287</f>
        <v>78387.939995805806</v>
      </c>
      <c r="D338" s="9">
        <f t="shared" si="32"/>
        <v>26928.894992660156</v>
      </c>
      <c r="E338" s="9">
        <f t="shared" si="32"/>
        <v>-63000</v>
      </c>
      <c r="F338" s="9">
        <f t="shared" si="32"/>
        <v>0</v>
      </c>
      <c r="G338" s="9">
        <f t="shared" si="32"/>
        <v>0</v>
      </c>
      <c r="H338" s="9">
        <f t="shared" si="32"/>
        <v>0</v>
      </c>
      <c r="I338" s="9">
        <f t="shared" si="32"/>
        <v>0</v>
      </c>
      <c r="J338" s="9">
        <f t="shared" si="32"/>
        <v>0</v>
      </c>
      <c r="K338" s="9">
        <f t="shared" si="32"/>
        <v>-15387.939995805804</v>
      </c>
      <c r="L338" s="9">
        <f t="shared" si="32"/>
        <v>-26928.894992660156</v>
      </c>
      <c r="M338" s="9">
        <f t="shared" si="32"/>
        <v>0</v>
      </c>
      <c r="N338" s="9">
        <f t="shared" si="32"/>
        <v>0</v>
      </c>
      <c r="O338" s="9">
        <f t="shared" si="32"/>
        <v>0</v>
      </c>
      <c r="P338" s="9">
        <f t="shared" si="32"/>
        <v>0</v>
      </c>
      <c r="Q338" s="13" t="s">
        <v>251</v>
      </c>
      <c r="R338" s="219" t="s">
        <v>380</v>
      </c>
      <c r="S338" s="172"/>
      <c r="T338" s="172"/>
      <c r="U338" s="172"/>
      <c r="V338" s="172"/>
      <c r="W338" s="173"/>
    </row>
    <row r="339" spans="1:23" ht="16.95" customHeight="1" x14ac:dyDescent="0.3">
      <c r="A339" s="12" t="str">
        <f t="shared" si="31"/>
        <v>C1Y</v>
      </c>
      <c r="C339" s="9">
        <f t="shared" ref="C339:P339" si="33">B288</f>
        <v>26928.894992660156</v>
      </c>
      <c r="D339" s="9">
        <f t="shared" si="33"/>
        <v>47125.566237155275</v>
      </c>
      <c r="E339" s="9">
        <f t="shared" si="33"/>
        <v>0</v>
      </c>
      <c r="F339" s="9">
        <f t="shared" si="33"/>
        <v>0</v>
      </c>
      <c r="G339" s="9">
        <f t="shared" si="33"/>
        <v>0</v>
      </c>
      <c r="H339" s="9">
        <f t="shared" si="33"/>
        <v>0</v>
      </c>
      <c r="I339" s="9">
        <f t="shared" si="33"/>
        <v>0</v>
      </c>
      <c r="J339" s="9">
        <f t="shared" si="33"/>
        <v>0</v>
      </c>
      <c r="K339" s="9">
        <f t="shared" si="33"/>
        <v>-26928.894992660156</v>
      </c>
      <c r="L339" s="9">
        <f t="shared" si="33"/>
        <v>-47125.566237155275</v>
      </c>
      <c r="M339" s="9">
        <f t="shared" si="33"/>
        <v>0</v>
      </c>
      <c r="N339" s="9">
        <f t="shared" si="33"/>
        <v>0</v>
      </c>
      <c r="O339" s="9">
        <f t="shared" si="33"/>
        <v>0</v>
      </c>
      <c r="P339" s="9">
        <f t="shared" si="33"/>
        <v>0</v>
      </c>
      <c r="Q339" s="13" t="s">
        <v>251</v>
      </c>
      <c r="R339" s="219" t="s">
        <v>253</v>
      </c>
      <c r="S339" s="172"/>
      <c r="T339" s="172"/>
      <c r="U339" s="172"/>
      <c r="V339" s="172"/>
      <c r="W339" s="173"/>
    </row>
    <row r="340" spans="1:23" ht="16.95" customHeight="1" x14ac:dyDescent="0.3">
      <c r="A340" s="41">
        <f t="shared" si="31"/>
        <v>0</v>
      </c>
      <c r="C340" s="9">
        <f t="shared" ref="C340:P340" si="34">B289</f>
        <v>-63000</v>
      </c>
      <c r="D340" s="9">
        <f t="shared" si="34"/>
        <v>0</v>
      </c>
      <c r="E340" s="41">
        <f t="shared" si="34"/>
        <v>156775.87999161158</v>
      </c>
      <c r="F340" s="41">
        <f t="shared" si="34"/>
        <v>0</v>
      </c>
      <c r="G340" s="41">
        <f t="shared" si="34"/>
        <v>-63000</v>
      </c>
      <c r="H340" s="41">
        <f t="shared" si="34"/>
        <v>0</v>
      </c>
      <c r="I340" s="41">
        <f t="shared" si="34"/>
        <v>0</v>
      </c>
      <c r="J340" s="9">
        <f t="shared" si="34"/>
        <v>0</v>
      </c>
      <c r="K340" s="41">
        <f t="shared" si="34"/>
        <v>-15387.939995805804</v>
      </c>
      <c r="L340" s="41">
        <f t="shared" si="34"/>
        <v>26928.894992660156</v>
      </c>
      <c r="M340" s="41">
        <f t="shared" si="34"/>
        <v>-15387.939995805804</v>
      </c>
      <c r="N340" s="41">
        <f t="shared" si="34"/>
        <v>-26928.894992660156</v>
      </c>
      <c r="O340" s="41">
        <f t="shared" si="34"/>
        <v>0</v>
      </c>
      <c r="P340" s="41">
        <f t="shared" si="34"/>
        <v>0</v>
      </c>
      <c r="Q340" s="13" t="s">
        <v>251</v>
      </c>
      <c r="R340" s="215" t="s">
        <v>254</v>
      </c>
      <c r="S340" s="172"/>
      <c r="T340" s="172"/>
      <c r="U340" s="172"/>
      <c r="V340" s="172"/>
      <c r="W340" s="173"/>
    </row>
    <row r="341" spans="1:23" ht="16.95" customHeight="1" x14ac:dyDescent="0.3">
      <c r="A341" s="41">
        <f t="shared" si="31"/>
        <v>-4000</v>
      </c>
      <c r="C341" s="9">
        <f t="shared" ref="C341:P341" si="35">B290</f>
        <v>0</v>
      </c>
      <c r="D341" s="9">
        <f t="shared" si="35"/>
        <v>0</v>
      </c>
      <c r="E341" s="41">
        <f t="shared" si="35"/>
        <v>0</v>
      </c>
      <c r="F341" s="41">
        <f t="shared" si="35"/>
        <v>94251.132474310551</v>
      </c>
      <c r="G341" s="41">
        <f t="shared" si="35"/>
        <v>0</v>
      </c>
      <c r="H341" s="41">
        <f t="shared" si="35"/>
        <v>0</v>
      </c>
      <c r="I341" s="41">
        <f t="shared" si="35"/>
        <v>0</v>
      </c>
      <c r="J341" s="9">
        <f t="shared" si="35"/>
        <v>0</v>
      </c>
      <c r="K341" s="41">
        <f t="shared" si="35"/>
        <v>26928.894992660156</v>
      </c>
      <c r="L341" s="41">
        <f t="shared" si="35"/>
        <v>-47125.566237155275</v>
      </c>
      <c r="M341" s="41">
        <f t="shared" si="35"/>
        <v>-26928.894992660156</v>
      </c>
      <c r="N341" s="41">
        <f t="shared" si="35"/>
        <v>-47125.566237155275</v>
      </c>
      <c r="O341" s="41">
        <f t="shared" si="35"/>
        <v>0</v>
      </c>
      <c r="P341" s="41">
        <f t="shared" si="35"/>
        <v>0</v>
      </c>
      <c r="Q341" s="13" t="s">
        <v>251</v>
      </c>
      <c r="R341" s="215" t="s">
        <v>381</v>
      </c>
      <c r="S341" s="172"/>
      <c r="T341" s="172"/>
      <c r="U341" s="172"/>
      <c r="V341" s="172"/>
      <c r="W341" s="173"/>
    </row>
    <row r="342" spans="1:23" ht="16.95" customHeight="1" x14ac:dyDescent="0.3">
      <c r="A342" s="41">
        <f t="shared" si="31"/>
        <v>0</v>
      </c>
      <c r="C342" s="9">
        <f t="shared" ref="C342:P342" si="36">B291</f>
        <v>0</v>
      </c>
      <c r="D342" s="9">
        <f t="shared" si="36"/>
        <v>0</v>
      </c>
      <c r="E342" s="41">
        <f t="shared" si="36"/>
        <v>-63000</v>
      </c>
      <c r="F342" s="41">
        <f t="shared" si="36"/>
        <v>0</v>
      </c>
      <c r="G342" s="41">
        <f t="shared" si="36"/>
        <v>156775.87999161158</v>
      </c>
      <c r="H342" s="41">
        <f t="shared" si="36"/>
        <v>0</v>
      </c>
      <c r="I342" s="41">
        <f t="shared" si="36"/>
        <v>-63000</v>
      </c>
      <c r="J342" s="9">
        <f t="shared" si="36"/>
        <v>0</v>
      </c>
      <c r="K342" s="41">
        <f t="shared" si="36"/>
        <v>0</v>
      </c>
      <c r="L342" s="41">
        <f t="shared" si="36"/>
        <v>0</v>
      </c>
      <c r="M342" s="41">
        <f t="shared" si="36"/>
        <v>-15387.939995805804</v>
      </c>
      <c r="N342" s="41">
        <f t="shared" si="36"/>
        <v>26928.894992660156</v>
      </c>
      <c r="O342" s="41">
        <f t="shared" si="36"/>
        <v>-15387.939995805804</v>
      </c>
      <c r="P342" s="41">
        <f t="shared" si="36"/>
        <v>-26928.894992660156</v>
      </c>
      <c r="Q342" s="13" t="s">
        <v>251</v>
      </c>
      <c r="R342" s="215" t="s">
        <v>382</v>
      </c>
      <c r="S342" s="172"/>
      <c r="T342" s="172"/>
      <c r="U342" s="172"/>
      <c r="V342" s="172"/>
      <c r="W342" s="173"/>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94251.132474310551</v>
      </c>
      <c r="I343" s="41">
        <f t="shared" si="37"/>
        <v>0</v>
      </c>
      <c r="J343" s="9">
        <f t="shared" si="37"/>
        <v>0</v>
      </c>
      <c r="K343" s="41">
        <f t="shared" si="37"/>
        <v>0</v>
      </c>
      <c r="L343" s="41">
        <f t="shared" si="37"/>
        <v>0</v>
      </c>
      <c r="M343" s="41">
        <f t="shared" si="37"/>
        <v>26928.894992660156</v>
      </c>
      <c r="N343" s="41">
        <f t="shared" si="37"/>
        <v>-47125.566237155275</v>
      </c>
      <c r="O343" s="41">
        <f t="shared" si="37"/>
        <v>-26928.894992660156</v>
      </c>
      <c r="P343" s="41">
        <f t="shared" si="37"/>
        <v>-47125.566237155275</v>
      </c>
      <c r="Q343" s="13" t="s">
        <v>251</v>
      </c>
      <c r="R343" s="215" t="str">
        <f t="shared" ref="R343:R351" si="38">E325</f>
        <v>D3Y</v>
      </c>
      <c r="S343" s="172"/>
      <c r="T343" s="172"/>
      <c r="U343" s="172"/>
      <c r="V343" s="172"/>
      <c r="W343" s="173"/>
    </row>
    <row r="344" spans="1:23" ht="16.95" customHeight="1" x14ac:dyDescent="0.3">
      <c r="A344" s="41">
        <f t="shared" si="31"/>
        <v>0</v>
      </c>
      <c r="C344" s="9">
        <f t="shared" ref="C344:P344" si="39">B293</f>
        <v>0</v>
      </c>
      <c r="D344" s="9">
        <f t="shared" si="39"/>
        <v>0</v>
      </c>
      <c r="E344" s="41">
        <f t="shared" si="39"/>
        <v>0</v>
      </c>
      <c r="F344" s="41">
        <f t="shared" si="39"/>
        <v>0</v>
      </c>
      <c r="G344" s="41">
        <f t="shared" si="39"/>
        <v>-63000</v>
      </c>
      <c r="H344" s="41">
        <f t="shared" si="39"/>
        <v>0</v>
      </c>
      <c r="I344" s="41">
        <f t="shared" si="39"/>
        <v>78387.939995805806</v>
      </c>
      <c r="J344" s="9">
        <f t="shared" si="39"/>
        <v>-26928.894992660156</v>
      </c>
      <c r="K344" s="41">
        <f t="shared" si="39"/>
        <v>0</v>
      </c>
      <c r="L344" s="41">
        <f t="shared" si="39"/>
        <v>0</v>
      </c>
      <c r="M344" s="41">
        <f t="shared" si="39"/>
        <v>0</v>
      </c>
      <c r="N344" s="41">
        <f t="shared" si="39"/>
        <v>0</v>
      </c>
      <c r="O344" s="41">
        <f t="shared" si="39"/>
        <v>-15387.939995805804</v>
      </c>
      <c r="P344" s="41">
        <f t="shared" si="39"/>
        <v>26928.894992660156</v>
      </c>
      <c r="Q344" s="13" t="s">
        <v>251</v>
      </c>
      <c r="R344" s="215" t="str">
        <f t="shared" si="38"/>
        <v>D4X</v>
      </c>
      <c r="S344" s="172"/>
      <c r="T344" s="172"/>
      <c r="U344" s="172"/>
      <c r="V344" s="172"/>
      <c r="W344" s="173"/>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-26928.894992660156</v>
      </c>
      <c r="J345" s="9">
        <f t="shared" si="40"/>
        <v>47125.566237155275</v>
      </c>
      <c r="K345" s="9">
        <f t="shared" si="40"/>
        <v>0</v>
      </c>
      <c r="L345" s="9">
        <f t="shared" si="40"/>
        <v>0</v>
      </c>
      <c r="M345" s="9">
        <f t="shared" si="40"/>
        <v>0</v>
      </c>
      <c r="N345" s="9">
        <f t="shared" si="40"/>
        <v>0</v>
      </c>
      <c r="O345" s="9">
        <f t="shared" si="40"/>
        <v>26928.894992660156</v>
      </c>
      <c r="P345" s="9">
        <f t="shared" si="40"/>
        <v>-47125.566237155275</v>
      </c>
      <c r="Q345" s="13" t="s">
        <v>251</v>
      </c>
      <c r="R345" s="219">
        <f t="shared" si="38"/>
        <v>0</v>
      </c>
      <c r="S345" s="172"/>
      <c r="T345" s="172"/>
      <c r="U345" s="172"/>
      <c r="V345" s="172"/>
      <c r="W345" s="173"/>
    </row>
    <row r="346" spans="1:23" ht="16.95" customHeight="1" x14ac:dyDescent="0.3">
      <c r="A346" s="41">
        <f t="shared" si="31"/>
        <v>0</v>
      </c>
      <c r="C346" s="9">
        <f t="shared" ref="C346:P346" si="41">B295</f>
        <v>-15387.939995805804</v>
      </c>
      <c r="D346" s="9">
        <f t="shared" si="41"/>
        <v>-26928.894992660156</v>
      </c>
      <c r="E346" s="41">
        <f t="shared" si="41"/>
        <v>-15387.939995805804</v>
      </c>
      <c r="F346" s="41">
        <f t="shared" si="41"/>
        <v>26928.894992660156</v>
      </c>
      <c r="G346" s="41">
        <f t="shared" si="41"/>
        <v>0</v>
      </c>
      <c r="H346" s="41">
        <f t="shared" si="41"/>
        <v>0</v>
      </c>
      <c r="I346" s="41">
        <f t="shared" si="41"/>
        <v>0</v>
      </c>
      <c r="J346" s="9">
        <f t="shared" si="41"/>
        <v>0</v>
      </c>
      <c r="K346" s="41">
        <f t="shared" si="41"/>
        <v>93775.879991611611</v>
      </c>
      <c r="L346" s="41">
        <f t="shared" si="41"/>
        <v>0</v>
      </c>
      <c r="M346" s="41">
        <f t="shared" si="41"/>
        <v>-63000</v>
      </c>
      <c r="N346" s="41">
        <f t="shared" si="41"/>
        <v>0</v>
      </c>
      <c r="O346" s="41">
        <f t="shared" si="41"/>
        <v>0</v>
      </c>
      <c r="P346" s="41">
        <f t="shared" si="41"/>
        <v>0</v>
      </c>
      <c r="Q346" s="13" t="s">
        <v>251</v>
      </c>
      <c r="R346" s="215" t="str">
        <f t="shared" si="38"/>
        <v>D5X</v>
      </c>
      <c r="S346" s="172"/>
      <c r="T346" s="172"/>
      <c r="U346" s="172"/>
      <c r="V346" s="172"/>
      <c r="W346" s="173"/>
    </row>
    <row r="347" spans="1:23" ht="16.95" customHeight="1" x14ac:dyDescent="0.3">
      <c r="A347" s="41">
        <f t="shared" si="31"/>
        <v>0</v>
      </c>
      <c r="C347" s="9">
        <f t="shared" ref="C347:P347" si="42">B296</f>
        <v>-26928.894992660156</v>
      </c>
      <c r="D347" s="9">
        <f t="shared" si="42"/>
        <v>-47125.566237155275</v>
      </c>
      <c r="E347" s="41">
        <f t="shared" si="42"/>
        <v>26928.894992660156</v>
      </c>
      <c r="F347" s="41">
        <f t="shared" si="42"/>
        <v>-47125.566237155275</v>
      </c>
      <c r="G347" s="41">
        <f t="shared" si="42"/>
        <v>0</v>
      </c>
      <c r="H347" s="41">
        <f t="shared" si="42"/>
        <v>0</v>
      </c>
      <c r="I347" s="41">
        <f t="shared" si="42"/>
        <v>0</v>
      </c>
      <c r="J347" s="9">
        <f t="shared" si="42"/>
        <v>0</v>
      </c>
      <c r="K347" s="41">
        <f t="shared" si="42"/>
        <v>0</v>
      </c>
      <c r="L347" s="41">
        <f t="shared" si="42"/>
        <v>94251.132474310551</v>
      </c>
      <c r="M347" s="41">
        <f t="shared" si="42"/>
        <v>0</v>
      </c>
      <c r="N347" s="41">
        <f t="shared" si="42"/>
        <v>0</v>
      </c>
      <c r="O347" s="41">
        <f t="shared" si="42"/>
        <v>0</v>
      </c>
      <c r="P347" s="41">
        <f t="shared" si="42"/>
        <v>0</v>
      </c>
      <c r="Q347" s="13" t="s">
        <v>251</v>
      </c>
      <c r="R347" s="215" t="str">
        <f t="shared" si="38"/>
        <v>D5Y</v>
      </c>
      <c r="S347" s="172"/>
      <c r="T347" s="172"/>
      <c r="U347" s="172"/>
      <c r="V347" s="172"/>
      <c r="W347" s="173"/>
    </row>
    <row r="348" spans="1:23" ht="16.95" customHeight="1" x14ac:dyDescent="0.3">
      <c r="A348" s="41">
        <f t="shared" si="31"/>
        <v>0</v>
      </c>
      <c r="C348" s="9">
        <f t="shared" ref="C348:P348" si="43">B297</f>
        <v>0</v>
      </c>
      <c r="D348" s="9">
        <f t="shared" si="43"/>
        <v>0</v>
      </c>
      <c r="E348" s="41">
        <f t="shared" si="43"/>
        <v>-15387.939995805804</v>
      </c>
      <c r="F348" s="41">
        <f t="shared" si="43"/>
        <v>-26928.894992660156</v>
      </c>
      <c r="G348" s="41">
        <f t="shared" si="43"/>
        <v>-15387.939995805804</v>
      </c>
      <c r="H348" s="41">
        <f t="shared" si="43"/>
        <v>26928.894992660156</v>
      </c>
      <c r="I348" s="41">
        <f t="shared" si="43"/>
        <v>0</v>
      </c>
      <c r="J348" s="9">
        <f t="shared" si="43"/>
        <v>0</v>
      </c>
      <c r="K348" s="41">
        <f t="shared" si="43"/>
        <v>-63000</v>
      </c>
      <c r="L348" s="41">
        <f t="shared" si="43"/>
        <v>0</v>
      </c>
      <c r="M348" s="41">
        <f t="shared" si="43"/>
        <v>156775.87999161161</v>
      </c>
      <c r="N348" s="41">
        <f t="shared" si="43"/>
        <v>0</v>
      </c>
      <c r="O348" s="41">
        <f t="shared" si="43"/>
        <v>-63000</v>
      </c>
      <c r="P348" s="41">
        <f t="shared" si="43"/>
        <v>0</v>
      </c>
      <c r="Q348" s="13" t="s">
        <v>251</v>
      </c>
      <c r="R348" s="215" t="str">
        <f t="shared" si="38"/>
        <v>D6X</v>
      </c>
      <c r="S348" s="172"/>
      <c r="T348" s="172"/>
      <c r="U348" s="172"/>
      <c r="V348" s="172"/>
      <c r="W348" s="173"/>
    </row>
    <row r="349" spans="1:23" ht="16.95" customHeight="1" x14ac:dyDescent="0.3">
      <c r="A349" s="41">
        <f t="shared" si="31"/>
        <v>-6000</v>
      </c>
      <c r="C349" s="9">
        <f t="shared" ref="C349:P349" si="44">B298</f>
        <v>0</v>
      </c>
      <c r="D349" s="9">
        <f t="shared" si="44"/>
        <v>0</v>
      </c>
      <c r="E349" s="41">
        <f t="shared" si="44"/>
        <v>-26928.894992660156</v>
      </c>
      <c r="F349" s="41">
        <f t="shared" si="44"/>
        <v>-47125.566237155275</v>
      </c>
      <c r="G349" s="41">
        <f t="shared" si="44"/>
        <v>26928.894992660156</v>
      </c>
      <c r="H349" s="41">
        <f t="shared" si="44"/>
        <v>-47125.566237155275</v>
      </c>
      <c r="I349" s="41">
        <f t="shared" si="44"/>
        <v>0</v>
      </c>
      <c r="J349" s="9">
        <f t="shared" si="44"/>
        <v>0</v>
      </c>
      <c r="K349" s="41">
        <f t="shared" si="44"/>
        <v>0</v>
      </c>
      <c r="L349" s="41">
        <f t="shared" si="44"/>
        <v>0</v>
      </c>
      <c r="M349" s="41">
        <f t="shared" si="44"/>
        <v>0</v>
      </c>
      <c r="N349" s="41">
        <f t="shared" si="44"/>
        <v>94251.132474310551</v>
      </c>
      <c r="O349" s="41">
        <f t="shared" si="44"/>
        <v>0</v>
      </c>
      <c r="P349" s="41">
        <f t="shared" si="44"/>
        <v>0</v>
      </c>
      <c r="Q349" s="13" t="s">
        <v>251</v>
      </c>
      <c r="R349" s="215" t="str">
        <f t="shared" si="38"/>
        <v>D6Y</v>
      </c>
      <c r="S349" s="172"/>
      <c r="T349" s="172"/>
      <c r="U349" s="172"/>
      <c r="V349" s="172"/>
      <c r="W349" s="173"/>
    </row>
    <row r="350" spans="1:23" ht="16.95" customHeight="1" x14ac:dyDescent="0.3">
      <c r="A350" s="41">
        <f t="shared" si="31"/>
        <v>0</v>
      </c>
      <c r="C350" s="9">
        <f t="shared" ref="C350:P350" si="45">B299</f>
        <v>0</v>
      </c>
      <c r="D350" s="9">
        <f t="shared" si="45"/>
        <v>0</v>
      </c>
      <c r="E350" s="41">
        <f t="shared" si="45"/>
        <v>0</v>
      </c>
      <c r="F350" s="41">
        <f t="shared" si="45"/>
        <v>0</v>
      </c>
      <c r="G350" s="41">
        <f t="shared" si="45"/>
        <v>-15387.939995805804</v>
      </c>
      <c r="H350" s="41">
        <f t="shared" si="45"/>
        <v>-26928.894992660156</v>
      </c>
      <c r="I350" s="41">
        <f t="shared" si="45"/>
        <v>-15387.939995805804</v>
      </c>
      <c r="J350" s="9">
        <f t="shared" si="45"/>
        <v>26928.894992660156</v>
      </c>
      <c r="K350" s="41">
        <f t="shared" si="45"/>
        <v>0</v>
      </c>
      <c r="L350" s="41">
        <f t="shared" si="45"/>
        <v>0</v>
      </c>
      <c r="M350" s="41">
        <f t="shared" si="45"/>
        <v>-63000</v>
      </c>
      <c r="N350" s="41">
        <f t="shared" si="45"/>
        <v>0</v>
      </c>
      <c r="O350" s="41">
        <f t="shared" si="45"/>
        <v>93775.879991611611</v>
      </c>
      <c r="P350" s="41">
        <f t="shared" si="45"/>
        <v>0</v>
      </c>
      <c r="Q350" s="13" t="s">
        <v>251</v>
      </c>
      <c r="R350" s="215" t="str">
        <f t="shared" si="38"/>
        <v>D7X</v>
      </c>
      <c r="S350" s="172"/>
      <c r="T350" s="172"/>
      <c r="U350" s="172"/>
      <c r="V350" s="172"/>
      <c r="W350" s="173"/>
    </row>
    <row r="351" spans="1:23" ht="16.95" customHeight="1" x14ac:dyDescent="0.3">
      <c r="A351" s="41">
        <f t="shared" si="31"/>
        <v>0</v>
      </c>
      <c r="C351" s="9">
        <f t="shared" ref="C351:P351" si="46">B300</f>
        <v>0</v>
      </c>
      <c r="D351" s="9">
        <f t="shared" si="46"/>
        <v>0</v>
      </c>
      <c r="E351" s="41">
        <f t="shared" si="46"/>
        <v>0</v>
      </c>
      <c r="F351" s="41">
        <f t="shared" si="46"/>
        <v>0</v>
      </c>
      <c r="G351" s="41">
        <f t="shared" si="46"/>
        <v>-26928.894992660156</v>
      </c>
      <c r="H351" s="41">
        <f t="shared" si="46"/>
        <v>-47125.566237155275</v>
      </c>
      <c r="I351" s="41">
        <f t="shared" si="46"/>
        <v>26928.894992660156</v>
      </c>
      <c r="J351" s="9">
        <f t="shared" si="46"/>
        <v>-47125.566237155275</v>
      </c>
      <c r="K351" s="41">
        <f t="shared" si="46"/>
        <v>0</v>
      </c>
      <c r="L351" s="41">
        <f t="shared" si="46"/>
        <v>0</v>
      </c>
      <c r="M351" s="41">
        <f t="shared" si="46"/>
        <v>0</v>
      </c>
      <c r="N351" s="41">
        <f t="shared" si="46"/>
        <v>0</v>
      </c>
      <c r="O351" s="41">
        <f t="shared" si="46"/>
        <v>0</v>
      </c>
      <c r="P351" s="41">
        <f t="shared" si="46"/>
        <v>94251.132474310551</v>
      </c>
      <c r="Q351" s="13" t="s">
        <v>251</v>
      </c>
      <c r="R351" s="215" t="str">
        <f t="shared" si="38"/>
        <v>D7Y</v>
      </c>
      <c r="S351" s="172"/>
      <c r="T351" s="172"/>
      <c r="U351" s="172"/>
      <c r="V351" s="172"/>
      <c r="W351" s="173"/>
    </row>
    <row r="354" spans="1:23" ht="19.95" customHeight="1" x14ac:dyDescent="0.35">
      <c r="A354" s="15" t="s">
        <v>257</v>
      </c>
      <c r="R354" s="216" t="s">
        <v>258</v>
      </c>
      <c r="S354" s="172"/>
      <c r="T354" s="172"/>
      <c r="U354" s="172"/>
      <c r="V354" s="172"/>
      <c r="W354" s="173"/>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215" t="s">
        <v>383</v>
      </c>
      <c r="S355" s="172"/>
      <c r="T355" s="172"/>
      <c r="U355" s="172"/>
      <c r="V355" s="172"/>
      <c r="W355" s="173"/>
    </row>
    <row r="356" spans="1:23" ht="16.95" customHeight="1" x14ac:dyDescent="0.3">
      <c r="A356" s="41">
        <f t="shared" ref="A356:A366" si="47">INDEX(E$304:E$317, MATCH(P356, C$304:C$317, 0))</f>
        <v>0</v>
      </c>
      <c r="C356" s="41">
        <f t="shared" ref="C356:M366" si="48">INDEX($B$287:$O$300, MATCH($P356, $P$287:$P$300, 0), MATCH(C$355, $B$286:$O$286, 0))</f>
        <v>156775.87999161158</v>
      </c>
      <c r="D356" s="41">
        <f t="shared" si="48"/>
        <v>0</v>
      </c>
      <c r="E356" s="41">
        <f t="shared" si="48"/>
        <v>-63000</v>
      </c>
      <c r="F356" s="41">
        <f t="shared" si="48"/>
        <v>0</v>
      </c>
      <c r="G356" s="41">
        <f t="shared" si="48"/>
        <v>0</v>
      </c>
      <c r="H356" s="41">
        <f t="shared" si="48"/>
        <v>-15387.939995805804</v>
      </c>
      <c r="I356" s="41">
        <f t="shared" si="48"/>
        <v>26928.894992660156</v>
      </c>
      <c r="J356" s="41">
        <f t="shared" si="48"/>
        <v>-15387.939995805804</v>
      </c>
      <c r="K356" s="41">
        <f t="shared" si="48"/>
        <v>-26928.894992660156</v>
      </c>
      <c r="L356" s="41">
        <f t="shared" si="48"/>
        <v>0</v>
      </c>
      <c r="M356" s="41">
        <f t="shared" si="48"/>
        <v>0</v>
      </c>
      <c r="N356" s="13" t="s">
        <v>251</v>
      </c>
      <c r="O356" s="38" t="str">
        <f>INDEX(B$320:B$333, MATCH(1, F$320:F$333, 0))</f>
        <v>D2X</v>
      </c>
      <c r="P356" s="14" t="str">
        <f>INDEX(C$320:C$333, MATCH(1, F$320:F$333, 0))</f>
        <v>U2X</v>
      </c>
      <c r="R356" s="215" t="s">
        <v>384</v>
      </c>
      <c r="S356" s="172"/>
      <c r="T356" s="172"/>
      <c r="U356" s="172"/>
      <c r="V356" s="172"/>
      <c r="W356" s="173"/>
    </row>
    <row r="357" spans="1:23" ht="16.95" customHeight="1" x14ac:dyDescent="0.3">
      <c r="A357" s="41">
        <f t="shared" si="47"/>
        <v>-4000</v>
      </c>
      <c r="C357" s="41">
        <f t="shared" si="48"/>
        <v>0</v>
      </c>
      <c r="D357" s="41">
        <f t="shared" si="48"/>
        <v>94251.132474310551</v>
      </c>
      <c r="E357" s="41">
        <f t="shared" si="48"/>
        <v>0</v>
      </c>
      <c r="F357" s="41">
        <f t="shared" si="48"/>
        <v>0</v>
      </c>
      <c r="G357" s="41">
        <f t="shared" si="48"/>
        <v>0</v>
      </c>
      <c r="H357" s="41">
        <f t="shared" si="48"/>
        <v>26928.894992660156</v>
      </c>
      <c r="I357" s="41">
        <f t="shared" si="48"/>
        <v>-47125.566237155275</v>
      </c>
      <c r="J357" s="41">
        <f t="shared" si="48"/>
        <v>-26928.894992660156</v>
      </c>
      <c r="K357" s="41">
        <f t="shared" si="48"/>
        <v>-47125.566237155275</v>
      </c>
      <c r="L357" s="41">
        <f t="shared" si="48"/>
        <v>0</v>
      </c>
      <c r="M357" s="41">
        <f t="shared" si="48"/>
        <v>0</v>
      </c>
      <c r="N357" s="13" t="s">
        <v>251</v>
      </c>
      <c r="O357" s="38" t="str">
        <f>INDEX(B$320:B$333, MATCH(2, F$320:F$333, 0))</f>
        <v>D2Y</v>
      </c>
      <c r="P357" s="14" t="str">
        <f>INDEX(C$320:C$333, MATCH(2, F$320:F$333, 0))</f>
        <v>U2Y</v>
      </c>
      <c r="R357" s="215" t="s">
        <v>385</v>
      </c>
      <c r="S357" s="172"/>
      <c r="T357" s="172"/>
      <c r="U357" s="172"/>
      <c r="V357" s="172"/>
      <c r="W357" s="173"/>
    </row>
    <row r="358" spans="1:23" ht="16.95" customHeight="1" x14ac:dyDescent="0.3">
      <c r="A358" s="41">
        <f t="shared" si="47"/>
        <v>0</v>
      </c>
      <c r="C358" s="41">
        <f t="shared" si="48"/>
        <v>-63000</v>
      </c>
      <c r="D358" s="41">
        <f t="shared" si="48"/>
        <v>0</v>
      </c>
      <c r="E358" s="41">
        <f t="shared" si="48"/>
        <v>156775.87999161158</v>
      </c>
      <c r="F358" s="41">
        <f t="shared" si="48"/>
        <v>0</v>
      </c>
      <c r="G358" s="41">
        <f t="shared" si="48"/>
        <v>-63000</v>
      </c>
      <c r="H358" s="41">
        <f t="shared" si="48"/>
        <v>0</v>
      </c>
      <c r="I358" s="41">
        <f t="shared" si="48"/>
        <v>0</v>
      </c>
      <c r="J358" s="41">
        <f t="shared" si="48"/>
        <v>-15387.939995805804</v>
      </c>
      <c r="K358" s="41">
        <f t="shared" si="48"/>
        <v>26928.894992660156</v>
      </c>
      <c r="L358" s="41">
        <f t="shared" si="48"/>
        <v>-15387.939995805804</v>
      </c>
      <c r="M358" s="41">
        <f t="shared" si="48"/>
        <v>-26928.894992660156</v>
      </c>
      <c r="N358" s="13" t="s">
        <v>251</v>
      </c>
      <c r="O358" s="38" t="str">
        <f>INDEX(B$320:B$333, MATCH(3, F$320:F$333, 0))</f>
        <v>D3X</v>
      </c>
      <c r="P358" s="14" t="str">
        <f>INDEX(C$320:C$333, MATCH(3, F$320:F$333, 0))</f>
        <v>U3X</v>
      </c>
      <c r="R358" s="215" t="s">
        <v>386</v>
      </c>
      <c r="S358" s="172"/>
      <c r="T358" s="172"/>
      <c r="U358" s="172"/>
      <c r="V358" s="172"/>
      <c r="W358" s="173"/>
    </row>
    <row r="359" spans="1:23" ht="16.95" customHeight="1" x14ac:dyDescent="0.3">
      <c r="A359" s="41">
        <f t="shared" si="47"/>
        <v>-4000</v>
      </c>
      <c r="C359" s="41">
        <f t="shared" si="48"/>
        <v>0</v>
      </c>
      <c r="D359" s="41">
        <f t="shared" si="48"/>
        <v>0</v>
      </c>
      <c r="E359" s="41">
        <f t="shared" si="48"/>
        <v>0</v>
      </c>
      <c r="F359" s="41">
        <f t="shared" si="48"/>
        <v>94251.132474310551</v>
      </c>
      <c r="G359" s="41">
        <f t="shared" si="48"/>
        <v>0</v>
      </c>
      <c r="H359" s="41">
        <f t="shared" si="48"/>
        <v>0</v>
      </c>
      <c r="I359" s="41">
        <f t="shared" si="48"/>
        <v>0</v>
      </c>
      <c r="J359" s="41">
        <f t="shared" si="48"/>
        <v>26928.894992660156</v>
      </c>
      <c r="K359" s="41">
        <f t="shared" si="48"/>
        <v>-47125.566237155275</v>
      </c>
      <c r="L359" s="41">
        <f t="shared" si="48"/>
        <v>-26928.894992660156</v>
      </c>
      <c r="M359" s="41">
        <f t="shared" si="48"/>
        <v>-47125.566237155275</v>
      </c>
      <c r="N359" s="13" t="s">
        <v>251</v>
      </c>
      <c r="O359" s="38" t="str">
        <f>INDEX(B$320:B$333, MATCH(4, F$320:F$333, 0))</f>
        <v>D3Y</v>
      </c>
      <c r="P359" s="14" t="str">
        <f>INDEX(C$320:C$333, MATCH(4, F$320:F$333, 0))</f>
        <v>U3Y</v>
      </c>
      <c r="R359" s="215" t="s">
        <v>387</v>
      </c>
      <c r="S359" s="172"/>
      <c r="T359" s="172"/>
      <c r="U359" s="172"/>
      <c r="V359" s="172"/>
      <c r="W359" s="173"/>
    </row>
    <row r="360" spans="1:23" ht="16.95" customHeight="1" x14ac:dyDescent="0.3">
      <c r="A360" s="41">
        <f t="shared" si="47"/>
        <v>0</v>
      </c>
      <c r="C360" s="41">
        <f t="shared" si="48"/>
        <v>0</v>
      </c>
      <c r="D360" s="41">
        <f t="shared" si="48"/>
        <v>0</v>
      </c>
      <c r="E360" s="41">
        <f t="shared" si="48"/>
        <v>-63000</v>
      </c>
      <c r="F360" s="41">
        <f t="shared" si="48"/>
        <v>0</v>
      </c>
      <c r="G360" s="41">
        <f t="shared" si="48"/>
        <v>78387.939995805806</v>
      </c>
      <c r="H360" s="41">
        <f t="shared" si="48"/>
        <v>0</v>
      </c>
      <c r="I360" s="41">
        <f t="shared" si="48"/>
        <v>0</v>
      </c>
      <c r="J360" s="41">
        <f t="shared" si="48"/>
        <v>0</v>
      </c>
      <c r="K360" s="41">
        <f t="shared" si="48"/>
        <v>0</v>
      </c>
      <c r="L360" s="41">
        <f t="shared" si="48"/>
        <v>-15387.939995805804</v>
      </c>
      <c r="M360" s="41">
        <f t="shared" si="48"/>
        <v>26928.894992660156</v>
      </c>
      <c r="N360" s="13" t="s">
        <v>251</v>
      </c>
      <c r="O360" s="38" t="str">
        <f>INDEX(B$320:B$333, MATCH(5, F$320:F$333, 0))</f>
        <v>D4X</v>
      </c>
      <c r="P360" s="14" t="str">
        <f>INDEX(C$320:C$333, MATCH(5, F$320:F$333, 0))</f>
        <v>U4X</v>
      </c>
      <c r="R360" s="215" t="s">
        <v>388</v>
      </c>
      <c r="S360" s="172"/>
      <c r="T360" s="172"/>
      <c r="U360" s="172"/>
      <c r="V360" s="172"/>
      <c r="W360" s="173"/>
    </row>
    <row r="361" spans="1:23" ht="16.95" customHeight="1" x14ac:dyDescent="0.3">
      <c r="A361" s="41">
        <f t="shared" si="47"/>
        <v>0</v>
      </c>
      <c r="B361" s="13" t="s">
        <v>220</v>
      </c>
      <c r="C361" s="41">
        <f t="shared" si="48"/>
        <v>-15387.939995805804</v>
      </c>
      <c r="D361" s="41">
        <f t="shared" si="48"/>
        <v>26928.894992660156</v>
      </c>
      <c r="E361" s="41">
        <f t="shared" si="48"/>
        <v>0</v>
      </c>
      <c r="F361" s="41">
        <f t="shared" si="48"/>
        <v>0</v>
      </c>
      <c r="G361" s="41">
        <f t="shared" si="48"/>
        <v>0</v>
      </c>
      <c r="H361" s="41">
        <f t="shared" si="48"/>
        <v>93775.879991611611</v>
      </c>
      <c r="I361" s="41">
        <f t="shared" si="48"/>
        <v>0</v>
      </c>
      <c r="J361" s="41">
        <f t="shared" si="48"/>
        <v>-63000</v>
      </c>
      <c r="K361" s="41">
        <f t="shared" si="48"/>
        <v>0</v>
      </c>
      <c r="L361" s="41">
        <f t="shared" si="48"/>
        <v>0</v>
      </c>
      <c r="M361" s="41">
        <f t="shared" si="48"/>
        <v>0</v>
      </c>
      <c r="N361" s="13" t="s">
        <v>251</v>
      </c>
      <c r="O361" s="38" t="str">
        <f>INDEX(B$320:B$333, MATCH(6, F$320:F$333, 0))</f>
        <v>D5X</v>
      </c>
      <c r="P361" s="14" t="str">
        <f>INDEX(C$320:C$333, MATCH(6, F$320:F$333, 0))</f>
        <v>U5X</v>
      </c>
      <c r="R361" s="215"/>
      <c r="S361" s="172"/>
      <c r="T361" s="172"/>
      <c r="U361" s="172"/>
      <c r="V361" s="172"/>
      <c r="W361" s="173"/>
    </row>
    <row r="362" spans="1:23" ht="16.95" customHeight="1" x14ac:dyDescent="0.3">
      <c r="A362" s="41">
        <f t="shared" si="47"/>
        <v>0</v>
      </c>
      <c r="C362" s="41">
        <f t="shared" si="48"/>
        <v>26928.894992660156</v>
      </c>
      <c r="D362" s="41">
        <f t="shared" si="48"/>
        <v>-47125.566237155275</v>
      </c>
      <c r="E362" s="41">
        <f t="shared" si="48"/>
        <v>0</v>
      </c>
      <c r="F362" s="41">
        <f t="shared" si="48"/>
        <v>0</v>
      </c>
      <c r="G362" s="41">
        <f t="shared" si="48"/>
        <v>0</v>
      </c>
      <c r="H362" s="41">
        <f t="shared" si="48"/>
        <v>0</v>
      </c>
      <c r="I362" s="41">
        <f t="shared" si="48"/>
        <v>94251.132474310551</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215"/>
      <c r="S362" s="172"/>
      <c r="T362" s="172"/>
      <c r="U362" s="172"/>
      <c r="V362" s="172"/>
      <c r="W362" s="173"/>
    </row>
    <row r="363" spans="1:23" ht="16.95" customHeight="1" x14ac:dyDescent="0.3">
      <c r="A363" s="41">
        <f t="shared" si="47"/>
        <v>0</v>
      </c>
      <c r="C363" s="41">
        <f t="shared" si="48"/>
        <v>-15387.939995805804</v>
      </c>
      <c r="D363" s="41">
        <f t="shared" si="48"/>
        <v>-26928.894992660156</v>
      </c>
      <c r="E363" s="41">
        <f t="shared" si="48"/>
        <v>-15387.939995805804</v>
      </c>
      <c r="F363" s="41">
        <f t="shared" si="48"/>
        <v>26928.894992660156</v>
      </c>
      <c r="G363" s="41">
        <f t="shared" si="48"/>
        <v>0</v>
      </c>
      <c r="H363" s="41">
        <f t="shared" si="48"/>
        <v>-63000</v>
      </c>
      <c r="I363" s="41">
        <f t="shared" si="48"/>
        <v>0</v>
      </c>
      <c r="J363" s="41">
        <f t="shared" si="48"/>
        <v>156775.87999161161</v>
      </c>
      <c r="K363" s="41">
        <f t="shared" si="48"/>
        <v>0</v>
      </c>
      <c r="L363" s="41">
        <f t="shared" si="48"/>
        <v>-63000</v>
      </c>
      <c r="M363" s="41">
        <f t="shared" si="48"/>
        <v>0</v>
      </c>
      <c r="N363" s="13" t="s">
        <v>251</v>
      </c>
      <c r="O363" s="38" t="str">
        <f>INDEX(B$320:B$333, MATCH(8, F$320:F$333, 0))</f>
        <v>D6X</v>
      </c>
      <c r="P363" s="14" t="str">
        <f>INDEX(C$320:C$333, MATCH(8, F$320:F$333, 0))</f>
        <v>U6X</v>
      </c>
      <c r="R363" s="215"/>
      <c r="S363" s="172"/>
      <c r="T363" s="172"/>
      <c r="U363" s="172"/>
      <c r="V363" s="172"/>
      <c r="W363" s="173"/>
    </row>
    <row r="364" spans="1:23" ht="16.95" customHeight="1" x14ac:dyDescent="0.3">
      <c r="A364" s="41">
        <f t="shared" si="47"/>
        <v>-6000</v>
      </c>
      <c r="C364" s="41">
        <f t="shared" si="48"/>
        <v>-26928.894992660156</v>
      </c>
      <c r="D364" s="41">
        <f t="shared" si="48"/>
        <v>-47125.566237155275</v>
      </c>
      <c r="E364" s="41">
        <f t="shared" si="48"/>
        <v>26928.894992660156</v>
      </c>
      <c r="F364" s="41">
        <f t="shared" si="48"/>
        <v>-47125.566237155275</v>
      </c>
      <c r="G364" s="41">
        <f t="shared" si="48"/>
        <v>0</v>
      </c>
      <c r="H364" s="41">
        <f t="shared" si="48"/>
        <v>0</v>
      </c>
      <c r="I364" s="41">
        <f t="shared" si="48"/>
        <v>0</v>
      </c>
      <c r="J364" s="41">
        <f t="shared" si="48"/>
        <v>0</v>
      </c>
      <c r="K364" s="41">
        <f t="shared" si="48"/>
        <v>94251.132474310551</v>
      </c>
      <c r="L364" s="41">
        <f t="shared" si="48"/>
        <v>0</v>
      </c>
      <c r="M364" s="41">
        <f t="shared" si="48"/>
        <v>0</v>
      </c>
      <c r="N364" s="13" t="s">
        <v>251</v>
      </c>
      <c r="O364" s="38" t="str">
        <f>INDEX(B$320:B$333, MATCH(9, F$320:F$333, 0))</f>
        <v>D6Y</v>
      </c>
      <c r="P364" s="14" t="str">
        <f>INDEX(C$320:C$333, MATCH(9, F$320:F$333, 0))</f>
        <v>U6Y</v>
      </c>
      <c r="R364" s="215"/>
      <c r="S364" s="172"/>
      <c r="T364" s="172"/>
      <c r="U364" s="172"/>
      <c r="V364" s="172"/>
      <c r="W364" s="173"/>
    </row>
    <row r="365" spans="1:23" ht="16.95" customHeight="1" x14ac:dyDescent="0.3">
      <c r="A365" s="41">
        <f t="shared" si="47"/>
        <v>0</v>
      </c>
      <c r="C365" s="41">
        <f t="shared" si="48"/>
        <v>0</v>
      </c>
      <c r="D365" s="41">
        <f t="shared" si="48"/>
        <v>0</v>
      </c>
      <c r="E365" s="41">
        <f t="shared" si="48"/>
        <v>-15387.939995805804</v>
      </c>
      <c r="F365" s="41">
        <f t="shared" si="48"/>
        <v>-26928.894992660156</v>
      </c>
      <c r="G365" s="41">
        <f t="shared" si="48"/>
        <v>-15387.939995805804</v>
      </c>
      <c r="H365" s="41">
        <f t="shared" si="48"/>
        <v>0</v>
      </c>
      <c r="I365" s="41">
        <f t="shared" si="48"/>
        <v>0</v>
      </c>
      <c r="J365" s="41">
        <f t="shared" si="48"/>
        <v>-63000</v>
      </c>
      <c r="K365" s="41">
        <f t="shared" si="48"/>
        <v>0</v>
      </c>
      <c r="L365" s="41">
        <f t="shared" si="48"/>
        <v>93775.879991611611</v>
      </c>
      <c r="M365" s="41">
        <f t="shared" si="48"/>
        <v>0</v>
      </c>
      <c r="N365" s="13" t="s">
        <v>251</v>
      </c>
      <c r="O365" s="38" t="str">
        <f>INDEX(B$320:B$333, MATCH(10, F$320:F$333, 0))</f>
        <v>D7X</v>
      </c>
      <c r="P365" s="14" t="str">
        <f>INDEX(C$320:C$333, MATCH(10, F$320:F$333, 0))</f>
        <v>U7X</v>
      </c>
      <c r="R365" s="215"/>
      <c r="S365" s="172"/>
      <c r="T365" s="172"/>
      <c r="U365" s="172"/>
      <c r="V365" s="172"/>
      <c r="W365" s="173"/>
    </row>
    <row r="366" spans="1:23" ht="16.95" customHeight="1" x14ac:dyDescent="0.3">
      <c r="A366" s="41">
        <f t="shared" si="47"/>
        <v>0</v>
      </c>
      <c r="C366" s="41">
        <f t="shared" si="48"/>
        <v>0</v>
      </c>
      <c r="D366" s="41">
        <f t="shared" si="48"/>
        <v>0</v>
      </c>
      <c r="E366" s="41">
        <f t="shared" si="48"/>
        <v>-26928.894992660156</v>
      </c>
      <c r="F366" s="41">
        <f t="shared" si="48"/>
        <v>-47125.566237155275</v>
      </c>
      <c r="G366" s="41">
        <f t="shared" si="48"/>
        <v>26928.894992660156</v>
      </c>
      <c r="H366" s="41">
        <f t="shared" si="48"/>
        <v>0</v>
      </c>
      <c r="I366" s="41">
        <f t="shared" si="48"/>
        <v>0</v>
      </c>
      <c r="J366" s="41">
        <f t="shared" si="48"/>
        <v>0</v>
      </c>
      <c r="K366" s="41">
        <f t="shared" si="48"/>
        <v>0</v>
      </c>
      <c r="L366" s="41">
        <f t="shared" si="48"/>
        <v>0</v>
      </c>
      <c r="M366" s="41">
        <f t="shared" si="48"/>
        <v>94251.132474310551</v>
      </c>
      <c r="N366" s="13" t="s">
        <v>251</v>
      </c>
      <c r="O366" s="38" t="str">
        <f>INDEX(B$320:B$333, MATCH(11, F$320:F$333, 0))</f>
        <v>D7Y</v>
      </c>
      <c r="P366" s="14" t="str">
        <f>INDEX(C$320:C$333, MATCH(11, F$320:F$333, 0))</f>
        <v>U7Y</v>
      </c>
      <c r="R366" s="215"/>
      <c r="S366" s="172"/>
      <c r="T366" s="172"/>
      <c r="U366" s="172"/>
      <c r="V366" s="172"/>
      <c r="W366" s="173"/>
    </row>
    <row r="367" spans="1:23" ht="16.95" customHeight="1" x14ac:dyDescent="0.3">
      <c r="R367" s="215"/>
      <c r="S367" s="172"/>
      <c r="T367" s="172"/>
      <c r="U367" s="172"/>
      <c r="V367" s="172"/>
      <c r="W367" s="173"/>
    </row>
    <row r="368" spans="1:23" ht="16.95" customHeight="1" x14ac:dyDescent="0.3">
      <c r="C368" s="218" t="s">
        <v>263</v>
      </c>
      <c r="D368" s="172"/>
      <c r="E368" s="172"/>
      <c r="F368" s="172"/>
      <c r="G368" s="172"/>
      <c r="H368" s="172"/>
      <c r="I368" s="172"/>
      <c r="J368" s="172"/>
      <c r="K368" s="172"/>
      <c r="L368" s="172"/>
      <c r="M368" s="173"/>
      <c r="R368" s="215"/>
      <c r="S368" s="172"/>
      <c r="T368" s="172"/>
      <c r="U368" s="172"/>
      <c r="V368" s="172"/>
      <c r="W368" s="173"/>
    </row>
    <row r="369" spans="1:23" ht="16.95" customHeight="1" x14ac:dyDescent="0.3">
      <c r="A369" s="99" t="s">
        <v>249</v>
      </c>
      <c r="C369" s="193" t="s">
        <v>264</v>
      </c>
      <c r="D369" s="175"/>
      <c r="E369" s="175"/>
      <c r="F369" s="175"/>
      <c r="G369" s="175"/>
      <c r="H369" s="175"/>
      <c r="I369" s="175"/>
      <c r="J369" s="175"/>
      <c r="K369" s="175"/>
      <c r="L369" s="175"/>
      <c r="M369" s="175"/>
      <c r="O369" s="99" t="s">
        <v>247</v>
      </c>
      <c r="R369" s="215"/>
      <c r="S369" s="172"/>
      <c r="T369" s="172"/>
      <c r="U369" s="172"/>
      <c r="V369" s="172"/>
      <c r="W369" s="173"/>
    </row>
    <row r="370" spans="1:23" ht="16.95" customHeight="1" x14ac:dyDescent="0.3">
      <c r="A370" s="12" t="str">
        <f t="shared" ref="A370:A380" si="49">O356</f>
        <v>D2X</v>
      </c>
      <c r="C370" s="93">
        <f t="array" ref="C370:M380">MINVERSE(C356:M366)</f>
        <v>1.5873015873015882E-5</v>
      </c>
      <c r="D370" s="93">
        <v>-6.0468631897203404E-6</v>
      </c>
      <c r="E370" s="93">
        <v>1.5873015873015879E-5</v>
      </c>
      <c r="F370" s="93">
        <v>-3.0234315948601732E-6</v>
      </c>
      <c r="G370" s="93">
        <v>1.5873015873015876E-5</v>
      </c>
      <c r="H370" s="93">
        <v>1.3227513227513226E-5</v>
      </c>
      <c r="I370" s="93">
        <v>-7.5585789871504255E-6</v>
      </c>
      <c r="J370" s="93">
        <v>1.3227513227513226E-5</v>
      </c>
      <c r="K370" s="93">
        <v>-4.5351473922902595E-6</v>
      </c>
      <c r="L370" s="93">
        <v>1.3227513227513226E-5</v>
      </c>
      <c r="M370" s="93">
        <v>-1.5117157974300866E-6</v>
      </c>
      <c r="O370" s="17">
        <f t="shared" ref="O370:O380" si="50">A356</f>
        <v>0</v>
      </c>
      <c r="R370" s="215"/>
      <c r="S370" s="172"/>
      <c r="T370" s="172"/>
      <c r="U370" s="172"/>
      <c r="V370" s="172"/>
      <c r="W370" s="173"/>
    </row>
    <row r="371" spans="1:23" ht="16.95" customHeight="1" x14ac:dyDescent="0.3">
      <c r="A371" s="12" t="str">
        <f t="shared" si="49"/>
        <v>D2Y</v>
      </c>
      <c r="C371" s="93">
        <v>-6.0468631897203455E-6</v>
      </c>
      <c r="D371" s="93">
        <v>4.7873524473926847E-5</v>
      </c>
      <c r="E371" s="93">
        <v>-1.5117157974300851E-5</v>
      </c>
      <c r="F371" s="93">
        <v>3.0847463025215233E-5</v>
      </c>
      <c r="G371" s="93">
        <v>-1.8140589569161021E-5</v>
      </c>
      <c r="H371" s="93">
        <v>-2.0156210632401127E-5</v>
      </c>
      <c r="I371" s="93">
        <v>2.5664437434026383E-5</v>
      </c>
      <c r="J371" s="93">
        <v>-8.0624842529604561E-6</v>
      </c>
      <c r="K371" s="93">
        <v>4.1952006545165479E-5</v>
      </c>
      <c r="L371" s="93">
        <v>-2.0156210632401187E-6</v>
      </c>
      <c r="M371" s="93">
        <v>1.6287569111139096E-5</v>
      </c>
      <c r="O371" s="17">
        <f t="shared" si="50"/>
        <v>-4000</v>
      </c>
      <c r="R371" s="215"/>
      <c r="S371" s="172"/>
      <c r="T371" s="172"/>
      <c r="U371" s="172"/>
      <c r="V371" s="172"/>
      <c r="W371" s="173"/>
    </row>
    <row r="372" spans="1:23" ht="16.95" customHeight="1" x14ac:dyDescent="0.3">
      <c r="A372" s="12" t="str">
        <f t="shared" si="49"/>
        <v>D3X</v>
      </c>
      <c r="C372" s="93">
        <v>1.5873015873015882E-5</v>
      </c>
      <c r="D372" s="93">
        <v>-1.5117157974300851E-5</v>
      </c>
      <c r="E372" s="93">
        <v>3.1746031746031758E-5</v>
      </c>
      <c r="F372" s="93">
        <v>-1.2093726379440681E-5</v>
      </c>
      <c r="G372" s="93">
        <v>3.1746031746031751E-5</v>
      </c>
      <c r="H372" s="93">
        <v>2.1164021164021171E-5</v>
      </c>
      <c r="I372" s="93">
        <v>-1.2093726379440684E-5</v>
      </c>
      <c r="J372" s="93">
        <v>2.1164021164021164E-5</v>
      </c>
      <c r="K372" s="93">
        <v>-1.8140589569161021E-5</v>
      </c>
      <c r="L372" s="93">
        <v>2.1164021164021168E-5</v>
      </c>
      <c r="M372" s="93">
        <v>-6.0468631897203421E-6</v>
      </c>
      <c r="O372" s="17">
        <f t="shared" si="50"/>
        <v>0</v>
      </c>
      <c r="R372" s="215"/>
      <c r="S372" s="172"/>
      <c r="T372" s="172"/>
      <c r="U372" s="172"/>
      <c r="V372" s="172"/>
      <c r="W372" s="173"/>
    </row>
    <row r="373" spans="1:23" ht="16.95" customHeight="1" x14ac:dyDescent="0.3">
      <c r="A373" s="12" t="str">
        <f t="shared" si="49"/>
        <v>D3Y</v>
      </c>
      <c r="C373" s="93">
        <v>-3.0234315948601744E-6</v>
      </c>
      <c r="D373" s="93">
        <v>3.0847463025215247E-5</v>
      </c>
      <c r="E373" s="93">
        <v>-1.2093726379440679E-5</v>
      </c>
      <c r="F373" s="93">
        <v>4.7873524473926827E-5</v>
      </c>
      <c r="G373" s="93">
        <v>-1.8140589569161014E-5</v>
      </c>
      <c r="H373" s="93">
        <v>-1.6124968505920902E-5</v>
      </c>
      <c r="I373" s="93">
        <v>1.6287569111139103E-5</v>
      </c>
      <c r="J373" s="93">
        <v>-1.0078105316200563E-5</v>
      </c>
      <c r="K373" s="93">
        <v>4.1952006545165472E-5</v>
      </c>
      <c r="L373" s="93">
        <v>2.0156210632401056E-6</v>
      </c>
      <c r="M373" s="93">
        <v>2.5664437434026366E-5</v>
      </c>
      <c r="O373" s="17">
        <f t="shared" si="50"/>
        <v>-4000</v>
      </c>
      <c r="R373" s="215"/>
      <c r="S373" s="172"/>
      <c r="T373" s="172"/>
      <c r="U373" s="172"/>
      <c r="V373" s="172"/>
      <c r="W373" s="173"/>
    </row>
    <row r="374" spans="1:23" ht="16.95" customHeight="1" x14ac:dyDescent="0.3">
      <c r="A374" s="12" t="str">
        <f t="shared" si="49"/>
        <v>D4X</v>
      </c>
      <c r="C374" s="93">
        <v>1.5873015873015882E-5</v>
      </c>
      <c r="D374" s="93">
        <v>-1.8140589569161021E-5</v>
      </c>
      <c r="E374" s="93">
        <v>3.1746031746031765E-5</v>
      </c>
      <c r="F374" s="93">
        <v>-1.8140589569161011E-5</v>
      </c>
      <c r="G374" s="93">
        <v>4.7619047619047627E-5</v>
      </c>
      <c r="H374" s="93">
        <v>2.3809523809523814E-5</v>
      </c>
      <c r="I374" s="93">
        <v>-1.3605442176870766E-5</v>
      </c>
      <c r="J374" s="93">
        <v>2.380952380952381E-5</v>
      </c>
      <c r="K374" s="93">
        <v>-2.2675736961451275E-5</v>
      </c>
      <c r="L374" s="93">
        <v>2.3809523809523814E-5</v>
      </c>
      <c r="M374" s="93">
        <v>-1.3605442176870757E-5</v>
      </c>
      <c r="O374" s="17">
        <f t="shared" si="50"/>
        <v>0</v>
      </c>
      <c r="R374" s="215"/>
      <c r="S374" s="172"/>
      <c r="T374" s="172"/>
      <c r="U374" s="172"/>
      <c r="V374" s="172"/>
      <c r="W374" s="173"/>
    </row>
    <row r="375" spans="1:23" ht="16.95" customHeight="1" x14ac:dyDescent="0.3">
      <c r="A375" s="12" t="str">
        <f t="shared" si="49"/>
        <v>D5X</v>
      </c>
      <c r="B375" s="13" t="s">
        <v>220</v>
      </c>
      <c r="C375" s="93">
        <v>1.3227513227513233E-5</v>
      </c>
      <c r="D375" s="93">
        <v>-2.0156210632401127E-5</v>
      </c>
      <c r="E375" s="93">
        <v>2.1164021164021171E-5</v>
      </c>
      <c r="F375" s="93">
        <v>-1.6124968505920892E-5</v>
      </c>
      <c r="G375" s="93">
        <v>2.3809523809523814E-5</v>
      </c>
      <c r="H375" s="93">
        <v>3.5081433675858528E-5</v>
      </c>
      <c r="I375" s="93">
        <v>-1.3857394809775774E-5</v>
      </c>
      <c r="J375" s="93">
        <v>2.4499423093847938E-5</v>
      </c>
      <c r="K375" s="93">
        <v>-2.0408163265306143E-5</v>
      </c>
      <c r="L375" s="93">
        <v>1.9208417802842646E-5</v>
      </c>
      <c r="M375" s="93">
        <v>-8.8183421516754893E-6</v>
      </c>
      <c r="O375" s="17">
        <f t="shared" si="50"/>
        <v>0</v>
      </c>
      <c r="R375" s="215"/>
      <c r="S375" s="172"/>
      <c r="T375" s="172"/>
      <c r="U375" s="172"/>
      <c r="V375" s="172"/>
      <c r="W375" s="173"/>
    </row>
    <row r="376" spans="1:23" ht="16.95" customHeight="1" x14ac:dyDescent="0.3">
      <c r="A376" s="12" t="str">
        <f t="shared" si="49"/>
        <v>D5Y</v>
      </c>
      <c r="C376" s="93">
        <v>-7.5585789871504238E-6</v>
      </c>
      <c r="D376" s="93">
        <v>2.5664437434026379E-5</v>
      </c>
      <c r="E376" s="93">
        <v>-1.2093726379440681E-5</v>
      </c>
      <c r="F376" s="93">
        <v>1.6287569111139096E-5</v>
      </c>
      <c r="G376" s="93">
        <v>-1.3605442176870764E-5</v>
      </c>
      <c r="H376" s="93">
        <v>-1.3857394809775774E-5</v>
      </c>
      <c r="I376" s="93">
        <v>2.560176480354689E-5</v>
      </c>
      <c r="J376" s="93">
        <v>-7.8105316200554366E-6</v>
      </c>
      <c r="K376" s="93">
        <v>2.2271759670379961E-5</v>
      </c>
      <c r="L376" s="93">
        <v>-4.7871000251952681E-6</v>
      </c>
      <c r="M376" s="93">
        <v>8.575703354835288E-6</v>
      </c>
      <c r="O376" s="17">
        <f t="shared" si="50"/>
        <v>0</v>
      </c>
      <c r="R376" s="215"/>
      <c r="S376" s="172"/>
      <c r="T376" s="172"/>
      <c r="U376" s="172"/>
      <c r="V376" s="172"/>
      <c r="W376" s="173"/>
    </row>
    <row r="377" spans="1:23" ht="16.95" customHeight="1" x14ac:dyDescent="0.3">
      <c r="A377" s="12" t="str">
        <f t="shared" si="49"/>
        <v>D6X</v>
      </c>
      <c r="C377" s="93">
        <v>1.3227513227513228E-5</v>
      </c>
      <c r="D377" s="93">
        <v>-8.0624842529604527E-6</v>
      </c>
      <c r="E377" s="93">
        <v>2.1164021164021168E-5</v>
      </c>
      <c r="F377" s="93">
        <v>-1.0078105316200558E-5</v>
      </c>
      <c r="G377" s="93">
        <v>2.38095238095238E-5</v>
      </c>
      <c r="H377" s="93">
        <v>2.4499423093847934E-5</v>
      </c>
      <c r="I377" s="93">
        <v>-7.8105316200554349E-6</v>
      </c>
      <c r="J377" s="93">
        <v>2.9790428384853223E-5</v>
      </c>
      <c r="K377" s="93">
        <v>-1.1337868480725632E-5</v>
      </c>
      <c r="L377" s="93">
        <v>2.4499423093847934E-5</v>
      </c>
      <c r="M377" s="93">
        <v>-5.7949105568153208E-6</v>
      </c>
      <c r="O377" s="17">
        <f t="shared" si="50"/>
        <v>0</v>
      </c>
      <c r="R377" s="215"/>
      <c r="S377" s="172"/>
      <c r="T377" s="172"/>
      <c r="U377" s="172"/>
      <c r="V377" s="172"/>
      <c r="W377" s="173"/>
    </row>
    <row r="378" spans="1:23" ht="16.95" customHeight="1" x14ac:dyDescent="0.3">
      <c r="A378" s="12" t="str">
        <f t="shared" si="49"/>
        <v>D6Y</v>
      </c>
      <c r="C378" s="93">
        <v>-4.5351473922902621E-6</v>
      </c>
      <c r="D378" s="93">
        <v>4.1952006545165486E-5</v>
      </c>
      <c r="E378" s="93">
        <v>-1.8140589569161021E-5</v>
      </c>
      <c r="F378" s="93">
        <v>4.1952006545165466E-5</v>
      </c>
      <c r="G378" s="93">
        <v>-2.2675736961451278E-5</v>
      </c>
      <c r="H378" s="93">
        <v>-2.0408163265306143E-5</v>
      </c>
      <c r="I378" s="93">
        <v>2.2271759670379964E-5</v>
      </c>
      <c r="J378" s="93">
        <v>-1.1337868480725637E-5</v>
      </c>
      <c r="K378" s="93">
        <v>5.6449227828762137E-5</v>
      </c>
      <c r="L378" s="93">
        <v>-2.267573696145134E-6</v>
      </c>
      <c r="M378" s="93">
        <v>2.2271759670379951E-5</v>
      </c>
      <c r="O378" s="17">
        <f t="shared" si="50"/>
        <v>-6000</v>
      </c>
      <c r="R378" s="215"/>
      <c r="S378" s="172"/>
      <c r="T378" s="172"/>
      <c r="U378" s="172"/>
      <c r="V378" s="172"/>
      <c r="W378" s="173"/>
    </row>
    <row r="379" spans="1:23" ht="16.95" customHeight="1" x14ac:dyDescent="0.3">
      <c r="A379" s="12" t="str">
        <f t="shared" si="49"/>
        <v>D7X</v>
      </c>
      <c r="C379" s="93">
        <v>1.322751322751323E-5</v>
      </c>
      <c r="D379" s="93">
        <v>-2.0156210632401166E-6</v>
      </c>
      <c r="E379" s="93">
        <v>2.1164021164021171E-5</v>
      </c>
      <c r="F379" s="93">
        <v>2.0156210632401081E-6</v>
      </c>
      <c r="G379" s="93">
        <v>2.3809523809523803E-5</v>
      </c>
      <c r="H379" s="93">
        <v>1.9208417802842646E-5</v>
      </c>
      <c r="I379" s="93">
        <v>-4.7871000251952681E-6</v>
      </c>
      <c r="J379" s="93">
        <v>2.4499423093847934E-5</v>
      </c>
      <c r="K379" s="93">
        <v>-2.2675736961451306E-6</v>
      </c>
      <c r="L379" s="93">
        <v>3.5081433675858522E-5</v>
      </c>
      <c r="M379" s="93">
        <v>2.5195263290501219E-7</v>
      </c>
      <c r="O379" s="17">
        <f t="shared" si="50"/>
        <v>0</v>
      </c>
      <c r="R379" s="215"/>
      <c r="S379" s="172"/>
      <c r="T379" s="172"/>
      <c r="U379" s="172"/>
      <c r="V379" s="172"/>
      <c r="W379" s="173"/>
    </row>
    <row r="380" spans="1:23" ht="16.95" customHeight="1" x14ac:dyDescent="0.3">
      <c r="A380" s="12" t="str">
        <f t="shared" si="49"/>
        <v>D7Y</v>
      </c>
      <c r="C380" s="93">
        <v>-1.5117157974300872E-6</v>
      </c>
      <c r="D380" s="93">
        <v>1.62875691111391E-5</v>
      </c>
      <c r="E380" s="93">
        <v>-6.0468631897203421E-6</v>
      </c>
      <c r="F380" s="93">
        <v>2.5664437434026369E-5</v>
      </c>
      <c r="G380" s="93">
        <v>-1.3605442176870759E-5</v>
      </c>
      <c r="H380" s="93">
        <v>-8.8183421516754927E-6</v>
      </c>
      <c r="I380" s="93">
        <v>8.5757033548352914E-6</v>
      </c>
      <c r="J380" s="93">
        <v>-5.7949105568153234E-6</v>
      </c>
      <c r="K380" s="93">
        <v>2.2271759670379951E-5</v>
      </c>
      <c r="L380" s="93">
        <v>2.5195263290501076E-7</v>
      </c>
      <c r="M380" s="93">
        <v>2.560176480354688E-5</v>
      </c>
      <c r="O380" s="17">
        <f t="shared" si="50"/>
        <v>0</v>
      </c>
      <c r="R380" s="215"/>
      <c r="S380" s="172"/>
      <c r="T380" s="172"/>
      <c r="U380" s="172"/>
      <c r="V380" s="172"/>
      <c r="W380" s="173"/>
    </row>
    <row r="381" spans="1:23" ht="16.95" customHeight="1" x14ac:dyDescent="0.3">
      <c r="R381" s="215"/>
      <c r="S381" s="172"/>
      <c r="T381" s="172"/>
      <c r="U381" s="172"/>
      <c r="V381" s="172"/>
      <c r="W381" s="173"/>
    </row>
    <row r="382" spans="1:23" ht="16.95" customHeight="1" x14ac:dyDescent="0.3">
      <c r="C382" s="218" t="s">
        <v>265</v>
      </c>
      <c r="D382" s="173"/>
      <c r="R382" s="215"/>
      <c r="S382" s="172"/>
      <c r="T382" s="172"/>
      <c r="U382" s="172"/>
      <c r="V382" s="172"/>
      <c r="W382" s="173"/>
    </row>
    <row r="383" spans="1:23" ht="16.95" customHeight="1" x14ac:dyDescent="0.3">
      <c r="A383" s="99" t="s">
        <v>249</v>
      </c>
      <c r="C383" s="99" t="s">
        <v>266</v>
      </c>
      <c r="R383" s="215"/>
      <c r="S383" s="172"/>
      <c r="T383" s="172"/>
      <c r="U383" s="172"/>
      <c r="V383" s="172"/>
      <c r="W383" s="173"/>
    </row>
    <row r="384" spans="1:23" ht="16.95" customHeight="1" x14ac:dyDescent="0.3">
      <c r="A384" s="12" t="str">
        <f t="shared" ref="A384:A394" si="51">A370</f>
        <v>D2X</v>
      </c>
      <c r="C384" s="94">
        <f t="array" ref="C384:C394">MMULT(C370:M380, O370:O380)</f>
        <v>6.3492063492063613E-2</v>
      </c>
      <c r="D384" s="12" t="s">
        <v>267</v>
      </c>
      <c r="R384" s="215"/>
      <c r="S384" s="172"/>
      <c r="T384" s="172"/>
      <c r="U384" s="172"/>
      <c r="V384" s="172"/>
      <c r="W384" s="173"/>
    </row>
    <row r="385" spans="1:23" ht="16.95" customHeight="1" x14ac:dyDescent="0.3">
      <c r="A385" s="12" t="str">
        <f t="shared" si="51"/>
        <v>D2Y</v>
      </c>
      <c r="C385" s="94">
        <v>-0.56659598926756116</v>
      </c>
      <c r="D385" s="12" t="s">
        <v>267</v>
      </c>
      <c r="R385" s="215"/>
      <c r="S385" s="172"/>
      <c r="T385" s="172"/>
      <c r="U385" s="172"/>
      <c r="V385" s="172"/>
      <c r="W385" s="173"/>
    </row>
    <row r="386" spans="1:23" ht="16.95" customHeight="1" x14ac:dyDescent="0.3">
      <c r="A386" s="12" t="str">
        <f t="shared" si="51"/>
        <v>D3X</v>
      </c>
      <c r="C386" s="94">
        <v>0.21768707482993227</v>
      </c>
      <c r="D386" s="12" t="s">
        <v>267</v>
      </c>
      <c r="R386" s="215"/>
      <c r="S386" s="172"/>
      <c r="T386" s="172"/>
      <c r="U386" s="172"/>
      <c r="V386" s="172"/>
      <c r="W386" s="173"/>
    </row>
    <row r="387" spans="1:23" ht="16.95" customHeight="1" x14ac:dyDescent="0.3">
      <c r="A387" s="12" t="str">
        <f t="shared" si="51"/>
        <v>D3Y</v>
      </c>
      <c r="C387" s="94">
        <v>-0.56659598926756116</v>
      </c>
      <c r="D387" s="12" t="s">
        <v>267</v>
      </c>
      <c r="R387" s="215"/>
      <c r="S387" s="172"/>
      <c r="T387" s="172"/>
      <c r="U387" s="172"/>
      <c r="V387" s="172"/>
      <c r="W387" s="173"/>
    </row>
    <row r="388" spans="1:23" ht="16.95" customHeight="1" x14ac:dyDescent="0.3">
      <c r="A388" s="12" t="str">
        <f t="shared" si="51"/>
        <v>D4X</v>
      </c>
      <c r="C388" s="94">
        <v>0.28117913832199581</v>
      </c>
      <c r="D388" s="12" t="s">
        <v>267</v>
      </c>
      <c r="R388" s="215"/>
      <c r="S388" s="172"/>
      <c r="T388" s="172"/>
      <c r="U388" s="172"/>
      <c r="V388" s="172"/>
      <c r="W388" s="173"/>
    </row>
    <row r="389" spans="1:23" ht="16.95" customHeight="1" x14ac:dyDescent="0.3">
      <c r="A389" s="12" t="str">
        <f t="shared" si="51"/>
        <v>D5X</v>
      </c>
      <c r="B389" s="13" t="s">
        <v>220</v>
      </c>
      <c r="C389" s="94">
        <v>0.26757369614512494</v>
      </c>
      <c r="D389" s="12" t="s">
        <v>267</v>
      </c>
      <c r="R389" s="215"/>
      <c r="S389" s="172"/>
      <c r="T389" s="172"/>
      <c r="U389" s="172"/>
      <c r="V389" s="172"/>
      <c r="W389" s="173"/>
    </row>
    <row r="390" spans="1:23" ht="16.95" customHeight="1" x14ac:dyDescent="0.3">
      <c r="A390" s="12" t="str">
        <f t="shared" si="51"/>
        <v>D5Y</v>
      </c>
      <c r="C390" s="94">
        <v>-0.30143858420294167</v>
      </c>
      <c r="D390" s="12" t="s">
        <v>267</v>
      </c>
      <c r="R390" s="215"/>
      <c r="S390" s="172"/>
      <c r="T390" s="172"/>
      <c r="U390" s="172"/>
      <c r="V390" s="172"/>
      <c r="W390" s="173"/>
    </row>
    <row r="391" spans="1:23" ht="16.95" customHeight="1" x14ac:dyDescent="0.3">
      <c r="A391" s="12" t="str">
        <f t="shared" si="51"/>
        <v>D6X</v>
      </c>
      <c r="C391" s="94">
        <v>0.14058956916099782</v>
      </c>
      <c r="D391" s="12" t="s">
        <v>267</v>
      </c>
      <c r="R391" s="215"/>
      <c r="S391" s="172"/>
      <c r="T391" s="172"/>
      <c r="U391" s="172"/>
      <c r="V391" s="172"/>
      <c r="W391" s="173"/>
    </row>
    <row r="392" spans="1:23" ht="16.95" customHeight="1" x14ac:dyDescent="0.3">
      <c r="A392" s="12" t="str">
        <f t="shared" si="51"/>
        <v>D6Y</v>
      </c>
      <c r="C392" s="94">
        <v>-0.6743114193338966</v>
      </c>
      <c r="D392" s="12" t="s">
        <v>267</v>
      </c>
      <c r="R392" s="215"/>
      <c r="S392" s="172"/>
      <c r="T392" s="172"/>
      <c r="U392" s="172"/>
      <c r="V392" s="172"/>
      <c r="W392" s="173"/>
    </row>
    <row r="393" spans="1:23" ht="16.95" customHeight="1" x14ac:dyDescent="0.3">
      <c r="A393" s="12" t="str">
        <f t="shared" si="51"/>
        <v>D7X</v>
      </c>
      <c r="C393" s="94">
        <v>1.3605442176870819E-2</v>
      </c>
      <c r="D393" s="12" t="s">
        <v>267</v>
      </c>
      <c r="R393" s="215"/>
      <c r="S393" s="172"/>
      <c r="T393" s="172"/>
      <c r="U393" s="172"/>
      <c r="V393" s="172"/>
      <c r="W393" s="173"/>
    </row>
    <row r="394" spans="1:23" ht="16.95" customHeight="1" x14ac:dyDescent="0.3">
      <c r="A394" s="12" t="str">
        <f t="shared" si="51"/>
        <v>D7Y</v>
      </c>
      <c r="C394" s="94">
        <v>-0.30143858420294156</v>
      </c>
      <c r="D394" s="12" t="s">
        <v>267</v>
      </c>
      <c r="R394" s="215"/>
      <c r="S394" s="172"/>
      <c r="T394" s="172"/>
      <c r="U394" s="172"/>
      <c r="V394" s="172"/>
      <c r="W394" s="173"/>
    </row>
    <row r="397" spans="1:23" ht="19.95" customHeight="1" x14ac:dyDescent="0.35">
      <c r="A397" s="11" t="s">
        <v>268</v>
      </c>
      <c r="R397" s="216" t="s">
        <v>269</v>
      </c>
      <c r="S397" s="172"/>
      <c r="T397" s="172"/>
      <c r="U397" s="172"/>
      <c r="V397" s="172"/>
      <c r="W397" s="173"/>
    </row>
    <row r="398" spans="1:23" ht="16.95" customHeight="1" x14ac:dyDescent="0.3">
      <c r="A398" s="99" t="s">
        <v>247</v>
      </c>
      <c r="O398" s="99" t="s">
        <v>249</v>
      </c>
      <c r="R398" s="215" t="s">
        <v>389</v>
      </c>
      <c r="S398" s="172"/>
      <c r="T398" s="172"/>
      <c r="U398" s="172"/>
      <c r="V398" s="172"/>
      <c r="W398" s="173"/>
    </row>
    <row r="399" spans="1:23" ht="16.95" customHeight="1" x14ac:dyDescent="0.3">
      <c r="A399" s="18" t="str">
        <f>INDEX(B$304:B$317, MATCH(P399, C$304:C$317, 0))</f>
        <v>C1X</v>
      </c>
      <c r="C399" s="9">
        <f t="shared" ref="C399:M401" si="52">INDEX($B$287:$O$300, MATCH($P399, $P$287:$P$300, 0), MATCH(C$355, $B$286:$O$286, 0))</f>
        <v>-63000</v>
      </c>
      <c r="D399" s="9">
        <f t="shared" si="52"/>
        <v>0</v>
      </c>
      <c r="E399" s="9">
        <f t="shared" si="52"/>
        <v>0</v>
      </c>
      <c r="F399" s="9">
        <f t="shared" si="52"/>
        <v>0</v>
      </c>
      <c r="G399" s="9">
        <f t="shared" si="52"/>
        <v>0</v>
      </c>
      <c r="H399" s="9">
        <f t="shared" si="52"/>
        <v>-15387.939995805804</v>
      </c>
      <c r="I399" s="9">
        <f t="shared" si="52"/>
        <v>-26928.894992660156</v>
      </c>
      <c r="J399" s="9">
        <f t="shared" si="52"/>
        <v>0</v>
      </c>
      <c r="K399" s="9">
        <f t="shared" si="52"/>
        <v>0</v>
      </c>
      <c r="L399" s="9">
        <f t="shared" si="52"/>
        <v>0</v>
      </c>
      <c r="M399" s="9">
        <f t="shared" si="52"/>
        <v>0</v>
      </c>
      <c r="O399" s="95">
        <f t="shared" ref="O399:O409" si="53">C384</f>
        <v>6.3492063492063613E-2</v>
      </c>
      <c r="P399" s="14" t="str">
        <f>INDEX(C$320:C$333, MATCH(1, G$320:G$333, 0))</f>
        <v>U1X</v>
      </c>
      <c r="R399" s="215" t="s">
        <v>390</v>
      </c>
      <c r="S399" s="172"/>
      <c r="T399" s="172"/>
      <c r="U399" s="172"/>
      <c r="V399" s="172"/>
      <c r="W399" s="173"/>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-26928.894992660156</v>
      </c>
      <c r="I400" s="9">
        <f t="shared" si="52"/>
        <v>-47125.566237155275</v>
      </c>
      <c r="J400" s="9">
        <f t="shared" si="52"/>
        <v>0</v>
      </c>
      <c r="K400" s="9">
        <f t="shared" si="52"/>
        <v>0</v>
      </c>
      <c r="L400" s="9">
        <f t="shared" si="52"/>
        <v>0</v>
      </c>
      <c r="M400" s="9">
        <f t="shared" si="52"/>
        <v>0</v>
      </c>
      <c r="O400" s="95">
        <f t="shared" si="53"/>
        <v>-0.56659598926756116</v>
      </c>
      <c r="P400" s="14" t="str">
        <f>INDEX(C$320:C$333, MATCH(2, G$320:G$333, 0))</f>
        <v>U1Y</v>
      </c>
      <c r="R400" s="215" t="s">
        <v>391</v>
      </c>
      <c r="S400" s="172"/>
      <c r="T400" s="172"/>
      <c r="U400" s="172"/>
      <c r="V400" s="172"/>
      <c r="W400" s="173"/>
    </row>
    <row r="401" spans="1:23" ht="16.95" customHeight="1" x14ac:dyDescent="0.3">
      <c r="A401" s="18" t="str">
        <f>INDEX(B$304:B$317, MATCH(P401, C$304:C$317, 0))</f>
        <v>C4Y</v>
      </c>
      <c r="C401" s="9">
        <f t="shared" si="52"/>
        <v>0</v>
      </c>
      <c r="D401" s="9">
        <f t="shared" si="52"/>
        <v>0</v>
      </c>
      <c r="E401" s="9">
        <f t="shared" si="52"/>
        <v>0</v>
      </c>
      <c r="F401" s="9">
        <f t="shared" si="52"/>
        <v>0</v>
      </c>
      <c r="G401" s="9">
        <f t="shared" si="52"/>
        <v>-26928.894992660156</v>
      </c>
      <c r="H401" s="9">
        <f t="shared" si="52"/>
        <v>0</v>
      </c>
      <c r="I401" s="9">
        <f t="shared" si="52"/>
        <v>0</v>
      </c>
      <c r="J401" s="9">
        <f t="shared" si="52"/>
        <v>0</v>
      </c>
      <c r="K401" s="9">
        <f t="shared" si="52"/>
        <v>0</v>
      </c>
      <c r="L401" s="9">
        <f t="shared" si="52"/>
        <v>26928.894992660156</v>
      </c>
      <c r="M401" s="9">
        <f t="shared" si="52"/>
        <v>-47125.566237155275</v>
      </c>
      <c r="O401" s="95">
        <f t="shared" si="53"/>
        <v>0.21768707482993227</v>
      </c>
      <c r="P401" s="14" t="str">
        <f>INDEX(C$320:C$333, MATCH(3, G$320:G$333, 0))</f>
        <v>U4Y</v>
      </c>
      <c r="R401" s="215" t="s">
        <v>392</v>
      </c>
      <c r="S401" s="172"/>
      <c r="T401" s="172"/>
      <c r="U401" s="172"/>
      <c r="V401" s="172"/>
      <c r="W401" s="173"/>
    </row>
    <row r="402" spans="1:23" ht="16.95" customHeight="1" x14ac:dyDescent="0.3">
      <c r="O402" s="95">
        <f t="shared" si="53"/>
        <v>-0.56659598926756116</v>
      </c>
      <c r="R402" s="215" t="s">
        <v>393</v>
      </c>
      <c r="S402" s="172"/>
      <c r="T402" s="172"/>
      <c r="U402" s="172"/>
      <c r="V402" s="172"/>
      <c r="W402" s="173"/>
    </row>
    <row r="403" spans="1:23" ht="16.95" customHeight="1" x14ac:dyDescent="0.3">
      <c r="O403" s="95">
        <f t="shared" si="53"/>
        <v>0.28117913832199581</v>
      </c>
      <c r="R403" s="215" t="s">
        <v>394</v>
      </c>
      <c r="S403" s="172"/>
      <c r="T403" s="172"/>
      <c r="U403" s="172"/>
      <c r="V403" s="172"/>
      <c r="W403" s="173"/>
    </row>
    <row r="404" spans="1:23" ht="16.95" customHeight="1" x14ac:dyDescent="0.3">
      <c r="O404" s="95">
        <f t="shared" si="53"/>
        <v>0.26757369614512494</v>
      </c>
      <c r="R404" s="215"/>
      <c r="S404" s="172"/>
      <c r="T404" s="172"/>
      <c r="U404" s="172"/>
      <c r="V404" s="172"/>
      <c r="W404" s="173"/>
    </row>
    <row r="405" spans="1:23" ht="16.95" customHeight="1" x14ac:dyDescent="0.3">
      <c r="O405" s="95">
        <f t="shared" si="53"/>
        <v>-0.30143858420294167</v>
      </c>
      <c r="R405" s="215"/>
      <c r="S405" s="172"/>
      <c r="T405" s="172"/>
      <c r="U405" s="172"/>
      <c r="V405" s="172"/>
      <c r="W405" s="173"/>
    </row>
    <row r="406" spans="1:23" ht="16.95" customHeight="1" x14ac:dyDescent="0.3">
      <c r="O406" s="95">
        <f t="shared" si="53"/>
        <v>0.14058956916099782</v>
      </c>
      <c r="R406" s="215"/>
      <c r="S406" s="172"/>
      <c r="T406" s="172"/>
      <c r="U406" s="172"/>
      <c r="V406" s="172"/>
      <c r="W406" s="173"/>
    </row>
    <row r="407" spans="1:23" ht="16.95" customHeight="1" x14ac:dyDescent="0.3">
      <c r="O407" s="95">
        <f t="shared" si="53"/>
        <v>-0.6743114193338966</v>
      </c>
      <c r="R407" s="215"/>
      <c r="S407" s="172"/>
      <c r="T407" s="172"/>
      <c r="U407" s="172"/>
      <c r="V407" s="172"/>
      <c r="W407" s="173"/>
    </row>
    <row r="408" spans="1:23" ht="16.95" customHeight="1" x14ac:dyDescent="0.3">
      <c r="O408" s="95">
        <f t="shared" si="53"/>
        <v>1.3605442176870819E-2</v>
      </c>
      <c r="R408" s="215"/>
      <c r="S408" s="172"/>
      <c r="T408" s="172"/>
      <c r="U408" s="172"/>
      <c r="V408" s="172"/>
      <c r="W408" s="173"/>
    </row>
    <row r="409" spans="1:23" ht="16.95" customHeight="1" x14ac:dyDescent="0.3">
      <c r="O409" s="95">
        <f t="shared" si="53"/>
        <v>-0.30143858420294156</v>
      </c>
      <c r="R409" s="215"/>
      <c r="S409" s="172"/>
      <c r="T409" s="172"/>
      <c r="U409" s="172"/>
      <c r="V409" s="172"/>
      <c r="W409" s="173"/>
    </row>
    <row r="410" spans="1:23" ht="16.95" customHeight="1" x14ac:dyDescent="0.3">
      <c r="R410" s="215"/>
      <c r="S410" s="172"/>
      <c r="T410" s="172"/>
      <c r="U410" s="172"/>
      <c r="V410" s="172"/>
      <c r="W410" s="173"/>
    </row>
    <row r="411" spans="1:23" ht="16.95" customHeight="1" x14ac:dyDescent="0.3">
      <c r="A411" s="12" t="str">
        <f>A399</f>
        <v>C1X</v>
      </c>
      <c r="C411" s="17">
        <f t="array" ref="C411:C413">MMULT(C399:M401, O399:O409)</f>
        <v>-2.7284841053187847E-12</v>
      </c>
      <c r="D411" s="12" t="s">
        <v>273</v>
      </c>
      <c r="R411" s="215"/>
      <c r="S411" s="172"/>
      <c r="T411" s="172"/>
      <c r="U411" s="172"/>
      <c r="V411" s="172"/>
      <c r="W411" s="173"/>
    </row>
    <row r="412" spans="1:23" ht="16.95" customHeight="1" x14ac:dyDescent="0.3">
      <c r="A412" s="12" t="str">
        <f>A400</f>
        <v>C1Y</v>
      </c>
      <c r="B412" s="13" t="s">
        <v>220</v>
      </c>
      <c r="C412" s="17">
        <v>7000.00000000001</v>
      </c>
      <c r="D412" s="12" t="s">
        <v>273</v>
      </c>
      <c r="R412" s="215"/>
      <c r="S412" s="172"/>
      <c r="T412" s="172"/>
      <c r="U412" s="172"/>
      <c r="V412" s="172"/>
      <c r="W412" s="173"/>
    </row>
    <row r="413" spans="1:23" ht="16.95" customHeight="1" x14ac:dyDescent="0.3">
      <c r="A413" s="12" t="str">
        <f>A401</f>
        <v>C4Y</v>
      </c>
      <c r="C413" s="17">
        <v>7000.0000000000027</v>
      </c>
      <c r="D413" s="12" t="s">
        <v>273</v>
      </c>
      <c r="R413" s="215"/>
      <c r="S413" s="172"/>
      <c r="T413" s="172"/>
      <c r="U413" s="172"/>
      <c r="V413" s="172"/>
      <c r="W413" s="173"/>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6.3492063492063613E-2</v>
      </c>
    </row>
    <row r="421" spans="1:4" ht="19.05" customHeight="1" x14ac:dyDescent="0.3">
      <c r="A421" s="12" t="s">
        <v>231</v>
      </c>
      <c r="B421" s="12" t="s">
        <v>181</v>
      </c>
      <c r="D421" s="94">
        <f t="shared" si="54"/>
        <v>-0.56659598926756116</v>
      </c>
    </row>
    <row r="422" spans="1:4" ht="19.05" customHeight="1" x14ac:dyDescent="0.3">
      <c r="A422" s="12" t="s">
        <v>232</v>
      </c>
      <c r="B422" s="12" t="s">
        <v>182</v>
      </c>
      <c r="D422" s="94">
        <f t="shared" si="54"/>
        <v>0.21768707482993227</v>
      </c>
    </row>
    <row r="423" spans="1:4" ht="19.05" customHeight="1" x14ac:dyDescent="0.3">
      <c r="A423" s="12" t="s">
        <v>234</v>
      </c>
      <c r="B423" s="12" t="s">
        <v>183</v>
      </c>
      <c r="D423" s="94">
        <f t="shared" si="54"/>
        <v>-0.56659598926756116</v>
      </c>
    </row>
    <row r="424" spans="1:4" ht="19.05" customHeight="1" x14ac:dyDescent="0.3">
      <c r="A424" s="12" t="s">
        <v>235</v>
      </c>
      <c r="B424" s="12" t="s">
        <v>184</v>
      </c>
      <c r="D424" s="94">
        <f t="shared" si="54"/>
        <v>0.28117913832199581</v>
      </c>
    </row>
    <row r="425" spans="1:4" ht="19.05" customHeight="1" x14ac:dyDescent="0.3">
      <c r="A425" s="12" t="s">
        <v>236</v>
      </c>
      <c r="B425" s="12" t="s">
        <v>185</v>
      </c>
      <c r="D425" s="94">
        <f t="shared" si="54"/>
        <v>0</v>
      </c>
    </row>
    <row r="426" spans="1:4" ht="19.05" customHeight="1" x14ac:dyDescent="0.3">
      <c r="A426" s="12" t="s">
        <v>237</v>
      </c>
      <c r="B426" s="12" t="s">
        <v>186</v>
      </c>
      <c r="D426" s="94">
        <f t="shared" si="54"/>
        <v>0.26757369614512494</v>
      </c>
    </row>
    <row r="427" spans="1:4" ht="19.05" customHeight="1" x14ac:dyDescent="0.3">
      <c r="A427" s="12" t="s">
        <v>238</v>
      </c>
      <c r="B427" s="12" t="s">
        <v>187</v>
      </c>
      <c r="D427" s="94">
        <f t="shared" si="54"/>
        <v>-0.30143858420294167</v>
      </c>
    </row>
    <row r="428" spans="1:4" ht="19.05" customHeight="1" x14ac:dyDescent="0.3">
      <c r="A428" s="12" t="s">
        <v>239</v>
      </c>
      <c r="B428" s="12" t="s">
        <v>188</v>
      </c>
      <c r="D428" s="94">
        <f t="shared" si="54"/>
        <v>0.14058956916099782</v>
      </c>
    </row>
    <row r="429" spans="1:4" ht="19.05" customHeight="1" x14ac:dyDescent="0.3">
      <c r="A429" s="12" t="s">
        <v>240</v>
      </c>
      <c r="B429" s="12" t="s">
        <v>189</v>
      </c>
      <c r="D429" s="94">
        <f t="shared" si="54"/>
        <v>-0.6743114193338966</v>
      </c>
    </row>
    <row r="430" spans="1:4" ht="19.05" customHeight="1" x14ac:dyDescent="0.3">
      <c r="A430" s="12" t="s">
        <v>587</v>
      </c>
      <c r="B430" s="12" t="s">
        <v>579</v>
      </c>
      <c r="D430" s="94">
        <f t="shared" si="54"/>
        <v>1.3605442176870819E-2</v>
      </c>
    </row>
    <row r="431" spans="1:4" ht="19.05" customHeight="1" x14ac:dyDescent="0.3">
      <c r="A431" s="12" t="s">
        <v>588</v>
      </c>
      <c r="B431" s="12" t="s">
        <v>580</v>
      </c>
      <c r="D431" s="94">
        <f t="shared" si="54"/>
        <v>-0.30143858420294156</v>
      </c>
    </row>
    <row r="434" spans="1:23" ht="19.95" customHeight="1" x14ac:dyDescent="0.35">
      <c r="A434" s="11" t="s">
        <v>275</v>
      </c>
      <c r="R434" s="216" t="s">
        <v>276</v>
      </c>
      <c r="S434" s="172"/>
      <c r="T434" s="172"/>
      <c r="U434" s="172"/>
      <c r="V434" s="172"/>
      <c r="W434" s="173"/>
    </row>
    <row r="435" spans="1:23" ht="16.95" customHeight="1" x14ac:dyDescent="0.3">
      <c r="R435" s="215" t="s">
        <v>395</v>
      </c>
      <c r="S435" s="172"/>
      <c r="T435" s="172"/>
      <c r="U435" s="172"/>
      <c r="V435" s="172"/>
      <c r="W435" s="173"/>
    </row>
    <row r="436" spans="1:23" ht="16.95" customHeight="1" x14ac:dyDescent="0.3">
      <c r="A436" s="19" t="s">
        <v>278</v>
      </c>
      <c r="C436" s="19" t="s">
        <v>279</v>
      </c>
      <c r="D436" s="19" t="s">
        <v>280</v>
      </c>
      <c r="E436" s="19" t="s">
        <v>279</v>
      </c>
      <c r="F436" s="19" t="s">
        <v>280</v>
      </c>
      <c r="G436" s="19" t="s">
        <v>249</v>
      </c>
      <c r="R436" s="215" t="s">
        <v>396</v>
      </c>
      <c r="S436" s="172"/>
      <c r="T436" s="172"/>
      <c r="U436" s="172"/>
      <c r="V436" s="172"/>
      <c r="W436" s="173"/>
    </row>
    <row r="437" spans="1:23" ht="16.95" customHeight="1" x14ac:dyDescent="0.3">
      <c r="C437" s="19" t="s">
        <v>282</v>
      </c>
      <c r="D437" s="19" t="s">
        <v>282</v>
      </c>
      <c r="E437" s="19" t="s">
        <v>283</v>
      </c>
      <c r="F437" s="19" t="s">
        <v>283</v>
      </c>
      <c r="R437" s="215" t="s">
        <v>397</v>
      </c>
      <c r="S437" s="172"/>
      <c r="T437" s="172"/>
      <c r="U437" s="172"/>
      <c r="V437" s="172"/>
      <c r="W437" s="173"/>
    </row>
    <row r="438" spans="1:23" ht="16.95" customHeight="1" x14ac:dyDescent="0.3">
      <c r="A438" s="17">
        <f>N6</f>
        <v>63000</v>
      </c>
      <c r="C438" s="92">
        <f>-J6</f>
        <v>-1</v>
      </c>
      <c r="D438" s="92">
        <f>-K6</f>
        <v>0</v>
      </c>
      <c r="E438" s="92">
        <f>J6</f>
        <v>1</v>
      </c>
      <c r="F438" s="92">
        <f>K6</f>
        <v>0</v>
      </c>
      <c r="G438" s="96">
        <f>IFERROR(VLOOKUP(H438, A$418:D$431, 4, FALSE), 0)</f>
        <v>0</v>
      </c>
      <c r="H438" s="12" t="str">
        <f>"D" &amp; C20 &amp; "X"</f>
        <v>D1X</v>
      </c>
      <c r="R438" s="215" t="s">
        <v>398</v>
      </c>
      <c r="S438" s="172"/>
      <c r="T438" s="172"/>
      <c r="U438" s="172"/>
      <c r="V438" s="172"/>
      <c r="W438" s="173"/>
    </row>
    <row r="439" spans="1:23" ht="16.95" customHeight="1" x14ac:dyDescent="0.3">
      <c r="A439" s="99" t="s">
        <v>285</v>
      </c>
      <c r="B439" s="97">
        <f>(MMULT(C438:F438, G438:G441)*A438)</f>
        <v>4000.0000000000077</v>
      </c>
      <c r="G439" s="96">
        <f>IFERROR(VLOOKUP(H439, A$418:D$431, 4, FALSE), 0)</f>
        <v>0</v>
      </c>
      <c r="H439" s="12" t="str">
        <f>"D" &amp; D20 &amp; "Y"</f>
        <v>D1Y</v>
      </c>
      <c r="R439" s="215" t="s">
        <v>399</v>
      </c>
      <c r="S439" s="172"/>
      <c r="T439" s="172"/>
      <c r="U439" s="172"/>
      <c r="V439" s="172"/>
      <c r="W439" s="173"/>
    </row>
    <row r="440" spans="1:23" ht="16.95" customHeight="1" x14ac:dyDescent="0.3">
      <c r="G440" s="96">
        <f>IFERROR(VLOOKUP(H440, A$418:D$431, 4, FALSE), 0)</f>
        <v>6.3492063492063613E-2</v>
      </c>
      <c r="H440" s="12" t="str">
        <f>"D" &amp; E20 &amp; "X"</f>
        <v>D2X</v>
      </c>
      <c r="R440" s="215" t="s">
        <v>400</v>
      </c>
      <c r="S440" s="172"/>
      <c r="T440" s="172"/>
      <c r="U440" s="172"/>
      <c r="V440" s="172"/>
      <c r="W440" s="173"/>
    </row>
    <row r="441" spans="1:23" ht="16.95" customHeight="1" x14ac:dyDescent="0.3">
      <c r="G441" s="96">
        <f>IFERROR(VLOOKUP(H441, A$418:D$431, 4, FALSE), 0)</f>
        <v>-0.56659598926756116</v>
      </c>
      <c r="H441" s="12" t="str">
        <f>"D" &amp; F20 &amp; "Y"</f>
        <v>D2Y</v>
      </c>
      <c r="R441" s="215" t="s">
        <v>401</v>
      </c>
      <c r="S441" s="172"/>
      <c r="T441" s="172"/>
      <c r="U441" s="172"/>
      <c r="V441" s="172"/>
      <c r="W441" s="173"/>
    </row>
    <row r="442" spans="1:23" ht="16.95" customHeight="1" x14ac:dyDescent="0.3">
      <c r="B442" s="99" t="s">
        <v>273</v>
      </c>
      <c r="C442" s="178" t="str">
        <f>IF(B439&gt;0.001,"BARRA A TRACCIÓN (+)",IF(B439&lt;-0.001,"BARRA A COMPRESIÓN (-)","BARRA DE FUERZA NULA"))</f>
        <v>BARRA A TRACCIÓN (+)</v>
      </c>
      <c r="D442" s="172"/>
      <c r="E442" s="172"/>
      <c r="F442" s="173"/>
      <c r="R442" s="215" t="s">
        <v>402</v>
      </c>
      <c r="S442" s="172"/>
      <c r="T442" s="172"/>
      <c r="U442" s="172"/>
      <c r="V442" s="172"/>
      <c r="W442" s="173"/>
    </row>
    <row r="443" spans="1:23" ht="16.95" customHeight="1" x14ac:dyDescent="0.3">
      <c r="R443" s="215" t="s">
        <v>403</v>
      </c>
      <c r="S443" s="172"/>
      <c r="T443" s="172"/>
      <c r="U443" s="172"/>
      <c r="V443" s="172"/>
      <c r="W443" s="173"/>
    </row>
    <row r="444" spans="1:23" ht="16.95" customHeight="1" x14ac:dyDescent="0.3">
      <c r="A444" s="19" t="s">
        <v>278</v>
      </c>
      <c r="C444" s="19" t="s">
        <v>279</v>
      </c>
      <c r="D444" s="19" t="s">
        <v>280</v>
      </c>
      <c r="E444" s="19" t="s">
        <v>279</v>
      </c>
      <c r="F444" s="19" t="s">
        <v>280</v>
      </c>
      <c r="G444" s="19" t="s">
        <v>249</v>
      </c>
      <c r="R444" s="215"/>
      <c r="S444" s="172"/>
      <c r="T444" s="172"/>
      <c r="U444" s="172"/>
      <c r="V444" s="172"/>
      <c r="W444" s="173"/>
    </row>
    <row r="445" spans="1:23" ht="16.95" customHeight="1" x14ac:dyDescent="0.3">
      <c r="C445" s="19" t="s">
        <v>282</v>
      </c>
      <c r="D445" s="19" t="s">
        <v>282</v>
      </c>
      <c r="E445" s="19" t="s">
        <v>283</v>
      </c>
      <c r="F445" s="19" t="s">
        <v>283</v>
      </c>
      <c r="R445" s="215"/>
      <c r="S445" s="172"/>
      <c r="T445" s="172"/>
      <c r="U445" s="172"/>
      <c r="V445" s="172"/>
      <c r="W445" s="173"/>
    </row>
    <row r="446" spans="1:23" ht="16.95" customHeight="1" x14ac:dyDescent="0.3">
      <c r="A446" s="17">
        <f>N7</f>
        <v>63000</v>
      </c>
      <c r="C446" s="92">
        <f>-J7</f>
        <v>-1</v>
      </c>
      <c r="D446" s="92">
        <f>-K7</f>
        <v>0</v>
      </c>
      <c r="E446" s="92">
        <f>J7</f>
        <v>1</v>
      </c>
      <c r="F446" s="92">
        <f>K7</f>
        <v>0</v>
      </c>
      <c r="G446" s="96">
        <f>IFERROR(VLOOKUP(H446, A$418:D$431, 4, FALSE), 0)</f>
        <v>6.3492063492063613E-2</v>
      </c>
      <c r="H446" s="12" t="str">
        <f>"D" &amp; C21 &amp; "X"</f>
        <v>D2X</v>
      </c>
      <c r="R446" s="215"/>
      <c r="S446" s="172"/>
      <c r="T446" s="172"/>
      <c r="U446" s="172"/>
      <c r="V446" s="172"/>
      <c r="W446" s="173"/>
    </row>
    <row r="447" spans="1:23" ht="16.95" customHeight="1" x14ac:dyDescent="0.3">
      <c r="A447" s="99" t="s">
        <v>286</v>
      </c>
      <c r="B447" s="97">
        <f>(MMULT(C446:F446, G446:G449)*A446)</f>
        <v>9714.2857142857265</v>
      </c>
      <c r="G447" s="96">
        <f>IFERROR(VLOOKUP(H447, A$418:D$431, 4, FALSE), 0)</f>
        <v>-0.56659598926756116</v>
      </c>
      <c r="H447" s="12" t="str">
        <f>"D" &amp; D21 &amp; "Y"</f>
        <v>D2Y</v>
      </c>
      <c r="R447" s="215"/>
      <c r="S447" s="172"/>
      <c r="T447" s="172"/>
      <c r="U447" s="172"/>
      <c r="V447" s="172"/>
      <c r="W447" s="173"/>
    </row>
    <row r="448" spans="1:23" ht="16.95" customHeight="1" x14ac:dyDescent="0.3">
      <c r="G448" s="96">
        <f>IFERROR(VLOOKUP(H448, A$418:D$431, 4, FALSE), 0)</f>
        <v>0.21768707482993227</v>
      </c>
      <c r="H448" s="12" t="str">
        <f>"D" &amp; E21 &amp; "X"</f>
        <v>D3X</v>
      </c>
      <c r="R448" s="215"/>
      <c r="S448" s="172"/>
      <c r="T448" s="172"/>
      <c r="U448" s="172"/>
      <c r="V448" s="172"/>
      <c r="W448" s="173"/>
    </row>
    <row r="449" spans="1:23" ht="16.95" customHeight="1" x14ac:dyDescent="0.3">
      <c r="G449" s="96">
        <f>IFERROR(VLOOKUP(H449, A$418:D$431, 4, FALSE), 0)</f>
        <v>-0.56659598926756116</v>
      </c>
      <c r="H449" s="12" t="str">
        <f>"D" &amp; F21 &amp; "Y"</f>
        <v>D3Y</v>
      </c>
      <c r="R449" s="215"/>
      <c r="S449" s="172"/>
      <c r="T449" s="172"/>
      <c r="U449" s="172"/>
      <c r="V449" s="172"/>
      <c r="W449" s="173"/>
    </row>
    <row r="450" spans="1:23" ht="16.95" customHeight="1" x14ac:dyDescent="0.3">
      <c r="B450" s="99" t="s">
        <v>273</v>
      </c>
      <c r="C450" s="178" t="str">
        <f>IF(B447&gt;0.001,"BARRA A TRACCIÓN (+)",IF(B447&lt;-0.001,"BARRA A COMPRESIÓN (-)","BARRA DE FUERZA NULA"))</f>
        <v>BARRA A TRACCIÓN (+)</v>
      </c>
      <c r="D450" s="172"/>
      <c r="E450" s="172"/>
      <c r="F450" s="173"/>
      <c r="R450" s="215"/>
      <c r="S450" s="172"/>
      <c r="T450" s="172"/>
      <c r="U450" s="172"/>
      <c r="V450" s="172"/>
      <c r="W450" s="173"/>
    </row>
    <row r="451" spans="1:23" ht="16.95" customHeight="1" x14ac:dyDescent="0.3">
      <c r="R451" s="215"/>
      <c r="S451" s="172"/>
      <c r="T451" s="172"/>
      <c r="U451" s="172"/>
      <c r="V451" s="172"/>
      <c r="W451" s="173"/>
    </row>
    <row r="452" spans="1:23" ht="16.95" customHeight="1" x14ac:dyDescent="0.3">
      <c r="A452" s="19" t="s">
        <v>278</v>
      </c>
      <c r="C452" s="19" t="s">
        <v>279</v>
      </c>
      <c r="D452" s="19" t="s">
        <v>280</v>
      </c>
      <c r="E452" s="19" t="s">
        <v>279</v>
      </c>
      <c r="F452" s="19" t="s">
        <v>280</v>
      </c>
      <c r="G452" s="19" t="s">
        <v>249</v>
      </c>
      <c r="R452" s="215"/>
      <c r="S452" s="172"/>
      <c r="T452" s="172"/>
      <c r="U452" s="172"/>
      <c r="V452" s="172"/>
      <c r="W452" s="173"/>
    </row>
    <row r="453" spans="1:23" ht="16.95" customHeight="1" x14ac:dyDescent="0.3">
      <c r="C453" s="19" t="s">
        <v>282</v>
      </c>
      <c r="D453" s="19" t="s">
        <v>282</v>
      </c>
      <c r="E453" s="19" t="s">
        <v>283</v>
      </c>
      <c r="F453" s="19" t="s">
        <v>283</v>
      </c>
      <c r="R453" s="215"/>
      <c r="S453" s="172"/>
      <c r="T453" s="172"/>
      <c r="U453" s="172"/>
      <c r="V453" s="172"/>
      <c r="W453" s="173"/>
    </row>
    <row r="454" spans="1:23" ht="16.95" customHeight="1" x14ac:dyDescent="0.3">
      <c r="A454" s="17">
        <f>N8</f>
        <v>63000</v>
      </c>
      <c r="C454" s="92">
        <f>-J8</f>
        <v>-1</v>
      </c>
      <c r="D454" s="92">
        <f>-K8</f>
        <v>0</v>
      </c>
      <c r="E454" s="92">
        <f>J8</f>
        <v>1</v>
      </c>
      <c r="F454" s="92">
        <f>K8</f>
        <v>0</v>
      </c>
      <c r="G454" s="96">
        <f>IFERROR(VLOOKUP(H454, A$418:D$431, 4, FALSE), 0)</f>
        <v>0.21768707482993227</v>
      </c>
      <c r="H454" s="12" t="str">
        <f>"D" &amp; C22 &amp; "X"</f>
        <v>D3X</v>
      </c>
      <c r="R454" s="215"/>
      <c r="S454" s="172"/>
      <c r="T454" s="172"/>
      <c r="U454" s="172"/>
      <c r="V454" s="172"/>
      <c r="W454" s="173"/>
    </row>
    <row r="455" spans="1:23" ht="16.95" customHeight="1" x14ac:dyDescent="0.3">
      <c r="A455" s="99" t="s">
        <v>287</v>
      </c>
      <c r="B455" s="97">
        <f>(MMULT(C454:F454, G454:G457)*A454)</f>
        <v>4000.0000000000032</v>
      </c>
      <c r="G455" s="96">
        <f>IFERROR(VLOOKUP(H455, A$418:D$431, 4, FALSE), 0)</f>
        <v>-0.56659598926756116</v>
      </c>
      <c r="H455" s="12" t="str">
        <f>"D" &amp; D22 &amp; "Y"</f>
        <v>D3Y</v>
      </c>
      <c r="R455" s="215"/>
      <c r="S455" s="172"/>
      <c r="T455" s="172"/>
      <c r="U455" s="172"/>
      <c r="V455" s="172"/>
      <c r="W455" s="173"/>
    </row>
    <row r="456" spans="1:23" ht="16.95" customHeight="1" x14ac:dyDescent="0.3">
      <c r="G456" s="96">
        <f>IFERROR(VLOOKUP(H456, A$418:D$431, 4, FALSE), 0)</f>
        <v>0.28117913832199581</v>
      </c>
      <c r="H456" s="12" t="str">
        <f>"D" &amp; E22 &amp; "X"</f>
        <v>D4X</v>
      </c>
      <c r="R456" s="215"/>
      <c r="S456" s="172"/>
      <c r="T456" s="172"/>
      <c r="U456" s="172"/>
      <c r="V456" s="172"/>
      <c r="W456" s="173"/>
    </row>
    <row r="457" spans="1:23" ht="16.95" customHeight="1" x14ac:dyDescent="0.3">
      <c r="G457" s="96">
        <f>IFERROR(VLOOKUP(H457, A$418:D$431, 4, FALSE), 0)</f>
        <v>0</v>
      </c>
      <c r="H457" s="12" t="str">
        <f>"D" &amp; F22 &amp; "Y"</f>
        <v>D4Y</v>
      </c>
      <c r="R457" s="215"/>
      <c r="S457" s="172"/>
      <c r="T457" s="172"/>
      <c r="U457" s="172"/>
      <c r="V457" s="172"/>
      <c r="W457" s="173"/>
    </row>
    <row r="458" spans="1:23" ht="16.95" customHeight="1" x14ac:dyDescent="0.3">
      <c r="B458" s="99" t="s">
        <v>273</v>
      </c>
      <c r="C458" s="178" t="str">
        <f>IF(B455&gt;0.001,"BARRA A TRACCIÓN (+)",IF(B455&lt;-0.001,"BARRA A COMPRESIÓN (-)","BARRA DE FUERZA NULA"))</f>
        <v>BARRA A TRACCIÓN (+)</v>
      </c>
      <c r="D458" s="172"/>
      <c r="E458" s="172"/>
      <c r="F458" s="173"/>
      <c r="R458" s="215"/>
      <c r="S458" s="172"/>
      <c r="T458" s="172"/>
      <c r="U458" s="172"/>
      <c r="V458" s="172"/>
      <c r="W458" s="173"/>
    </row>
    <row r="459" spans="1:23" ht="16.95" customHeight="1" x14ac:dyDescent="0.3">
      <c r="R459" s="215"/>
      <c r="S459" s="172"/>
      <c r="T459" s="172"/>
      <c r="U459" s="172"/>
      <c r="V459" s="172"/>
      <c r="W459" s="173"/>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62513.506232961066</v>
      </c>
      <c r="C462" s="92">
        <f>-J9</f>
        <v>-0.49613893835683387</v>
      </c>
      <c r="D462" s="92">
        <f>-K9</f>
        <v>-0.8682431421244593</v>
      </c>
      <c r="E462" s="92">
        <f>J9</f>
        <v>0.49613893835683387</v>
      </c>
      <c r="F462" s="92">
        <f>K9</f>
        <v>0.8682431421244593</v>
      </c>
      <c r="G462" s="96">
        <f>IFERROR(VLOOKUP(H462, A$418:D$431, 4, FALSE), 0)</f>
        <v>0</v>
      </c>
      <c r="H462" s="12" t="str">
        <f>"D" &amp; C23 &amp; "X"</f>
        <v>D1X</v>
      </c>
    </row>
    <row r="463" spans="1:23" ht="19.95" customHeight="1" x14ac:dyDescent="0.3">
      <c r="A463" s="99" t="s">
        <v>288</v>
      </c>
      <c r="B463" s="97">
        <f>(MMULT(C462:F462, G462:G465)*A462)</f>
        <v>-8062.2577482985598</v>
      </c>
      <c r="G463" s="96">
        <f>IFERROR(VLOOKUP(H463, A$418:D$431, 4, FALSE), 0)</f>
        <v>0</v>
      </c>
      <c r="H463" s="12" t="str">
        <f>"D" &amp; D23 &amp; "Y"</f>
        <v>D1Y</v>
      </c>
    </row>
    <row r="464" spans="1:23" ht="19.95" customHeight="1" x14ac:dyDescent="0.3">
      <c r="G464" s="96">
        <f>IFERROR(VLOOKUP(H464, A$418:D$431, 4, FALSE), 0)</f>
        <v>0.26757369614512494</v>
      </c>
      <c r="H464" s="12" t="str">
        <f>"D" &amp; E23 &amp; "X"</f>
        <v>D5X</v>
      </c>
    </row>
    <row r="465" spans="1:8" ht="19.95" customHeight="1" x14ac:dyDescent="0.3">
      <c r="G465" s="96">
        <f>IFERROR(VLOOKUP(H465, A$418:D$431, 4, FALSE), 0)</f>
        <v>-0.30143858420294167</v>
      </c>
      <c r="H465" s="12" t="str">
        <f>"D" &amp; F23 &amp; "Y"</f>
        <v>D5Y</v>
      </c>
    </row>
    <row r="466" spans="1:8" ht="19.95" customHeight="1" x14ac:dyDescent="0.3">
      <c r="B466" s="99" t="s">
        <v>273</v>
      </c>
      <c r="C466" s="178" t="str">
        <f>IF(B463&gt;0.001,"BARRA A TRACCIÓN (+)",IF(B463&lt;-0.001,"BARRA A COMPRESIÓN (-)","BARRA DE FUERZA NULA"))</f>
        <v>BARRA A COMPRESIÓN (-)</v>
      </c>
      <c r="D466" s="172"/>
      <c r="E466" s="172"/>
      <c r="F466" s="173"/>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62513.506232961066</v>
      </c>
      <c r="C470" s="92">
        <f>-J10</f>
        <v>-0.49613893835683387</v>
      </c>
      <c r="D470" s="92">
        <f>-K10</f>
        <v>0.8682431421244593</v>
      </c>
      <c r="E470" s="92">
        <f>J10</f>
        <v>0.49613893835683387</v>
      </c>
      <c r="F470" s="92">
        <f>K10</f>
        <v>-0.8682431421244593</v>
      </c>
      <c r="G470" s="96">
        <f>IFERROR(VLOOKUP(H470, A$418:D$431, 4, FALSE), 0)</f>
        <v>0.26757369614512494</v>
      </c>
      <c r="H470" s="12" t="str">
        <f>"D" &amp; C24 &amp; "X"</f>
        <v>D5X</v>
      </c>
    </row>
    <row r="471" spans="1:8" ht="19.95" customHeight="1" x14ac:dyDescent="0.3">
      <c r="A471" s="99" t="s">
        <v>289</v>
      </c>
      <c r="B471" s="97">
        <f>(MMULT(C470:F470, G470:G473)*A470)</f>
        <v>8062.2577482985525</v>
      </c>
      <c r="G471" s="96">
        <f>IFERROR(VLOOKUP(H471, A$418:D$431, 4, FALSE), 0)</f>
        <v>-0.30143858420294167</v>
      </c>
      <c r="H471" s="12" t="str">
        <f>"D" &amp; D24 &amp; "Y"</f>
        <v>D5Y</v>
      </c>
    </row>
    <row r="472" spans="1:8" ht="19.95" customHeight="1" x14ac:dyDescent="0.3">
      <c r="G472" s="96">
        <f>IFERROR(VLOOKUP(H472, A$418:D$431, 4, FALSE), 0)</f>
        <v>6.3492063492063613E-2</v>
      </c>
      <c r="H472" s="12" t="str">
        <f>"D" &amp; E24 &amp; "X"</f>
        <v>D2X</v>
      </c>
    </row>
    <row r="473" spans="1:8" ht="19.95" customHeight="1" x14ac:dyDescent="0.3">
      <c r="G473" s="96">
        <f>IFERROR(VLOOKUP(H473, A$418:D$431, 4, FALSE), 0)</f>
        <v>-0.56659598926756116</v>
      </c>
      <c r="H473" s="12" t="str">
        <f>"D" &amp; F24 &amp; "Y"</f>
        <v>D2Y</v>
      </c>
    </row>
    <row r="474" spans="1:8" ht="19.95" customHeight="1" x14ac:dyDescent="0.3">
      <c r="B474" s="99" t="s">
        <v>273</v>
      </c>
      <c r="C474" s="178" t="str">
        <f>IF(B471&gt;0.001,"BARRA A TRACCIÓN (+)",IF(B471&lt;-0.001,"BARRA A COMPRESIÓN (-)","BARRA DE FUERZA NULA"))</f>
        <v>BARRA A TRACCIÓN (+)</v>
      </c>
      <c r="D474" s="172"/>
      <c r="E474" s="172"/>
      <c r="F474" s="173"/>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63000</v>
      </c>
      <c r="C478" s="92">
        <f>-J11</f>
        <v>-1</v>
      </c>
      <c r="D478" s="92">
        <f>-K11</f>
        <v>0</v>
      </c>
      <c r="E478" s="92">
        <f>J11</f>
        <v>1</v>
      </c>
      <c r="F478" s="92">
        <f>K11</f>
        <v>0</v>
      </c>
      <c r="G478" s="96">
        <f>IFERROR(VLOOKUP(H478, A$418:D$431, 4, FALSE), 0)</f>
        <v>0.26757369614512494</v>
      </c>
      <c r="H478" s="12" t="str">
        <f>"D" &amp; C25 &amp; "X"</f>
        <v>D5X</v>
      </c>
    </row>
    <row r="479" spans="1:8" ht="19.95" customHeight="1" x14ac:dyDescent="0.3">
      <c r="A479" s="99" t="s">
        <v>290</v>
      </c>
      <c r="B479" s="97">
        <f>(MMULT(C478:F478, G478:G481)*A478)</f>
        <v>-8000.0000000000082</v>
      </c>
      <c r="G479" s="96">
        <f>IFERROR(VLOOKUP(H479, A$418:D$431, 4, FALSE), 0)</f>
        <v>-0.30143858420294167</v>
      </c>
      <c r="H479" s="12" t="str">
        <f>"D" &amp; D25 &amp; "Y"</f>
        <v>D5Y</v>
      </c>
    </row>
    <row r="480" spans="1:8" ht="19.95" customHeight="1" x14ac:dyDescent="0.3">
      <c r="G480" s="96">
        <f>IFERROR(VLOOKUP(H480, A$418:D$431, 4, FALSE), 0)</f>
        <v>0.14058956916099782</v>
      </c>
      <c r="H480" s="12" t="str">
        <f>"D" &amp; E25 &amp; "X"</f>
        <v>D6X</v>
      </c>
    </row>
    <row r="481" spans="1:8" ht="19.95" customHeight="1" x14ac:dyDescent="0.3">
      <c r="G481" s="96">
        <f>IFERROR(VLOOKUP(H481, A$418:D$431, 4, FALSE), 0)</f>
        <v>-0.6743114193338966</v>
      </c>
      <c r="H481" s="12" t="str">
        <f>"D" &amp; F25 &amp; "Y"</f>
        <v>D6Y</v>
      </c>
    </row>
    <row r="482" spans="1:8" ht="19.95" customHeight="1" x14ac:dyDescent="0.3">
      <c r="B482" s="99" t="s">
        <v>273</v>
      </c>
      <c r="C482" s="178" t="str">
        <f>IF(B479&gt;0.001,"BARRA A TRACCIÓN (+)",IF(B479&lt;-0.001,"BARRA A COMPRESIÓN (-)","BARRA DE FUERZA NULA"))</f>
        <v>BARRA A COMPRESIÓN (-)</v>
      </c>
      <c r="D482" s="172"/>
      <c r="E482" s="172"/>
      <c r="F482" s="173"/>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62513.506232961066</v>
      </c>
      <c r="C486" s="92">
        <f>-J12</f>
        <v>-0.49613893835683387</v>
      </c>
      <c r="D486" s="92">
        <f>-K12</f>
        <v>-0.8682431421244593</v>
      </c>
      <c r="E486" s="92">
        <f>J12</f>
        <v>0.49613893835683387</v>
      </c>
      <c r="F486" s="92">
        <f>K12</f>
        <v>0.8682431421244593</v>
      </c>
      <c r="G486" s="96">
        <f>IFERROR(VLOOKUP(H486, A$418:D$431, 4, FALSE), 0)</f>
        <v>6.3492063492063613E-2</v>
      </c>
      <c r="H486" s="12" t="str">
        <f>"D" &amp; C26 &amp; "X"</f>
        <v>D2X</v>
      </c>
    </row>
    <row r="487" spans="1:8" ht="19.95" customHeight="1" x14ac:dyDescent="0.3">
      <c r="A487" s="99" t="s">
        <v>291</v>
      </c>
      <c r="B487" s="97">
        <f>(MMULT(C486:F486, G486:G489)*A486)</f>
        <v>-3455.2533206993844</v>
      </c>
      <c r="G487" s="96">
        <f>IFERROR(VLOOKUP(H487, A$418:D$431, 4, FALSE), 0)</f>
        <v>-0.56659598926756116</v>
      </c>
      <c r="H487" s="12" t="str">
        <f>"D" &amp; D26 &amp; "Y"</f>
        <v>D2Y</v>
      </c>
    </row>
    <row r="488" spans="1:8" ht="19.95" customHeight="1" x14ac:dyDescent="0.3">
      <c r="G488" s="96">
        <f>IFERROR(VLOOKUP(H488, A$418:D$431, 4, FALSE), 0)</f>
        <v>0.14058956916099782</v>
      </c>
      <c r="H488" s="12" t="str">
        <f>"D" &amp; E26 &amp; "X"</f>
        <v>D6X</v>
      </c>
    </row>
    <row r="489" spans="1:8" ht="19.95" customHeight="1" x14ac:dyDescent="0.3">
      <c r="G489" s="96">
        <f>IFERROR(VLOOKUP(H489, A$418:D$431, 4, FALSE), 0)</f>
        <v>-0.6743114193338966</v>
      </c>
      <c r="H489" s="12" t="str">
        <f>"D" &amp; F26 &amp; "Y"</f>
        <v>D6Y</v>
      </c>
    </row>
    <row r="490" spans="1:8" ht="19.95" customHeight="1" x14ac:dyDescent="0.3">
      <c r="B490" s="99" t="s">
        <v>273</v>
      </c>
      <c r="C490" s="178" t="str">
        <f>IF(B487&gt;0.001,"BARRA A TRACCIÓN (+)",IF(B487&lt;-0.001,"BARRA A COMPRESIÓN (-)","BARRA DE FUERZA NULA"))</f>
        <v>BARRA A COMPRESIÓN (-)</v>
      </c>
      <c r="D490" s="172"/>
      <c r="E490" s="172"/>
      <c r="F490" s="173"/>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62513.506232961066</v>
      </c>
      <c r="C494" s="92">
        <f>-J13</f>
        <v>-0.49613893835683387</v>
      </c>
      <c r="D494" s="92">
        <f>-K13</f>
        <v>0.8682431421244593</v>
      </c>
      <c r="E494" s="92">
        <f>J13</f>
        <v>0.49613893835683387</v>
      </c>
      <c r="F494" s="92">
        <f>K13</f>
        <v>-0.8682431421244593</v>
      </c>
      <c r="G494" s="96">
        <f>IFERROR(VLOOKUP(H494, A$418:D$431, 4, FALSE), 0)</f>
        <v>0.14058956916099782</v>
      </c>
      <c r="H494" s="12" t="str">
        <f>"D" &amp; C27 &amp; "X"</f>
        <v>D6X</v>
      </c>
    </row>
    <row r="495" spans="1:8" ht="19.95" customHeight="1" x14ac:dyDescent="0.3">
      <c r="A495" s="99" t="s">
        <v>292</v>
      </c>
      <c r="B495" s="97">
        <f>(MMULT(C494:F494, G494:G497)*A494)</f>
        <v>-3455.2533206993844</v>
      </c>
      <c r="G495" s="96">
        <f>IFERROR(VLOOKUP(H495, A$418:D$431, 4, FALSE), 0)</f>
        <v>-0.6743114193338966</v>
      </c>
      <c r="H495" s="12" t="str">
        <f>"D" &amp; D27 &amp; "Y"</f>
        <v>D6Y</v>
      </c>
    </row>
    <row r="496" spans="1:8" ht="19.95" customHeight="1" x14ac:dyDescent="0.3">
      <c r="G496" s="96">
        <f>IFERROR(VLOOKUP(H496, A$418:D$431, 4, FALSE), 0)</f>
        <v>0.21768707482993227</v>
      </c>
      <c r="H496" s="12" t="str">
        <f>"D" &amp; E27 &amp; "X"</f>
        <v>D3X</v>
      </c>
    </row>
    <row r="497" spans="1:8" ht="19.95" customHeight="1" x14ac:dyDescent="0.3">
      <c r="G497" s="96">
        <f>IFERROR(VLOOKUP(H497, A$418:D$431, 4, FALSE), 0)</f>
        <v>-0.56659598926756116</v>
      </c>
      <c r="H497" s="12" t="str">
        <f>"D" &amp; F27 &amp; "Y"</f>
        <v>D3Y</v>
      </c>
    </row>
    <row r="498" spans="1:8" ht="19.95" customHeight="1" x14ac:dyDescent="0.3">
      <c r="B498" s="99" t="s">
        <v>273</v>
      </c>
      <c r="C498" s="178" t="str">
        <f>IF(B495&gt;0.001,"BARRA A TRACCIÓN (+)",IF(B495&lt;-0.001,"BARRA A COMPRESIÓN (-)","BARRA DE FUERZA NULA"))</f>
        <v>BARRA A COMPRESIÓN (-)</v>
      </c>
      <c r="D498" s="172"/>
      <c r="E498" s="172"/>
      <c r="F498" s="173"/>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63000</v>
      </c>
      <c r="C502" s="92">
        <f>-J14</f>
        <v>-1</v>
      </c>
      <c r="D502" s="92">
        <f>-K14</f>
        <v>0</v>
      </c>
      <c r="E502" s="92">
        <f>J14</f>
        <v>1</v>
      </c>
      <c r="F502" s="92">
        <f>K14</f>
        <v>0</v>
      </c>
      <c r="G502" s="96">
        <f>IFERROR(VLOOKUP(H502, A$418:D$431, 4, FALSE), 0)</f>
        <v>0.14058956916099782</v>
      </c>
      <c r="H502" s="12" t="str">
        <f>"D" &amp; C28 &amp; "X"</f>
        <v>D6X</v>
      </c>
    </row>
    <row r="503" spans="1:8" ht="19.95" customHeight="1" x14ac:dyDescent="0.3">
      <c r="A503" s="99" t="s">
        <v>530</v>
      </c>
      <c r="B503" s="97">
        <f>(MMULT(C502:F502, G502:G505)*A502)</f>
        <v>-8000.0000000000009</v>
      </c>
      <c r="G503" s="96">
        <f>IFERROR(VLOOKUP(H503, A$418:D$431, 4, FALSE), 0)</f>
        <v>-0.6743114193338966</v>
      </c>
      <c r="H503" s="12" t="str">
        <f>"D" &amp; D28 &amp; "Y"</f>
        <v>D6Y</v>
      </c>
    </row>
    <row r="504" spans="1:8" ht="19.95" customHeight="1" x14ac:dyDescent="0.3">
      <c r="G504" s="96">
        <f>IFERROR(VLOOKUP(H504, A$418:D$431, 4, FALSE), 0)</f>
        <v>1.3605442176870819E-2</v>
      </c>
      <c r="H504" s="12" t="str">
        <f>"D" &amp; E28 &amp; "X"</f>
        <v>D7X</v>
      </c>
    </row>
    <row r="505" spans="1:8" ht="19.95" customHeight="1" x14ac:dyDescent="0.3">
      <c r="G505" s="96">
        <f>IFERROR(VLOOKUP(H505, A$418:D$431, 4, FALSE), 0)</f>
        <v>-0.30143858420294156</v>
      </c>
      <c r="H505" s="12" t="str">
        <f>"D" &amp; F28 &amp; "Y"</f>
        <v>D7Y</v>
      </c>
    </row>
    <row r="506" spans="1:8" ht="19.95" customHeight="1" x14ac:dyDescent="0.3">
      <c r="B506" s="99" t="s">
        <v>273</v>
      </c>
      <c r="C506" s="178" t="str">
        <f>IF(B503&gt;0.001,"BARRA A TRACCIÓN (+)",IF(B503&lt;-0.001,"BARRA A COMPRESIÓN (-)","BARRA DE FUERZA NULA"))</f>
        <v>BARRA A COMPRESIÓN (-)</v>
      </c>
      <c r="D506" s="172"/>
      <c r="E506" s="172"/>
      <c r="F506" s="173"/>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62513.506232961066</v>
      </c>
      <c r="C510" s="92">
        <f>-J15</f>
        <v>0.49613893835683387</v>
      </c>
      <c r="D510" s="92">
        <f>-K15</f>
        <v>0.8682431421244593</v>
      </c>
      <c r="E510" s="92">
        <f>J15</f>
        <v>-0.49613893835683387</v>
      </c>
      <c r="F510" s="92">
        <f>K15</f>
        <v>-0.8682431421244593</v>
      </c>
      <c r="G510" s="96">
        <f>IFERROR(VLOOKUP(H510, A$418:D$431, 4, FALSE), 0)</f>
        <v>1.3605442176870819E-2</v>
      </c>
      <c r="H510" s="12" t="str">
        <f>"D" &amp; C29 &amp; "X"</f>
        <v>D7X</v>
      </c>
    </row>
    <row r="511" spans="1:8" ht="19.95" customHeight="1" x14ac:dyDescent="0.3">
      <c r="A511" s="99" t="s">
        <v>589</v>
      </c>
      <c r="B511" s="97">
        <f>(MMULT(C510:F510, G510:G513)*A510)</f>
        <v>8062.2577482985562</v>
      </c>
      <c r="G511" s="96">
        <f>IFERROR(VLOOKUP(H511, A$418:D$431, 4, FALSE), 0)</f>
        <v>-0.30143858420294156</v>
      </c>
      <c r="H511" s="12" t="str">
        <f>"D" &amp; D29 &amp; "Y"</f>
        <v>D7Y</v>
      </c>
    </row>
    <row r="512" spans="1:8" ht="19.95" customHeight="1" x14ac:dyDescent="0.3">
      <c r="G512" s="96">
        <f>IFERROR(VLOOKUP(H512, A$418:D$431, 4, FALSE), 0)</f>
        <v>0.21768707482993227</v>
      </c>
      <c r="H512" s="12" t="str">
        <f>"D" &amp; E29 &amp; "X"</f>
        <v>D3X</v>
      </c>
    </row>
    <row r="513" spans="1:8" ht="19.95" customHeight="1" x14ac:dyDescent="0.3">
      <c r="G513" s="96">
        <f>IFERROR(VLOOKUP(H513, A$418:D$431, 4, FALSE), 0)</f>
        <v>-0.56659598926756116</v>
      </c>
      <c r="H513" s="12" t="str">
        <f>"D" &amp; F29 &amp; "Y"</f>
        <v>D3Y</v>
      </c>
    </row>
    <row r="514" spans="1:8" ht="19.95" customHeight="1" x14ac:dyDescent="0.3">
      <c r="B514" s="99" t="s">
        <v>273</v>
      </c>
      <c r="C514" s="178" t="str">
        <f>IF(B511&gt;0.001,"BARRA A TRACCIÓN (+)",IF(B511&lt;-0.001,"BARRA A COMPRESIÓN (-)","BARRA DE FUERZA NULA"))</f>
        <v>BARRA A TRACCIÓN (+)</v>
      </c>
      <c r="D514" s="172"/>
      <c r="E514" s="172"/>
      <c r="F514" s="173"/>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62513.506232961066</v>
      </c>
      <c r="C518" s="92">
        <f>-J16</f>
        <v>-0.49613893835683387</v>
      </c>
      <c r="D518" s="92">
        <f>-K16</f>
        <v>0.8682431421244593</v>
      </c>
      <c r="E518" s="92">
        <f>J16</f>
        <v>0.49613893835683387</v>
      </c>
      <c r="F518" s="92">
        <f>K16</f>
        <v>-0.8682431421244593</v>
      </c>
      <c r="G518" s="96">
        <f>IFERROR(VLOOKUP(H518, A$418:D$431, 4, FALSE), 0)</f>
        <v>1.3605442176870819E-2</v>
      </c>
      <c r="H518" s="12" t="str">
        <f>"D" &amp; C30 &amp; "X"</f>
        <v>D7X</v>
      </c>
    </row>
    <row r="519" spans="1:8" ht="19.95" customHeight="1" x14ac:dyDescent="0.3">
      <c r="A519" s="99" t="s">
        <v>590</v>
      </c>
      <c r="B519" s="97">
        <f>(MMULT(C518:F518, G518:G521)*A518)</f>
        <v>-8062.2577482985507</v>
      </c>
      <c r="G519" s="96">
        <f>IFERROR(VLOOKUP(H519, A$418:D$431, 4, FALSE), 0)</f>
        <v>-0.30143858420294156</v>
      </c>
      <c r="H519" s="12" t="str">
        <f>"D" &amp; D30 &amp; "Y"</f>
        <v>D7Y</v>
      </c>
    </row>
    <row r="520" spans="1:8" ht="19.95" customHeight="1" x14ac:dyDescent="0.3">
      <c r="G520" s="96">
        <f>IFERROR(VLOOKUP(H520, A$418:D$431, 4, FALSE), 0)</f>
        <v>0.28117913832199581</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78" t="str">
        <f>IF(B519&gt;0.001,"BARRA A TRACCIÓN (+)",IF(B519&lt;-0.001,"BARRA A COMPRESIÓN (-)","BARRA DE FUERZA NULA"))</f>
        <v>BARRA A COMPRESIÓN (-)</v>
      </c>
      <c r="D522" s="172"/>
      <c r="E522" s="172"/>
      <c r="F522" s="173"/>
    </row>
    <row r="525" spans="1:8" ht="22.05" customHeight="1" x14ac:dyDescent="0.3">
      <c r="B525" s="217" t="s">
        <v>404</v>
      </c>
      <c r="C525" s="175"/>
      <c r="D525" s="175"/>
      <c r="E525" s="175"/>
      <c r="F525" s="175"/>
      <c r="G525" s="175"/>
      <c r="H525" s="175"/>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400</v>
      </c>
      <c r="F527" s="9">
        <f t="shared" ref="F527:F537" si="58">L6</f>
        <v>12</v>
      </c>
      <c r="G527" s="97">
        <f>B439</f>
        <v>4000.0000000000077</v>
      </c>
      <c r="H527" s="84" t="str">
        <f>C442</f>
        <v>BARRA A TRACCIÓN (+)</v>
      </c>
    </row>
    <row r="528" spans="1:8" ht="19.95" customHeight="1" x14ac:dyDescent="0.3">
      <c r="B528" s="25">
        <v>2</v>
      </c>
      <c r="C528" s="86">
        <f t="shared" si="55"/>
        <v>2</v>
      </c>
      <c r="D528" s="86">
        <f t="shared" si="56"/>
        <v>3</v>
      </c>
      <c r="E528" s="9">
        <f t="shared" si="57"/>
        <v>400</v>
      </c>
      <c r="F528" s="9">
        <f t="shared" si="58"/>
        <v>12</v>
      </c>
      <c r="G528" s="97">
        <f>B447</f>
        <v>9714.2857142857265</v>
      </c>
      <c r="H528" s="84" t="str">
        <f>C450</f>
        <v>BARRA A TRACCIÓN (+)</v>
      </c>
    </row>
    <row r="529" spans="2:8" ht="19.95" customHeight="1" x14ac:dyDescent="0.3">
      <c r="B529" s="26">
        <v>3</v>
      </c>
      <c r="C529" s="86">
        <f t="shared" si="55"/>
        <v>3</v>
      </c>
      <c r="D529" s="86">
        <f t="shared" si="56"/>
        <v>4</v>
      </c>
      <c r="E529" s="9">
        <f t="shared" si="57"/>
        <v>400</v>
      </c>
      <c r="F529" s="9">
        <f t="shared" si="58"/>
        <v>12</v>
      </c>
      <c r="G529" s="97">
        <f>B455</f>
        <v>4000.0000000000032</v>
      </c>
      <c r="H529" s="84" t="str">
        <f>C458</f>
        <v>BARRA A TRACCIÓN (+)</v>
      </c>
    </row>
    <row r="530" spans="2:8" ht="19.95" customHeight="1" x14ac:dyDescent="0.3">
      <c r="B530" s="43">
        <v>4</v>
      </c>
      <c r="C530" s="86">
        <f t="shared" si="55"/>
        <v>1</v>
      </c>
      <c r="D530" s="86">
        <f t="shared" si="56"/>
        <v>5</v>
      </c>
      <c r="E530" s="9">
        <f t="shared" si="57"/>
        <v>403.11288741492746</v>
      </c>
      <c r="F530" s="9">
        <f t="shared" si="58"/>
        <v>12</v>
      </c>
      <c r="G530" s="97">
        <f>B463</f>
        <v>-8062.2577482985598</v>
      </c>
      <c r="H530" s="84" t="str">
        <f>C466</f>
        <v>BARRA A COMPRESIÓN (-)</v>
      </c>
    </row>
    <row r="531" spans="2:8" ht="19.95" customHeight="1" x14ac:dyDescent="0.3">
      <c r="B531" s="44">
        <v>5</v>
      </c>
      <c r="C531" s="86">
        <f t="shared" si="55"/>
        <v>5</v>
      </c>
      <c r="D531" s="86">
        <f t="shared" si="56"/>
        <v>2</v>
      </c>
      <c r="E531" s="9">
        <f t="shared" si="57"/>
        <v>403.11288741492746</v>
      </c>
      <c r="F531" s="9">
        <f t="shared" si="58"/>
        <v>12</v>
      </c>
      <c r="G531" s="97">
        <f>B471</f>
        <v>8062.2577482985525</v>
      </c>
      <c r="H531" s="84" t="str">
        <f>C474</f>
        <v>BARRA A TRACCIÓN (+)</v>
      </c>
    </row>
    <row r="532" spans="2:8" ht="19.95" customHeight="1" x14ac:dyDescent="0.3">
      <c r="B532" s="51">
        <v>6</v>
      </c>
      <c r="C532" s="86">
        <f t="shared" si="55"/>
        <v>5</v>
      </c>
      <c r="D532" s="86">
        <f t="shared" si="56"/>
        <v>6</v>
      </c>
      <c r="E532" s="9">
        <f t="shared" si="57"/>
        <v>400</v>
      </c>
      <c r="F532" s="9">
        <f t="shared" si="58"/>
        <v>12</v>
      </c>
      <c r="G532" s="97">
        <f>B479</f>
        <v>-8000.0000000000082</v>
      </c>
      <c r="H532" s="84" t="str">
        <f>C482</f>
        <v>BARRA A COMPRESIÓN (-)</v>
      </c>
    </row>
    <row r="533" spans="2:8" ht="19.95" customHeight="1" x14ac:dyDescent="0.3">
      <c r="B533" s="52">
        <v>7</v>
      </c>
      <c r="C533" s="86">
        <f t="shared" si="55"/>
        <v>2</v>
      </c>
      <c r="D533" s="86">
        <f t="shared" si="56"/>
        <v>6</v>
      </c>
      <c r="E533" s="9">
        <f t="shared" si="57"/>
        <v>403.11288741492746</v>
      </c>
      <c r="F533" s="9">
        <f t="shared" si="58"/>
        <v>12</v>
      </c>
      <c r="G533" s="97">
        <f>B487</f>
        <v>-3455.2533206993844</v>
      </c>
      <c r="H533" s="84" t="str">
        <f>C490</f>
        <v>BARRA A COMPRESIÓN (-)</v>
      </c>
    </row>
    <row r="534" spans="2:8" ht="19.95" customHeight="1" x14ac:dyDescent="0.3">
      <c r="B534" s="59">
        <v>8</v>
      </c>
      <c r="C534" s="86">
        <f t="shared" si="55"/>
        <v>6</v>
      </c>
      <c r="D534" s="86">
        <f t="shared" si="56"/>
        <v>3</v>
      </c>
      <c r="E534" s="9">
        <f t="shared" si="57"/>
        <v>403.11288741492746</v>
      </c>
      <c r="F534" s="9">
        <f t="shared" si="58"/>
        <v>12</v>
      </c>
      <c r="G534" s="97">
        <f>B495</f>
        <v>-3455.2533206993844</v>
      </c>
      <c r="H534" s="84" t="str">
        <f>C498</f>
        <v>BARRA A COMPRESIÓN (-)</v>
      </c>
    </row>
    <row r="535" spans="2:8" ht="19.95" customHeight="1" x14ac:dyDescent="0.3">
      <c r="B535" s="60">
        <v>9</v>
      </c>
      <c r="C535" s="86">
        <f t="shared" si="55"/>
        <v>6</v>
      </c>
      <c r="D535" s="86">
        <f t="shared" si="56"/>
        <v>7</v>
      </c>
      <c r="E535" s="9">
        <f t="shared" si="57"/>
        <v>400</v>
      </c>
      <c r="F535" s="9">
        <f t="shared" si="58"/>
        <v>12</v>
      </c>
      <c r="G535" s="97">
        <f>B503</f>
        <v>-8000.0000000000009</v>
      </c>
      <c r="H535" s="84" t="str">
        <f>C506</f>
        <v>BARRA A COMPRESIÓN (-)</v>
      </c>
    </row>
    <row r="536" spans="2:8" ht="19.95" customHeight="1" x14ac:dyDescent="0.3">
      <c r="B536" s="67">
        <v>10</v>
      </c>
      <c r="C536" s="86">
        <f t="shared" si="55"/>
        <v>7</v>
      </c>
      <c r="D536" s="86">
        <f t="shared" si="56"/>
        <v>3</v>
      </c>
      <c r="E536" s="9">
        <f t="shared" si="57"/>
        <v>403.11288741492746</v>
      </c>
      <c r="F536" s="9">
        <f t="shared" si="58"/>
        <v>12</v>
      </c>
      <c r="G536" s="97">
        <f>B511</f>
        <v>8062.2577482985562</v>
      </c>
      <c r="H536" s="84" t="str">
        <f>C514</f>
        <v>BARRA A TRACCIÓN (+)</v>
      </c>
    </row>
    <row r="537" spans="2:8" ht="19.95" customHeight="1" x14ac:dyDescent="0.3">
      <c r="B537" s="68">
        <v>11</v>
      </c>
      <c r="C537" s="86">
        <f t="shared" si="55"/>
        <v>7</v>
      </c>
      <c r="D537" s="86">
        <f t="shared" si="56"/>
        <v>4</v>
      </c>
      <c r="E537" s="9">
        <f t="shared" si="57"/>
        <v>403.11288741492746</v>
      </c>
      <c r="F537" s="9">
        <f t="shared" si="58"/>
        <v>12</v>
      </c>
      <c r="G537" s="97">
        <f>B519</f>
        <v>-8062.2577482985507</v>
      </c>
      <c r="H537" s="84" t="str">
        <f>C522</f>
        <v>BARRA A COMPRESIÓN (-)</v>
      </c>
    </row>
  </sheetData>
  <mergeCells count="166">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328:W328"/>
    <mergeCell ref="R316:W316"/>
    <mergeCell ref="R381:W381"/>
    <mergeCell ref="C368:M368"/>
    <mergeCell ref="R365:W365"/>
    <mergeCell ref="R322:W322"/>
    <mergeCell ref="R331:W331"/>
    <mergeCell ref="R321:W321"/>
    <mergeCell ref="R386:W386"/>
    <mergeCell ref="R401:W401"/>
    <mergeCell ref="R370:W370"/>
    <mergeCell ref="R323:W323"/>
    <mergeCell ref="C442:F442"/>
    <mergeCell ref="R453:W453"/>
    <mergeCell ref="R340:W340"/>
    <mergeCell ref="R434:W434"/>
    <mergeCell ref="R445:W445"/>
    <mergeCell ref="R450:W450"/>
    <mergeCell ref="R455:W455"/>
    <mergeCell ref="R337:W337"/>
    <mergeCell ref="R368:W368"/>
    <mergeCell ref="R408:W408"/>
    <mergeCell ref="R402:W402"/>
    <mergeCell ref="R400:W400"/>
    <mergeCell ref="R443:W443"/>
    <mergeCell ref="R436:W436"/>
    <mergeCell ref="R405:W405"/>
    <mergeCell ref="R444:W444"/>
    <mergeCell ref="R366:W366"/>
    <mergeCell ref="R380:W380"/>
    <mergeCell ref="R374:W374"/>
    <mergeCell ref="R379:W379"/>
    <mergeCell ref="R388:W388"/>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R459:W459"/>
    <mergeCell ref="R372:W372"/>
    <mergeCell ref="K4:K5"/>
    <mergeCell ref="R307:W307"/>
    <mergeCell ref="R347:W347"/>
    <mergeCell ref="R387:W387"/>
    <mergeCell ref="R412:W412"/>
    <mergeCell ref="R452:W452"/>
    <mergeCell ref="B2:N2"/>
    <mergeCell ref="B3:D3"/>
    <mergeCell ref="R398:W398"/>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591</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7</v>
      </c>
      <c r="C6" s="173"/>
      <c r="D6" s="206">
        <f>COUNT(C28:C42)</f>
        <v>11</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800</v>
      </c>
      <c r="AB11" s="20">
        <f>IF(F30="","",F30)</f>
        <v>0</v>
      </c>
      <c r="AC11" t="s">
        <v>324</v>
      </c>
    </row>
    <row r="12" spans="2:29" x14ac:dyDescent="0.3">
      <c r="AA12" s="20">
        <f>IF(G30="","",G30)</f>
        <v>1200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0</v>
      </c>
      <c r="AC14" t="s">
        <v>328</v>
      </c>
    </row>
    <row r="15" spans="2:29" ht="19.05" customHeight="1" x14ac:dyDescent="0.3">
      <c r="B15" s="89">
        <v>2</v>
      </c>
      <c r="C15" s="21">
        <v>400</v>
      </c>
      <c r="D15" s="21">
        <v>0</v>
      </c>
      <c r="E15" s="21" t="s">
        <v>326</v>
      </c>
      <c r="F15" s="88">
        <f t="shared" si="0"/>
        <v>0</v>
      </c>
      <c r="G15" s="88">
        <f t="shared" si="1"/>
        <v>0</v>
      </c>
      <c r="H15" s="22">
        <v>0</v>
      </c>
      <c r="I15" s="22">
        <v>-4000</v>
      </c>
      <c r="J15" s="205" t="s">
        <v>573</v>
      </c>
      <c r="K15" s="172"/>
      <c r="L15" s="172"/>
      <c r="M15" s="172"/>
      <c r="N15" s="172"/>
      <c r="O15" s="173"/>
      <c r="AA15" s="20">
        <f>IF(G31="","",G31)</f>
        <v>200</v>
      </c>
      <c r="AB15" s="20">
        <f>IF(H31="","",H31)</f>
        <v>360</v>
      </c>
      <c r="AC15" t="s">
        <v>331</v>
      </c>
    </row>
    <row r="16" spans="2:29" ht="19.05" customHeight="1" x14ac:dyDescent="0.3">
      <c r="B16" s="89">
        <v>3</v>
      </c>
      <c r="C16" s="21">
        <v>800</v>
      </c>
      <c r="D16" s="21">
        <v>0</v>
      </c>
      <c r="E16" s="21" t="s">
        <v>326</v>
      </c>
      <c r="F16" s="88">
        <f t="shared" si="0"/>
        <v>0</v>
      </c>
      <c r="G16" s="88">
        <f t="shared" si="1"/>
        <v>0</v>
      </c>
      <c r="H16" s="22">
        <v>0</v>
      </c>
      <c r="I16" s="22">
        <v>-4000</v>
      </c>
      <c r="J16" s="205" t="s">
        <v>574</v>
      </c>
      <c r="K16" s="172"/>
      <c r="L16" s="172"/>
      <c r="M16" s="172"/>
      <c r="N16" s="172"/>
      <c r="O16" s="173"/>
    </row>
    <row r="17" spans="2:29" ht="19.05" customHeight="1" x14ac:dyDescent="0.3">
      <c r="B17" s="89">
        <v>4</v>
      </c>
      <c r="C17" s="21">
        <v>1200</v>
      </c>
      <c r="D17" s="21">
        <v>0</v>
      </c>
      <c r="E17" s="21" t="s">
        <v>329</v>
      </c>
      <c r="F17" s="88">
        <f t="shared" si="0"/>
        <v>0</v>
      </c>
      <c r="G17" s="88">
        <f t="shared" si="1"/>
        <v>1</v>
      </c>
      <c r="H17" s="22">
        <v>0</v>
      </c>
      <c r="I17" s="22">
        <v>0</v>
      </c>
      <c r="J17" s="205" t="s">
        <v>407</v>
      </c>
      <c r="K17" s="172"/>
      <c r="L17" s="172"/>
      <c r="M17" s="172"/>
      <c r="N17" s="172"/>
      <c r="O17" s="173"/>
      <c r="AA17" s="20">
        <f>IF(E32="","",E32)</f>
        <v>200</v>
      </c>
      <c r="AB17" s="20">
        <f>IF(F32="","",F32)</f>
        <v>360</v>
      </c>
      <c r="AC17" t="s">
        <v>334</v>
      </c>
    </row>
    <row r="18" spans="2:29" ht="19.05" customHeight="1" x14ac:dyDescent="0.3">
      <c r="B18" s="89">
        <v>5</v>
      </c>
      <c r="C18" s="21">
        <v>200</v>
      </c>
      <c r="D18" s="21">
        <v>360</v>
      </c>
      <c r="E18" s="21" t="s">
        <v>326</v>
      </c>
      <c r="F18" s="88">
        <f t="shared" si="0"/>
        <v>0</v>
      </c>
      <c r="G18" s="88">
        <f t="shared" si="1"/>
        <v>0</v>
      </c>
      <c r="H18" s="22">
        <v>0</v>
      </c>
      <c r="I18" s="22">
        <v>0</v>
      </c>
      <c r="J18" s="205" t="s">
        <v>575</v>
      </c>
      <c r="K18" s="172"/>
      <c r="L18" s="172"/>
      <c r="M18" s="172"/>
      <c r="N18" s="172"/>
      <c r="O18" s="173"/>
      <c r="AA18" s="20">
        <f>IF(G32="","",G32)</f>
        <v>400</v>
      </c>
      <c r="AB18" s="20">
        <f>IF(H32="","",H32)</f>
        <v>0</v>
      </c>
      <c r="AC18" t="s">
        <v>335</v>
      </c>
    </row>
    <row r="19" spans="2:29" ht="19.05" customHeight="1" x14ac:dyDescent="0.3">
      <c r="B19" s="89">
        <v>6</v>
      </c>
      <c r="C19" s="21">
        <v>600</v>
      </c>
      <c r="D19" s="21">
        <v>360</v>
      </c>
      <c r="E19" s="21" t="s">
        <v>326</v>
      </c>
      <c r="F19" s="88">
        <f t="shared" si="0"/>
        <v>0</v>
      </c>
      <c r="G19" s="88">
        <f t="shared" si="1"/>
        <v>0</v>
      </c>
      <c r="H19" s="22">
        <v>0</v>
      </c>
      <c r="I19" s="22">
        <v>-6000</v>
      </c>
      <c r="J19" s="205" t="s">
        <v>576</v>
      </c>
      <c r="K19" s="172"/>
      <c r="L19" s="172"/>
      <c r="M19" s="172"/>
      <c r="N19" s="172"/>
      <c r="O19" s="173"/>
    </row>
    <row r="20" spans="2:29" ht="19.05" customHeight="1" x14ac:dyDescent="0.3">
      <c r="B20" s="89">
        <v>7</v>
      </c>
      <c r="C20" s="21">
        <v>1000</v>
      </c>
      <c r="D20" s="21">
        <v>360</v>
      </c>
      <c r="E20" s="21" t="s">
        <v>326</v>
      </c>
      <c r="F20" s="88">
        <f t="shared" si="0"/>
        <v>0</v>
      </c>
      <c r="G20" s="88">
        <f t="shared" si="1"/>
        <v>0</v>
      </c>
      <c r="H20" s="22">
        <v>0</v>
      </c>
      <c r="I20" s="22">
        <v>0</v>
      </c>
      <c r="J20" s="205" t="s">
        <v>577</v>
      </c>
      <c r="K20" s="172"/>
      <c r="L20" s="172"/>
      <c r="M20" s="172"/>
      <c r="N20" s="172"/>
      <c r="O20" s="173"/>
      <c r="AA20" s="20">
        <f>IF(E33="","",E33)</f>
        <v>200</v>
      </c>
      <c r="AB20" s="20">
        <f>IF(F33="","",F33)</f>
        <v>360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360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400</v>
      </c>
      <c r="AB23" s="20">
        <f>IF(F34="","",F34)</f>
        <v>0</v>
      </c>
      <c r="AC23" t="s">
        <v>338</v>
      </c>
    </row>
    <row r="24" spans="2:29" x14ac:dyDescent="0.3">
      <c r="AA24" s="20">
        <f>IF(G34="","",G34)</f>
        <v>600</v>
      </c>
      <c r="AB24" s="20">
        <f>IF(H34="","",H34)</f>
        <v>360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360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800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600</v>
      </c>
      <c r="AB29" s="20">
        <f>IF(F36="","",F36)</f>
        <v>360</v>
      </c>
      <c r="AC29" t="s">
        <v>353</v>
      </c>
    </row>
    <row r="30" spans="2:29" ht="19.05" customHeight="1" x14ac:dyDescent="0.3">
      <c r="B30" s="89">
        <v>3</v>
      </c>
      <c r="C30" s="23">
        <v>3</v>
      </c>
      <c r="D30" s="23">
        <v>4</v>
      </c>
      <c r="E30" s="5">
        <f t="shared" si="2"/>
        <v>800</v>
      </c>
      <c r="F30" s="5">
        <f t="shared" si="3"/>
        <v>0</v>
      </c>
      <c r="G30" s="5">
        <f t="shared" si="4"/>
        <v>1200</v>
      </c>
      <c r="H30" s="5">
        <f t="shared" si="5"/>
        <v>0</v>
      </c>
      <c r="I30" s="9">
        <f t="shared" si="6"/>
        <v>400</v>
      </c>
      <c r="J30" s="9">
        <f t="shared" si="7"/>
        <v>0</v>
      </c>
      <c r="K30" s="9">
        <f t="shared" si="8"/>
        <v>400</v>
      </c>
      <c r="L30" s="92">
        <f t="shared" si="9"/>
        <v>1</v>
      </c>
      <c r="M30" s="92">
        <f t="shared" si="10"/>
        <v>0</v>
      </c>
      <c r="N30" s="22">
        <v>12</v>
      </c>
      <c r="O30" s="24">
        <v>2100000</v>
      </c>
      <c r="AA30" s="20">
        <f>IF(G36="","",G36)</f>
        <v>1000</v>
      </c>
      <c r="AB30" s="20">
        <f>IF(H36="","",H36)</f>
        <v>360</v>
      </c>
      <c r="AC30" t="s">
        <v>354</v>
      </c>
    </row>
    <row r="31" spans="2:29" ht="19.05" customHeight="1" x14ac:dyDescent="0.3">
      <c r="B31" s="89">
        <v>4</v>
      </c>
      <c r="C31" s="23">
        <v>1</v>
      </c>
      <c r="D31" s="23">
        <v>5</v>
      </c>
      <c r="E31" s="5">
        <f t="shared" si="2"/>
        <v>0</v>
      </c>
      <c r="F31" s="5">
        <f t="shared" si="3"/>
        <v>0</v>
      </c>
      <c r="G31" s="5">
        <f t="shared" si="4"/>
        <v>200</v>
      </c>
      <c r="H31" s="5">
        <f t="shared" si="5"/>
        <v>360</v>
      </c>
      <c r="I31" s="9">
        <f t="shared" si="6"/>
        <v>200</v>
      </c>
      <c r="J31" s="9">
        <f t="shared" si="7"/>
        <v>360</v>
      </c>
      <c r="K31" s="9">
        <f t="shared" si="8"/>
        <v>411.82520563948003</v>
      </c>
      <c r="L31" s="92">
        <f t="shared" si="9"/>
        <v>0.48564293117863205</v>
      </c>
      <c r="M31" s="92">
        <f t="shared" si="10"/>
        <v>0.87415727612153771</v>
      </c>
      <c r="N31" s="22">
        <v>12</v>
      </c>
      <c r="O31" s="24">
        <v>2100000</v>
      </c>
    </row>
    <row r="32" spans="2:29" ht="19.05" customHeight="1" x14ac:dyDescent="0.3">
      <c r="B32" s="89">
        <v>5</v>
      </c>
      <c r="C32" s="23">
        <v>5</v>
      </c>
      <c r="D32" s="23">
        <v>2</v>
      </c>
      <c r="E32" s="5">
        <f t="shared" si="2"/>
        <v>200</v>
      </c>
      <c r="F32" s="5">
        <f t="shared" si="3"/>
        <v>360</v>
      </c>
      <c r="G32" s="5">
        <f t="shared" si="4"/>
        <v>400</v>
      </c>
      <c r="H32" s="5">
        <f t="shared" si="5"/>
        <v>0</v>
      </c>
      <c r="I32" s="9">
        <f t="shared" si="6"/>
        <v>200</v>
      </c>
      <c r="J32" s="9">
        <f t="shared" si="7"/>
        <v>-360</v>
      </c>
      <c r="K32" s="9">
        <f t="shared" si="8"/>
        <v>411.82520563948003</v>
      </c>
      <c r="L32" s="92">
        <f t="shared" si="9"/>
        <v>0.48564293117863205</v>
      </c>
      <c r="M32" s="92">
        <f t="shared" si="10"/>
        <v>-0.87415727612153771</v>
      </c>
      <c r="N32" s="22">
        <v>12</v>
      </c>
      <c r="O32" s="24">
        <v>2100000</v>
      </c>
      <c r="AA32" s="20">
        <f>IF(E37="","",E37)</f>
        <v>1000</v>
      </c>
      <c r="AB32" s="20">
        <f>IF(F37="","",F37)</f>
        <v>360</v>
      </c>
      <c r="AC32" t="s">
        <v>355</v>
      </c>
    </row>
    <row r="33" spans="2:29" ht="19.05" customHeight="1" x14ac:dyDescent="0.3">
      <c r="B33" s="89">
        <v>6</v>
      </c>
      <c r="C33" s="23">
        <v>5</v>
      </c>
      <c r="D33" s="23">
        <v>6</v>
      </c>
      <c r="E33" s="5">
        <f t="shared" si="2"/>
        <v>200</v>
      </c>
      <c r="F33" s="5">
        <f t="shared" si="3"/>
        <v>360</v>
      </c>
      <c r="G33" s="5">
        <f t="shared" si="4"/>
        <v>600</v>
      </c>
      <c r="H33" s="5">
        <f t="shared" si="5"/>
        <v>360</v>
      </c>
      <c r="I33" s="9">
        <f t="shared" si="6"/>
        <v>400</v>
      </c>
      <c r="J33" s="9">
        <f t="shared" si="7"/>
        <v>0</v>
      </c>
      <c r="K33" s="9">
        <f t="shared" si="8"/>
        <v>400</v>
      </c>
      <c r="L33" s="92">
        <f t="shared" si="9"/>
        <v>1</v>
      </c>
      <c r="M33" s="92">
        <f t="shared" si="10"/>
        <v>0</v>
      </c>
      <c r="N33" s="22">
        <v>12</v>
      </c>
      <c r="O33" s="24">
        <v>2100000</v>
      </c>
      <c r="AA33" s="20">
        <f>IF(G37="","",G37)</f>
        <v>800</v>
      </c>
      <c r="AB33" s="20">
        <f>IF(H37="","",H37)</f>
        <v>0</v>
      </c>
      <c r="AC33" t="s">
        <v>356</v>
      </c>
    </row>
    <row r="34" spans="2:29" ht="19.05" customHeight="1" x14ac:dyDescent="0.3">
      <c r="B34" s="89">
        <v>7</v>
      </c>
      <c r="C34" s="23">
        <v>2</v>
      </c>
      <c r="D34" s="23">
        <v>6</v>
      </c>
      <c r="E34" s="5">
        <f t="shared" si="2"/>
        <v>400</v>
      </c>
      <c r="F34" s="5">
        <f t="shared" si="3"/>
        <v>0</v>
      </c>
      <c r="G34" s="5">
        <f t="shared" si="4"/>
        <v>600</v>
      </c>
      <c r="H34" s="5">
        <f t="shared" si="5"/>
        <v>360</v>
      </c>
      <c r="I34" s="9">
        <f t="shared" si="6"/>
        <v>200</v>
      </c>
      <c r="J34" s="9">
        <f t="shared" si="7"/>
        <v>360</v>
      </c>
      <c r="K34" s="9">
        <f t="shared" si="8"/>
        <v>411.82520563948003</v>
      </c>
      <c r="L34" s="92">
        <f t="shared" si="9"/>
        <v>0.48564293117863205</v>
      </c>
      <c r="M34" s="92">
        <f t="shared" si="10"/>
        <v>0.87415727612153771</v>
      </c>
      <c r="N34" s="22">
        <v>12</v>
      </c>
      <c r="O34" s="24">
        <v>2100000</v>
      </c>
    </row>
    <row r="35" spans="2:29" ht="19.05" customHeight="1" x14ac:dyDescent="0.3">
      <c r="B35" s="89">
        <v>8</v>
      </c>
      <c r="C35" s="23">
        <v>6</v>
      </c>
      <c r="D35" s="23">
        <v>3</v>
      </c>
      <c r="E35" s="5">
        <f t="shared" si="2"/>
        <v>600</v>
      </c>
      <c r="F35" s="5">
        <f t="shared" si="3"/>
        <v>360</v>
      </c>
      <c r="G35" s="5">
        <f t="shared" si="4"/>
        <v>800</v>
      </c>
      <c r="H35" s="5">
        <f t="shared" si="5"/>
        <v>0</v>
      </c>
      <c r="I35" s="9">
        <f t="shared" si="6"/>
        <v>200</v>
      </c>
      <c r="J35" s="9">
        <f t="shared" si="7"/>
        <v>-360</v>
      </c>
      <c r="K35" s="9">
        <f t="shared" si="8"/>
        <v>411.82520563948003</v>
      </c>
      <c r="L35" s="92">
        <f t="shared" si="9"/>
        <v>0.48564293117863205</v>
      </c>
      <c r="M35" s="92">
        <f t="shared" si="10"/>
        <v>-0.87415727612153771</v>
      </c>
      <c r="N35" s="22">
        <v>12</v>
      </c>
      <c r="O35" s="24">
        <v>2100000</v>
      </c>
      <c r="AA35" s="20">
        <f>IF(E38="","",E38)</f>
        <v>1000</v>
      </c>
      <c r="AB35" s="20">
        <f>IF(F38="","",F38)</f>
        <v>360</v>
      </c>
      <c r="AC35" t="s">
        <v>357</v>
      </c>
    </row>
    <row r="36" spans="2:29" ht="19.05" customHeight="1" x14ac:dyDescent="0.3">
      <c r="B36" s="89">
        <v>9</v>
      </c>
      <c r="C36" s="23">
        <v>6</v>
      </c>
      <c r="D36" s="23">
        <v>7</v>
      </c>
      <c r="E36" s="5">
        <f t="shared" si="2"/>
        <v>600</v>
      </c>
      <c r="F36" s="5">
        <f t="shared" si="3"/>
        <v>360</v>
      </c>
      <c r="G36" s="5">
        <f t="shared" si="4"/>
        <v>1000</v>
      </c>
      <c r="H36" s="5">
        <f t="shared" si="5"/>
        <v>360</v>
      </c>
      <c r="I36" s="9">
        <f t="shared" si="6"/>
        <v>400</v>
      </c>
      <c r="J36" s="9">
        <f t="shared" si="7"/>
        <v>0</v>
      </c>
      <c r="K36" s="9">
        <f t="shared" si="8"/>
        <v>400</v>
      </c>
      <c r="L36" s="92">
        <f t="shared" si="9"/>
        <v>1</v>
      </c>
      <c r="M36" s="92">
        <f t="shared" si="10"/>
        <v>0</v>
      </c>
      <c r="N36" s="22">
        <v>12</v>
      </c>
      <c r="O36" s="24">
        <v>2100000</v>
      </c>
      <c r="AA36" s="20">
        <f>IF(G38="","",G38)</f>
        <v>1200</v>
      </c>
      <c r="AB36" s="20">
        <f>IF(H38="","",H38)</f>
        <v>0</v>
      </c>
      <c r="AC36" t="s">
        <v>358</v>
      </c>
    </row>
    <row r="37" spans="2:29" ht="19.05" customHeight="1" x14ac:dyDescent="0.3">
      <c r="B37" s="89">
        <v>10</v>
      </c>
      <c r="C37" s="23">
        <v>7</v>
      </c>
      <c r="D37" s="23">
        <v>3</v>
      </c>
      <c r="E37" s="5">
        <f t="shared" si="2"/>
        <v>1000</v>
      </c>
      <c r="F37" s="5">
        <f t="shared" si="3"/>
        <v>360</v>
      </c>
      <c r="G37" s="5">
        <f t="shared" si="4"/>
        <v>800</v>
      </c>
      <c r="H37" s="5">
        <f t="shared" si="5"/>
        <v>0</v>
      </c>
      <c r="I37" s="9">
        <f t="shared" si="6"/>
        <v>-200</v>
      </c>
      <c r="J37" s="9">
        <f t="shared" si="7"/>
        <v>-360</v>
      </c>
      <c r="K37" s="9">
        <f t="shared" si="8"/>
        <v>411.82520563948003</v>
      </c>
      <c r="L37" s="92">
        <f t="shared" si="9"/>
        <v>-0.48564293117863205</v>
      </c>
      <c r="M37" s="92">
        <f t="shared" si="10"/>
        <v>-0.87415727612153771</v>
      </c>
      <c r="N37" s="22">
        <v>12</v>
      </c>
      <c r="O37" s="24">
        <v>2100000</v>
      </c>
    </row>
    <row r="38" spans="2:29" ht="19.05" customHeight="1" x14ac:dyDescent="0.3">
      <c r="B38" s="89">
        <v>11</v>
      </c>
      <c r="C38" s="23">
        <v>7</v>
      </c>
      <c r="D38" s="23">
        <v>4</v>
      </c>
      <c r="E38" s="5">
        <f t="shared" si="2"/>
        <v>1000</v>
      </c>
      <c r="F38" s="5">
        <f t="shared" si="3"/>
        <v>360</v>
      </c>
      <c r="G38" s="5">
        <f t="shared" si="4"/>
        <v>1200</v>
      </c>
      <c r="H38" s="5">
        <f t="shared" si="5"/>
        <v>0</v>
      </c>
      <c r="I38" s="9">
        <f t="shared" si="6"/>
        <v>200</v>
      </c>
      <c r="J38" s="9">
        <f t="shared" si="7"/>
        <v>-360</v>
      </c>
      <c r="K38" s="9">
        <f t="shared" si="8"/>
        <v>411.82520563948003</v>
      </c>
      <c r="L38" s="92">
        <f t="shared" si="9"/>
        <v>0.48564293117863205</v>
      </c>
      <c r="M38" s="92">
        <f t="shared" si="10"/>
        <v>-0.87415727612153771</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B00-000000000000}">
      <formula1>"Fijo (articulado),Rodillo Y (despl. X libre),Rodillo X (despl. Y libre),Libre (0 reac.)"</formula1>
    </dataValidation>
  </dataValidations>
  <pageMargins left="0.75" right="0.75" top="1" bottom="1" header="0.5" footer="0.5"/>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74" t="s">
        <v>592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GRAFICA_37!E28</f>
        <v>0</v>
      </c>
      <c r="D6" s="22">
        <f>GRAFICA_37!F28</f>
        <v>0</v>
      </c>
      <c r="E6" s="22">
        <f>GRAFICA_37!G28</f>
        <v>400</v>
      </c>
      <c r="F6" s="22">
        <f>GRAFICA_37!H28</f>
        <v>0</v>
      </c>
      <c r="G6" s="9">
        <f t="shared" ref="G6:G16" si="0">E6-C6</f>
        <v>400</v>
      </c>
      <c r="H6" s="9">
        <f t="shared" ref="H6:H16" si="1">F6-D6</f>
        <v>0</v>
      </c>
      <c r="I6" s="9">
        <f t="shared" ref="I6:I16" si="2">SQRT(G6*G6+H6*H6)</f>
        <v>400</v>
      </c>
      <c r="J6" s="92">
        <f t="shared" ref="J6:J16" si="3">G6/I6</f>
        <v>1</v>
      </c>
      <c r="K6" s="92">
        <f t="shared" ref="K6:K16" si="4">H6/I6</f>
        <v>0</v>
      </c>
      <c r="L6" s="22">
        <f>GRAFICA_37!N28</f>
        <v>12</v>
      </c>
      <c r="M6" s="22">
        <f>GRAFICA_37!O28</f>
        <v>2100000</v>
      </c>
      <c r="N6" s="6">
        <f t="shared" ref="N6:N16" si="5">L6*M6/I6</f>
        <v>63000</v>
      </c>
    </row>
    <row r="7" spans="2:14" ht="19.05" customHeight="1" x14ac:dyDescent="0.3">
      <c r="B7" s="25">
        <v>2</v>
      </c>
      <c r="C7" s="22">
        <f>GRAFICA_37!E29</f>
        <v>400</v>
      </c>
      <c r="D7" s="22">
        <f>GRAFICA_37!F29</f>
        <v>0</v>
      </c>
      <c r="E7" s="22">
        <f>GRAFICA_37!G29</f>
        <v>800</v>
      </c>
      <c r="F7" s="22">
        <f>GRAFICA_37!H29</f>
        <v>0</v>
      </c>
      <c r="G7" s="9">
        <f t="shared" si="0"/>
        <v>400</v>
      </c>
      <c r="H7" s="9">
        <f t="shared" si="1"/>
        <v>0</v>
      </c>
      <c r="I7" s="9">
        <f t="shared" si="2"/>
        <v>400</v>
      </c>
      <c r="J7" s="92">
        <f t="shared" si="3"/>
        <v>1</v>
      </c>
      <c r="K7" s="92">
        <f t="shared" si="4"/>
        <v>0</v>
      </c>
      <c r="L7" s="22">
        <f>GRAFICA_37!N29</f>
        <v>12</v>
      </c>
      <c r="M7" s="22">
        <f>GRAFICA_37!O29</f>
        <v>2100000</v>
      </c>
      <c r="N7" s="6">
        <f t="shared" si="5"/>
        <v>63000</v>
      </c>
    </row>
    <row r="8" spans="2:14" ht="19.05" customHeight="1" x14ac:dyDescent="0.3">
      <c r="B8" s="26">
        <v>3</v>
      </c>
      <c r="C8" s="22">
        <f>GRAFICA_37!E30</f>
        <v>800</v>
      </c>
      <c r="D8" s="22">
        <f>GRAFICA_37!F30</f>
        <v>0</v>
      </c>
      <c r="E8" s="22">
        <f>GRAFICA_37!G30</f>
        <v>1200</v>
      </c>
      <c r="F8" s="22">
        <f>GRAFICA_37!H30</f>
        <v>0</v>
      </c>
      <c r="G8" s="9">
        <f t="shared" si="0"/>
        <v>400</v>
      </c>
      <c r="H8" s="9">
        <f t="shared" si="1"/>
        <v>0</v>
      </c>
      <c r="I8" s="9">
        <f t="shared" si="2"/>
        <v>400</v>
      </c>
      <c r="J8" s="92">
        <f t="shared" si="3"/>
        <v>1</v>
      </c>
      <c r="K8" s="92">
        <f t="shared" si="4"/>
        <v>0</v>
      </c>
      <c r="L8" s="22">
        <f>GRAFICA_37!N30</f>
        <v>12</v>
      </c>
      <c r="M8" s="22">
        <f>GRAFICA_37!O30</f>
        <v>2100000</v>
      </c>
      <c r="N8" s="6">
        <f t="shared" si="5"/>
        <v>63000</v>
      </c>
    </row>
    <row r="9" spans="2:14" ht="19.05" customHeight="1" x14ac:dyDescent="0.3">
      <c r="B9" s="43">
        <v>4</v>
      </c>
      <c r="C9" s="22">
        <f>GRAFICA_37!E31</f>
        <v>0</v>
      </c>
      <c r="D9" s="22">
        <f>GRAFICA_37!F31</f>
        <v>0</v>
      </c>
      <c r="E9" s="22">
        <f>GRAFICA_37!G31</f>
        <v>200</v>
      </c>
      <c r="F9" s="22">
        <f>GRAFICA_37!H31</f>
        <v>360</v>
      </c>
      <c r="G9" s="9">
        <f t="shared" si="0"/>
        <v>200</v>
      </c>
      <c r="H9" s="9">
        <f t="shared" si="1"/>
        <v>360</v>
      </c>
      <c r="I9" s="9">
        <f t="shared" si="2"/>
        <v>411.82520563948003</v>
      </c>
      <c r="J9" s="92">
        <f t="shared" si="3"/>
        <v>0.48564293117863205</v>
      </c>
      <c r="K9" s="92">
        <f t="shared" si="4"/>
        <v>0.87415727612153771</v>
      </c>
      <c r="L9" s="22">
        <f>GRAFICA_37!N31</f>
        <v>12</v>
      </c>
      <c r="M9" s="22">
        <f>GRAFICA_37!O31</f>
        <v>2100000</v>
      </c>
      <c r="N9" s="6">
        <f t="shared" si="5"/>
        <v>61191.009328507644</v>
      </c>
    </row>
    <row r="10" spans="2:14" ht="19.05" customHeight="1" x14ac:dyDescent="0.3">
      <c r="B10" s="44">
        <v>5</v>
      </c>
      <c r="C10" s="22">
        <f>GRAFICA_37!E32</f>
        <v>200</v>
      </c>
      <c r="D10" s="22">
        <f>GRAFICA_37!F32</f>
        <v>360</v>
      </c>
      <c r="E10" s="22">
        <f>GRAFICA_37!G32</f>
        <v>400</v>
      </c>
      <c r="F10" s="22">
        <f>GRAFICA_37!H32</f>
        <v>0</v>
      </c>
      <c r="G10" s="9">
        <f t="shared" si="0"/>
        <v>200</v>
      </c>
      <c r="H10" s="9">
        <f t="shared" si="1"/>
        <v>-360</v>
      </c>
      <c r="I10" s="9">
        <f t="shared" si="2"/>
        <v>411.82520563948003</v>
      </c>
      <c r="J10" s="92">
        <f t="shared" si="3"/>
        <v>0.48564293117863205</v>
      </c>
      <c r="K10" s="92">
        <f t="shared" si="4"/>
        <v>-0.87415727612153771</v>
      </c>
      <c r="L10" s="22">
        <f>GRAFICA_37!N32</f>
        <v>12</v>
      </c>
      <c r="M10" s="22">
        <f>GRAFICA_37!O32</f>
        <v>2100000</v>
      </c>
      <c r="N10" s="6">
        <f t="shared" si="5"/>
        <v>61191.009328507644</v>
      </c>
    </row>
    <row r="11" spans="2:14" ht="19.05" customHeight="1" x14ac:dyDescent="0.3">
      <c r="B11" s="51">
        <v>6</v>
      </c>
      <c r="C11" s="22">
        <f>GRAFICA_37!E33</f>
        <v>200</v>
      </c>
      <c r="D11" s="22">
        <f>GRAFICA_37!F33</f>
        <v>360</v>
      </c>
      <c r="E11" s="22">
        <f>GRAFICA_37!G33</f>
        <v>600</v>
      </c>
      <c r="F11" s="22">
        <f>GRAFICA_37!H33</f>
        <v>360</v>
      </c>
      <c r="G11" s="9">
        <f t="shared" si="0"/>
        <v>400</v>
      </c>
      <c r="H11" s="9">
        <f t="shared" si="1"/>
        <v>0</v>
      </c>
      <c r="I11" s="9">
        <f t="shared" si="2"/>
        <v>400</v>
      </c>
      <c r="J11" s="92">
        <f t="shared" si="3"/>
        <v>1</v>
      </c>
      <c r="K11" s="92">
        <f t="shared" si="4"/>
        <v>0</v>
      </c>
      <c r="L11" s="22">
        <f>GRAFICA_37!N33</f>
        <v>12</v>
      </c>
      <c r="M11" s="22">
        <f>GRAFICA_37!O33</f>
        <v>2100000</v>
      </c>
      <c r="N11" s="6">
        <f t="shared" si="5"/>
        <v>63000</v>
      </c>
    </row>
    <row r="12" spans="2:14" ht="19.05" customHeight="1" x14ac:dyDescent="0.3">
      <c r="B12" s="52">
        <v>7</v>
      </c>
      <c r="C12" s="22">
        <f>GRAFICA_37!E34</f>
        <v>400</v>
      </c>
      <c r="D12" s="22">
        <f>GRAFICA_37!F34</f>
        <v>0</v>
      </c>
      <c r="E12" s="22">
        <f>GRAFICA_37!G34</f>
        <v>600</v>
      </c>
      <c r="F12" s="22">
        <f>GRAFICA_37!H34</f>
        <v>360</v>
      </c>
      <c r="G12" s="9">
        <f t="shared" si="0"/>
        <v>200</v>
      </c>
      <c r="H12" s="9">
        <f t="shared" si="1"/>
        <v>360</v>
      </c>
      <c r="I12" s="9">
        <f t="shared" si="2"/>
        <v>411.82520563948003</v>
      </c>
      <c r="J12" s="92">
        <f t="shared" si="3"/>
        <v>0.48564293117863205</v>
      </c>
      <c r="K12" s="92">
        <f t="shared" si="4"/>
        <v>0.87415727612153771</v>
      </c>
      <c r="L12" s="22">
        <f>GRAFICA_37!N34</f>
        <v>12</v>
      </c>
      <c r="M12" s="22">
        <f>GRAFICA_37!O34</f>
        <v>2100000</v>
      </c>
      <c r="N12" s="6">
        <f t="shared" si="5"/>
        <v>61191.009328507644</v>
      </c>
    </row>
    <row r="13" spans="2:14" ht="19.05" customHeight="1" x14ac:dyDescent="0.3">
      <c r="B13" s="59">
        <v>8</v>
      </c>
      <c r="C13" s="22">
        <f>GRAFICA_37!E35</f>
        <v>600</v>
      </c>
      <c r="D13" s="22">
        <f>GRAFICA_37!F35</f>
        <v>360</v>
      </c>
      <c r="E13" s="22">
        <f>GRAFICA_37!G35</f>
        <v>800</v>
      </c>
      <c r="F13" s="22">
        <f>GRAFICA_37!H35</f>
        <v>0</v>
      </c>
      <c r="G13" s="9">
        <f t="shared" si="0"/>
        <v>200</v>
      </c>
      <c r="H13" s="9">
        <f t="shared" si="1"/>
        <v>-360</v>
      </c>
      <c r="I13" s="9">
        <f t="shared" si="2"/>
        <v>411.82520563948003</v>
      </c>
      <c r="J13" s="92">
        <f t="shared" si="3"/>
        <v>0.48564293117863205</v>
      </c>
      <c r="K13" s="92">
        <f t="shared" si="4"/>
        <v>-0.87415727612153771</v>
      </c>
      <c r="L13" s="22">
        <f>GRAFICA_37!N35</f>
        <v>12</v>
      </c>
      <c r="M13" s="22">
        <f>GRAFICA_37!O35</f>
        <v>2100000</v>
      </c>
      <c r="N13" s="6">
        <f t="shared" si="5"/>
        <v>61191.009328507644</v>
      </c>
    </row>
    <row r="14" spans="2:14" ht="19.05" customHeight="1" x14ac:dyDescent="0.3">
      <c r="B14" s="60">
        <v>9</v>
      </c>
      <c r="C14" s="22">
        <f>GRAFICA_37!E36</f>
        <v>600</v>
      </c>
      <c r="D14" s="22">
        <f>GRAFICA_37!F36</f>
        <v>360</v>
      </c>
      <c r="E14" s="22">
        <f>GRAFICA_37!G36</f>
        <v>1000</v>
      </c>
      <c r="F14" s="22">
        <f>GRAFICA_37!H36</f>
        <v>360</v>
      </c>
      <c r="G14" s="9">
        <f t="shared" si="0"/>
        <v>400</v>
      </c>
      <c r="H14" s="9">
        <f t="shared" si="1"/>
        <v>0</v>
      </c>
      <c r="I14" s="9">
        <f t="shared" si="2"/>
        <v>400</v>
      </c>
      <c r="J14" s="92">
        <f t="shared" si="3"/>
        <v>1</v>
      </c>
      <c r="K14" s="92">
        <f t="shared" si="4"/>
        <v>0</v>
      </c>
      <c r="L14" s="22">
        <f>GRAFICA_37!N36</f>
        <v>12</v>
      </c>
      <c r="M14" s="22">
        <f>GRAFICA_37!O36</f>
        <v>2100000</v>
      </c>
      <c r="N14" s="6">
        <f t="shared" si="5"/>
        <v>63000</v>
      </c>
    </row>
    <row r="15" spans="2:14" ht="19.05" customHeight="1" x14ac:dyDescent="0.3">
      <c r="B15" s="67">
        <v>10</v>
      </c>
      <c r="C15" s="22">
        <f>GRAFICA_37!E37</f>
        <v>1000</v>
      </c>
      <c r="D15" s="22">
        <f>GRAFICA_37!F37</f>
        <v>360</v>
      </c>
      <c r="E15" s="22">
        <f>GRAFICA_37!G37</f>
        <v>800</v>
      </c>
      <c r="F15" s="22">
        <f>GRAFICA_37!H37</f>
        <v>0</v>
      </c>
      <c r="G15" s="9">
        <f t="shared" si="0"/>
        <v>-200</v>
      </c>
      <c r="H15" s="9">
        <f t="shared" si="1"/>
        <v>-360</v>
      </c>
      <c r="I15" s="9">
        <f t="shared" si="2"/>
        <v>411.82520563948003</v>
      </c>
      <c r="J15" s="92">
        <f t="shared" si="3"/>
        <v>-0.48564293117863205</v>
      </c>
      <c r="K15" s="92">
        <f t="shared" si="4"/>
        <v>-0.87415727612153771</v>
      </c>
      <c r="L15" s="22">
        <f>GRAFICA_37!N37</f>
        <v>12</v>
      </c>
      <c r="M15" s="22">
        <f>GRAFICA_37!O37</f>
        <v>2100000</v>
      </c>
      <c r="N15" s="6">
        <f t="shared" si="5"/>
        <v>61191.009328507644</v>
      </c>
    </row>
    <row r="16" spans="2:14" ht="19.05" customHeight="1" x14ac:dyDescent="0.3">
      <c r="B16" s="68">
        <v>11</v>
      </c>
      <c r="C16" s="22">
        <f>GRAFICA_37!E38</f>
        <v>1000</v>
      </c>
      <c r="D16" s="22">
        <f>GRAFICA_37!F38</f>
        <v>360</v>
      </c>
      <c r="E16" s="22">
        <f>GRAFICA_37!G38</f>
        <v>1200</v>
      </c>
      <c r="F16" s="22">
        <f>GRAFICA_37!H38</f>
        <v>0</v>
      </c>
      <c r="G16" s="9">
        <f t="shared" si="0"/>
        <v>200</v>
      </c>
      <c r="H16" s="9">
        <f t="shared" si="1"/>
        <v>-360</v>
      </c>
      <c r="I16" s="9">
        <f t="shared" si="2"/>
        <v>411.82520563948003</v>
      </c>
      <c r="J16" s="92">
        <f t="shared" si="3"/>
        <v>0.48564293117863205</v>
      </c>
      <c r="K16" s="92">
        <f t="shared" si="4"/>
        <v>-0.87415727612153771</v>
      </c>
      <c r="L16" s="22">
        <f>GRAFICA_37!N38</f>
        <v>12</v>
      </c>
      <c r="M16" s="22">
        <f>GRAFICA_37!O38</f>
        <v>2100000</v>
      </c>
      <c r="N16" s="6">
        <f t="shared" si="5"/>
        <v>61191.009328507644</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GRAFICA_37!C28</f>
        <v>1</v>
      </c>
      <c r="D20" s="23">
        <f>GRAFICA_37!C28</f>
        <v>1</v>
      </c>
      <c r="E20" s="23">
        <f>GRAFICA_37!D28</f>
        <v>2</v>
      </c>
      <c r="F20" s="23">
        <f>GRAFICA_37!D28</f>
        <v>2</v>
      </c>
    </row>
    <row r="21" spans="2:6" ht="19.05" customHeight="1" x14ac:dyDescent="0.3">
      <c r="B21" s="25">
        <v>2</v>
      </c>
      <c r="C21" s="23">
        <f>GRAFICA_37!C29</f>
        <v>2</v>
      </c>
      <c r="D21" s="23">
        <f>GRAFICA_37!C29</f>
        <v>2</v>
      </c>
      <c r="E21" s="23">
        <f>GRAFICA_37!D29</f>
        <v>3</v>
      </c>
      <c r="F21" s="23">
        <f>GRAFICA_37!D29</f>
        <v>3</v>
      </c>
    </row>
    <row r="22" spans="2:6" ht="19.05" customHeight="1" x14ac:dyDescent="0.3">
      <c r="B22" s="26">
        <v>3</v>
      </c>
      <c r="C22" s="23">
        <f>GRAFICA_37!C30</f>
        <v>3</v>
      </c>
      <c r="D22" s="23">
        <f>GRAFICA_37!C30</f>
        <v>3</v>
      </c>
      <c r="E22" s="23">
        <f>GRAFICA_37!D30</f>
        <v>4</v>
      </c>
      <c r="F22" s="23">
        <f>GRAFICA_37!D30</f>
        <v>4</v>
      </c>
    </row>
    <row r="23" spans="2:6" ht="19.05" customHeight="1" x14ac:dyDescent="0.3">
      <c r="B23" s="43">
        <v>4</v>
      </c>
      <c r="C23" s="23">
        <f>GRAFICA_37!C31</f>
        <v>1</v>
      </c>
      <c r="D23" s="23">
        <f>GRAFICA_37!C31</f>
        <v>1</v>
      </c>
      <c r="E23" s="23">
        <f>GRAFICA_37!D31</f>
        <v>5</v>
      </c>
      <c r="F23" s="23">
        <f>GRAFICA_37!D31</f>
        <v>5</v>
      </c>
    </row>
    <row r="24" spans="2:6" ht="19.05" customHeight="1" x14ac:dyDescent="0.3">
      <c r="B24" s="44">
        <v>5</v>
      </c>
      <c r="C24" s="23">
        <f>GRAFICA_37!C32</f>
        <v>5</v>
      </c>
      <c r="D24" s="23">
        <f>GRAFICA_37!C32</f>
        <v>5</v>
      </c>
      <c r="E24" s="23">
        <f>GRAFICA_37!D32</f>
        <v>2</v>
      </c>
      <c r="F24" s="23">
        <f>GRAFICA_37!D32</f>
        <v>2</v>
      </c>
    </row>
    <row r="25" spans="2:6" ht="19.05" customHeight="1" x14ac:dyDescent="0.3">
      <c r="B25" s="51">
        <v>6</v>
      </c>
      <c r="C25" s="23">
        <f>GRAFICA_37!C33</f>
        <v>5</v>
      </c>
      <c r="D25" s="23">
        <f>GRAFICA_37!C33</f>
        <v>5</v>
      </c>
      <c r="E25" s="23">
        <f>GRAFICA_37!D33</f>
        <v>6</v>
      </c>
      <c r="F25" s="23">
        <f>GRAFICA_37!D33</f>
        <v>6</v>
      </c>
    </row>
    <row r="26" spans="2:6" ht="19.05" customHeight="1" x14ac:dyDescent="0.3">
      <c r="B26" s="52">
        <v>7</v>
      </c>
      <c r="C26" s="23">
        <f>GRAFICA_37!C34</f>
        <v>2</v>
      </c>
      <c r="D26" s="23">
        <f>GRAFICA_37!C34</f>
        <v>2</v>
      </c>
      <c r="E26" s="23">
        <f>GRAFICA_37!D34</f>
        <v>6</v>
      </c>
      <c r="F26" s="23">
        <f>GRAFICA_37!D34</f>
        <v>6</v>
      </c>
    </row>
    <row r="27" spans="2:6" ht="19.05" customHeight="1" x14ac:dyDescent="0.3">
      <c r="B27" s="59">
        <v>8</v>
      </c>
      <c r="C27" s="23">
        <f>GRAFICA_37!C35</f>
        <v>6</v>
      </c>
      <c r="D27" s="23">
        <f>GRAFICA_37!C35</f>
        <v>6</v>
      </c>
      <c r="E27" s="23">
        <f>GRAFICA_37!D35</f>
        <v>3</v>
      </c>
      <c r="F27" s="23">
        <f>GRAFICA_37!D35</f>
        <v>3</v>
      </c>
    </row>
    <row r="28" spans="2:6" ht="19.05" customHeight="1" x14ac:dyDescent="0.3">
      <c r="B28" s="60">
        <v>9</v>
      </c>
      <c r="C28" s="23">
        <f>GRAFICA_37!C36</f>
        <v>6</v>
      </c>
      <c r="D28" s="23">
        <f>GRAFICA_37!C36</f>
        <v>6</v>
      </c>
      <c r="E28" s="23">
        <f>GRAFICA_37!D36</f>
        <v>7</v>
      </c>
      <c r="F28" s="23">
        <f>GRAFICA_37!D36</f>
        <v>7</v>
      </c>
    </row>
    <row r="29" spans="2:6" ht="19.05" customHeight="1" x14ac:dyDescent="0.3">
      <c r="B29" s="67">
        <v>10</v>
      </c>
      <c r="C29" s="23">
        <f>GRAFICA_37!C37</f>
        <v>7</v>
      </c>
      <c r="D29" s="23">
        <f>GRAFICA_37!C37</f>
        <v>7</v>
      </c>
      <c r="E29" s="23">
        <f>GRAFICA_37!D37</f>
        <v>3</v>
      </c>
      <c r="F29" s="23">
        <f>GRAFICA_37!D37</f>
        <v>3</v>
      </c>
    </row>
    <row r="30" spans="2:6" ht="19.05" customHeight="1" x14ac:dyDescent="0.3">
      <c r="B30" s="68">
        <v>11</v>
      </c>
      <c r="C30" s="23">
        <f>GRAFICA_37!C38</f>
        <v>7</v>
      </c>
      <c r="D30" s="23">
        <f>GRAFICA_37!C38</f>
        <v>7</v>
      </c>
      <c r="E30" s="23">
        <f>GRAFICA_37!D38</f>
        <v>4</v>
      </c>
      <c r="F30" s="23">
        <f>GRAFICA_37!D38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63000</v>
      </c>
      <c r="C34" s="7">
        <f>J6*K6*N6</f>
        <v>0</v>
      </c>
      <c r="D34" s="7">
        <f>-B34</f>
        <v>-63000</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-63000</v>
      </c>
      <c r="C36" s="7">
        <f>E34</f>
        <v>0</v>
      </c>
      <c r="D36" s="7">
        <f>B34</f>
        <v>63000</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63000</v>
      </c>
      <c r="C57" s="30">
        <f>J7*K7*N7</f>
        <v>0</v>
      </c>
      <c r="D57" s="30">
        <f>-B57</f>
        <v>-63000</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-63000</v>
      </c>
      <c r="C59" s="30">
        <f>E57</f>
        <v>0</v>
      </c>
      <c r="D59" s="30">
        <f>B57</f>
        <v>63000</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-63000</v>
      </c>
      <c r="E67" s="31">
        <f t="shared" si="7"/>
        <v>0</v>
      </c>
      <c r="F67" s="31">
        <f t="shared" si="7"/>
        <v>63000</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63000</v>
      </c>
      <c r="C80" s="33">
        <f>J8*K8*N8</f>
        <v>0</v>
      </c>
      <c r="D80" s="33">
        <f>-B80</f>
        <v>-63000</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-63000</v>
      </c>
      <c r="C82" s="33">
        <f>E80</f>
        <v>0</v>
      </c>
      <c r="D82" s="33">
        <f>B80</f>
        <v>63000</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63000</v>
      </c>
      <c r="G90" s="34">
        <f t="shared" si="8"/>
        <v>0</v>
      </c>
      <c r="H90" s="34">
        <f t="shared" si="8"/>
        <v>-63000</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-63000</v>
      </c>
      <c r="G92" s="34">
        <f t="shared" si="8"/>
        <v>0</v>
      </c>
      <c r="H92" s="34">
        <f t="shared" si="8"/>
        <v>63000</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14431.841822761235</v>
      </c>
      <c r="C103" s="46">
        <f>J9*K9*N9</f>
        <v>25977.315280970222</v>
      </c>
      <c r="D103" s="46">
        <f>-B103</f>
        <v>-14431.841822761235</v>
      </c>
      <c r="E103" s="46">
        <f>-C103</f>
        <v>-25977.315280970222</v>
      </c>
      <c r="F103" s="45" t="str">
        <f>B102</f>
        <v>U1X</v>
      </c>
    </row>
    <row r="104" spans="1:16" ht="16.8" customHeight="1" x14ac:dyDescent="0.3">
      <c r="A104" s="28" t="s">
        <v>195</v>
      </c>
      <c r="B104" s="46">
        <f>C103</f>
        <v>25977.315280970222</v>
      </c>
      <c r="C104" s="46">
        <f>K9*K9*N9</f>
        <v>46759.167505746402</v>
      </c>
      <c r="D104" s="46">
        <f>-B104</f>
        <v>-25977.315280970222</v>
      </c>
      <c r="E104" s="46">
        <f>-C104</f>
        <v>-46759.167505746402</v>
      </c>
      <c r="F104" s="45" t="str">
        <f>C102</f>
        <v>U1Y</v>
      </c>
    </row>
    <row r="105" spans="1:16" x14ac:dyDescent="0.3">
      <c r="B105" s="46">
        <f>D103</f>
        <v>-14431.841822761235</v>
      </c>
      <c r="C105" s="46">
        <f>E103</f>
        <v>-25977.315280970222</v>
      </c>
      <c r="D105" s="46">
        <f>B103</f>
        <v>14431.841822761235</v>
      </c>
      <c r="E105" s="46">
        <f>C103</f>
        <v>25977.315280970222</v>
      </c>
      <c r="F105" s="45" t="str">
        <f>D102</f>
        <v>U5X</v>
      </c>
    </row>
    <row r="106" spans="1:16" x14ac:dyDescent="0.3">
      <c r="B106" s="46">
        <f>D104</f>
        <v>-25977.315280970222</v>
      </c>
      <c r="C106" s="46">
        <f>E104</f>
        <v>-46759.167505746402</v>
      </c>
      <c r="D106" s="46">
        <f>B104</f>
        <v>25977.315280970222</v>
      </c>
      <c r="E106" s="46">
        <f>C104</f>
        <v>46759.167505746402</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14431.841822761235</v>
      </c>
      <c r="C109" s="47">
        <f t="shared" si="9"/>
        <v>25977.315280970222</v>
      </c>
      <c r="D109" s="9">
        <f t="shared" si="9"/>
        <v>0</v>
      </c>
      <c r="E109" s="9">
        <f t="shared" si="9"/>
        <v>0</v>
      </c>
      <c r="F109" s="9">
        <f t="shared" si="9"/>
        <v>0</v>
      </c>
      <c r="G109" s="9">
        <f t="shared" si="9"/>
        <v>0</v>
      </c>
      <c r="H109" s="9">
        <f t="shared" si="9"/>
        <v>0</v>
      </c>
      <c r="I109" s="9">
        <f t="shared" si="9"/>
        <v>0</v>
      </c>
      <c r="J109" s="47">
        <f t="shared" si="9"/>
        <v>-14431.841822761235</v>
      </c>
      <c r="K109" s="47">
        <f t="shared" si="9"/>
        <v>-25977.315280970222</v>
      </c>
      <c r="L109" s="9">
        <f t="shared" si="9"/>
        <v>0</v>
      </c>
      <c r="M109" s="9">
        <f t="shared" si="9"/>
        <v>0</v>
      </c>
      <c r="N109" s="9">
        <f t="shared" si="9"/>
        <v>0</v>
      </c>
      <c r="O109" s="9">
        <f t="shared" si="9"/>
        <v>0</v>
      </c>
      <c r="P109" s="45" t="s">
        <v>178</v>
      </c>
    </row>
    <row r="110" spans="1:16" ht="19.05" customHeight="1" x14ac:dyDescent="0.3">
      <c r="B110" s="47">
        <f t="shared" si="9"/>
        <v>25977.315280970222</v>
      </c>
      <c r="C110" s="47">
        <f t="shared" si="9"/>
        <v>46759.167505746402</v>
      </c>
      <c r="D110" s="9">
        <f t="shared" si="9"/>
        <v>0</v>
      </c>
      <c r="E110" s="9">
        <f t="shared" si="9"/>
        <v>0</v>
      </c>
      <c r="F110" s="9">
        <f t="shared" si="9"/>
        <v>0</v>
      </c>
      <c r="G110" s="9">
        <f t="shared" si="9"/>
        <v>0</v>
      </c>
      <c r="H110" s="9">
        <f t="shared" si="9"/>
        <v>0</v>
      </c>
      <c r="I110" s="9">
        <f t="shared" si="9"/>
        <v>0</v>
      </c>
      <c r="J110" s="47">
        <f t="shared" si="9"/>
        <v>-25977.315280970222</v>
      </c>
      <c r="K110" s="47">
        <f t="shared" si="9"/>
        <v>-46759.167505746402</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-14431.841822761235</v>
      </c>
      <c r="C117" s="47">
        <f t="shared" si="9"/>
        <v>-25977.315280970222</v>
      </c>
      <c r="D117" s="9">
        <f t="shared" si="9"/>
        <v>0</v>
      </c>
      <c r="E117" s="9">
        <f t="shared" si="9"/>
        <v>0</v>
      </c>
      <c r="F117" s="9">
        <f t="shared" si="9"/>
        <v>0</v>
      </c>
      <c r="G117" s="9">
        <f t="shared" si="9"/>
        <v>0</v>
      </c>
      <c r="H117" s="9">
        <f t="shared" si="9"/>
        <v>0</v>
      </c>
      <c r="I117" s="9">
        <f t="shared" si="9"/>
        <v>0</v>
      </c>
      <c r="J117" s="47">
        <f t="shared" si="9"/>
        <v>14431.841822761235</v>
      </c>
      <c r="K117" s="47">
        <f t="shared" si="9"/>
        <v>25977.315280970222</v>
      </c>
      <c r="L117" s="9">
        <f t="shared" si="9"/>
        <v>0</v>
      </c>
      <c r="M117" s="9">
        <f t="shared" si="9"/>
        <v>0</v>
      </c>
      <c r="N117" s="9">
        <f t="shared" si="9"/>
        <v>0</v>
      </c>
      <c r="O117" s="9">
        <f t="shared" si="9"/>
        <v>0</v>
      </c>
      <c r="P117" s="45" t="s">
        <v>186</v>
      </c>
    </row>
    <row r="118" spans="1:16" ht="19.05" customHeight="1" x14ac:dyDescent="0.3">
      <c r="B118" s="47">
        <f t="shared" si="9"/>
        <v>-25977.315280970222</v>
      </c>
      <c r="C118" s="47">
        <f t="shared" si="9"/>
        <v>-46759.167505746402</v>
      </c>
      <c r="D118" s="9">
        <f t="shared" si="9"/>
        <v>0</v>
      </c>
      <c r="E118" s="9">
        <f t="shared" si="9"/>
        <v>0</v>
      </c>
      <c r="F118" s="9">
        <f t="shared" si="9"/>
        <v>0</v>
      </c>
      <c r="G118" s="9">
        <f t="shared" si="9"/>
        <v>0</v>
      </c>
      <c r="H118" s="9">
        <f t="shared" si="9"/>
        <v>0</v>
      </c>
      <c r="I118" s="9">
        <f t="shared" si="9"/>
        <v>0</v>
      </c>
      <c r="J118" s="47">
        <f t="shared" si="9"/>
        <v>25977.315280970222</v>
      </c>
      <c r="K118" s="47">
        <f t="shared" si="9"/>
        <v>46759.167505746402</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14431.841822761235</v>
      </c>
      <c r="C126" s="49">
        <f>J10*K10*N10</f>
        <v>-25977.315280970222</v>
      </c>
      <c r="D126" s="49">
        <f>-B126</f>
        <v>-14431.841822761235</v>
      </c>
      <c r="E126" s="49">
        <f>-C126</f>
        <v>25977.315280970222</v>
      </c>
      <c r="F126" s="48" t="str">
        <f>B125</f>
        <v>U5X</v>
      </c>
    </row>
    <row r="127" spans="1:16" ht="16.8" customHeight="1" x14ac:dyDescent="0.3">
      <c r="A127" s="28" t="s">
        <v>197</v>
      </c>
      <c r="B127" s="49">
        <f>C126</f>
        <v>-25977.315280970222</v>
      </c>
      <c r="C127" s="49">
        <f>K10*K10*N10</f>
        <v>46759.167505746402</v>
      </c>
      <c r="D127" s="49">
        <f>-B127</f>
        <v>25977.315280970222</v>
      </c>
      <c r="E127" s="49">
        <f>-C127</f>
        <v>-46759.167505746402</v>
      </c>
      <c r="F127" s="48" t="str">
        <f>C125</f>
        <v>U5Y</v>
      </c>
    </row>
    <row r="128" spans="1:16" x14ac:dyDescent="0.3">
      <c r="B128" s="49">
        <f>D126</f>
        <v>-14431.841822761235</v>
      </c>
      <c r="C128" s="49">
        <f>E126</f>
        <v>25977.315280970222</v>
      </c>
      <c r="D128" s="49">
        <f>B126</f>
        <v>14431.841822761235</v>
      </c>
      <c r="E128" s="49">
        <f>C126</f>
        <v>-25977.315280970222</v>
      </c>
      <c r="F128" s="48" t="str">
        <f>D125</f>
        <v>U2X</v>
      </c>
    </row>
    <row r="129" spans="1:16" x14ac:dyDescent="0.3">
      <c r="B129" s="49">
        <f>D127</f>
        <v>25977.315280970222</v>
      </c>
      <c r="C129" s="49">
        <f>E127</f>
        <v>-46759.167505746402</v>
      </c>
      <c r="D129" s="49">
        <f>B127</f>
        <v>-25977.315280970222</v>
      </c>
      <c r="E129" s="49">
        <f>C127</f>
        <v>46759.167505746402</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14431.841822761235</v>
      </c>
      <c r="E134" s="50">
        <f t="shared" si="10"/>
        <v>-25977.315280970222</v>
      </c>
      <c r="F134" s="9">
        <f t="shared" si="10"/>
        <v>0</v>
      </c>
      <c r="G134" s="9">
        <f t="shared" si="10"/>
        <v>0</v>
      </c>
      <c r="H134" s="9">
        <f t="shared" si="10"/>
        <v>0</v>
      </c>
      <c r="I134" s="9">
        <f t="shared" si="10"/>
        <v>0</v>
      </c>
      <c r="J134" s="50">
        <f t="shared" si="10"/>
        <v>-14431.841822761235</v>
      </c>
      <c r="K134" s="50">
        <f t="shared" si="10"/>
        <v>25977.315280970222</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-25977.315280970222</v>
      </c>
      <c r="E135" s="50">
        <f t="shared" si="10"/>
        <v>46759.167505746402</v>
      </c>
      <c r="F135" s="9">
        <f t="shared" si="10"/>
        <v>0</v>
      </c>
      <c r="G135" s="9">
        <f t="shared" si="10"/>
        <v>0</v>
      </c>
      <c r="H135" s="9">
        <f t="shared" si="10"/>
        <v>0</v>
      </c>
      <c r="I135" s="9">
        <f t="shared" si="10"/>
        <v>0</v>
      </c>
      <c r="J135" s="50">
        <f t="shared" si="10"/>
        <v>25977.315280970222</v>
      </c>
      <c r="K135" s="50">
        <f t="shared" si="10"/>
        <v>-46759.167505746402</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-14431.841822761235</v>
      </c>
      <c r="E140" s="50">
        <f t="shared" si="10"/>
        <v>25977.315280970222</v>
      </c>
      <c r="F140" s="9">
        <f t="shared" si="10"/>
        <v>0</v>
      </c>
      <c r="G140" s="9">
        <f t="shared" si="10"/>
        <v>0</v>
      </c>
      <c r="H140" s="9">
        <f t="shared" si="10"/>
        <v>0</v>
      </c>
      <c r="I140" s="9">
        <f t="shared" si="10"/>
        <v>0</v>
      </c>
      <c r="J140" s="50">
        <f t="shared" si="10"/>
        <v>14431.841822761235</v>
      </c>
      <c r="K140" s="50">
        <f t="shared" si="10"/>
        <v>-25977.315280970222</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25977.315280970222</v>
      </c>
      <c r="E141" s="50">
        <f t="shared" si="10"/>
        <v>-46759.167505746402</v>
      </c>
      <c r="F141" s="9">
        <f t="shared" si="10"/>
        <v>0</v>
      </c>
      <c r="G141" s="9">
        <f t="shared" si="10"/>
        <v>0</v>
      </c>
      <c r="H141" s="9">
        <f t="shared" si="10"/>
        <v>0</v>
      </c>
      <c r="I141" s="9">
        <f t="shared" si="10"/>
        <v>0</v>
      </c>
      <c r="J141" s="50">
        <f t="shared" si="10"/>
        <v>-25977.315280970222</v>
      </c>
      <c r="K141" s="50">
        <f t="shared" si="10"/>
        <v>46759.167505746402</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63000</v>
      </c>
      <c r="C149" s="54">
        <f>J11*K11*N11</f>
        <v>0</v>
      </c>
      <c r="D149" s="54">
        <f>-B149</f>
        <v>-63000</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-63000</v>
      </c>
      <c r="C151" s="54">
        <f>E149</f>
        <v>0</v>
      </c>
      <c r="D151" s="54">
        <f>B149</f>
        <v>63000</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63000</v>
      </c>
      <c r="K163" s="55">
        <f t="shared" si="11"/>
        <v>0</v>
      </c>
      <c r="L163" s="55">
        <f t="shared" si="11"/>
        <v>-63000</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-63000</v>
      </c>
      <c r="K165" s="55">
        <f t="shared" si="11"/>
        <v>0</v>
      </c>
      <c r="L165" s="55">
        <f t="shared" si="11"/>
        <v>63000</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14431.841822761235</v>
      </c>
      <c r="C172" s="57">
        <f>J12*K12*N12</f>
        <v>25977.315280970222</v>
      </c>
      <c r="D172" s="57">
        <f>-B172</f>
        <v>-14431.841822761235</v>
      </c>
      <c r="E172" s="57">
        <f>-C172</f>
        <v>-25977.315280970222</v>
      </c>
      <c r="F172" s="56" t="str">
        <f>B171</f>
        <v>U2X</v>
      </c>
    </row>
    <row r="173" spans="1:16" ht="16.8" customHeight="1" x14ac:dyDescent="0.3">
      <c r="A173" s="28" t="s">
        <v>201</v>
      </c>
      <c r="B173" s="57">
        <f>C172</f>
        <v>25977.315280970222</v>
      </c>
      <c r="C173" s="57">
        <f>K12*K12*N12</f>
        <v>46759.167505746402</v>
      </c>
      <c r="D173" s="57">
        <f>-B173</f>
        <v>-25977.315280970222</v>
      </c>
      <c r="E173" s="57">
        <f>-C173</f>
        <v>-46759.167505746402</v>
      </c>
      <c r="F173" s="56" t="str">
        <f>C171</f>
        <v>U2Y</v>
      </c>
    </row>
    <row r="174" spans="1:16" x14ac:dyDescent="0.3">
      <c r="B174" s="57">
        <f>D172</f>
        <v>-14431.841822761235</v>
      </c>
      <c r="C174" s="57">
        <f>E172</f>
        <v>-25977.315280970222</v>
      </c>
      <c r="D174" s="57">
        <f>B172</f>
        <v>14431.841822761235</v>
      </c>
      <c r="E174" s="57">
        <f>C172</f>
        <v>25977.315280970222</v>
      </c>
      <c r="F174" s="56" t="str">
        <f>D171</f>
        <v>U6X</v>
      </c>
    </row>
    <row r="175" spans="1:16" x14ac:dyDescent="0.3">
      <c r="B175" s="57">
        <f>D173</f>
        <v>-25977.315280970222</v>
      </c>
      <c r="C175" s="57">
        <f>E173</f>
        <v>-46759.167505746402</v>
      </c>
      <c r="D175" s="57">
        <f>B173</f>
        <v>25977.315280970222</v>
      </c>
      <c r="E175" s="57">
        <f>C173</f>
        <v>46759.167505746402</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14431.841822761235</v>
      </c>
      <c r="E180" s="58">
        <f t="shared" si="12"/>
        <v>25977.315280970222</v>
      </c>
      <c r="F180" s="9">
        <f t="shared" si="12"/>
        <v>0</v>
      </c>
      <c r="G180" s="9">
        <f t="shared" si="12"/>
        <v>0</v>
      </c>
      <c r="H180" s="9">
        <f t="shared" si="12"/>
        <v>0</v>
      </c>
      <c r="I180" s="9">
        <f t="shared" si="12"/>
        <v>0</v>
      </c>
      <c r="J180" s="9">
        <f t="shared" si="12"/>
        <v>0</v>
      </c>
      <c r="K180" s="9">
        <f t="shared" si="12"/>
        <v>0</v>
      </c>
      <c r="L180" s="58">
        <f t="shared" si="12"/>
        <v>-14431.841822761235</v>
      </c>
      <c r="M180" s="58">
        <f t="shared" si="12"/>
        <v>-25977.315280970222</v>
      </c>
      <c r="N180" s="9">
        <f t="shared" si="12"/>
        <v>0</v>
      </c>
      <c r="O180" s="9">
        <f t="shared" si="12"/>
        <v>0</v>
      </c>
      <c r="P180" s="56" t="s">
        <v>180</v>
      </c>
    </row>
    <row r="181" spans="1:16" ht="19.05" customHeight="1" x14ac:dyDescent="0.3">
      <c r="B181" s="9">
        <f t="shared" si="12"/>
        <v>0</v>
      </c>
      <c r="C181" s="9">
        <f t="shared" si="12"/>
        <v>0</v>
      </c>
      <c r="D181" s="58">
        <f t="shared" si="12"/>
        <v>25977.315280970222</v>
      </c>
      <c r="E181" s="58">
        <f t="shared" si="12"/>
        <v>46759.167505746402</v>
      </c>
      <c r="F181" s="9">
        <f t="shared" si="12"/>
        <v>0</v>
      </c>
      <c r="G181" s="9">
        <f t="shared" si="12"/>
        <v>0</v>
      </c>
      <c r="H181" s="9">
        <f t="shared" si="12"/>
        <v>0</v>
      </c>
      <c r="I181" s="9">
        <f t="shared" si="12"/>
        <v>0</v>
      </c>
      <c r="J181" s="9">
        <f t="shared" si="12"/>
        <v>0</v>
      </c>
      <c r="K181" s="9">
        <f t="shared" si="12"/>
        <v>0</v>
      </c>
      <c r="L181" s="58">
        <f t="shared" si="12"/>
        <v>-25977.315280970222</v>
      </c>
      <c r="M181" s="58">
        <f t="shared" si="12"/>
        <v>-46759.167505746402</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-14431.841822761235</v>
      </c>
      <c r="E188" s="58">
        <f t="shared" si="12"/>
        <v>-25977.315280970222</v>
      </c>
      <c r="F188" s="9">
        <f t="shared" si="12"/>
        <v>0</v>
      </c>
      <c r="G188" s="9">
        <f t="shared" si="12"/>
        <v>0</v>
      </c>
      <c r="H188" s="9">
        <f t="shared" si="12"/>
        <v>0</v>
      </c>
      <c r="I188" s="9">
        <f t="shared" si="12"/>
        <v>0</v>
      </c>
      <c r="J188" s="9">
        <f t="shared" si="12"/>
        <v>0</v>
      </c>
      <c r="K188" s="9">
        <f t="shared" si="12"/>
        <v>0</v>
      </c>
      <c r="L188" s="58">
        <f t="shared" si="12"/>
        <v>14431.841822761235</v>
      </c>
      <c r="M188" s="58">
        <f t="shared" si="12"/>
        <v>25977.315280970222</v>
      </c>
      <c r="N188" s="9">
        <f t="shared" si="12"/>
        <v>0</v>
      </c>
      <c r="O188" s="9">
        <f t="shared" si="12"/>
        <v>0</v>
      </c>
      <c r="P188" s="56" t="s">
        <v>188</v>
      </c>
    </row>
    <row r="189" spans="1:16" ht="19.05" customHeight="1" x14ac:dyDescent="0.3">
      <c r="B189" s="9">
        <f t="shared" si="12"/>
        <v>0</v>
      </c>
      <c r="C189" s="9">
        <f t="shared" si="12"/>
        <v>0</v>
      </c>
      <c r="D189" s="58">
        <f t="shared" si="12"/>
        <v>-25977.315280970222</v>
      </c>
      <c r="E189" s="58">
        <f t="shared" si="12"/>
        <v>-46759.167505746402</v>
      </c>
      <c r="F189" s="9">
        <f t="shared" si="12"/>
        <v>0</v>
      </c>
      <c r="G189" s="9">
        <f t="shared" si="12"/>
        <v>0</v>
      </c>
      <c r="H189" s="9">
        <f t="shared" si="12"/>
        <v>0</v>
      </c>
      <c r="I189" s="9">
        <f t="shared" si="12"/>
        <v>0</v>
      </c>
      <c r="J189" s="9">
        <f t="shared" si="12"/>
        <v>0</v>
      </c>
      <c r="K189" s="9">
        <f t="shared" si="12"/>
        <v>0</v>
      </c>
      <c r="L189" s="58">
        <f t="shared" si="12"/>
        <v>25977.315280970222</v>
      </c>
      <c r="M189" s="58">
        <f t="shared" si="12"/>
        <v>46759.167505746402</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14431.841822761235</v>
      </c>
      <c r="C195" s="62">
        <f>J13*K13*N13</f>
        <v>-25977.315280970222</v>
      </c>
      <c r="D195" s="62">
        <f>-B195</f>
        <v>-14431.841822761235</v>
      </c>
      <c r="E195" s="62">
        <f>-C195</f>
        <v>25977.315280970222</v>
      </c>
      <c r="F195" s="61" t="str">
        <f>B194</f>
        <v>U6X</v>
      </c>
    </row>
    <row r="196" spans="1:16" ht="16.8" customHeight="1" x14ac:dyDescent="0.3">
      <c r="A196" s="28" t="s">
        <v>203</v>
      </c>
      <c r="B196" s="62">
        <f>C195</f>
        <v>-25977.315280970222</v>
      </c>
      <c r="C196" s="62">
        <f>K13*K13*N13</f>
        <v>46759.167505746402</v>
      </c>
      <c r="D196" s="62">
        <f>-B196</f>
        <v>25977.315280970222</v>
      </c>
      <c r="E196" s="62">
        <f>-C196</f>
        <v>-46759.167505746402</v>
      </c>
      <c r="F196" s="61" t="str">
        <f>C194</f>
        <v>U6Y</v>
      </c>
    </row>
    <row r="197" spans="1:16" x14ac:dyDescent="0.3">
      <c r="B197" s="62">
        <f>D195</f>
        <v>-14431.841822761235</v>
      </c>
      <c r="C197" s="62">
        <f>E195</f>
        <v>25977.315280970222</v>
      </c>
      <c r="D197" s="62">
        <f>B195</f>
        <v>14431.841822761235</v>
      </c>
      <c r="E197" s="62">
        <f>C195</f>
        <v>-25977.315280970222</v>
      </c>
      <c r="F197" s="61" t="str">
        <f>D194</f>
        <v>U3X</v>
      </c>
    </row>
    <row r="198" spans="1:16" x14ac:dyDescent="0.3">
      <c r="B198" s="62">
        <f>D196</f>
        <v>25977.315280970222</v>
      </c>
      <c r="C198" s="62">
        <f>E196</f>
        <v>-46759.167505746402</v>
      </c>
      <c r="D198" s="62">
        <f>B196</f>
        <v>-25977.315280970222</v>
      </c>
      <c r="E198" s="62">
        <f>C196</f>
        <v>46759.167505746402</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14431.841822761235</v>
      </c>
      <c r="G205" s="63">
        <f t="shared" si="13"/>
        <v>-25977.315280970222</v>
      </c>
      <c r="H205" s="9">
        <f t="shared" si="13"/>
        <v>0</v>
      </c>
      <c r="I205" s="9">
        <f t="shared" si="13"/>
        <v>0</v>
      </c>
      <c r="J205" s="9">
        <f t="shared" si="13"/>
        <v>0</v>
      </c>
      <c r="K205" s="9">
        <f t="shared" si="13"/>
        <v>0</v>
      </c>
      <c r="L205" s="63">
        <f t="shared" si="13"/>
        <v>-14431.841822761235</v>
      </c>
      <c r="M205" s="63">
        <f t="shared" si="13"/>
        <v>25977.315280970222</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-25977.315280970222</v>
      </c>
      <c r="G206" s="63">
        <f t="shared" si="13"/>
        <v>46759.167505746402</v>
      </c>
      <c r="H206" s="9">
        <f t="shared" si="13"/>
        <v>0</v>
      </c>
      <c r="I206" s="9">
        <f t="shared" si="13"/>
        <v>0</v>
      </c>
      <c r="J206" s="9">
        <f t="shared" si="13"/>
        <v>0</v>
      </c>
      <c r="K206" s="9">
        <f t="shared" si="13"/>
        <v>0</v>
      </c>
      <c r="L206" s="63">
        <f t="shared" si="13"/>
        <v>25977.315280970222</v>
      </c>
      <c r="M206" s="63">
        <f t="shared" si="13"/>
        <v>-46759.167505746402</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-14431.841822761235</v>
      </c>
      <c r="G211" s="63">
        <f t="shared" si="13"/>
        <v>25977.315280970222</v>
      </c>
      <c r="H211" s="9">
        <f t="shared" si="13"/>
        <v>0</v>
      </c>
      <c r="I211" s="9">
        <f t="shared" si="13"/>
        <v>0</v>
      </c>
      <c r="J211" s="9">
        <f t="shared" si="13"/>
        <v>0</v>
      </c>
      <c r="K211" s="9">
        <f t="shared" si="13"/>
        <v>0</v>
      </c>
      <c r="L211" s="63">
        <f t="shared" si="13"/>
        <v>14431.841822761235</v>
      </c>
      <c r="M211" s="63">
        <f t="shared" si="13"/>
        <v>-25977.315280970222</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25977.315280970222</v>
      </c>
      <c r="G212" s="63">
        <f t="shared" si="13"/>
        <v>-46759.167505746402</v>
      </c>
      <c r="H212" s="9">
        <f t="shared" si="13"/>
        <v>0</v>
      </c>
      <c r="I212" s="9">
        <f t="shared" si="13"/>
        <v>0</v>
      </c>
      <c r="J212" s="9">
        <f t="shared" si="13"/>
        <v>0</v>
      </c>
      <c r="K212" s="9">
        <f t="shared" si="13"/>
        <v>0</v>
      </c>
      <c r="L212" s="63">
        <f t="shared" si="13"/>
        <v>-25977.315280970222</v>
      </c>
      <c r="M212" s="63">
        <f t="shared" si="13"/>
        <v>46759.167505746402</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63000</v>
      </c>
      <c r="C218" s="65">
        <f>J14*K14*N14</f>
        <v>0</v>
      </c>
      <c r="D218" s="65">
        <f>-B218</f>
        <v>-63000</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-63000</v>
      </c>
      <c r="C220" s="65">
        <f>E218</f>
        <v>0</v>
      </c>
      <c r="D220" s="65">
        <f>B218</f>
        <v>63000</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63000</v>
      </c>
      <c r="M234" s="66">
        <f t="shared" si="14"/>
        <v>0</v>
      </c>
      <c r="N234" s="66">
        <f t="shared" si="14"/>
        <v>-63000</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-63000</v>
      </c>
      <c r="M236" s="66">
        <f t="shared" si="14"/>
        <v>0</v>
      </c>
      <c r="N236" s="66">
        <f t="shared" si="14"/>
        <v>63000</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14431.841822761235</v>
      </c>
      <c r="C241" s="70">
        <f>J15*K15*N15</f>
        <v>25977.315280970222</v>
      </c>
      <c r="D241" s="70">
        <f>-B241</f>
        <v>-14431.841822761235</v>
      </c>
      <c r="E241" s="70">
        <f>-C241</f>
        <v>-25977.315280970222</v>
      </c>
      <c r="F241" s="69" t="str">
        <f>B240</f>
        <v>U7X</v>
      </c>
    </row>
    <row r="242" spans="1:16" ht="16.8" customHeight="1" x14ac:dyDescent="0.3">
      <c r="A242" s="28" t="s">
        <v>581</v>
      </c>
      <c r="B242" s="70">
        <f>C241</f>
        <v>25977.315280970222</v>
      </c>
      <c r="C242" s="70">
        <f>K15*K15*N15</f>
        <v>46759.167505746402</v>
      </c>
      <c r="D242" s="70">
        <f>-B242</f>
        <v>-25977.315280970222</v>
      </c>
      <c r="E242" s="70">
        <f>-C242</f>
        <v>-46759.167505746402</v>
      </c>
      <c r="F242" s="69" t="str">
        <f>C240</f>
        <v>U7Y</v>
      </c>
    </row>
    <row r="243" spans="1:16" x14ac:dyDescent="0.3">
      <c r="B243" s="70">
        <f>D241</f>
        <v>-14431.841822761235</v>
      </c>
      <c r="C243" s="70">
        <f>E241</f>
        <v>-25977.315280970222</v>
      </c>
      <c r="D243" s="70">
        <f>B241</f>
        <v>14431.841822761235</v>
      </c>
      <c r="E243" s="70">
        <f>C241</f>
        <v>25977.315280970222</v>
      </c>
      <c r="F243" s="69" t="str">
        <f>D240</f>
        <v>U3X</v>
      </c>
    </row>
    <row r="244" spans="1:16" x14ac:dyDescent="0.3">
      <c r="B244" s="70">
        <f>D242</f>
        <v>-25977.315280970222</v>
      </c>
      <c r="C244" s="70">
        <f>E242</f>
        <v>-46759.167505746402</v>
      </c>
      <c r="D244" s="70">
        <f>B242</f>
        <v>25977.315280970222</v>
      </c>
      <c r="E244" s="70">
        <f>C242</f>
        <v>46759.167505746402</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14431.841822761235</v>
      </c>
      <c r="G251" s="71">
        <f t="shared" si="15"/>
        <v>25977.315280970222</v>
      </c>
      <c r="H251" s="9">
        <f t="shared" si="15"/>
        <v>0</v>
      </c>
      <c r="I251" s="9">
        <f t="shared" si="15"/>
        <v>0</v>
      </c>
      <c r="J251" s="9">
        <f t="shared" si="15"/>
        <v>0</v>
      </c>
      <c r="K251" s="9">
        <f t="shared" si="15"/>
        <v>0</v>
      </c>
      <c r="L251" s="9">
        <f t="shared" si="15"/>
        <v>0</v>
      </c>
      <c r="M251" s="9">
        <f t="shared" si="15"/>
        <v>0</v>
      </c>
      <c r="N251" s="71">
        <f t="shared" si="15"/>
        <v>-14431.841822761235</v>
      </c>
      <c r="O251" s="71">
        <f t="shared" si="15"/>
        <v>-25977.315280970222</v>
      </c>
      <c r="P251" s="69" t="s">
        <v>182</v>
      </c>
    </row>
    <row r="252" spans="1:16" ht="19.05" customHeight="1" x14ac:dyDescent="0.3">
      <c r="B252" s="9">
        <f t="shared" si="15"/>
        <v>0</v>
      </c>
      <c r="C252" s="9">
        <f t="shared" si="15"/>
        <v>0</v>
      </c>
      <c r="D252" s="9">
        <f t="shared" si="15"/>
        <v>0</v>
      </c>
      <c r="E252" s="9">
        <f t="shared" si="15"/>
        <v>0</v>
      </c>
      <c r="F252" s="71">
        <f t="shared" si="15"/>
        <v>25977.315280970222</v>
      </c>
      <c r="G252" s="71">
        <f t="shared" si="15"/>
        <v>46759.167505746402</v>
      </c>
      <c r="H252" s="9">
        <f t="shared" si="15"/>
        <v>0</v>
      </c>
      <c r="I252" s="9">
        <f t="shared" si="15"/>
        <v>0</v>
      </c>
      <c r="J252" s="9">
        <f t="shared" si="15"/>
        <v>0</v>
      </c>
      <c r="K252" s="9">
        <f t="shared" si="15"/>
        <v>0</v>
      </c>
      <c r="L252" s="9">
        <f t="shared" si="15"/>
        <v>0</v>
      </c>
      <c r="M252" s="9">
        <f t="shared" si="15"/>
        <v>0</v>
      </c>
      <c r="N252" s="71">
        <f t="shared" si="15"/>
        <v>-25977.315280970222</v>
      </c>
      <c r="O252" s="71">
        <f t="shared" si="15"/>
        <v>-46759.167505746402</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-14431.841822761235</v>
      </c>
      <c r="G259" s="71">
        <f t="shared" si="15"/>
        <v>-25977.315280970222</v>
      </c>
      <c r="H259" s="9">
        <f t="shared" si="15"/>
        <v>0</v>
      </c>
      <c r="I259" s="9">
        <f t="shared" si="15"/>
        <v>0</v>
      </c>
      <c r="J259" s="9">
        <f t="shared" si="15"/>
        <v>0</v>
      </c>
      <c r="K259" s="9">
        <f t="shared" si="15"/>
        <v>0</v>
      </c>
      <c r="L259" s="9">
        <f t="shared" si="15"/>
        <v>0</v>
      </c>
      <c r="M259" s="9">
        <f t="shared" si="15"/>
        <v>0</v>
      </c>
      <c r="N259" s="71">
        <f t="shared" si="15"/>
        <v>14431.841822761235</v>
      </c>
      <c r="O259" s="71">
        <f t="shared" si="15"/>
        <v>25977.315280970222</v>
      </c>
      <c r="P259" s="69" t="s">
        <v>579</v>
      </c>
    </row>
    <row r="260" spans="1:16" ht="19.05" customHeight="1" x14ac:dyDescent="0.3">
      <c r="B260" s="9">
        <f t="shared" si="15"/>
        <v>0</v>
      </c>
      <c r="C260" s="9">
        <f t="shared" si="15"/>
        <v>0</v>
      </c>
      <c r="D260" s="9">
        <f t="shared" si="15"/>
        <v>0</v>
      </c>
      <c r="E260" s="9">
        <f t="shared" si="15"/>
        <v>0</v>
      </c>
      <c r="F260" s="71">
        <f t="shared" si="15"/>
        <v>-25977.315280970222</v>
      </c>
      <c r="G260" s="71">
        <f t="shared" si="15"/>
        <v>-46759.167505746402</v>
      </c>
      <c r="H260" s="9">
        <f t="shared" si="15"/>
        <v>0</v>
      </c>
      <c r="I260" s="9">
        <f t="shared" si="15"/>
        <v>0</v>
      </c>
      <c r="J260" s="9">
        <f t="shared" si="15"/>
        <v>0</v>
      </c>
      <c r="K260" s="9">
        <f t="shared" si="15"/>
        <v>0</v>
      </c>
      <c r="L260" s="9">
        <f t="shared" si="15"/>
        <v>0</v>
      </c>
      <c r="M260" s="9">
        <f t="shared" si="15"/>
        <v>0</v>
      </c>
      <c r="N260" s="71">
        <f t="shared" si="15"/>
        <v>25977.315280970222</v>
      </c>
      <c r="O260" s="71">
        <f t="shared" si="15"/>
        <v>46759.167505746402</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14431.841822761235</v>
      </c>
      <c r="C264" s="73">
        <f>J16*K16*N16</f>
        <v>-25977.315280970222</v>
      </c>
      <c r="D264" s="73">
        <f>-B264</f>
        <v>-14431.841822761235</v>
      </c>
      <c r="E264" s="73">
        <f>-C264</f>
        <v>25977.315280970222</v>
      </c>
      <c r="F264" s="72" t="str">
        <f>B263</f>
        <v>U7X</v>
      </c>
    </row>
    <row r="265" spans="1:16" ht="16.8" customHeight="1" x14ac:dyDescent="0.3">
      <c r="A265" s="28" t="s">
        <v>583</v>
      </c>
      <c r="B265" s="73">
        <f>C264</f>
        <v>-25977.315280970222</v>
      </c>
      <c r="C265" s="73">
        <f>K16*K16*N16</f>
        <v>46759.167505746402</v>
      </c>
      <c r="D265" s="73">
        <f>-B265</f>
        <v>25977.315280970222</v>
      </c>
      <c r="E265" s="73">
        <f>-C265</f>
        <v>-46759.167505746402</v>
      </c>
      <c r="F265" s="72" t="str">
        <f>C263</f>
        <v>U7Y</v>
      </c>
    </row>
    <row r="266" spans="1:16" x14ac:dyDescent="0.3">
      <c r="B266" s="73">
        <f>D264</f>
        <v>-14431.841822761235</v>
      </c>
      <c r="C266" s="73">
        <f>E264</f>
        <v>25977.315280970222</v>
      </c>
      <c r="D266" s="73">
        <f>B264</f>
        <v>14431.841822761235</v>
      </c>
      <c r="E266" s="73">
        <f>C264</f>
        <v>-25977.315280970222</v>
      </c>
      <c r="F266" s="72" t="str">
        <f>D263</f>
        <v>U4X</v>
      </c>
    </row>
    <row r="267" spans="1:16" x14ac:dyDescent="0.3">
      <c r="B267" s="73">
        <f>D265</f>
        <v>25977.315280970222</v>
      </c>
      <c r="C267" s="73">
        <f>E265</f>
        <v>-46759.167505746402</v>
      </c>
      <c r="D267" s="73">
        <f>B265</f>
        <v>-25977.315280970222</v>
      </c>
      <c r="E267" s="73">
        <f>C265</f>
        <v>46759.167505746402</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14431.841822761235</v>
      </c>
      <c r="I276" s="74">
        <f t="shared" si="16"/>
        <v>-25977.315280970222</v>
      </c>
      <c r="J276" s="9">
        <f t="shared" si="16"/>
        <v>0</v>
      </c>
      <c r="K276" s="9">
        <f t="shared" si="16"/>
        <v>0</v>
      </c>
      <c r="L276" s="9">
        <f t="shared" si="16"/>
        <v>0</v>
      </c>
      <c r="M276" s="9">
        <f t="shared" si="16"/>
        <v>0</v>
      </c>
      <c r="N276" s="74">
        <f t="shared" si="16"/>
        <v>-14431.841822761235</v>
      </c>
      <c r="O276" s="74">
        <f t="shared" si="16"/>
        <v>25977.315280970222</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-25977.315280970222</v>
      </c>
      <c r="I277" s="74">
        <f t="shared" si="16"/>
        <v>46759.167505746402</v>
      </c>
      <c r="J277" s="9">
        <f t="shared" si="16"/>
        <v>0</v>
      </c>
      <c r="K277" s="9">
        <f t="shared" si="16"/>
        <v>0</v>
      </c>
      <c r="L277" s="9">
        <f t="shared" si="16"/>
        <v>0</v>
      </c>
      <c r="M277" s="9">
        <f t="shared" si="16"/>
        <v>0</v>
      </c>
      <c r="N277" s="74">
        <f t="shared" si="16"/>
        <v>25977.315280970222</v>
      </c>
      <c r="O277" s="74">
        <f t="shared" si="16"/>
        <v>-46759.167505746402</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-14431.841822761235</v>
      </c>
      <c r="I282" s="74">
        <f t="shared" si="16"/>
        <v>25977.315280970222</v>
      </c>
      <c r="J282" s="9">
        <f t="shared" si="16"/>
        <v>0</v>
      </c>
      <c r="K282" s="9">
        <f t="shared" si="16"/>
        <v>0</v>
      </c>
      <c r="L282" s="9">
        <f t="shared" si="16"/>
        <v>0</v>
      </c>
      <c r="M282" s="9">
        <f t="shared" si="16"/>
        <v>0</v>
      </c>
      <c r="N282" s="74">
        <f t="shared" si="16"/>
        <v>14431.841822761235</v>
      </c>
      <c r="O282" s="74">
        <f t="shared" si="16"/>
        <v>-25977.315280970222</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25977.315280970222</v>
      </c>
      <c r="I283" s="74">
        <f t="shared" si="16"/>
        <v>-46759.167505746402</v>
      </c>
      <c r="J283" s="9">
        <f t="shared" si="16"/>
        <v>0</v>
      </c>
      <c r="K283" s="9">
        <f t="shared" si="16"/>
        <v>0</v>
      </c>
      <c r="L283" s="9">
        <f t="shared" si="16"/>
        <v>0</v>
      </c>
      <c r="M283" s="9">
        <f t="shared" si="16"/>
        <v>0</v>
      </c>
      <c r="N283" s="74">
        <f t="shared" si="16"/>
        <v>-25977.315280970222</v>
      </c>
      <c r="O283" s="74">
        <f t="shared" si="16"/>
        <v>46759.167505746402</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77431.841822761227</v>
      </c>
      <c r="C287" s="36">
        <f t="shared" si="17"/>
        <v>25977.315280970222</v>
      </c>
      <c r="D287" s="9">
        <f t="shared" si="17"/>
        <v>-63000</v>
      </c>
      <c r="E287" s="9">
        <f t="shared" si="17"/>
        <v>0</v>
      </c>
      <c r="F287" s="9">
        <f t="shared" si="17"/>
        <v>0</v>
      </c>
      <c r="G287" s="9">
        <f t="shared" si="17"/>
        <v>0</v>
      </c>
      <c r="H287" s="9">
        <f t="shared" si="17"/>
        <v>0</v>
      </c>
      <c r="I287" s="9">
        <f t="shared" si="17"/>
        <v>0</v>
      </c>
      <c r="J287" s="9">
        <f t="shared" si="17"/>
        <v>-14431.841822761235</v>
      </c>
      <c r="K287" s="9">
        <f t="shared" si="17"/>
        <v>-25977.315280970222</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25977.315280970222</v>
      </c>
      <c r="C288" s="35">
        <f t="shared" si="18"/>
        <v>46759.167505746402</v>
      </c>
      <c r="D288" s="9">
        <f t="shared" si="18"/>
        <v>0</v>
      </c>
      <c r="E288" s="9">
        <f t="shared" si="18"/>
        <v>0</v>
      </c>
      <c r="F288" s="9">
        <f t="shared" si="18"/>
        <v>0</v>
      </c>
      <c r="G288" s="9">
        <f t="shared" si="18"/>
        <v>0</v>
      </c>
      <c r="H288" s="9">
        <f t="shared" si="18"/>
        <v>0</v>
      </c>
      <c r="I288" s="9">
        <f t="shared" si="18"/>
        <v>0</v>
      </c>
      <c r="J288" s="9">
        <f t="shared" si="18"/>
        <v>-25977.315280970222</v>
      </c>
      <c r="K288" s="9">
        <f t="shared" si="18"/>
        <v>-46759.167505746402</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-63000</v>
      </c>
      <c r="C289" s="9">
        <f t="shared" si="19"/>
        <v>0</v>
      </c>
      <c r="D289" s="35">
        <f t="shared" si="19"/>
        <v>154863.68364552245</v>
      </c>
      <c r="E289" s="36">
        <f t="shared" si="19"/>
        <v>0</v>
      </c>
      <c r="F289" s="9">
        <f t="shared" si="19"/>
        <v>-63000</v>
      </c>
      <c r="G289" s="9">
        <f t="shared" si="19"/>
        <v>0</v>
      </c>
      <c r="H289" s="9">
        <f t="shared" si="19"/>
        <v>0</v>
      </c>
      <c r="I289" s="9">
        <f t="shared" si="19"/>
        <v>0</v>
      </c>
      <c r="J289" s="9">
        <f t="shared" si="19"/>
        <v>-14431.841822761235</v>
      </c>
      <c r="K289" s="9">
        <f t="shared" si="19"/>
        <v>25977.315280970222</v>
      </c>
      <c r="L289" s="9">
        <f t="shared" si="19"/>
        <v>-14431.841822761235</v>
      </c>
      <c r="M289" s="9">
        <f t="shared" si="19"/>
        <v>-25977.315280970222</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93518.335011492803</v>
      </c>
      <c r="F290" s="9">
        <f t="shared" si="20"/>
        <v>0</v>
      </c>
      <c r="G290" s="9">
        <f t="shared" si="20"/>
        <v>0</v>
      </c>
      <c r="H290" s="9">
        <f t="shared" si="20"/>
        <v>0</v>
      </c>
      <c r="I290" s="9">
        <f t="shared" si="20"/>
        <v>0</v>
      </c>
      <c r="J290" s="9">
        <f t="shared" si="20"/>
        <v>25977.315280970222</v>
      </c>
      <c r="K290" s="9">
        <f t="shared" si="20"/>
        <v>-46759.167505746402</v>
      </c>
      <c r="L290" s="9">
        <f t="shared" si="20"/>
        <v>-25977.315280970222</v>
      </c>
      <c r="M290" s="9">
        <f t="shared" si="20"/>
        <v>-46759.167505746402</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-63000</v>
      </c>
      <c r="E291" s="9">
        <f t="shared" si="21"/>
        <v>0</v>
      </c>
      <c r="F291" s="35">
        <f t="shared" si="21"/>
        <v>154863.68364552245</v>
      </c>
      <c r="G291" s="36">
        <f t="shared" si="21"/>
        <v>0</v>
      </c>
      <c r="H291" s="9">
        <f t="shared" si="21"/>
        <v>-63000</v>
      </c>
      <c r="I291" s="9">
        <f t="shared" si="21"/>
        <v>0</v>
      </c>
      <c r="J291" s="9">
        <f t="shared" si="21"/>
        <v>0</v>
      </c>
      <c r="K291" s="9">
        <f t="shared" si="21"/>
        <v>0</v>
      </c>
      <c r="L291" s="9">
        <f t="shared" si="21"/>
        <v>-14431.841822761235</v>
      </c>
      <c r="M291" s="9">
        <f t="shared" si="21"/>
        <v>25977.315280970222</v>
      </c>
      <c r="N291" s="9">
        <f t="shared" si="21"/>
        <v>-14431.841822761235</v>
      </c>
      <c r="O291" s="9">
        <f t="shared" si="21"/>
        <v>-25977.315280970222</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93518.335011492803</v>
      </c>
      <c r="H292" s="9">
        <f t="shared" si="22"/>
        <v>0</v>
      </c>
      <c r="I292" s="9">
        <f t="shared" si="22"/>
        <v>0</v>
      </c>
      <c r="J292" s="9">
        <f t="shared" si="22"/>
        <v>0</v>
      </c>
      <c r="K292" s="9">
        <f t="shared" si="22"/>
        <v>0</v>
      </c>
      <c r="L292" s="9">
        <f t="shared" si="22"/>
        <v>25977.315280970222</v>
      </c>
      <c r="M292" s="9">
        <f t="shared" si="22"/>
        <v>-46759.167505746402</v>
      </c>
      <c r="N292" s="9">
        <f t="shared" si="22"/>
        <v>-25977.315280970222</v>
      </c>
      <c r="O292" s="9">
        <f t="shared" si="22"/>
        <v>-46759.167505746402</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-63000</v>
      </c>
      <c r="G293" s="9">
        <f t="shared" si="23"/>
        <v>0</v>
      </c>
      <c r="H293" s="35">
        <f t="shared" si="23"/>
        <v>77431.841822761227</v>
      </c>
      <c r="I293" s="36">
        <f t="shared" si="23"/>
        <v>-25977.315280970222</v>
      </c>
      <c r="J293" s="9">
        <f t="shared" si="23"/>
        <v>0</v>
      </c>
      <c r="K293" s="9">
        <f t="shared" si="23"/>
        <v>0</v>
      </c>
      <c r="L293" s="9">
        <f t="shared" si="23"/>
        <v>0</v>
      </c>
      <c r="M293" s="9">
        <f t="shared" si="23"/>
        <v>0</v>
      </c>
      <c r="N293" s="9">
        <f t="shared" si="23"/>
        <v>-14431.841822761235</v>
      </c>
      <c r="O293" s="9">
        <f t="shared" si="23"/>
        <v>25977.315280970222</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-25977.315280970222</v>
      </c>
      <c r="I294" s="35">
        <f t="shared" si="24"/>
        <v>46759.167505746402</v>
      </c>
      <c r="J294" s="9">
        <f t="shared" si="24"/>
        <v>0</v>
      </c>
      <c r="K294" s="9">
        <f t="shared" si="24"/>
        <v>0</v>
      </c>
      <c r="L294" s="9">
        <f t="shared" si="24"/>
        <v>0</v>
      </c>
      <c r="M294" s="9">
        <f t="shared" si="24"/>
        <v>0</v>
      </c>
      <c r="N294" s="9">
        <f t="shared" si="24"/>
        <v>25977.315280970222</v>
      </c>
      <c r="O294" s="9">
        <f t="shared" si="24"/>
        <v>-46759.167505746402</v>
      </c>
      <c r="P294" s="89" t="s">
        <v>185</v>
      </c>
    </row>
    <row r="295" spans="1:23" ht="19.95" customHeight="1" x14ac:dyDescent="0.3">
      <c r="B295" s="9">
        <f t="shared" ref="B295:O295" si="25">B48+B71+B94+B117+B140+B163+B186+B209+B232+B255+B278</f>
        <v>-14431.841822761235</v>
      </c>
      <c r="C295" s="9">
        <f t="shared" si="25"/>
        <v>-25977.315280970222</v>
      </c>
      <c r="D295" s="9">
        <f t="shared" si="25"/>
        <v>-14431.841822761235</v>
      </c>
      <c r="E295" s="9">
        <f t="shared" si="25"/>
        <v>25977.315280970222</v>
      </c>
      <c r="F295" s="9">
        <f t="shared" si="25"/>
        <v>0</v>
      </c>
      <c r="G295" s="9">
        <f t="shared" si="25"/>
        <v>0</v>
      </c>
      <c r="H295" s="9">
        <f t="shared" si="25"/>
        <v>0</v>
      </c>
      <c r="I295" s="9">
        <f t="shared" si="25"/>
        <v>0</v>
      </c>
      <c r="J295" s="35">
        <f t="shared" si="25"/>
        <v>91863.683645522469</v>
      </c>
      <c r="K295" s="36">
        <f t="shared" si="25"/>
        <v>0</v>
      </c>
      <c r="L295" s="9">
        <f t="shared" si="25"/>
        <v>-63000</v>
      </c>
      <c r="M295" s="9">
        <f t="shared" si="25"/>
        <v>0</v>
      </c>
      <c r="N295" s="9">
        <f t="shared" si="25"/>
        <v>0</v>
      </c>
      <c r="O295" s="9">
        <f t="shared" si="25"/>
        <v>0</v>
      </c>
      <c r="P295" s="89" t="s">
        <v>186</v>
      </c>
    </row>
    <row r="296" spans="1:23" ht="19.95" customHeight="1" x14ac:dyDescent="0.3">
      <c r="B296" s="9">
        <f t="shared" ref="B296:O296" si="26">B49+B72+B95+B118+B141+B164+B187+B210+B233+B256+B279</f>
        <v>-25977.315280970222</v>
      </c>
      <c r="C296" s="9">
        <f t="shared" si="26"/>
        <v>-46759.167505746402</v>
      </c>
      <c r="D296" s="9">
        <f t="shared" si="26"/>
        <v>25977.315280970222</v>
      </c>
      <c r="E296" s="9">
        <f t="shared" si="26"/>
        <v>-46759.167505746402</v>
      </c>
      <c r="F296" s="9">
        <f t="shared" si="26"/>
        <v>0</v>
      </c>
      <c r="G296" s="9">
        <f t="shared" si="26"/>
        <v>0</v>
      </c>
      <c r="H296" s="9">
        <f t="shared" si="26"/>
        <v>0</v>
      </c>
      <c r="I296" s="9">
        <f t="shared" si="26"/>
        <v>0</v>
      </c>
      <c r="J296" s="36">
        <f t="shared" si="26"/>
        <v>0</v>
      </c>
      <c r="K296" s="35">
        <f t="shared" si="26"/>
        <v>93518.335011492803</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-14431.841822761235</v>
      </c>
      <c r="E297" s="9">
        <f t="shared" si="27"/>
        <v>-25977.315280970222</v>
      </c>
      <c r="F297" s="9">
        <f t="shared" si="27"/>
        <v>-14431.841822761235</v>
      </c>
      <c r="G297" s="9">
        <f t="shared" si="27"/>
        <v>25977.315280970222</v>
      </c>
      <c r="H297" s="9">
        <f t="shared" si="27"/>
        <v>0</v>
      </c>
      <c r="I297" s="9">
        <f t="shared" si="27"/>
        <v>0</v>
      </c>
      <c r="J297" s="9">
        <f t="shared" si="27"/>
        <v>-63000</v>
      </c>
      <c r="K297" s="9">
        <f t="shared" si="27"/>
        <v>0</v>
      </c>
      <c r="L297" s="35">
        <f t="shared" si="27"/>
        <v>154863.68364552245</v>
      </c>
      <c r="M297" s="36">
        <f t="shared" si="27"/>
        <v>0</v>
      </c>
      <c r="N297" s="9">
        <f t="shared" si="27"/>
        <v>-63000</v>
      </c>
      <c r="O297" s="9">
        <f t="shared" si="27"/>
        <v>0</v>
      </c>
      <c r="P297" s="89" t="s">
        <v>188</v>
      </c>
    </row>
    <row r="298" spans="1:23" ht="19.95" customHeight="1" x14ac:dyDescent="0.3">
      <c r="B298" s="9">
        <f t="shared" ref="B298:O298" si="28">B51+B74+B97+B120+B143+B166+B189+B212+B235+B258+B281</f>
        <v>0</v>
      </c>
      <c r="C298" s="9">
        <f t="shared" si="28"/>
        <v>0</v>
      </c>
      <c r="D298" s="9">
        <f t="shared" si="28"/>
        <v>-25977.315280970222</v>
      </c>
      <c r="E298" s="9">
        <f t="shared" si="28"/>
        <v>-46759.167505746402</v>
      </c>
      <c r="F298" s="9">
        <f t="shared" si="28"/>
        <v>25977.315280970222</v>
      </c>
      <c r="G298" s="9">
        <f t="shared" si="28"/>
        <v>-46759.167505746402</v>
      </c>
      <c r="H298" s="9">
        <f t="shared" si="28"/>
        <v>0</v>
      </c>
      <c r="I298" s="9">
        <f t="shared" si="28"/>
        <v>0</v>
      </c>
      <c r="J298" s="9">
        <f t="shared" si="28"/>
        <v>0</v>
      </c>
      <c r="K298" s="9">
        <f t="shared" si="28"/>
        <v>0</v>
      </c>
      <c r="L298" s="36">
        <f t="shared" si="28"/>
        <v>0</v>
      </c>
      <c r="M298" s="35">
        <f t="shared" si="28"/>
        <v>93518.335011492803</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-14431.841822761235</v>
      </c>
      <c r="G299" s="9">
        <f t="shared" si="29"/>
        <v>-25977.315280970222</v>
      </c>
      <c r="H299" s="9">
        <f t="shared" si="29"/>
        <v>-14431.841822761235</v>
      </c>
      <c r="I299" s="9">
        <f t="shared" si="29"/>
        <v>25977.315280970222</v>
      </c>
      <c r="J299" s="9">
        <f t="shared" si="29"/>
        <v>0</v>
      </c>
      <c r="K299" s="9">
        <f t="shared" si="29"/>
        <v>0</v>
      </c>
      <c r="L299" s="9">
        <f t="shared" si="29"/>
        <v>-63000</v>
      </c>
      <c r="M299" s="9">
        <f t="shared" si="29"/>
        <v>0</v>
      </c>
      <c r="N299" s="35">
        <f t="shared" si="29"/>
        <v>91863.683645522455</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-25977.315280970222</v>
      </c>
      <c r="G300" s="9">
        <f t="shared" si="30"/>
        <v>-46759.167505746402</v>
      </c>
      <c r="H300" s="9">
        <f t="shared" si="30"/>
        <v>25977.315280970222</v>
      </c>
      <c r="I300" s="9">
        <f t="shared" si="30"/>
        <v>-46759.167505746402</v>
      </c>
      <c r="J300" s="9">
        <f t="shared" si="30"/>
        <v>0</v>
      </c>
      <c r="K300" s="9">
        <f t="shared" si="30"/>
        <v>0</v>
      </c>
      <c r="L300" s="9">
        <f t="shared" si="30"/>
        <v>0</v>
      </c>
      <c r="M300" s="9">
        <f t="shared" si="30"/>
        <v>0</v>
      </c>
      <c r="N300" s="36">
        <f t="shared" si="30"/>
        <v>0</v>
      </c>
      <c r="O300" s="35">
        <f t="shared" si="30"/>
        <v>93518.335011492803</v>
      </c>
      <c r="P300" s="89" t="s">
        <v>580</v>
      </c>
    </row>
    <row r="303" spans="1:23" ht="19.95" customHeight="1" x14ac:dyDescent="0.35">
      <c r="A303" s="11" t="s">
        <v>206</v>
      </c>
      <c r="R303" s="216" t="s">
        <v>207</v>
      </c>
      <c r="S303" s="172"/>
      <c r="T303" s="172"/>
      <c r="U303" s="172"/>
      <c r="V303" s="172"/>
      <c r="W303" s="173"/>
    </row>
    <row r="304" spans="1:23" ht="16.95" customHeight="1" x14ac:dyDescent="0.3">
      <c r="B304" s="12" t="s">
        <v>208</v>
      </c>
      <c r="C304" s="12" t="s">
        <v>178</v>
      </c>
      <c r="E304" s="37" t="str">
        <f>IF(GRAFICA_37!F14=1, B304, GRAFICA_37!H14)</f>
        <v>C1X</v>
      </c>
      <c r="R304" s="215" t="s">
        <v>376</v>
      </c>
      <c r="S304" s="172"/>
      <c r="T304" s="172"/>
      <c r="U304" s="172"/>
      <c r="V304" s="172"/>
      <c r="W304" s="173"/>
    </row>
    <row r="305" spans="1:23" ht="16.95" customHeight="1" x14ac:dyDescent="0.3">
      <c r="B305" s="12" t="s">
        <v>210</v>
      </c>
      <c r="C305" s="12" t="s">
        <v>179</v>
      </c>
      <c r="E305" s="37" t="str">
        <f>IF(GRAFICA_37!G14=1, B305, GRAFICA_37!I14)</f>
        <v>C1Y</v>
      </c>
      <c r="R305" s="215" t="s">
        <v>211</v>
      </c>
      <c r="S305" s="172"/>
      <c r="T305" s="172"/>
      <c r="U305" s="172"/>
      <c r="V305" s="172"/>
      <c r="W305" s="173"/>
    </row>
    <row r="306" spans="1:23" ht="16.95" customHeight="1" x14ac:dyDescent="0.3">
      <c r="B306" s="12" t="s">
        <v>212</v>
      </c>
      <c r="C306" s="12" t="s">
        <v>180</v>
      </c>
      <c r="E306" s="37">
        <f>IF(GRAFICA_37!F15=1, B306, GRAFICA_37!H15)</f>
        <v>0</v>
      </c>
      <c r="R306" s="215" t="s">
        <v>377</v>
      </c>
      <c r="S306" s="172"/>
      <c r="T306" s="172"/>
      <c r="U306" s="172"/>
      <c r="V306" s="172"/>
      <c r="W306" s="173"/>
    </row>
    <row r="307" spans="1:23" ht="16.95" customHeight="1" x14ac:dyDescent="0.3">
      <c r="B307" s="12" t="s">
        <v>214</v>
      </c>
      <c r="C307" s="12" t="s">
        <v>181</v>
      </c>
      <c r="E307" s="37">
        <f>IF(GRAFICA_37!G15=1, B307, GRAFICA_37!I15)</f>
        <v>-4000</v>
      </c>
      <c r="R307" s="215" t="s">
        <v>215</v>
      </c>
      <c r="S307" s="172"/>
      <c r="T307" s="172"/>
      <c r="U307" s="172"/>
      <c r="V307" s="172"/>
      <c r="W307" s="173"/>
    </row>
    <row r="308" spans="1:23" ht="16.95" customHeight="1" x14ac:dyDescent="0.3">
      <c r="B308" s="12" t="s">
        <v>216</v>
      </c>
      <c r="C308" s="12" t="s">
        <v>182</v>
      </c>
      <c r="E308" s="37">
        <f>IF(GRAFICA_37!F16=1, B308, GRAFICA_37!H16)</f>
        <v>0</v>
      </c>
      <c r="R308" s="215" t="s">
        <v>378</v>
      </c>
      <c r="S308" s="172"/>
      <c r="T308" s="172"/>
      <c r="U308" s="172"/>
      <c r="V308" s="172"/>
      <c r="W308" s="173"/>
    </row>
    <row r="309" spans="1:23" ht="16.95" customHeight="1" x14ac:dyDescent="0.3">
      <c r="B309" s="12" t="s">
        <v>219</v>
      </c>
      <c r="C309" s="12" t="s">
        <v>183</v>
      </c>
      <c r="E309" s="37">
        <f>IF(GRAFICA_37!G16=1, B309, GRAFICA_37!I16)</f>
        <v>-4000</v>
      </c>
      <c r="R309" s="215" t="s">
        <v>379</v>
      </c>
      <c r="S309" s="172"/>
      <c r="T309" s="172"/>
      <c r="U309" s="172"/>
      <c r="V309" s="172"/>
      <c r="W309" s="173"/>
    </row>
    <row r="310" spans="1:23" ht="16.95" customHeight="1" x14ac:dyDescent="0.3">
      <c r="A310" s="38" t="s">
        <v>218</v>
      </c>
      <c r="B310" s="12" t="s">
        <v>221</v>
      </c>
      <c r="C310" s="12" t="s">
        <v>184</v>
      </c>
      <c r="D310" s="13" t="s">
        <v>220</v>
      </c>
      <c r="E310" s="37">
        <f>IF(GRAFICA_37!F17=1, B310, GRAFICA_37!H17)</f>
        <v>0</v>
      </c>
      <c r="R310" s="215"/>
      <c r="S310" s="172"/>
      <c r="T310" s="172"/>
      <c r="U310" s="172"/>
      <c r="V310" s="172"/>
      <c r="W310" s="173"/>
    </row>
    <row r="311" spans="1:23" ht="16.95" customHeight="1" x14ac:dyDescent="0.3">
      <c r="B311" s="12" t="s">
        <v>222</v>
      </c>
      <c r="C311" s="12" t="s">
        <v>185</v>
      </c>
      <c r="E311" s="37" t="str">
        <f>IF(GRAFICA_37!G17=1, B311, GRAFICA_37!I17)</f>
        <v>C4Y</v>
      </c>
      <c r="R311" s="215"/>
      <c r="S311" s="172"/>
      <c r="T311" s="172"/>
      <c r="U311" s="172"/>
      <c r="V311" s="172"/>
      <c r="W311" s="173"/>
    </row>
    <row r="312" spans="1:23" ht="16.95" customHeight="1" x14ac:dyDescent="0.3">
      <c r="B312" s="12" t="s">
        <v>223</v>
      </c>
      <c r="C312" s="12" t="s">
        <v>186</v>
      </c>
      <c r="E312" s="37">
        <f>IF(GRAFICA_37!F18=1, B312, GRAFICA_37!H18)</f>
        <v>0</v>
      </c>
      <c r="R312" s="215"/>
      <c r="S312" s="172"/>
      <c r="T312" s="172"/>
      <c r="U312" s="172"/>
      <c r="V312" s="172"/>
      <c r="W312" s="173"/>
    </row>
    <row r="313" spans="1:23" ht="16.95" customHeight="1" x14ac:dyDescent="0.3">
      <c r="B313" s="12" t="s">
        <v>224</v>
      </c>
      <c r="C313" s="12" t="s">
        <v>187</v>
      </c>
      <c r="E313" s="37">
        <f>IF(GRAFICA_37!G18=1, B313, GRAFICA_37!I18)</f>
        <v>0</v>
      </c>
      <c r="R313" s="215"/>
      <c r="S313" s="172"/>
      <c r="T313" s="172"/>
      <c r="U313" s="172"/>
      <c r="V313" s="172"/>
      <c r="W313" s="173"/>
    </row>
    <row r="314" spans="1:23" ht="16.95" customHeight="1" x14ac:dyDescent="0.3">
      <c r="B314" s="12" t="s">
        <v>225</v>
      </c>
      <c r="C314" s="12" t="s">
        <v>188</v>
      </c>
      <c r="E314" s="37">
        <f>IF(GRAFICA_37!F19=1, B314, GRAFICA_37!H19)</f>
        <v>0</v>
      </c>
      <c r="R314" s="215"/>
      <c r="S314" s="172"/>
      <c r="T314" s="172"/>
      <c r="U314" s="172"/>
      <c r="V314" s="172"/>
      <c r="W314" s="173"/>
    </row>
    <row r="315" spans="1:23" ht="16.95" customHeight="1" x14ac:dyDescent="0.3">
      <c r="B315" s="12" t="s">
        <v>226</v>
      </c>
      <c r="C315" s="12" t="s">
        <v>189</v>
      </c>
      <c r="E315" s="37">
        <f>IF(GRAFICA_37!G19=1, B315, GRAFICA_37!I19)</f>
        <v>-6000</v>
      </c>
      <c r="R315" s="215"/>
      <c r="S315" s="172"/>
      <c r="T315" s="172"/>
      <c r="U315" s="172"/>
      <c r="V315" s="172"/>
      <c r="W315" s="173"/>
    </row>
    <row r="316" spans="1:23" ht="16.95" customHeight="1" x14ac:dyDescent="0.3">
      <c r="B316" s="12" t="s">
        <v>585</v>
      </c>
      <c r="C316" s="12" t="s">
        <v>579</v>
      </c>
      <c r="E316" s="37">
        <f>IF(GRAFICA_37!F20=1, B316, GRAFICA_37!H20)</f>
        <v>0</v>
      </c>
      <c r="R316" s="215"/>
      <c r="S316" s="172"/>
      <c r="T316" s="172"/>
      <c r="U316" s="172"/>
      <c r="V316" s="172"/>
      <c r="W316" s="173"/>
    </row>
    <row r="317" spans="1:23" ht="16.95" customHeight="1" x14ac:dyDescent="0.3">
      <c r="B317" s="12" t="s">
        <v>586</v>
      </c>
      <c r="C317" s="12" t="s">
        <v>580</v>
      </c>
      <c r="E317" s="37">
        <f>IF(GRAFICA_37!G20=1, B317, GRAFICA_37!I20)</f>
        <v>0</v>
      </c>
      <c r="R317" s="215"/>
      <c r="S317" s="172"/>
      <c r="T317" s="172"/>
      <c r="U317" s="172"/>
      <c r="V317" s="172"/>
      <c r="W317" s="173"/>
    </row>
    <row r="318" spans="1:23" ht="16.95" customHeight="1" x14ac:dyDescent="0.3">
      <c r="R318" s="215"/>
      <c r="S318" s="172"/>
      <c r="T318" s="172"/>
      <c r="U318" s="172"/>
      <c r="V318" s="172"/>
      <c r="W318" s="173"/>
    </row>
    <row r="319" spans="1:23" ht="16.95" customHeight="1" x14ac:dyDescent="0.35">
      <c r="A319" s="11" t="s">
        <v>227</v>
      </c>
      <c r="R319" s="215"/>
      <c r="S319" s="172"/>
      <c r="T319" s="172"/>
      <c r="U319" s="172"/>
      <c r="V319" s="172"/>
      <c r="W319" s="173"/>
    </row>
    <row r="320" spans="1:23" ht="16.95" customHeight="1" x14ac:dyDescent="0.3">
      <c r="B320" s="12" t="s">
        <v>228</v>
      </c>
      <c r="C320" s="12" t="s">
        <v>178</v>
      </c>
      <c r="E320" s="39">
        <f>IF(GRAFICA_37!F14=1, 0, B320)</f>
        <v>0</v>
      </c>
      <c r="F320" s="14" t="str">
        <f>IF(E320&lt;&gt;0, COUNTIF(E$320:E320, "&lt;&gt;0"), "")</f>
        <v/>
      </c>
      <c r="G320" s="14">
        <f>IF(E320=0, COUNTIF(E$320:E320, 0), "")</f>
        <v>1</v>
      </c>
      <c r="R320" s="215"/>
      <c r="S320" s="172"/>
      <c r="T320" s="172"/>
      <c r="U320" s="172"/>
      <c r="V320" s="172"/>
      <c r="W320" s="173"/>
    </row>
    <row r="321" spans="1:23" ht="16.95" customHeight="1" x14ac:dyDescent="0.3">
      <c r="B321" s="12" t="s">
        <v>229</v>
      </c>
      <c r="C321" s="12" t="s">
        <v>179</v>
      </c>
      <c r="E321" s="39">
        <f>IF(GRAFICA_37!G14=1, 0, B321)</f>
        <v>0</v>
      </c>
      <c r="F321" s="14" t="str">
        <f>IF(E321&lt;&gt;0, COUNTIF(E$320:E321, "&lt;&gt;0"), "")</f>
        <v/>
      </c>
      <c r="G321" s="14">
        <f>IF(E321=0, COUNTIF(E$320:E321, 0), "")</f>
        <v>2</v>
      </c>
      <c r="R321" s="215"/>
      <c r="S321" s="172"/>
      <c r="T321" s="172"/>
      <c r="U321" s="172"/>
      <c r="V321" s="172"/>
      <c r="W321" s="173"/>
    </row>
    <row r="322" spans="1:23" ht="16.95" customHeight="1" x14ac:dyDescent="0.3">
      <c r="B322" s="12" t="s">
        <v>230</v>
      </c>
      <c r="C322" s="12" t="s">
        <v>180</v>
      </c>
      <c r="E322" s="39" t="str">
        <f>IF(GRAFICA_37!F15=1, 0, B322)</f>
        <v>D2X</v>
      </c>
      <c r="F322" s="14">
        <f>IF(E322&lt;&gt;0, COUNTIF(E$320:E322, "&lt;&gt;0"), "")</f>
        <v>1</v>
      </c>
      <c r="G322" s="14" t="str">
        <f>IF(E322=0, COUNTIF(E$320:E322, 0), "")</f>
        <v/>
      </c>
      <c r="R322" s="215"/>
      <c r="S322" s="172"/>
      <c r="T322" s="172"/>
      <c r="U322" s="172"/>
      <c r="V322" s="172"/>
      <c r="W322" s="173"/>
    </row>
    <row r="323" spans="1:23" ht="16.95" customHeight="1" x14ac:dyDescent="0.3">
      <c r="B323" s="12" t="s">
        <v>231</v>
      </c>
      <c r="C323" s="12" t="s">
        <v>181</v>
      </c>
      <c r="E323" s="39" t="str">
        <f>IF(GRAFICA_37!G15=1, 0, B323)</f>
        <v>D2Y</v>
      </c>
      <c r="F323" s="14">
        <f>IF(E323&lt;&gt;0, COUNTIF(E$320:E323, "&lt;&gt;0"), "")</f>
        <v>2</v>
      </c>
      <c r="G323" s="14" t="str">
        <f>IF(E323=0, COUNTIF(E$320:E323, 0), "")</f>
        <v/>
      </c>
      <c r="R323" s="215"/>
      <c r="S323" s="172"/>
      <c r="T323" s="172"/>
      <c r="U323" s="172"/>
      <c r="V323" s="172"/>
      <c r="W323" s="173"/>
    </row>
    <row r="324" spans="1:23" ht="16.95" customHeight="1" x14ac:dyDescent="0.3">
      <c r="B324" s="12" t="s">
        <v>232</v>
      </c>
      <c r="C324" s="12" t="s">
        <v>182</v>
      </c>
      <c r="E324" s="39" t="str">
        <f>IF(GRAFICA_37!F16=1, 0, B324)</f>
        <v>D3X</v>
      </c>
      <c r="F324" s="14">
        <f>IF(E324&lt;&gt;0, COUNTIF(E$320:E324, "&lt;&gt;0"), "")</f>
        <v>3</v>
      </c>
      <c r="G324" s="14" t="str">
        <f>IF(E324=0, COUNTIF(E$320:E324, 0), "")</f>
        <v/>
      </c>
      <c r="R324" s="215"/>
      <c r="S324" s="172"/>
      <c r="T324" s="172"/>
      <c r="U324" s="172"/>
      <c r="V324" s="172"/>
      <c r="W324" s="173"/>
    </row>
    <row r="325" spans="1:23" ht="16.95" customHeight="1" x14ac:dyDescent="0.3">
      <c r="B325" s="12" t="s">
        <v>234</v>
      </c>
      <c r="C325" s="12" t="s">
        <v>183</v>
      </c>
      <c r="E325" s="39" t="str">
        <f>IF(GRAFICA_37!G16=1, 0, B325)</f>
        <v>D3Y</v>
      </c>
      <c r="F325" s="14">
        <f>IF(E325&lt;&gt;0, COUNTIF(E$320:E325, "&lt;&gt;0"), "")</f>
        <v>4</v>
      </c>
      <c r="G325" s="14" t="str">
        <f>IF(E325=0, COUNTIF(E$320:E325, 0), "")</f>
        <v/>
      </c>
      <c r="R325" s="215"/>
      <c r="S325" s="172"/>
      <c r="T325" s="172"/>
      <c r="U325" s="172"/>
      <c r="V325" s="172"/>
      <c r="W325" s="173"/>
    </row>
    <row r="326" spans="1:23" ht="16.95" customHeight="1" x14ac:dyDescent="0.3">
      <c r="A326" s="38" t="s">
        <v>233</v>
      </c>
      <c r="B326" s="12" t="s">
        <v>235</v>
      </c>
      <c r="C326" s="12" t="s">
        <v>184</v>
      </c>
      <c r="D326" s="13" t="s">
        <v>220</v>
      </c>
      <c r="E326" s="39" t="str">
        <f>IF(GRAFICA_37!F17=1, 0, B326)</f>
        <v>D4X</v>
      </c>
      <c r="F326" s="14">
        <f>IF(E326&lt;&gt;0, COUNTIF(E$320:E326, "&lt;&gt;0"), "")</f>
        <v>5</v>
      </c>
      <c r="G326" s="14" t="str">
        <f>IF(E326=0, COUNTIF(E$320:E326, 0), "")</f>
        <v/>
      </c>
      <c r="R326" s="215"/>
      <c r="S326" s="172"/>
      <c r="T326" s="172"/>
      <c r="U326" s="172"/>
      <c r="V326" s="172"/>
      <c r="W326" s="173"/>
    </row>
    <row r="327" spans="1:23" ht="16.95" customHeight="1" x14ac:dyDescent="0.3">
      <c r="B327" s="12" t="s">
        <v>236</v>
      </c>
      <c r="C327" s="12" t="s">
        <v>185</v>
      </c>
      <c r="E327" s="39">
        <f>IF(GRAFICA_37!G17=1, 0, B327)</f>
        <v>0</v>
      </c>
      <c r="F327" s="14" t="str">
        <f>IF(E327&lt;&gt;0, COUNTIF(E$320:E327, "&lt;&gt;0"), "")</f>
        <v/>
      </c>
      <c r="G327" s="14">
        <f>IF(E327=0, COUNTIF(E$320:E327, 0), "")</f>
        <v>3</v>
      </c>
      <c r="R327" s="215"/>
      <c r="S327" s="172"/>
      <c r="T327" s="172"/>
      <c r="U327" s="172"/>
      <c r="V327" s="172"/>
      <c r="W327" s="173"/>
    </row>
    <row r="328" spans="1:23" ht="16.95" customHeight="1" x14ac:dyDescent="0.3">
      <c r="B328" s="12" t="s">
        <v>237</v>
      </c>
      <c r="C328" s="12" t="s">
        <v>186</v>
      </c>
      <c r="E328" s="39" t="str">
        <f>IF(GRAFICA_37!F18=1, 0, B328)</f>
        <v>D5X</v>
      </c>
      <c r="F328" s="14">
        <f>IF(E328&lt;&gt;0, COUNTIF(E$320:E328, "&lt;&gt;0"), "")</f>
        <v>6</v>
      </c>
      <c r="G328" s="14" t="str">
        <f>IF(E328=0, COUNTIF(E$320:E328, 0), "")</f>
        <v/>
      </c>
      <c r="R328" s="215"/>
      <c r="S328" s="172"/>
      <c r="T328" s="172"/>
      <c r="U328" s="172"/>
      <c r="V328" s="172"/>
      <c r="W328" s="173"/>
    </row>
    <row r="329" spans="1:23" ht="16.95" customHeight="1" x14ac:dyDescent="0.3">
      <c r="B329" s="12" t="s">
        <v>238</v>
      </c>
      <c r="C329" s="12" t="s">
        <v>187</v>
      </c>
      <c r="E329" s="39" t="str">
        <f>IF(GRAFICA_37!G18=1, 0, B329)</f>
        <v>D5Y</v>
      </c>
      <c r="F329" s="14">
        <f>IF(E329&lt;&gt;0, COUNTIF(E$320:E329, "&lt;&gt;0"), "")</f>
        <v>7</v>
      </c>
      <c r="G329" s="14" t="str">
        <f>IF(E329=0, COUNTIF(E$320:E329, 0), "")</f>
        <v/>
      </c>
      <c r="R329" s="215"/>
      <c r="S329" s="172"/>
      <c r="T329" s="172"/>
      <c r="U329" s="172"/>
      <c r="V329" s="172"/>
      <c r="W329" s="173"/>
    </row>
    <row r="330" spans="1:23" ht="16.95" customHeight="1" x14ac:dyDescent="0.3">
      <c r="B330" s="12" t="s">
        <v>239</v>
      </c>
      <c r="C330" s="12" t="s">
        <v>188</v>
      </c>
      <c r="E330" s="39" t="str">
        <f>IF(GRAFICA_37!F19=1, 0, B330)</f>
        <v>D6X</v>
      </c>
      <c r="F330" s="14">
        <f>IF(E330&lt;&gt;0, COUNTIF(E$320:E330, "&lt;&gt;0"), "")</f>
        <v>8</v>
      </c>
      <c r="G330" s="14" t="str">
        <f>IF(E330=0, COUNTIF(E$320:E330, 0), "")</f>
        <v/>
      </c>
      <c r="R330" s="215"/>
      <c r="S330" s="172"/>
      <c r="T330" s="172"/>
      <c r="U330" s="172"/>
      <c r="V330" s="172"/>
      <c r="W330" s="173"/>
    </row>
    <row r="331" spans="1:23" ht="16.95" customHeight="1" x14ac:dyDescent="0.3">
      <c r="B331" s="12" t="s">
        <v>240</v>
      </c>
      <c r="C331" s="12" t="s">
        <v>189</v>
      </c>
      <c r="E331" s="39" t="str">
        <f>IF(GRAFICA_37!G19=1, 0, B331)</f>
        <v>D6Y</v>
      </c>
      <c r="F331" s="14">
        <f>IF(E331&lt;&gt;0, COUNTIF(E$320:E331, "&lt;&gt;0"), "")</f>
        <v>9</v>
      </c>
      <c r="G331" s="14" t="str">
        <f>IF(E331=0, COUNTIF(E$320:E331, 0), "")</f>
        <v/>
      </c>
      <c r="R331" s="215"/>
      <c r="S331" s="172"/>
      <c r="T331" s="172"/>
      <c r="U331" s="172"/>
      <c r="V331" s="172"/>
      <c r="W331" s="173"/>
    </row>
    <row r="332" spans="1:23" ht="16.95" customHeight="1" x14ac:dyDescent="0.3">
      <c r="B332" s="12" t="s">
        <v>587</v>
      </c>
      <c r="C332" s="12" t="s">
        <v>579</v>
      </c>
      <c r="E332" s="39" t="str">
        <f>IF(GRAFICA_37!F20=1, 0, B332)</f>
        <v>D7X</v>
      </c>
      <c r="F332" s="14">
        <f>IF(E332&lt;&gt;0, COUNTIF(E$320:E332, "&lt;&gt;0"), "")</f>
        <v>10</v>
      </c>
      <c r="G332" s="14" t="str">
        <f>IF(E332=0, COUNTIF(E$320:E332, 0), "")</f>
        <v/>
      </c>
      <c r="R332" s="215"/>
      <c r="S332" s="172"/>
      <c r="T332" s="172"/>
      <c r="U332" s="172"/>
      <c r="V332" s="172"/>
      <c r="W332" s="173"/>
    </row>
    <row r="333" spans="1:23" ht="16.95" customHeight="1" x14ac:dyDescent="0.3">
      <c r="B333" s="12" t="s">
        <v>588</v>
      </c>
      <c r="C333" s="12" t="s">
        <v>580</v>
      </c>
      <c r="E333" s="39" t="str">
        <f>IF(GRAFICA_37!G20=1, 0, B333)</f>
        <v>D7Y</v>
      </c>
      <c r="F333" s="14">
        <f>IF(E333&lt;&gt;0, COUNTIF(E$320:E333, "&lt;&gt;0"), "")</f>
        <v>11</v>
      </c>
      <c r="G333" s="14" t="str">
        <f>IF(E333=0, COUNTIF(E$320:E333, 0), "")</f>
        <v/>
      </c>
      <c r="R333" s="215"/>
      <c r="S333" s="172"/>
      <c r="T333" s="172"/>
      <c r="U333" s="172"/>
      <c r="V333" s="172"/>
      <c r="W333" s="173"/>
    </row>
    <row r="335" spans="1:23" ht="19.95" customHeight="1" x14ac:dyDescent="0.35">
      <c r="A335" s="15" t="s">
        <v>241</v>
      </c>
      <c r="C335" s="218" t="s">
        <v>242</v>
      </c>
      <c r="D335" s="173"/>
      <c r="E335" s="40" t="s">
        <v>243</v>
      </c>
      <c r="R335" s="216" t="s">
        <v>244</v>
      </c>
      <c r="S335" s="172"/>
      <c r="T335" s="172"/>
      <c r="U335" s="172"/>
      <c r="V335" s="172"/>
      <c r="W335" s="173"/>
    </row>
    <row r="336" spans="1:23" ht="16.95" customHeight="1" x14ac:dyDescent="0.3">
      <c r="E336" s="40" t="s">
        <v>245</v>
      </c>
      <c r="R336" s="215" t="s">
        <v>246</v>
      </c>
      <c r="S336" s="172"/>
      <c r="T336" s="172"/>
      <c r="U336" s="172"/>
      <c r="V336" s="172"/>
      <c r="W336" s="173"/>
    </row>
    <row r="337" spans="1:23" ht="16.95" customHeight="1" x14ac:dyDescent="0.3">
      <c r="A337" s="99" t="s">
        <v>247</v>
      </c>
      <c r="C337" s="99" t="s">
        <v>248</v>
      </c>
      <c r="R337" s="215" t="s">
        <v>250</v>
      </c>
      <c r="S337" s="172"/>
      <c r="T337" s="172"/>
      <c r="U337" s="172"/>
      <c r="V337" s="172"/>
      <c r="W337" s="173"/>
    </row>
    <row r="338" spans="1:23" ht="16.95" customHeight="1" x14ac:dyDescent="0.3">
      <c r="A338" s="12" t="str">
        <f t="shared" ref="A338:A351" si="31">E304</f>
        <v>C1X</v>
      </c>
      <c r="C338" s="9">
        <f t="shared" ref="C338:P338" si="32">B287</f>
        <v>77431.841822761227</v>
      </c>
      <c r="D338" s="9">
        <f t="shared" si="32"/>
        <v>25977.315280970222</v>
      </c>
      <c r="E338" s="9">
        <f t="shared" si="32"/>
        <v>-63000</v>
      </c>
      <c r="F338" s="9">
        <f t="shared" si="32"/>
        <v>0</v>
      </c>
      <c r="G338" s="9">
        <f t="shared" si="32"/>
        <v>0</v>
      </c>
      <c r="H338" s="9">
        <f t="shared" si="32"/>
        <v>0</v>
      </c>
      <c r="I338" s="9">
        <f t="shared" si="32"/>
        <v>0</v>
      </c>
      <c r="J338" s="9">
        <f t="shared" si="32"/>
        <v>0</v>
      </c>
      <c r="K338" s="9">
        <f t="shared" si="32"/>
        <v>-14431.841822761235</v>
      </c>
      <c r="L338" s="9">
        <f t="shared" si="32"/>
        <v>-25977.315280970222</v>
      </c>
      <c r="M338" s="9">
        <f t="shared" si="32"/>
        <v>0</v>
      </c>
      <c r="N338" s="9">
        <f t="shared" si="32"/>
        <v>0</v>
      </c>
      <c r="O338" s="9">
        <f t="shared" si="32"/>
        <v>0</v>
      </c>
      <c r="P338" s="9">
        <f t="shared" si="32"/>
        <v>0</v>
      </c>
      <c r="Q338" s="13" t="s">
        <v>251</v>
      </c>
      <c r="R338" s="219" t="s">
        <v>380</v>
      </c>
      <c r="S338" s="172"/>
      <c r="T338" s="172"/>
      <c r="U338" s="172"/>
      <c r="V338" s="172"/>
      <c r="W338" s="173"/>
    </row>
    <row r="339" spans="1:23" ht="16.95" customHeight="1" x14ac:dyDescent="0.3">
      <c r="A339" s="12" t="str">
        <f t="shared" si="31"/>
        <v>C1Y</v>
      </c>
      <c r="C339" s="9">
        <f t="shared" ref="C339:P339" si="33">B288</f>
        <v>25977.315280970222</v>
      </c>
      <c r="D339" s="9">
        <f t="shared" si="33"/>
        <v>46759.167505746402</v>
      </c>
      <c r="E339" s="9">
        <f t="shared" si="33"/>
        <v>0</v>
      </c>
      <c r="F339" s="9">
        <f t="shared" si="33"/>
        <v>0</v>
      </c>
      <c r="G339" s="9">
        <f t="shared" si="33"/>
        <v>0</v>
      </c>
      <c r="H339" s="9">
        <f t="shared" si="33"/>
        <v>0</v>
      </c>
      <c r="I339" s="9">
        <f t="shared" si="33"/>
        <v>0</v>
      </c>
      <c r="J339" s="9">
        <f t="shared" si="33"/>
        <v>0</v>
      </c>
      <c r="K339" s="9">
        <f t="shared" si="33"/>
        <v>-25977.315280970222</v>
      </c>
      <c r="L339" s="9">
        <f t="shared" si="33"/>
        <v>-46759.167505746402</v>
      </c>
      <c r="M339" s="9">
        <f t="shared" si="33"/>
        <v>0</v>
      </c>
      <c r="N339" s="9">
        <f t="shared" si="33"/>
        <v>0</v>
      </c>
      <c r="O339" s="9">
        <f t="shared" si="33"/>
        <v>0</v>
      </c>
      <c r="P339" s="9">
        <f t="shared" si="33"/>
        <v>0</v>
      </c>
      <c r="Q339" s="13" t="s">
        <v>251</v>
      </c>
      <c r="R339" s="219" t="s">
        <v>253</v>
      </c>
      <c r="S339" s="172"/>
      <c r="T339" s="172"/>
      <c r="U339" s="172"/>
      <c r="V339" s="172"/>
      <c r="W339" s="173"/>
    </row>
    <row r="340" spans="1:23" ht="16.95" customHeight="1" x14ac:dyDescent="0.3">
      <c r="A340" s="41">
        <f t="shared" si="31"/>
        <v>0</v>
      </c>
      <c r="C340" s="9">
        <f t="shared" ref="C340:P340" si="34">B289</f>
        <v>-63000</v>
      </c>
      <c r="D340" s="9">
        <f t="shared" si="34"/>
        <v>0</v>
      </c>
      <c r="E340" s="41">
        <f t="shared" si="34"/>
        <v>154863.68364552245</v>
      </c>
      <c r="F340" s="41">
        <f t="shared" si="34"/>
        <v>0</v>
      </c>
      <c r="G340" s="41">
        <f t="shared" si="34"/>
        <v>-63000</v>
      </c>
      <c r="H340" s="41">
        <f t="shared" si="34"/>
        <v>0</v>
      </c>
      <c r="I340" s="41">
        <f t="shared" si="34"/>
        <v>0</v>
      </c>
      <c r="J340" s="9">
        <f t="shared" si="34"/>
        <v>0</v>
      </c>
      <c r="K340" s="41">
        <f t="shared" si="34"/>
        <v>-14431.841822761235</v>
      </c>
      <c r="L340" s="41">
        <f t="shared" si="34"/>
        <v>25977.315280970222</v>
      </c>
      <c r="M340" s="41">
        <f t="shared" si="34"/>
        <v>-14431.841822761235</v>
      </c>
      <c r="N340" s="41">
        <f t="shared" si="34"/>
        <v>-25977.315280970222</v>
      </c>
      <c r="O340" s="41">
        <f t="shared" si="34"/>
        <v>0</v>
      </c>
      <c r="P340" s="41">
        <f t="shared" si="34"/>
        <v>0</v>
      </c>
      <c r="Q340" s="13" t="s">
        <v>251</v>
      </c>
      <c r="R340" s="215" t="s">
        <v>254</v>
      </c>
      <c r="S340" s="172"/>
      <c r="T340" s="172"/>
      <c r="U340" s="172"/>
      <c r="V340" s="172"/>
      <c r="W340" s="173"/>
    </row>
    <row r="341" spans="1:23" ht="16.95" customHeight="1" x14ac:dyDescent="0.3">
      <c r="A341" s="41">
        <f t="shared" si="31"/>
        <v>-4000</v>
      </c>
      <c r="C341" s="9">
        <f t="shared" ref="C341:P341" si="35">B290</f>
        <v>0</v>
      </c>
      <c r="D341" s="9">
        <f t="shared" si="35"/>
        <v>0</v>
      </c>
      <c r="E341" s="41">
        <f t="shared" si="35"/>
        <v>0</v>
      </c>
      <c r="F341" s="41">
        <f t="shared" si="35"/>
        <v>93518.335011492803</v>
      </c>
      <c r="G341" s="41">
        <f t="shared" si="35"/>
        <v>0</v>
      </c>
      <c r="H341" s="41">
        <f t="shared" si="35"/>
        <v>0</v>
      </c>
      <c r="I341" s="41">
        <f t="shared" si="35"/>
        <v>0</v>
      </c>
      <c r="J341" s="9">
        <f t="shared" si="35"/>
        <v>0</v>
      </c>
      <c r="K341" s="41">
        <f t="shared" si="35"/>
        <v>25977.315280970222</v>
      </c>
      <c r="L341" s="41">
        <f t="shared" si="35"/>
        <v>-46759.167505746402</v>
      </c>
      <c r="M341" s="41">
        <f t="shared" si="35"/>
        <v>-25977.315280970222</v>
      </c>
      <c r="N341" s="41">
        <f t="shared" si="35"/>
        <v>-46759.167505746402</v>
      </c>
      <c r="O341" s="41">
        <f t="shared" si="35"/>
        <v>0</v>
      </c>
      <c r="P341" s="41">
        <f t="shared" si="35"/>
        <v>0</v>
      </c>
      <c r="Q341" s="13" t="s">
        <v>251</v>
      </c>
      <c r="R341" s="215" t="s">
        <v>381</v>
      </c>
      <c r="S341" s="172"/>
      <c r="T341" s="172"/>
      <c r="U341" s="172"/>
      <c r="V341" s="172"/>
      <c r="W341" s="173"/>
    </row>
    <row r="342" spans="1:23" ht="16.95" customHeight="1" x14ac:dyDescent="0.3">
      <c r="A342" s="41">
        <f t="shared" si="31"/>
        <v>0</v>
      </c>
      <c r="C342" s="9">
        <f t="shared" ref="C342:P342" si="36">B291</f>
        <v>0</v>
      </c>
      <c r="D342" s="9">
        <f t="shared" si="36"/>
        <v>0</v>
      </c>
      <c r="E342" s="41">
        <f t="shared" si="36"/>
        <v>-63000</v>
      </c>
      <c r="F342" s="41">
        <f t="shared" si="36"/>
        <v>0</v>
      </c>
      <c r="G342" s="41">
        <f t="shared" si="36"/>
        <v>154863.68364552245</v>
      </c>
      <c r="H342" s="41">
        <f t="shared" si="36"/>
        <v>0</v>
      </c>
      <c r="I342" s="41">
        <f t="shared" si="36"/>
        <v>-63000</v>
      </c>
      <c r="J342" s="9">
        <f t="shared" si="36"/>
        <v>0</v>
      </c>
      <c r="K342" s="41">
        <f t="shared" si="36"/>
        <v>0</v>
      </c>
      <c r="L342" s="41">
        <f t="shared" si="36"/>
        <v>0</v>
      </c>
      <c r="M342" s="41">
        <f t="shared" si="36"/>
        <v>-14431.841822761235</v>
      </c>
      <c r="N342" s="41">
        <f t="shared" si="36"/>
        <v>25977.315280970222</v>
      </c>
      <c r="O342" s="41">
        <f t="shared" si="36"/>
        <v>-14431.841822761235</v>
      </c>
      <c r="P342" s="41">
        <f t="shared" si="36"/>
        <v>-25977.315280970222</v>
      </c>
      <c r="Q342" s="13" t="s">
        <v>251</v>
      </c>
      <c r="R342" s="215" t="s">
        <v>382</v>
      </c>
      <c r="S342" s="172"/>
      <c r="T342" s="172"/>
      <c r="U342" s="172"/>
      <c r="V342" s="172"/>
      <c r="W342" s="173"/>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93518.335011492803</v>
      </c>
      <c r="I343" s="41">
        <f t="shared" si="37"/>
        <v>0</v>
      </c>
      <c r="J343" s="9">
        <f t="shared" si="37"/>
        <v>0</v>
      </c>
      <c r="K343" s="41">
        <f t="shared" si="37"/>
        <v>0</v>
      </c>
      <c r="L343" s="41">
        <f t="shared" si="37"/>
        <v>0</v>
      </c>
      <c r="M343" s="41">
        <f t="shared" si="37"/>
        <v>25977.315280970222</v>
      </c>
      <c r="N343" s="41">
        <f t="shared" si="37"/>
        <v>-46759.167505746402</v>
      </c>
      <c r="O343" s="41">
        <f t="shared" si="37"/>
        <v>-25977.315280970222</v>
      </c>
      <c r="P343" s="41">
        <f t="shared" si="37"/>
        <v>-46759.167505746402</v>
      </c>
      <c r="Q343" s="13" t="s">
        <v>251</v>
      </c>
      <c r="R343" s="215" t="str">
        <f t="shared" ref="R343:R351" si="38">E325</f>
        <v>D3Y</v>
      </c>
      <c r="S343" s="172"/>
      <c r="T343" s="172"/>
      <c r="U343" s="172"/>
      <c r="V343" s="172"/>
      <c r="W343" s="173"/>
    </row>
    <row r="344" spans="1:23" ht="16.95" customHeight="1" x14ac:dyDescent="0.3">
      <c r="A344" s="41">
        <f t="shared" si="31"/>
        <v>0</v>
      </c>
      <c r="C344" s="9">
        <f t="shared" ref="C344:P344" si="39">B293</f>
        <v>0</v>
      </c>
      <c r="D344" s="9">
        <f t="shared" si="39"/>
        <v>0</v>
      </c>
      <c r="E344" s="41">
        <f t="shared" si="39"/>
        <v>0</v>
      </c>
      <c r="F344" s="41">
        <f t="shared" si="39"/>
        <v>0</v>
      </c>
      <c r="G344" s="41">
        <f t="shared" si="39"/>
        <v>-63000</v>
      </c>
      <c r="H344" s="41">
        <f t="shared" si="39"/>
        <v>0</v>
      </c>
      <c r="I344" s="41">
        <f t="shared" si="39"/>
        <v>77431.841822761227</v>
      </c>
      <c r="J344" s="9">
        <f t="shared" si="39"/>
        <v>-25977.315280970222</v>
      </c>
      <c r="K344" s="41">
        <f t="shared" si="39"/>
        <v>0</v>
      </c>
      <c r="L344" s="41">
        <f t="shared" si="39"/>
        <v>0</v>
      </c>
      <c r="M344" s="41">
        <f t="shared" si="39"/>
        <v>0</v>
      </c>
      <c r="N344" s="41">
        <f t="shared" si="39"/>
        <v>0</v>
      </c>
      <c r="O344" s="41">
        <f t="shared" si="39"/>
        <v>-14431.841822761235</v>
      </c>
      <c r="P344" s="41">
        <f t="shared" si="39"/>
        <v>25977.315280970222</v>
      </c>
      <c r="Q344" s="13" t="s">
        <v>251</v>
      </c>
      <c r="R344" s="215" t="str">
        <f t="shared" si="38"/>
        <v>D4X</v>
      </c>
      <c r="S344" s="172"/>
      <c r="T344" s="172"/>
      <c r="U344" s="172"/>
      <c r="V344" s="172"/>
      <c r="W344" s="173"/>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-25977.315280970222</v>
      </c>
      <c r="J345" s="9">
        <f t="shared" si="40"/>
        <v>46759.167505746402</v>
      </c>
      <c r="K345" s="9">
        <f t="shared" si="40"/>
        <v>0</v>
      </c>
      <c r="L345" s="9">
        <f t="shared" si="40"/>
        <v>0</v>
      </c>
      <c r="M345" s="9">
        <f t="shared" si="40"/>
        <v>0</v>
      </c>
      <c r="N345" s="9">
        <f t="shared" si="40"/>
        <v>0</v>
      </c>
      <c r="O345" s="9">
        <f t="shared" si="40"/>
        <v>25977.315280970222</v>
      </c>
      <c r="P345" s="9">
        <f t="shared" si="40"/>
        <v>-46759.167505746402</v>
      </c>
      <c r="Q345" s="13" t="s">
        <v>251</v>
      </c>
      <c r="R345" s="219">
        <f t="shared" si="38"/>
        <v>0</v>
      </c>
      <c r="S345" s="172"/>
      <c r="T345" s="172"/>
      <c r="U345" s="172"/>
      <c r="V345" s="172"/>
      <c r="W345" s="173"/>
    </row>
    <row r="346" spans="1:23" ht="16.95" customHeight="1" x14ac:dyDescent="0.3">
      <c r="A346" s="41">
        <f t="shared" si="31"/>
        <v>0</v>
      </c>
      <c r="C346" s="9">
        <f t="shared" ref="C346:P346" si="41">B295</f>
        <v>-14431.841822761235</v>
      </c>
      <c r="D346" s="9">
        <f t="shared" si="41"/>
        <v>-25977.315280970222</v>
      </c>
      <c r="E346" s="41">
        <f t="shared" si="41"/>
        <v>-14431.841822761235</v>
      </c>
      <c r="F346" s="41">
        <f t="shared" si="41"/>
        <v>25977.315280970222</v>
      </c>
      <c r="G346" s="41">
        <f t="shared" si="41"/>
        <v>0</v>
      </c>
      <c r="H346" s="41">
        <f t="shared" si="41"/>
        <v>0</v>
      </c>
      <c r="I346" s="41">
        <f t="shared" si="41"/>
        <v>0</v>
      </c>
      <c r="J346" s="9">
        <f t="shared" si="41"/>
        <v>0</v>
      </c>
      <c r="K346" s="41">
        <f t="shared" si="41"/>
        <v>91863.683645522469</v>
      </c>
      <c r="L346" s="41">
        <f t="shared" si="41"/>
        <v>0</v>
      </c>
      <c r="M346" s="41">
        <f t="shared" si="41"/>
        <v>-63000</v>
      </c>
      <c r="N346" s="41">
        <f t="shared" si="41"/>
        <v>0</v>
      </c>
      <c r="O346" s="41">
        <f t="shared" si="41"/>
        <v>0</v>
      </c>
      <c r="P346" s="41">
        <f t="shared" si="41"/>
        <v>0</v>
      </c>
      <c r="Q346" s="13" t="s">
        <v>251</v>
      </c>
      <c r="R346" s="215" t="str">
        <f t="shared" si="38"/>
        <v>D5X</v>
      </c>
      <c r="S346" s="172"/>
      <c r="T346" s="172"/>
      <c r="U346" s="172"/>
      <c r="V346" s="172"/>
      <c r="W346" s="173"/>
    </row>
    <row r="347" spans="1:23" ht="16.95" customHeight="1" x14ac:dyDescent="0.3">
      <c r="A347" s="41">
        <f t="shared" si="31"/>
        <v>0</v>
      </c>
      <c r="C347" s="9">
        <f t="shared" ref="C347:P347" si="42">B296</f>
        <v>-25977.315280970222</v>
      </c>
      <c r="D347" s="9">
        <f t="shared" si="42"/>
        <v>-46759.167505746402</v>
      </c>
      <c r="E347" s="41">
        <f t="shared" si="42"/>
        <v>25977.315280970222</v>
      </c>
      <c r="F347" s="41">
        <f t="shared" si="42"/>
        <v>-46759.167505746402</v>
      </c>
      <c r="G347" s="41">
        <f t="shared" si="42"/>
        <v>0</v>
      </c>
      <c r="H347" s="41">
        <f t="shared" si="42"/>
        <v>0</v>
      </c>
      <c r="I347" s="41">
        <f t="shared" si="42"/>
        <v>0</v>
      </c>
      <c r="J347" s="9">
        <f t="shared" si="42"/>
        <v>0</v>
      </c>
      <c r="K347" s="41">
        <f t="shared" si="42"/>
        <v>0</v>
      </c>
      <c r="L347" s="41">
        <f t="shared" si="42"/>
        <v>93518.335011492803</v>
      </c>
      <c r="M347" s="41">
        <f t="shared" si="42"/>
        <v>0</v>
      </c>
      <c r="N347" s="41">
        <f t="shared" si="42"/>
        <v>0</v>
      </c>
      <c r="O347" s="41">
        <f t="shared" si="42"/>
        <v>0</v>
      </c>
      <c r="P347" s="41">
        <f t="shared" si="42"/>
        <v>0</v>
      </c>
      <c r="Q347" s="13" t="s">
        <v>251</v>
      </c>
      <c r="R347" s="215" t="str">
        <f t="shared" si="38"/>
        <v>D5Y</v>
      </c>
      <c r="S347" s="172"/>
      <c r="T347" s="172"/>
      <c r="U347" s="172"/>
      <c r="V347" s="172"/>
      <c r="W347" s="173"/>
    </row>
    <row r="348" spans="1:23" ht="16.95" customHeight="1" x14ac:dyDescent="0.3">
      <c r="A348" s="41">
        <f t="shared" si="31"/>
        <v>0</v>
      </c>
      <c r="C348" s="9">
        <f t="shared" ref="C348:P348" si="43">B297</f>
        <v>0</v>
      </c>
      <c r="D348" s="9">
        <f t="shared" si="43"/>
        <v>0</v>
      </c>
      <c r="E348" s="41">
        <f t="shared" si="43"/>
        <v>-14431.841822761235</v>
      </c>
      <c r="F348" s="41">
        <f t="shared" si="43"/>
        <v>-25977.315280970222</v>
      </c>
      <c r="G348" s="41">
        <f t="shared" si="43"/>
        <v>-14431.841822761235</v>
      </c>
      <c r="H348" s="41">
        <f t="shared" si="43"/>
        <v>25977.315280970222</v>
      </c>
      <c r="I348" s="41">
        <f t="shared" si="43"/>
        <v>0</v>
      </c>
      <c r="J348" s="9">
        <f t="shared" si="43"/>
        <v>0</v>
      </c>
      <c r="K348" s="41">
        <f t="shared" si="43"/>
        <v>-63000</v>
      </c>
      <c r="L348" s="41">
        <f t="shared" si="43"/>
        <v>0</v>
      </c>
      <c r="M348" s="41">
        <f t="shared" si="43"/>
        <v>154863.68364552245</v>
      </c>
      <c r="N348" s="41">
        <f t="shared" si="43"/>
        <v>0</v>
      </c>
      <c r="O348" s="41">
        <f t="shared" si="43"/>
        <v>-63000</v>
      </c>
      <c r="P348" s="41">
        <f t="shared" si="43"/>
        <v>0</v>
      </c>
      <c r="Q348" s="13" t="s">
        <v>251</v>
      </c>
      <c r="R348" s="215" t="str">
        <f t="shared" si="38"/>
        <v>D6X</v>
      </c>
      <c r="S348" s="172"/>
      <c r="T348" s="172"/>
      <c r="U348" s="172"/>
      <c r="V348" s="172"/>
      <c r="W348" s="173"/>
    </row>
    <row r="349" spans="1:23" ht="16.95" customHeight="1" x14ac:dyDescent="0.3">
      <c r="A349" s="41">
        <f t="shared" si="31"/>
        <v>-6000</v>
      </c>
      <c r="C349" s="9">
        <f t="shared" ref="C349:P349" si="44">B298</f>
        <v>0</v>
      </c>
      <c r="D349" s="9">
        <f t="shared" si="44"/>
        <v>0</v>
      </c>
      <c r="E349" s="41">
        <f t="shared" si="44"/>
        <v>-25977.315280970222</v>
      </c>
      <c r="F349" s="41">
        <f t="shared" si="44"/>
        <v>-46759.167505746402</v>
      </c>
      <c r="G349" s="41">
        <f t="shared" si="44"/>
        <v>25977.315280970222</v>
      </c>
      <c r="H349" s="41">
        <f t="shared" si="44"/>
        <v>-46759.167505746402</v>
      </c>
      <c r="I349" s="41">
        <f t="shared" si="44"/>
        <v>0</v>
      </c>
      <c r="J349" s="9">
        <f t="shared" si="44"/>
        <v>0</v>
      </c>
      <c r="K349" s="41">
        <f t="shared" si="44"/>
        <v>0</v>
      </c>
      <c r="L349" s="41">
        <f t="shared" si="44"/>
        <v>0</v>
      </c>
      <c r="M349" s="41">
        <f t="shared" si="44"/>
        <v>0</v>
      </c>
      <c r="N349" s="41">
        <f t="shared" si="44"/>
        <v>93518.335011492803</v>
      </c>
      <c r="O349" s="41">
        <f t="shared" si="44"/>
        <v>0</v>
      </c>
      <c r="P349" s="41">
        <f t="shared" si="44"/>
        <v>0</v>
      </c>
      <c r="Q349" s="13" t="s">
        <v>251</v>
      </c>
      <c r="R349" s="215" t="str">
        <f t="shared" si="38"/>
        <v>D6Y</v>
      </c>
      <c r="S349" s="172"/>
      <c r="T349" s="172"/>
      <c r="U349" s="172"/>
      <c r="V349" s="172"/>
      <c r="W349" s="173"/>
    </row>
    <row r="350" spans="1:23" ht="16.95" customHeight="1" x14ac:dyDescent="0.3">
      <c r="A350" s="41">
        <f t="shared" si="31"/>
        <v>0</v>
      </c>
      <c r="C350" s="9">
        <f t="shared" ref="C350:P350" si="45">B299</f>
        <v>0</v>
      </c>
      <c r="D350" s="9">
        <f t="shared" si="45"/>
        <v>0</v>
      </c>
      <c r="E350" s="41">
        <f t="shared" si="45"/>
        <v>0</v>
      </c>
      <c r="F350" s="41">
        <f t="shared" si="45"/>
        <v>0</v>
      </c>
      <c r="G350" s="41">
        <f t="shared" si="45"/>
        <v>-14431.841822761235</v>
      </c>
      <c r="H350" s="41">
        <f t="shared" si="45"/>
        <v>-25977.315280970222</v>
      </c>
      <c r="I350" s="41">
        <f t="shared" si="45"/>
        <v>-14431.841822761235</v>
      </c>
      <c r="J350" s="9">
        <f t="shared" si="45"/>
        <v>25977.315280970222</v>
      </c>
      <c r="K350" s="41">
        <f t="shared" si="45"/>
        <v>0</v>
      </c>
      <c r="L350" s="41">
        <f t="shared" si="45"/>
        <v>0</v>
      </c>
      <c r="M350" s="41">
        <f t="shared" si="45"/>
        <v>-63000</v>
      </c>
      <c r="N350" s="41">
        <f t="shared" si="45"/>
        <v>0</v>
      </c>
      <c r="O350" s="41">
        <f t="shared" si="45"/>
        <v>91863.683645522455</v>
      </c>
      <c r="P350" s="41">
        <f t="shared" si="45"/>
        <v>0</v>
      </c>
      <c r="Q350" s="13" t="s">
        <v>251</v>
      </c>
      <c r="R350" s="215" t="str">
        <f t="shared" si="38"/>
        <v>D7X</v>
      </c>
      <c r="S350" s="172"/>
      <c r="T350" s="172"/>
      <c r="U350" s="172"/>
      <c r="V350" s="172"/>
      <c r="W350" s="173"/>
    </row>
    <row r="351" spans="1:23" ht="16.95" customHeight="1" x14ac:dyDescent="0.3">
      <c r="A351" s="41">
        <f t="shared" si="31"/>
        <v>0</v>
      </c>
      <c r="C351" s="9">
        <f t="shared" ref="C351:P351" si="46">B300</f>
        <v>0</v>
      </c>
      <c r="D351" s="9">
        <f t="shared" si="46"/>
        <v>0</v>
      </c>
      <c r="E351" s="41">
        <f t="shared" si="46"/>
        <v>0</v>
      </c>
      <c r="F351" s="41">
        <f t="shared" si="46"/>
        <v>0</v>
      </c>
      <c r="G351" s="41">
        <f t="shared" si="46"/>
        <v>-25977.315280970222</v>
      </c>
      <c r="H351" s="41">
        <f t="shared" si="46"/>
        <v>-46759.167505746402</v>
      </c>
      <c r="I351" s="41">
        <f t="shared" si="46"/>
        <v>25977.315280970222</v>
      </c>
      <c r="J351" s="9">
        <f t="shared" si="46"/>
        <v>-46759.167505746402</v>
      </c>
      <c r="K351" s="41">
        <f t="shared" si="46"/>
        <v>0</v>
      </c>
      <c r="L351" s="41">
        <f t="shared" si="46"/>
        <v>0</v>
      </c>
      <c r="M351" s="41">
        <f t="shared" si="46"/>
        <v>0</v>
      </c>
      <c r="N351" s="41">
        <f t="shared" si="46"/>
        <v>0</v>
      </c>
      <c r="O351" s="41">
        <f t="shared" si="46"/>
        <v>0</v>
      </c>
      <c r="P351" s="41">
        <f t="shared" si="46"/>
        <v>93518.335011492803</v>
      </c>
      <c r="Q351" s="13" t="s">
        <v>251</v>
      </c>
      <c r="R351" s="215" t="str">
        <f t="shared" si="38"/>
        <v>D7Y</v>
      </c>
      <c r="S351" s="172"/>
      <c r="T351" s="172"/>
      <c r="U351" s="172"/>
      <c r="V351" s="172"/>
      <c r="W351" s="173"/>
    </row>
    <row r="354" spans="1:23" ht="19.95" customHeight="1" x14ac:dyDescent="0.35">
      <c r="A354" s="15" t="s">
        <v>257</v>
      </c>
      <c r="R354" s="216" t="s">
        <v>258</v>
      </c>
      <c r="S354" s="172"/>
      <c r="T354" s="172"/>
      <c r="U354" s="172"/>
      <c r="V354" s="172"/>
      <c r="W354" s="173"/>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215" t="s">
        <v>383</v>
      </c>
      <c r="S355" s="172"/>
      <c r="T355" s="172"/>
      <c r="U355" s="172"/>
      <c r="V355" s="172"/>
      <c r="W355" s="173"/>
    </row>
    <row r="356" spans="1:23" ht="16.95" customHeight="1" x14ac:dyDescent="0.3">
      <c r="A356" s="41">
        <f t="shared" ref="A356:A366" si="47">INDEX(E$304:E$317, MATCH(P356, C$304:C$317, 0))</f>
        <v>0</v>
      </c>
      <c r="C356" s="41">
        <f t="shared" ref="C356:M366" si="48">INDEX($B$287:$O$300, MATCH($P356, $P$287:$P$300, 0), MATCH(C$355, $B$286:$O$286, 0))</f>
        <v>154863.68364552245</v>
      </c>
      <c r="D356" s="41">
        <f t="shared" si="48"/>
        <v>0</v>
      </c>
      <c r="E356" s="41">
        <f t="shared" si="48"/>
        <v>-63000</v>
      </c>
      <c r="F356" s="41">
        <f t="shared" si="48"/>
        <v>0</v>
      </c>
      <c r="G356" s="41">
        <f t="shared" si="48"/>
        <v>0</v>
      </c>
      <c r="H356" s="41">
        <f t="shared" si="48"/>
        <v>-14431.841822761235</v>
      </c>
      <c r="I356" s="41">
        <f t="shared" si="48"/>
        <v>25977.315280970222</v>
      </c>
      <c r="J356" s="41">
        <f t="shared" si="48"/>
        <v>-14431.841822761235</v>
      </c>
      <c r="K356" s="41">
        <f t="shared" si="48"/>
        <v>-25977.315280970222</v>
      </c>
      <c r="L356" s="41">
        <f t="shared" si="48"/>
        <v>0</v>
      </c>
      <c r="M356" s="41">
        <f t="shared" si="48"/>
        <v>0</v>
      </c>
      <c r="N356" s="13" t="s">
        <v>251</v>
      </c>
      <c r="O356" s="38" t="str">
        <f>INDEX(B$320:B$333, MATCH(1, F$320:F$333, 0))</f>
        <v>D2X</v>
      </c>
      <c r="P356" s="14" t="str">
        <f>INDEX(C$320:C$333, MATCH(1, F$320:F$333, 0))</f>
        <v>U2X</v>
      </c>
      <c r="R356" s="215" t="s">
        <v>384</v>
      </c>
      <c r="S356" s="172"/>
      <c r="T356" s="172"/>
      <c r="U356" s="172"/>
      <c r="V356" s="172"/>
      <c r="W356" s="173"/>
    </row>
    <row r="357" spans="1:23" ht="16.95" customHeight="1" x14ac:dyDescent="0.3">
      <c r="A357" s="41">
        <f t="shared" si="47"/>
        <v>-4000</v>
      </c>
      <c r="C357" s="41">
        <f t="shared" si="48"/>
        <v>0</v>
      </c>
      <c r="D357" s="41">
        <f t="shared" si="48"/>
        <v>93518.335011492803</v>
      </c>
      <c r="E357" s="41">
        <f t="shared" si="48"/>
        <v>0</v>
      </c>
      <c r="F357" s="41">
        <f t="shared" si="48"/>
        <v>0</v>
      </c>
      <c r="G357" s="41">
        <f t="shared" si="48"/>
        <v>0</v>
      </c>
      <c r="H357" s="41">
        <f t="shared" si="48"/>
        <v>25977.315280970222</v>
      </c>
      <c r="I357" s="41">
        <f t="shared" si="48"/>
        <v>-46759.167505746402</v>
      </c>
      <c r="J357" s="41">
        <f t="shared" si="48"/>
        <v>-25977.315280970222</v>
      </c>
      <c r="K357" s="41">
        <f t="shared" si="48"/>
        <v>-46759.167505746402</v>
      </c>
      <c r="L357" s="41">
        <f t="shared" si="48"/>
        <v>0</v>
      </c>
      <c r="M357" s="41">
        <f t="shared" si="48"/>
        <v>0</v>
      </c>
      <c r="N357" s="13" t="s">
        <v>251</v>
      </c>
      <c r="O357" s="38" t="str">
        <f>INDEX(B$320:B$333, MATCH(2, F$320:F$333, 0))</f>
        <v>D2Y</v>
      </c>
      <c r="P357" s="14" t="str">
        <f>INDEX(C$320:C$333, MATCH(2, F$320:F$333, 0))</f>
        <v>U2Y</v>
      </c>
      <c r="R357" s="215" t="s">
        <v>385</v>
      </c>
      <c r="S357" s="172"/>
      <c r="T357" s="172"/>
      <c r="U357" s="172"/>
      <c r="V357" s="172"/>
      <c r="W357" s="173"/>
    </row>
    <row r="358" spans="1:23" ht="16.95" customHeight="1" x14ac:dyDescent="0.3">
      <c r="A358" s="41">
        <f t="shared" si="47"/>
        <v>0</v>
      </c>
      <c r="C358" s="41">
        <f t="shared" si="48"/>
        <v>-63000</v>
      </c>
      <c r="D358" s="41">
        <f t="shared" si="48"/>
        <v>0</v>
      </c>
      <c r="E358" s="41">
        <f t="shared" si="48"/>
        <v>154863.68364552245</v>
      </c>
      <c r="F358" s="41">
        <f t="shared" si="48"/>
        <v>0</v>
      </c>
      <c r="G358" s="41">
        <f t="shared" si="48"/>
        <v>-63000</v>
      </c>
      <c r="H358" s="41">
        <f t="shared" si="48"/>
        <v>0</v>
      </c>
      <c r="I358" s="41">
        <f t="shared" si="48"/>
        <v>0</v>
      </c>
      <c r="J358" s="41">
        <f t="shared" si="48"/>
        <v>-14431.841822761235</v>
      </c>
      <c r="K358" s="41">
        <f t="shared" si="48"/>
        <v>25977.315280970222</v>
      </c>
      <c r="L358" s="41">
        <f t="shared" si="48"/>
        <v>-14431.841822761235</v>
      </c>
      <c r="M358" s="41">
        <f t="shared" si="48"/>
        <v>-25977.315280970222</v>
      </c>
      <c r="N358" s="13" t="s">
        <v>251</v>
      </c>
      <c r="O358" s="38" t="str">
        <f>INDEX(B$320:B$333, MATCH(3, F$320:F$333, 0))</f>
        <v>D3X</v>
      </c>
      <c r="P358" s="14" t="str">
        <f>INDEX(C$320:C$333, MATCH(3, F$320:F$333, 0))</f>
        <v>U3X</v>
      </c>
      <c r="R358" s="215" t="s">
        <v>386</v>
      </c>
      <c r="S358" s="172"/>
      <c r="T358" s="172"/>
      <c r="U358" s="172"/>
      <c r="V358" s="172"/>
      <c r="W358" s="173"/>
    </row>
    <row r="359" spans="1:23" ht="16.95" customHeight="1" x14ac:dyDescent="0.3">
      <c r="A359" s="41">
        <f t="shared" si="47"/>
        <v>-4000</v>
      </c>
      <c r="C359" s="41">
        <f t="shared" si="48"/>
        <v>0</v>
      </c>
      <c r="D359" s="41">
        <f t="shared" si="48"/>
        <v>0</v>
      </c>
      <c r="E359" s="41">
        <f t="shared" si="48"/>
        <v>0</v>
      </c>
      <c r="F359" s="41">
        <f t="shared" si="48"/>
        <v>93518.335011492803</v>
      </c>
      <c r="G359" s="41">
        <f t="shared" si="48"/>
        <v>0</v>
      </c>
      <c r="H359" s="41">
        <f t="shared" si="48"/>
        <v>0</v>
      </c>
      <c r="I359" s="41">
        <f t="shared" si="48"/>
        <v>0</v>
      </c>
      <c r="J359" s="41">
        <f t="shared" si="48"/>
        <v>25977.315280970222</v>
      </c>
      <c r="K359" s="41">
        <f t="shared" si="48"/>
        <v>-46759.167505746402</v>
      </c>
      <c r="L359" s="41">
        <f t="shared" si="48"/>
        <v>-25977.315280970222</v>
      </c>
      <c r="M359" s="41">
        <f t="shared" si="48"/>
        <v>-46759.167505746402</v>
      </c>
      <c r="N359" s="13" t="s">
        <v>251</v>
      </c>
      <c r="O359" s="38" t="str">
        <f>INDEX(B$320:B$333, MATCH(4, F$320:F$333, 0))</f>
        <v>D3Y</v>
      </c>
      <c r="P359" s="14" t="str">
        <f>INDEX(C$320:C$333, MATCH(4, F$320:F$333, 0))</f>
        <v>U3Y</v>
      </c>
      <c r="R359" s="215" t="s">
        <v>387</v>
      </c>
      <c r="S359" s="172"/>
      <c r="T359" s="172"/>
      <c r="U359" s="172"/>
      <c r="V359" s="172"/>
      <c r="W359" s="173"/>
    </row>
    <row r="360" spans="1:23" ht="16.95" customHeight="1" x14ac:dyDescent="0.3">
      <c r="A360" s="41">
        <f t="shared" si="47"/>
        <v>0</v>
      </c>
      <c r="C360" s="41">
        <f t="shared" si="48"/>
        <v>0</v>
      </c>
      <c r="D360" s="41">
        <f t="shared" si="48"/>
        <v>0</v>
      </c>
      <c r="E360" s="41">
        <f t="shared" si="48"/>
        <v>-63000</v>
      </c>
      <c r="F360" s="41">
        <f t="shared" si="48"/>
        <v>0</v>
      </c>
      <c r="G360" s="41">
        <f t="shared" si="48"/>
        <v>77431.841822761227</v>
      </c>
      <c r="H360" s="41">
        <f t="shared" si="48"/>
        <v>0</v>
      </c>
      <c r="I360" s="41">
        <f t="shared" si="48"/>
        <v>0</v>
      </c>
      <c r="J360" s="41">
        <f t="shared" si="48"/>
        <v>0</v>
      </c>
      <c r="K360" s="41">
        <f t="shared" si="48"/>
        <v>0</v>
      </c>
      <c r="L360" s="41">
        <f t="shared" si="48"/>
        <v>-14431.841822761235</v>
      </c>
      <c r="M360" s="41">
        <f t="shared" si="48"/>
        <v>25977.315280970222</v>
      </c>
      <c r="N360" s="13" t="s">
        <v>251</v>
      </c>
      <c r="O360" s="38" t="str">
        <f>INDEX(B$320:B$333, MATCH(5, F$320:F$333, 0))</f>
        <v>D4X</v>
      </c>
      <c r="P360" s="14" t="str">
        <f>INDEX(C$320:C$333, MATCH(5, F$320:F$333, 0))</f>
        <v>U4X</v>
      </c>
      <c r="R360" s="215" t="s">
        <v>388</v>
      </c>
      <c r="S360" s="172"/>
      <c r="T360" s="172"/>
      <c r="U360" s="172"/>
      <c r="V360" s="172"/>
      <c r="W360" s="173"/>
    </row>
    <row r="361" spans="1:23" ht="16.95" customHeight="1" x14ac:dyDescent="0.3">
      <c r="A361" s="41">
        <f t="shared" si="47"/>
        <v>0</v>
      </c>
      <c r="B361" s="13" t="s">
        <v>220</v>
      </c>
      <c r="C361" s="41">
        <f t="shared" si="48"/>
        <v>-14431.841822761235</v>
      </c>
      <c r="D361" s="41">
        <f t="shared" si="48"/>
        <v>25977.315280970222</v>
      </c>
      <c r="E361" s="41">
        <f t="shared" si="48"/>
        <v>0</v>
      </c>
      <c r="F361" s="41">
        <f t="shared" si="48"/>
        <v>0</v>
      </c>
      <c r="G361" s="41">
        <f t="shared" si="48"/>
        <v>0</v>
      </c>
      <c r="H361" s="41">
        <f t="shared" si="48"/>
        <v>91863.683645522469</v>
      </c>
      <c r="I361" s="41">
        <f t="shared" si="48"/>
        <v>0</v>
      </c>
      <c r="J361" s="41">
        <f t="shared" si="48"/>
        <v>-63000</v>
      </c>
      <c r="K361" s="41">
        <f t="shared" si="48"/>
        <v>0</v>
      </c>
      <c r="L361" s="41">
        <f t="shared" si="48"/>
        <v>0</v>
      </c>
      <c r="M361" s="41">
        <f t="shared" si="48"/>
        <v>0</v>
      </c>
      <c r="N361" s="13" t="s">
        <v>251</v>
      </c>
      <c r="O361" s="38" t="str">
        <f>INDEX(B$320:B$333, MATCH(6, F$320:F$333, 0))</f>
        <v>D5X</v>
      </c>
      <c r="P361" s="14" t="str">
        <f>INDEX(C$320:C$333, MATCH(6, F$320:F$333, 0))</f>
        <v>U5X</v>
      </c>
      <c r="R361" s="215"/>
      <c r="S361" s="172"/>
      <c r="T361" s="172"/>
      <c r="U361" s="172"/>
      <c r="V361" s="172"/>
      <c r="W361" s="173"/>
    </row>
    <row r="362" spans="1:23" ht="16.95" customHeight="1" x14ac:dyDescent="0.3">
      <c r="A362" s="41">
        <f t="shared" si="47"/>
        <v>0</v>
      </c>
      <c r="C362" s="41">
        <f t="shared" si="48"/>
        <v>25977.315280970222</v>
      </c>
      <c r="D362" s="41">
        <f t="shared" si="48"/>
        <v>-46759.167505746402</v>
      </c>
      <c r="E362" s="41">
        <f t="shared" si="48"/>
        <v>0</v>
      </c>
      <c r="F362" s="41">
        <f t="shared" si="48"/>
        <v>0</v>
      </c>
      <c r="G362" s="41">
        <f t="shared" si="48"/>
        <v>0</v>
      </c>
      <c r="H362" s="41">
        <f t="shared" si="48"/>
        <v>0</v>
      </c>
      <c r="I362" s="41">
        <f t="shared" si="48"/>
        <v>93518.335011492803</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215"/>
      <c r="S362" s="172"/>
      <c r="T362" s="172"/>
      <c r="U362" s="172"/>
      <c r="V362" s="172"/>
      <c r="W362" s="173"/>
    </row>
    <row r="363" spans="1:23" ht="16.95" customHeight="1" x14ac:dyDescent="0.3">
      <c r="A363" s="41">
        <f t="shared" si="47"/>
        <v>0</v>
      </c>
      <c r="C363" s="41">
        <f t="shared" si="48"/>
        <v>-14431.841822761235</v>
      </c>
      <c r="D363" s="41">
        <f t="shared" si="48"/>
        <v>-25977.315280970222</v>
      </c>
      <c r="E363" s="41">
        <f t="shared" si="48"/>
        <v>-14431.841822761235</v>
      </c>
      <c r="F363" s="41">
        <f t="shared" si="48"/>
        <v>25977.315280970222</v>
      </c>
      <c r="G363" s="41">
        <f t="shared" si="48"/>
        <v>0</v>
      </c>
      <c r="H363" s="41">
        <f t="shared" si="48"/>
        <v>-63000</v>
      </c>
      <c r="I363" s="41">
        <f t="shared" si="48"/>
        <v>0</v>
      </c>
      <c r="J363" s="41">
        <f t="shared" si="48"/>
        <v>154863.68364552245</v>
      </c>
      <c r="K363" s="41">
        <f t="shared" si="48"/>
        <v>0</v>
      </c>
      <c r="L363" s="41">
        <f t="shared" si="48"/>
        <v>-63000</v>
      </c>
      <c r="M363" s="41">
        <f t="shared" si="48"/>
        <v>0</v>
      </c>
      <c r="N363" s="13" t="s">
        <v>251</v>
      </c>
      <c r="O363" s="38" t="str">
        <f>INDEX(B$320:B$333, MATCH(8, F$320:F$333, 0))</f>
        <v>D6X</v>
      </c>
      <c r="P363" s="14" t="str">
        <f>INDEX(C$320:C$333, MATCH(8, F$320:F$333, 0))</f>
        <v>U6X</v>
      </c>
      <c r="R363" s="215"/>
      <c r="S363" s="172"/>
      <c r="T363" s="172"/>
      <c r="U363" s="172"/>
      <c r="V363" s="172"/>
      <c r="W363" s="173"/>
    </row>
    <row r="364" spans="1:23" ht="16.95" customHeight="1" x14ac:dyDescent="0.3">
      <c r="A364" s="41">
        <f t="shared" si="47"/>
        <v>-6000</v>
      </c>
      <c r="C364" s="41">
        <f t="shared" si="48"/>
        <v>-25977.315280970222</v>
      </c>
      <c r="D364" s="41">
        <f t="shared" si="48"/>
        <v>-46759.167505746402</v>
      </c>
      <c r="E364" s="41">
        <f t="shared" si="48"/>
        <v>25977.315280970222</v>
      </c>
      <c r="F364" s="41">
        <f t="shared" si="48"/>
        <v>-46759.167505746402</v>
      </c>
      <c r="G364" s="41">
        <f t="shared" si="48"/>
        <v>0</v>
      </c>
      <c r="H364" s="41">
        <f t="shared" si="48"/>
        <v>0</v>
      </c>
      <c r="I364" s="41">
        <f t="shared" si="48"/>
        <v>0</v>
      </c>
      <c r="J364" s="41">
        <f t="shared" si="48"/>
        <v>0</v>
      </c>
      <c r="K364" s="41">
        <f t="shared" si="48"/>
        <v>93518.335011492803</v>
      </c>
      <c r="L364" s="41">
        <f t="shared" si="48"/>
        <v>0</v>
      </c>
      <c r="M364" s="41">
        <f t="shared" si="48"/>
        <v>0</v>
      </c>
      <c r="N364" s="13" t="s">
        <v>251</v>
      </c>
      <c r="O364" s="38" t="str">
        <f>INDEX(B$320:B$333, MATCH(9, F$320:F$333, 0))</f>
        <v>D6Y</v>
      </c>
      <c r="P364" s="14" t="str">
        <f>INDEX(C$320:C$333, MATCH(9, F$320:F$333, 0))</f>
        <v>U6Y</v>
      </c>
      <c r="R364" s="215"/>
      <c r="S364" s="172"/>
      <c r="T364" s="172"/>
      <c r="U364" s="172"/>
      <c r="V364" s="172"/>
      <c r="W364" s="173"/>
    </row>
    <row r="365" spans="1:23" ht="16.95" customHeight="1" x14ac:dyDescent="0.3">
      <c r="A365" s="41">
        <f t="shared" si="47"/>
        <v>0</v>
      </c>
      <c r="C365" s="41">
        <f t="shared" si="48"/>
        <v>0</v>
      </c>
      <c r="D365" s="41">
        <f t="shared" si="48"/>
        <v>0</v>
      </c>
      <c r="E365" s="41">
        <f t="shared" si="48"/>
        <v>-14431.841822761235</v>
      </c>
      <c r="F365" s="41">
        <f t="shared" si="48"/>
        <v>-25977.315280970222</v>
      </c>
      <c r="G365" s="41">
        <f t="shared" si="48"/>
        <v>-14431.841822761235</v>
      </c>
      <c r="H365" s="41">
        <f t="shared" si="48"/>
        <v>0</v>
      </c>
      <c r="I365" s="41">
        <f t="shared" si="48"/>
        <v>0</v>
      </c>
      <c r="J365" s="41">
        <f t="shared" si="48"/>
        <v>-63000</v>
      </c>
      <c r="K365" s="41">
        <f t="shared" si="48"/>
        <v>0</v>
      </c>
      <c r="L365" s="41">
        <f t="shared" si="48"/>
        <v>91863.683645522455</v>
      </c>
      <c r="M365" s="41">
        <f t="shared" si="48"/>
        <v>0</v>
      </c>
      <c r="N365" s="13" t="s">
        <v>251</v>
      </c>
      <c r="O365" s="38" t="str">
        <f>INDEX(B$320:B$333, MATCH(10, F$320:F$333, 0))</f>
        <v>D7X</v>
      </c>
      <c r="P365" s="14" t="str">
        <f>INDEX(C$320:C$333, MATCH(10, F$320:F$333, 0))</f>
        <v>U7X</v>
      </c>
      <c r="R365" s="215"/>
      <c r="S365" s="172"/>
      <c r="T365" s="172"/>
      <c r="U365" s="172"/>
      <c r="V365" s="172"/>
      <c r="W365" s="173"/>
    </row>
    <row r="366" spans="1:23" ht="16.95" customHeight="1" x14ac:dyDescent="0.3">
      <c r="A366" s="41">
        <f t="shared" si="47"/>
        <v>0</v>
      </c>
      <c r="C366" s="41">
        <f t="shared" si="48"/>
        <v>0</v>
      </c>
      <c r="D366" s="41">
        <f t="shared" si="48"/>
        <v>0</v>
      </c>
      <c r="E366" s="41">
        <f t="shared" si="48"/>
        <v>-25977.315280970222</v>
      </c>
      <c r="F366" s="41">
        <f t="shared" si="48"/>
        <v>-46759.167505746402</v>
      </c>
      <c r="G366" s="41">
        <f t="shared" si="48"/>
        <v>25977.315280970222</v>
      </c>
      <c r="H366" s="41">
        <f t="shared" si="48"/>
        <v>0</v>
      </c>
      <c r="I366" s="41">
        <f t="shared" si="48"/>
        <v>0</v>
      </c>
      <c r="J366" s="41">
        <f t="shared" si="48"/>
        <v>0</v>
      </c>
      <c r="K366" s="41">
        <f t="shared" si="48"/>
        <v>0</v>
      </c>
      <c r="L366" s="41">
        <f t="shared" si="48"/>
        <v>0</v>
      </c>
      <c r="M366" s="41">
        <f t="shared" si="48"/>
        <v>93518.335011492803</v>
      </c>
      <c r="N366" s="13" t="s">
        <v>251</v>
      </c>
      <c r="O366" s="38" t="str">
        <f>INDEX(B$320:B$333, MATCH(11, F$320:F$333, 0))</f>
        <v>D7Y</v>
      </c>
      <c r="P366" s="14" t="str">
        <f>INDEX(C$320:C$333, MATCH(11, F$320:F$333, 0))</f>
        <v>U7Y</v>
      </c>
      <c r="R366" s="215"/>
      <c r="S366" s="172"/>
      <c r="T366" s="172"/>
      <c r="U366" s="172"/>
      <c r="V366" s="172"/>
      <c r="W366" s="173"/>
    </row>
    <row r="367" spans="1:23" ht="16.95" customHeight="1" x14ac:dyDescent="0.3">
      <c r="R367" s="215"/>
      <c r="S367" s="172"/>
      <c r="T367" s="172"/>
      <c r="U367" s="172"/>
      <c r="V367" s="172"/>
      <c r="W367" s="173"/>
    </row>
    <row r="368" spans="1:23" ht="16.95" customHeight="1" x14ac:dyDescent="0.3">
      <c r="C368" s="218" t="s">
        <v>263</v>
      </c>
      <c r="D368" s="172"/>
      <c r="E368" s="172"/>
      <c r="F368" s="172"/>
      <c r="G368" s="172"/>
      <c r="H368" s="172"/>
      <c r="I368" s="172"/>
      <c r="J368" s="172"/>
      <c r="K368" s="172"/>
      <c r="L368" s="172"/>
      <c r="M368" s="173"/>
      <c r="R368" s="215"/>
      <c r="S368" s="172"/>
      <c r="T368" s="172"/>
      <c r="U368" s="172"/>
      <c r="V368" s="172"/>
      <c r="W368" s="173"/>
    </row>
    <row r="369" spans="1:23" ht="16.95" customHeight="1" x14ac:dyDescent="0.3">
      <c r="A369" s="99" t="s">
        <v>249</v>
      </c>
      <c r="C369" s="193" t="s">
        <v>264</v>
      </c>
      <c r="D369" s="175"/>
      <c r="E369" s="175"/>
      <c r="F369" s="175"/>
      <c r="G369" s="175"/>
      <c r="H369" s="175"/>
      <c r="I369" s="175"/>
      <c r="J369" s="175"/>
      <c r="K369" s="175"/>
      <c r="L369" s="175"/>
      <c r="M369" s="175"/>
      <c r="O369" s="99" t="s">
        <v>247</v>
      </c>
      <c r="R369" s="215"/>
      <c r="S369" s="172"/>
      <c r="T369" s="172"/>
      <c r="U369" s="172"/>
      <c r="V369" s="172"/>
      <c r="W369" s="173"/>
    </row>
    <row r="370" spans="1:23" ht="16.95" customHeight="1" x14ac:dyDescent="0.3">
      <c r="A370" s="12" t="str">
        <f t="shared" ref="A370:A380" si="49">O356</f>
        <v>D2X</v>
      </c>
      <c r="C370" s="93">
        <f t="array" ref="C370:M380">MINVERSE(C356:M366)</f>
        <v>1.5873015873015889E-5</v>
      </c>
      <c r="D370" s="93">
        <v>-5.8788947677836629E-6</v>
      </c>
      <c r="E370" s="93">
        <v>1.5873015873015893E-5</v>
      </c>
      <c r="F370" s="93">
        <v>-2.9394473838918361E-6</v>
      </c>
      <c r="G370" s="93">
        <v>1.5873015873015899E-5</v>
      </c>
      <c r="H370" s="93">
        <v>1.3227513227513245E-5</v>
      </c>
      <c r="I370" s="93">
        <v>-7.3486184597295778E-6</v>
      </c>
      <c r="J370" s="93">
        <v>1.3227513227513252E-5</v>
      </c>
      <c r="K370" s="93">
        <v>-4.4091710758377531E-6</v>
      </c>
      <c r="L370" s="93">
        <v>1.3227513227513248E-5</v>
      </c>
      <c r="M370" s="93">
        <v>-1.4697236919459202E-6</v>
      </c>
      <c r="O370" s="17">
        <f t="shared" ref="O370:O380" si="50">A356</f>
        <v>0</v>
      </c>
      <c r="R370" s="215"/>
      <c r="S370" s="172"/>
      <c r="T370" s="172"/>
      <c r="U370" s="172"/>
      <c r="V370" s="172"/>
      <c r="W370" s="173"/>
    </row>
    <row r="371" spans="1:23" ht="16.95" customHeight="1" x14ac:dyDescent="0.3">
      <c r="A371" s="12" t="str">
        <f t="shared" si="49"/>
        <v>D2Y</v>
      </c>
      <c r="C371" s="93">
        <v>-5.8788947677836672E-6</v>
      </c>
      <c r="D371" s="93">
        <v>4.7022539114976936E-5</v>
      </c>
      <c r="E371" s="93">
        <v>-1.4697236919459154E-5</v>
      </c>
      <c r="F371" s="93">
        <v>3.0043374855025865E-5</v>
      </c>
      <c r="G371" s="93">
        <v>-1.7636684303350985E-5</v>
      </c>
      <c r="H371" s="93">
        <v>-1.9596315892612195E-5</v>
      </c>
      <c r="I371" s="93">
        <v>2.5144295881872827E-5</v>
      </c>
      <c r="J371" s="93">
        <v>-7.8385263570448862E-6</v>
      </c>
      <c r="K371" s="93">
        <v>4.0982496471577928E-5</v>
      </c>
      <c r="L371" s="93">
        <v>-1.9596315892612334E-6</v>
      </c>
      <c r="M371" s="93">
        <v>1.5838200589705114E-5</v>
      </c>
      <c r="O371" s="17">
        <f t="shared" si="50"/>
        <v>-4000</v>
      </c>
      <c r="R371" s="215"/>
      <c r="S371" s="172"/>
      <c r="T371" s="172"/>
      <c r="U371" s="172"/>
      <c r="V371" s="172"/>
      <c r="W371" s="173"/>
    </row>
    <row r="372" spans="1:23" ht="16.95" customHeight="1" x14ac:dyDescent="0.3">
      <c r="A372" s="12" t="str">
        <f t="shared" si="49"/>
        <v>D3X</v>
      </c>
      <c r="C372" s="93">
        <v>1.5873015873015903E-5</v>
      </c>
      <c r="D372" s="93">
        <v>-1.4697236919459152E-5</v>
      </c>
      <c r="E372" s="93">
        <v>3.1746031746031779E-5</v>
      </c>
      <c r="F372" s="93">
        <v>-1.1757789535567321E-5</v>
      </c>
      <c r="G372" s="93">
        <v>3.1746031746031792E-5</v>
      </c>
      <c r="H372" s="93">
        <v>2.1164021164021191E-5</v>
      </c>
      <c r="I372" s="93">
        <v>-1.1757789535567329E-5</v>
      </c>
      <c r="J372" s="93">
        <v>2.1164021164021198E-5</v>
      </c>
      <c r="K372" s="93">
        <v>-1.7636684303350985E-5</v>
      </c>
      <c r="L372" s="93">
        <v>2.1164021164021195E-5</v>
      </c>
      <c r="M372" s="93">
        <v>-5.878894767783668E-6</v>
      </c>
      <c r="O372" s="17">
        <f t="shared" si="50"/>
        <v>0</v>
      </c>
      <c r="R372" s="215"/>
      <c r="S372" s="172"/>
      <c r="T372" s="172"/>
      <c r="U372" s="172"/>
      <c r="V372" s="172"/>
      <c r="W372" s="173"/>
    </row>
    <row r="373" spans="1:23" ht="16.95" customHeight="1" x14ac:dyDescent="0.3">
      <c r="A373" s="12" t="str">
        <f t="shared" si="49"/>
        <v>D3Y</v>
      </c>
      <c r="C373" s="93">
        <v>-2.9394473838918382E-6</v>
      </c>
      <c r="D373" s="93">
        <v>3.0043374855025862E-5</v>
      </c>
      <c r="E373" s="93">
        <v>-1.1757789535567333E-5</v>
      </c>
      <c r="F373" s="93">
        <v>4.7022539114976956E-5</v>
      </c>
      <c r="G373" s="93">
        <v>-1.7636684303350982E-5</v>
      </c>
      <c r="H373" s="93">
        <v>-1.5677052714089755E-5</v>
      </c>
      <c r="I373" s="93">
        <v>1.5838200589705114E-5</v>
      </c>
      <c r="J373" s="93">
        <v>-9.7981579463061077E-6</v>
      </c>
      <c r="K373" s="93">
        <v>4.0982496471577928E-5</v>
      </c>
      <c r="L373" s="93">
        <v>1.9596315892612033E-6</v>
      </c>
      <c r="M373" s="93">
        <v>2.5144295881872834E-5</v>
      </c>
      <c r="O373" s="17">
        <f t="shared" si="50"/>
        <v>-4000</v>
      </c>
      <c r="R373" s="215"/>
      <c r="S373" s="172"/>
      <c r="T373" s="172"/>
      <c r="U373" s="172"/>
      <c r="V373" s="172"/>
      <c r="W373" s="173"/>
    </row>
    <row r="374" spans="1:23" ht="16.95" customHeight="1" x14ac:dyDescent="0.3">
      <c r="A374" s="12" t="str">
        <f t="shared" si="49"/>
        <v>D4X</v>
      </c>
      <c r="C374" s="93">
        <v>1.5873015873015903E-5</v>
      </c>
      <c r="D374" s="93">
        <v>-1.7636684303350982E-5</v>
      </c>
      <c r="E374" s="93">
        <v>3.1746031746031799E-5</v>
      </c>
      <c r="F374" s="93">
        <v>-1.7636684303350985E-5</v>
      </c>
      <c r="G374" s="93">
        <v>4.7619047619047681E-5</v>
      </c>
      <c r="H374" s="93">
        <v>2.3809523809523841E-5</v>
      </c>
      <c r="I374" s="93">
        <v>-1.3227513227513245E-5</v>
      </c>
      <c r="J374" s="93">
        <v>2.3809523809523854E-5</v>
      </c>
      <c r="K374" s="93">
        <v>-2.2045855379188731E-5</v>
      </c>
      <c r="L374" s="93">
        <v>2.3809523809523847E-5</v>
      </c>
      <c r="M374" s="93">
        <v>-1.322751322751324E-5</v>
      </c>
      <c r="O374" s="17">
        <f t="shared" si="50"/>
        <v>0</v>
      </c>
      <c r="R374" s="215"/>
      <c r="S374" s="172"/>
      <c r="T374" s="172"/>
      <c r="U374" s="172"/>
      <c r="V374" s="172"/>
      <c r="W374" s="173"/>
    </row>
    <row r="375" spans="1:23" ht="16.95" customHeight="1" x14ac:dyDescent="0.3">
      <c r="A375" s="12" t="str">
        <f t="shared" si="49"/>
        <v>D5X</v>
      </c>
      <c r="B375" s="13" t="s">
        <v>220</v>
      </c>
      <c r="C375" s="93">
        <v>1.3227513227513253E-5</v>
      </c>
      <c r="D375" s="93">
        <v>-1.9596315892612195E-5</v>
      </c>
      <c r="E375" s="93">
        <v>2.1164021164021198E-5</v>
      </c>
      <c r="F375" s="93">
        <v>-1.5677052714089762E-5</v>
      </c>
      <c r="G375" s="93">
        <v>2.3809523809523844E-5</v>
      </c>
      <c r="H375" s="93">
        <v>3.5798978429749112E-5</v>
      </c>
      <c r="I375" s="93">
        <v>-1.3472467176170891E-5</v>
      </c>
      <c r="J375" s="93">
        <v>2.5216967847738538E-5</v>
      </c>
      <c r="K375" s="93">
        <v>-1.9841269841269855E-5</v>
      </c>
      <c r="L375" s="93">
        <v>1.9925962556733246E-5</v>
      </c>
      <c r="M375" s="93">
        <v>-8.5733882030178398E-6</v>
      </c>
      <c r="O375" s="17">
        <f t="shared" si="50"/>
        <v>0</v>
      </c>
      <c r="R375" s="215"/>
      <c r="S375" s="172"/>
      <c r="T375" s="172"/>
      <c r="U375" s="172"/>
      <c r="V375" s="172"/>
      <c r="W375" s="173"/>
    </row>
    <row r="376" spans="1:23" ht="16.95" customHeight="1" x14ac:dyDescent="0.3">
      <c r="A376" s="12" t="str">
        <f t="shared" si="49"/>
        <v>D5Y</v>
      </c>
      <c r="C376" s="93">
        <v>-7.3486184597295795E-6</v>
      </c>
      <c r="D376" s="93">
        <v>2.5144295881872821E-5</v>
      </c>
      <c r="E376" s="93">
        <v>-1.1757789535567328E-5</v>
      </c>
      <c r="F376" s="93">
        <v>1.5838200589705111E-5</v>
      </c>
      <c r="G376" s="93">
        <v>-1.3227513227513242E-5</v>
      </c>
      <c r="H376" s="93">
        <v>-1.3472467176170889E-5</v>
      </c>
      <c r="I376" s="93">
        <v>2.5306521135899724E-5</v>
      </c>
      <c r="J376" s="93">
        <v>-7.5935724083872358E-6</v>
      </c>
      <c r="K376" s="93">
        <v>2.1716017979077232E-5</v>
      </c>
      <c r="L376" s="93">
        <v>-4.6541250244954077E-6</v>
      </c>
      <c r="M376" s="93">
        <v>8.3273568759486452E-6</v>
      </c>
      <c r="O376" s="17">
        <f t="shared" si="50"/>
        <v>0</v>
      </c>
      <c r="R376" s="215"/>
      <c r="S376" s="172"/>
      <c r="T376" s="172"/>
      <c r="U376" s="172"/>
      <c r="V376" s="172"/>
      <c r="W376" s="173"/>
    </row>
    <row r="377" spans="1:23" ht="16.95" customHeight="1" x14ac:dyDescent="0.3">
      <c r="A377" s="12" t="str">
        <f t="shared" si="49"/>
        <v>D6X</v>
      </c>
      <c r="C377" s="93">
        <v>1.3227513227513252E-5</v>
      </c>
      <c r="D377" s="93">
        <v>-7.8385263570448862E-6</v>
      </c>
      <c r="E377" s="93">
        <v>2.1164021164021205E-5</v>
      </c>
      <c r="F377" s="93">
        <v>-9.7981579463061077E-6</v>
      </c>
      <c r="G377" s="93">
        <v>2.3809523809523847E-5</v>
      </c>
      <c r="H377" s="93">
        <v>2.5216967847738528E-5</v>
      </c>
      <c r="I377" s="93">
        <v>-7.593572408387235E-6</v>
      </c>
      <c r="J377" s="93">
        <v>3.0507973138743834E-5</v>
      </c>
      <c r="K377" s="93">
        <v>-1.1022927689594371E-5</v>
      </c>
      <c r="L377" s="93">
        <v>2.5216967847738542E-5</v>
      </c>
      <c r="M377" s="93">
        <v>-5.6339408191260134E-6</v>
      </c>
      <c r="O377" s="17">
        <f t="shared" si="50"/>
        <v>0</v>
      </c>
      <c r="R377" s="215"/>
      <c r="S377" s="172"/>
      <c r="T377" s="172"/>
      <c r="U377" s="172"/>
      <c r="V377" s="172"/>
      <c r="W377" s="173"/>
    </row>
    <row r="378" spans="1:23" ht="16.95" customHeight="1" x14ac:dyDescent="0.3">
      <c r="A378" s="12" t="str">
        <f t="shared" si="49"/>
        <v>D6Y</v>
      </c>
      <c r="C378" s="93">
        <v>-4.4091710758377548E-6</v>
      </c>
      <c r="D378" s="93">
        <v>4.0982496471577921E-5</v>
      </c>
      <c r="E378" s="93">
        <v>-1.7636684303350989E-5</v>
      </c>
      <c r="F378" s="93">
        <v>4.0982496471577928E-5</v>
      </c>
      <c r="G378" s="93">
        <v>-2.2045855379188731E-5</v>
      </c>
      <c r="H378" s="93">
        <v>-1.9841269841269848E-5</v>
      </c>
      <c r="I378" s="93">
        <v>2.1716017979077232E-5</v>
      </c>
      <c r="J378" s="93">
        <v>-1.1022927689594371E-5</v>
      </c>
      <c r="K378" s="93">
        <v>5.5349895990925586E-5</v>
      </c>
      <c r="L378" s="93">
        <v>-2.2045855379188905E-6</v>
      </c>
      <c r="M378" s="93">
        <v>2.1716017979077232E-5</v>
      </c>
      <c r="O378" s="17">
        <f t="shared" si="50"/>
        <v>-6000</v>
      </c>
      <c r="R378" s="215"/>
      <c r="S378" s="172"/>
      <c r="T378" s="172"/>
      <c r="U378" s="172"/>
      <c r="V378" s="172"/>
      <c r="W378" s="173"/>
    </row>
    <row r="379" spans="1:23" ht="16.95" customHeight="1" x14ac:dyDescent="0.3">
      <c r="A379" s="12" t="str">
        <f t="shared" si="49"/>
        <v>D7X</v>
      </c>
      <c r="C379" s="93">
        <v>1.322751322751325E-5</v>
      </c>
      <c r="D379" s="93">
        <v>-1.9596315892612326E-6</v>
      </c>
      <c r="E379" s="93">
        <v>2.1164021164021201E-5</v>
      </c>
      <c r="F379" s="93">
        <v>1.959631589261205E-6</v>
      </c>
      <c r="G379" s="93">
        <v>2.3809523809523854E-5</v>
      </c>
      <c r="H379" s="93">
        <v>1.992596255673324E-5</v>
      </c>
      <c r="I379" s="93">
        <v>-4.6541250244954077E-6</v>
      </c>
      <c r="J379" s="93">
        <v>2.5216967847738545E-5</v>
      </c>
      <c r="K379" s="93">
        <v>-2.2045855379188893E-6</v>
      </c>
      <c r="L379" s="93">
        <v>3.5798978429749119E-5</v>
      </c>
      <c r="M379" s="93">
        <v>2.4495394865764316E-7</v>
      </c>
      <c r="O379" s="17">
        <f t="shared" si="50"/>
        <v>0</v>
      </c>
      <c r="R379" s="215"/>
      <c r="S379" s="172"/>
      <c r="T379" s="172"/>
      <c r="U379" s="172"/>
      <c r="V379" s="172"/>
      <c r="W379" s="173"/>
    </row>
    <row r="380" spans="1:23" ht="16.95" customHeight="1" x14ac:dyDescent="0.3">
      <c r="A380" s="12" t="str">
        <f t="shared" si="49"/>
        <v>D7Y</v>
      </c>
      <c r="C380" s="93">
        <v>-1.4697236919459206E-6</v>
      </c>
      <c r="D380" s="93">
        <v>1.5838200589705111E-5</v>
      </c>
      <c r="E380" s="93">
        <v>-5.8788947677836689E-6</v>
      </c>
      <c r="F380" s="93">
        <v>2.5144295881872831E-5</v>
      </c>
      <c r="G380" s="93">
        <v>-1.3227513227513242E-5</v>
      </c>
      <c r="H380" s="93">
        <v>-8.5733882030178398E-6</v>
      </c>
      <c r="I380" s="93">
        <v>8.3273568759486469E-6</v>
      </c>
      <c r="J380" s="93">
        <v>-5.6339408191260143E-6</v>
      </c>
      <c r="K380" s="93">
        <v>2.1716017979077232E-5</v>
      </c>
      <c r="L380" s="93">
        <v>2.4495394865764152E-7</v>
      </c>
      <c r="M380" s="93">
        <v>2.5306521135899728E-5</v>
      </c>
      <c r="O380" s="17">
        <f t="shared" si="50"/>
        <v>0</v>
      </c>
      <c r="R380" s="215"/>
      <c r="S380" s="172"/>
      <c r="T380" s="172"/>
      <c r="U380" s="172"/>
      <c r="V380" s="172"/>
      <c r="W380" s="173"/>
    </row>
    <row r="381" spans="1:23" ht="16.95" customHeight="1" x14ac:dyDescent="0.3">
      <c r="R381" s="215"/>
      <c r="S381" s="172"/>
      <c r="T381" s="172"/>
      <c r="U381" s="172"/>
      <c r="V381" s="172"/>
      <c r="W381" s="173"/>
    </row>
    <row r="382" spans="1:23" ht="16.95" customHeight="1" x14ac:dyDescent="0.3">
      <c r="C382" s="218" t="s">
        <v>265</v>
      </c>
      <c r="D382" s="173"/>
      <c r="R382" s="215"/>
      <c r="S382" s="172"/>
      <c r="T382" s="172"/>
      <c r="U382" s="172"/>
      <c r="V382" s="172"/>
      <c r="W382" s="173"/>
    </row>
    <row r="383" spans="1:23" ht="16.95" customHeight="1" x14ac:dyDescent="0.3">
      <c r="A383" s="99" t="s">
        <v>249</v>
      </c>
      <c r="C383" s="99" t="s">
        <v>266</v>
      </c>
      <c r="R383" s="215"/>
      <c r="S383" s="172"/>
      <c r="T383" s="172"/>
      <c r="U383" s="172"/>
      <c r="V383" s="172"/>
      <c r="W383" s="173"/>
    </row>
    <row r="384" spans="1:23" ht="16.95" customHeight="1" x14ac:dyDescent="0.3">
      <c r="A384" s="12" t="str">
        <f t="shared" ref="A384:A394" si="51">A370</f>
        <v>D2X</v>
      </c>
      <c r="C384" s="94">
        <f t="array" ref="C384:C394">MMULT(C370:M380, O370:O380)</f>
        <v>6.1728395061728517E-2</v>
      </c>
      <c r="D384" s="12" t="s">
        <v>267</v>
      </c>
      <c r="R384" s="215"/>
      <c r="S384" s="172"/>
      <c r="T384" s="172"/>
      <c r="U384" s="172"/>
      <c r="V384" s="172"/>
      <c r="W384" s="173"/>
    </row>
    <row r="385" spans="1:23" ht="16.95" customHeight="1" x14ac:dyDescent="0.3">
      <c r="A385" s="12" t="str">
        <f t="shared" si="51"/>
        <v>D2Y</v>
      </c>
      <c r="C385" s="94">
        <v>-0.55415863470947879</v>
      </c>
      <c r="D385" s="12" t="s">
        <v>267</v>
      </c>
      <c r="R385" s="215"/>
      <c r="S385" s="172"/>
      <c r="T385" s="172"/>
      <c r="U385" s="172"/>
      <c r="V385" s="172"/>
      <c r="W385" s="173"/>
    </row>
    <row r="386" spans="1:23" ht="16.95" customHeight="1" x14ac:dyDescent="0.3">
      <c r="A386" s="12" t="str">
        <f t="shared" si="51"/>
        <v>D3X</v>
      </c>
      <c r="C386" s="94">
        <v>0.21164021164021179</v>
      </c>
      <c r="D386" s="12" t="s">
        <v>267</v>
      </c>
      <c r="R386" s="215"/>
      <c r="S386" s="172"/>
      <c r="T386" s="172"/>
      <c r="U386" s="172"/>
      <c r="V386" s="172"/>
      <c r="W386" s="173"/>
    </row>
    <row r="387" spans="1:23" ht="16.95" customHeight="1" x14ac:dyDescent="0.3">
      <c r="A387" s="12" t="str">
        <f t="shared" si="51"/>
        <v>D3Y</v>
      </c>
      <c r="C387" s="94">
        <v>-0.55415863470947879</v>
      </c>
      <c r="D387" s="12" t="s">
        <v>267</v>
      </c>
      <c r="R387" s="215"/>
      <c r="S387" s="172"/>
      <c r="T387" s="172"/>
      <c r="U387" s="172"/>
      <c r="V387" s="172"/>
      <c r="W387" s="173"/>
    </row>
    <row r="388" spans="1:23" ht="16.95" customHeight="1" x14ac:dyDescent="0.3">
      <c r="A388" s="12" t="str">
        <f t="shared" si="51"/>
        <v>D4X</v>
      </c>
      <c r="C388" s="94">
        <v>0.27336860670194024</v>
      </c>
      <c r="D388" s="12" t="s">
        <v>267</v>
      </c>
      <c r="R388" s="215"/>
      <c r="S388" s="172"/>
      <c r="T388" s="172"/>
      <c r="U388" s="172"/>
      <c r="V388" s="172"/>
      <c r="W388" s="173"/>
    </row>
    <row r="389" spans="1:23" ht="16.95" customHeight="1" x14ac:dyDescent="0.3">
      <c r="A389" s="12" t="str">
        <f t="shared" si="51"/>
        <v>D5X</v>
      </c>
      <c r="B389" s="13" t="s">
        <v>220</v>
      </c>
      <c r="C389" s="94">
        <v>0.26014109347442693</v>
      </c>
      <c r="D389" s="12" t="s">
        <v>267</v>
      </c>
      <c r="R389" s="215"/>
      <c r="S389" s="172"/>
      <c r="T389" s="172"/>
      <c r="U389" s="172"/>
      <c r="V389" s="172"/>
      <c r="W389" s="173"/>
    </row>
    <row r="390" spans="1:23" ht="16.95" customHeight="1" x14ac:dyDescent="0.3">
      <c r="A390" s="12" t="str">
        <f t="shared" si="51"/>
        <v>D5Y</v>
      </c>
      <c r="C390" s="94">
        <v>-0.29422609376077513</v>
      </c>
      <c r="D390" s="12" t="s">
        <v>267</v>
      </c>
      <c r="R390" s="215"/>
      <c r="S390" s="172"/>
      <c r="T390" s="172"/>
      <c r="U390" s="172"/>
      <c r="V390" s="172"/>
      <c r="W390" s="173"/>
    </row>
    <row r="391" spans="1:23" ht="16.95" customHeight="1" x14ac:dyDescent="0.3">
      <c r="A391" s="12" t="str">
        <f t="shared" si="51"/>
        <v>D6X</v>
      </c>
      <c r="C391" s="94">
        <v>0.1366843033509702</v>
      </c>
      <c r="D391" s="12" t="s">
        <v>267</v>
      </c>
      <c r="R391" s="215"/>
      <c r="S391" s="172"/>
      <c r="T391" s="172"/>
      <c r="U391" s="172"/>
      <c r="V391" s="172"/>
      <c r="W391" s="173"/>
    </row>
    <row r="392" spans="1:23" ht="16.95" customHeight="1" x14ac:dyDescent="0.3">
      <c r="A392" s="12" t="str">
        <f t="shared" si="51"/>
        <v>D6Y</v>
      </c>
      <c r="C392" s="94">
        <v>-0.65995934771817688</v>
      </c>
      <c r="D392" s="12" t="s">
        <v>267</v>
      </c>
      <c r="R392" s="215"/>
      <c r="S392" s="172"/>
      <c r="T392" s="172"/>
      <c r="U392" s="172"/>
      <c r="V392" s="172"/>
      <c r="W392" s="173"/>
    </row>
    <row r="393" spans="1:23" ht="16.95" customHeight="1" x14ac:dyDescent="0.3">
      <c r="A393" s="12" t="str">
        <f t="shared" si="51"/>
        <v>D7X</v>
      </c>
      <c r="C393" s="94">
        <v>1.3227513227513445E-2</v>
      </c>
      <c r="D393" s="12" t="s">
        <v>267</v>
      </c>
      <c r="R393" s="215"/>
      <c r="S393" s="172"/>
      <c r="T393" s="172"/>
      <c r="U393" s="172"/>
      <c r="V393" s="172"/>
      <c r="W393" s="173"/>
    </row>
    <row r="394" spans="1:23" ht="16.95" customHeight="1" x14ac:dyDescent="0.3">
      <c r="A394" s="12" t="str">
        <f t="shared" si="51"/>
        <v>D7Y</v>
      </c>
      <c r="C394" s="94">
        <v>-0.29422609376077513</v>
      </c>
      <c r="D394" s="12" t="s">
        <v>267</v>
      </c>
      <c r="R394" s="215"/>
      <c r="S394" s="172"/>
      <c r="T394" s="172"/>
      <c r="U394" s="172"/>
      <c r="V394" s="172"/>
      <c r="W394" s="173"/>
    </row>
    <row r="397" spans="1:23" ht="19.95" customHeight="1" x14ac:dyDescent="0.35">
      <c r="A397" s="11" t="s">
        <v>268</v>
      </c>
      <c r="R397" s="216" t="s">
        <v>269</v>
      </c>
      <c r="S397" s="172"/>
      <c r="T397" s="172"/>
      <c r="U397" s="172"/>
      <c r="V397" s="172"/>
      <c r="W397" s="173"/>
    </row>
    <row r="398" spans="1:23" ht="16.95" customHeight="1" x14ac:dyDescent="0.3">
      <c r="A398" s="99" t="s">
        <v>247</v>
      </c>
      <c r="O398" s="99" t="s">
        <v>249</v>
      </c>
      <c r="R398" s="215" t="s">
        <v>389</v>
      </c>
      <c r="S398" s="172"/>
      <c r="T398" s="172"/>
      <c r="U398" s="172"/>
      <c r="V398" s="172"/>
      <c r="W398" s="173"/>
    </row>
    <row r="399" spans="1:23" ht="16.95" customHeight="1" x14ac:dyDescent="0.3">
      <c r="A399" s="18" t="str">
        <f>INDEX(B$304:B$317, MATCH(P399, C$304:C$317, 0))</f>
        <v>C1X</v>
      </c>
      <c r="C399" s="9">
        <f t="shared" ref="C399:M401" si="52">INDEX($B$287:$O$300, MATCH($P399, $P$287:$P$300, 0), MATCH(C$355, $B$286:$O$286, 0))</f>
        <v>-63000</v>
      </c>
      <c r="D399" s="9">
        <f t="shared" si="52"/>
        <v>0</v>
      </c>
      <c r="E399" s="9">
        <f t="shared" si="52"/>
        <v>0</v>
      </c>
      <c r="F399" s="9">
        <f t="shared" si="52"/>
        <v>0</v>
      </c>
      <c r="G399" s="9">
        <f t="shared" si="52"/>
        <v>0</v>
      </c>
      <c r="H399" s="9">
        <f t="shared" si="52"/>
        <v>-14431.841822761235</v>
      </c>
      <c r="I399" s="9">
        <f t="shared" si="52"/>
        <v>-25977.315280970222</v>
      </c>
      <c r="J399" s="9">
        <f t="shared" si="52"/>
        <v>0</v>
      </c>
      <c r="K399" s="9">
        <f t="shared" si="52"/>
        <v>0</v>
      </c>
      <c r="L399" s="9">
        <f t="shared" si="52"/>
        <v>0</v>
      </c>
      <c r="M399" s="9">
        <f t="shared" si="52"/>
        <v>0</v>
      </c>
      <c r="O399" s="95">
        <f t="shared" ref="O399:O409" si="53">C384</f>
        <v>6.1728395061728517E-2</v>
      </c>
      <c r="P399" s="14" t="str">
        <f>INDEX(C$320:C$333, MATCH(1, G$320:G$333, 0))</f>
        <v>U1X</v>
      </c>
      <c r="R399" s="215" t="s">
        <v>390</v>
      </c>
      <c r="S399" s="172"/>
      <c r="T399" s="172"/>
      <c r="U399" s="172"/>
      <c r="V399" s="172"/>
      <c r="W399" s="173"/>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-25977.315280970222</v>
      </c>
      <c r="I400" s="9">
        <f t="shared" si="52"/>
        <v>-46759.167505746402</v>
      </c>
      <c r="J400" s="9">
        <f t="shared" si="52"/>
        <v>0</v>
      </c>
      <c r="K400" s="9">
        <f t="shared" si="52"/>
        <v>0</v>
      </c>
      <c r="L400" s="9">
        <f t="shared" si="52"/>
        <v>0</v>
      </c>
      <c r="M400" s="9">
        <f t="shared" si="52"/>
        <v>0</v>
      </c>
      <c r="O400" s="95">
        <f t="shared" si="53"/>
        <v>-0.55415863470947879</v>
      </c>
      <c r="P400" s="14" t="str">
        <f>INDEX(C$320:C$333, MATCH(2, G$320:G$333, 0))</f>
        <v>U1Y</v>
      </c>
      <c r="R400" s="215" t="s">
        <v>391</v>
      </c>
      <c r="S400" s="172"/>
      <c r="T400" s="172"/>
      <c r="U400" s="172"/>
      <c r="V400" s="172"/>
      <c r="W400" s="173"/>
    </row>
    <row r="401" spans="1:23" ht="16.95" customHeight="1" x14ac:dyDescent="0.3">
      <c r="A401" s="18" t="str">
        <f>INDEX(B$304:B$317, MATCH(P401, C$304:C$317, 0))</f>
        <v>C4Y</v>
      </c>
      <c r="C401" s="9">
        <f t="shared" si="52"/>
        <v>0</v>
      </c>
      <c r="D401" s="9">
        <f t="shared" si="52"/>
        <v>0</v>
      </c>
      <c r="E401" s="9">
        <f t="shared" si="52"/>
        <v>0</v>
      </c>
      <c r="F401" s="9">
        <f t="shared" si="52"/>
        <v>0</v>
      </c>
      <c r="G401" s="9">
        <f t="shared" si="52"/>
        <v>-25977.315280970222</v>
      </c>
      <c r="H401" s="9">
        <f t="shared" si="52"/>
        <v>0</v>
      </c>
      <c r="I401" s="9">
        <f t="shared" si="52"/>
        <v>0</v>
      </c>
      <c r="J401" s="9">
        <f t="shared" si="52"/>
        <v>0</v>
      </c>
      <c r="K401" s="9">
        <f t="shared" si="52"/>
        <v>0</v>
      </c>
      <c r="L401" s="9">
        <f t="shared" si="52"/>
        <v>25977.315280970222</v>
      </c>
      <c r="M401" s="9">
        <f t="shared" si="52"/>
        <v>-46759.167505746402</v>
      </c>
      <c r="O401" s="95">
        <f t="shared" si="53"/>
        <v>0.21164021164021179</v>
      </c>
      <c r="P401" s="14" t="str">
        <f>INDEX(C$320:C$333, MATCH(3, G$320:G$333, 0))</f>
        <v>U4Y</v>
      </c>
      <c r="R401" s="215" t="s">
        <v>392</v>
      </c>
      <c r="S401" s="172"/>
      <c r="T401" s="172"/>
      <c r="U401" s="172"/>
      <c r="V401" s="172"/>
      <c r="W401" s="173"/>
    </row>
    <row r="402" spans="1:23" ht="16.95" customHeight="1" x14ac:dyDescent="0.3">
      <c r="O402" s="95">
        <f t="shared" si="53"/>
        <v>-0.55415863470947879</v>
      </c>
      <c r="R402" s="215" t="s">
        <v>393</v>
      </c>
      <c r="S402" s="172"/>
      <c r="T402" s="172"/>
      <c r="U402" s="172"/>
      <c r="V402" s="172"/>
      <c r="W402" s="173"/>
    </row>
    <row r="403" spans="1:23" ht="16.95" customHeight="1" x14ac:dyDescent="0.3">
      <c r="O403" s="95">
        <f t="shared" si="53"/>
        <v>0.27336860670194024</v>
      </c>
      <c r="R403" s="215" t="s">
        <v>394</v>
      </c>
      <c r="S403" s="172"/>
      <c r="T403" s="172"/>
      <c r="U403" s="172"/>
      <c r="V403" s="172"/>
      <c r="W403" s="173"/>
    </row>
    <row r="404" spans="1:23" ht="16.95" customHeight="1" x14ac:dyDescent="0.3">
      <c r="O404" s="95">
        <f t="shared" si="53"/>
        <v>0.26014109347442693</v>
      </c>
      <c r="R404" s="215"/>
      <c r="S404" s="172"/>
      <c r="T404" s="172"/>
      <c r="U404" s="172"/>
      <c r="V404" s="172"/>
      <c r="W404" s="173"/>
    </row>
    <row r="405" spans="1:23" ht="16.95" customHeight="1" x14ac:dyDescent="0.3">
      <c r="O405" s="95">
        <f t="shared" si="53"/>
        <v>-0.29422609376077513</v>
      </c>
      <c r="R405" s="215"/>
      <c r="S405" s="172"/>
      <c r="T405" s="172"/>
      <c r="U405" s="172"/>
      <c r="V405" s="172"/>
      <c r="W405" s="173"/>
    </row>
    <row r="406" spans="1:23" ht="16.95" customHeight="1" x14ac:dyDescent="0.3">
      <c r="O406" s="95">
        <f t="shared" si="53"/>
        <v>0.1366843033509702</v>
      </c>
      <c r="R406" s="215"/>
      <c r="S406" s="172"/>
      <c r="T406" s="172"/>
      <c r="U406" s="172"/>
      <c r="V406" s="172"/>
      <c r="W406" s="173"/>
    </row>
    <row r="407" spans="1:23" ht="16.95" customHeight="1" x14ac:dyDescent="0.3">
      <c r="O407" s="95">
        <f t="shared" si="53"/>
        <v>-0.65995934771817688</v>
      </c>
      <c r="R407" s="215"/>
      <c r="S407" s="172"/>
      <c r="T407" s="172"/>
      <c r="U407" s="172"/>
      <c r="V407" s="172"/>
      <c r="W407" s="173"/>
    </row>
    <row r="408" spans="1:23" ht="16.95" customHeight="1" x14ac:dyDescent="0.3">
      <c r="O408" s="95">
        <f t="shared" si="53"/>
        <v>1.3227513227513445E-2</v>
      </c>
      <c r="R408" s="215"/>
      <c r="S408" s="172"/>
      <c r="T408" s="172"/>
      <c r="U408" s="172"/>
      <c r="V408" s="172"/>
      <c r="W408" s="173"/>
    </row>
    <row r="409" spans="1:23" ht="16.95" customHeight="1" x14ac:dyDescent="0.3">
      <c r="O409" s="95">
        <f t="shared" si="53"/>
        <v>-0.29422609376077513</v>
      </c>
      <c r="R409" s="215"/>
      <c r="S409" s="172"/>
      <c r="T409" s="172"/>
      <c r="U409" s="172"/>
      <c r="V409" s="172"/>
      <c r="W409" s="173"/>
    </row>
    <row r="410" spans="1:23" ht="16.95" customHeight="1" x14ac:dyDescent="0.3">
      <c r="R410" s="215"/>
      <c r="S410" s="172"/>
      <c r="T410" s="172"/>
      <c r="U410" s="172"/>
      <c r="V410" s="172"/>
      <c r="W410" s="173"/>
    </row>
    <row r="411" spans="1:23" ht="16.95" customHeight="1" x14ac:dyDescent="0.3">
      <c r="A411" s="12" t="str">
        <f>A399</f>
        <v>C1X</v>
      </c>
      <c r="C411" s="17">
        <f t="array" ref="C411:C413">MMULT(C399:M401, O399:O409)</f>
        <v>-1.0004441719502211E-11</v>
      </c>
      <c r="D411" s="12" t="s">
        <v>273</v>
      </c>
      <c r="R411" s="215"/>
      <c r="S411" s="172"/>
      <c r="T411" s="172"/>
      <c r="U411" s="172"/>
      <c r="V411" s="172"/>
      <c r="W411" s="173"/>
    </row>
    <row r="412" spans="1:23" ht="16.95" customHeight="1" x14ac:dyDescent="0.3">
      <c r="A412" s="12" t="str">
        <f>A400</f>
        <v>C1Y</v>
      </c>
      <c r="B412" s="13" t="s">
        <v>220</v>
      </c>
      <c r="C412" s="17">
        <v>6999.9999999999964</v>
      </c>
      <c r="D412" s="12" t="s">
        <v>273</v>
      </c>
      <c r="R412" s="215"/>
      <c r="S412" s="172"/>
      <c r="T412" s="172"/>
      <c r="U412" s="172"/>
      <c r="V412" s="172"/>
      <c r="W412" s="173"/>
    </row>
    <row r="413" spans="1:23" ht="16.95" customHeight="1" x14ac:dyDescent="0.3">
      <c r="A413" s="12" t="str">
        <f>A401</f>
        <v>C4Y</v>
      </c>
      <c r="C413" s="17">
        <v>7000</v>
      </c>
      <c r="D413" s="12" t="s">
        <v>273</v>
      </c>
      <c r="R413" s="215"/>
      <c r="S413" s="172"/>
      <c r="T413" s="172"/>
      <c r="U413" s="172"/>
      <c r="V413" s="172"/>
      <c r="W413" s="173"/>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6.1728395061728517E-2</v>
      </c>
    </row>
    <row r="421" spans="1:4" ht="19.05" customHeight="1" x14ac:dyDescent="0.3">
      <c r="A421" s="12" t="s">
        <v>231</v>
      </c>
      <c r="B421" s="12" t="s">
        <v>181</v>
      </c>
      <c r="D421" s="94">
        <f t="shared" si="54"/>
        <v>-0.55415863470947879</v>
      </c>
    </row>
    <row r="422" spans="1:4" ht="19.05" customHeight="1" x14ac:dyDescent="0.3">
      <c r="A422" s="12" t="s">
        <v>232</v>
      </c>
      <c r="B422" s="12" t="s">
        <v>182</v>
      </c>
      <c r="D422" s="94">
        <f t="shared" si="54"/>
        <v>0.21164021164021179</v>
      </c>
    </row>
    <row r="423" spans="1:4" ht="19.05" customHeight="1" x14ac:dyDescent="0.3">
      <c r="A423" s="12" t="s">
        <v>234</v>
      </c>
      <c r="B423" s="12" t="s">
        <v>183</v>
      </c>
      <c r="D423" s="94">
        <f t="shared" si="54"/>
        <v>-0.55415863470947879</v>
      </c>
    </row>
    <row r="424" spans="1:4" ht="19.05" customHeight="1" x14ac:dyDescent="0.3">
      <c r="A424" s="12" t="s">
        <v>235</v>
      </c>
      <c r="B424" s="12" t="s">
        <v>184</v>
      </c>
      <c r="D424" s="94">
        <f t="shared" si="54"/>
        <v>0.27336860670194024</v>
      </c>
    </row>
    <row r="425" spans="1:4" ht="19.05" customHeight="1" x14ac:dyDescent="0.3">
      <c r="A425" s="12" t="s">
        <v>236</v>
      </c>
      <c r="B425" s="12" t="s">
        <v>185</v>
      </c>
      <c r="D425" s="94">
        <f t="shared" si="54"/>
        <v>0</v>
      </c>
    </row>
    <row r="426" spans="1:4" ht="19.05" customHeight="1" x14ac:dyDescent="0.3">
      <c r="A426" s="12" t="s">
        <v>237</v>
      </c>
      <c r="B426" s="12" t="s">
        <v>186</v>
      </c>
      <c r="D426" s="94">
        <f t="shared" si="54"/>
        <v>0.26014109347442693</v>
      </c>
    </row>
    <row r="427" spans="1:4" ht="19.05" customHeight="1" x14ac:dyDescent="0.3">
      <c r="A427" s="12" t="s">
        <v>238</v>
      </c>
      <c r="B427" s="12" t="s">
        <v>187</v>
      </c>
      <c r="D427" s="94">
        <f t="shared" si="54"/>
        <v>-0.29422609376077513</v>
      </c>
    </row>
    <row r="428" spans="1:4" ht="19.05" customHeight="1" x14ac:dyDescent="0.3">
      <c r="A428" s="12" t="s">
        <v>239</v>
      </c>
      <c r="B428" s="12" t="s">
        <v>188</v>
      </c>
      <c r="D428" s="94">
        <f t="shared" si="54"/>
        <v>0.1366843033509702</v>
      </c>
    </row>
    <row r="429" spans="1:4" ht="19.05" customHeight="1" x14ac:dyDescent="0.3">
      <c r="A429" s="12" t="s">
        <v>240</v>
      </c>
      <c r="B429" s="12" t="s">
        <v>189</v>
      </c>
      <c r="D429" s="94">
        <f t="shared" si="54"/>
        <v>-0.65995934771817688</v>
      </c>
    </row>
    <row r="430" spans="1:4" ht="19.05" customHeight="1" x14ac:dyDescent="0.3">
      <c r="A430" s="12" t="s">
        <v>587</v>
      </c>
      <c r="B430" s="12" t="s">
        <v>579</v>
      </c>
      <c r="D430" s="94">
        <f t="shared" si="54"/>
        <v>1.3227513227513445E-2</v>
      </c>
    </row>
    <row r="431" spans="1:4" ht="19.05" customHeight="1" x14ac:dyDescent="0.3">
      <c r="A431" s="12" t="s">
        <v>588</v>
      </c>
      <c r="B431" s="12" t="s">
        <v>580</v>
      </c>
      <c r="D431" s="94">
        <f t="shared" si="54"/>
        <v>-0.29422609376077513</v>
      </c>
    </row>
    <row r="434" spans="1:23" ht="19.95" customHeight="1" x14ac:dyDescent="0.35">
      <c r="A434" s="11" t="s">
        <v>275</v>
      </c>
      <c r="R434" s="216" t="s">
        <v>276</v>
      </c>
      <c r="S434" s="172"/>
      <c r="T434" s="172"/>
      <c r="U434" s="172"/>
      <c r="V434" s="172"/>
      <c r="W434" s="173"/>
    </row>
    <row r="435" spans="1:23" ht="16.95" customHeight="1" x14ac:dyDescent="0.3">
      <c r="R435" s="215" t="s">
        <v>395</v>
      </c>
      <c r="S435" s="172"/>
      <c r="T435" s="172"/>
      <c r="U435" s="172"/>
      <c r="V435" s="172"/>
      <c r="W435" s="173"/>
    </row>
    <row r="436" spans="1:23" ht="16.95" customHeight="1" x14ac:dyDescent="0.3">
      <c r="A436" s="19" t="s">
        <v>278</v>
      </c>
      <c r="C436" s="19" t="s">
        <v>279</v>
      </c>
      <c r="D436" s="19" t="s">
        <v>280</v>
      </c>
      <c r="E436" s="19" t="s">
        <v>279</v>
      </c>
      <c r="F436" s="19" t="s">
        <v>280</v>
      </c>
      <c r="G436" s="19" t="s">
        <v>249</v>
      </c>
      <c r="R436" s="215" t="s">
        <v>396</v>
      </c>
      <c r="S436" s="172"/>
      <c r="T436" s="172"/>
      <c r="U436" s="172"/>
      <c r="V436" s="172"/>
      <c r="W436" s="173"/>
    </row>
    <row r="437" spans="1:23" ht="16.95" customHeight="1" x14ac:dyDescent="0.3">
      <c r="C437" s="19" t="s">
        <v>282</v>
      </c>
      <c r="D437" s="19" t="s">
        <v>282</v>
      </c>
      <c r="E437" s="19" t="s">
        <v>283</v>
      </c>
      <c r="F437" s="19" t="s">
        <v>283</v>
      </c>
      <c r="R437" s="215" t="s">
        <v>397</v>
      </c>
      <c r="S437" s="172"/>
      <c r="T437" s="172"/>
      <c r="U437" s="172"/>
      <c r="V437" s="172"/>
      <c r="W437" s="173"/>
    </row>
    <row r="438" spans="1:23" ht="16.95" customHeight="1" x14ac:dyDescent="0.3">
      <c r="A438" s="17">
        <f>N6</f>
        <v>63000</v>
      </c>
      <c r="C438" s="92">
        <f>-J6</f>
        <v>-1</v>
      </c>
      <c r="D438" s="92">
        <f>-K6</f>
        <v>0</v>
      </c>
      <c r="E438" s="92">
        <f>J6</f>
        <v>1</v>
      </c>
      <c r="F438" s="92">
        <f>K6</f>
        <v>0</v>
      </c>
      <c r="G438" s="96">
        <f>IFERROR(VLOOKUP(H438, A$418:D$431, 4, FALSE), 0)</f>
        <v>0</v>
      </c>
      <c r="H438" s="12" t="str">
        <f>"D" &amp; C20 &amp; "X"</f>
        <v>D1X</v>
      </c>
      <c r="R438" s="215" t="s">
        <v>398</v>
      </c>
      <c r="S438" s="172"/>
      <c r="T438" s="172"/>
      <c r="U438" s="172"/>
      <c r="V438" s="172"/>
      <c r="W438" s="173"/>
    </row>
    <row r="439" spans="1:23" ht="16.95" customHeight="1" x14ac:dyDescent="0.3">
      <c r="A439" s="99" t="s">
        <v>285</v>
      </c>
      <c r="B439" s="97">
        <f>(MMULT(C438:F438, G438:G441)*A438)</f>
        <v>3888.8888888888964</v>
      </c>
      <c r="G439" s="96">
        <f>IFERROR(VLOOKUP(H439, A$418:D$431, 4, FALSE), 0)</f>
        <v>0</v>
      </c>
      <c r="H439" s="12" t="str">
        <f>"D" &amp; D20 &amp; "Y"</f>
        <v>D1Y</v>
      </c>
      <c r="R439" s="215" t="s">
        <v>399</v>
      </c>
      <c r="S439" s="172"/>
      <c r="T439" s="172"/>
      <c r="U439" s="172"/>
      <c r="V439" s="172"/>
      <c r="W439" s="173"/>
    </row>
    <row r="440" spans="1:23" ht="16.95" customHeight="1" x14ac:dyDescent="0.3">
      <c r="G440" s="96">
        <f>IFERROR(VLOOKUP(H440, A$418:D$431, 4, FALSE), 0)</f>
        <v>6.1728395061728517E-2</v>
      </c>
      <c r="H440" s="12" t="str">
        <f>"D" &amp; E20 &amp; "X"</f>
        <v>D2X</v>
      </c>
      <c r="R440" s="215" t="s">
        <v>400</v>
      </c>
      <c r="S440" s="172"/>
      <c r="T440" s="172"/>
      <c r="U440" s="172"/>
      <c r="V440" s="172"/>
      <c r="W440" s="173"/>
    </row>
    <row r="441" spans="1:23" ht="16.95" customHeight="1" x14ac:dyDescent="0.3">
      <c r="G441" s="96">
        <f>IFERROR(VLOOKUP(H441, A$418:D$431, 4, FALSE), 0)</f>
        <v>-0.55415863470947879</v>
      </c>
      <c r="H441" s="12" t="str">
        <f>"D" &amp; F20 &amp; "Y"</f>
        <v>D2Y</v>
      </c>
      <c r="R441" s="215" t="s">
        <v>401</v>
      </c>
      <c r="S441" s="172"/>
      <c r="T441" s="172"/>
      <c r="U441" s="172"/>
      <c r="V441" s="172"/>
      <c r="W441" s="173"/>
    </row>
    <row r="442" spans="1:23" ht="16.95" customHeight="1" x14ac:dyDescent="0.3">
      <c r="B442" s="99" t="s">
        <v>273</v>
      </c>
      <c r="C442" s="178" t="str">
        <f>IF(B439&gt;0.001,"BARRA A TRACCIÓN (+)",IF(B439&lt;-0.001,"BARRA A COMPRESIÓN (-)","BARRA DE FUERZA NULA"))</f>
        <v>BARRA A TRACCIÓN (+)</v>
      </c>
      <c r="D442" s="172"/>
      <c r="E442" s="172"/>
      <c r="F442" s="173"/>
      <c r="R442" s="215" t="s">
        <v>402</v>
      </c>
      <c r="S442" s="172"/>
      <c r="T442" s="172"/>
      <c r="U442" s="172"/>
      <c r="V442" s="172"/>
      <c r="W442" s="173"/>
    </row>
    <row r="443" spans="1:23" ht="16.95" customHeight="1" x14ac:dyDescent="0.3">
      <c r="R443" s="215" t="s">
        <v>403</v>
      </c>
      <c r="S443" s="172"/>
      <c r="T443" s="172"/>
      <c r="U443" s="172"/>
      <c r="V443" s="172"/>
      <c r="W443" s="173"/>
    </row>
    <row r="444" spans="1:23" ht="16.95" customHeight="1" x14ac:dyDescent="0.3">
      <c r="A444" s="19" t="s">
        <v>278</v>
      </c>
      <c r="C444" s="19" t="s">
        <v>279</v>
      </c>
      <c r="D444" s="19" t="s">
        <v>280</v>
      </c>
      <c r="E444" s="19" t="s">
        <v>279</v>
      </c>
      <c r="F444" s="19" t="s">
        <v>280</v>
      </c>
      <c r="G444" s="19" t="s">
        <v>249</v>
      </c>
      <c r="R444" s="215"/>
      <c r="S444" s="172"/>
      <c r="T444" s="172"/>
      <c r="U444" s="172"/>
      <c r="V444" s="172"/>
      <c r="W444" s="173"/>
    </row>
    <row r="445" spans="1:23" ht="16.95" customHeight="1" x14ac:dyDescent="0.3">
      <c r="C445" s="19" t="s">
        <v>282</v>
      </c>
      <c r="D445" s="19" t="s">
        <v>282</v>
      </c>
      <c r="E445" s="19" t="s">
        <v>283</v>
      </c>
      <c r="F445" s="19" t="s">
        <v>283</v>
      </c>
      <c r="R445" s="215"/>
      <c r="S445" s="172"/>
      <c r="T445" s="172"/>
      <c r="U445" s="172"/>
      <c r="V445" s="172"/>
      <c r="W445" s="173"/>
    </row>
    <row r="446" spans="1:23" ht="16.95" customHeight="1" x14ac:dyDescent="0.3">
      <c r="A446" s="17">
        <f>N7</f>
        <v>63000</v>
      </c>
      <c r="C446" s="92">
        <f>-J7</f>
        <v>-1</v>
      </c>
      <c r="D446" s="92">
        <f>-K7</f>
        <v>0</v>
      </c>
      <c r="E446" s="92">
        <f>J7</f>
        <v>1</v>
      </c>
      <c r="F446" s="92">
        <f>K7</f>
        <v>0</v>
      </c>
      <c r="G446" s="96">
        <f>IFERROR(VLOOKUP(H446, A$418:D$431, 4, FALSE), 0)</f>
        <v>6.1728395061728517E-2</v>
      </c>
      <c r="H446" s="12" t="str">
        <f>"D" &amp; C21 &amp; "X"</f>
        <v>D2X</v>
      </c>
      <c r="R446" s="215"/>
      <c r="S446" s="172"/>
      <c r="T446" s="172"/>
      <c r="U446" s="172"/>
      <c r="V446" s="172"/>
      <c r="W446" s="173"/>
    </row>
    <row r="447" spans="1:23" ht="16.95" customHeight="1" x14ac:dyDescent="0.3">
      <c r="A447" s="99" t="s">
        <v>286</v>
      </c>
      <c r="B447" s="97">
        <f>(MMULT(C446:F446, G446:G449)*A446)</f>
        <v>9444.4444444444471</v>
      </c>
      <c r="G447" s="96">
        <f>IFERROR(VLOOKUP(H447, A$418:D$431, 4, FALSE), 0)</f>
        <v>-0.55415863470947879</v>
      </c>
      <c r="H447" s="12" t="str">
        <f>"D" &amp; D21 &amp; "Y"</f>
        <v>D2Y</v>
      </c>
      <c r="R447" s="215"/>
      <c r="S447" s="172"/>
      <c r="T447" s="172"/>
      <c r="U447" s="172"/>
      <c r="V447" s="172"/>
      <c r="W447" s="173"/>
    </row>
    <row r="448" spans="1:23" ht="16.95" customHeight="1" x14ac:dyDescent="0.3">
      <c r="G448" s="96">
        <f>IFERROR(VLOOKUP(H448, A$418:D$431, 4, FALSE), 0)</f>
        <v>0.21164021164021179</v>
      </c>
      <c r="H448" s="12" t="str">
        <f>"D" &amp; E21 &amp; "X"</f>
        <v>D3X</v>
      </c>
      <c r="R448" s="215"/>
      <c r="S448" s="172"/>
      <c r="T448" s="172"/>
      <c r="U448" s="172"/>
      <c r="V448" s="172"/>
      <c r="W448" s="173"/>
    </row>
    <row r="449" spans="1:23" ht="16.95" customHeight="1" x14ac:dyDescent="0.3">
      <c r="G449" s="96">
        <f>IFERROR(VLOOKUP(H449, A$418:D$431, 4, FALSE), 0)</f>
        <v>-0.55415863470947879</v>
      </c>
      <c r="H449" s="12" t="str">
        <f>"D" &amp; F21 &amp; "Y"</f>
        <v>D3Y</v>
      </c>
      <c r="R449" s="215"/>
      <c r="S449" s="172"/>
      <c r="T449" s="172"/>
      <c r="U449" s="172"/>
      <c r="V449" s="172"/>
      <c r="W449" s="173"/>
    </row>
    <row r="450" spans="1:23" ht="16.95" customHeight="1" x14ac:dyDescent="0.3">
      <c r="B450" s="99" t="s">
        <v>273</v>
      </c>
      <c r="C450" s="178" t="str">
        <f>IF(B447&gt;0.001,"BARRA A TRACCIÓN (+)",IF(B447&lt;-0.001,"BARRA A COMPRESIÓN (-)","BARRA DE FUERZA NULA"))</f>
        <v>BARRA A TRACCIÓN (+)</v>
      </c>
      <c r="D450" s="172"/>
      <c r="E450" s="172"/>
      <c r="F450" s="173"/>
      <c r="R450" s="215"/>
      <c r="S450" s="172"/>
      <c r="T450" s="172"/>
      <c r="U450" s="172"/>
      <c r="V450" s="172"/>
      <c r="W450" s="173"/>
    </row>
    <row r="451" spans="1:23" ht="16.95" customHeight="1" x14ac:dyDescent="0.3">
      <c r="R451" s="215"/>
      <c r="S451" s="172"/>
      <c r="T451" s="172"/>
      <c r="U451" s="172"/>
      <c r="V451" s="172"/>
      <c r="W451" s="173"/>
    </row>
    <row r="452" spans="1:23" ht="16.95" customHeight="1" x14ac:dyDescent="0.3">
      <c r="A452" s="19" t="s">
        <v>278</v>
      </c>
      <c r="C452" s="19" t="s">
        <v>279</v>
      </c>
      <c r="D452" s="19" t="s">
        <v>280</v>
      </c>
      <c r="E452" s="19" t="s">
        <v>279</v>
      </c>
      <c r="F452" s="19" t="s">
        <v>280</v>
      </c>
      <c r="G452" s="19" t="s">
        <v>249</v>
      </c>
      <c r="R452" s="215"/>
      <c r="S452" s="172"/>
      <c r="T452" s="172"/>
      <c r="U452" s="172"/>
      <c r="V452" s="172"/>
      <c r="W452" s="173"/>
    </row>
    <row r="453" spans="1:23" ht="16.95" customHeight="1" x14ac:dyDescent="0.3">
      <c r="C453" s="19" t="s">
        <v>282</v>
      </c>
      <c r="D453" s="19" t="s">
        <v>282</v>
      </c>
      <c r="E453" s="19" t="s">
        <v>283</v>
      </c>
      <c r="F453" s="19" t="s">
        <v>283</v>
      </c>
      <c r="R453" s="215"/>
      <c r="S453" s="172"/>
      <c r="T453" s="172"/>
      <c r="U453" s="172"/>
      <c r="V453" s="172"/>
      <c r="W453" s="173"/>
    </row>
    <row r="454" spans="1:23" ht="16.95" customHeight="1" x14ac:dyDescent="0.3">
      <c r="A454" s="17">
        <f>N8</f>
        <v>63000</v>
      </c>
      <c r="C454" s="92">
        <f>-J8</f>
        <v>-1</v>
      </c>
      <c r="D454" s="92">
        <f>-K8</f>
        <v>0</v>
      </c>
      <c r="E454" s="92">
        <f>J8</f>
        <v>1</v>
      </c>
      <c r="F454" s="92">
        <f>K8</f>
        <v>0</v>
      </c>
      <c r="G454" s="96">
        <f>IFERROR(VLOOKUP(H454, A$418:D$431, 4, FALSE), 0)</f>
        <v>0.21164021164021179</v>
      </c>
      <c r="H454" s="12" t="str">
        <f>"D" &amp; C22 &amp; "X"</f>
        <v>D3X</v>
      </c>
      <c r="R454" s="215"/>
      <c r="S454" s="172"/>
      <c r="T454" s="172"/>
      <c r="U454" s="172"/>
      <c r="V454" s="172"/>
      <c r="W454" s="173"/>
    </row>
    <row r="455" spans="1:23" ht="16.95" customHeight="1" x14ac:dyDescent="0.3">
      <c r="A455" s="99" t="s">
        <v>287</v>
      </c>
      <c r="B455" s="97">
        <f>(MMULT(C454:F454, G454:G457)*A454)</f>
        <v>3888.8888888888923</v>
      </c>
      <c r="G455" s="96">
        <f>IFERROR(VLOOKUP(H455, A$418:D$431, 4, FALSE), 0)</f>
        <v>-0.55415863470947879</v>
      </c>
      <c r="H455" s="12" t="str">
        <f>"D" &amp; D22 &amp; "Y"</f>
        <v>D3Y</v>
      </c>
      <c r="R455" s="215"/>
      <c r="S455" s="172"/>
      <c r="T455" s="172"/>
      <c r="U455" s="172"/>
      <c r="V455" s="172"/>
      <c r="W455" s="173"/>
    </row>
    <row r="456" spans="1:23" ht="16.95" customHeight="1" x14ac:dyDescent="0.3">
      <c r="G456" s="96">
        <f>IFERROR(VLOOKUP(H456, A$418:D$431, 4, FALSE), 0)</f>
        <v>0.27336860670194024</v>
      </c>
      <c r="H456" s="12" t="str">
        <f>"D" &amp; E22 &amp; "X"</f>
        <v>D4X</v>
      </c>
      <c r="R456" s="215"/>
      <c r="S456" s="172"/>
      <c r="T456" s="172"/>
      <c r="U456" s="172"/>
      <c r="V456" s="172"/>
      <c r="W456" s="173"/>
    </row>
    <row r="457" spans="1:23" ht="16.95" customHeight="1" x14ac:dyDescent="0.3">
      <c r="G457" s="96">
        <f>IFERROR(VLOOKUP(H457, A$418:D$431, 4, FALSE), 0)</f>
        <v>0</v>
      </c>
      <c r="H457" s="12" t="str">
        <f>"D" &amp; F22 &amp; "Y"</f>
        <v>D4Y</v>
      </c>
      <c r="R457" s="215"/>
      <c r="S457" s="172"/>
      <c r="T457" s="172"/>
      <c r="U457" s="172"/>
      <c r="V457" s="172"/>
      <c r="W457" s="173"/>
    </row>
    <row r="458" spans="1:23" ht="16.95" customHeight="1" x14ac:dyDescent="0.3">
      <c r="B458" s="99" t="s">
        <v>273</v>
      </c>
      <c r="C458" s="178" t="str">
        <f>IF(B455&gt;0.001,"BARRA A TRACCIÓN (+)",IF(B455&lt;-0.001,"BARRA A COMPRESIÓN (-)","BARRA DE FUERZA NULA"))</f>
        <v>BARRA A TRACCIÓN (+)</v>
      </c>
      <c r="D458" s="172"/>
      <c r="E458" s="172"/>
      <c r="F458" s="173"/>
      <c r="R458" s="215"/>
      <c r="S458" s="172"/>
      <c r="T458" s="172"/>
      <c r="U458" s="172"/>
      <c r="V458" s="172"/>
      <c r="W458" s="173"/>
    </row>
    <row r="459" spans="1:23" ht="16.95" customHeight="1" x14ac:dyDescent="0.3">
      <c r="R459" s="215"/>
      <c r="S459" s="172"/>
      <c r="T459" s="172"/>
      <c r="U459" s="172"/>
      <c r="V459" s="172"/>
      <c r="W459" s="173"/>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61191.009328507644</v>
      </c>
      <c r="C462" s="92">
        <f>-J9</f>
        <v>-0.48564293117863205</v>
      </c>
      <c r="D462" s="92">
        <f>-K9</f>
        <v>-0.87415727612153771</v>
      </c>
      <c r="E462" s="92">
        <f>J9</f>
        <v>0.48564293117863205</v>
      </c>
      <c r="F462" s="92">
        <f>K9</f>
        <v>0.87415727612153771</v>
      </c>
      <c r="G462" s="96">
        <f>IFERROR(VLOOKUP(H462, A$418:D$431, 4, FALSE), 0)</f>
        <v>0</v>
      </c>
      <c r="H462" s="12" t="str">
        <f>"D" &amp; C23 &amp; "X"</f>
        <v>D1X</v>
      </c>
    </row>
    <row r="463" spans="1:23" ht="19.95" customHeight="1" x14ac:dyDescent="0.3">
      <c r="A463" s="99" t="s">
        <v>288</v>
      </c>
      <c r="B463" s="97">
        <f>(MMULT(C462:F462, G462:G465)*A462)</f>
        <v>-8007.7123318787753</v>
      </c>
      <c r="G463" s="96">
        <f>IFERROR(VLOOKUP(H463, A$418:D$431, 4, FALSE), 0)</f>
        <v>0</v>
      </c>
      <c r="H463" s="12" t="str">
        <f>"D" &amp; D23 &amp; "Y"</f>
        <v>D1Y</v>
      </c>
    </row>
    <row r="464" spans="1:23" ht="19.95" customHeight="1" x14ac:dyDescent="0.3">
      <c r="G464" s="96">
        <f>IFERROR(VLOOKUP(H464, A$418:D$431, 4, FALSE), 0)</f>
        <v>0.26014109347442693</v>
      </c>
      <c r="H464" s="12" t="str">
        <f>"D" &amp; E23 &amp; "X"</f>
        <v>D5X</v>
      </c>
    </row>
    <row r="465" spans="1:8" ht="19.95" customHeight="1" x14ac:dyDescent="0.3">
      <c r="G465" s="96">
        <f>IFERROR(VLOOKUP(H465, A$418:D$431, 4, FALSE), 0)</f>
        <v>-0.29422609376077513</v>
      </c>
      <c r="H465" s="12" t="str">
        <f>"D" &amp; F23 &amp; "Y"</f>
        <v>D5Y</v>
      </c>
    </row>
    <row r="466" spans="1:8" ht="19.95" customHeight="1" x14ac:dyDescent="0.3">
      <c r="B466" s="99" t="s">
        <v>273</v>
      </c>
      <c r="C466" s="178" t="str">
        <f>IF(B463&gt;0.001,"BARRA A TRACCIÓN (+)",IF(B463&lt;-0.001,"BARRA A COMPRESIÓN (-)","BARRA DE FUERZA NULA"))</f>
        <v>BARRA A COMPRESIÓN (-)</v>
      </c>
      <c r="D466" s="172"/>
      <c r="E466" s="172"/>
      <c r="F466" s="173"/>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61191.009328507644</v>
      </c>
      <c r="C470" s="92">
        <f>-J10</f>
        <v>-0.48564293117863205</v>
      </c>
      <c r="D470" s="92">
        <f>-K10</f>
        <v>0.87415727612153771</v>
      </c>
      <c r="E470" s="92">
        <f>J10</f>
        <v>0.48564293117863205</v>
      </c>
      <c r="F470" s="92">
        <f>K10</f>
        <v>-0.87415727612153771</v>
      </c>
      <c r="G470" s="96">
        <f>IFERROR(VLOOKUP(H470, A$418:D$431, 4, FALSE), 0)</f>
        <v>0.26014109347442693</v>
      </c>
      <c r="H470" s="12" t="str">
        <f>"D" &amp; C24 &amp; "X"</f>
        <v>D5X</v>
      </c>
    </row>
    <row r="471" spans="1:8" ht="19.95" customHeight="1" x14ac:dyDescent="0.3">
      <c r="A471" s="99" t="s">
        <v>289</v>
      </c>
      <c r="B471" s="97">
        <f>(MMULT(C470:F470, G470:G473)*A470)</f>
        <v>8007.7123318787681</v>
      </c>
      <c r="G471" s="96">
        <f>IFERROR(VLOOKUP(H471, A$418:D$431, 4, FALSE), 0)</f>
        <v>-0.29422609376077513</v>
      </c>
      <c r="H471" s="12" t="str">
        <f>"D" &amp; D24 &amp; "Y"</f>
        <v>D5Y</v>
      </c>
    </row>
    <row r="472" spans="1:8" ht="19.95" customHeight="1" x14ac:dyDescent="0.3">
      <c r="G472" s="96">
        <f>IFERROR(VLOOKUP(H472, A$418:D$431, 4, FALSE), 0)</f>
        <v>6.1728395061728517E-2</v>
      </c>
      <c r="H472" s="12" t="str">
        <f>"D" &amp; E24 &amp; "X"</f>
        <v>D2X</v>
      </c>
    </row>
    <row r="473" spans="1:8" ht="19.95" customHeight="1" x14ac:dyDescent="0.3">
      <c r="G473" s="96">
        <f>IFERROR(VLOOKUP(H473, A$418:D$431, 4, FALSE), 0)</f>
        <v>-0.55415863470947879</v>
      </c>
      <c r="H473" s="12" t="str">
        <f>"D" &amp; F24 &amp; "Y"</f>
        <v>D2Y</v>
      </c>
    </row>
    <row r="474" spans="1:8" ht="19.95" customHeight="1" x14ac:dyDescent="0.3">
      <c r="B474" s="99" t="s">
        <v>273</v>
      </c>
      <c r="C474" s="178" t="str">
        <f>IF(B471&gt;0.001,"BARRA A TRACCIÓN (+)",IF(B471&lt;-0.001,"BARRA A COMPRESIÓN (-)","BARRA DE FUERZA NULA"))</f>
        <v>BARRA A TRACCIÓN (+)</v>
      </c>
      <c r="D474" s="172"/>
      <c r="E474" s="172"/>
      <c r="F474" s="173"/>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63000</v>
      </c>
      <c r="C478" s="92">
        <f>-J11</f>
        <v>-1</v>
      </c>
      <c r="D478" s="92">
        <f>-K11</f>
        <v>0</v>
      </c>
      <c r="E478" s="92">
        <f>J11</f>
        <v>1</v>
      </c>
      <c r="F478" s="92">
        <f>K11</f>
        <v>0</v>
      </c>
      <c r="G478" s="96">
        <f>IFERROR(VLOOKUP(H478, A$418:D$431, 4, FALSE), 0)</f>
        <v>0.26014109347442693</v>
      </c>
      <c r="H478" s="12" t="str">
        <f>"D" &amp; C25 &amp; "X"</f>
        <v>D5X</v>
      </c>
    </row>
    <row r="479" spans="1:8" ht="19.95" customHeight="1" x14ac:dyDescent="0.3">
      <c r="A479" s="99" t="s">
        <v>290</v>
      </c>
      <c r="B479" s="97">
        <f>(MMULT(C478:F478, G478:G481)*A478)</f>
        <v>-7777.7777777777737</v>
      </c>
      <c r="G479" s="96">
        <f>IFERROR(VLOOKUP(H479, A$418:D$431, 4, FALSE), 0)</f>
        <v>-0.29422609376077513</v>
      </c>
      <c r="H479" s="12" t="str">
        <f>"D" &amp; D25 &amp; "Y"</f>
        <v>D5Y</v>
      </c>
    </row>
    <row r="480" spans="1:8" ht="19.95" customHeight="1" x14ac:dyDescent="0.3">
      <c r="G480" s="96">
        <f>IFERROR(VLOOKUP(H480, A$418:D$431, 4, FALSE), 0)</f>
        <v>0.1366843033509702</v>
      </c>
      <c r="H480" s="12" t="str">
        <f>"D" &amp; E25 &amp; "X"</f>
        <v>D6X</v>
      </c>
    </row>
    <row r="481" spans="1:8" ht="19.95" customHeight="1" x14ac:dyDescent="0.3">
      <c r="G481" s="96">
        <f>IFERROR(VLOOKUP(H481, A$418:D$431, 4, FALSE), 0)</f>
        <v>-0.65995934771817688</v>
      </c>
      <c r="H481" s="12" t="str">
        <f>"D" &amp; F25 &amp; "Y"</f>
        <v>D6Y</v>
      </c>
    </row>
    <row r="482" spans="1:8" ht="19.95" customHeight="1" x14ac:dyDescent="0.3">
      <c r="B482" s="99" t="s">
        <v>273</v>
      </c>
      <c r="C482" s="178" t="str">
        <f>IF(B479&gt;0.001,"BARRA A TRACCIÓN (+)",IF(B479&lt;-0.001,"BARRA A COMPRESIÓN (-)","BARRA DE FUERZA NULA"))</f>
        <v>BARRA A COMPRESIÓN (-)</v>
      </c>
      <c r="D482" s="172"/>
      <c r="E482" s="172"/>
      <c r="F482" s="173"/>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61191.009328507644</v>
      </c>
      <c r="C486" s="92">
        <f>-J12</f>
        <v>-0.48564293117863205</v>
      </c>
      <c r="D486" s="92">
        <f>-K12</f>
        <v>-0.87415727612153771</v>
      </c>
      <c r="E486" s="92">
        <f>J12</f>
        <v>0.48564293117863205</v>
      </c>
      <c r="F486" s="92">
        <f>K12</f>
        <v>0.87415727612153771</v>
      </c>
      <c r="G486" s="96">
        <f>IFERROR(VLOOKUP(H486, A$418:D$431, 4, FALSE), 0)</f>
        <v>6.1728395061728517E-2</v>
      </c>
      <c r="H486" s="12" t="str">
        <f>"D" &amp; C26 &amp; "X"</f>
        <v>D2X</v>
      </c>
    </row>
    <row r="487" spans="1:8" ht="19.95" customHeight="1" x14ac:dyDescent="0.3">
      <c r="A487" s="99" t="s">
        <v>291</v>
      </c>
      <c r="B487" s="97">
        <f>(MMULT(C486:F486, G486:G489)*A486)</f>
        <v>-3431.8767136623328</v>
      </c>
      <c r="G487" s="96">
        <f>IFERROR(VLOOKUP(H487, A$418:D$431, 4, FALSE), 0)</f>
        <v>-0.55415863470947879</v>
      </c>
      <c r="H487" s="12" t="str">
        <f>"D" &amp; D26 &amp; "Y"</f>
        <v>D2Y</v>
      </c>
    </row>
    <row r="488" spans="1:8" ht="19.95" customHeight="1" x14ac:dyDescent="0.3">
      <c r="G488" s="96">
        <f>IFERROR(VLOOKUP(H488, A$418:D$431, 4, FALSE), 0)</f>
        <v>0.1366843033509702</v>
      </c>
      <c r="H488" s="12" t="str">
        <f>"D" &amp; E26 &amp; "X"</f>
        <v>D6X</v>
      </c>
    </row>
    <row r="489" spans="1:8" ht="19.95" customHeight="1" x14ac:dyDescent="0.3">
      <c r="G489" s="96">
        <f>IFERROR(VLOOKUP(H489, A$418:D$431, 4, FALSE), 0)</f>
        <v>-0.65995934771817688</v>
      </c>
      <c r="H489" s="12" t="str">
        <f>"D" &amp; F26 &amp; "Y"</f>
        <v>D6Y</v>
      </c>
    </row>
    <row r="490" spans="1:8" ht="19.95" customHeight="1" x14ac:dyDescent="0.3">
      <c r="B490" s="99" t="s">
        <v>273</v>
      </c>
      <c r="C490" s="178" t="str">
        <f>IF(B487&gt;0.001,"BARRA A TRACCIÓN (+)",IF(B487&lt;-0.001,"BARRA A COMPRESIÓN (-)","BARRA DE FUERZA NULA"))</f>
        <v>BARRA A COMPRESIÓN (-)</v>
      </c>
      <c r="D490" s="172"/>
      <c r="E490" s="172"/>
      <c r="F490" s="173"/>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61191.009328507644</v>
      </c>
      <c r="C494" s="92">
        <f>-J13</f>
        <v>-0.48564293117863205</v>
      </c>
      <c r="D494" s="92">
        <f>-K13</f>
        <v>0.87415727612153771</v>
      </c>
      <c r="E494" s="92">
        <f>J13</f>
        <v>0.48564293117863205</v>
      </c>
      <c r="F494" s="92">
        <f>K13</f>
        <v>-0.87415727612153771</v>
      </c>
      <c r="G494" s="96">
        <f>IFERROR(VLOOKUP(H494, A$418:D$431, 4, FALSE), 0)</f>
        <v>0.1366843033509702</v>
      </c>
      <c r="H494" s="12" t="str">
        <f>"D" &amp; C27 &amp; "X"</f>
        <v>D6X</v>
      </c>
    </row>
    <row r="495" spans="1:8" ht="19.95" customHeight="1" x14ac:dyDescent="0.3">
      <c r="A495" s="99" t="s">
        <v>292</v>
      </c>
      <c r="B495" s="97">
        <f>(MMULT(C494:F494, G494:G497)*A494)</f>
        <v>-3431.8767136623328</v>
      </c>
      <c r="G495" s="96">
        <f>IFERROR(VLOOKUP(H495, A$418:D$431, 4, FALSE), 0)</f>
        <v>-0.65995934771817688</v>
      </c>
      <c r="H495" s="12" t="str">
        <f>"D" &amp; D27 &amp; "Y"</f>
        <v>D6Y</v>
      </c>
    </row>
    <row r="496" spans="1:8" ht="19.95" customHeight="1" x14ac:dyDescent="0.3">
      <c r="G496" s="96">
        <f>IFERROR(VLOOKUP(H496, A$418:D$431, 4, FALSE), 0)</f>
        <v>0.21164021164021179</v>
      </c>
      <c r="H496" s="12" t="str">
        <f>"D" &amp; E27 &amp; "X"</f>
        <v>D3X</v>
      </c>
    </row>
    <row r="497" spans="1:8" ht="19.95" customHeight="1" x14ac:dyDescent="0.3">
      <c r="G497" s="96">
        <f>IFERROR(VLOOKUP(H497, A$418:D$431, 4, FALSE), 0)</f>
        <v>-0.55415863470947879</v>
      </c>
      <c r="H497" s="12" t="str">
        <f>"D" &amp; F27 &amp; "Y"</f>
        <v>D3Y</v>
      </c>
    </row>
    <row r="498" spans="1:8" ht="19.95" customHeight="1" x14ac:dyDescent="0.3">
      <c r="B498" s="99" t="s">
        <v>273</v>
      </c>
      <c r="C498" s="178" t="str">
        <f>IF(B495&gt;0.001,"BARRA A TRACCIÓN (+)",IF(B495&lt;-0.001,"BARRA A COMPRESIÓN (-)","BARRA DE FUERZA NULA"))</f>
        <v>BARRA A COMPRESIÓN (-)</v>
      </c>
      <c r="D498" s="172"/>
      <c r="E498" s="172"/>
      <c r="F498" s="173"/>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63000</v>
      </c>
      <c r="C502" s="92">
        <f>-J14</f>
        <v>-1</v>
      </c>
      <c r="D502" s="92">
        <f>-K14</f>
        <v>0</v>
      </c>
      <c r="E502" s="92">
        <f>J14</f>
        <v>1</v>
      </c>
      <c r="F502" s="92">
        <f>K14</f>
        <v>0</v>
      </c>
      <c r="G502" s="96">
        <f>IFERROR(VLOOKUP(H502, A$418:D$431, 4, FALSE), 0)</f>
        <v>0.1366843033509702</v>
      </c>
      <c r="H502" s="12" t="str">
        <f>"D" &amp; C28 &amp; "X"</f>
        <v>D6X</v>
      </c>
    </row>
    <row r="503" spans="1:8" ht="19.95" customHeight="1" x14ac:dyDescent="0.3">
      <c r="A503" s="99" t="s">
        <v>530</v>
      </c>
      <c r="B503" s="97">
        <f>(MMULT(C502:F502, G502:G505)*A502)</f>
        <v>-7777.7777777777756</v>
      </c>
      <c r="G503" s="96">
        <f>IFERROR(VLOOKUP(H503, A$418:D$431, 4, FALSE), 0)</f>
        <v>-0.65995934771817688</v>
      </c>
      <c r="H503" s="12" t="str">
        <f>"D" &amp; D28 &amp; "Y"</f>
        <v>D6Y</v>
      </c>
    </row>
    <row r="504" spans="1:8" ht="19.95" customHeight="1" x14ac:dyDescent="0.3">
      <c r="G504" s="96">
        <f>IFERROR(VLOOKUP(H504, A$418:D$431, 4, FALSE), 0)</f>
        <v>1.3227513227513445E-2</v>
      </c>
      <c r="H504" s="12" t="str">
        <f>"D" &amp; E28 &amp; "X"</f>
        <v>D7X</v>
      </c>
    </row>
    <row r="505" spans="1:8" ht="19.95" customHeight="1" x14ac:dyDescent="0.3">
      <c r="G505" s="96">
        <f>IFERROR(VLOOKUP(H505, A$418:D$431, 4, FALSE), 0)</f>
        <v>-0.29422609376077513</v>
      </c>
      <c r="H505" s="12" t="str">
        <f>"D" &amp; F28 &amp; "Y"</f>
        <v>D7Y</v>
      </c>
    </row>
    <row r="506" spans="1:8" ht="19.95" customHeight="1" x14ac:dyDescent="0.3">
      <c r="B506" s="99" t="s">
        <v>273</v>
      </c>
      <c r="C506" s="178" t="str">
        <f>IF(B503&gt;0.001,"BARRA A TRACCIÓN (+)",IF(B503&lt;-0.001,"BARRA A COMPRESIÓN (-)","BARRA DE FUERZA NULA"))</f>
        <v>BARRA A COMPRESIÓN (-)</v>
      </c>
      <c r="D506" s="172"/>
      <c r="E506" s="172"/>
      <c r="F506" s="173"/>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61191.009328507644</v>
      </c>
      <c r="C510" s="92">
        <f>-J15</f>
        <v>0.48564293117863205</v>
      </c>
      <c r="D510" s="92">
        <f>-K15</f>
        <v>0.87415727612153771</v>
      </c>
      <c r="E510" s="92">
        <f>J15</f>
        <v>-0.48564293117863205</v>
      </c>
      <c r="F510" s="92">
        <f>K15</f>
        <v>-0.87415727612153771</v>
      </c>
      <c r="G510" s="96">
        <f>IFERROR(VLOOKUP(H510, A$418:D$431, 4, FALSE), 0)</f>
        <v>1.3227513227513445E-2</v>
      </c>
      <c r="H510" s="12" t="str">
        <f>"D" &amp; C29 &amp; "X"</f>
        <v>D7X</v>
      </c>
    </row>
    <row r="511" spans="1:8" ht="19.95" customHeight="1" x14ac:dyDescent="0.3">
      <c r="A511" s="99" t="s">
        <v>589</v>
      </c>
      <c r="B511" s="97">
        <f>(MMULT(C510:F510, G510:G513)*A510)</f>
        <v>8007.7123318787717</v>
      </c>
      <c r="G511" s="96">
        <f>IFERROR(VLOOKUP(H511, A$418:D$431, 4, FALSE), 0)</f>
        <v>-0.29422609376077513</v>
      </c>
      <c r="H511" s="12" t="str">
        <f>"D" &amp; D29 &amp; "Y"</f>
        <v>D7Y</v>
      </c>
    </row>
    <row r="512" spans="1:8" ht="19.95" customHeight="1" x14ac:dyDescent="0.3">
      <c r="G512" s="96">
        <f>IFERROR(VLOOKUP(H512, A$418:D$431, 4, FALSE), 0)</f>
        <v>0.21164021164021179</v>
      </c>
      <c r="H512" s="12" t="str">
        <f>"D" &amp; E29 &amp; "X"</f>
        <v>D3X</v>
      </c>
    </row>
    <row r="513" spans="1:8" ht="19.95" customHeight="1" x14ac:dyDescent="0.3">
      <c r="G513" s="96">
        <f>IFERROR(VLOOKUP(H513, A$418:D$431, 4, FALSE), 0)</f>
        <v>-0.55415863470947879</v>
      </c>
      <c r="H513" s="12" t="str">
        <f>"D" &amp; F29 &amp; "Y"</f>
        <v>D3Y</v>
      </c>
    </row>
    <row r="514" spans="1:8" ht="19.95" customHeight="1" x14ac:dyDescent="0.3">
      <c r="B514" s="99" t="s">
        <v>273</v>
      </c>
      <c r="C514" s="178" t="str">
        <f>IF(B511&gt;0.001,"BARRA A TRACCIÓN (+)",IF(B511&lt;-0.001,"BARRA A COMPRESIÓN (-)","BARRA DE FUERZA NULA"))</f>
        <v>BARRA A TRACCIÓN (+)</v>
      </c>
      <c r="D514" s="172"/>
      <c r="E514" s="172"/>
      <c r="F514" s="173"/>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61191.009328507644</v>
      </c>
      <c r="C518" s="92">
        <f>-J16</f>
        <v>-0.48564293117863205</v>
      </c>
      <c r="D518" s="92">
        <f>-K16</f>
        <v>0.87415727612153771</v>
      </c>
      <c r="E518" s="92">
        <f>J16</f>
        <v>0.48564293117863205</v>
      </c>
      <c r="F518" s="92">
        <f>K16</f>
        <v>-0.87415727612153771</v>
      </c>
      <c r="G518" s="96">
        <f>IFERROR(VLOOKUP(H518, A$418:D$431, 4, FALSE), 0)</f>
        <v>1.3227513227513445E-2</v>
      </c>
      <c r="H518" s="12" t="str">
        <f>"D" &amp; C30 &amp; "X"</f>
        <v>D7X</v>
      </c>
    </row>
    <row r="519" spans="1:8" ht="19.95" customHeight="1" x14ac:dyDescent="0.3">
      <c r="A519" s="99" t="s">
        <v>590</v>
      </c>
      <c r="B519" s="97">
        <f>(MMULT(C518:F518, G518:G521)*A518)</f>
        <v>-8007.7123318787799</v>
      </c>
      <c r="G519" s="96">
        <f>IFERROR(VLOOKUP(H519, A$418:D$431, 4, FALSE), 0)</f>
        <v>-0.29422609376077513</v>
      </c>
      <c r="H519" s="12" t="str">
        <f>"D" &amp; D30 &amp; "Y"</f>
        <v>D7Y</v>
      </c>
    </row>
    <row r="520" spans="1:8" ht="19.95" customHeight="1" x14ac:dyDescent="0.3">
      <c r="G520" s="96">
        <f>IFERROR(VLOOKUP(H520, A$418:D$431, 4, FALSE), 0)</f>
        <v>0.27336860670194024</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78" t="str">
        <f>IF(B519&gt;0.001,"BARRA A TRACCIÓN (+)",IF(B519&lt;-0.001,"BARRA A COMPRESIÓN (-)","BARRA DE FUERZA NULA"))</f>
        <v>BARRA A COMPRESIÓN (-)</v>
      </c>
      <c r="D522" s="172"/>
      <c r="E522" s="172"/>
      <c r="F522" s="173"/>
    </row>
    <row r="525" spans="1:8" ht="22.05" customHeight="1" x14ac:dyDescent="0.3">
      <c r="B525" s="217" t="s">
        <v>404</v>
      </c>
      <c r="C525" s="175"/>
      <c r="D525" s="175"/>
      <c r="E525" s="175"/>
      <c r="F525" s="175"/>
      <c r="G525" s="175"/>
      <c r="H525" s="175"/>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400</v>
      </c>
      <c r="F527" s="9">
        <f t="shared" ref="F527:F537" si="58">L6</f>
        <v>12</v>
      </c>
      <c r="G527" s="97">
        <f>B439</f>
        <v>3888.8888888888964</v>
      </c>
      <c r="H527" s="84" t="str">
        <f>C442</f>
        <v>BARRA A TRACCIÓN (+)</v>
      </c>
    </row>
    <row r="528" spans="1:8" ht="19.95" customHeight="1" x14ac:dyDescent="0.3">
      <c r="B528" s="25">
        <v>2</v>
      </c>
      <c r="C528" s="86">
        <f t="shared" si="55"/>
        <v>2</v>
      </c>
      <c r="D528" s="86">
        <f t="shared" si="56"/>
        <v>3</v>
      </c>
      <c r="E528" s="9">
        <f t="shared" si="57"/>
        <v>400</v>
      </c>
      <c r="F528" s="9">
        <f t="shared" si="58"/>
        <v>12</v>
      </c>
      <c r="G528" s="97">
        <f>B447</f>
        <v>9444.4444444444471</v>
      </c>
      <c r="H528" s="84" t="str">
        <f>C450</f>
        <v>BARRA A TRACCIÓN (+)</v>
      </c>
    </row>
    <row r="529" spans="2:8" ht="19.95" customHeight="1" x14ac:dyDescent="0.3">
      <c r="B529" s="26">
        <v>3</v>
      </c>
      <c r="C529" s="86">
        <f t="shared" si="55"/>
        <v>3</v>
      </c>
      <c r="D529" s="86">
        <f t="shared" si="56"/>
        <v>4</v>
      </c>
      <c r="E529" s="9">
        <f t="shared" si="57"/>
        <v>400</v>
      </c>
      <c r="F529" s="9">
        <f t="shared" si="58"/>
        <v>12</v>
      </c>
      <c r="G529" s="97">
        <f>B455</f>
        <v>3888.8888888888923</v>
      </c>
      <c r="H529" s="84" t="str">
        <f>C458</f>
        <v>BARRA A TRACCIÓN (+)</v>
      </c>
    </row>
    <row r="530" spans="2:8" ht="19.95" customHeight="1" x14ac:dyDescent="0.3">
      <c r="B530" s="43">
        <v>4</v>
      </c>
      <c r="C530" s="86">
        <f t="shared" si="55"/>
        <v>1</v>
      </c>
      <c r="D530" s="86">
        <f t="shared" si="56"/>
        <v>5</v>
      </c>
      <c r="E530" s="9">
        <f t="shared" si="57"/>
        <v>411.82520563948003</v>
      </c>
      <c r="F530" s="9">
        <f t="shared" si="58"/>
        <v>12</v>
      </c>
      <c r="G530" s="97">
        <f>B463</f>
        <v>-8007.7123318787753</v>
      </c>
      <c r="H530" s="84" t="str">
        <f>C466</f>
        <v>BARRA A COMPRESIÓN (-)</v>
      </c>
    </row>
    <row r="531" spans="2:8" ht="19.95" customHeight="1" x14ac:dyDescent="0.3">
      <c r="B531" s="44">
        <v>5</v>
      </c>
      <c r="C531" s="86">
        <f t="shared" si="55"/>
        <v>5</v>
      </c>
      <c r="D531" s="86">
        <f t="shared" si="56"/>
        <v>2</v>
      </c>
      <c r="E531" s="9">
        <f t="shared" si="57"/>
        <v>411.82520563948003</v>
      </c>
      <c r="F531" s="9">
        <f t="shared" si="58"/>
        <v>12</v>
      </c>
      <c r="G531" s="97">
        <f>B471</f>
        <v>8007.7123318787681</v>
      </c>
      <c r="H531" s="84" t="str">
        <f>C474</f>
        <v>BARRA A TRACCIÓN (+)</v>
      </c>
    </row>
    <row r="532" spans="2:8" ht="19.95" customHeight="1" x14ac:dyDescent="0.3">
      <c r="B532" s="51">
        <v>6</v>
      </c>
      <c r="C532" s="86">
        <f t="shared" si="55"/>
        <v>5</v>
      </c>
      <c r="D532" s="86">
        <f t="shared" si="56"/>
        <v>6</v>
      </c>
      <c r="E532" s="9">
        <f t="shared" si="57"/>
        <v>400</v>
      </c>
      <c r="F532" s="9">
        <f t="shared" si="58"/>
        <v>12</v>
      </c>
      <c r="G532" s="97">
        <f>B479</f>
        <v>-7777.7777777777737</v>
      </c>
      <c r="H532" s="84" t="str">
        <f>C482</f>
        <v>BARRA A COMPRESIÓN (-)</v>
      </c>
    </row>
    <row r="533" spans="2:8" ht="19.95" customHeight="1" x14ac:dyDescent="0.3">
      <c r="B533" s="52">
        <v>7</v>
      </c>
      <c r="C533" s="86">
        <f t="shared" si="55"/>
        <v>2</v>
      </c>
      <c r="D533" s="86">
        <f t="shared" si="56"/>
        <v>6</v>
      </c>
      <c r="E533" s="9">
        <f t="shared" si="57"/>
        <v>411.82520563948003</v>
      </c>
      <c r="F533" s="9">
        <f t="shared" si="58"/>
        <v>12</v>
      </c>
      <c r="G533" s="97">
        <f>B487</f>
        <v>-3431.8767136623328</v>
      </c>
      <c r="H533" s="84" t="str">
        <f>C490</f>
        <v>BARRA A COMPRESIÓN (-)</v>
      </c>
    </row>
    <row r="534" spans="2:8" ht="19.95" customHeight="1" x14ac:dyDescent="0.3">
      <c r="B534" s="59">
        <v>8</v>
      </c>
      <c r="C534" s="86">
        <f t="shared" si="55"/>
        <v>6</v>
      </c>
      <c r="D534" s="86">
        <f t="shared" si="56"/>
        <v>3</v>
      </c>
      <c r="E534" s="9">
        <f t="shared" si="57"/>
        <v>411.82520563948003</v>
      </c>
      <c r="F534" s="9">
        <f t="shared" si="58"/>
        <v>12</v>
      </c>
      <c r="G534" s="97">
        <f>B495</f>
        <v>-3431.8767136623328</v>
      </c>
      <c r="H534" s="84" t="str">
        <f>C498</f>
        <v>BARRA A COMPRESIÓN (-)</v>
      </c>
    </row>
    <row r="535" spans="2:8" ht="19.95" customHeight="1" x14ac:dyDescent="0.3">
      <c r="B535" s="60">
        <v>9</v>
      </c>
      <c r="C535" s="86">
        <f t="shared" si="55"/>
        <v>6</v>
      </c>
      <c r="D535" s="86">
        <f t="shared" si="56"/>
        <v>7</v>
      </c>
      <c r="E535" s="9">
        <f t="shared" si="57"/>
        <v>400</v>
      </c>
      <c r="F535" s="9">
        <f t="shared" si="58"/>
        <v>12</v>
      </c>
      <c r="G535" s="97">
        <f>B503</f>
        <v>-7777.7777777777756</v>
      </c>
      <c r="H535" s="84" t="str">
        <f>C506</f>
        <v>BARRA A COMPRESIÓN (-)</v>
      </c>
    </row>
    <row r="536" spans="2:8" ht="19.95" customHeight="1" x14ac:dyDescent="0.3">
      <c r="B536" s="67">
        <v>10</v>
      </c>
      <c r="C536" s="86">
        <f t="shared" si="55"/>
        <v>7</v>
      </c>
      <c r="D536" s="86">
        <f t="shared" si="56"/>
        <v>3</v>
      </c>
      <c r="E536" s="9">
        <f t="shared" si="57"/>
        <v>411.82520563948003</v>
      </c>
      <c r="F536" s="9">
        <f t="shared" si="58"/>
        <v>12</v>
      </c>
      <c r="G536" s="97">
        <f>B511</f>
        <v>8007.7123318787717</v>
      </c>
      <c r="H536" s="84" t="str">
        <f>C514</f>
        <v>BARRA A TRACCIÓN (+)</v>
      </c>
    </row>
    <row r="537" spans="2:8" ht="19.95" customHeight="1" x14ac:dyDescent="0.3">
      <c r="B537" s="68">
        <v>11</v>
      </c>
      <c r="C537" s="86">
        <f t="shared" si="55"/>
        <v>7</v>
      </c>
      <c r="D537" s="86">
        <f t="shared" si="56"/>
        <v>4</v>
      </c>
      <c r="E537" s="9">
        <f t="shared" si="57"/>
        <v>411.82520563948003</v>
      </c>
      <c r="F537" s="9">
        <f t="shared" si="58"/>
        <v>12</v>
      </c>
      <c r="G537" s="97">
        <f>B519</f>
        <v>-8007.7123318787799</v>
      </c>
      <c r="H537" s="84" t="str">
        <f>C522</f>
        <v>BARRA A COMPRESIÓN (-)</v>
      </c>
    </row>
  </sheetData>
  <mergeCells count="166">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328:W328"/>
    <mergeCell ref="R316:W316"/>
    <mergeCell ref="R381:W381"/>
    <mergeCell ref="C368:M368"/>
    <mergeCell ref="R365:W365"/>
    <mergeCell ref="R322:W322"/>
    <mergeCell ref="R331:W331"/>
    <mergeCell ref="R321:W321"/>
    <mergeCell ref="R386:W386"/>
    <mergeCell ref="R401:W401"/>
    <mergeCell ref="R370:W370"/>
    <mergeCell ref="R323:W323"/>
    <mergeCell ref="C442:F442"/>
    <mergeCell ref="R453:W453"/>
    <mergeCell ref="R340:W340"/>
    <mergeCell ref="R434:W434"/>
    <mergeCell ref="R445:W445"/>
    <mergeCell ref="R450:W450"/>
    <mergeCell ref="R455:W455"/>
    <mergeCell ref="R337:W337"/>
    <mergeCell ref="R368:W368"/>
    <mergeCell ref="R408:W408"/>
    <mergeCell ref="R402:W402"/>
    <mergeCell ref="R400:W400"/>
    <mergeCell ref="R443:W443"/>
    <mergeCell ref="R436:W436"/>
    <mergeCell ref="R405:W405"/>
    <mergeCell ref="R444:W444"/>
    <mergeCell ref="R366:W366"/>
    <mergeCell ref="R380:W380"/>
    <mergeCell ref="R374:W374"/>
    <mergeCell ref="R379:W379"/>
    <mergeCell ref="R388:W388"/>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R459:W459"/>
    <mergeCell ref="R372:W372"/>
    <mergeCell ref="K4:K5"/>
    <mergeCell ref="R307:W307"/>
    <mergeCell ref="R347:W347"/>
    <mergeCell ref="R387:W387"/>
    <mergeCell ref="R412:W412"/>
    <mergeCell ref="R452:W452"/>
    <mergeCell ref="B2:N2"/>
    <mergeCell ref="B3:D3"/>
    <mergeCell ref="R398:W398"/>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593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7</v>
      </c>
      <c r="C6" s="173"/>
      <c r="D6" s="206">
        <f>COUNT(C28:C42)</f>
        <v>11</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366.66666666666669</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366.66666666666669</v>
      </c>
      <c r="AB8" s="20">
        <f>IF(F29="","",F29)</f>
        <v>0</v>
      </c>
      <c r="AC8" t="s">
        <v>316</v>
      </c>
    </row>
    <row r="9" spans="2:29" x14ac:dyDescent="0.3">
      <c r="AA9" s="20">
        <f>IF(G29="","",G29)</f>
        <v>733.33333333333337</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733.33333333333337</v>
      </c>
      <c r="AB11" s="20">
        <f>IF(F30="","",F30)</f>
        <v>0</v>
      </c>
      <c r="AC11" t="s">
        <v>324</v>
      </c>
    </row>
    <row r="12" spans="2:29" x14ac:dyDescent="0.3">
      <c r="AA12" s="20">
        <f>IF(G30="","",G30)</f>
        <v>1100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0</v>
      </c>
      <c r="AC14" t="s">
        <v>328</v>
      </c>
    </row>
    <row r="15" spans="2:29" ht="19.05" customHeight="1" x14ac:dyDescent="0.3">
      <c r="B15" s="89">
        <v>2</v>
      </c>
      <c r="C15" s="21">
        <v>366.66666666666669</v>
      </c>
      <c r="D15" s="21">
        <v>0</v>
      </c>
      <c r="E15" s="21" t="s">
        <v>326</v>
      </c>
      <c r="F15" s="88">
        <f t="shared" si="0"/>
        <v>0</v>
      </c>
      <c r="G15" s="88">
        <f t="shared" si="1"/>
        <v>0</v>
      </c>
      <c r="H15" s="22">
        <v>0</v>
      </c>
      <c r="I15" s="22">
        <v>-4000</v>
      </c>
      <c r="J15" s="205" t="s">
        <v>573</v>
      </c>
      <c r="K15" s="172"/>
      <c r="L15" s="172"/>
      <c r="M15" s="172"/>
      <c r="N15" s="172"/>
      <c r="O15" s="173"/>
      <c r="AA15" s="20">
        <f>IF(G31="","",G31)</f>
        <v>183.33333333333329</v>
      </c>
      <c r="AB15" s="20">
        <f>IF(H31="","",H31)</f>
        <v>400</v>
      </c>
      <c r="AC15" t="s">
        <v>331</v>
      </c>
    </row>
    <row r="16" spans="2:29" ht="19.05" customHeight="1" x14ac:dyDescent="0.3">
      <c r="B16" s="89">
        <v>3</v>
      </c>
      <c r="C16" s="21">
        <v>733.33333333333337</v>
      </c>
      <c r="D16" s="21">
        <v>0</v>
      </c>
      <c r="E16" s="21" t="s">
        <v>326</v>
      </c>
      <c r="F16" s="88">
        <f t="shared" si="0"/>
        <v>0</v>
      </c>
      <c r="G16" s="88">
        <f t="shared" si="1"/>
        <v>0</v>
      </c>
      <c r="H16" s="22">
        <v>0</v>
      </c>
      <c r="I16" s="22">
        <v>-4000</v>
      </c>
      <c r="J16" s="205" t="s">
        <v>574</v>
      </c>
      <c r="K16" s="172"/>
      <c r="L16" s="172"/>
      <c r="M16" s="172"/>
      <c r="N16" s="172"/>
      <c r="O16" s="173"/>
    </row>
    <row r="17" spans="2:29" ht="19.05" customHeight="1" x14ac:dyDescent="0.3">
      <c r="B17" s="89">
        <v>4</v>
      </c>
      <c r="C17" s="21">
        <v>1100</v>
      </c>
      <c r="D17" s="21">
        <v>0</v>
      </c>
      <c r="E17" s="21" t="s">
        <v>329</v>
      </c>
      <c r="F17" s="88">
        <f t="shared" si="0"/>
        <v>0</v>
      </c>
      <c r="G17" s="88">
        <f t="shared" si="1"/>
        <v>1</v>
      </c>
      <c r="H17" s="22">
        <v>0</v>
      </c>
      <c r="I17" s="22">
        <v>0</v>
      </c>
      <c r="J17" s="205" t="s">
        <v>407</v>
      </c>
      <c r="K17" s="172"/>
      <c r="L17" s="172"/>
      <c r="M17" s="172"/>
      <c r="N17" s="172"/>
      <c r="O17" s="173"/>
      <c r="AA17" s="20">
        <f>IF(E32="","",E32)</f>
        <v>183.33333333333329</v>
      </c>
      <c r="AB17" s="20">
        <f>IF(F32="","",F32)</f>
        <v>400</v>
      </c>
      <c r="AC17" t="s">
        <v>334</v>
      </c>
    </row>
    <row r="18" spans="2:29" ht="19.05" customHeight="1" x14ac:dyDescent="0.3">
      <c r="B18" s="89">
        <v>5</v>
      </c>
      <c r="C18" s="21">
        <v>183.33333333333329</v>
      </c>
      <c r="D18" s="21">
        <v>400</v>
      </c>
      <c r="E18" s="21" t="s">
        <v>326</v>
      </c>
      <c r="F18" s="88">
        <f t="shared" si="0"/>
        <v>0</v>
      </c>
      <c r="G18" s="88">
        <f t="shared" si="1"/>
        <v>0</v>
      </c>
      <c r="H18" s="22">
        <v>0</v>
      </c>
      <c r="I18" s="22">
        <v>0</v>
      </c>
      <c r="J18" s="205" t="s">
        <v>575</v>
      </c>
      <c r="K18" s="172"/>
      <c r="L18" s="172"/>
      <c r="M18" s="172"/>
      <c r="N18" s="172"/>
      <c r="O18" s="173"/>
      <c r="AA18" s="20">
        <f>IF(G32="","",G32)</f>
        <v>366.66666666666669</v>
      </c>
      <c r="AB18" s="20">
        <f>IF(H32="","",H32)</f>
        <v>0</v>
      </c>
      <c r="AC18" t="s">
        <v>335</v>
      </c>
    </row>
    <row r="19" spans="2:29" ht="19.05" customHeight="1" x14ac:dyDescent="0.3">
      <c r="B19" s="89">
        <v>6</v>
      </c>
      <c r="C19" s="21">
        <v>550</v>
      </c>
      <c r="D19" s="21">
        <v>400</v>
      </c>
      <c r="E19" s="21" t="s">
        <v>326</v>
      </c>
      <c r="F19" s="88">
        <f t="shared" si="0"/>
        <v>0</v>
      </c>
      <c r="G19" s="88">
        <f t="shared" si="1"/>
        <v>0</v>
      </c>
      <c r="H19" s="22">
        <v>0</v>
      </c>
      <c r="I19" s="22">
        <v>-6000</v>
      </c>
      <c r="J19" s="205" t="s">
        <v>576</v>
      </c>
      <c r="K19" s="172"/>
      <c r="L19" s="172"/>
      <c r="M19" s="172"/>
      <c r="N19" s="172"/>
      <c r="O19" s="173"/>
    </row>
    <row r="20" spans="2:29" ht="19.05" customHeight="1" x14ac:dyDescent="0.3">
      <c r="B20" s="89">
        <v>7</v>
      </c>
      <c r="C20" s="21">
        <v>916.66666666666674</v>
      </c>
      <c r="D20" s="21">
        <v>400</v>
      </c>
      <c r="E20" s="21" t="s">
        <v>326</v>
      </c>
      <c r="F20" s="88">
        <f t="shared" si="0"/>
        <v>0</v>
      </c>
      <c r="G20" s="88">
        <f t="shared" si="1"/>
        <v>0</v>
      </c>
      <c r="H20" s="22">
        <v>0</v>
      </c>
      <c r="I20" s="22">
        <v>0</v>
      </c>
      <c r="J20" s="205" t="s">
        <v>577</v>
      </c>
      <c r="K20" s="172"/>
      <c r="L20" s="172"/>
      <c r="M20" s="172"/>
      <c r="N20" s="172"/>
      <c r="O20" s="173"/>
      <c r="AA20" s="20">
        <f>IF(E33="","",E33)</f>
        <v>183.33333333333329</v>
      </c>
      <c r="AB20" s="20">
        <f>IF(F33="","",F33)</f>
        <v>400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550</v>
      </c>
      <c r="AB21" s="20">
        <f>IF(H33="","",H33)</f>
        <v>400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366.66666666666669</v>
      </c>
      <c r="AB23" s="20">
        <f>IF(F34="","",F34)</f>
        <v>0</v>
      </c>
      <c r="AC23" t="s">
        <v>338</v>
      </c>
    </row>
    <row r="24" spans="2:29" x14ac:dyDescent="0.3">
      <c r="AA24" s="20">
        <f>IF(G34="","",G34)</f>
        <v>550</v>
      </c>
      <c r="AB24" s="20">
        <f>IF(H34="","",H34)</f>
        <v>400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550</v>
      </c>
      <c r="AB26" s="20">
        <f>IF(F35="","",F35)</f>
        <v>400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733.33333333333337</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366.66666666666669</v>
      </c>
      <c r="H28" s="5">
        <f t="shared" ref="H28:H42" si="5">IF(OR(ISBLANK(D28),D28=""),"",VLOOKUP(D28,$B$14:$D$23,3,FALSE))</f>
        <v>0</v>
      </c>
      <c r="I28" s="9">
        <f t="shared" ref="I28:I42" si="6">IF(G28="","",G28-E28)</f>
        <v>366.66666666666669</v>
      </c>
      <c r="J28" s="9">
        <f t="shared" ref="J28:J42" si="7">IF(H28="","",H28-F28)</f>
        <v>0</v>
      </c>
      <c r="K28" s="9">
        <f t="shared" ref="K28:K42" si="8">IF(I28="","",SQRT(I28^2+J28^2))</f>
        <v>366.66666666666669</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366.66666666666669</v>
      </c>
      <c r="F29" s="5">
        <f t="shared" si="3"/>
        <v>0</v>
      </c>
      <c r="G29" s="5">
        <f t="shared" si="4"/>
        <v>733.33333333333337</v>
      </c>
      <c r="H29" s="5">
        <f t="shared" si="5"/>
        <v>0</v>
      </c>
      <c r="I29" s="9">
        <f t="shared" si="6"/>
        <v>366.66666666666669</v>
      </c>
      <c r="J29" s="9">
        <f t="shared" si="7"/>
        <v>0</v>
      </c>
      <c r="K29" s="9">
        <f t="shared" si="8"/>
        <v>366.66666666666669</v>
      </c>
      <c r="L29" s="92">
        <f t="shared" si="9"/>
        <v>1</v>
      </c>
      <c r="M29" s="92">
        <f t="shared" si="10"/>
        <v>0</v>
      </c>
      <c r="N29" s="22">
        <v>12</v>
      </c>
      <c r="O29" s="24">
        <v>2100000</v>
      </c>
      <c r="AA29" s="20">
        <f>IF(E36="","",E36)</f>
        <v>550</v>
      </c>
      <c r="AB29" s="20">
        <f>IF(F36="","",F36)</f>
        <v>400</v>
      </c>
      <c r="AC29" t="s">
        <v>353</v>
      </c>
    </row>
    <row r="30" spans="2:29" ht="19.05" customHeight="1" x14ac:dyDescent="0.3">
      <c r="B30" s="89">
        <v>3</v>
      </c>
      <c r="C30" s="23">
        <v>3</v>
      </c>
      <c r="D30" s="23">
        <v>4</v>
      </c>
      <c r="E30" s="5">
        <f t="shared" si="2"/>
        <v>733.33333333333337</v>
      </c>
      <c r="F30" s="5">
        <f t="shared" si="3"/>
        <v>0</v>
      </c>
      <c r="G30" s="5">
        <f t="shared" si="4"/>
        <v>1100</v>
      </c>
      <c r="H30" s="5">
        <f t="shared" si="5"/>
        <v>0</v>
      </c>
      <c r="I30" s="9">
        <f t="shared" si="6"/>
        <v>366.66666666666663</v>
      </c>
      <c r="J30" s="9">
        <f t="shared" si="7"/>
        <v>0</v>
      </c>
      <c r="K30" s="9">
        <f t="shared" si="8"/>
        <v>366.66666666666663</v>
      </c>
      <c r="L30" s="92">
        <f t="shared" si="9"/>
        <v>1</v>
      </c>
      <c r="M30" s="92">
        <f t="shared" si="10"/>
        <v>0</v>
      </c>
      <c r="N30" s="22">
        <v>12</v>
      </c>
      <c r="O30" s="24">
        <v>2100000</v>
      </c>
      <c r="AA30" s="20">
        <f>IF(G36="","",G36)</f>
        <v>916.66666666666674</v>
      </c>
      <c r="AB30" s="20">
        <f>IF(H36="","",H36)</f>
        <v>400</v>
      </c>
      <c r="AC30" t="s">
        <v>354</v>
      </c>
    </row>
    <row r="31" spans="2:29" ht="19.05" customHeight="1" x14ac:dyDescent="0.3">
      <c r="B31" s="89">
        <v>4</v>
      </c>
      <c r="C31" s="23">
        <v>1</v>
      </c>
      <c r="D31" s="23">
        <v>5</v>
      </c>
      <c r="E31" s="5">
        <f t="shared" si="2"/>
        <v>0</v>
      </c>
      <c r="F31" s="5">
        <f t="shared" si="3"/>
        <v>0</v>
      </c>
      <c r="G31" s="5">
        <f t="shared" si="4"/>
        <v>183.33333333333329</v>
      </c>
      <c r="H31" s="5">
        <f t="shared" si="5"/>
        <v>400</v>
      </c>
      <c r="I31" s="9">
        <f t="shared" si="6"/>
        <v>183.33333333333329</v>
      </c>
      <c r="J31" s="9">
        <f t="shared" si="7"/>
        <v>400</v>
      </c>
      <c r="K31" s="9">
        <f t="shared" si="8"/>
        <v>440.01262608146948</v>
      </c>
      <c r="L31" s="92">
        <f t="shared" si="9"/>
        <v>0.41665471049321356</v>
      </c>
      <c r="M31" s="92">
        <f t="shared" si="10"/>
        <v>0.90906482289428436</v>
      </c>
      <c r="N31" s="22">
        <v>12</v>
      </c>
      <c r="O31" s="24">
        <v>2100000</v>
      </c>
    </row>
    <row r="32" spans="2:29" ht="19.05" customHeight="1" x14ac:dyDescent="0.3">
      <c r="B32" s="89">
        <v>5</v>
      </c>
      <c r="C32" s="23">
        <v>5</v>
      </c>
      <c r="D32" s="23">
        <v>2</v>
      </c>
      <c r="E32" s="5">
        <f t="shared" si="2"/>
        <v>183.33333333333329</v>
      </c>
      <c r="F32" s="5">
        <f t="shared" si="3"/>
        <v>400</v>
      </c>
      <c r="G32" s="5">
        <f t="shared" si="4"/>
        <v>366.66666666666669</v>
      </c>
      <c r="H32" s="5">
        <f t="shared" si="5"/>
        <v>0</v>
      </c>
      <c r="I32" s="9">
        <f t="shared" si="6"/>
        <v>183.3333333333334</v>
      </c>
      <c r="J32" s="9">
        <f t="shared" si="7"/>
        <v>-400</v>
      </c>
      <c r="K32" s="9">
        <f t="shared" si="8"/>
        <v>440.01262608146953</v>
      </c>
      <c r="L32" s="92">
        <f t="shared" si="9"/>
        <v>0.41665471049321373</v>
      </c>
      <c r="M32" s="92">
        <f t="shared" si="10"/>
        <v>-0.90906482289428425</v>
      </c>
      <c r="N32" s="22">
        <v>12</v>
      </c>
      <c r="O32" s="24">
        <v>2100000</v>
      </c>
      <c r="AA32" s="20">
        <f>IF(E37="","",E37)</f>
        <v>916.66666666666674</v>
      </c>
      <c r="AB32" s="20">
        <f>IF(F37="","",F37)</f>
        <v>400</v>
      </c>
      <c r="AC32" t="s">
        <v>355</v>
      </c>
    </row>
    <row r="33" spans="2:29" ht="19.05" customHeight="1" x14ac:dyDescent="0.3">
      <c r="B33" s="89">
        <v>6</v>
      </c>
      <c r="C33" s="23">
        <v>5</v>
      </c>
      <c r="D33" s="23">
        <v>6</v>
      </c>
      <c r="E33" s="5">
        <f t="shared" si="2"/>
        <v>183.33333333333329</v>
      </c>
      <c r="F33" s="5">
        <f t="shared" si="3"/>
        <v>400</v>
      </c>
      <c r="G33" s="5">
        <f t="shared" si="4"/>
        <v>550</v>
      </c>
      <c r="H33" s="5">
        <f t="shared" si="5"/>
        <v>400</v>
      </c>
      <c r="I33" s="9">
        <f t="shared" si="6"/>
        <v>366.66666666666674</v>
      </c>
      <c r="J33" s="9">
        <f t="shared" si="7"/>
        <v>0</v>
      </c>
      <c r="K33" s="9">
        <f t="shared" si="8"/>
        <v>366.66666666666674</v>
      </c>
      <c r="L33" s="92">
        <f t="shared" si="9"/>
        <v>1</v>
      </c>
      <c r="M33" s="92">
        <f t="shared" si="10"/>
        <v>0</v>
      </c>
      <c r="N33" s="22">
        <v>12</v>
      </c>
      <c r="O33" s="24">
        <v>2100000</v>
      </c>
      <c r="AA33" s="20">
        <f>IF(G37="","",G37)</f>
        <v>733.33333333333337</v>
      </c>
      <c r="AB33" s="20">
        <f>IF(H37="","",H37)</f>
        <v>0</v>
      </c>
      <c r="AC33" t="s">
        <v>356</v>
      </c>
    </row>
    <row r="34" spans="2:29" ht="19.05" customHeight="1" x14ac:dyDescent="0.3">
      <c r="B34" s="89">
        <v>7</v>
      </c>
      <c r="C34" s="23">
        <v>2</v>
      </c>
      <c r="D34" s="23">
        <v>6</v>
      </c>
      <c r="E34" s="5">
        <f t="shared" si="2"/>
        <v>366.66666666666669</v>
      </c>
      <c r="F34" s="5">
        <f t="shared" si="3"/>
        <v>0</v>
      </c>
      <c r="G34" s="5">
        <f t="shared" si="4"/>
        <v>550</v>
      </c>
      <c r="H34" s="5">
        <f t="shared" si="5"/>
        <v>400</v>
      </c>
      <c r="I34" s="9">
        <f t="shared" si="6"/>
        <v>183.33333333333331</v>
      </c>
      <c r="J34" s="9">
        <f t="shared" si="7"/>
        <v>400</v>
      </c>
      <c r="K34" s="9">
        <f t="shared" si="8"/>
        <v>440.01262608146948</v>
      </c>
      <c r="L34" s="92">
        <f t="shared" si="9"/>
        <v>0.41665471049321362</v>
      </c>
      <c r="M34" s="92">
        <f t="shared" si="10"/>
        <v>0.90906482289428436</v>
      </c>
      <c r="N34" s="22">
        <v>12</v>
      </c>
      <c r="O34" s="24">
        <v>2100000</v>
      </c>
    </row>
    <row r="35" spans="2:29" ht="19.05" customHeight="1" x14ac:dyDescent="0.3">
      <c r="B35" s="89">
        <v>8</v>
      </c>
      <c r="C35" s="23">
        <v>6</v>
      </c>
      <c r="D35" s="23">
        <v>3</v>
      </c>
      <c r="E35" s="5">
        <f t="shared" si="2"/>
        <v>550</v>
      </c>
      <c r="F35" s="5">
        <f t="shared" si="3"/>
        <v>400</v>
      </c>
      <c r="G35" s="5">
        <f t="shared" si="4"/>
        <v>733.33333333333337</v>
      </c>
      <c r="H35" s="5">
        <f t="shared" si="5"/>
        <v>0</v>
      </c>
      <c r="I35" s="9">
        <f t="shared" si="6"/>
        <v>183.33333333333337</v>
      </c>
      <c r="J35" s="9">
        <f t="shared" si="7"/>
        <v>-400</v>
      </c>
      <c r="K35" s="9">
        <f t="shared" si="8"/>
        <v>440.01262608146953</v>
      </c>
      <c r="L35" s="92">
        <f t="shared" si="9"/>
        <v>0.41665471049321368</v>
      </c>
      <c r="M35" s="92">
        <f t="shared" si="10"/>
        <v>-0.90906482289428425</v>
      </c>
      <c r="N35" s="22">
        <v>12</v>
      </c>
      <c r="O35" s="24">
        <v>2100000</v>
      </c>
      <c r="AA35" s="20">
        <f>IF(E38="","",E38)</f>
        <v>916.66666666666674</v>
      </c>
      <c r="AB35" s="20">
        <f>IF(F38="","",F38)</f>
        <v>400</v>
      </c>
      <c r="AC35" t="s">
        <v>357</v>
      </c>
    </row>
    <row r="36" spans="2:29" ht="19.05" customHeight="1" x14ac:dyDescent="0.3">
      <c r="B36" s="89">
        <v>9</v>
      </c>
      <c r="C36" s="23">
        <v>6</v>
      </c>
      <c r="D36" s="23">
        <v>7</v>
      </c>
      <c r="E36" s="5">
        <f t="shared" si="2"/>
        <v>550</v>
      </c>
      <c r="F36" s="5">
        <f t="shared" si="3"/>
        <v>400</v>
      </c>
      <c r="G36" s="5">
        <f t="shared" si="4"/>
        <v>916.66666666666674</v>
      </c>
      <c r="H36" s="5">
        <f t="shared" si="5"/>
        <v>400</v>
      </c>
      <c r="I36" s="9">
        <f t="shared" si="6"/>
        <v>366.66666666666674</v>
      </c>
      <c r="J36" s="9">
        <f t="shared" si="7"/>
        <v>0</v>
      </c>
      <c r="K36" s="9">
        <f t="shared" si="8"/>
        <v>366.66666666666674</v>
      </c>
      <c r="L36" s="92">
        <f t="shared" si="9"/>
        <v>1</v>
      </c>
      <c r="M36" s="92">
        <f t="shared" si="10"/>
        <v>0</v>
      </c>
      <c r="N36" s="22">
        <v>12</v>
      </c>
      <c r="O36" s="24">
        <v>2100000</v>
      </c>
      <c r="AA36" s="20">
        <f>IF(G38="","",G38)</f>
        <v>1100</v>
      </c>
      <c r="AB36" s="20">
        <f>IF(H38="","",H38)</f>
        <v>0</v>
      </c>
      <c r="AC36" t="s">
        <v>358</v>
      </c>
    </row>
    <row r="37" spans="2:29" ht="19.05" customHeight="1" x14ac:dyDescent="0.3">
      <c r="B37" s="89">
        <v>10</v>
      </c>
      <c r="C37" s="23">
        <v>7</v>
      </c>
      <c r="D37" s="23">
        <v>3</v>
      </c>
      <c r="E37" s="5">
        <f t="shared" si="2"/>
        <v>916.66666666666674</v>
      </c>
      <c r="F37" s="5">
        <f t="shared" si="3"/>
        <v>400</v>
      </c>
      <c r="G37" s="5">
        <f t="shared" si="4"/>
        <v>733.33333333333337</v>
      </c>
      <c r="H37" s="5">
        <f t="shared" si="5"/>
        <v>0</v>
      </c>
      <c r="I37" s="9">
        <f t="shared" si="6"/>
        <v>-183.33333333333337</v>
      </c>
      <c r="J37" s="9">
        <f t="shared" si="7"/>
        <v>-400</v>
      </c>
      <c r="K37" s="9">
        <f t="shared" si="8"/>
        <v>440.01262608146953</v>
      </c>
      <c r="L37" s="92">
        <f t="shared" si="9"/>
        <v>-0.41665471049321368</v>
      </c>
      <c r="M37" s="92">
        <f t="shared" si="10"/>
        <v>-0.90906482289428425</v>
      </c>
      <c r="N37" s="22">
        <v>12</v>
      </c>
      <c r="O37" s="24">
        <v>2100000</v>
      </c>
    </row>
    <row r="38" spans="2:29" ht="19.05" customHeight="1" x14ac:dyDescent="0.3">
      <c r="B38" s="89">
        <v>11</v>
      </c>
      <c r="C38" s="23">
        <v>7</v>
      </c>
      <c r="D38" s="23">
        <v>4</v>
      </c>
      <c r="E38" s="5">
        <f t="shared" si="2"/>
        <v>916.66666666666674</v>
      </c>
      <c r="F38" s="5">
        <f t="shared" si="3"/>
        <v>400</v>
      </c>
      <c r="G38" s="5">
        <f t="shared" si="4"/>
        <v>1100</v>
      </c>
      <c r="H38" s="5">
        <f t="shared" si="5"/>
        <v>0</v>
      </c>
      <c r="I38" s="9">
        <f t="shared" si="6"/>
        <v>183.33333333333326</v>
      </c>
      <c r="J38" s="9">
        <f t="shared" si="7"/>
        <v>-400</v>
      </c>
      <c r="K38" s="9">
        <f t="shared" si="8"/>
        <v>440.01262608146948</v>
      </c>
      <c r="L38" s="92">
        <f t="shared" si="9"/>
        <v>0.41665471049321345</v>
      </c>
      <c r="M38" s="92">
        <f t="shared" si="10"/>
        <v>-0.90906482289428436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D00-000000000000}">
      <formula1>"Fijo (articulado),Rodillo Y (despl. X libre),Rodillo X (despl. Y libre),Libre (0 reac.)"</formula1>
    </dataValidation>
  </dataValidations>
  <pageMargins left="0.75" right="0.75" top="1" bottom="1" header="0.5" footer="0.5"/>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74" t="s">
        <v>594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GRAFICA_38!E28</f>
        <v>0</v>
      </c>
      <c r="D6" s="22">
        <f>GRAFICA_38!F28</f>
        <v>0</v>
      </c>
      <c r="E6" s="22">
        <f>GRAFICA_38!G28</f>
        <v>366.66666666666669</v>
      </c>
      <c r="F6" s="22">
        <f>GRAFICA_38!H28</f>
        <v>0</v>
      </c>
      <c r="G6" s="9">
        <f t="shared" ref="G6:G16" si="0">E6-C6</f>
        <v>366.66666666666669</v>
      </c>
      <c r="H6" s="9">
        <f t="shared" ref="H6:H16" si="1">F6-D6</f>
        <v>0</v>
      </c>
      <c r="I6" s="9">
        <f t="shared" ref="I6:I16" si="2">SQRT(G6*G6+H6*H6)</f>
        <v>366.66666666666669</v>
      </c>
      <c r="J6" s="92">
        <f t="shared" ref="J6:J16" si="3">G6/I6</f>
        <v>1</v>
      </c>
      <c r="K6" s="92">
        <f t="shared" ref="K6:K16" si="4">H6/I6</f>
        <v>0</v>
      </c>
      <c r="L6" s="22">
        <f>GRAFICA_38!N28</f>
        <v>12</v>
      </c>
      <c r="M6" s="22">
        <f>GRAFICA_38!O28</f>
        <v>2100000</v>
      </c>
      <c r="N6" s="6">
        <f t="shared" ref="N6:N16" si="5">L6*M6/I6</f>
        <v>68727.272727272721</v>
      </c>
    </row>
    <row r="7" spans="2:14" ht="19.05" customHeight="1" x14ac:dyDescent="0.3">
      <c r="B7" s="25">
        <v>2</v>
      </c>
      <c r="C7" s="22">
        <f>GRAFICA_38!E29</f>
        <v>366.66666666666669</v>
      </c>
      <c r="D7" s="22">
        <f>GRAFICA_38!F29</f>
        <v>0</v>
      </c>
      <c r="E7" s="22">
        <f>GRAFICA_38!G29</f>
        <v>733.33333333333337</v>
      </c>
      <c r="F7" s="22">
        <f>GRAFICA_38!H29</f>
        <v>0</v>
      </c>
      <c r="G7" s="9">
        <f t="shared" si="0"/>
        <v>366.66666666666669</v>
      </c>
      <c r="H7" s="9">
        <f t="shared" si="1"/>
        <v>0</v>
      </c>
      <c r="I7" s="9">
        <f t="shared" si="2"/>
        <v>366.66666666666669</v>
      </c>
      <c r="J7" s="92">
        <f t="shared" si="3"/>
        <v>1</v>
      </c>
      <c r="K7" s="92">
        <f t="shared" si="4"/>
        <v>0</v>
      </c>
      <c r="L7" s="22">
        <f>GRAFICA_38!N29</f>
        <v>12</v>
      </c>
      <c r="M7" s="22">
        <f>GRAFICA_38!O29</f>
        <v>2100000</v>
      </c>
      <c r="N7" s="6">
        <f t="shared" si="5"/>
        <v>68727.272727272721</v>
      </c>
    </row>
    <row r="8" spans="2:14" ht="19.05" customHeight="1" x14ac:dyDescent="0.3">
      <c r="B8" s="26">
        <v>3</v>
      </c>
      <c r="C8" s="22">
        <f>GRAFICA_38!E30</f>
        <v>733.33333333333337</v>
      </c>
      <c r="D8" s="22">
        <f>GRAFICA_38!F30</f>
        <v>0</v>
      </c>
      <c r="E8" s="22">
        <f>GRAFICA_38!G30</f>
        <v>1100</v>
      </c>
      <c r="F8" s="22">
        <f>GRAFICA_38!H30</f>
        <v>0</v>
      </c>
      <c r="G8" s="9">
        <f t="shared" si="0"/>
        <v>366.66666666666663</v>
      </c>
      <c r="H8" s="9">
        <f t="shared" si="1"/>
        <v>0</v>
      </c>
      <c r="I8" s="9">
        <f t="shared" si="2"/>
        <v>366.66666666666663</v>
      </c>
      <c r="J8" s="92">
        <f t="shared" si="3"/>
        <v>1</v>
      </c>
      <c r="K8" s="92">
        <f t="shared" si="4"/>
        <v>0</v>
      </c>
      <c r="L8" s="22">
        <f>GRAFICA_38!N30</f>
        <v>12</v>
      </c>
      <c r="M8" s="22">
        <f>GRAFICA_38!O30</f>
        <v>2100000</v>
      </c>
      <c r="N8" s="6">
        <f t="shared" si="5"/>
        <v>68727.272727272735</v>
      </c>
    </row>
    <row r="9" spans="2:14" ht="19.05" customHeight="1" x14ac:dyDescent="0.3">
      <c r="B9" s="43">
        <v>4</v>
      </c>
      <c r="C9" s="22">
        <f>GRAFICA_38!E31</f>
        <v>0</v>
      </c>
      <c r="D9" s="22">
        <f>GRAFICA_38!F31</f>
        <v>0</v>
      </c>
      <c r="E9" s="22">
        <f>GRAFICA_38!G31</f>
        <v>183.33333333333329</v>
      </c>
      <c r="F9" s="22">
        <f>GRAFICA_38!H31</f>
        <v>400</v>
      </c>
      <c r="G9" s="9">
        <f t="shared" si="0"/>
        <v>183.33333333333329</v>
      </c>
      <c r="H9" s="9">
        <f t="shared" si="1"/>
        <v>400</v>
      </c>
      <c r="I9" s="9">
        <f t="shared" si="2"/>
        <v>440.01262608146948</v>
      </c>
      <c r="J9" s="92">
        <f t="shared" si="3"/>
        <v>0.41665471049321356</v>
      </c>
      <c r="K9" s="92">
        <f t="shared" si="4"/>
        <v>0.90906482289428436</v>
      </c>
      <c r="L9" s="22">
        <f>GRAFICA_38!N31</f>
        <v>12</v>
      </c>
      <c r="M9" s="22">
        <f>GRAFICA_38!O31</f>
        <v>2100000</v>
      </c>
      <c r="N9" s="6">
        <f t="shared" si="5"/>
        <v>57271.083842339911</v>
      </c>
    </row>
    <row r="10" spans="2:14" ht="19.05" customHeight="1" x14ac:dyDescent="0.3">
      <c r="B10" s="44">
        <v>5</v>
      </c>
      <c r="C10" s="22">
        <f>GRAFICA_38!E32</f>
        <v>183.33333333333329</v>
      </c>
      <c r="D10" s="22">
        <f>GRAFICA_38!F32</f>
        <v>400</v>
      </c>
      <c r="E10" s="22">
        <f>GRAFICA_38!G32</f>
        <v>366.66666666666669</v>
      </c>
      <c r="F10" s="22">
        <f>GRAFICA_38!H32</f>
        <v>0</v>
      </c>
      <c r="G10" s="9">
        <f t="shared" si="0"/>
        <v>183.3333333333334</v>
      </c>
      <c r="H10" s="9">
        <f t="shared" si="1"/>
        <v>-400</v>
      </c>
      <c r="I10" s="9">
        <f t="shared" si="2"/>
        <v>440.01262608146953</v>
      </c>
      <c r="J10" s="92">
        <f t="shared" si="3"/>
        <v>0.41665471049321373</v>
      </c>
      <c r="K10" s="92">
        <f t="shared" si="4"/>
        <v>-0.90906482289428425</v>
      </c>
      <c r="L10" s="22">
        <f>GRAFICA_38!N32</f>
        <v>12</v>
      </c>
      <c r="M10" s="22">
        <f>GRAFICA_38!O32</f>
        <v>2100000</v>
      </c>
      <c r="N10" s="6">
        <f t="shared" si="5"/>
        <v>57271.083842339904</v>
      </c>
    </row>
    <row r="11" spans="2:14" ht="19.05" customHeight="1" x14ac:dyDescent="0.3">
      <c r="B11" s="51">
        <v>6</v>
      </c>
      <c r="C11" s="22">
        <f>GRAFICA_38!E33</f>
        <v>183.33333333333329</v>
      </c>
      <c r="D11" s="22">
        <f>GRAFICA_38!F33</f>
        <v>400</v>
      </c>
      <c r="E11" s="22">
        <f>GRAFICA_38!G33</f>
        <v>550</v>
      </c>
      <c r="F11" s="22">
        <f>GRAFICA_38!H33</f>
        <v>400</v>
      </c>
      <c r="G11" s="9">
        <f t="shared" si="0"/>
        <v>366.66666666666674</v>
      </c>
      <c r="H11" s="9">
        <f t="shared" si="1"/>
        <v>0</v>
      </c>
      <c r="I11" s="9">
        <f t="shared" si="2"/>
        <v>366.66666666666674</v>
      </c>
      <c r="J11" s="92">
        <f t="shared" si="3"/>
        <v>1</v>
      </c>
      <c r="K11" s="92">
        <f t="shared" si="4"/>
        <v>0</v>
      </c>
      <c r="L11" s="22">
        <f>GRAFICA_38!N33</f>
        <v>12</v>
      </c>
      <c r="M11" s="22">
        <f>GRAFICA_38!O33</f>
        <v>2100000</v>
      </c>
      <c r="N11" s="6">
        <f t="shared" si="5"/>
        <v>68727.272727272706</v>
      </c>
    </row>
    <row r="12" spans="2:14" ht="19.05" customHeight="1" x14ac:dyDescent="0.3">
      <c r="B12" s="52">
        <v>7</v>
      </c>
      <c r="C12" s="22">
        <f>GRAFICA_38!E34</f>
        <v>366.66666666666669</v>
      </c>
      <c r="D12" s="22">
        <f>GRAFICA_38!F34</f>
        <v>0</v>
      </c>
      <c r="E12" s="22">
        <f>GRAFICA_38!G34</f>
        <v>550</v>
      </c>
      <c r="F12" s="22">
        <f>GRAFICA_38!H34</f>
        <v>400</v>
      </c>
      <c r="G12" s="9">
        <f t="shared" si="0"/>
        <v>183.33333333333331</v>
      </c>
      <c r="H12" s="9">
        <f t="shared" si="1"/>
        <v>400</v>
      </c>
      <c r="I12" s="9">
        <f t="shared" si="2"/>
        <v>440.01262608146948</v>
      </c>
      <c r="J12" s="92">
        <f t="shared" si="3"/>
        <v>0.41665471049321362</v>
      </c>
      <c r="K12" s="92">
        <f t="shared" si="4"/>
        <v>0.90906482289428436</v>
      </c>
      <c r="L12" s="22">
        <f>GRAFICA_38!N34</f>
        <v>12</v>
      </c>
      <c r="M12" s="22">
        <f>GRAFICA_38!O34</f>
        <v>2100000</v>
      </c>
      <c r="N12" s="6">
        <f t="shared" si="5"/>
        <v>57271.083842339911</v>
      </c>
    </row>
    <row r="13" spans="2:14" ht="19.05" customHeight="1" x14ac:dyDescent="0.3">
      <c r="B13" s="59">
        <v>8</v>
      </c>
      <c r="C13" s="22">
        <f>GRAFICA_38!E35</f>
        <v>550</v>
      </c>
      <c r="D13" s="22">
        <f>GRAFICA_38!F35</f>
        <v>400</v>
      </c>
      <c r="E13" s="22">
        <f>GRAFICA_38!G35</f>
        <v>733.33333333333337</v>
      </c>
      <c r="F13" s="22">
        <f>GRAFICA_38!H35</f>
        <v>0</v>
      </c>
      <c r="G13" s="9">
        <f t="shared" si="0"/>
        <v>183.33333333333337</v>
      </c>
      <c r="H13" s="9">
        <f t="shared" si="1"/>
        <v>-400</v>
      </c>
      <c r="I13" s="9">
        <f t="shared" si="2"/>
        <v>440.01262608146953</v>
      </c>
      <c r="J13" s="92">
        <f t="shared" si="3"/>
        <v>0.41665471049321368</v>
      </c>
      <c r="K13" s="92">
        <f t="shared" si="4"/>
        <v>-0.90906482289428425</v>
      </c>
      <c r="L13" s="22">
        <f>GRAFICA_38!N35</f>
        <v>12</v>
      </c>
      <c r="M13" s="22">
        <f>GRAFICA_38!O35</f>
        <v>2100000</v>
      </c>
      <c r="N13" s="6">
        <f t="shared" si="5"/>
        <v>57271.083842339904</v>
      </c>
    </row>
    <row r="14" spans="2:14" ht="19.05" customHeight="1" x14ac:dyDescent="0.3">
      <c r="B14" s="60">
        <v>9</v>
      </c>
      <c r="C14" s="22">
        <f>GRAFICA_38!E36</f>
        <v>550</v>
      </c>
      <c r="D14" s="22">
        <f>GRAFICA_38!F36</f>
        <v>400</v>
      </c>
      <c r="E14" s="22">
        <f>GRAFICA_38!G36</f>
        <v>916.66666666666674</v>
      </c>
      <c r="F14" s="22">
        <f>GRAFICA_38!H36</f>
        <v>400</v>
      </c>
      <c r="G14" s="9">
        <f t="shared" si="0"/>
        <v>366.66666666666674</v>
      </c>
      <c r="H14" s="9">
        <f t="shared" si="1"/>
        <v>0</v>
      </c>
      <c r="I14" s="9">
        <f t="shared" si="2"/>
        <v>366.66666666666674</v>
      </c>
      <c r="J14" s="92">
        <f t="shared" si="3"/>
        <v>1</v>
      </c>
      <c r="K14" s="92">
        <f t="shared" si="4"/>
        <v>0</v>
      </c>
      <c r="L14" s="22">
        <f>GRAFICA_38!N36</f>
        <v>12</v>
      </c>
      <c r="M14" s="22">
        <f>GRAFICA_38!O36</f>
        <v>2100000</v>
      </c>
      <c r="N14" s="6">
        <f t="shared" si="5"/>
        <v>68727.272727272706</v>
      </c>
    </row>
    <row r="15" spans="2:14" ht="19.05" customHeight="1" x14ac:dyDescent="0.3">
      <c r="B15" s="67">
        <v>10</v>
      </c>
      <c r="C15" s="22">
        <f>GRAFICA_38!E37</f>
        <v>916.66666666666674</v>
      </c>
      <c r="D15" s="22">
        <f>GRAFICA_38!F37</f>
        <v>400</v>
      </c>
      <c r="E15" s="22">
        <f>GRAFICA_38!G37</f>
        <v>733.33333333333337</v>
      </c>
      <c r="F15" s="22">
        <f>GRAFICA_38!H37</f>
        <v>0</v>
      </c>
      <c r="G15" s="9">
        <f t="shared" si="0"/>
        <v>-183.33333333333337</v>
      </c>
      <c r="H15" s="9">
        <f t="shared" si="1"/>
        <v>-400</v>
      </c>
      <c r="I15" s="9">
        <f t="shared" si="2"/>
        <v>440.01262608146953</v>
      </c>
      <c r="J15" s="92">
        <f t="shared" si="3"/>
        <v>-0.41665471049321368</v>
      </c>
      <c r="K15" s="92">
        <f t="shared" si="4"/>
        <v>-0.90906482289428425</v>
      </c>
      <c r="L15" s="22">
        <f>GRAFICA_38!N37</f>
        <v>12</v>
      </c>
      <c r="M15" s="22">
        <f>GRAFICA_38!O37</f>
        <v>2100000</v>
      </c>
      <c r="N15" s="6">
        <f t="shared" si="5"/>
        <v>57271.083842339904</v>
      </c>
    </row>
    <row r="16" spans="2:14" ht="19.05" customHeight="1" x14ac:dyDescent="0.3">
      <c r="B16" s="68">
        <v>11</v>
      </c>
      <c r="C16" s="22">
        <f>GRAFICA_38!E38</f>
        <v>916.66666666666674</v>
      </c>
      <c r="D16" s="22">
        <f>GRAFICA_38!F38</f>
        <v>400</v>
      </c>
      <c r="E16" s="22">
        <f>GRAFICA_38!G38</f>
        <v>1100</v>
      </c>
      <c r="F16" s="22">
        <f>GRAFICA_38!H38</f>
        <v>0</v>
      </c>
      <c r="G16" s="9">
        <f t="shared" si="0"/>
        <v>183.33333333333326</v>
      </c>
      <c r="H16" s="9">
        <f t="shared" si="1"/>
        <v>-400</v>
      </c>
      <c r="I16" s="9">
        <f t="shared" si="2"/>
        <v>440.01262608146948</v>
      </c>
      <c r="J16" s="92">
        <f t="shared" si="3"/>
        <v>0.41665471049321345</v>
      </c>
      <c r="K16" s="92">
        <f t="shared" si="4"/>
        <v>-0.90906482289428436</v>
      </c>
      <c r="L16" s="22">
        <f>GRAFICA_38!N38</f>
        <v>12</v>
      </c>
      <c r="M16" s="22">
        <f>GRAFICA_38!O38</f>
        <v>2100000</v>
      </c>
      <c r="N16" s="6">
        <f t="shared" si="5"/>
        <v>57271.083842339911</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GRAFICA_38!C28</f>
        <v>1</v>
      </c>
      <c r="D20" s="23">
        <f>GRAFICA_38!C28</f>
        <v>1</v>
      </c>
      <c r="E20" s="23">
        <f>GRAFICA_38!D28</f>
        <v>2</v>
      </c>
      <c r="F20" s="23">
        <f>GRAFICA_38!D28</f>
        <v>2</v>
      </c>
    </row>
    <row r="21" spans="2:6" ht="19.05" customHeight="1" x14ac:dyDescent="0.3">
      <c r="B21" s="25">
        <v>2</v>
      </c>
      <c r="C21" s="23">
        <f>GRAFICA_38!C29</f>
        <v>2</v>
      </c>
      <c r="D21" s="23">
        <f>GRAFICA_38!C29</f>
        <v>2</v>
      </c>
      <c r="E21" s="23">
        <f>GRAFICA_38!D29</f>
        <v>3</v>
      </c>
      <c r="F21" s="23">
        <f>GRAFICA_38!D29</f>
        <v>3</v>
      </c>
    </row>
    <row r="22" spans="2:6" ht="19.05" customHeight="1" x14ac:dyDescent="0.3">
      <c r="B22" s="26">
        <v>3</v>
      </c>
      <c r="C22" s="23">
        <f>GRAFICA_38!C30</f>
        <v>3</v>
      </c>
      <c r="D22" s="23">
        <f>GRAFICA_38!C30</f>
        <v>3</v>
      </c>
      <c r="E22" s="23">
        <f>GRAFICA_38!D30</f>
        <v>4</v>
      </c>
      <c r="F22" s="23">
        <f>GRAFICA_38!D30</f>
        <v>4</v>
      </c>
    </row>
    <row r="23" spans="2:6" ht="19.05" customHeight="1" x14ac:dyDescent="0.3">
      <c r="B23" s="43">
        <v>4</v>
      </c>
      <c r="C23" s="23">
        <f>GRAFICA_38!C31</f>
        <v>1</v>
      </c>
      <c r="D23" s="23">
        <f>GRAFICA_38!C31</f>
        <v>1</v>
      </c>
      <c r="E23" s="23">
        <f>GRAFICA_38!D31</f>
        <v>5</v>
      </c>
      <c r="F23" s="23">
        <f>GRAFICA_38!D31</f>
        <v>5</v>
      </c>
    </row>
    <row r="24" spans="2:6" ht="19.05" customHeight="1" x14ac:dyDescent="0.3">
      <c r="B24" s="44">
        <v>5</v>
      </c>
      <c r="C24" s="23">
        <f>GRAFICA_38!C32</f>
        <v>5</v>
      </c>
      <c r="D24" s="23">
        <f>GRAFICA_38!C32</f>
        <v>5</v>
      </c>
      <c r="E24" s="23">
        <f>GRAFICA_38!D32</f>
        <v>2</v>
      </c>
      <c r="F24" s="23">
        <f>GRAFICA_38!D32</f>
        <v>2</v>
      </c>
    </row>
    <row r="25" spans="2:6" ht="19.05" customHeight="1" x14ac:dyDescent="0.3">
      <c r="B25" s="51">
        <v>6</v>
      </c>
      <c r="C25" s="23">
        <f>GRAFICA_38!C33</f>
        <v>5</v>
      </c>
      <c r="D25" s="23">
        <f>GRAFICA_38!C33</f>
        <v>5</v>
      </c>
      <c r="E25" s="23">
        <f>GRAFICA_38!D33</f>
        <v>6</v>
      </c>
      <c r="F25" s="23">
        <f>GRAFICA_38!D33</f>
        <v>6</v>
      </c>
    </row>
    <row r="26" spans="2:6" ht="19.05" customHeight="1" x14ac:dyDescent="0.3">
      <c r="B26" s="52">
        <v>7</v>
      </c>
      <c r="C26" s="23">
        <f>GRAFICA_38!C34</f>
        <v>2</v>
      </c>
      <c r="D26" s="23">
        <f>GRAFICA_38!C34</f>
        <v>2</v>
      </c>
      <c r="E26" s="23">
        <f>GRAFICA_38!D34</f>
        <v>6</v>
      </c>
      <c r="F26" s="23">
        <f>GRAFICA_38!D34</f>
        <v>6</v>
      </c>
    </row>
    <row r="27" spans="2:6" ht="19.05" customHeight="1" x14ac:dyDescent="0.3">
      <c r="B27" s="59">
        <v>8</v>
      </c>
      <c r="C27" s="23">
        <f>GRAFICA_38!C35</f>
        <v>6</v>
      </c>
      <c r="D27" s="23">
        <f>GRAFICA_38!C35</f>
        <v>6</v>
      </c>
      <c r="E27" s="23">
        <f>GRAFICA_38!D35</f>
        <v>3</v>
      </c>
      <c r="F27" s="23">
        <f>GRAFICA_38!D35</f>
        <v>3</v>
      </c>
    </row>
    <row r="28" spans="2:6" ht="19.05" customHeight="1" x14ac:dyDescent="0.3">
      <c r="B28" s="60">
        <v>9</v>
      </c>
      <c r="C28" s="23">
        <f>GRAFICA_38!C36</f>
        <v>6</v>
      </c>
      <c r="D28" s="23">
        <f>GRAFICA_38!C36</f>
        <v>6</v>
      </c>
      <c r="E28" s="23">
        <f>GRAFICA_38!D36</f>
        <v>7</v>
      </c>
      <c r="F28" s="23">
        <f>GRAFICA_38!D36</f>
        <v>7</v>
      </c>
    </row>
    <row r="29" spans="2:6" ht="19.05" customHeight="1" x14ac:dyDescent="0.3">
      <c r="B29" s="67">
        <v>10</v>
      </c>
      <c r="C29" s="23">
        <f>GRAFICA_38!C37</f>
        <v>7</v>
      </c>
      <c r="D29" s="23">
        <f>GRAFICA_38!C37</f>
        <v>7</v>
      </c>
      <c r="E29" s="23">
        <f>GRAFICA_38!D37</f>
        <v>3</v>
      </c>
      <c r="F29" s="23">
        <f>GRAFICA_38!D37</f>
        <v>3</v>
      </c>
    </row>
    <row r="30" spans="2:6" ht="19.05" customHeight="1" x14ac:dyDescent="0.3">
      <c r="B30" s="68">
        <v>11</v>
      </c>
      <c r="C30" s="23">
        <f>GRAFICA_38!C38</f>
        <v>7</v>
      </c>
      <c r="D30" s="23">
        <f>GRAFICA_38!C38</f>
        <v>7</v>
      </c>
      <c r="E30" s="23">
        <f>GRAFICA_38!D38</f>
        <v>4</v>
      </c>
      <c r="F30" s="23">
        <f>GRAFICA_38!D38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68727.272727272721</v>
      </c>
      <c r="C34" s="7">
        <f>J6*K6*N6</f>
        <v>0</v>
      </c>
      <c r="D34" s="7">
        <f>-B34</f>
        <v>-68727.272727272721</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-68727.272727272721</v>
      </c>
      <c r="C36" s="7">
        <f>E34</f>
        <v>0</v>
      </c>
      <c r="D36" s="7">
        <f>B34</f>
        <v>68727.272727272721</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68727.272727272721</v>
      </c>
      <c r="C40" s="8">
        <f t="shared" si="6"/>
        <v>0</v>
      </c>
      <c r="D40" s="8">
        <f t="shared" si="6"/>
        <v>-68727.272727272721</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-68727.272727272721</v>
      </c>
      <c r="C42" s="8">
        <f t="shared" si="6"/>
        <v>0</v>
      </c>
      <c r="D42" s="8">
        <f t="shared" si="6"/>
        <v>68727.272727272721</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68727.272727272721</v>
      </c>
      <c r="C57" s="30">
        <f>J7*K7*N7</f>
        <v>0</v>
      </c>
      <c r="D57" s="30">
        <f>-B57</f>
        <v>-68727.272727272721</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-68727.272727272721</v>
      </c>
      <c r="C59" s="30">
        <f>E57</f>
        <v>0</v>
      </c>
      <c r="D59" s="30">
        <f>B57</f>
        <v>68727.272727272721</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68727.272727272721</v>
      </c>
      <c r="E65" s="31">
        <f t="shared" si="7"/>
        <v>0</v>
      </c>
      <c r="F65" s="31">
        <f t="shared" si="7"/>
        <v>-68727.272727272721</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-68727.272727272721</v>
      </c>
      <c r="E67" s="31">
        <f t="shared" si="7"/>
        <v>0</v>
      </c>
      <c r="F67" s="31">
        <f t="shared" si="7"/>
        <v>68727.272727272721</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68727.272727272735</v>
      </c>
      <c r="C80" s="33">
        <f>J8*K8*N8</f>
        <v>0</v>
      </c>
      <c r="D80" s="33">
        <f>-B80</f>
        <v>-68727.272727272735</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-68727.272727272735</v>
      </c>
      <c r="C82" s="33">
        <f>E80</f>
        <v>0</v>
      </c>
      <c r="D82" s="33">
        <f>B80</f>
        <v>68727.272727272735</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68727.272727272735</v>
      </c>
      <c r="G90" s="34">
        <f t="shared" si="8"/>
        <v>0</v>
      </c>
      <c r="H90" s="34">
        <f t="shared" si="8"/>
        <v>-68727.272727272735</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-68727.272727272735</v>
      </c>
      <c r="G92" s="34">
        <f t="shared" si="8"/>
        <v>0</v>
      </c>
      <c r="H92" s="34">
        <f t="shared" si="8"/>
        <v>68727.272727272735</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9942.3258894162518</v>
      </c>
      <c r="C103" s="46">
        <f>J9*K9*N9</f>
        <v>21692.347395090012</v>
      </c>
      <c r="D103" s="46">
        <f>-B103</f>
        <v>-9942.3258894162518</v>
      </c>
      <c r="E103" s="46">
        <f>-C103</f>
        <v>-21692.347395090012</v>
      </c>
      <c r="F103" s="45" t="str">
        <f>B102</f>
        <v>U1X</v>
      </c>
    </row>
    <row r="104" spans="1:16" ht="16.8" customHeight="1" x14ac:dyDescent="0.3">
      <c r="A104" s="28" t="s">
        <v>195</v>
      </c>
      <c r="B104" s="46">
        <f>C103</f>
        <v>21692.347395090012</v>
      </c>
      <c r="C104" s="46">
        <f>K9*K9*N9</f>
        <v>47328.757952923668</v>
      </c>
      <c r="D104" s="46">
        <f>-B104</f>
        <v>-21692.347395090012</v>
      </c>
      <c r="E104" s="46">
        <f>-C104</f>
        <v>-47328.757952923668</v>
      </c>
      <c r="F104" s="45" t="str">
        <f>C102</f>
        <v>U1Y</v>
      </c>
    </row>
    <row r="105" spans="1:16" x14ac:dyDescent="0.3">
      <c r="B105" s="46">
        <f>D103</f>
        <v>-9942.3258894162518</v>
      </c>
      <c r="C105" s="46">
        <f>E103</f>
        <v>-21692.347395090012</v>
      </c>
      <c r="D105" s="46">
        <f>B103</f>
        <v>9942.3258894162518</v>
      </c>
      <c r="E105" s="46">
        <f>C103</f>
        <v>21692.347395090012</v>
      </c>
      <c r="F105" s="45" t="str">
        <f>D102</f>
        <v>U5X</v>
      </c>
    </row>
    <row r="106" spans="1:16" x14ac:dyDescent="0.3">
      <c r="B106" s="46">
        <f>D104</f>
        <v>-21692.347395090012</v>
      </c>
      <c r="C106" s="46">
        <f>E104</f>
        <v>-47328.757952923668</v>
      </c>
      <c r="D106" s="46">
        <f>B104</f>
        <v>21692.347395090012</v>
      </c>
      <c r="E106" s="46">
        <f>C104</f>
        <v>47328.757952923668</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9942.3258894162518</v>
      </c>
      <c r="C109" s="47">
        <f t="shared" si="9"/>
        <v>21692.347395090012</v>
      </c>
      <c r="D109" s="9">
        <f t="shared" si="9"/>
        <v>0</v>
      </c>
      <c r="E109" s="9">
        <f t="shared" si="9"/>
        <v>0</v>
      </c>
      <c r="F109" s="9">
        <f t="shared" si="9"/>
        <v>0</v>
      </c>
      <c r="G109" s="9">
        <f t="shared" si="9"/>
        <v>0</v>
      </c>
      <c r="H109" s="9">
        <f t="shared" si="9"/>
        <v>0</v>
      </c>
      <c r="I109" s="9">
        <f t="shared" si="9"/>
        <v>0</v>
      </c>
      <c r="J109" s="47">
        <f t="shared" si="9"/>
        <v>-9942.3258894162518</v>
      </c>
      <c r="K109" s="47">
        <f t="shared" si="9"/>
        <v>-21692.347395090012</v>
      </c>
      <c r="L109" s="9">
        <f t="shared" si="9"/>
        <v>0</v>
      </c>
      <c r="M109" s="9">
        <f t="shared" si="9"/>
        <v>0</v>
      </c>
      <c r="N109" s="9">
        <f t="shared" si="9"/>
        <v>0</v>
      </c>
      <c r="O109" s="9">
        <f t="shared" si="9"/>
        <v>0</v>
      </c>
      <c r="P109" s="45" t="s">
        <v>178</v>
      </c>
    </row>
    <row r="110" spans="1:16" ht="19.05" customHeight="1" x14ac:dyDescent="0.3">
      <c r="B110" s="47">
        <f t="shared" si="9"/>
        <v>21692.347395090012</v>
      </c>
      <c r="C110" s="47">
        <f t="shared" si="9"/>
        <v>47328.757952923668</v>
      </c>
      <c r="D110" s="9">
        <f t="shared" si="9"/>
        <v>0</v>
      </c>
      <c r="E110" s="9">
        <f t="shared" si="9"/>
        <v>0</v>
      </c>
      <c r="F110" s="9">
        <f t="shared" si="9"/>
        <v>0</v>
      </c>
      <c r="G110" s="9">
        <f t="shared" si="9"/>
        <v>0</v>
      </c>
      <c r="H110" s="9">
        <f t="shared" si="9"/>
        <v>0</v>
      </c>
      <c r="I110" s="9">
        <f t="shared" si="9"/>
        <v>0</v>
      </c>
      <c r="J110" s="47">
        <f t="shared" si="9"/>
        <v>-21692.347395090012</v>
      </c>
      <c r="K110" s="47">
        <f t="shared" si="9"/>
        <v>-47328.757952923668</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-9942.3258894162518</v>
      </c>
      <c r="C117" s="47">
        <f t="shared" si="9"/>
        <v>-21692.347395090012</v>
      </c>
      <c r="D117" s="9">
        <f t="shared" si="9"/>
        <v>0</v>
      </c>
      <c r="E117" s="9">
        <f t="shared" si="9"/>
        <v>0</v>
      </c>
      <c r="F117" s="9">
        <f t="shared" si="9"/>
        <v>0</v>
      </c>
      <c r="G117" s="9">
        <f t="shared" si="9"/>
        <v>0</v>
      </c>
      <c r="H117" s="9">
        <f t="shared" si="9"/>
        <v>0</v>
      </c>
      <c r="I117" s="9">
        <f t="shared" si="9"/>
        <v>0</v>
      </c>
      <c r="J117" s="47">
        <f t="shared" si="9"/>
        <v>9942.3258894162518</v>
      </c>
      <c r="K117" s="47">
        <f t="shared" si="9"/>
        <v>21692.347395090012</v>
      </c>
      <c r="L117" s="9">
        <f t="shared" si="9"/>
        <v>0</v>
      </c>
      <c r="M117" s="9">
        <f t="shared" si="9"/>
        <v>0</v>
      </c>
      <c r="N117" s="9">
        <f t="shared" si="9"/>
        <v>0</v>
      </c>
      <c r="O117" s="9">
        <f t="shared" si="9"/>
        <v>0</v>
      </c>
      <c r="P117" s="45" t="s">
        <v>186</v>
      </c>
    </row>
    <row r="118" spans="1:16" ht="19.05" customHeight="1" x14ac:dyDescent="0.3">
      <c r="B118" s="47">
        <f t="shared" si="9"/>
        <v>-21692.347395090012</v>
      </c>
      <c r="C118" s="47">
        <f t="shared" si="9"/>
        <v>-47328.757952923668</v>
      </c>
      <c r="D118" s="9">
        <f t="shared" si="9"/>
        <v>0</v>
      </c>
      <c r="E118" s="9">
        <f t="shared" si="9"/>
        <v>0</v>
      </c>
      <c r="F118" s="9">
        <f t="shared" si="9"/>
        <v>0</v>
      </c>
      <c r="G118" s="9">
        <f t="shared" si="9"/>
        <v>0</v>
      </c>
      <c r="H118" s="9">
        <f t="shared" si="9"/>
        <v>0</v>
      </c>
      <c r="I118" s="9">
        <f t="shared" si="9"/>
        <v>0</v>
      </c>
      <c r="J118" s="47">
        <f t="shared" si="9"/>
        <v>21692.347395090012</v>
      </c>
      <c r="K118" s="47">
        <f t="shared" si="9"/>
        <v>47328.757952923668</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9942.3258894162591</v>
      </c>
      <c r="C126" s="49">
        <f>J10*K10*N10</f>
        <v>-21692.347395090015</v>
      </c>
      <c r="D126" s="49">
        <f>-B126</f>
        <v>-9942.3258894162591</v>
      </c>
      <c r="E126" s="49">
        <f>-C126</f>
        <v>21692.347395090015</v>
      </c>
      <c r="F126" s="48" t="str">
        <f>B125</f>
        <v>U5X</v>
      </c>
    </row>
    <row r="127" spans="1:16" ht="16.8" customHeight="1" x14ac:dyDescent="0.3">
      <c r="A127" s="28" t="s">
        <v>197</v>
      </c>
      <c r="B127" s="49">
        <f>C126</f>
        <v>-21692.347395090015</v>
      </c>
      <c r="C127" s="49">
        <f>K10*K10*N10</f>
        <v>47328.757952923654</v>
      </c>
      <c r="D127" s="49">
        <f>-B127</f>
        <v>21692.347395090015</v>
      </c>
      <c r="E127" s="49">
        <f>-C127</f>
        <v>-47328.757952923654</v>
      </c>
      <c r="F127" s="48" t="str">
        <f>C125</f>
        <v>U5Y</v>
      </c>
    </row>
    <row r="128" spans="1:16" x14ac:dyDescent="0.3">
      <c r="B128" s="49">
        <f>D126</f>
        <v>-9942.3258894162591</v>
      </c>
      <c r="C128" s="49">
        <f>E126</f>
        <v>21692.347395090015</v>
      </c>
      <c r="D128" s="49">
        <f>B126</f>
        <v>9942.3258894162591</v>
      </c>
      <c r="E128" s="49">
        <f>C126</f>
        <v>-21692.347395090015</v>
      </c>
      <c r="F128" s="48" t="str">
        <f>D125</f>
        <v>U2X</v>
      </c>
    </row>
    <row r="129" spans="1:16" x14ac:dyDescent="0.3">
      <c r="B129" s="49">
        <f>D127</f>
        <v>21692.347395090015</v>
      </c>
      <c r="C129" s="49">
        <f>E127</f>
        <v>-47328.757952923654</v>
      </c>
      <c r="D129" s="49">
        <f>B127</f>
        <v>-21692.347395090015</v>
      </c>
      <c r="E129" s="49">
        <f>C127</f>
        <v>47328.757952923654</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9942.3258894162591</v>
      </c>
      <c r="E134" s="50">
        <f t="shared" si="10"/>
        <v>-21692.347395090015</v>
      </c>
      <c r="F134" s="9">
        <f t="shared" si="10"/>
        <v>0</v>
      </c>
      <c r="G134" s="9">
        <f t="shared" si="10"/>
        <v>0</v>
      </c>
      <c r="H134" s="9">
        <f t="shared" si="10"/>
        <v>0</v>
      </c>
      <c r="I134" s="9">
        <f t="shared" si="10"/>
        <v>0</v>
      </c>
      <c r="J134" s="50">
        <f t="shared" si="10"/>
        <v>-9942.3258894162591</v>
      </c>
      <c r="K134" s="50">
        <f t="shared" si="10"/>
        <v>21692.347395090015</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-21692.347395090015</v>
      </c>
      <c r="E135" s="50">
        <f t="shared" si="10"/>
        <v>47328.757952923654</v>
      </c>
      <c r="F135" s="9">
        <f t="shared" si="10"/>
        <v>0</v>
      </c>
      <c r="G135" s="9">
        <f t="shared" si="10"/>
        <v>0</v>
      </c>
      <c r="H135" s="9">
        <f t="shared" si="10"/>
        <v>0</v>
      </c>
      <c r="I135" s="9">
        <f t="shared" si="10"/>
        <v>0</v>
      </c>
      <c r="J135" s="50">
        <f t="shared" si="10"/>
        <v>21692.347395090015</v>
      </c>
      <c r="K135" s="50">
        <f t="shared" si="10"/>
        <v>-47328.757952923654</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-9942.3258894162591</v>
      </c>
      <c r="E140" s="50">
        <f t="shared" si="10"/>
        <v>21692.347395090015</v>
      </c>
      <c r="F140" s="9">
        <f t="shared" si="10"/>
        <v>0</v>
      </c>
      <c r="G140" s="9">
        <f t="shared" si="10"/>
        <v>0</v>
      </c>
      <c r="H140" s="9">
        <f t="shared" si="10"/>
        <v>0</v>
      </c>
      <c r="I140" s="9">
        <f t="shared" si="10"/>
        <v>0</v>
      </c>
      <c r="J140" s="50">
        <f t="shared" si="10"/>
        <v>9942.3258894162591</v>
      </c>
      <c r="K140" s="50">
        <f t="shared" si="10"/>
        <v>-21692.347395090015</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21692.347395090015</v>
      </c>
      <c r="E141" s="50">
        <f t="shared" si="10"/>
        <v>-47328.757952923654</v>
      </c>
      <c r="F141" s="9">
        <f t="shared" si="10"/>
        <v>0</v>
      </c>
      <c r="G141" s="9">
        <f t="shared" si="10"/>
        <v>0</v>
      </c>
      <c r="H141" s="9">
        <f t="shared" si="10"/>
        <v>0</v>
      </c>
      <c r="I141" s="9">
        <f t="shared" si="10"/>
        <v>0</v>
      </c>
      <c r="J141" s="50">
        <f t="shared" si="10"/>
        <v>-21692.347395090015</v>
      </c>
      <c r="K141" s="50">
        <f t="shared" si="10"/>
        <v>47328.757952923654</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68727.272727272706</v>
      </c>
      <c r="C149" s="54">
        <f>J11*K11*N11</f>
        <v>0</v>
      </c>
      <c r="D149" s="54">
        <f>-B149</f>
        <v>-68727.272727272706</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-68727.272727272706</v>
      </c>
      <c r="C151" s="54">
        <f>E149</f>
        <v>0</v>
      </c>
      <c r="D151" s="54">
        <f>B149</f>
        <v>68727.272727272706</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68727.272727272706</v>
      </c>
      <c r="K163" s="55">
        <f t="shared" si="11"/>
        <v>0</v>
      </c>
      <c r="L163" s="55">
        <f t="shared" si="11"/>
        <v>-68727.272727272706</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-68727.272727272706</v>
      </c>
      <c r="K165" s="55">
        <f t="shared" si="11"/>
        <v>0</v>
      </c>
      <c r="L165" s="55">
        <f t="shared" si="11"/>
        <v>68727.272727272706</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9942.3258894162554</v>
      </c>
      <c r="C172" s="57">
        <f>J12*K12*N12</f>
        <v>21692.347395090015</v>
      </c>
      <c r="D172" s="57">
        <f>-B172</f>
        <v>-9942.3258894162554</v>
      </c>
      <c r="E172" s="57">
        <f>-C172</f>
        <v>-21692.347395090015</v>
      </c>
      <c r="F172" s="56" t="str">
        <f>B171</f>
        <v>U2X</v>
      </c>
    </row>
    <row r="173" spans="1:16" ht="16.8" customHeight="1" x14ac:dyDescent="0.3">
      <c r="A173" s="28" t="s">
        <v>201</v>
      </c>
      <c r="B173" s="57">
        <f>C172</f>
        <v>21692.347395090015</v>
      </c>
      <c r="C173" s="57">
        <f>K12*K12*N12</f>
        <v>47328.757952923668</v>
      </c>
      <c r="D173" s="57">
        <f>-B173</f>
        <v>-21692.347395090015</v>
      </c>
      <c r="E173" s="57">
        <f>-C173</f>
        <v>-47328.757952923668</v>
      </c>
      <c r="F173" s="56" t="str">
        <f>C171</f>
        <v>U2Y</v>
      </c>
    </row>
    <row r="174" spans="1:16" x14ac:dyDescent="0.3">
      <c r="B174" s="57">
        <f>D172</f>
        <v>-9942.3258894162554</v>
      </c>
      <c r="C174" s="57">
        <f>E172</f>
        <v>-21692.347395090015</v>
      </c>
      <c r="D174" s="57">
        <f>B172</f>
        <v>9942.3258894162554</v>
      </c>
      <c r="E174" s="57">
        <f>C172</f>
        <v>21692.347395090015</v>
      </c>
      <c r="F174" s="56" t="str">
        <f>D171</f>
        <v>U6X</v>
      </c>
    </row>
    <row r="175" spans="1:16" x14ac:dyDescent="0.3">
      <c r="B175" s="57">
        <f>D173</f>
        <v>-21692.347395090015</v>
      </c>
      <c r="C175" s="57">
        <f>E173</f>
        <v>-47328.757952923668</v>
      </c>
      <c r="D175" s="57">
        <f>B173</f>
        <v>21692.347395090015</v>
      </c>
      <c r="E175" s="57">
        <f>C173</f>
        <v>47328.757952923668</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9942.3258894162554</v>
      </c>
      <c r="E180" s="58">
        <f t="shared" si="12"/>
        <v>21692.347395090015</v>
      </c>
      <c r="F180" s="9">
        <f t="shared" si="12"/>
        <v>0</v>
      </c>
      <c r="G180" s="9">
        <f t="shared" si="12"/>
        <v>0</v>
      </c>
      <c r="H180" s="9">
        <f t="shared" si="12"/>
        <v>0</v>
      </c>
      <c r="I180" s="9">
        <f t="shared" si="12"/>
        <v>0</v>
      </c>
      <c r="J180" s="9">
        <f t="shared" si="12"/>
        <v>0</v>
      </c>
      <c r="K180" s="9">
        <f t="shared" si="12"/>
        <v>0</v>
      </c>
      <c r="L180" s="58">
        <f t="shared" si="12"/>
        <v>-9942.3258894162554</v>
      </c>
      <c r="M180" s="58">
        <f t="shared" si="12"/>
        <v>-21692.347395090015</v>
      </c>
      <c r="N180" s="9">
        <f t="shared" si="12"/>
        <v>0</v>
      </c>
      <c r="O180" s="9">
        <f t="shared" si="12"/>
        <v>0</v>
      </c>
      <c r="P180" s="56" t="s">
        <v>180</v>
      </c>
    </row>
    <row r="181" spans="1:16" ht="19.05" customHeight="1" x14ac:dyDescent="0.3">
      <c r="B181" s="9">
        <f t="shared" si="12"/>
        <v>0</v>
      </c>
      <c r="C181" s="9">
        <f t="shared" si="12"/>
        <v>0</v>
      </c>
      <c r="D181" s="58">
        <f t="shared" si="12"/>
        <v>21692.347395090015</v>
      </c>
      <c r="E181" s="58">
        <f t="shared" si="12"/>
        <v>47328.757952923668</v>
      </c>
      <c r="F181" s="9">
        <f t="shared" si="12"/>
        <v>0</v>
      </c>
      <c r="G181" s="9">
        <f t="shared" si="12"/>
        <v>0</v>
      </c>
      <c r="H181" s="9">
        <f t="shared" si="12"/>
        <v>0</v>
      </c>
      <c r="I181" s="9">
        <f t="shared" si="12"/>
        <v>0</v>
      </c>
      <c r="J181" s="9">
        <f t="shared" si="12"/>
        <v>0</v>
      </c>
      <c r="K181" s="9">
        <f t="shared" si="12"/>
        <v>0</v>
      </c>
      <c r="L181" s="58">
        <f t="shared" si="12"/>
        <v>-21692.347395090015</v>
      </c>
      <c r="M181" s="58">
        <f t="shared" si="12"/>
        <v>-47328.757952923668</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-9942.3258894162554</v>
      </c>
      <c r="E188" s="58">
        <f t="shared" si="12"/>
        <v>-21692.347395090015</v>
      </c>
      <c r="F188" s="9">
        <f t="shared" si="12"/>
        <v>0</v>
      </c>
      <c r="G188" s="9">
        <f t="shared" si="12"/>
        <v>0</v>
      </c>
      <c r="H188" s="9">
        <f t="shared" si="12"/>
        <v>0</v>
      </c>
      <c r="I188" s="9">
        <f t="shared" si="12"/>
        <v>0</v>
      </c>
      <c r="J188" s="9">
        <f t="shared" si="12"/>
        <v>0</v>
      </c>
      <c r="K188" s="9">
        <f t="shared" si="12"/>
        <v>0</v>
      </c>
      <c r="L188" s="58">
        <f t="shared" si="12"/>
        <v>9942.3258894162554</v>
      </c>
      <c r="M188" s="58">
        <f t="shared" si="12"/>
        <v>21692.347395090015</v>
      </c>
      <c r="N188" s="9">
        <f t="shared" si="12"/>
        <v>0</v>
      </c>
      <c r="O188" s="9">
        <f t="shared" si="12"/>
        <v>0</v>
      </c>
      <c r="P188" s="56" t="s">
        <v>188</v>
      </c>
    </row>
    <row r="189" spans="1:16" ht="19.05" customHeight="1" x14ac:dyDescent="0.3">
      <c r="B189" s="9">
        <f t="shared" si="12"/>
        <v>0</v>
      </c>
      <c r="C189" s="9">
        <f t="shared" si="12"/>
        <v>0</v>
      </c>
      <c r="D189" s="58">
        <f t="shared" si="12"/>
        <v>-21692.347395090015</v>
      </c>
      <c r="E189" s="58">
        <f t="shared" si="12"/>
        <v>-47328.757952923668</v>
      </c>
      <c r="F189" s="9">
        <f t="shared" si="12"/>
        <v>0</v>
      </c>
      <c r="G189" s="9">
        <f t="shared" si="12"/>
        <v>0</v>
      </c>
      <c r="H189" s="9">
        <f t="shared" si="12"/>
        <v>0</v>
      </c>
      <c r="I189" s="9">
        <f t="shared" si="12"/>
        <v>0</v>
      </c>
      <c r="J189" s="9">
        <f t="shared" si="12"/>
        <v>0</v>
      </c>
      <c r="K189" s="9">
        <f t="shared" si="12"/>
        <v>0</v>
      </c>
      <c r="L189" s="58">
        <f t="shared" si="12"/>
        <v>21692.347395090015</v>
      </c>
      <c r="M189" s="58">
        <f t="shared" si="12"/>
        <v>47328.757952923668</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9942.3258894162573</v>
      </c>
      <c r="C195" s="62">
        <f>J13*K13*N13</f>
        <v>-21692.347395090012</v>
      </c>
      <c r="D195" s="62">
        <f>-B195</f>
        <v>-9942.3258894162573</v>
      </c>
      <c r="E195" s="62">
        <f>-C195</f>
        <v>21692.347395090012</v>
      </c>
      <c r="F195" s="61" t="str">
        <f>B194</f>
        <v>U6X</v>
      </c>
    </row>
    <row r="196" spans="1:16" ht="16.8" customHeight="1" x14ac:dyDescent="0.3">
      <c r="A196" s="28" t="s">
        <v>203</v>
      </c>
      <c r="B196" s="62">
        <f>C195</f>
        <v>-21692.347395090012</v>
      </c>
      <c r="C196" s="62">
        <f>K13*K13*N13</f>
        <v>47328.757952923654</v>
      </c>
      <c r="D196" s="62">
        <f>-B196</f>
        <v>21692.347395090012</v>
      </c>
      <c r="E196" s="62">
        <f>-C196</f>
        <v>-47328.757952923654</v>
      </c>
      <c r="F196" s="61" t="str">
        <f>C194</f>
        <v>U6Y</v>
      </c>
    </row>
    <row r="197" spans="1:16" x14ac:dyDescent="0.3">
      <c r="B197" s="62">
        <f>D195</f>
        <v>-9942.3258894162573</v>
      </c>
      <c r="C197" s="62">
        <f>E195</f>
        <v>21692.347395090012</v>
      </c>
      <c r="D197" s="62">
        <f>B195</f>
        <v>9942.3258894162573</v>
      </c>
      <c r="E197" s="62">
        <f>C195</f>
        <v>-21692.347395090012</v>
      </c>
      <c r="F197" s="61" t="str">
        <f>D194</f>
        <v>U3X</v>
      </c>
    </row>
    <row r="198" spans="1:16" x14ac:dyDescent="0.3">
      <c r="B198" s="62">
        <f>D196</f>
        <v>21692.347395090012</v>
      </c>
      <c r="C198" s="62">
        <f>E196</f>
        <v>-47328.757952923654</v>
      </c>
      <c r="D198" s="62">
        <f>B196</f>
        <v>-21692.347395090012</v>
      </c>
      <c r="E198" s="62">
        <f>C196</f>
        <v>47328.757952923654</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9942.3258894162573</v>
      </c>
      <c r="G205" s="63">
        <f t="shared" si="13"/>
        <v>-21692.347395090012</v>
      </c>
      <c r="H205" s="9">
        <f t="shared" si="13"/>
        <v>0</v>
      </c>
      <c r="I205" s="9">
        <f t="shared" si="13"/>
        <v>0</v>
      </c>
      <c r="J205" s="9">
        <f t="shared" si="13"/>
        <v>0</v>
      </c>
      <c r="K205" s="9">
        <f t="shared" si="13"/>
        <v>0</v>
      </c>
      <c r="L205" s="63">
        <f t="shared" si="13"/>
        <v>-9942.3258894162573</v>
      </c>
      <c r="M205" s="63">
        <f t="shared" si="13"/>
        <v>21692.347395090012</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-21692.347395090012</v>
      </c>
      <c r="G206" s="63">
        <f t="shared" si="13"/>
        <v>47328.757952923654</v>
      </c>
      <c r="H206" s="9">
        <f t="shared" si="13"/>
        <v>0</v>
      </c>
      <c r="I206" s="9">
        <f t="shared" si="13"/>
        <v>0</v>
      </c>
      <c r="J206" s="9">
        <f t="shared" si="13"/>
        <v>0</v>
      </c>
      <c r="K206" s="9">
        <f t="shared" si="13"/>
        <v>0</v>
      </c>
      <c r="L206" s="63">
        <f t="shared" si="13"/>
        <v>21692.347395090012</v>
      </c>
      <c r="M206" s="63">
        <f t="shared" si="13"/>
        <v>-47328.757952923654</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-9942.3258894162573</v>
      </c>
      <c r="G211" s="63">
        <f t="shared" si="13"/>
        <v>21692.347395090012</v>
      </c>
      <c r="H211" s="9">
        <f t="shared" si="13"/>
        <v>0</v>
      </c>
      <c r="I211" s="9">
        <f t="shared" si="13"/>
        <v>0</v>
      </c>
      <c r="J211" s="9">
        <f t="shared" si="13"/>
        <v>0</v>
      </c>
      <c r="K211" s="9">
        <f t="shared" si="13"/>
        <v>0</v>
      </c>
      <c r="L211" s="63">
        <f t="shared" si="13"/>
        <v>9942.3258894162573</v>
      </c>
      <c r="M211" s="63">
        <f t="shared" si="13"/>
        <v>-21692.347395090012</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21692.347395090012</v>
      </c>
      <c r="G212" s="63">
        <f t="shared" si="13"/>
        <v>-47328.757952923654</v>
      </c>
      <c r="H212" s="9">
        <f t="shared" si="13"/>
        <v>0</v>
      </c>
      <c r="I212" s="9">
        <f t="shared" si="13"/>
        <v>0</v>
      </c>
      <c r="J212" s="9">
        <f t="shared" si="13"/>
        <v>0</v>
      </c>
      <c r="K212" s="9">
        <f t="shared" si="13"/>
        <v>0</v>
      </c>
      <c r="L212" s="63">
        <f t="shared" si="13"/>
        <v>-21692.347395090012</v>
      </c>
      <c r="M212" s="63">
        <f t="shared" si="13"/>
        <v>47328.757952923654</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68727.272727272706</v>
      </c>
      <c r="C218" s="65">
        <f>J14*K14*N14</f>
        <v>0</v>
      </c>
      <c r="D218" s="65">
        <f>-B218</f>
        <v>-68727.272727272706</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-68727.272727272706</v>
      </c>
      <c r="C220" s="65">
        <f>E218</f>
        <v>0</v>
      </c>
      <c r="D220" s="65">
        <f>B218</f>
        <v>68727.272727272706</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68727.272727272706</v>
      </c>
      <c r="M234" s="66">
        <f t="shared" si="14"/>
        <v>0</v>
      </c>
      <c r="N234" s="66">
        <f t="shared" si="14"/>
        <v>-68727.272727272706</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-68727.272727272706</v>
      </c>
      <c r="M236" s="66">
        <f t="shared" si="14"/>
        <v>0</v>
      </c>
      <c r="N236" s="66">
        <f t="shared" si="14"/>
        <v>68727.272727272706</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9942.3258894162573</v>
      </c>
      <c r="C241" s="70">
        <f>J15*K15*N15</f>
        <v>21692.347395090012</v>
      </c>
      <c r="D241" s="70">
        <f>-B241</f>
        <v>-9942.3258894162573</v>
      </c>
      <c r="E241" s="70">
        <f>-C241</f>
        <v>-21692.347395090012</v>
      </c>
      <c r="F241" s="69" t="str">
        <f>B240</f>
        <v>U7X</v>
      </c>
    </row>
    <row r="242" spans="1:16" ht="16.8" customHeight="1" x14ac:dyDescent="0.3">
      <c r="A242" s="28" t="s">
        <v>581</v>
      </c>
      <c r="B242" s="70">
        <f>C241</f>
        <v>21692.347395090012</v>
      </c>
      <c r="C242" s="70">
        <f>K15*K15*N15</f>
        <v>47328.757952923654</v>
      </c>
      <c r="D242" s="70">
        <f>-B242</f>
        <v>-21692.347395090012</v>
      </c>
      <c r="E242" s="70">
        <f>-C242</f>
        <v>-47328.757952923654</v>
      </c>
      <c r="F242" s="69" t="str">
        <f>C240</f>
        <v>U7Y</v>
      </c>
    </row>
    <row r="243" spans="1:16" x14ac:dyDescent="0.3">
      <c r="B243" s="70">
        <f>D241</f>
        <v>-9942.3258894162573</v>
      </c>
      <c r="C243" s="70">
        <f>E241</f>
        <v>-21692.347395090012</v>
      </c>
      <c r="D243" s="70">
        <f>B241</f>
        <v>9942.3258894162573</v>
      </c>
      <c r="E243" s="70">
        <f>C241</f>
        <v>21692.347395090012</v>
      </c>
      <c r="F243" s="69" t="str">
        <f>D240</f>
        <v>U3X</v>
      </c>
    </row>
    <row r="244" spans="1:16" x14ac:dyDescent="0.3">
      <c r="B244" s="70">
        <f>D242</f>
        <v>-21692.347395090012</v>
      </c>
      <c r="C244" s="70">
        <f>E242</f>
        <v>-47328.757952923654</v>
      </c>
      <c r="D244" s="70">
        <f>B242</f>
        <v>21692.347395090012</v>
      </c>
      <c r="E244" s="70">
        <f>C242</f>
        <v>47328.757952923654</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9942.3258894162573</v>
      </c>
      <c r="G251" s="71">
        <f t="shared" si="15"/>
        <v>21692.347395090012</v>
      </c>
      <c r="H251" s="9">
        <f t="shared" si="15"/>
        <v>0</v>
      </c>
      <c r="I251" s="9">
        <f t="shared" si="15"/>
        <v>0</v>
      </c>
      <c r="J251" s="9">
        <f t="shared" si="15"/>
        <v>0</v>
      </c>
      <c r="K251" s="9">
        <f t="shared" si="15"/>
        <v>0</v>
      </c>
      <c r="L251" s="9">
        <f t="shared" si="15"/>
        <v>0</v>
      </c>
      <c r="M251" s="9">
        <f t="shared" si="15"/>
        <v>0</v>
      </c>
      <c r="N251" s="71">
        <f t="shared" si="15"/>
        <v>-9942.3258894162573</v>
      </c>
      <c r="O251" s="71">
        <f t="shared" si="15"/>
        <v>-21692.347395090012</v>
      </c>
      <c r="P251" s="69" t="s">
        <v>182</v>
      </c>
    </row>
    <row r="252" spans="1:16" ht="19.05" customHeight="1" x14ac:dyDescent="0.3">
      <c r="B252" s="9">
        <f t="shared" si="15"/>
        <v>0</v>
      </c>
      <c r="C252" s="9">
        <f t="shared" si="15"/>
        <v>0</v>
      </c>
      <c r="D252" s="9">
        <f t="shared" si="15"/>
        <v>0</v>
      </c>
      <c r="E252" s="9">
        <f t="shared" si="15"/>
        <v>0</v>
      </c>
      <c r="F252" s="71">
        <f t="shared" si="15"/>
        <v>21692.347395090012</v>
      </c>
      <c r="G252" s="71">
        <f t="shared" si="15"/>
        <v>47328.757952923654</v>
      </c>
      <c r="H252" s="9">
        <f t="shared" si="15"/>
        <v>0</v>
      </c>
      <c r="I252" s="9">
        <f t="shared" si="15"/>
        <v>0</v>
      </c>
      <c r="J252" s="9">
        <f t="shared" si="15"/>
        <v>0</v>
      </c>
      <c r="K252" s="9">
        <f t="shared" si="15"/>
        <v>0</v>
      </c>
      <c r="L252" s="9">
        <f t="shared" si="15"/>
        <v>0</v>
      </c>
      <c r="M252" s="9">
        <f t="shared" si="15"/>
        <v>0</v>
      </c>
      <c r="N252" s="71">
        <f t="shared" si="15"/>
        <v>-21692.347395090012</v>
      </c>
      <c r="O252" s="71">
        <f t="shared" si="15"/>
        <v>-47328.757952923654</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-9942.3258894162573</v>
      </c>
      <c r="G259" s="71">
        <f t="shared" si="15"/>
        <v>-21692.347395090012</v>
      </c>
      <c r="H259" s="9">
        <f t="shared" si="15"/>
        <v>0</v>
      </c>
      <c r="I259" s="9">
        <f t="shared" si="15"/>
        <v>0</v>
      </c>
      <c r="J259" s="9">
        <f t="shared" si="15"/>
        <v>0</v>
      </c>
      <c r="K259" s="9">
        <f t="shared" si="15"/>
        <v>0</v>
      </c>
      <c r="L259" s="9">
        <f t="shared" si="15"/>
        <v>0</v>
      </c>
      <c r="M259" s="9">
        <f t="shared" si="15"/>
        <v>0</v>
      </c>
      <c r="N259" s="71">
        <f t="shared" si="15"/>
        <v>9942.3258894162573</v>
      </c>
      <c r="O259" s="71">
        <f t="shared" si="15"/>
        <v>21692.347395090012</v>
      </c>
      <c r="P259" s="69" t="s">
        <v>579</v>
      </c>
    </row>
    <row r="260" spans="1:16" ht="19.05" customHeight="1" x14ac:dyDescent="0.3">
      <c r="B260" s="9">
        <f t="shared" si="15"/>
        <v>0</v>
      </c>
      <c r="C260" s="9">
        <f t="shared" si="15"/>
        <v>0</v>
      </c>
      <c r="D260" s="9">
        <f t="shared" si="15"/>
        <v>0</v>
      </c>
      <c r="E260" s="9">
        <f t="shared" si="15"/>
        <v>0</v>
      </c>
      <c r="F260" s="71">
        <f t="shared" si="15"/>
        <v>-21692.347395090012</v>
      </c>
      <c r="G260" s="71">
        <f t="shared" si="15"/>
        <v>-47328.757952923654</v>
      </c>
      <c r="H260" s="9">
        <f t="shared" si="15"/>
        <v>0</v>
      </c>
      <c r="I260" s="9">
        <f t="shared" si="15"/>
        <v>0</v>
      </c>
      <c r="J260" s="9">
        <f t="shared" si="15"/>
        <v>0</v>
      </c>
      <c r="K260" s="9">
        <f t="shared" si="15"/>
        <v>0</v>
      </c>
      <c r="L260" s="9">
        <f t="shared" si="15"/>
        <v>0</v>
      </c>
      <c r="M260" s="9">
        <f t="shared" si="15"/>
        <v>0</v>
      </c>
      <c r="N260" s="71">
        <f t="shared" si="15"/>
        <v>21692.347395090012</v>
      </c>
      <c r="O260" s="71">
        <f t="shared" si="15"/>
        <v>47328.757952923654</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9942.3258894162464</v>
      </c>
      <c r="C264" s="73">
        <f>J16*K16*N16</f>
        <v>-21692.347395090004</v>
      </c>
      <c r="D264" s="73">
        <f>-B264</f>
        <v>-9942.3258894162464</v>
      </c>
      <c r="E264" s="73">
        <f>-C264</f>
        <v>21692.347395090004</v>
      </c>
      <c r="F264" s="72" t="str">
        <f>B263</f>
        <v>U7X</v>
      </c>
    </row>
    <row r="265" spans="1:16" ht="16.8" customHeight="1" x14ac:dyDescent="0.3">
      <c r="A265" s="28" t="s">
        <v>583</v>
      </c>
      <c r="B265" s="73">
        <f>C264</f>
        <v>-21692.347395090004</v>
      </c>
      <c r="C265" s="73">
        <f>K16*K16*N16</f>
        <v>47328.757952923668</v>
      </c>
      <c r="D265" s="73">
        <f>-B265</f>
        <v>21692.347395090004</v>
      </c>
      <c r="E265" s="73">
        <f>-C265</f>
        <v>-47328.757952923668</v>
      </c>
      <c r="F265" s="72" t="str">
        <f>C263</f>
        <v>U7Y</v>
      </c>
    </row>
    <row r="266" spans="1:16" x14ac:dyDescent="0.3">
      <c r="B266" s="73">
        <f>D264</f>
        <v>-9942.3258894162464</v>
      </c>
      <c r="C266" s="73">
        <f>E264</f>
        <v>21692.347395090004</v>
      </c>
      <c r="D266" s="73">
        <f>B264</f>
        <v>9942.3258894162464</v>
      </c>
      <c r="E266" s="73">
        <f>C264</f>
        <v>-21692.347395090004</v>
      </c>
      <c r="F266" s="72" t="str">
        <f>D263</f>
        <v>U4X</v>
      </c>
    </row>
    <row r="267" spans="1:16" x14ac:dyDescent="0.3">
      <c r="B267" s="73">
        <f>D265</f>
        <v>21692.347395090004</v>
      </c>
      <c r="C267" s="73">
        <f>E265</f>
        <v>-47328.757952923668</v>
      </c>
      <c r="D267" s="73">
        <f>B265</f>
        <v>-21692.347395090004</v>
      </c>
      <c r="E267" s="73">
        <f>C265</f>
        <v>47328.757952923668</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9942.3258894162464</v>
      </c>
      <c r="I276" s="74">
        <f t="shared" si="16"/>
        <v>-21692.347395090004</v>
      </c>
      <c r="J276" s="9">
        <f t="shared" si="16"/>
        <v>0</v>
      </c>
      <c r="K276" s="9">
        <f t="shared" si="16"/>
        <v>0</v>
      </c>
      <c r="L276" s="9">
        <f t="shared" si="16"/>
        <v>0</v>
      </c>
      <c r="M276" s="9">
        <f t="shared" si="16"/>
        <v>0</v>
      </c>
      <c r="N276" s="74">
        <f t="shared" si="16"/>
        <v>-9942.3258894162464</v>
      </c>
      <c r="O276" s="74">
        <f t="shared" si="16"/>
        <v>21692.347395090004</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-21692.347395090004</v>
      </c>
      <c r="I277" s="74">
        <f t="shared" si="16"/>
        <v>47328.757952923668</v>
      </c>
      <c r="J277" s="9">
        <f t="shared" si="16"/>
        <v>0</v>
      </c>
      <c r="K277" s="9">
        <f t="shared" si="16"/>
        <v>0</v>
      </c>
      <c r="L277" s="9">
        <f t="shared" si="16"/>
        <v>0</v>
      </c>
      <c r="M277" s="9">
        <f t="shared" si="16"/>
        <v>0</v>
      </c>
      <c r="N277" s="74">
        <f t="shared" si="16"/>
        <v>21692.347395090004</v>
      </c>
      <c r="O277" s="74">
        <f t="shared" si="16"/>
        <v>-47328.757952923668</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-9942.3258894162464</v>
      </c>
      <c r="I282" s="74">
        <f t="shared" si="16"/>
        <v>21692.347395090004</v>
      </c>
      <c r="J282" s="9">
        <f t="shared" si="16"/>
        <v>0</v>
      </c>
      <c r="K282" s="9">
        <f t="shared" si="16"/>
        <v>0</v>
      </c>
      <c r="L282" s="9">
        <f t="shared" si="16"/>
        <v>0</v>
      </c>
      <c r="M282" s="9">
        <f t="shared" si="16"/>
        <v>0</v>
      </c>
      <c r="N282" s="74">
        <f t="shared" si="16"/>
        <v>9942.3258894162464</v>
      </c>
      <c r="O282" s="74">
        <f t="shared" si="16"/>
        <v>-21692.347395090004</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21692.347395090004</v>
      </c>
      <c r="I283" s="74">
        <f t="shared" si="16"/>
        <v>-47328.757952923668</v>
      </c>
      <c r="J283" s="9">
        <f t="shared" si="16"/>
        <v>0</v>
      </c>
      <c r="K283" s="9">
        <f t="shared" si="16"/>
        <v>0</v>
      </c>
      <c r="L283" s="9">
        <f t="shared" si="16"/>
        <v>0</v>
      </c>
      <c r="M283" s="9">
        <f t="shared" si="16"/>
        <v>0</v>
      </c>
      <c r="N283" s="74">
        <f t="shared" si="16"/>
        <v>-21692.347395090004</v>
      </c>
      <c r="O283" s="74">
        <f t="shared" si="16"/>
        <v>47328.757952923668</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78669.598616688978</v>
      </c>
      <c r="C287" s="36">
        <f t="shared" si="17"/>
        <v>21692.347395090012</v>
      </c>
      <c r="D287" s="9">
        <f t="shared" si="17"/>
        <v>-68727.272727272721</v>
      </c>
      <c r="E287" s="9">
        <f t="shared" si="17"/>
        <v>0</v>
      </c>
      <c r="F287" s="9">
        <f t="shared" si="17"/>
        <v>0</v>
      </c>
      <c r="G287" s="9">
        <f t="shared" si="17"/>
        <v>0</v>
      </c>
      <c r="H287" s="9">
        <f t="shared" si="17"/>
        <v>0</v>
      </c>
      <c r="I287" s="9">
        <f t="shared" si="17"/>
        <v>0</v>
      </c>
      <c r="J287" s="9">
        <f t="shared" si="17"/>
        <v>-9942.3258894162518</v>
      </c>
      <c r="K287" s="9">
        <f t="shared" si="17"/>
        <v>-21692.347395090012</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21692.347395090012</v>
      </c>
      <c r="C288" s="35">
        <f t="shared" si="18"/>
        <v>47328.757952923668</v>
      </c>
      <c r="D288" s="9">
        <f t="shared" si="18"/>
        <v>0</v>
      </c>
      <c r="E288" s="9">
        <f t="shared" si="18"/>
        <v>0</v>
      </c>
      <c r="F288" s="9">
        <f t="shared" si="18"/>
        <v>0</v>
      </c>
      <c r="G288" s="9">
        <f t="shared" si="18"/>
        <v>0</v>
      </c>
      <c r="H288" s="9">
        <f t="shared" si="18"/>
        <v>0</v>
      </c>
      <c r="I288" s="9">
        <f t="shared" si="18"/>
        <v>0</v>
      </c>
      <c r="J288" s="9">
        <f t="shared" si="18"/>
        <v>-21692.347395090012</v>
      </c>
      <c r="K288" s="9">
        <f t="shared" si="18"/>
        <v>-47328.757952923668</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-68727.272727272721</v>
      </c>
      <c r="C289" s="9">
        <f t="shared" si="19"/>
        <v>0</v>
      </c>
      <c r="D289" s="35">
        <f t="shared" si="19"/>
        <v>157339.19723337796</v>
      </c>
      <c r="E289" s="36">
        <f t="shared" si="19"/>
        <v>0</v>
      </c>
      <c r="F289" s="9">
        <f t="shared" si="19"/>
        <v>-68727.272727272721</v>
      </c>
      <c r="G289" s="9">
        <f t="shared" si="19"/>
        <v>0</v>
      </c>
      <c r="H289" s="9">
        <f t="shared" si="19"/>
        <v>0</v>
      </c>
      <c r="I289" s="9">
        <f t="shared" si="19"/>
        <v>0</v>
      </c>
      <c r="J289" s="9">
        <f t="shared" si="19"/>
        <v>-9942.3258894162591</v>
      </c>
      <c r="K289" s="9">
        <f t="shared" si="19"/>
        <v>21692.347395090015</v>
      </c>
      <c r="L289" s="9">
        <f t="shared" si="19"/>
        <v>-9942.3258894162554</v>
      </c>
      <c r="M289" s="9">
        <f t="shared" si="19"/>
        <v>-21692.347395090015</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94657.515905847322</v>
      </c>
      <c r="F290" s="9">
        <f t="shared" si="20"/>
        <v>0</v>
      </c>
      <c r="G290" s="9">
        <f t="shared" si="20"/>
        <v>0</v>
      </c>
      <c r="H290" s="9">
        <f t="shared" si="20"/>
        <v>0</v>
      </c>
      <c r="I290" s="9">
        <f t="shared" si="20"/>
        <v>0</v>
      </c>
      <c r="J290" s="9">
        <f t="shared" si="20"/>
        <v>21692.347395090015</v>
      </c>
      <c r="K290" s="9">
        <f t="shared" si="20"/>
        <v>-47328.757952923654</v>
      </c>
      <c r="L290" s="9">
        <f t="shared" si="20"/>
        <v>-21692.347395090015</v>
      </c>
      <c r="M290" s="9">
        <f t="shared" si="20"/>
        <v>-47328.757952923668</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-68727.272727272721</v>
      </c>
      <c r="E291" s="9">
        <f t="shared" si="21"/>
        <v>0</v>
      </c>
      <c r="F291" s="35">
        <f t="shared" si="21"/>
        <v>157339.19723337801</v>
      </c>
      <c r="G291" s="36">
        <f t="shared" si="21"/>
        <v>0</v>
      </c>
      <c r="H291" s="9">
        <f t="shared" si="21"/>
        <v>-68727.272727272735</v>
      </c>
      <c r="I291" s="9">
        <f t="shared" si="21"/>
        <v>0</v>
      </c>
      <c r="J291" s="9">
        <f t="shared" si="21"/>
        <v>0</v>
      </c>
      <c r="K291" s="9">
        <f t="shared" si="21"/>
        <v>0</v>
      </c>
      <c r="L291" s="9">
        <f t="shared" si="21"/>
        <v>-9942.3258894162573</v>
      </c>
      <c r="M291" s="9">
        <f t="shared" si="21"/>
        <v>21692.347395090012</v>
      </c>
      <c r="N291" s="9">
        <f t="shared" si="21"/>
        <v>-9942.3258894162573</v>
      </c>
      <c r="O291" s="9">
        <f t="shared" si="21"/>
        <v>-21692.347395090012</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94657.515905847307</v>
      </c>
      <c r="H292" s="9">
        <f t="shared" si="22"/>
        <v>0</v>
      </c>
      <c r="I292" s="9">
        <f t="shared" si="22"/>
        <v>0</v>
      </c>
      <c r="J292" s="9">
        <f t="shared" si="22"/>
        <v>0</v>
      </c>
      <c r="K292" s="9">
        <f t="shared" si="22"/>
        <v>0</v>
      </c>
      <c r="L292" s="9">
        <f t="shared" si="22"/>
        <v>21692.347395090012</v>
      </c>
      <c r="M292" s="9">
        <f t="shared" si="22"/>
        <v>-47328.757952923654</v>
      </c>
      <c r="N292" s="9">
        <f t="shared" si="22"/>
        <v>-21692.347395090012</v>
      </c>
      <c r="O292" s="9">
        <f t="shared" si="22"/>
        <v>-47328.757952923654</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-68727.272727272735</v>
      </c>
      <c r="G293" s="9">
        <f t="shared" si="23"/>
        <v>0</v>
      </c>
      <c r="H293" s="35">
        <f t="shared" si="23"/>
        <v>78669.598616688978</v>
      </c>
      <c r="I293" s="36">
        <f t="shared" si="23"/>
        <v>-21692.347395090004</v>
      </c>
      <c r="J293" s="9">
        <f t="shared" si="23"/>
        <v>0</v>
      </c>
      <c r="K293" s="9">
        <f t="shared" si="23"/>
        <v>0</v>
      </c>
      <c r="L293" s="9">
        <f t="shared" si="23"/>
        <v>0</v>
      </c>
      <c r="M293" s="9">
        <f t="shared" si="23"/>
        <v>0</v>
      </c>
      <c r="N293" s="9">
        <f t="shared" si="23"/>
        <v>-9942.3258894162464</v>
      </c>
      <c r="O293" s="9">
        <f t="shared" si="23"/>
        <v>21692.347395090004</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-21692.347395090004</v>
      </c>
      <c r="I294" s="35">
        <f t="shared" si="24"/>
        <v>47328.757952923668</v>
      </c>
      <c r="J294" s="9">
        <f t="shared" si="24"/>
        <v>0</v>
      </c>
      <c r="K294" s="9">
        <f t="shared" si="24"/>
        <v>0</v>
      </c>
      <c r="L294" s="9">
        <f t="shared" si="24"/>
        <v>0</v>
      </c>
      <c r="M294" s="9">
        <f t="shared" si="24"/>
        <v>0</v>
      </c>
      <c r="N294" s="9">
        <f t="shared" si="24"/>
        <v>21692.347395090004</v>
      </c>
      <c r="O294" s="9">
        <f t="shared" si="24"/>
        <v>-47328.757952923668</v>
      </c>
      <c r="P294" s="89" t="s">
        <v>185</v>
      </c>
    </row>
    <row r="295" spans="1:23" ht="19.95" customHeight="1" x14ac:dyDescent="0.3">
      <c r="B295" s="9">
        <f t="shared" ref="B295:O295" si="25">B48+B71+B94+B117+B140+B163+B186+B209+B232+B255+B278</f>
        <v>-9942.3258894162518</v>
      </c>
      <c r="C295" s="9">
        <f t="shared" si="25"/>
        <v>-21692.347395090012</v>
      </c>
      <c r="D295" s="9">
        <f t="shared" si="25"/>
        <v>-9942.3258894162591</v>
      </c>
      <c r="E295" s="9">
        <f t="shared" si="25"/>
        <v>21692.347395090015</v>
      </c>
      <c r="F295" s="9">
        <f t="shared" si="25"/>
        <v>0</v>
      </c>
      <c r="G295" s="9">
        <f t="shared" si="25"/>
        <v>0</v>
      </c>
      <c r="H295" s="9">
        <f t="shared" si="25"/>
        <v>0</v>
      </c>
      <c r="I295" s="9">
        <f t="shared" si="25"/>
        <v>0</v>
      </c>
      <c r="J295" s="35">
        <f t="shared" si="25"/>
        <v>88611.924506105221</v>
      </c>
      <c r="K295" s="36">
        <f t="shared" si="25"/>
        <v>-3.637978807091713E-12</v>
      </c>
      <c r="L295" s="9">
        <f t="shared" si="25"/>
        <v>-68727.272727272706</v>
      </c>
      <c r="M295" s="9">
        <f t="shared" si="25"/>
        <v>0</v>
      </c>
      <c r="N295" s="9">
        <f t="shared" si="25"/>
        <v>0</v>
      </c>
      <c r="O295" s="9">
        <f t="shared" si="25"/>
        <v>0</v>
      </c>
      <c r="P295" s="89" t="s">
        <v>186</v>
      </c>
    </row>
    <row r="296" spans="1:23" ht="19.95" customHeight="1" x14ac:dyDescent="0.3">
      <c r="B296" s="9">
        <f t="shared" ref="B296:O296" si="26">B49+B72+B95+B118+B141+B164+B187+B210+B233+B256+B279</f>
        <v>-21692.347395090012</v>
      </c>
      <c r="C296" s="9">
        <f t="shared" si="26"/>
        <v>-47328.757952923668</v>
      </c>
      <c r="D296" s="9">
        <f t="shared" si="26"/>
        <v>21692.347395090015</v>
      </c>
      <c r="E296" s="9">
        <f t="shared" si="26"/>
        <v>-47328.757952923654</v>
      </c>
      <c r="F296" s="9">
        <f t="shared" si="26"/>
        <v>0</v>
      </c>
      <c r="G296" s="9">
        <f t="shared" si="26"/>
        <v>0</v>
      </c>
      <c r="H296" s="9">
        <f t="shared" si="26"/>
        <v>0</v>
      </c>
      <c r="I296" s="9">
        <f t="shared" si="26"/>
        <v>0</v>
      </c>
      <c r="J296" s="36">
        <f t="shared" si="26"/>
        <v>-3.637978807091713E-12</v>
      </c>
      <c r="K296" s="35">
        <f t="shared" si="26"/>
        <v>94657.515905847322</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-9942.3258894162554</v>
      </c>
      <c r="E297" s="9">
        <f t="shared" si="27"/>
        <v>-21692.347395090015</v>
      </c>
      <c r="F297" s="9">
        <f t="shared" si="27"/>
        <v>-9942.3258894162573</v>
      </c>
      <c r="G297" s="9">
        <f t="shared" si="27"/>
        <v>21692.347395090012</v>
      </c>
      <c r="H297" s="9">
        <f t="shared" si="27"/>
        <v>0</v>
      </c>
      <c r="I297" s="9">
        <f t="shared" si="27"/>
        <v>0</v>
      </c>
      <c r="J297" s="9">
        <f t="shared" si="27"/>
        <v>-68727.272727272706</v>
      </c>
      <c r="K297" s="9">
        <f t="shared" si="27"/>
        <v>0</v>
      </c>
      <c r="L297" s="35">
        <f t="shared" si="27"/>
        <v>157339.19723337793</v>
      </c>
      <c r="M297" s="36">
        <f t="shared" si="27"/>
        <v>3.637978807091713E-12</v>
      </c>
      <c r="N297" s="9">
        <f t="shared" si="27"/>
        <v>-68727.272727272706</v>
      </c>
      <c r="O297" s="9">
        <f t="shared" si="27"/>
        <v>0</v>
      </c>
      <c r="P297" s="89" t="s">
        <v>188</v>
      </c>
    </row>
    <row r="298" spans="1:23" ht="19.95" customHeight="1" x14ac:dyDescent="0.3">
      <c r="B298" s="9">
        <f t="shared" ref="B298:O298" si="28">B51+B74+B97+B120+B143+B166+B189+B212+B235+B258+B281</f>
        <v>0</v>
      </c>
      <c r="C298" s="9">
        <f t="shared" si="28"/>
        <v>0</v>
      </c>
      <c r="D298" s="9">
        <f t="shared" si="28"/>
        <v>-21692.347395090015</v>
      </c>
      <c r="E298" s="9">
        <f t="shared" si="28"/>
        <v>-47328.757952923668</v>
      </c>
      <c r="F298" s="9">
        <f t="shared" si="28"/>
        <v>21692.347395090012</v>
      </c>
      <c r="G298" s="9">
        <f t="shared" si="28"/>
        <v>-47328.757952923654</v>
      </c>
      <c r="H298" s="9">
        <f t="shared" si="28"/>
        <v>0</v>
      </c>
      <c r="I298" s="9">
        <f t="shared" si="28"/>
        <v>0</v>
      </c>
      <c r="J298" s="9">
        <f t="shared" si="28"/>
        <v>0</v>
      </c>
      <c r="K298" s="9">
        <f t="shared" si="28"/>
        <v>0</v>
      </c>
      <c r="L298" s="36">
        <f t="shared" si="28"/>
        <v>3.637978807091713E-12</v>
      </c>
      <c r="M298" s="35">
        <f t="shared" si="28"/>
        <v>94657.515905847322</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-9942.3258894162573</v>
      </c>
      <c r="G299" s="9">
        <f t="shared" si="29"/>
        <v>-21692.347395090012</v>
      </c>
      <c r="H299" s="9">
        <f t="shared" si="29"/>
        <v>-9942.3258894162464</v>
      </c>
      <c r="I299" s="9">
        <f t="shared" si="29"/>
        <v>21692.347395090004</v>
      </c>
      <c r="J299" s="9">
        <f t="shared" si="29"/>
        <v>0</v>
      </c>
      <c r="K299" s="9">
        <f t="shared" si="29"/>
        <v>0</v>
      </c>
      <c r="L299" s="9">
        <f t="shared" si="29"/>
        <v>-68727.272727272706</v>
      </c>
      <c r="M299" s="9">
        <f t="shared" si="29"/>
        <v>0</v>
      </c>
      <c r="N299" s="35">
        <f t="shared" si="29"/>
        <v>88611.924506105206</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-21692.347395090012</v>
      </c>
      <c r="G300" s="9">
        <f t="shared" si="30"/>
        <v>-47328.757952923654</v>
      </c>
      <c r="H300" s="9">
        <f t="shared" si="30"/>
        <v>21692.347395090004</v>
      </c>
      <c r="I300" s="9">
        <f t="shared" si="30"/>
        <v>-47328.757952923668</v>
      </c>
      <c r="J300" s="9">
        <f t="shared" si="30"/>
        <v>0</v>
      </c>
      <c r="K300" s="9">
        <f t="shared" si="30"/>
        <v>0</v>
      </c>
      <c r="L300" s="9">
        <f t="shared" si="30"/>
        <v>0</v>
      </c>
      <c r="M300" s="9">
        <f t="shared" si="30"/>
        <v>0</v>
      </c>
      <c r="N300" s="36">
        <f t="shared" si="30"/>
        <v>0</v>
      </c>
      <c r="O300" s="35">
        <f t="shared" si="30"/>
        <v>94657.515905847322</v>
      </c>
      <c r="P300" s="89" t="s">
        <v>580</v>
      </c>
    </row>
    <row r="303" spans="1:23" ht="19.95" customHeight="1" x14ac:dyDescent="0.35">
      <c r="A303" s="11" t="s">
        <v>206</v>
      </c>
      <c r="R303" s="216" t="s">
        <v>207</v>
      </c>
      <c r="S303" s="172"/>
      <c r="T303" s="172"/>
      <c r="U303" s="172"/>
      <c r="V303" s="172"/>
      <c r="W303" s="173"/>
    </row>
    <row r="304" spans="1:23" ht="16.95" customHeight="1" x14ac:dyDescent="0.3">
      <c r="B304" s="12" t="s">
        <v>208</v>
      </c>
      <c r="C304" s="12" t="s">
        <v>178</v>
      </c>
      <c r="E304" s="37" t="str">
        <f>IF(GRAFICA_38!F14=1, B304, GRAFICA_38!H14)</f>
        <v>C1X</v>
      </c>
      <c r="R304" s="215" t="s">
        <v>376</v>
      </c>
      <c r="S304" s="172"/>
      <c r="T304" s="172"/>
      <c r="U304" s="172"/>
      <c r="V304" s="172"/>
      <c r="W304" s="173"/>
    </row>
    <row r="305" spans="1:23" ht="16.95" customHeight="1" x14ac:dyDescent="0.3">
      <c r="B305" s="12" t="s">
        <v>210</v>
      </c>
      <c r="C305" s="12" t="s">
        <v>179</v>
      </c>
      <c r="E305" s="37" t="str">
        <f>IF(GRAFICA_38!G14=1, B305, GRAFICA_38!I14)</f>
        <v>C1Y</v>
      </c>
      <c r="R305" s="215" t="s">
        <v>211</v>
      </c>
      <c r="S305" s="172"/>
      <c r="T305" s="172"/>
      <c r="U305" s="172"/>
      <c r="V305" s="172"/>
      <c r="W305" s="173"/>
    </row>
    <row r="306" spans="1:23" ht="16.95" customHeight="1" x14ac:dyDescent="0.3">
      <c r="B306" s="12" t="s">
        <v>212</v>
      </c>
      <c r="C306" s="12" t="s">
        <v>180</v>
      </c>
      <c r="E306" s="37">
        <f>IF(GRAFICA_38!F15=1, B306, GRAFICA_38!H15)</f>
        <v>0</v>
      </c>
      <c r="R306" s="215" t="s">
        <v>377</v>
      </c>
      <c r="S306" s="172"/>
      <c r="T306" s="172"/>
      <c r="U306" s="172"/>
      <c r="V306" s="172"/>
      <c r="W306" s="173"/>
    </row>
    <row r="307" spans="1:23" ht="16.95" customHeight="1" x14ac:dyDescent="0.3">
      <c r="B307" s="12" t="s">
        <v>214</v>
      </c>
      <c r="C307" s="12" t="s">
        <v>181</v>
      </c>
      <c r="E307" s="37">
        <f>IF(GRAFICA_38!G15=1, B307, GRAFICA_38!I15)</f>
        <v>-4000</v>
      </c>
      <c r="R307" s="215" t="s">
        <v>215</v>
      </c>
      <c r="S307" s="172"/>
      <c r="T307" s="172"/>
      <c r="U307" s="172"/>
      <c r="V307" s="172"/>
      <c r="W307" s="173"/>
    </row>
    <row r="308" spans="1:23" ht="16.95" customHeight="1" x14ac:dyDescent="0.3">
      <c r="B308" s="12" t="s">
        <v>216</v>
      </c>
      <c r="C308" s="12" t="s">
        <v>182</v>
      </c>
      <c r="E308" s="37">
        <f>IF(GRAFICA_38!F16=1, B308, GRAFICA_38!H16)</f>
        <v>0</v>
      </c>
      <c r="R308" s="215" t="s">
        <v>378</v>
      </c>
      <c r="S308" s="172"/>
      <c r="T308" s="172"/>
      <c r="U308" s="172"/>
      <c r="V308" s="172"/>
      <c r="W308" s="173"/>
    </row>
    <row r="309" spans="1:23" ht="16.95" customHeight="1" x14ac:dyDescent="0.3">
      <c r="B309" s="12" t="s">
        <v>219</v>
      </c>
      <c r="C309" s="12" t="s">
        <v>183</v>
      </c>
      <c r="E309" s="37">
        <f>IF(GRAFICA_38!G16=1, B309, GRAFICA_38!I16)</f>
        <v>-4000</v>
      </c>
      <c r="R309" s="215" t="s">
        <v>379</v>
      </c>
      <c r="S309" s="172"/>
      <c r="T309" s="172"/>
      <c r="U309" s="172"/>
      <c r="V309" s="172"/>
      <c r="W309" s="173"/>
    </row>
    <row r="310" spans="1:23" ht="16.95" customHeight="1" x14ac:dyDescent="0.3">
      <c r="A310" s="38" t="s">
        <v>218</v>
      </c>
      <c r="B310" s="12" t="s">
        <v>221</v>
      </c>
      <c r="C310" s="12" t="s">
        <v>184</v>
      </c>
      <c r="D310" s="13" t="s">
        <v>220</v>
      </c>
      <c r="E310" s="37">
        <f>IF(GRAFICA_38!F17=1, B310, GRAFICA_38!H17)</f>
        <v>0</v>
      </c>
      <c r="R310" s="215"/>
      <c r="S310" s="172"/>
      <c r="T310" s="172"/>
      <c r="U310" s="172"/>
      <c r="V310" s="172"/>
      <c r="W310" s="173"/>
    </row>
    <row r="311" spans="1:23" ht="16.95" customHeight="1" x14ac:dyDescent="0.3">
      <c r="B311" s="12" t="s">
        <v>222</v>
      </c>
      <c r="C311" s="12" t="s">
        <v>185</v>
      </c>
      <c r="E311" s="37" t="str">
        <f>IF(GRAFICA_38!G17=1, B311, GRAFICA_38!I17)</f>
        <v>C4Y</v>
      </c>
      <c r="R311" s="215"/>
      <c r="S311" s="172"/>
      <c r="T311" s="172"/>
      <c r="U311" s="172"/>
      <c r="V311" s="172"/>
      <c r="W311" s="173"/>
    </row>
    <row r="312" spans="1:23" ht="16.95" customHeight="1" x14ac:dyDescent="0.3">
      <c r="B312" s="12" t="s">
        <v>223</v>
      </c>
      <c r="C312" s="12" t="s">
        <v>186</v>
      </c>
      <c r="E312" s="37">
        <f>IF(GRAFICA_38!F18=1, B312, GRAFICA_38!H18)</f>
        <v>0</v>
      </c>
      <c r="R312" s="215"/>
      <c r="S312" s="172"/>
      <c r="T312" s="172"/>
      <c r="U312" s="172"/>
      <c r="V312" s="172"/>
      <c r="W312" s="173"/>
    </row>
    <row r="313" spans="1:23" ht="16.95" customHeight="1" x14ac:dyDescent="0.3">
      <c r="B313" s="12" t="s">
        <v>224</v>
      </c>
      <c r="C313" s="12" t="s">
        <v>187</v>
      </c>
      <c r="E313" s="37">
        <f>IF(GRAFICA_38!G18=1, B313, GRAFICA_38!I18)</f>
        <v>0</v>
      </c>
      <c r="R313" s="215"/>
      <c r="S313" s="172"/>
      <c r="T313" s="172"/>
      <c r="U313" s="172"/>
      <c r="V313" s="172"/>
      <c r="W313" s="173"/>
    </row>
    <row r="314" spans="1:23" ht="16.95" customHeight="1" x14ac:dyDescent="0.3">
      <c r="B314" s="12" t="s">
        <v>225</v>
      </c>
      <c r="C314" s="12" t="s">
        <v>188</v>
      </c>
      <c r="E314" s="37">
        <f>IF(GRAFICA_38!F19=1, B314, GRAFICA_38!H19)</f>
        <v>0</v>
      </c>
      <c r="R314" s="215"/>
      <c r="S314" s="172"/>
      <c r="T314" s="172"/>
      <c r="U314" s="172"/>
      <c r="V314" s="172"/>
      <c r="W314" s="173"/>
    </row>
    <row r="315" spans="1:23" ht="16.95" customHeight="1" x14ac:dyDescent="0.3">
      <c r="B315" s="12" t="s">
        <v>226</v>
      </c>
      <c r="C315" s="12" t="s">
        <v>189</v>
      </c>
      <c r="E315" s="37">
        <f>IF(GRAFICA_38!G19=1, B315, GRAFICA_38!I19)</f>
        <v>-6000</v>
      </c>
      <c r="R315" s="215"/>
      <c r="S315" s="172"/>
      <c r="T315" s="172"/>
      <c r="U315" s="172"/>
      <c r="V315" s="172"/>
      <c r="W315" s="173"/>
    </row>
    <row r="316" spans="1:23" ht="16.95" customHeight="1" x14ac:dyDescent="0.3">
      <c r="B316" s="12" t="s">
        <v>585</v>
      </c>
      <c r="C316" s="12" t="s">
        <v>579</v>
      </c>
      <c r="E316" s="37">
        <f>IF(GRAFICA_38!F20=1, B316, GRAFICA_38!H20)</f>
        <v>0</v>
      </c>
      <c r="R316" s="215"/>
      <c r="S316" s="172"/>
      <c r="T316" s="172"/>
      <c r="U316" s="172"/>
      <c r="V316" s="172"/>
      <c r="W316" s="173"/>
    </row>
    <row r="317" spans="1:23" ht="16.95" customHeight="1" x14ac:dyDescent="0.3">
      <c r="B317" s="12" t="s">
        <v>586</v>
      </c>
      <c r="C317" s="12" t="s">
        <v>580</v>
      </c>
      <c r="E317" s="37">
        <f>IF(GRAFICA_38!G20=1, B317, GRAFICA_38!I20)</f>
        <v>0</v>
      </c>
      <c r="R317" s="215"/>
      <c r="S317" s="172"/>
      <c r="T317" s="172"/>
      <c r="U317" s="172"/>
      <c r="V317" s="172"/>
      <c r="W317" s="173"/>
    </row>
    <row r="318" spans="1:23" ht="16.95" customHeight="1" x14ac:dyDescent="0.3">
      <c r="R318" s="215"/>
      <c r="S318" s="172"/>
      <c r="T318" s="172"/>
      <c r="U318" s="172"/>
      <c r="V318" s="172"/>
      <c r="W318" s="173"/>
    </row>
    <row r="319" spans="1:23" ht="16.95" customHeight="1" x14ac:dyDescent="0.35">
      <c r="A319" s="11" t="s">
        <v>227</v>
      </c>
      <c r="R319" s="215"/>
      <c r="S319" s="172"/>
      <c r="T319" s="172"/>
      <c r="U319" s="172"/>
      <c r="V319" s="172"/>
      <c r="W319" s="173"/>
    </row>
    <row r="320" spans="1:23" ht="16.95" customHeight="1" x14ac:dyDescent="0.3">
      <c r="B320" s="12" t="s">
        <v>228</v>
      </c>
      <c r="C320" s="12" t="s">
        <v>178</v>
      </c>
      <c r="E320" s="39">
        <f>IF(GRAFICA_38!F14=1, 0, B320)</f>
        <v>0</v>
      </c>
      <c r="F320" s="14" t="str">
        <f>IF(E320&lt;&gt;0, COUNTIF(E$320:E320, "&lt;&gt;0"), "")</f>
        <v/>
      </c>
      <c r="G320" s="14">
        <f>IF(E320=0, COUNTIF(E$320:E320, 0), "")</f>
        <v>1</v>
      </c>
      <c r="R320" s="215"/>
      <c r="S320" s="172"/>
      <c r="T320" s="172"/>
      <c r="U320" s="172"/>
      <c r="V320" s="172"/>
      <c r="W320" s="173"/>
    </row>
    <row r="321" spans="1:23" ht="16.95" customHeight="1" x14ac:dyDescent="0.3">
      <c r="B321" s="12" t="s">
        <v>229</v>
      </c>
      <c r="C321" s="12" t="s">
        <v>179</v>
      </c>
      <c r="E321" s="39">
        <f>IF(GRAFICA_38!G14=1, 0, B321)</f>
        <v>0</v>
      </c>
      <c r="F321" s="14" t="str">
        <f>IF(E321&lt;&gt;0, COUNTIF(E$320:E321, "&lt;&gt;0"), "")</f>
        <v/>
      </c>
      <c r="G321" s="14">
        <f>IF(E321=0, COUNTIF(E$320:E321, 0), "")</f>
        <v>2</v>
      </c>
      <c r="R321" s="215"/>
      <c r="S321" s="172"/>
      <c r="T321" s="172"/>
      <c r="U321" s="172"/>
      <c r="V321" s="172"/>
      <c r="W321" s="173"/>
    </row>
    <row r="322" spans="1:23" ht="16.95" customHeight="1" x14ac:dyDescent="0.3">
      <c r="B322" s="12" t="s">
        <v>230</v>
      </c>
      <c r="C322" s="12" t="s">
        <v>180</v>
      </c>
      <c r="E322" s="39" t="str">
        <f>IF(GRAFICA_38!F15=1, 0, B322)</f>
        <v>D2X</v>
      </c>
      <c r="F322" s="14">
        <f>IF(E322&lt;&gt;0, COUNTIF(E$320:E322, "&lt;&gt;0"), "")</f>
        <v>1</v>
      </c>
      <c r="G322" s="14" t="str">
        <f>IF(E322=0, COUNTIF(E$320:E322, 0), "")</f>
        <v/>
      </c>
      <c r="R322" s="215"/>
      <c r="S322" s="172"/>
      <c r="T322" s="172"/>
      <c r="U322" s="172"/>
      <c r="V322" s="172"/>
      <c r="W322" s="173"/>
    </row>
    <row r="323" spans="1:23" ht="16.95" customHeight="1" x14ac:dyDescent="0.3">
      <c r="B323" s="12" t="s">
        <v>231</v>
      </c>
      <c r="C323" s="12" t="s">
        <v>181</v>
      </c>
      <c r="E323" s="39" t="str">
        <f>IF(GRAFICA_38!G15=1, 0, B323)</f>
        <v>D2Y</v>
      </c>
      <c r="F323" s="14">
        <f>IF(E323&lt;&gt;0, COUNTIF(E$320:E323, "&lt;&gt;0"), "")</f>
        <v>2</v>
      </c>
      <c r="G323" s="14" t="str">
        <f>IF(E323=0, COUNTIF(E$320:E323, 0), "")</f>
        <v/>
      </c>
      <c r="R323" s="215"/>
      <c r="S323" s="172"/>
      <c r="T323" s="172"/>
      <c r="U323" s="172"/>
      <c r="V323" s="172"/>
      <c r="W323" s="173"/>
    </row>
    <row r="324" spans="1:23" ht="16.95" customHeight="1" x14ac:dyDescent="0.3">
      <c r="B324" s="12" t="s">
        <v>232</v>
      </c>
      <c r="C324" s="12" t="s">
        <v>182</v>
      </c>
      <c r="E324" s="39" t="str">
        <f>IF(GRAFICA_38!F16=1, 0, B324)</f>
        <v>D3X</v>
      </c>
      <c r="F324" s="14">
        <f>IF(E324&lt;&gt;0, COUNTIF(E$320:E324, "&lt;&gt;0"), "")</f>
        <v>3</v>
      </c>
      <c r="G324" s="14" t="str">
        <f>IF(E324=0, COUNTIF(E$320:E324, 0), "")</f>
        <v/>
      </c>
      <c r="R324" s="215"/>
      <c r="S324" s="172"/>
      <c r="T324" s="172"/>
      <c r="U324" s="172"/>
      <c r="V324" s="172"/>
      <c r="W324" s="173"/>
    </row>
    <row r="325" spans="1:23" ht="16.95" customHeight="1" x14ac:dyDescent="0.3">
      <c r="B325" s="12" t="s">
        <v>234</v>
      </c>
      <c r="C325" s="12" t="s">
        <v>183</v>
      </c>
      <c r="E325" s="39" t="str">
        <f>IF(GRAFICA_38!G16=1, 0, B325)</f>
        <v>D3Y</v>
      </c>
      <c r="F325" s="14">
        <f>IF(E325&lt;&gt;0, COUNTIF(E$320:E325, "&lt;&gt;0"), "")</f>
        <v>4</v>
      </c>
      <c r="G325" s="14" t="str">
        <f>IF(E325=0, COUNTIF(E$320:E325, 0), "")</f>
        <v/>
      </c>
      <c r="R325" s="215"/>
      <c r="S325" s="172"/>
      <c r="T325" s="172"/>
      <c r="U325" s="172"/>
      <c r="V325" s="172"/>
      <c r="W325" s="173"/>
    </row>
    <row r="326" spans="1:23" ht="16.95" customHeight="1" x14ac:dyDescent="0.3">
      <c r="A326" s="38" t="s">
        <v>233</v>
      </c>
      <c r="B326" s="12" t="s">
        <v>235</v>
      </c>
      <c r="C326" s="12" t="s">
        <v>184</v>
      </c>
      <c r="D326" s="13" t="s">
        <v>220</v>
      </c>
      <c r="E326" s="39" t="str">
        <f>IF(GRAFICA_38!F17=1, 0, B326)</f>
        <v>D4X</v>
      </c>
      <c r="F326" s="14">
        <f>IF(E326&lt;&gt;0, COUNTIF(E$320:E326, "&lt;&gt;0"), "")</f>
        <v>5</v>
      </c>
      <c r="G326" s="14" t="str">
        <f>IF(E326=0, COUNTIF(E$320:E326, 0), "")</f>
        <v/>
      </c>
      <c r="R326" s="215"/>
      <c r="S326" s="172"/>
      <c r="T326" s="172"/>
      <c r="U326" s="172"/>
      <c r="V326" s="172"/>
      <c r="W326" s="173"/>
    </row>
    <row r="327" spans="1:23" ht="16.95" customHeight="1" x14ac:dyDescent="0.3">
      <c r="B327" s="12" t="s">
        <v>236</v>
      </c>
      <c r="C327" s="12" t="s">
        <v>185</v>
      </c>
      <c r="E327" s="39">
        <f>IF(GRAFICA_38!G17=1, 0, B327)</f>
        <v>0</v>
      </c>
      <c r="F327" s="14" t="str">
        <f>IF(E327&lt;&gt;0, COUNTIF(E$320:E327, "&lt;&gt;0"), "")</f>
        <v/>
      </c>
      <c r="G327" s="14">
        <f>IF(E327=0, COUNTIF(E$320:E327, 0), "")</f>
        <v>3</v>
      </c>
      <c r="R327" s="215"/>
      <c r="S327" s="172"/>
      <c r="T327" s="172"/>
      <c r="U327" s="172"/>
      <c r="V327" s="172"/>
      <c r="W327" s="173"/>
    </row>
    <row r="328" spans="1:23" ht="16.95" customHeight="1" x14ac:dyDescent="0.3">
      <c r="B328" s="12" t="s">
        <v>237</v>
      </c>
      <c r="C328" s="12" t="s">
        <v>186</v>
      </c>
      <c r="E328" s="39" t="str">
        <f>IF(GRAFICA_38!F18=1, 0, B328)</f>
        <v>D5X</v>
      </c>
      <c r="F328" s="14">
        <f>IF(E328&lt;&gt;0, COUNTIF(E$320:E328, "&lt;&gt;0"), "")</f>
        <v>6</v>
      </c>
      <c r="G328" s="14" t="str">
        <f>IF(E328=0, COUNTIF(E$320:E328, 0), "")</f>
        <v/>
      </c>
      <c r="R328" s="215"/>
      <c r="S328" s="172"/>
      <c r="T328" s="172"/>
      <c r="U328" s="172"/>
      <c r="V328" s="172"/>
      <c r="W328" s="173"/>
    </row>
    <row r="329" spans="1:23" ht="16.95" customHeight="1" x14ac:dyDescent="0.3">
      <c r="B329" s="12" t="s">
        <v>238</v>
      </c>
      <c r="C329" s="12" t="s">
        <v>187</v>
      </c>
      <c r="E329" s="39" t="str">
        <f>IF(GRAFICA_38!G18=1, 0, B329)</f>
        <v>D5Y</v>
      </c>
      <c r="F329" s="14">
        <f>IF(E329&lt;&gt;0, COUNTIF(E$320:E329, "&lt;&gt;0"), "")</f>
        <v>7</v>
      </c>
      <c r="G329" s="14" t="str">
        <f>IF(E329=0, COUNTIF(E$320:E329, 0), "")</f>
        <v/>
      </c>
      <c r="R329" s="215"/>
      <c r="S329" s="172"/>
      <c r="T329" s="172"/>
      <c r="U329" s="172"/>
      <c r="V329" s="172"/>
      <c r="W329" s="173"/>
    </row>
    <row r="330" spans="1:23" ht="16.95" customHeight="1" x14ac:dyDescent="0.3">
      <c r="B330" s="12" t="s">
        <v>239</v>
      </c>
      <c r="C330" s="12" t="s">
        <v>188</v>
      </c>
      <c r="E330" s="39" t="str">
        <f>IF(GRAFICA_38!F19=1, 0, B330)</f>
        <v>D6X</v>
      </c>
      <c r="F330" s="14">
        <f>IF(E330&lt;&gt;0, COUNTIF(E$320:E330, "&lt;&gt;0"), "")</f>
        <v>8</v>
      </c>
      <c r="G330" s="14" t="str">
        <f>IF(E330=0, COUNTIF(E$320:E330, 0), "")</f>
        <v/>
      </c>
      <c r="R330" s="215"/>
      <c r="S330" s="172"/>
      <c r="T330" s="172"/>
      <c r="U330" s="172"/>
      <c r="V330" s="172"/>
      <c r="W330" s="173"/>
    </row>
    <row r="331" spans="1:23" ht="16.95" customHeight="1" x14ac:dyDescent="0.3">
      <c r="B331" s="12" t="s">
        <v>240</v>
      </c>
      <c r="C331" s="12" t="s">
        <v>189</v>
      </c>
      <c r="E331" s="39" t="str">
        <f>IF(GRAFICA_38!G19=1, 0, B331)</f>
        <v>D6Y</v>
      </c>
      <c r="F331" s="14">
        <f>IF(E331&lt;&gt;0, COUNTIF(E$320:E331, "&lt;&gt;0"), "")</f>
        <v>9</v>
      </c>
      <c r="G331" s="14" t="str">
        <f>IF(E331=0, COUNTIF(E$320:E331, 0), "")</f>
        <v/>
      </c>
      <c r="R331" s="215"/>
      <c r="S331" s="172"/>
      <c r="T331" s="172"/>
      <c r="U331" s="172"/>
      <c r="V331" s="172"/>
      <c r="W331" s="173"/>
    </row>
    <row r="332" spans="1:23" ht="16.95" customHeight="1" x14ac:dyDescent="0.3">
      <c r="B332" s="12" t="s">
        <v>587</v>
      </c>
      <c r="C332" s="12" t="s">
        <v>579</v>
      </c>
      <c r="E332" s="39" t="str">
        <f>IF(GRAFICA_38!F20=1, 0, B332)</f>
        <v>D7X</v>
      </c>
      <c r="F332" s="14">
        <f>IF(E332&lt;&gt;0, COUNTIF(E$320:E332, "&lt;&gt;0"), "")</f>
        <v>10</v>
      </c>
      <c r="G332" s="14" t="str">
        <f>IF(E332=0, COUNTIF(E$320:E332, 0), "")</f>
        <v/>
      </c>
      <c r="R332" s="215"/>
      <c r="S332" s="172"/>
      <c r="T332" s="172"/>
      <c r="U332" s="172"/>
      <c r="V332" s="172"/>
      <c r="W332" s="173"/>
    </row>
    <row r="333" spans="1:23" ht="16.95" customHeight="1" x14ac:dyDescent="0.3">
      <c r="B333" s="12" t="s">
        <v>588</v>
      </c>
      <c r="C333" s="12" t="s">
        <v>580</v>
      </c>
      <c r="E333" s="39" t="str">
        <f>IF(GRAFICA_38!G20=1, 0, B333)</f>
        <v>D7Y</v>
      </c>
      <c r="F333" s="14">
        <f>IF(E333&lt;&gt;0, COUNTIF(E$320:E333, "&lt;&gt;0"), "")</f>
        <v>11</v>
      </c>
      <c r="G333" s="14" t="str">
        <f>IF(E333=0, COUNTIF(E$320:E333, 0), "")</f>
        <v/>
      </c>
      <c r="R333" s="215"/>
      <c r="S333" s="172"/>
      <c r="T333" s="172"/>
      <c r="U333" s="172"/>
      <c r="V333" s="172"/>
      <c r="W333" s="173"/>
    </row>
    <row r="335" spans="1:23" ht="19.95" customHeight="1" x14ac:dyDescent="0.35">
      <c r="A335" s="15" t="s">
        <v>241</v>
      </c>
      <c r="C335" s="218" t="s">
        <v>242</v>
      </c>
      <c r="D335" s="173"/>
      <c r="E335" s="40" t="s">
        <v>243</v>
      </c>
      <c r="R335" s="216" t="s">
        <v>244</v>
      </c>
      <c r="S335" s="172"/>
      <c r="T335" s="172"/>
      <c r="U335" s="172"/>
      <c r="V335" s="172"/>
      <c r="W335" s="173"/>
    </row>
    <row r="336" spans="1:23" ht="16.95" customHeight="1" x14ac:dyDescent="0.3">
      <c r="E336" s="40" t="s">
        <v>245</v>
      </c>
      <c r="R336" s="215" t="s">
        <v>246</v>
      </c>
      <c r="S336" s="172"/>
      <c r="T336" s="172"/>
      <c r="U336" s="172"/>
      <c r="V336" s="172"/>
      <c r="W336" s="173"/>
    </row>
    <row r="337" spans="1:23" ht="16.95" customHeight="1" x14ac:dyDescent="0.3">
      <c r="A337" s="99" t="s">
        <v>247</v>
      </c>
      <c r="C337" s="99" t="s">
        <v>248</v>
      </c>
      <c r="R337" s="215" t="s">
        <v>250</v>
      </c>
      <c r="S337" s="172"/>
      <c r="T337" s="172"/>
      <c r="U337" s="172"/>
      <c r="V337" s="172"/>
      <c r="W337" s="173"/>
    </row>
    <row r="338" spans="1:23" ht="16.95" customHeight="1" x14ac:dyDescent="0.3">
      <c r="A338" s="12" t="str">
        <f t="shared" ref="A338:A351" si="31">E304</f>
        <v>C1X</v>
      </c>
      <c r="C338" s="9">
        <f t="shared" ref="C338:P338" si="32">B287</f>
        <v>78669.598616688978</v>
      </c>
      <c r="D338" s="9">
        <f t="shared" si="32"/>
        <v>21692.347395090012</v>
      </c>
      <c r="E338" s="9">
        <f t="shared" si="32"/>
        <v>-68727.272727272721</v>
      </c>
      <c r="F338" s="9">
        <f t="shared" si="32"/>
        <v>0</v>
      </c>
      <c r="G338" s="9">
        <f t="shared" si="32"/>
        <v>0</v>
      </c>
      <c r="H338" s="9">
        <f t="shared" si="32"/>
        <v>0</v>
      </c>
      <c r="I338" s="9">
        <f t="shared" si="32"/>
        <v>0</v>
      </c>
      <c r="J338" s="9">
        <f t="shared" si="32"/>
        <v>0</v>
      </c>
      <c r="K338" s="9">
        <f t="shared" si="32"/>
        <v>-9942.3258894162518</v>
      </c>
      <c r="L338" s="9">
        <f t="shared" si="32"/>
        <v>-21692.347395090012</v>
      </c>
      <c r="M338" s="9">
        <f t="shared" si="32"/>
        <v>0</v>
      </c>
      <c r="N338" s="9">
        <f t="shared" si="32"/>
        <v>0</v>
      </c>
      <c r="O338" s="9">
        <f t="shared" si="32"/>
        <v>0</v>
      </c>
      <c r="P338" s="9">
        <f t="shared" si="32"/>
        <v>0</v>
      </c>
      <c r="Q338" s="13" t="s">
        <v>251</v>
      </c>
      <c r="R338" s="219" t="s">
        <v>380</v>
      </c>
      <c r="S338" s="172"/>
      <c r="T338" s="172"/>
      <c r="U338" s="172"/>
      <c r="V338" s="172"/>
      <c r="W338" s="173"/>
    </row>
    <row r="339" spans="1:23" ht="16.95" customHeight="1" x14ac:dyDescent="0.3">
      <c r="A339" s="12" t="str">
        <f t="shared" si="31"/>
        <v>C1Y</v>
      </c>
      <c r="C339" s="9">
        <f t="shared" ref="C339:P339" si="33">B288</f>
        <v>21692.347395090012</v>
      </c>
      <c r="D339" s="9">
        <f t="shared" si="33"/>
        <v>47328.757952923668</v>
      </c>
      <c r="E339" s="9">
        <f t="shared" si="33"/>
        <v>0</v>
      </c>
      <c r="F339" s="9">
        <f t="shared" si="33"/>
        <v>0</v>
      </c>
      <c r="G339" s="9">
        <f t="shared" si="33"/>
        <v>0</v>
      </c>
      <c r="H339" s="9">
        <f t="shared" si="33"/>
        <v>0</v>
      </c>
      <c r="I339" s="9">
        <f t="shared" si="33"/>
        <v>0</v>
      </c>
      <c r="J339" s="9">
        <f t="shared" si="33"/>
        <v>0</v>
      </c>
      <c r="K339" s="9">
        <f t="shared" si="33"/>
        <v>-21692.347395090012</v>
      </c>
      <c r="L339" s="9">
        <f t="shared" si="33"/>
        <v>-47328.757952923668</v>
      </c>
      <c r="M339" s="9">
        <f t="shared" si="33"/>
        <v>0</v>
      </c>
      <c r="N339" s="9">
        <f t="shared" si="33"/>
        <v>0</v>
      </c>
      <c r="O339" s="9">
        <f t="shared" si="33"/>
        <v>0</v>
      </c>
      <c r="P339" s="9">
        <f t="shared" si="33"/>
        <v>0</v>
      </c>
      <c r="Q339" s="13" t="s">
        <v>251</v>
      </c>
      <c r="R339" s="219" t="s">
        <v>253</v>
      </c>
      <c r="S339" s="172"/>
      <c r="T339" s="172"/>
      <c r="U339" s="172"/>
      <c r="V339" s="172"/>
      <c r="W339" s="173"/>
    </row>
    <row r="340" spans="1:23" ht="16.95" customHeight="1" x14ac:dyDescent="0.3">
      <c r="A340" s="41">
        <f t="shared" si="31"/>
        <v>0</v>
      </c>
      <c r="C340" s="9">
        <f t="shared" ref="C340:P340" si="34">B289</f>
        <v>-68727.272727272721</v>
      </c>
      <c r="D340" s="9">
        <f t="shared" si="34"/>
        <v>0</v>
      </c>
      <c r="E340" s="41">
        <f t="shared" si="34"/>
        <v>157339.19723337796</v>
      </c>
      <c r="F340" s="41">
        <f t="shared" si="34"/>
        <v>0</v>
      </c>
      <c r="G340" s="41">
        <f t="shared" si="34"/>
        <v>-68727.272727272721</v>
      </c>
      <c r="H340" s="41">
        <f t="shared" si="34"/>
        <v>0</v>
      </c>
      <c r="I340" s="41">
        <f t="shared" si="34"/>
        <v>0</v>
      </c>
      <c r="J340" s="9">
        <f t="shared" si="34"/>
        <v>0</v>
      </c>
      <c r="K340" s="41">
        <f t="shared" si="34"/>
        <v>-9942.3258894162591</v>
      </c>
      <c r="L340" s="41">
        <f t="shared" si="34"/>
        <v>21692.347395090015</v>
      </c>
      <c r="M340" s="41">
        <f t="shared" si="34"/>
        <v>-9942.3258894162554</v>
      </c>
      <c r="N340" s="41">
        <f t="shared" si="34"/>
        <v>-21692.347395090015</v>
      </c>
      <c r="O340" s="41">
        <f t="shared" si="34"/>
        <v>0</v>
      </c>
      <c r="P340" s="41">
        <f t="shared" si="34"/>
        <v>0</v>
      </c>
      <c r="Q340" s="13" t="s">
        <v>251</v>
      </c>
      <c r="R340" s="215" t="s">
        <v>254</v>
      </c>
      <c r="S340" s="172"/>
      <c r="T340" s="172"/>
      <c r="U340" s="172"/>
      <c r="V340" s="172"/>
      <c r="W340" s="173"/>
    </row>
    <row r="341" spans="1:23" ht="16.95" customHeight="1" x14ac:dyDescent="0.3">
      <c r="A341" s="41">
        <f t="shared" si="31"/>
        <v>-4000</v>
      </c>
      <c r="C341" s="9">
        <f t="shared" ref="C341:P341" si="35">B290</f>
        <v>0</v>
      </c>
      <c r="D341" s="9">
        <f t="shared" si="35"/>
        <v>0</v>
      </c>
      <c r="E341" s="41">
        <f t="shared" si="35"/>
        <v>0</v>
      </c>
      <c r="F341" s="41">
        <f t="shared" si="35"/>
        <v>94657.515905847322</v>
      </c>
      <c r="G341" s="41">
        <f t="shared" si="35"/>
        <v>0</v>
      </c>
      <c r="H341" s="41">
        <f t="shared" si="35"/>
        <v>0</v>
      </c>
      <c r="I341" s="41">
        <f t="shared" si="35"/>
        <v>0</v>
      </c>
      <c r="J341" s="9">
        <f t="shared" si="35"/>
        <v>0</v>
      </c>
      <c r="K341" s="41">
        <f t="shared" si="35"/>
        <v>21692.347395090015</v>
      </c>
      <c r="L341" s="41">
        <f t="shared" si="35"/>
        <v>-47328.757952923654</v>
      </c>
      <c r="M341" s="41">
        <f t="shared" si="35"/>
        <v>-21692.347395090015</v>
      </c>
      <c r="N341" s="41">
        <f t="shared" si="35"/>
        <v>-47328.757952923668</v>
      </c>
      <c r="O341" s="41">
        <f t="shared" si="35"/>
        <v>0</v>
      </c>
      <c r="P341" s="41">
        <f t="shared" si="35"/>
        <v>0</v>
      </c>
      <c r="Q341" s="13" t="s">
        <v>251</v>
      </c>
      <c r="R341" s="215" t="s">
        <v>381</v>
      </c>
      <c r="S341" s="172"/>
      <c r="T341" s="172"/>
      <c r="U341" s="172"/>
      <c r="V341" s="172"/>
      <c r="W341" s="173"/>
    </row>
    <row r="342" spans="1:23" ht="16.95" customHeight="1" x14ac:dyDescent="0.3">
      <c r="A342" s="41">
        <f t="shared" si="31"/>
        <v>0</v>
      </c>
      <c r="C342" s="9">
        <f t="shared" ref="C342:P342" si="36">B291</f>
        <v>0</v>
      </c>
      <c r="D342" s="9">
        <f t="shared" si="36"/>
        <v>0</v>
      </c>
      <c r="E342" s="41">
        <f t="shared" si="36"/>
        <v>-68727.272727272721</v>
      </c>
      <c r="F342" s="41">
        <f t="shared" si="36"/>
        <v>0</v>
      </c>
      <c r="G342" s="41">
        <f t="shared" si="36"/>
        <v>157339.19723337801</v>
      </c>
      <c r="H342" s="41">
        <f t="shared" si="36"/>
        <v>0</v>
      </c>
      <c r="I342" s="41">
        <f t="shared" si="36"/>
        <v>-68727.272727272735</v>
      </c>
      <c r="J342" s="9">
        <f t="shared" si="36"/>
        <v>0</v>
      </c>
      <c r="K342" s="41">
        <f t="shared" si="36"/>
        <v>0</v>
      </c>
      <c r="L342" s="41">
        <f t="shared" si="36"/>
        <v>0</v>
      </c>
      <c r="M342" s="41">
        <f t="shared" si="36"/>
        <v>-9942.3258894162573</v>
      </c>
      <c r="N342" s="41">
        <f t="shared" si="36"/>
        <v>21692.347395090012</v>
      </c>
      <c r="O342" s="41">
        <f t="shared" si="36"/>
        <v>-9942.3258894162573</v>
      </c>
      <c r="P342" s="41">
        <f t="shared" si="36"/>
        <v>-21692.347395090012</v>
      </c>
      <c r="Q342" s="13" t="s">
        <v>251</v>
      </c>
      <c r="R342" s="215" t="s">
        <v>382</v>
      </c>
      <c r="S342" s="172"/>
      <c r="T342" s="172"/>
      <c r="U342" s="172"/>
      <c r="V342" s="172"/>
      <c r="W342" s="173"/>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94657.515905847307</v>
      </c>
      <c r="I343" s="41">
        <f t="shared" si="37"/>
        <v>0</v>
      </c>
      <c r="J343" s="9">
        <f t="shared" si="37"/>
        <v>0</v>
      </c>
      <c r="K343" s="41">
        <f t="shared" si="37"/>
        <v>0</v>
      </c>
      <c r="L343" s="41">
        <f t="shared" si="37"/>
        <v>0</v>
      </c>
      <c r="M343" s="41">
        <f t="shared" si="37"/>
        <v>21692.347395090012</v>
      </c>
      <c r="N343" s="41">
        <f t="shared" si="37"/>
        <v>-47328.757952923654</v>
      </c>
      <c r="O343" s="41">
        <f t="shared" si="37"/>
        <v>-21692.347395090012</v>
      </c>
      <c r="P343" s="41">
        <f t="shared" si="37"/>
        <v>-47328.757952923654</v>
      </c>
      <c r="Q343" s="13" t="s">
        <v>251</v>
      </c>
      <c r="R343" s="215" t="str">
        <f t="shared" ref="R343:R351" si="38">E325</f>
        <v>D3Y</v>
      </c>
      <c r="S343" s="172"/>
      <c r="T343" s="172"/>
      <c r="U343" s="172"/>
      <c r="V343" s="172"/>
      <c r="W343" s="173"/>
    </row>
    <row r="344" spans="1:23" ht="16.95" customHeight="1" x14ac:dyDescent="0.3">
      <c r="A344" s="41">
        <f t="shared" si="31"/>
        <v>0</v>
      </c>
      <c r="C344" s="9">
        <f t="shared" ref="C344:P344" si="39">B293</f>
        <v>0</v>
      </c>
      <c r="D344" s="9">
        <f t="shared" si="39"/>
        <v>0</v>
      </c>
      <c r="E344" s="41">
        <f t="shared" si="39"/>
        <v>0</v>
      </c>
      <c r="F344" s="41">
        <f t="shared" si="39"/>
        <v>0</v>
      </c>
      <c r="G344" s="41">
        <f t="shared" si="39"/>
        <v>-68727.272727272735</v>
      </c>
      <c r="H344" s="41">
        <f t="shared" si="39"/>
        <v>0</v>
      </c>
      <c r="I344" s="41">
        <f t="shared" si="39"/>
        <v>78669.598616688978</v>
      </c>
      <c r="J344" s="9">
        <f t="shared" si="39"/>
        <v>-21692.347395090004</v>
      </c>
      <c r="K344" s="41">
        <f t="shared" si="39"/>
        <v>0</v>
      </c>
      <c r="L344" s="41">
        <f t="shared" si="39"/>
        <v>0</v>
      </c>
      <c r="M344" s="41">
        <f t="shared" si="39"/>
        <v>0</v>
      </c>
      <c r="N344" s="41">
        <f t="shared" si="39"/>
        <v>0</v>
      </c>
      <c r="O344" s="41">
        <f t="shared" si="39"/>
        <v>-9942.3258894162464</v>
      </c>
      <c r="P344" s="41">
        <f t="shared" si="39"/>
        <v>21692.347395090004</v>
      </c>
      <c r="Q344" s="13" t="s">
        <v>251</v>
      </c>
      <c r="R344" s="215" t="str">
        <f t="shared" si="38"/>
        <v>D4X</v>
      </c>
      <c r="S344" s="172"/>
      <c r="T344" s="172"/>
      <c r="U344" s="172"/>
      <c r="V344" s="172"/>
      <c r="W344" s="173"/>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-21692.347395090004</v>
      </c>
      <c r="J345" s="9">
        <f t="shared" si="40"/>
        <v>47328.757952923668</v>
      </c>
      <c r="K345" s="9">
        <f t="shared" si="40"/>
        <v>0</v>
      </c>
      <c r="L345" s="9">
        <f t="shared" si="40"/>
        <v>0</v>
      </c>
      <c r="M345" s="9">
        <f t="shared" si="40"/>
        <v>0</v>
      </c>
      <c r="N345" s="9">
        <f t="shared" si="40"/>
        <v>0</v>
      </c>
      <c r="O345" s="9">
        <f t="shared" si="40"/>
        <v>21692.347395090004</v>
      </c>
      <c r="P345" s="9">
        <f t="shared" si="40"/>
        <v>-47328.757952923668</v>
      </c>
      <c r="Q345" s="13" t="s">
        <v>251</v>
      </c>
      <c r="R345" s="219">
        <f t="shared" si="38"/>
        <v>0</v>
      </c>
      <c r="S345" s="172"/>
      <c r="T345" s="172"/>
      <c r="U345" s="172"/>
      <c r="V345" s="172"/>
      <c r="W345" s="173"/>
    </row>
    <row r="346" spans="1:23" ht="16.95" customHeight="1" x14ac:dyDescent="0.3">
      <c r="A346" s="41">
        <f t="shared" si="31"/>
        <v>0</v>
      </c>
      <c r="C346" s="9">
        <f t="shared" ref="C346:P346" si="41">B295</f>
        <v>-9942.3258894162518</v>
      </c>
      <c r="D346" s="9">
        <f t="shared" si="41"/>
        <v>-21692.347395090012</v>
      </c>
      <c r="E346" s="41">
        <f t="shared" si="41"/>
        <v>-9942.3258894162591</v>
      </c>
      <c r="F346" s="41">
        <f t="shared" si="41"/>
        <v>21692.347395090015</v>
      </c>
      <c r="G346" s="41">
        <f t="shared" si="41"/>
        <v>0</v>
      </c>
      <c r="H346" s="41">
        <f t="shared" si="41"/>
        <v>0</v>
      </c>
      <c r="I346" s="41">
        <f t="shared" si="41"/>
        <v>0</v>
      </c>
      <c r="J346" s="9">
        <f t="shared" si="41"/>
        <v>0</v>
      </c>
      <c r="K346" s="41">
        <f t="shared" si="41"/>
        <v>88611.924506105221</v>
      </c>
      <c r="L346" s="41">
        <f t="shared" si="41"/>
        <v>-3.637978807091713E-12</v>
      </c>
      <c r="M346" s="41">
        <f t="shared" si="41"/>
        <v>-68727.272727272706</v>
      </c>
      <c r="N346" s="41">
        <f t="shared" si="41"/>
        <v>0</v>
      </c>
      <c r="O346" s="41">
        <f t="shared" si="41"/>
        <v>0</v>
      </c>
      <c r="P346" s="41">
        <f t="shared" si="41"/>
        <v>0</v>
      </c>
      <c r="Q346" s="13" t="s">
        <v>251</v>
      </c>
      <c r="R346" s="215" t="str">
        <f t="shared" si="38"/>
        <v>D5X</v>
      </c>
      <c r="S346" s="172"/>
      <c r="T346" s="172"/>
      <c r="U346" s="172"/>
      <c r="V346" s="172"/>
      <c r="W346" s="173"/>
    </row>
    <row r="347" spans="1:23" ht="16.95" customHeight="1" x14ac:dyDescent="0.3">
      <c r="A347" s="41">
        <f t="shared" si="31"/>
        <v>0</v>
      </c>
      <c r="C347" s="9">
        <f t="shared" ref="C347:P347" si="42">B296</f>
        <v>-21692.347395090012</v>
      </c>
      <c r="D347" s="9">
        <f t="shared" si="42"/>
        <v>-47328.757952923668</v>
      </c>
      <c r="E347" s="41">
        <f t="shared" si="42"/>
        <v>21692.347395090015</v>
      </c>
      <c r="F347" s="41">
        <f t="shared" si="42"/>
        <v>-47328.757952923654</v>
      </c>
      <c r="G347" s="41">
        <f t="shared" si="42"/>
        <v>0</v>
      </c>
      <c r="H347" s="41">
        <f t="shared" si="42"/>
        <v>0</v>
      </c>
      <c r="I347" s="41">
        <f t="shared" si="42"/>
        <v>0</v>
      </c>
      <c r="J347" s="9">
        <f t="shared" si="42"/>
        <v>0</v>
      </c>
      <c r="K347" s="41">
        <f t="shared" si="42"/>
        <v>-3.637978807091713E-12</v>
      </c>
      <c r="L347" s="41">
        <f t="shared" si="42"/>
        <v>94657.515905847322</v>
      </c>
      <c r="M347" s="41">
        <f t="shared" si="42"/>
        <v>0</v>
      </c>
      <c r="N347" s="41">
        <f t="shared" si="42"/>
        <v>0</v>
      </c>
      <c r="O347" s="41">
        <f t="shared" si="42"/>
        <v>0</v>
      </c>
      <c r="P347" s="41">
        <f t="shared" si="42"/>
        <v>0</v>
      </c>
      <c r="Q347" s="13" t="s">
        <v>251</v>
      </c>
      <c r="R347" s="215" t="str">
        <f t="shared" si="38"/>
        <v>D5Y</v>
      </c>
      <c r="S347" s="172"/>
      <c r="T347" s="172"/>
      <c r="U347" s="172"/>
      <c r="V347" s="172"/>
      <c r="W347" s="173"/>
    </row>
    <row r="348" spans="1:23" ht="16.95" customHeight="1" x14ac:dyDescent="0.3">
      <c r="A348" s="41">
        <f t="shared" si="31"/>
        <v>0</v>
      </c>
      <c r="C348" s="9">
        <f t="shared" ref="C348:P348" si="43">B297</f>
        <v>0</v>
      </c>
      <c r="D348" s="9">
        <f t="shared" si="43"/>
        <v>0</v>
      </c>
      <c r="E348" s="41">
        <f t="shared" si="43"/>
        <v>-9942.3258894162554</v>
      </c>
      <c r="F348" s="41">
        <f t="shared" si="43"/>
        <v>-21692.347395090015</v>
      </c>
      <c r="G348" s="41">
        <f t="shared" si="43"/>
        <v>-9942.3258894162573</v>
      </c>
      <c r="H348" s="41">
        <f t="shared" si="43"/>
        <v>21692.347395090012</v>
      </c>
      <c r="I348" s="41">
        <f t="shared" si="43"/>
        <v>0</v>
      </c>
      <c r="J348" s="9">
        <f t="shared" si="43"/>
        <v>0</v>
      </c>
      <c r="K348" s="41">
        <f t="shared" si="43"/>
        <v>-68727.272727272706</v>
      </c>
      <c r="L348" s="41">
        <f t="shared" si="43"/>
        <v>0</v>
      </c>
      <c r="M348" s="41">
        <f t="shared" si="43"/>
        <v>157339.19723337793</v>
      </c>
      <c r="N348" s="41">
        <f t="shared" si="43"/>
        <v>3.637978807091713E-12</v>
      </c>
      <c r="O348" s="41">
        <f t="shared" si="43"/>
        <v>-68727.272727272706</v>
      </c>
      <c r="P348" s="41">
        <f t="shared" si="43"/>
        <v>0</v>
      </c>
      <c r="Q348" s="13" t="s">
        <v>251</v>
      </c>
      <c r="R348" s="215" t="str">
        <f t="shared" si="38"/>
        <v>D6X</v>
      </c>
      <c r="S348" s="172"/>
      <c r="T348" s="172"/>
      <c r="U348" s="172"/>
      <c r="V348" s="172"/>
      <c r="W348" s="173"/>
    </row>
    <row r="349" spans="1:23" ht="16.95" customHeight="1" x14ac:dyDescent="0.3">
      <c r="A349" s="41">
        <f t="shared" si="31"/>
        <v>-6000</v>
      </c>
      <c r="C349" s="9">
        <f t="shared" ref="C349:P349" si="44">B298</f>
        <v>0</v>
      </c>
      <c r="D349" s="9">
        <f t="shared" si="44"/>
        <v>0</v>
      </c>
      <c r="E349" s="41">
        <f t="shared" si="44"/>
        <v>-21692.347395090015</v>
      </c>
      <c r="F349" s="41">
        <f t="shared" si="44"/>
        <v>-47328.757952923668</v>
      </c>
      <c r="G349" s="41">
        <f t="shared" si="44"/>
        <v>21692.347395090012</v>
      </c>
      <c r="H349" s="41">
        <f t="shared" si="44"/>
        <v>-47328.757952923654</v>
      </c>
      <c r="I349" s="41">
        <f t="shared" si="44"/>
        <v>0</v>
      </c>
      <c r="J349" s="9">
        <f t="shared" si="44"/>
        <v>0</v>
      </c>
      <c r="K349" s="41">
        <f t="shared" si="44"/>
        <v>0</v>
      </c>
      <c r="L349" s="41">
        <f t="shared" si="44"/>
        <v>0</v>
      </c>
      <c r="M349" s="41">
        <f t="shared" si="44"/>
        <v>3.637978807091713E-12</v>
      </c>
      <c r="N349" s="41">
        <f t="shared" si="44"/>
        <v>94657.515905847322</v>
      </c>
      <c r="O349" s="41">
        <f t="shared" si="44"/>
        <v>0</v>
      </c>
      <c r="P349" s="41">
        <f t="shared" si="44"/>
        <v>0</v>
      </c>
      <c r="Q349" s="13" t="s">
        <v>251</v>
      </c>
      <c r="R349" s="215" t="str">
        <f t="shared" si="38"/>
        <v>D6Y</v>
      </c>
      <c r="S349" s="172"/>
      <c r="T349" s="172"/>
      <c r="U349" s="172"/>
      <c r="V349" s="172"/>
      <c r="W349" s="173"/>
    </row>
    <row r="350" spans="1:23" ht="16.95" customHeight="1" x14ac:dyDescent="0.3">
      <c r="A350" s="41">
        <f t="shared" si="31"/>
        <v>0</v>
      </c>
      <c r="C350" s="9">
        <f t="shared" ref="C350:P350" si="45">B299</f>
        <v>0</v>
      </c>
      <c r="D350" s="9">
        <f t="shared" si="45"/>
        <v>0</v>
      </c>
      <c r="E350" s="41">
        <f t="shared" si="45"/>
        <v>0</v>
      </c>
      <c r="F350" s="41">
        <f t="shared" si="45"/>
        <v>0</v>
      </c>
      <c r="G350" s="41">
        <f t="shared" si="45"/>
        <v>-9942.3258894162573</v>
      </c>
      <c r="H350" s="41">
        <f t="shared" si="45"/>
        <v>-21692.347395090012</v>
      </c>
      <c r="I350" s="41">
        <f t="shared" si="45"/>
        <v>-9942.3258894162464</v>
      </c>
      <c r="J350" s="9">
        <f t="shared" si="45"/>
        <v>21692.347395090004</v>
      </c>
      <c r="K350" s="41">
        <f t="shared" si="45"/>
        <v>0</v>
      </c>
      <c r="L350" s="41">
        <f t="shared" si="45"/>
        <v>0</v>
      </c>
      <c r="M350" s="41">
        <f t="shared" si="45"/>
        <v>-68727.272727272706</v>
      </c>
      <c r="N350" s="41">
        <f t="shared" si="45"/>
        <v>0</v>
      </c>
      <c r="O350" s="41">
        <f t="shared" si="45"/>
        <v>88611.924506105206</v>
      </c>
      <c r="P350" s="41">
        <f t="shared" si="45"/>
        <v>0</v>
      </c>
      <c r="Q350" s="13" t="s">
        <v>251</v>
      </c>
      <c r="R350" s="215" t="str">
        <f t="shared" si="38"/>
        <v>D7X</v>
      </c>
      <c r="S350" s="172"/>
      <c r="T350" s="172"/>
      <c r="U350" s="172"/>
      <c r="V350" s="172"/>
      <c r="W350" s="173"/>
    </row>
    <row r="351" spans="1:23" ht="16.95" customHeight="1" x14ac:dyDescent="0.3">
      <c r="A351" s="41">
        <f t="shared" si="31"/>
        <v>0</v>
      </c>
      <c r="C351" s="9">
        <f t="shared" ref="C351:P351" si="46">B300</f>
        <v>0</v>
      </c>
      <c r="D351" s="9">
        <f t="shared" si="46"/>
        <v>0</v>
      </c>
      <c r="E351" s="41">
        <f t="shared" si="46"/>
        <v>0</v>
      </c>
      <c r="F351" s="41">
        <f t="shared" si="46"/>
        <v>0</v>
      </c>
      <c r="G351" s="41">
        <f t="shared" si="46"/>
        <v>-21692.347395090012</v>
      </c>
      <c r="H351" s="41">
        <f t="shared" si="46"/>
        <v>-47328.757952923654</v>
      </c>
      <c r="I351" s="41">
        <f t="shared" si="46"/>
        <v>21692.347395090004</v>
      </c>
      <c r="J351" s="9">
        <f t="shared" si="46"/>
        <v>-47328.757952923668</v>
      </c>
      <c r="K351" s="41">
        <f t="shared" si="46"/>
        <v>0</v>
      </c>
      <c r="L351" s="41">
        <f t="shared" si="46"/>
        <v>0</v>
      </c>
      <c r="M351" s="41">
        <f t="shared" si="46"/>
        <v>0</v>
      </c>
      <c r="N351" s="41">
        <f t="shared" si="46"/>
        <v>0</v>
      </c>
      <c r="O351" s="41">
        <f t="shared" si="46"/>
        <v>0</v>
      </c>
      <c r="P351" s="41">
        <f t="shared" si="46"/>
        <v>94657.515905847322</v>
      </c>
      <c r="Q351" s="13" t="s">
        <v>251</v>
      </c>
      <c r="R351" s="215" t="str">
        <f t="shared" si="38"/>
        <v>D7Y</v>
      </c>
      <c r="S351" s="172"/>
      <c r="T351" s="172"/>
      <c r="U351" s="172"/>
      <c r="V351" s="172"/>
      <c r="W351" s="173"/>
    </row>
    <row r="354" spans="1:23" ht="19.95" customHeight="1" x14ac:dyDescent="0.35">
      <c r="A354" s="15" t="s">
        <v>257</v>
      </c>
      <c r="R354" s="216" t="s">
        <v>258</v>
      </c>
      <c r="S354" s="172"/>
      <c r="T354" s="172"/>
      <c r="U354" s="172"/>
      <c r="V354" s="172"/>
      <c r="W354" s="173"/>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215" t="s">
        <v>383</v>
      </c>
      <c r="S355" s="172"/>
      <c r="T355" s="172"/>
      <c r="U355" s="172"/>
      <c r="V355" s="172"/>
      <c r="W355" s="173"/>
    </row>
    <row r="356" spans="1:23" ht="16.95" customHeight="1" x14ac:dyDescent="0.3">
      <c r="A356" s="41">
        <f t="shared" ref="A356:A366" si="47">INDEX(E$304:E$317, MATCH(P356, C$304:C$317, 0))</f>
        <v>0</v>
      </c>
      <c r="C356" s="41">
        <f t="shared" ref="C356:M366" si="48">INDEX($B$287:$O$300, MATCH($P356, $P$287:$P$300, 0), MATCH(C$355, $B$286:$O$286, 0))</f>
        <v>157339.19723337796</v>
      </c>
      <c r="D356" s="41">
        <f t="shared" si="48"/>
        <v>0</v>
      </c>
      <c r="E356" s="41">
        <f t="shared" si="48"/>
        <v>-68727.272727272721</v>
      </c>
      <c r="F356" s="41">
        <f t="shared" si="48"/>
        <v>0</v>
      </c>
      <c r="G356" s="41">
        <f t="shared" si="48"/>
        <v>0</v>
      </c>
      <c r="H356" s="41">
        <f t="shared" si="48"/>
        <v>-9942.3258894162591</v>
      </c>
      <c r="I356" s="41">
        <f t="shared" si="48"/>
        <v>21692.347395090015</v>
      </c>
      <c r="J356" s="41">
        <f t="shared" si="48"/>
        <v>-9942.3258894162554</v>
      </c>
      <c r="K356" s="41">
        <f t="shared" si="48"/>
        <v>-21692.347395090015</v>
      </c>
      <c r="L356" s="41">
        <f t="shared" si="48"/>
        <v>0</v>
      </c>
      <c r="M356" s="41">
        <f t="shared" si="48"/>
        <v>0</v>
      </c>
      <c r="N356" s="13" t="s">
        <v>251</v>
      </c>
      <c r="O356" s="38" t="str">
        <f>INDEX(B$320:B$333, MATCH(1, F$320:F$333, 0))</f>
        <v>D2X</v>
      </c>
      <c r="P356" s="14" t="str">
        <f>INDEX(C$320:C$333, MATCH(1, F$320:F$333, 0))</f>
        <v>U2X</v>
      </c>
      <c r="R356" s="215" t="s">
        <v>384</v>
      </c>
      <c r="S356" s="172"/>
      <c r="T356" s="172"/>
      <c r="U356" s="172"/>
      <c r="V356" s="172"/>
      <c r="W356" s="173"/>
    </row>
    <row r="357" spans="1:23" ht="16.95" customHeight="1" x14ac:dyDescent="0.3">
      <c r="A357" s="41">
        <f t="shared" si="47"/>
        <v>-4000</v>
      </c>
      <c r="C357" s="41">
        <f t="shared" si="48"/>
        <v>0</v>
      </c>
      <c r="D357" s="41">
        <f t="shared" si="48"/>
        <v>94657.515905847322</v>
      </c>
      <c r="E357" s="41">
        <f t="shared" si="48"/>
        <v>0</v>
      </c>
      <c r="F357" s="41">
        <f t="shared" si="48"/>
        <v>0</v>
      </c>
      <c r="G357" s="41">
        <f t="shared" si="48"/>
        <v>0</v>
      </c>
      <c r="H357" s="41">
        <f t="shared" si="48"/>
        <v>21692.347395090015</v>
      </c>
      <c r="I357" s="41">
        <f t="shared" si="48"/>
        <v>-47328.757952923654</v>
      </c>
      <c r="J357" s="41">
        <f t="shared" si="48"/>
        <v>-21692.347395090015</v>
      </c>
      <c r="K357" s="41">
        <f t="shared" si="48"/>
        <v>-47328.757952923668</v>
      </c>
      <c r="L357" s="41">
        <f t="shared" si="48"/>
        <v>0</v>
      </c>
      <c r="M357" s="41">
        <f t="shared" si="48"/>
        <v>0</v>
      </c>
      <c r="N357" s="13" t="s">
        <v>251</v>
      </c>
      <c r="O357" s="38" t="str">
        <f>INDEX(B$320:B$333, MATCH(2, F$320:F$333, 0))</f>
        <v>D2Y</v>
      </c>
      <c r="P357" s="14" t="str">
        <f>INDEX(C$320:C$333, MATCH(2, F$320:F$333, 0))</f>
        <v>U2Y</v>
      </c>
      <c r="R357" s="215" t="s">
        <v>385</v>
      </c>
      <c r="S357" s="172"/>
      <c r="T357" s="172"/>
      <c r="U357" s="172"/>
      <c r="V357" s="172"/>
      <c r="W357" s="173"/>
    </row>
    <row r="358" spans="1:23" ht="16.95" customHeight="1" x14ac:dyDescent="0.3">
      <c r="A358" s="41">
        <f t="shared" si="47"/>
        <v>0</v>
      </c>
      <c r="C358" s="41">
        <f t="shared" si="48"/>
        <v>-68727.272727272721</v>
      </c>
      <c r="D358" s="41">
        <f t="shared" si="48"/>
        <v>0</v>
      </c>
      <c r="E358" s="41">
        <f t="shared" si="48"/>
        <v>157339.19723337801</v>
      </c>
      <c r="F358" s="41">
        <f t="shared" si="48"/>
        <v>0</v>
      </c>
      <c r="G358" s="41">
        <f t="shared" si="48"/>
        <v>-68727.272727272735</v>
      </c>
      <c r="H358" s="41">
        <f t="shared" si="48"/>
        <v>0</v>
      </c>
      <c r="I358" s="41">
        <f t="shared" si="48"/>
        <v>0</v>
      </c>
      <c r="J358" s="41">
        <f t="shared" si="48"/>
        <v>-9942.3258894162573</v>
      </c>
      <c r="K358" s="41">
        <f t="shared" si="48"/>
        <v>21692.347395090012</v>
      </c>
      <c r="L358" s="41">
        <f t="shared" si="48"/>
        <v>-9942.3258894162573</v>
      </c>
      <c r="M358" s="41">
        <f t="shared" si="48"/>
        <v>-21692.347395090012</v>
      </c>
      <c r="N358" s="13" t="s">
        <v>251</v>
      </c>
      <c r="O358" s="38" t="str">
        <f>INDEX(B$320:B$333, MATCH(3, F$320:F$333, 0))</f>
        <v>D3X</v>
      </c>
      <c r="P358" s="14" t="str">
        <f>INDEX(C$320:C$333, MATCH(3, F$320:F$333, 0))</f>
        <v>U3X</v>
      </c>
      <c r="R358" s="215" t="s">
        <v>386</v>
      </c>
      <c r="S358" s="172"/>
      <c r="T358" s="172"/>
      <c r="U358" s="172"/>
      <c r="V358" s="172"/>
      <c r="W358" s="173"/>
    </row>
    <row r="359" spans="1:23" ht="16.95" customHeight="1" x14ac:dyDescent="0.3">
      <c r="A359" s="41">
        <f t="shared" si="47"/>
        <v>-4000</v>
      </c>
      <c r="C359" s="41">
        <f t="shared" si="48"/>
        <v>0</v>
      </c>
      <c r="D359" s="41">
        <f t="shared" si="48"/>
        <v>0</v>
      </c>
      <c r="E359" s="41">
        <f t="shared" si="48"/>
        <v>0</v>
      </c>
      <c r="F359" s="41">
        <f t="shared" si="48"/>
        <v>94657.515905847307</v>
      </c>
      <c r="G359" s="41">
        <f t="shared" si="48"/>
        <v>0</v>
      </c>
      <c r="H359" s="41">
        <f t="shared" si="48"/>
        <v>0</v>
      </c>
      <c r="I359" s="41">
        <f t="shared" si="48"/>
        <v>0</v>
      </c>
      <c r="J359" s="41">
        <f t="shared" si="48"/>
        <v>21692.347395090012</v>
      </c>
      <c r="K359" s="41">
        <f t="shared" si="48"/>
        <v>-47328.757952923654</v>
      </c>
      <c r="L359" s="41">
        <f t="shared" si="48"/>
        <v>-21692.347395090012</v>
      </c>
      <c r="M359" s="41">
        <f t="shared" si="48"/>
        <v>-47328.757952923654</v>
      </c>
      <c r="N359" s="13" t="s">
        <v>251</v>
      </c>
      <c r="O359" s="38" t="str">
        <f>INDEX(B$320:B$333, MATCH(4, F$320:F$333, 0))</f>
        <v>D3Y</v>
      </c>
      <c r="P359" s="14" t="str">
        <f>INDEX(C$320:C$333, MATCH(4, F$320:F$333, 0))</f>
        <v>U3Y</v>
      </c>
      <c r="R359" s="215" t="s">
        <v>387</v>
      </c>
      <c r="S359" s="172"/>
      <c r="T359" s="172"/>
      <c r="U359" s="172"/>
      <c r="V359" s="172"/>
      <c r="W359" s="173"/>
    </row>
    <row r="360" spans="1:23" ht="16.95" customHeight="1" x14ac:dyDescent="0.3">
      <c r="A360" s="41">
        <f t="shared" si="47"/>
        <v>0</v>
      </c>
      <c r="C360" s="41">
        <f t="shared" si="48"/>
        <v>0</v>
      </c>
      <c r="D360" s="41">
        <f t="shared" si="48"/>
        <v>0</v>
      </c>
      <c r="E360" s="41">
        <f t="shared" si="48"/>
        <v>-68727.272727272735</v>
      </c>
      <c r="F360" s="41">
        <f t="shared" si="48"/>
        <v>0</v>
      </c>
      <c r="G360" s="41">
        <f t="shared" si="48"/>
        <v>78669.598616688978</v>
      </c>
      <c r="H360" s="41">
        <f t="shared" si="48"/>
        <v>0</v>
      </c>
      <c r="I360" s="41">
        <f t="shared" si="48"/>
        <v>0</v>
      </c>
      <c r="J360" s="41">
        <f t="shared" si="48"/>
        <v>0</v>
      </c>
      <c r="K360" s="41">
        <f t="shared" si="48"/>
        <v>0</v>
      </c>
      <c r="L360" s="41">
        <f t="shared" si="48"/>
        <v>-9942.3258894162464</v>
      </c>
      <c r="M360" s="41">
        <f t="shared" si="48"/>
        <v>21692.347395090004</v>
      </c>
      <c r="N360" s="13" t="s">
        <v>251</v>
      </c>
      <c r="O360" s="38" t="str">
        <f>INDEX(B$320:B$333, MATCH(5, F$320:F$333, 0))</f>
        <v>D4X</v>
      </c>
      <c r="P360" s="14" t="str">
        <f>INDEX(C$320:C$333, MATCH(5, F$320:F$333, 0))</f>
        <v>U4X</v>
      </c>
      <c r="R360" s="215" t="s">
        <v>388</v>
      </c>
      <c r="S360" s="172"/>
      <c r="T360" s="172"/>
      <c r="U360" s="172"/>
      <c r="V360" s="172"/>
      <c r="W360" s="173"/>
    </row>
    <row r="361" spans="1:23" ht="16.95" customHeight="1" x14ac:dyDescent="0.3">
      <c r="A361" s="41">
        <f t="shared" si="47"/>
        <v>0</v>
      </c>
      <c r="B361" s="13" t="s">
        <v>220</v>
      </c>
      <c r="C361" s="41">
        <f t="shared" si="48"/>
        <v>-9942.3258894162591</v>
      </c>
      <c r="D361" s="41">
        <f t="shared" si="48"/>
        <v>21692.347395090015</v>
      </c>
      <c r="E361" s="41">
        <f t="shared" si="48"/>
        <v>0</v>
      </c>
      <c r="F361" s="41">
        <f t="shared" si="48"/>
        <v>0</v>
      </c>
      <c r="G361" s="41">
        <f t="shared" si="48"/>
        <v>0</v>
      </c>
      <c r="H361" s="41">
        <f t="shared" si="48"/>
        <v>88611.924506105221</v>
      </c>
      <c r="I361" s="41">
        <f t="shared" si="48"/>
        <v>-3.637978807091713E-12</v>
      </c>
      <c r="J361" s="41">
        <f t="shared" si="48"/>
        <v>-68727.272727272706</v>
      </c>
      <c r="K361" s="41">
        <f t="shared" si="48"/>
        <v>0</v>
      </c>
      <c r="L361" s="41">
        <f t="shared" si="48"/>
        <v>0</v>
      </c>
      <c r="M361" s="41">
        <f t="shared" si="48"/>
        <v>0</v>
      </c>
      <c r="N361" s="13" t="s">
        <v>251</v>
      </c>
      <c r="O361" s="38" t="str">
        <f>INDEX(B$320:B$333, MATCH(6, F$320:F$333, 0))</f>
        <v>D5X</v>
      </c>
      <c r="P361" s="14" t="str">
        <f>INDEX(C$320:C$333, MATCH(6, F$320:F$333, 0))</f>
        <v>U5X</v>
      </c>
      <c r="R361" s="215"/>
      <c r="S361" s="172"/>
      <c r="T361" s="172"/>
      <c r="U361" s="172"/>
      <c r="V361" s="172"/>
      <c r="W361" s="173"/>
    </row>
    <row r="362" spans="1:23" ht="16.95" customHeight="1" x14ac:dyDescent="0.3">
      <c r="A362" s="41">
        <f t="shared" si="47"/>
        <v>0</v>
      </c>
      <c r="C362" s="41">
        <f t="shared" si="48"/>
        <v>21692.347395090015</v>
      </c>
      <c r="D362" s="41">
        <f t="shared" si="48"/>
        <v>-47328.757952923654</v>
      </c>
      <c r="E362" s="41">
        <f t="shared" si="48"/>
        <v>0</v>
      </c>
      <c r="F362" s="41">
        <f t="shared" si="48"/>
        <v>0</v>
      </c>
      <c r="G362" s="41">
        <f t="shared" si="48"/>
        <v>0</v>
      </c>
      <c r="H362" s="41">
        <f t="shared" si="48"/>
        <v>-3.637978807091713E-12</v>
      </c>
      <c r="I362" s="41">
        <f t="shared" si="48"/>
        <v>94657.515905847322</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215"/>
      <c r="S362" s="172"/>
      <c r="T362" s="172"/>
      <c r="U362" s="172"/>
      <c r="V362" s="172"/>
      <c r="W362" s="173"/>
    </row>
    <row r="363" spans="1:23" ht="16.95" customHeight="1" x14ac:dyDescent="0.3">
      <c r="A363" s="41">
        <f t="shared" si="47"/>
        <v>0</v>
      </c>
      <c r="C363" s="41">
        <f t="shared" si="48"/>
        <v>-9942.3258894162554</v>
      </c>
      <c r="D363" s="41">
        <f t="shared" si="48"/>
        <v>-21692.347395090015</v>
      </c>
      <c r="E363" s="41">
        <f t="shared" si="48"/>
        <v>-9942.3258894162573</v>
      </c>
      <c r="F363" s="41">
        <f t="shared" si="48"/>
        <v>21692.347395090012</v>
      </c>
      <c r="G363" s="41">
        <f t="shared" si="48"/>
        <v>0</v>
      </c>
      <c r="H363" s="41">
        <f t="shared" si="48"/>
        <v>-68727.272727272706</v>
      </c>
      <c r="I363" s="41">
        <f t="shared" si="48"/>
        <v>0</v>
      </c>
      <c r="J363" s="41">
        <f t="shared" si="48"/>
        <v>157339.19723337793</v>
      </c>
      <c r="K363" s="41">
        <f t="shared" si="48"/>
        <v>3.637978807091713E-12</v>
      </c>
      <c r="L363" s="41">
        <f t="shared" si="48"/>
        <v>-68727.272727272706</v>
      </c>
      <c r="M363" s="41">
        <f t="shared" si="48"/>
        <v>0</v>
      </c>
      <c r="N363" s="13" t="s">
        <v>251</v>
      </c>
      <c r="O363" s="38" t="str">
        <f>INDEX(B$320:B$333, MATCH(8, F$320:F$333, 0))</f>
        <v>D6X</v>
      </c>
      <c r="P363" s="14" t="str">
        <f>INDEX(C$320:C$333, MATCH(8, F$320:F$333, 0))</f>
        <v>U6X</v>
      </c>
      <c r="R363" s="215"/>
      <c r="S363" s="172"/>
      <c r="T363" s="172"/>
      <c r="U363" s="172"/>
      <c r="V363" s="172"/>
      <c r="W363" s="173"/>
    </row>
    <row r="364" spans="1:23" ht="16.95" customHeight="1" x14ac:dyDescent="0.3">
      <c r="A364" s="41">
        <f t="shared" si="47"/>
        <v>-6000</v>
      </c>
      <c r="C364" s="41">
        <f t="shared" si="48"/>
        <v>-21692.347395090015</v>
      </c>
      <c r="D364" s="41">
        <f t="shared" si="48"/>
        <v>-47328.757952923668</v>
      </c>
      <c r="E364" s="41">
        <f t="shared" si="48"/>
        <v>21692.347395090012</v>
      </c>
      <c r="F364" s="41">
        <f t="shared" si="48"/>
        <v>-47328.757952923654</v>
      </c>
      <c r="G364" s="41">
        <f t="shared" si="48"/>
        <v>0</v>
      </c>
      <c r="H364" s="41">
        <f t="shared" si="48"/>
        <v>0</v>
      </c>
      <c r="I364" s="41">
        <f t="shared" si="48"/>
        <v>0</v>
      </c>
      <c r="J364" s="41">
        <f t="shared" si="48"/>
        <v>3.637978807091713E-12</v>
      </c>
      <c r="K364" s="41">
        <f t="shared" si="48"/>
        <v>94657.515905847322</v>
      </c>
      <c r="L364" s="41">
        <f t="shared" si="48"/>
        <v>0</v>
      </c>
      <c r="M364" s="41">
        <f t="shared" si="48"/>
        <v>0</v>
      </c>
      <c r="N364" s="13" t="s">
        <v>251</v>
      </c>
      <c r="O364" s="38" t="str">
        <f>INDEX(B$320:B$333, MATCH(9, F$320:F$333, 0))</f>
        <v>D6Y</v>
      </c>
      <c r="P364" s="14" t="str">
        <f>INDEX(C$320:C$333, MATCH(9, F$320:F$333, 0))</f>
        <v>U6Y</v>
      </c>
      <c r="R364" s="215"/>
      <c r="S364" s="172"/>
      <c r="T364" s="172"/>
      <c r="U364" s="172"/>
      <c r="V364" s="172"/>
      <c r="W364" s="173"/>
    </row>
    <row r="365" spans="1:23" ht="16.95" customHeight="1" x14ac:dyDescent="0.3">
      <c r="A365" s="41">
        <f t="shared" si="47"/>
        <v>0</v>
      </c>
      <c r="C365" s="41">
        <f t="shared" si="48"/>
        <v>0</v>
      </c>
      <c r="D365" s="41">
        <f t="shared" si="48"/>
        <v>0</v>
      </c>
      <c r="E365" s="41">
        <f t="shared" si="48"/>
        <v>-9942.3258894162573</v>
      </c>
      <c r="F365" s="41">
        <f t="shared" si="48"/>
        <v>-21692.347395090012</v>
      </c>
      <c r="G365" s="41">
        <f t="shared" si="48"/>
        <v>-9942.3258894162464</v>
      </c>
      <c r="H365" s="41">
        <f t="shared" si="48"/>
        <v>0</v>
      </c>
      <c r="I365" s="41">
        <f t="shared" si="48"/>
        <v>0</v>
      </c>
      <c r="J365" s="41">
        <f t="shared" si="48"/>
        <v>-68727.272727272706</v>
      </c>
      <c r="K365" s="41">
        <f t="shared" si="48"/>
        <v>0</v>
      </c>
      <c r="L365" s="41">
        <f t="shared" si="48"/>
        <v>88611.924506105206</v>
      </c>
      <c r="M365" s="41">
        <f t="shared" si="48"/>
        <v>0</v>
      </c>
      <c r="N365" s="13" t="s">
        <v>251</v>
      </c>
      <c r="O365" s="38" t="str">
        <f>INDEX(B$320:B$333, MATCH(10, F$320:F$333, 0))</f>
        <v>D7X</v>
      </c>
      <c r="P365" s="14" t="str">
        <f>INDEX(C$320:C$333, MATCH(10, F$320:F$333, 0))</f>
        <v>U7X</v>
      </c>
      <c r="R365" s="215"/>
      <c r="S365" s="172"/>
      <c r="T365" s="172"/>
      <c r="U365" s="172"/>
      <c r="V365" s="172"/>
      <c r="W365" s="173"/>
    </row>
    <row r="366" spans="1:23" ht="16.95" customHeight="1" x14ac:dyDescent="0.3">
      <c r="A366" s="41">
        <f t="shared" si="47"/>
        <v>0</v>
      </c>
      <c r="C366" s="41">
        <f t="shared" si="48"/>
        <v>0</v>
      </c>
      <c r="D366" s="41">
        <f t="shared" si="48"/>
        <v>0</v>
      </c>
      <c r="E366" s="41">
        <f t="shared" si="48"/>
        <v>-21692.347395090012</v>
      </c>
      <c r="F366" s="41">
        <f t="shared" si="48"/>
        <v>-47328.757952923654</v>
      </c>
      <c r="G366" s="41">
        <f t="shared" si="48"/>
        <v>21692.347395090004</v>
      </c>
      <c r="H366" s="41">
        <f t="shared" si="48"/>
        <v>0</v>
      </c>
      <c r="I366" s="41">
        <f t="shared" si="48"/>
        <v>0</v>
      </c>
      <c r="J366" s="41">
        <f t="shared" si="48"/>
        <v>0</v>
      </c>
      <c r="K366" s="41">
        <f t="shared" si="48"/>
        <v>0</v>
      </c>
      <c r="L366" s="41">
        <f t="shared" si="48"/>
        <v>0</v>
      </c>
      <c r="M366" s="41">
        <f t="shared" si="48"/>
        <v>94657.515905847322</v>
      </c>
      <c r="N366" s="13" t="s">
        <v>251</v>
      </c>
      <c r="O366" s="38" t="str">
        <f>INDEX(B$320:B$333, MATCH(11, F$320:F$333, 0))</f>
        <v>D7Y</v>
      </c>
      <c r="P366" s="14" t="str">
        <f>INDEX(C$320:C$333, MATCH(11, F$320:F$333, 0))</f>
        <v>U7Y</v>
      </c>
      <c r="R366" s="215"/>
      <c r="S366" s="172"/>
      <c r="T366" s="172"/>
      <c r="U366" s="172"/>
      <c r="V366" s="172"/>
      <c r="W366" s="173"/>
    </row>
    <row r="367" spans="1:23" ht="16.95" customHeight="1" x14ac:dyDescent="0.3">
      <c r="R367" s="215"/>
      <c r="S367" s="172"/>
      <c r="T367" s="172"/>
      <c r="U367" s="172"/>
      <c r="V367" s="172"/>
      <c r="W367" s="173"/>
    </row>
    <row r="368" spans="1:23" ht="16.95" customHeight="1" x14ac:dyDescent="0.3">
      <c r="C368" s="218" t="s">
        <v>263</v>
      </c>
      <c r="D368" s="172"/>
      <c r="E368" s="172"/>
      <c r="F368" s="172"/>
      <c r="G368" s="172"/>
      <c r="H368" s="172"/>
      <c r="I368" s="172"/>
      <c r="J368" s="172"/>
      <c r="K368" s="172"/>
      <c r="L368" s="172"/>
      <c r="M368" s="173"/>
      <c r="R368" s="215"/>
      <c r="S368" s="172"/>
      <c r="T368" s="172"/>
      <c r="U368" s="172"/>
      <c r="V368" s="172"/>
      <c r="W368" s="173"/>
    </row>
    <row r="369" spans="1:23" ht="16.95" customHeight="1" x14ac:dyDescent="0.3">
      <c r="A369" s="99" t="s">
        <v>249</v>
      </c>
      <c r="C369" s="193" t="s">
        <v>264</v>
      </c>
      <c r="D369" s="175"/>
      <c r="E369" s="175"/>
      <c r="F369" s="175"/>
      <c r="G369" s="175"/>
      <c r="H369" s="175"/>
      <c r="I369" s="175"/>
      <c r="J369" s="175"/>
      <c r="K369" s="175"/>
      <c r="L369" s="175"/>
      <c r="M369" s="175"/>
      <c r="O369" s="99" t="s">
        <v>247</v>
      </c>
      <c r="R369" s="215"/>
      <c r="S369" s="172"/>
      <c r="T369" s="172"/>
      <c r="U369" s="172"/>
      <c r="V369" s="172"/>
      <c r="W369" s="173"/>
    </row>
    <row r="370" spans="1:23" ht="16.95" customHeight="1" x14ac:dyDescent="0.3">
      <c r="A370" s="12" t="str">
        <f t="shared" ref="A370:A380" si="49">O356</f>
        <v>D2X</v>
      </c>
      <c r="C370" s="93">
        <f t="array" ref="C370:M380">MINVERSE(C356:M366)</f>
        <v>1.4550264550264544E-5</v>
      </c>
      <c r="D370" s="93">
        <v>-4.4459141681363907E-6</v>
      </c>
      <c r="E370" s="93">
        <v>1.4550264550264544E-5</v>
      </c>
      <c r="F370" s="93">
        <v>-2.2229570840681954E-6</v>
      </c>
      <c r="G370" s="93">
        <v>1.4550264550264548E-5</v>
      </c>
      <c r="H370" s="93">
        <v>1.212522045855379E-5</v>
      </c>
      <c r="I370" s="93">
        <v>-5.5573927101704869E-6</v>
      </c>
      <c r="J370" s="93">
        <v>1.2125220458553793E-5</v>
      </c>
      <c r="K370" s="93">
        <v>-3.3344356261022907E-6</v>
      </c>
      <c r="L370" s="93">
        <v>1.2125220458553787E-5</v>
      </c>
      <c r="M370" s="93">
        <v>-1.1114785420340964E-6</v>
      </c>
      <c r="O370" s="17">
        <f t="shared" ref="O370:O380" si="50">A356</f>
        <v>0</v>
      </c>
      <c r="R370" s="215"/>
      <c r="S370" s="172"/>
      <c r="T370" s="172"/>
      <c r="U370" s="172"/>
      <c r="V370" s="172"/>
      <c r="W370" s="173"/>
    </row>
    <row r="371" spans="1:23" ht="16.95" customHeight="1" x14ac:dyDescent="0.3">
      <c r="A371" s="12" t="str">
        <f t="shared" si="49"/>
        <v>D2Y</v>
      </c>
      <c r="C371" s="93">
        <v>-4.445914168136389E-6</v>
      </c>
      <c r="D371" s="93">
        <v>3.9718764323774629E-5</v>
      </c>
      <c r="E371" s="93">
        <v>-1.1114785420340977E-5</v>
      </c>
      <c r="F371" s="93">
        <v>2.3934803482679023E-5</v>
      </c>
      <c r="G371" s="93">
        <v>-1.3337742504409176E-5</v>
      </c>
      <c r="H371" s="93">
        <v>-1.481971389378798E-5</v>
      </c>
      <c r="I371" s="93">
        <v>2.0878237492085235E-5</v>
      </c>
      <c r="J371" s="93">
        <v>-5.9278855575151913E-6</v>
      </c>
      <c r="K371" s="93">
        <v>3.3355066898523716E-5</v>
      </c>
      <c r="L371" s="93">
        <v>-1.4819713893787887E-6</v>
      </c>
      <c r="M371" s="93">
        <v>1.2476829406438466E-5</v>
      </c>
      <c r="O371" s="17">
        <f t="shared" si="50"/>
        <v>-4000</v>
      </c>
      <c r="R371" s="215"/>
      <c r="S371" s="172"/>
      <c r="T371" s="172"/>
      <c r="U371" s="172"/>
      <c r="V371" s="172"/>
      <c r="W371" s="173"/>
    </row>
    <row r="372" spans="1:23" ht="16.95" customHeight="1" x14ac:dyDescent="0.3">
      <c r="A372" s="12" t="str">
        <f t="shared" si="49"/>
        <v>D3X</v>
      </c>
      <c r="C372" s="93">
        <v>1.4550264550264539E-5</v>
      </c>
      <c r="D372" s="93">
        <v>-1.1114785420340982E-5</v>
      </c>
      <c r="E372" s="93">
        <v>2.9100529100529089E-5</v>
      </c>
      <c r="F372" s="93">
        <v>-8.8918283362727866E-6</v>
      </c>
      <c r="G372" s="93">
        <v>2.9100529100529092E-5</v>
      </c>
      <c r="H372" s="93">
        <v>1.9400352733686065E-5</v>
      </c>
      <c r="I372" s="93">
        <v>-8.8918283362727798E-6</v>
      </c>
      <c r="J372" s="93">
        <v>1.9400352733686061E-5</v>
      </c>
      <c r="K372" s="93">
        <v>-1.3337742504409173E-5</v>
      </c>
      <c r="L372" s="93">
        <v>1.9400352733686055E-5</v>
      </c>
      <c r="M372" s="93">
        <v>-4.4459141681363907E-6</v>
      </c>
      <c r="O372" s="17">
        <f t="shared" si="50"/>
        <v>0</v>
      </c>
      <c r="R372" s="215"/>
      <c r="S372" s="172"/>
      <c r="T372" s="172"/>
      <c r="U372" s="172"/>
      <c r="V372" s="172"/>
      <c r="W372" s="173"/>
    </row>
    <row r="373" spans="1:23" ht="16.95" customHeight="1" x14ac:dyDescent="0.3">
      <c r="A373" s="12" t="str">
        <f t="shared" si="49"/>
        <v>D3Y</v>
      </c>
      <c r="C373" s="93">
        <v>-2.2229570840681924E-6</v>
      </c>
      <c r="D373" s="93">
        <v>2.3934803482679026E-5</v>
      </c>
      <c r="E373" s="93">
        <v>-8.8918283362727815E-6</v>
      </c>
      <c r="F373" s="93">
        <v>3.9718764323774629E-5</v>
      </c>
      <c r="G373" s="93">
        <v>-1.3337742504409176E-5</v>
      </c>
      <c r="H373" s="93">
        <v>-1.1855771115030384E-5</v>
      </c>
      <c r="I373" s="93">
        <v>1.2476829406438468E-5</v>
      </c>
      <c r="J373" s="93">
        <v>-7.4098569468939843E-6</v>
      </c>
      <c r="K373" s="93">
        <v>3.3355066898523703E-5</v>
      </c>
      <c r="L373" s="93">
        <v>1.4819713893788057E-6</v>
      </c>
      <c r="M373" s="93">
        <v>2.0878237492085231E-5</v>
      </c>
      <c r="O373" s="17">
        <f t="shared" si="50"/>
        <v>-4000</v>
      </c>
      <c r="R373" s="215"/>
      <c r="S373" s="172"/>
      <c r="T373" s="172"/>
      <c r="U373" s="172"/>
      <c r="V373" s="172"/>
      <c r="W373" s="173"/>
    </row>
    <row r="374" spans="1:23" ht="16.95" customHeight="1" x14ac:dyDescent="0.3">
      <c r="A374" s="12" t="str">
        <f t="shared" si="49"/>
        <v>D4X</v>
      </c>
      <c r="C374" s="93">
        <v>1.4550264550264543E-5</v>
      </c>
      <c r="D374" s="93">
        <v>-1.333774250440918E-5</v>
      </c>
      <c r="E374" s="93">
        <v>2.9100529100529089E-5</v>
      </c>
      <c r="F374" s="93">
        <v>-1.333774250440918E-5</v>
      </c>
      <c r="G374" s="93">
        <v>4.3650793650793641E-5</v>
      </c>
      <c r="H374" s="93">
        <v>2.1825396825396824E-5</v>
      </c>
      <c r="I374" s="93">
        <v>-1.0003306878306879E-5</v>
      </c>
      <c r="J374" s="93">
        <v>2.1825396825396821E-5</v>
      </c>
      <c r="K374" s="93">
        <v>-1.6672178130511473E-5</v>
      </c>
      <c r="L374" s="93">
        <v>2.1825396825396814E-5</v>
      </c>
      <c r="M374" s="93">
        <v>-1.0003306878306877E-5</v>
      </c>
      <c r="O374" s="17">
        <f t="shared" si="50"/>
        <v>0</v>
      </c>
      <c r="R374" s="215"/>
      <c r="S374" s="172"/>
      <c r="T374" s="172"/>
      <c r="U374" s="172"/>
      <c r="V374" s="172"/>
      <c r="W374" s="173"/>
    </row>
    <row r="375" spans="1:23" ht="16.95" customHeight="1" x14ac:dyDescent="0.3">
      <c r="A375" s="12" t="str">
        <f t="shared" si="49"/>
        <v>D5X</v>
      </c>
      <c r="B375" s="13" t="s">
        <v>220</v>
      </c>
      <c r="C375" s="93">
        <v>1.2125220458553788E-5</v>
      </c>
      <c r="D375" s="93">
        <v>-1.4819713893787986E-5</v>
      </c>
      <c r="E375" s="93">
        <v>1.9400352733686065E-5</v>
      </c>
      <c r="F375" s="93">
        <v>-1.1855771115030391E-5</v>
      </c>
      <c r="G375" s="93">
        <v>2.1825396825396831E-5</v>
      </c>
      <c r="H375" s="93">
        <v>3.8992918624733751E-5</v>
      </c>
      <c r="I375" s="93">
        <v>-1.0188553301979234E-5</v>
      </c>
      <c r="J375" s="93">
        <v>2.9292742257890714E-5</v>
      </c>
      <c r="K375" s="93">
        <v>-1.5004960317460337E-5</v>
      </c>
      <c r="L375" s="93">
        <v>2.4442654074469182E-5</v>
      </c>
      <c r="M375" s="93">
        <v>-6.4836248285322407E-6</v>
      </c>
      <c r="O375" s="17">
        <f t="shared" si="50"/>
        <v>0</v>
      </c>
      <c r="R375" s="215"/>
      <c r="S375" s="172"/>
      <c r="T375" s="172"/>
      <c r="U375" s="172"/>
      <c r="V375" s="172"/>
      <c r="W375" s="173"/>
    </row>
    <row r="376" spans="1:23" ht="16.95" customHeight="1" x14ac:dyDescent="0.3">
      <c r="A376" s="12" t="str">
        <f t="shared" si="49"/>
        <v>D5Y</v>
      </c>
      <c r="C376" s="93">
        <v>-5.5573927101704869E-6</v>
      </c>
      <c r="D376" s="93">
        <v>2.0878237492085238E-5</v>
      </c>
      <c r="E376" s="93">
        <v>-8.8918283362727798E-6</v>
      </c>
      <c r="F376" s="93">
        <v>1.2476829406438473E-5</v>
      </c>
      <c r="G376" s="93">
        <v>-1.0003306878306879E-5</v>
      </c>
      <c r="H376" s="93">
        <v>-1.0188553301979235E-5</v>
      </c>
      <c r="I376" s="93">
        <v>2.2277089376864325E-5</v>
      </c>
      <c r="J376" s="93">
        <v>-5.7426391338428379E-6</v>
      </c>
      <c r="K376" s="93">
        <v>1.7441674946910297E-5</v>
      </c>
      <c r="L376" s="93">
        <v>-3.5196820497746383E-6</v>
      </c>
      <c r="M376" s="93">
        <v>6.4931285357687133E-6</v>
      </c>
      <c r="O376" s="17">
        <f t="shared" si="50"/>
        <v>0</v>
      </c>
      <c r="R376" s="215"/>
      <c r="S376" s="172"/>
      <c r="T376" s="172"/>
      <c r="U376" s="172"/>
      <c r="V376" s="172"/>
      <c r="W376" s="173"/>
    </row>
    <row r="377" spans="1:23" ht="16.95" customHeight="1" x14ac:dyDescent="0.3">
      <c r="A377" s="12" t="str">
        <f t="shared" si="49"/>
        <v>D6X</v>
      </c>
      <c r="C377" s="93">
        <v>1.212522045855379E-5</v>
      </c>
      <c r="D377" s="93">
        <v>-5.927885557515193E-6</v>
      </c>
      <c r="E377" s="93">
        <v>1.9400352733686065E-5</v>
      </c>
      <c r="F377" s="93">
        <v>-7.4098569468939919E-6</v>
      </c>
      <c r="G377" s="93">
        <v>2.1825396825396827E-5</v>
      </c>
      <c r="H377" s="93">
        <v>2.9292742257890714E-5</v>
      </c>
      <c r="I377" s="93">
        <v>-5.7426391338428387E-6</v>
      </c>
      <c r="J377" s="93">
        <v>3.4142830441312226E-5</v>
      </c>
      <c r="K377" s="93">
        <v>-8.3360890652557397E-6</v>
      </c>
      <c r="L377" s="93">
        <v>2.9292742257890704E-5</v>
      </c>
      <c r="M377" s="93">
        <v>-4.2606677444640424E-6</v>
      </c>
      <c r="O377" s="17">
        <f t="shared" si="50"/>
        <v>0</v>
      </c>
      <c r="R377" s="215"/>
      <c r="S377" s="172"/>
      <c r="T377" s="172"/>
      <c r="U377" s="172"/>
      <c r="V377" s="172"/>
      <c r="W377" s="173"/>
    </row>
    <row r="378" spans="1:23" ht="16.95" customHeight="1" x14ac:dyDescent="0.3">
      <c r="A378" s="12" t="str">
        <f t="shared" si="49"/>
        <v>D6Y</v>
      </c>
      <c r="C378" s="93">
        <v>-3.3344356261022895E-6</v>
      </c>
      <c r="D378" s="93">
        <v>3.3355066898523723E-5</v>
      </c>
      <c r="E378" s="93">
        <v>-1.3337742504409171E-5</v>
      </c>
      <c r="F378" s="93">
        <v>3.3355066898523716E-5</v>
      </c>
      <c r="G378" s="93">
        <v>-1.6672178130511473E-5</v>
      </c>
      <c r="H378" s="93">
        <v>-1.500496031746033E-5</v>
      </c>
      <c r="I378" s="93">
        <v>1.7441674946910297E-5</v>
      </c>
      <c r="J378" s="93">
        <v>-8.3360890652557346E-6</v>
      </c>
      <c r="K378" s="93">
        <v>4.6211892859543355E-5</v>
      </c>
      <c r="L378" s="93">
        <v>-1.6672178130511375E-6</v>
      </c>
      <c r="M378" s="93">
        <v>1.7441674946910293E-5</v>
      </c>
      <c r="O378" s="17">
        <f t="shared" si="50"/>
        <v>-6000</v>
      </c>
      <c r="R378" s="215"/>
      <c r="S378" s="172"/>
      <c r="T378" s="172"/>
      <c r="U378" s="172"/>
      <c r="V378" s="172"/>
      <c r="W378" s="173"/>
    </row>
    <row r="379" spans="1:23" ht="16.95" customHeight="1" x14ac:dyDescent="0.3">
      <c r="A379" s="12" t="str">
        <f t="shared" si="49"/>
        <v>D7X</v>
      </c>
      <c r="C379" s="93">
        <v>1.212522045855379E-5</v>
      </c>
      <c r="D379" s="93">
        <v>-1.4819713893787921E-6</v>
      </c>
      <c r="E379" s="93">
        <v>1.9400352733686061E-5</v>
      </c>
      <c r="F379" s="93">
        <v>1.4819713893788004E-6</v>
      </c>
      <c r="G379" s="93">
        <v>2.1825396825396821E-5</v>
      </c>
      <c r="H379" s="93">
        <v>2.4442654074469192E-5</v>
      </c>
      <c r="I379" s="93">
        <v>-3.5196820497746387E-6</v>
      </c>
      <c r="J379" s="93">
        <v>2.929274225789071E-5</v>
      </c>
      <c r="K379" s="93">
        <v>-1.6672178130511426E-6</v>
      </c>
      <c r="L379" s="93">
        <v>3.8992918624733744E-5</v>
      </c>
      <c r="M379" s="93">
        <v>1.8524642367235309E-7</v>
      </c>
      <c r="O379" s="17">
        <f t="shared" si="50"/>
        <v>0</v>
      </c>
      <c r="R379" s="215"/>
      <c r="S379" s="172"/>
      <c r="T379" s="172"/>
      <c r="U379" s="172"/>
      <c r="V379" s="172"/>
      <c r="W379" s="173"/>
    </row>
    <row r="380" spans="1:23" ht="16.95" customHeight="1" x14ac:dyDescent="0.3">
      <c r="A380" s="12" t="str">
        <f t="shared" si="49"/>
        <v>D7Y</v>
      </c>
      <c r="C380" s="93">
        <v>-1.1114785420340956E-6</v>
      </c>
      <c r="D380" s="93">
        <v>1.2476829406438472E-5</v>
      </c>
      <c r="E380" s="93">
        <v>-4.445914168136389E-6</v>
      </c>
      <c r="F380" s="93">
        <v>2.0878237492085231E-5</v>
      </c>
      <c r="G380" s="93">
        <v>-1.0003306878306879E-5</v>
      </c>
      <c r="H380" s="93">
        <v>-6.4836248285322382E-6</v>
      </c>
      <c r="I380" s="93">
        <v>6.4931285357687142E-6</v>
      </c>
      <c r="J380" s="93">
        <v>-4.2606677444640398E-6</v>
      </c>
      <c r="K380" s="93">
        <v>1.7441674946910297E-5</v>
      </c>
      <c r="L380" s="93">
        <v>1.852464236723551E-7</v>
      </c>
      <c r="M380" s="93">
        <v>2.2277089376864318E-5</v>
      </c>
      <c r="O380" s="17">
        <f t="shared" si="50"/>
        <v>0</v>
      </c>
      <c r="R380" s="215"/>
      <c r="S380" s="172"/>
      <c r="T380" s="172"/>
      <c r="U380" s="172"/>
      <c r="V380" s="172"/>
      <c r="W380" s="173"/>
    </row>
    <row r="381" spans="1:23" ht="16.95" customHeight="1" x14ac:dyDescent="0.3">
      <c r="R381" s="215"/>
      <c r="S381" s="172"/>
      <c r="T381" s="172"/>
      <c r="U381" s="172"/>
      <c r="V381" s="172"/>
      <c r="W381" s="173"/>
    </row>
    <row r="382" spans="1:23" ht="16.95" customHeight="1" x14ac:dyDescent="0.3">
      <c r="C382" s="218" t="s">
        <v>265</v>
      </c>
      <c r="D382" s="173"/>
      <c r="R382" s="215"/>
      <c r="S382" s="172"/>
      <c r="T382" s="172"/>
      <c r="U382" s="172"/>
      <c r="V382" s="172"/>
      <c r="W382" s="173"/>
    </row>
    <row r="383" spans="1:23" ht="16.95" customHeight="1" x14ac:dyDescent="0.3">
      <c r="A383" s="99" t="s">
        <v>249</v>
      </c>
      <c r="C383" s="99" t="s">
        <v>266</v>
      </c>
      <c r="R383" s="215"/>
      <c r="S383" s="172"/>
      <c r="T383" s="172"/>
      <c r="U383" s="172"/>
      <c r="V383" s="172"/>
      <c r="W383" s="173"/>
    </row>
    <row r="384" spans="1:23" ht="16.95" customHeight="1" x14ac:dyDescent="0.3">
      <c r="A384" s="12" t="str">
        <f t="shared" ref="A384:A394" si="51">A370</f>
        <v>D2X</v>
      </c>
      <c r="C384" s="94">
        <f t="array" ref="C384:C394">MMULT(C370:M380, O370:O380)</f>
        <v>4.6682098765432084E-2</v>
      </c>
      <c r="D384" s="12" t="s">
        <v>267</v>
      </c>
      <c r="R384" s="215"/>
      <c r="S384" s="172"/>
      <c r="T384" s="172"/>
      <c r="U384" s="172"/>
      <c r="V384" s="172"/>
      <c r="W384" s="173"/>
    </row>
    <row r="385" spans="1:23" ht="16.95" customHeight="1" x14ac:dyDescent="0.3">
      <c r="A385" s="12" t="str">
        <f t="shared" si="51"/>
        <v>D2Y</v>
      </c>
      <c r="C385" s="94">
        <v>-0.45474467261695689</v>
      </c>
      <c r="D385" s="12" t="s">
        <v>267</v>
      </c>
      <c r="R385" s="215"/>
      <c r="S385" s="172"/>
      <c r="T385" s="172"/>
      <c r="U385" s="172"/>
      <c r="V385" s="172"/>
      <c r="W385" s="173"/>
    </row>
    <row r="386" spans="1:23" ht="16.95" customHeight="1" x14ac:dyDescent="0.3">
      <c r="A386" s="12" t="str">
        <f t="shared" si="51"/>
        <v>D3X</v>
      </c>
      <c r="C386" s="94">
        <v>0.16005291005291011</v>
      </c>
      <c r="D386" s="12" t="s">
        <v>267</v>
      </c>
      <c r="R386" s="215"/>
      <c r="S386" s="172"/>
      <c r="T386" s="172"/>
      <c r="U386" s="172"/>
      <c r="V386" s="172"/>
      <c r="W386" s="173"/>
    </row>
    <row r="387" spans="1:23" ht="16.95" customHeight="1" x14ac:dyDescent="0.3">
      <c r="A387" s="12" t="str">
        <f t="shared" si="51"/>
        <v>D3Y</v>
      </c>
      <c r="C387" s="94">
        <v>-0.45474467261695684</v>
      </c>
      <c r="D387" s="12" t="s">
        <v>267</v>
      </c>
      <c r="R387" s="215"/>
      <c r="S387" s="172"/>
      <c r="T387" s="172"/>
      <c r="U387" s="172"/>
      <c r="V387" s="172"/>
      <c r="W387" s="173"/>
    </row>
    <row r="388" spans="1:23" ht="16.95" customHeight="1" x14ac:dyDescent="0.3">
      <c r="A388" s="12" t="str">
        <f t="shared" si="51"/>
        <v>D4X</v>
      </c>
      <c r="C388" s="94">
        <v>0.20673500881834228</v>
      </c>
      <c r="D388" s="12" t="s">
        <v>267</v>
      </c>
      <c r="R388" s="215"/>
      <c r="S388" s="172"/>
      <c r="T388" s="172"/>
      <c r="U388" s="172"/>
      <c r="V388" s="172"/>
      <c r="W388" s="173"/>
    </row>
    <row r="389" spans="1:23" ht="16.95" customHeight="1" x14ac:dyDescent="0.3">
      <c r="A389" s="12" t="str">
        <f t="shared" si="51"/>
        <v>D5X</v>
      </c>
      <c r="B389" s="13" t="s">
        <v>220</v>
      </c>
      <c r="C389" s="94">
        <v>0.19673170194003553</v>
      </c>
      <c r="D389" s="12" t="s">
        <v>267</v>
      </c>
      <c r="R389" s="215"/>
      <c r="S389" s="172"/>
      <c r="T389" s="172"/>
      <c r="U389" s="172"/>
      <c r="V389" s="172"/>
      <c r="W389" s="173"/>
    </row>
    <row r="390" spans="1:23" ht="16.95" customHeight="1" x14ac:dyDescent="0.3">
      <c r="A390" s="12" t="str">
        <f t="shared" si="51"/>
        <v>D5Y</v>
      </c>
      <c r="C390" s="94">
        <v>-0.23807031727555661</v>
      </c>
      <c r="D390" s="12" t="s">
        <v>267</v>
      </c>
      <c r="R390" s="215"/>
      <c r="S390" s="172"/>
      <c r="T390" s="172"/>
      <c r="U390" s="172"/>
      <c r="V390" s="172"/>
      <c r="W390" s="173"/>
    </row>
    <row r="391" spans="1:23" ht="16.95" customHeight="1" x14ac:dyDescent="0.3">
      <c r="A391" s="12" t="str">
        <f t="shared" si="51"/>
        <v>D6X</v>
      </c>
      <c r="C391" s="94">
        <v>0.10336750440917117</v>
      </c>
      <c r="D391" s="12" t="s">
        <v>267</v>
      </c>
      <c r="R391" s="215"/>
      <c r="S391" s="172"/>
      <c r="T391" s="172"/>
      <c r="U391" s="172"/>
      <c r="V391" s="172"/>
      <c r="W391" s="173"/>
    </row>
    <row r="392" spans="1:23" ht="16.95" customHeight="1" x14ac:dyDescent="0.3">
      <c r="A392" s="12" t="str">
        <f t="shared" si="51"/>
        <v>D6Y</v>
      </c>
      <c r="C392" s="94">
        <v>-0.54411189234544988</v>
      </c>
      <c r="D392" s="12" t="s">
        <v>267</v>
      </c>
      <c r="R392" s="215"/>
      <c r="S392" s="172"/>
      <c r="T392" s="172"/>
      <c r="U392" s="172"/>
      <c r="V392" s="172"/>
      <c r="W392" s="173"/>
    </row>
    <row r="393" spans="1:23" ht="16.95" customHeight="1" x14ac:dyDescent="0.3">
      <c r="A393" s="12" t="str">
        <f t="shared" si="51"/>
        <v>D7X</v>
      </c>
      <c r="C393" s="94">
        <v>1.0003306878306823E-2</v>
      </c>
      <c r="D393" s="12" t="s">
        <v>267</v>
      </c>
      <c r="R393" s="215"/>
      <c r="S393" s="172"/>
      <c r="T393" s="172"/>
      <c r="U393" s="172"/>
      <c r="V393" s="172"/>
      <c r="W393" s="173"/>
    </row>
    <row r="394" spans="1:23" ht="16.95" customHeight="1" x14ac:dyDescent="0.3">
      <c r="A394" s="12" t="str">
        <f t="shared" si="51"/>
        <v>D7Y</v>
      </c>
      <c r="C394" s="94">
        <v>-0.23807031727555661</v>
      </c>
      <c r="D394" s="12" t="s">
        <v>267</v>
      </c>
      <c r="R394" s="215"/>
      <c r="S394" s="172"/>
      <c r="T394" s="172"/>
      <c r="U394" s="172"/>
      <c r="V394" s="172"/>
      <c r="W394" s="173"/>
    </row>
    <row r="397" spans="1:23" ht="19.95" customHeight="1" x14ac:dyDescent="0.35">
      <c r="A397" s="11" t="s">
        <v>268</v>
      </c>
      <c r="R397" s="216" t="s">
        <v>269</v>
      </c>
      <c r="S397" s="172"/>
      <c r="T397" s="172"/>
      <c r="U397" s="172"/>
      <c r="V397" s="172"/>
      <c r="W397" s="173"/>
    </row>
    <row r="398" spans="1:23" ht="16.95" customHeight="1" x14ac:dyDescent="0.3">
      <c r="A398" s="99" t="s">
        <v>247</v>
      </c>
      <c r="O398" s="99" t="s">
        <v>249</v>
      </c>
      <c r="R398" s="215" t="s">
        <v>389</v>
      </c>
      <c r="S398" s="172"/>
      <c r="T398" s="172"/>
      <c r="U398" s="172"/>
      <c r="V398" s="172"/>
      <c r="W398" s="173"/>
    </row>
    <row r="399" spans="1:23" ht="16.95" customHeight="1" x14ac:dyDescent="0.3">
      <c r="A399" s="18" t="str">
        <f>INDEX(B$304:B$317, MATCH(P399, C$304:C$317, 0))</f>
        <v>C1X</v>
      </c>
      <c r="C399" s="9">
        <f t="shared" ref="C399:M401" si="52">INDEX($B$287:$O$300, MATCH($P399, $P$287:$P$300, 0), MATCH(C$355, $B$286:$O$286, 0))</f>
        <v>-68727.272727272721</v>
      </c>
      <c r="D399" s="9">
        <f t="shared" si="52"/>
        <v>0</v>
      </c>
      <c r="E399" s="9">
        <f t="shared" si="52"/>
        <v>0</v>
      </c>
      <c r="F399" s="9">
        <f t="shared" si="52"/>
        <v>0</v>
      </c>
      <c r="G399" s="9">
        <f t="shared" si="52"/>
        <v>0</v>
      </c>
      <c r="H399" s="9">
        <f t="shared" si="52"/>
        <v>-9942.3258894162518</v>
      </c>
      <c r="I399" s="9">
        <f t="shared" si="52"/>
        <v>-21692.347395090012</v>
      </c>
      <c r="J399" s="9">
        <f t="shared" si="52"/>
        <v>0</v>
      </c>
      <c r="K399" s="9">
        <f t="shared" si="52"/>
        <v>0</v>
      </c>
      <c r="L399" s="9">
        <f t="shared" si="52"/>
        <v>0</v>
      </c>
      <c r="M399" s="9">
        <f t="shared" si="52"/>
        <v>0</v>
      </c>
      <c r="O399" s="95">
        <f t="shared" ref="O399:O409" si="53">C384</f>
        <v>4.6682098765432084E-2</v>
      </c>
      <c r="P399" s="14" t="str">
        <f>INDEX(C$320:C$333, MATCH(1, G$320:G$333, 0))</f>
        <v>U1X</v>
      </c>
      <c r="R399" s="215" t="s">
        <v>390</v>
      </c>
      <c r="S399" s="172"/>
      <c r="T399" s="172"/>
      <c r="U399" s="172"/>
      <c r="V399" s="172"/>
      <c r="W399" s="173"/>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-21692.347395090012</v>
      </c>
      <c r="I400" s="9">
        <f t="shared" si="52"/>
        <v>-47328.757952923668</v>
      </c>
      <c r="J400" s="9">
        <f t="shared" si="52"/>
        <v>0</v>
      </c>
      <c r="K400" s="9">
        <f t="shared" si="52"/>
        <v>0</v>
      </c>
      <c r="L400" s="9">
        <f t="shared" si="52"/>
        <v>0</v>
      </c>
      <c r="M400" s="9">
        <f t="shared" si="52"/>
        <v>0</v>
      </c>
      <c r="O400" s="95">
        <f t="shared" si="53"/>
        <v>-0.45474467261695689</v>
      </c>
      <c r="P400" s="14" t="str">
        <f>INDEX(C$320:C$333, MATCH(2, G$320:G$333, 0))</f>
        <v>U1Y</v>
      </c>
      <c r="R400" s="215" t="s">
        <v>391</v>
      </c>
      <c r="S400" s="172"/>
      <c r="T400" s="172"/>
      <c r="U400" s="172"/>
      <c r="V400" s="172"/>
      <c r="W400" s="173"/>
    </row>
    <row r="401" spans="1:23" ht="16.95" customHeight="1" x14ac:dyDescent="0.3">
      <c r="A401" s="18" t="str">
        <f>INDEX(B$304:B$317, MATCH(P401, C$304:C$317, 0))</f>
        <v>C4Y</v>
      </c>
      <c r="C401" s="9">
        <f t="shared" si="52"/>
        <v>0</v>
      </c>
      <c r="D401" s="9">
        <f t="shared" si="52"/>
        <v>0</v>
      </c>
      <c r="E401" s="9">
        <f t="shared" si="52"/>
        <v>0</v>
      </c>
      <c r="F401" s="9">
        <f t="shared" si="52"/>
        <v>0</v>
      </c>
      <c r="G401" s="9">
        <f t="shared" si="52"/>
        <v>-21692.347395090004</v>
      </c>
      <c r="H401" s="9">
        <f t="shared" si="52"/>
        <v>0</v>
      </c>
      <c r="I401" s="9">
        <f t="shared" si="52"/>
        <v>0</v>
      </c>
      <c r="J401" s="9">
        <f t="shared" si="52"/>
        <v>0</v>
      </c>
      <c r="K401" s="9">
        <f t="shared" si="52"/>
        <v>0</v>
      </c>
      <c r="L401" s="9">
        <f t="shared" si="52"/>
        <v>21692.347395090004</v>
      </c>
      <c r="M401" s="9">
        <f t="shared" si="52"/>
        <v>-47328.757952923668</v>
      </c>
      <c r="O401" s="95">
        <f t="shared" si="53"/>
        <v>0.16005291005291011</v>
      </c>
      <c r="P401" s="14" t="str">
        <f>INDEX(C$320:C$333, MATCH(3, G$320:G$333, 0))</f>
        <v>U4Y</v>
      </c>
      <c r="R401" s="215" t="s">
        <v>392</v>
      </c>
      <c r="S401" s="172"/>
      <c r="T401" s="172"/>
      <c r="U401" s="172"/>
      <c r="V401" s="172"/>
      <c r="W401" s="173"/>
    </row>
    <row r="402" spans="1:23" ht="16.95" customHeight="1" x14ac:dyDescent="0.3">
      <c r="O402" s="95">
        <f t="shared" si="53"/>
        <v>-0.45474467261695684</v>
      </c>
      <c r="R402" s="215" t="s">
        <v>393</v>
      </c>
      <c r="S402" s="172"/>
      <c r="T402" s="172"/>
      <c r="U402" s="172"/>
      <c r="V402" s="172"/>
      <c r="W402" s="173"/>
    </row>
    <row r="403" spans="1:23" ht="16.95" customHeight="1" x14ac:dyDescent="0.3">
      <c r="O403" s="95">
        <f t="shared" si="53"/>
        <v>0.20673500881834228</v>
      </c>
      <c r="R403" s="215" t="s">
        <v>394</v>
      </c>
      <c r="S403" s="172"/>
      <c r="T403" s="172"/>
      <c r="U403" s="172"/>
      <c r="V403" s="172"/>
      <c r="W403" s="173"/>
    </row>
    <row r="404" spans="1:23" ht="16.95" customHeight="1" x14ac:dyDescent="0.3">
      <c r="O404" s="95">
        <f t="shared" si="53"/>
        <v>0.19673170194003553</v>
      </c>
      <c r="R404" s="215"/>
      <c r="S404" s="172"/>
      <c r="T404" s="172"/>
      <c r="U404" s="172"/>
      <c r="V404" s="172"/>
      <c r="W404" s="173"/>
    </row>
    <row r="405" spans="1:23" ht="16.95" customHeight="1" x14ac:dyDescent="0.3">
      <c r="O405" s="95">
        <f t="shared" si="53"/>
        <v>-0.23807031727555661</v>
      </c>
      <c r="R405" s="215"/>
      <c r="S405" s="172"/>
      <c r="T405" s="172"/>
      <c r="U405" s="172"/>
      <c r="V405" s="172"/>
      <c r="W405" s="173"/>
    </row>
    <row r="406" spans="1:23" ht="16.95" customHeight="1" x14ac:dyDescent="0.3">
      <c r="O406" s="95">
        <f t="shared" si="53"/>
        <v>0.10336750440917117</v>
      </c>
      <c r="R406" s="215"/>
      <c r="S406" s="172"/>
      <c r="T406" s="172"/>
      <c r="U406" s="172"/>
      <c r="V406" s="172"/>
      <c r="W406" s="173"/>
    </row>
    <row r="407" spans="1:23" ht="16.95" customHeight="1" x14ac:dyDescent="0.3">
      <c r="O407" s="95">
        <f t="shared" si="53"/>
        <v>-0.54411189234544988</v>
      </c>
      <c r="R407" s="215"/>
      <c r="S407" s="172"/>
      <c r="T407" s="172"/>
      <c r="U407" s="172"/>
      <c r="V407" s="172"/>
      <c r="W407" s="173"/>
    </row>
    <row r="408" spans="1:23" ht="16.95" customHeight="1" x14ac:dyDescent="0.3">
      <c r="O408" s="95">
        <f t="shared" si="53"/>
        <v>1.0003306878306823E-2</v>
      </c>
      <c r="R408" s="215"/>
      <c r="S408" s="172"/>
      <c r="T408" s="172"/>
      <c r="U408" s="172"/>
      <c r="V408" s="172"/>
      <c r="W408" s="173"/>
    </row>
    <row r="409" spans="1:23" ht="16.95" customHeight="1" x14ac:dyDescent="0.3">
      <c r="O409" s="95">
        <f t="shared" si="53"/>
        <v>-0.23807031727555661</v>
      </c>
      <c r="R409" s="215"/>
      <c r="S409" s="172"/>
      <c r="T409" s="172"/>
      <c r="U409" s="172"/>
      <c r="V409" s="172"/>
      <c r="W409" s="173"/>
    </row>
    <row r="410" spans="1:23" ht="16.95" customHeight="1" x14ac:dyDescent="0.3">
      <c r="R410" s="215"/>
      <c r="S410" s="172"/>
      <c r="T410" s="172"/>
      <c r="U410" s="172"/>
      <c r="V410" s="172"/>
      <c r="W410" s="173"/>
    </row>
    <row r="411" spans="1:23" ht="16.95" customHeight="1" x14ac:dyDescent="0.3">
      <c r="A411" s="12" t="str">
        <f>A399</f>
        <v>C1X</v>
      </c>
      <c r="C411" s="17">
        <f t="array" ref="C411:C413">MMULT(C399:M401, O399:O409)</f>
        <v>3.637978807091713E-12</v>
      </c>
      <c r="D411" s="12" t="s">
        <v>273</v>
      </c>
      <c r="R411" s="215"/>
      <c r="S411" s="172"/>
      <c r="T411" s="172"/>
      <c r="U411" s="172"/>
      <c r="V411" s="172"/>
      <c r="W411" s="173"/>
    </row>
    <row r="412" spans="1:23" ht="16.95" customHeight="1" x14ac:dyDescent="0.3">
      <c r="A412" s="12" t="str">
        <f>A400</f>
        <v>C1Y</v>
      </c>
      <c r="B412" s="13" t="s">
        <v>220</v>
      </c>
      <c r="C412" s="17">
        <v>7000.0000000000064</v>
      </c>
      <c r="D412" s="12" t="s">
        <v>273</v>
      </c>
      <c r="R412" s="215"/>
      <c r="S412" s="172"/>
      <c r="T412" s="172"/>
      <c r="U412" s="172"/>
      <c r="V412" s="172"/>
      <c r="W412" s="173"/>
    </row>
    <row r="413" spans="1:23" ht="16.95" customHeight="1" x14ac:dyDescent="0.3">
      <c r="A413" s="12" t="str">
        <f>A401</f>
        <v>C4Y</v>
      </c>
      <c r="C413" s="17">
        <v>7000.00000000001</v>
      </c>
      <c r="D413" s="12" t="s">
        <v>273</v>
      </c>
      <c r="R413" s="215"/>
      <c r="S413" s="172"/>
      <c r="T413" s="172"/>
      <c r="U413" s="172"/>
      <c r="V413" s="172"/>
      <c r="W413" s="173"/>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4.6682098765432084E-2</v>
      </c>
    </row>
    <row r="421" spans="1:4" ht="19.05" customHeight="1" x14ac:dyDescent="0.3">
      <c r="A421" s="12" t="s">
        <v>231</v>
      </c>
      <c r="B421" s="12" t="s">
        <v>181</v>
      </c>
      <c r="D421" s="94">
        <f t="shared" si="54"/>
        <v>-0.45474467261695689</v>
      </c>
    </row>
    <row r="422" spans="1:4" ht="19.05" customHeight="1" x14ac:dyDescent="0.3">
      <c r="A422" s="12" t="s">
        <v>232</v>
      </c>
      <c r="B422" s="12" t="s">
        <v>182</v>
      </c>
      <c r="D422" s="94">
        <f t="shared" si="54"/>
        <v>0.16005291005291011</v>
      </c>
    </row>
    <row r="423" spans="1:4" ht="19.05" customHeight="1" x14ac:dyDescent="0.3">
      <c r="A423" s="12" t="s">
        <v>234</v>
      </c>
      <c r="B423" s="12" t="s">
        <v>183</v>
      </c>
      <c r="D423" s="94">
        <f t="shared" si="54"/>
        <v>-0.45474467261695684</v>
      </c>
    </row>
    <row r="424" spans="1:4" ht="19.05" customHeight="1" x14ac:dyDescent="0.3">
      <c r="A424" s="12" t="s">
        <v>235</v>
      </c>
      <c r="B424" s="12" t="s">
        <v>184</v>
      </c>
      <c r="D424" s="94">
        <f t="shared" si="54"/>
        <v>0.20673500881834228</v>
      </c>
    </row>
    <row r="425" spans="1:4" ht="19.05" customHeight="1" x14ac:dyDescent="0.3">
      <c r="A425" s="12" t="s">
        <v>236</v>
      </c>
      <c r="B425" s="12" t="s">
        <v>185</v>
      </c>
      <c r="D425" s="94">
        <f t="shared" si="54"/>
        <v>0</v>
      </c>
    </row>
    <row r="426" spans="1:4" ht="19.05" customHeight="1" x14ac:dyDescent="0.3">
      <c r="A426" s="12" t="s">
        <v>237</v>
      </c>
      <c r="B426" s="12" t="s">
        <v>186</v>
      </c>
      <c r="D426" s="94">
        <f t="shared" si="54"/>
        <v>0.19673170194003553</v>
      </c>
    </row>
    <row r="427" spans="1:4" ht="19.05" customHeight="1" x14ac:dyDescent="0.3">
      <c r="A427" s="12" t="s">
        <v>238</v>
      </c>
      <c r="B427" s="12" t="s">
        <v>187</v>
      </c>
      <c r="D427" s="94">
        <f t="shared" si="54"/>
        <v>-0.23807031727555661</v>
      </c>
    </row>
    <row r="428" spans="1:4" ht="19.05" customHeight="1" x14ac:dyDescent="0.3">
      <c r="A428" s="12" t="s">
        <v>239</v>
      </c>
      <c r="B428" s="12" t="s">
        <v>188</v>
      </c>
      <c r="D428" s="94">
        <f t="shared" si="54"/>
        <v>0.10336750440917117</v>
      </c>
    </row>
    <row r="429" spans="1:4" ht="19.05" customHeight="1" x14ac:dyDescent="0.3">
      <c r="A429" s="12" t="s">
        <v>240</v>
      </c>
      <c r="B429" s="12" t="s">
        <v>189</v>
      </c>
      <c r="D429" s="94">
        <f t="shared" si="54"/>
        <v>-0.54411189234544988</v>
      </c>
    </row>
    <row r="430" spans="1:4" ht="19.05" customHeight="1" x14ac:dyDescent="0.3">
      <c r="A430" s="12" t="s">
        <v>587</v>
      </c>
      <c r="B430" s="12" t="s">
        <v>579</v>
      </c>
      <c r="D430" s="94">
        <f t="shared" si="54"/>
        <v>1.0003306878306823E-2</v>
      </c>
    </row>
    <row r="431" spans="1:4" ht="19.05" customHeight="1" x14ac:dyDescent="0.3">
      <c r="A431" s="12" t="s">
        <v>588</v>
      </c>
      <c r="B431" s="12" t="s">
        <v>580</v>
      </c>
      <c r="D431" s="94">
        <f t="shared" si="54"/>
        <v>-0.23807031727555661</v>
      </c>
    </row>
    <row r="434" spans="1:23" ht="19.95" customHeight="1" x14ac:dyDescent="0.35">
      <c r="A434" s="11" t="s">
        <v>275</v>
      </c>
      <c r="R434" s="216" t="s">
        <v>276</v>
      </c>
      <c r="S434" s="172"/>
      <c r="T434" s="172"/>
      <c r="U434" s="172"/>
      <c r="V434" s="172"/>
      <c r="W434" s="173"/>
    </row>
    <row r="435" spans="1:23" ht="16.95" customHeight="1" x14ac:dyDescent="0.3">
      <c r="R435" s="215" t="s">
        <v>395</v>
      </c>
      <c r="S435" s="172"/>
      <c r="T435" s="172"/>
      <c r="U435" s="172"/>
      <c r="V435" s="172"/>
      <c r="W435" s="173"/>
    </row>
    <row r="436" spans="1:23" ht="16.95" customHeight="1" x14ac:dyDescent="0.3">
      <c r="A436" s="19" t="s">
        <v>278</v>
      </c>
      <c r="C436" s="19" t="s">
        <v>279</v>
      </c>
      <c r="D436" s="19" t="s">
        <v>280</v>
      </c>
      <c r="E436" s="19" t="s">
        <v>279</v>
      </c>
      <c r="F436" s="19" t="s">
        <v>280</v>
      </c>
      <c r="G436" s="19" t="s">
        <v>249</v>
      </c>
      <c r="R436" s="215" t="s">
        <v>396</v>
      </c>
      <c r="S436" s="172"/>
      <c r="T436" s="172"/>
      <c r="U436" s="172"/>
      <c r="V436" s="172"/>
      <c r="W436" s="173"/>
    </row>
    <row r="437" spans="1:23" ht="16.95" customHeight="1" x14ac:dyDescent="0.3">
      <c r="C437" s="19" t="s">
        <v>282</v>
      </c>
      <c r="D437" s="19" t="s">
        <v>282</v>
      </c>
      <c r="E437" s="19" t="s">
        <v>283</v>
      </c>
      <c r="F437" s="19" t="s">
        <v>283</v>
      </c>
      <c r="R437" s="215" t="s">
        <v>397</v>
      </c>
      <c r="S437" s="172"/>
      <c r="T437" s="172"/>
      <c r="U437" s="172"/>
      <c r="V437" s="172"/>
      <c r="W437" s="173"/>
    </row>
    <row r="438" spans="1:23" ht="16.95" customHeight="1" x14ac:dyDescent="0.3">
      <c r="A438" s="17">
        <f>N6</f>
        <v>68727.272727272721</v>
      </c>
      <c r="C438" s="92">
        <f>-J6</f>
        <v>-1</v>
      </c>
      <c r="D438" s="92">
        <f>-K6</f>
        <v>0</v>
      </c>
      <c r="E438" s="92">
        <f>J6</f>
        <v>1</v>
      </c>
      <c r="F438" s="92">
        <f>K6</f>
        <v>0</v>
      </c>
      <c r="G438" s="96">
        <f>IFERROR(VLOOKUP(H438, A$418:D$431, 4, FALSE), 0)</f>
        <v>0</v>
      </c>
      <c r="H438" s="12" t="str">
        <f>"D" &amp; C20 &amp; "X"</f>
        <v>D1X</v>
      </c>
      <c r="R438" s="215" t="s">
        <v>398</v>
      </c>
      <c r="S438" s="172"/>
      <c r="T438" s="172"/>
      <c r="U438" s="172"/>
      <c r="V438" s="172"/>
      <c r="W438" s="173"/>
    </row>
    <row r="439" spans="1:23" ht="16.95" customHeight="1" x14ac:dyDescent="0.3">
      <c r="A439" s="99" t="s">
        <v>285</v>
      </c>
      <c r="B439" s="97">
        <f>(MMULT(C438:F438, G438:G441)*A438)</f>
        <v>3208.3333333333321</v>
      </c>
      <c r="G439" s="96">
        <f>IFERROR(VLOOKUP(H439, A$418:D$431, 4, FALSE), 0)</f>
        <v>0</v>
      </c>
      <c r="H439" s="12" t="str">
        <f>"D" &amp; D20 &amp; "Y"</f>
        <v>D1Y</v>
      </c>
      <c r="R439" s="215" t="s">
        <v>399</v>
      </c>
      <c r="S439" s="172"/>
      <c r="T439" s="172"/>
      <c r="U439" s="172"/>
      <c r="V439" s="172"/>
      <c r="W439" s="173"/>
    </row>
    <row r="440" spans="1:23" ht="16.95" customHeight="1" x14ac:dyDescent="0.3">
      <c r="G440" s="96">
        <f>IFERROR(VLOOKUP(H440, A$418:D$431, 4, FALSE), 0)</f>
        <v>4.6682098765432084E-2</v>
      </c>
      <c r="H440" s="12" t="str">
        <f>"D" &amp; E20 &amp; "X"</f>
        <v>D2X</v>
      </c>
      <c r="R440" s="215" t="s">
        <v>400</v>
      </c>
      <c r="S440" s="172"/>
      <c r="T440" s="172"/>
      <c r="U440" s="172"/>
      <c r="V440" s="172"/>
      <c r="W440" s="173"/>
    </row>
    <row r="441" spans="1:23" ht="16.95" customHeight="1" x14ac:dyDescent="0.3">
      <c r="G441" s="96">
        <f>IFERROR(VLOOKUP(H441, A$418:D$431, 4, FALSE), 0)</f>
        <v>-0.45474467261695689</v>
      </c>
      <c r="H441" s="12" t="str">
        <f>"D" &amp; F20 &amp; "Y"</f>
        <v>D2Y</v>
      </c>
      <c r="R441" s="215" t="s">
        <v>401</v>
      </c>
      <c r="S441" s="172"/>
      <c r="T441" s="172"/>
      <c r="U441" s="172"/>
      <c r="V441" s="172"/>
      <c r="W441" s="173"/>
    </row>
    <row r="442" spans="1:23" ht="16.95" customHeight="1" x14ac:dyDescent="0.3">
      <c r="B442" s="99" t="s">
        <v>273</v>
      </c>
      <c r="C442" s="178" t="str">
        <f>IF(B439&gt;0.001,"BARRA A TRACCIÓN (+)",IF(B439&lt;-0.001,"BARRA A COMPRESIÓN (-)","BARRA DE FUERZA NULA"))</f>
        <v>BARRA A TRACCIÓN (+)</v>
      </c>
      <c r="D442" s="172"/>
      <c r="E442" s="172"/>
      <c r="F442" s="173"/>
      <c r="R442" s="215" t="s">
        <v>402</v>
      </c>
      <c r="S442" s="172"/>
      <c r="T442" s="172"/>
      <c r="U442" s="172"/>
      <c r="V442" s="172"/>
      <c r="W442" s="173"/>
    </row>
    <row r="443" spans="1:23" ht="16.95" customHeight="1" x14ac:dyDescent="0.3">
      <c r="R443" s="215" t="s">
        <v>403</v>
      </c>
      <c r="S443" s="172"/>
      <c r="T443" s="172"/>
      <c r="U443" s="172"/>
      <c r="V443" s="172"/>
      <c r="W443" s="173"/>
    </row>
    <row r="444" spans="1:23" ht="16.95" customHeight="1" x14ac:dyDescent="0.3">
      <c r="A444" s="19" t="s">
        <v>278</v>
      </c>
      <c r="C444" s="19" t="s">
        <v>279</v>
      </c>
      <c r="D444" s="19" t="s">
        <v>280</v>
      </c>
      <c r="E444" s="19" t="s">
        <v>279</v>
      </c>
      <c r="F444" s="19" t="s">
        <v>280</v>
      </c>
      <c r="G444" s="19" t="s">
        <v>249</v>
      </c>
      <c r="R444" s="215"/>
      <c r="S444" s="172"/>
      <c r="T444" s="172"/>
      <c r="U444" s="172"/>
      <c r="V444" s="172"/>
      <c r="W444" s="173"/>
    </row>
    <row r="445" spans="1:23" ht="16.95" customHeight="1" x14ac:dyDescent="0.3">
      <c r="C445" s="19" t="s">
        <v>282</v>
      </c>
      <c r="D445" s="19" t="s">
        <v>282</v>
      </c>
      <c r="E445" s="19" t="s">
        <v>283</v>
      </c>
      <c r="F445" s="19" t="s">
        <v>283</v>
      </c>
      <c r="R445" s="215"/>
      <c r="S445" s="172"/>
      <c r="T445" s="172"/>
      <c r="U445" s="172"/>
      <c r="V445" s="172"/>
      <c r="W445" s="173"/>
    </row>
    <row r="446" spans="1:23" ht="16.95" customHeight="1" x14ac:dyDescent="0.3">
      <c r="A446" s="17">
        <f>N7</f>
        <v>68727.272727272721</v>
      </c>
      <c r="C446" s="92">
        <f>-J7</f>
        <v>-1</v>
      </c>
      <c r="D446" s="92">
        <f>-K7</f>
        <v>0</v>
      </c>
      <c r="E446" s="92">
        <f>J7</f>
        <v>1</v>
      </c>
      <c r="F446" s="92">
        <f>K7</f>
        <v>0</v>
      </c>
      <c r="G446" s="96">
        <f>IFERROR(VLOOKUP(H446, A$418:D$431, 4, FALSE), 0)</f>
        <v>4.6682098765432084E-2</v>
      </c>
      <c r="H446" s="12" t="str">
        <f>"D" &amp; C21 &amp; "X"</f>
        <v>D2X</v>
      </c>
      <c r="R446" s="215"/>
      <c r="S446" s="172"/>
      <c r="T446" s="172"/>
      <c r="U446" s="172"/>
      <c r="V446" s="172"/>
      <c r="W446" s="173"/>
    </row>
    <row r="447" spans="1:23" ht="16.95" customHeight="1" x14ac:dyDescent="0.3">
      <c r="A447" s="99" t="s">
        <v>286</v>
      </c>
      <c r="B447" s="97">
        <f>(MMULT(C446:F446, G446:G449)*A446)</f>
        <v>7791.6666666666715</v>
      </c>
      <c r="G447" s="96">
        <f>IFERROR(VLOOKUP(H447, A$418:D$431, 4, FALSE), 0)</f>
        <v>-0.45474467261695689</v>
      </c>
      <c r="H447" s="12" t="str">
        <f>"D" &amp; D21 &amp; "Y"</f>
        <v>D2Y</v>
      </c>
      <c r="R447" s="215"/>
      <c r="S447" s="172"/>
      <c r="T447" s="172"/>
      <c r="U447" s="172"/>
      <c r="V447" s="172"/>
      <c r="W447" s="173"/>
    </row>
    <row r="448" spans="1:23" ht="16.95" customHeight="1" x14ac:dyDescent="0.3">
      <c r="G448" s="96">
        <f>IFERROR(VLOOKUP(H448, A$418:D$431, 4, FALSE), 0)</f>
        <v>0.16005291005291011</v>
      </c>
      <c r="H448" s="12" t="str">
        <f>"D" &amp; E21 &amp; "X"</f>
        <v>D3X</v>
      </c>
      <c r="R448" s="215"/>
      <c r="S448" s="172"/>
      <c r="T448" s="172"/>
      <c r="U448" s="172"/>
      <c r="V448" s="172"/>
      <c r="W448" s="173"/>
    </row>
    <row r="449" spans="1:23" ht="16.95" customHeight="1" x14ac:dyDescent="0.3">
      <c r="G449" s="96">
        <f>IFERROR(VLOOKUP(H449, A$418:D$431, 4, FALSE), 0)</f>
        <v>-0.45474467261695684</v>
      </c>
      <c r="H449" s="12" t="str">
        <f>"D" &amp; F21 &amp; "Y"</f>
        <v>D3Y</v>
      </c>
      <c r="R449" s="215"/>
      <c r="S449" s="172"/>
      <c r="T449" s="172"/>
      <c r="U449" s="172"/>
      <c r="V449" s="172"/>
      <c r="W449" s="173"/>
    </row>
    <row r="450" spans="1:23" ht="16.95" customHeight="1" x14ac:dyDescent="0.3">
      <c r="B450" s="99" t="s">
        <v>273</v>
      </c>
      <c r="C450" s="178" t="str">
        <f>IF(B447&gt;0.001,"BARRA A TRACCIÓN (+)",IF(B447&lt;-0.001,"BARRA A COMPRESIÓN (-)","BARRA DE FUERZA NULA"))</f>
        <v>BARRA A TRACCIÓN (+)</v>
      </c>
      <c r="D450" s="172"/>
      <c r="E450" s="172"/>
      <c r="F450" s="173"/>
      <c r="R450" s="215"/>
      <c r="S450" s="172"/>
      <c r="T450" s="172"/>
      <c r="U450" s="172"/>
      <c r="V450" s="172"/>
      <c r="W450" s="173"/>
    </row>
    <row r="451" spans="1:23" ht="16.95" customHeight="1" x14ac:dyDescent="0.3">
      <c r="R451" s="215"/>
      <c r="S451" s="172"/>
      <c r="T451" s="172"/>
      <c r="U451" s="172"/>
      <c r="V451" s="172"/>
      <c r="W451" s="173"/>
    </row>
    <row r="452" spans="1:23" ht="16.95" customHeight="1" x14ac:dyDescent="0.3">
      <c r="A452" s="19" t="s">
        <v>278</v>
      </c>
      <c r="C452" s="19" t="s">
        <v>279</v>
      </c>
      <c r="D452" s="19" t="s">
        <v>280</v>
      </c>
      <c r="E452" s="19" t="s">
        <v>279</v>
      </c>
      <c r="F452" s="19" t="s">
        <v>280</v>
      </c>
      <c r="G452" s="19" t="s">
        <v>249</v>
      </c>
      <c r="R452" s="215"/>
      <c r="S452" s="172"/>
      <c r="T452" s="172"/>
      <c r="U452" s="172"/>
      <c r="V452" s="172"/>
      <c r="W452" s="173"/>
    </row>
    <row r="453" spans="1:23" ht="16.95" customHeight="1" x14ac:dyDescent="0.3">
      <c r="C453" s="19" t="s">
        <v>282</v>
      </c>
      <c r="D453" s="19" t="s">
        <v>282</v>
      </c>
      <c r="E453" s="19" t="s">
        <v>283</v>
      </c>
      <c r="F453" s="19" t="s">
        <v>283</v>
      </c>
      <c r="R453" s="215"/>
      <c r="S453" s="172"/>
      <c r="T453" s="172"/>
      <c r="U453" s="172"/>
      <c r="V453" s="172"/>
      <c r="W453" s="173"/>
    </row>
    <row r="454" spans="1:23" ht="16.95" customHeight="1" x14ac:dyDescent="0.3">
      <c r="A454" s="17">
        <f>N8</f>
        <v>68727.272727272735</v>
      </c>
      <c r="C454" s="92">
        <f>-J8</f>
        <v>-1</v>
      </c>
      <c r="D454" s="92">
        <f>-K8</f>
        <v>0</v>
      </c>
      <c r="E454" s="92">
        <f>J8</f>
        <v>1</v>
      </c>
      <c r="F454" s="92">
        <f>K8</f>
        <v>0</v>
      </c>
      <c r="G454" s="96">
        <f>IFERROR(VLOOKUP(H454, A$418:D$431, 4, FALSE), 0)</f>
        <v>0.16005291005291011</v>
      </c>
      <c r="H454" s="12" t="str">
        <f>"D" &amp; C22 &amp; "X"</f>
        <v>D3X</v>
      </c>
      <c r="R454" s="215"/>
      <c r="S454" s="172"/>
      <c r="T454" s="172"/>
      <c r="U454" s="172"/>
      <c r="V454" s="172"/>
      <c r="W454" s="173"/>
    </row>
    <row r="455" spans="1:23" ht="16.95" customHeight="1" x14ac:dyDescent="0.3">
      <c r="A455" s="99" t="s">
        <v>287</v>
      </c>
      <c r="B455" s="97">
        <f>(MMULT(C454:F454, G454:G457)*A454)</f>
        <v>3208.3333333333385</v>
      </c>
      <c r="G455" s="96">
        <f>IFERROR(VLOOKUP(H455, A$418:D$431, 4, FALSE), 0)</f>
        <v>-0.45474467261695684</v>
      </c>
      <c r="H455" s="12" t="str">
        <f>"D" &amp; D22 &amp; "Y"</f>
        <v>D3Y</v>
      </c>
      <c r="R455" s="215"/>
      <c r="S455" s="172"/>
      <c r="T455" s="172"/>
      <c r="U455" s="172"/>
      <c r="V455" s="172"/>
      <c r="W455" s="173"/>
    </row>
    <row r="456" spans="1:23" ht="16.95" customHeight="1" x14ac:dyDescent="0.3">
      <c r="G456" s="96">
        <f>IFERROR(VLOOKUP(H456, A$418:D$431, 4, FALSE), 0)</f>
        <v>0.20673500881834228</v>
      </c>
      <c r="H456" s="12" t="str">
        <f>"D" &amp; E22 &amp; "X"</f>
        <v>D4X</v>
      </c>
      <c r="R456" s="215"/>
      <c r="S456" s="172"/>
      <c r="T456" s="172"/>
      <c r="U456" s="172"/>
      <c r="V456" s="172"/>
      <c r="W456" s="173"/>
    </row>
    <row r="457" spans="1:23" ht="16.95" customHeight="1" x14ac:dyDescent="0.3">
      <c r="G457" s="96">
        <f>IFERROR(VLOOKUP(H457, A$418:D$431, 4, FALSE), 0)</f>
        <v>0</v>
      </c>
      <c r="H457" s="12" t="str">
        <f>"D" &amp; F22 &amp; "Y"</f>
        <v>D4Y</v>
      </c>
      <c r="R457" s="215"/>
      <c r="S457" s="172"/>
      <c r="T457" s="172"/>
      <c r="U457" s="172"/>
      <c r="V457" s="172"/>
      <c r="W457" s="173"/>
    </row>
    <row r="458" spans="1:23" ht="16.95" customHeight="1" x14ac:dyDescent="0.3">
      <c r="B458" s="99" t="s">
        <v>273</v>
      </c>
      <c r="C458" s="178" t="str">
        <f>IF(B455&gt;0.001,"BARRA A TRACCIÓN (+)",IF(B455&lt;-0.001,"BARRA A COMPRESIÓN (-)","BARRA DE FUERZA NULA"))</f>
        <v>BARRA A TRACCIÓN (+)</v>
      </c>
      <c r="D458" s="172"/>
      <c r="E458" s="172"/>
      <c r="F458" s="173"/>
      <c r="R458" s="215"/>
      <c r="S458" s="172"/>
      <c r="T458" s="172"/>
      <c r="U458" s="172"/>
      <c r="V458" s="172"/>
      <c r="W458" s="173"/>
    </row>
    <row r="459" spans="1:23" ht="16.95" customHeight="1" x14ac:dyDescent="0.3">
      <c r="R459" s="215"/>
      <c r="S459" s="172"/>
      <c r="T459" s="172"/>
      <c r="U459" s="172"/>
      <c r="V459" s="172"/>
      <c r="W459" s="173"/>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57271.083842339911</v>
      </c>
      <c r="C462" s="92">
        <f>-J9</f>
        <v>-0.41665471049321356</v>
      </c>
      <c r="D462" s="92">
        <f>-K9</f>
        <v>-0.90906482289428436</v>
      </c>
      <c r="E462" s="92">
        <f>J9</f>
        <v>0.41665471049321356</v>
      </c>
      <c r="F462" s="92">
        <f>K9</f>
        <v>0.90906482289428436</v>
      </c>
      <c r="G462" s="96">
        <f>IFERROR(VLOOKUP(H462, A$418:D$431, 4, FALSE), 0)</f>
        <v>0</v>
      </c>
      <c r="H462" s="12" t="str">
        <f>"D" &amp; C23 &amp; "X"</f>
        <v>D1X</v>
      </c>
    </row>
    <row r="463" spans="1:23" ht="19.95" customHeight="1" x14ac:dyDescent="0.3">
      <c r="A463" s="99" t="s">
        <v>288</v>
      </c>
      <c r="B463" s="97">
        <f>(MMULT(C462:F462, G462:G465)*A462)</f>
        <v>-7700.2209564257255</v>
      </c>
      <c r="G463" s="96">
        <f>IFERROR(VLOOKUP(H463, A$418:D$431, 4, FALSE), 0)</f>
        <v>0</v>
      </c>
      <c r="H463" s="12" t="str">
        <f>"D" &amp; D23 &amp; "Y"</f>
        <v>D1Y</v>
      </c>
    </row>
    <row r="464" spans="1:23" ht="19.95" customHeight="1" x14ac:dyDescent="0.3">
      <c r="G464" s="96">
        <f>IFERROR(VLOOKUP(H464, A$418:D$431, 4, FALSE), 0)</f>
        <v>0.19673170194003553</v>
      </c>
      <c r="H464" s="12" t="str">
        <f>"D" &amp; E23 &amp; "X"</f>
        <v>D5X</v>
      </c>
    </row>
    <row r="465" spans="1:8" ht="19.95" customHeight="1" x14ac:dyDescent="0.3">
      <c r="G465" s="96">
        <f>IFERROR(VLOOKUP(H465, A$418:D$431, 4, FALSE), 0)</f>
        <v>-0.23807031727555661</v>
      </c>
      <c r="H465" s="12" t="str">
        <f>"D" &amp; F23 &amp; "Y"</f>
        <v>D5Y</v>
      </c>
    </row>
    <row r="466" spans="1:8" ht="19.95" customHeight="1" x14ac:dyDescent="0.3">
      <c r="B466" s="99" t="s">
        <v>273</v>
      </c>
      <c r="C466" s="178" t="str">
        <f>IF(B463&gt;0.001,"BARRA A TRACCIÓN (+)",IF(B463&lt;-0.001,"BARRA A COMPRESIÓN (-)","BARRA DE FUERZA NULA"))</f>
        <v>BARRA A COMPRESIÓN (-)</v>
      </c>
      <c r="D466" s="172"/>
      <c r="E466" s="172"/>
      <c r="F466" s="173"/>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57271.083842339904</v>
      </c>
      <c r="C470" s="92">
        <f>-J10</f>
        <v>-0.41665471049321373</v>
      </c>
      <c r="D470" s="92">
        <f>-K10</f>
        <v>0.90906482289428425</v>
      </c>
      <c r="E470" s="92">
        <f>J10</f>
        <v>0.41665471049321373</v>
      </c>
      <c r="F470" s="92">
        <f>K10</f>
        <v>-0.90906482289428425</v>
      </c>
      <c r="G470" s="96">
        <f>IFERROR(VLOOKUP(H470, A$418:D$431, 4, FALSE), 0)</f>
        <v>0.19673170194003553</v>
      </c>
      <c r="H470" s="12" t="str">
        <f>"D" &amp; C24 &amp; "X"</f>
        <v>D5X</v>
      </c>
    </row>
    <row r="471" spans="1:8" ht="19.95" customHeight="1" x14ac:dyDescent="0.3">
      <c r="A471" s="99" t="s">
        <v>289</v>
      </c>
      <c r="B471" s="97">
        <f>(MMULT(C470:F470, G470:G473)*A470)</f>
        <v>7700.2209564257182</v>
      </c>
      <c r="G471" s="96">
        <f>IFERROR(VLOOKUP(H471, A$418:D$431, 4, FALSE), 0)</f>
        <v>-0.23807031727555661</v>
      </c>
      <c r="H471" s="12" t="str">
        <f>"D" &amp; D24 &amp; "Y"</f>
        <v>D5Y</v>
      </c>
    </row>
    <row r="472" spans="1:8" ht="19.95" customHeight="1" x14ac:dyDescent="0.3">
      <c r="G472" s="96">
        <f>IFERROR(VLOOKUP(H472, A$418:D$431, 4, FALSE), 0)</f>
        <v>4.6682098765432084E-2</v>
      </c>
      <c r="H472" s="12" t="str">
        <f>"D" &amp; E24 &amp; "X"</f>
        <v>D2X</v>
      </c>
    </row>
    <row r="473" spans="1:8" ht="19.95" customHeight="1" x14ac:dyDescent="0.3">
      <c r="G473" s="96">
        <f>IFERROR(VLOOKUP(H473, A$418:D$431, 4, FALSE), 0)</f>
        <v>-0.45474467261695689</v>
      </c>
      <c r="H473" s="12" t="str">
        <f>"D" &amp; F24 &amp; "Y"</f>
        <v>D2Y</v>
      </c>
    </row>
    <row r="474" spans="1:8" ht="19.95" customHeight="1" x14ac:dyDescent="0.3">
      <c r="B474" s="99" t="s">
        <v>273</v>
      </c>
      <c r="C474" s="178" t="str">
        <f>IF(B471&gt;0.001,"BARRA A TRACCIÓN (+)",IF(B471&lt;-0.001,"BARRA A COMPRESIÓN (-)","BARRA DE FUERZA NULA"))</f>
        <v>BARRA A TRACCIÓN (+)</v>
      </c>
      <c r="D474" s="172"/>
      <c r="E474" s="172"/>
      <c r="F474" s="173"/>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68727.272727272706</v>
      </c>
      <c r="C478" s="92">
        <f>-J11</f>
        <v>-1</v>
      </c>
      <c r="D478" s="92">
        <f>-K11</f>
        <v>0</v>
      </c>
      <c r="E478" s="92">
        <f>J11</f>
        <v>1</v>
      </c>
      <c r="F478" s="92">
        <f>K11</f>
        <v>0</v>
      </c>
      <c r="G478" s="96">
        <f>IFERROR(VLOOKUP(H478, A$418:D$431, 4, FALSE), 0)</f>
        <v>0.19673170194003553</v>
      </c>
      <c r="H478" s="12" t="str">
        <f>"D" &amp; C25 &amp; "X"</f>
        <v>D5X</v>
      </c>
    </row>
    <row r="479" spans="1:8" ht="19.95" customHeight="1" x14ac:dyDescent="0.3">
      <c r="A479" s="99" t="s">
        <v>290</v>
      </c>
      <c r="B479" s="97">
        <f>(MMULT(C478:F478, G478:G481)*A478)</f>
        <v>-6416.6666666666761</v>
      </c>
      <c r="G479" s="96">
        <f>IFERROR(VLOOKUP(H479, A$418:D$431, 4, FALSE), 0)</f>
        <v>-0.23807031727555661</v>
      </c>
      <c r="H479" s="12" t="str">
        <f>"D" &amp; D25 &amp; "Y"</f>
        <v>D5Y</v>
      </c>
    </row>
    <row r="480" spans="1:8" ht="19.95" customHeight="1" x14ac:dyDescent="0.3">
      <c r="G480" s="96">
        <f>IFERROR(VLOOKUP(H480, A$418:D$431, 4, FALSE), 0)</f>
        <v>0.10336750440917117</v>
      </c>
      <c r="H480" s="12" t="str">
        <f>"D" &amp; E25 &amp; "X"</f>
        <v>D6X</v>
      </c>
    </row>
    <row r="481" spans="1:8" ht="19.95" customHeight="1" x14ac:dyDescent="0.3">
      <c r="G481" s="96">
        <f>IFERROR(VLOOKUP(H481, A$418:D$431, 4, FALSE), 0)</f>
        <v>-0.54411189234544988</v>
      </c>
      <c r="H481" s="12" t="str">
        <f>"D" &amp; F25 &amp; "Y"</f>
        <v>D6Y</v>
      </c>
    </row>
    <row r="482" spans="1:8" ht="19.95" customHeight="1" x14ac:dyDescent="0.3">
      <c r="B482" s="99" t="s">
        <v>273</v>
      </c>
      <c r="C482" s="178" t="str">
        <f>IF(B479&gt;0.001,"BARRA A TRACCIÓN (+)",IF(B479&lt;-0.001,"BARRA A COMPRESIÓN (-)","BARRA DE FUERZA NULA"))</f>
        <v>BARRA A COMPRESIÓN (-)</v>
      </c>
      <c r="D482" s="172"/>
      <c r="E482" s="172"/>
      <c r="F482" s="173"/>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57271.083842339911</v>
      </c>
      <c r="C486" s="92">
        <f>-J12</f>
        <v>-0.41665471049321362</v>
      </c>
      <c r="D486" s="92">
        <f>-K12</f>
        <v>-0.90906482289428436</v>
      </c>
      <c r="E486" s="92">
        <f>J12</f>
        <v>0.41665471049321362</v>
      </c>
      <c r="F486" s="92">
        <f>K12</f>
        <v>0.90906482289428436</v>
      </c>
      <c r="G486" s="96">
        <f>IFERROR(VLOOKUP(H486, A$418:D$431, 4, FALSE), 0)</f>
        <v>4.6682098765432084E-2</v>
      </c>
      <c r="H486" s="12" t="str">
        <f>"D" &amp; C26 &amp; "X"</f>
        <v>D2X</v>
      </c>
    </row>
    <row r="487" spans="1:8" ht="19.95" customHeight="1" x14ac:dyDescent="0.3">
      <c r="A487" s="99" t="s">
        <v>291</v>
      </c>
      <c r="B487" s="97">
        <f>(MMULT(C486:F486, G486:G489)*A486)</f>
        <v>-3300.0946956110301</v>
      </c>
      <c r="G487" s="96">
        <f>IFERROR(VLOOKUP(H487, A$418:D$431, 4, FALSE), 0)</f>
        <v>-0.45474467261695689</v>
      </c>
      <c r="H487" s="12" t="str">
        <f>"D" &amp; D26 &amp; "Y"</f>
        <v>D2Y</v>
      </c>
    </row>
    <row r="488" spans="1:8" ht="19.95" customHeight="1" x14ac:dyDescent="0.3">
      <c r="G488" s="96">
        <f>IFERROR(VLOOKUP(H488, A$418:D$431, 4, FALSE), 0)</f>
        <v>0.10336750440917117</v>
      </c>
      <c r="H488" s="12" t="str">
        <f>"D" &amp; E26 &amp; "X"</f>
        <v>D6X</v>
      </c>
    </row>
    <row r="489" spans="1:8" ht="19.95" customHeight="1" x14ac:dyDescent="0.3">
      <c r="G489" s="96">
        <f>IFERROR(VLOOKUP(H489, A$418:D$431, 4, FALSE), 0)</f>
        <v>-0.54411189234544988</v>
      </c>
      <c r="H489" s="12" t="str">
        <f>"D" &amp; F26 &amp; "Y"</f>
        <v>D6Y</v>
      </c>
    </row>
    <row r="490" spans="1:8" ht="19.95" customHeight="1" x14ac:dyDescent="0.3">
      <c r="B490" s="99" t="s">
        <v>273</v>
      </c>
      <c r="C490" s="178" t="str">
        <f>IF(B487&gt;0.001,"BARRA A TRACCIÓN (+)",IF(B487&lt;-0.001,"BARRA A COMPRESIÓN (-)","BARRA DE FUERZA NULA"))</f>
        <v>BARRA A COMPRESIÓN (-)</v>
      </c>
      <c r="D490" s="172"/>
      <c r="E490" s="172"/>
      <c r="F490" s="173"/>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57271.083842339904</v>
      </c>
      <c r="C494" s="92">
        <f>-J13</f>
        <v>-0.41665471049321368</v>
      </c>
      <c r="D494" s="92">
        <f>-K13</f>
        <v>0.90906482289428425</v>
      </c>
      <c r="E494" s="92">
        <f>J13</f>
        <v>0.41665471049321368</v>
      </c>
      <c r="F494" s="92">
        <f>K13</f>
        <v>-0.90906482289428425</v>
      </c>
      <c r="G494" s="96">
        <f>IFERROR(VLOOKUP(H494, A$418:D$431, 4, FALSE), 0)</f>
        <v>0.10336750440917117</v>
      </c>
      <c r="H494" s="12" t="str">
        <f>"D" &amp; C27 &amp; "X"</f>
        <v>D6X</v>
      </c>
    </row>
    <row r="495" spans="1:8" ht="19.95" customHeight="1" x14ac:dyDescent="0.3">
      <c r="A495" s="99" t="s">
        <v>292</v>
      </c>
      <c r="B495" s="97">
        <f>(MMULT(C494:F494, G494:G497)*A494)</f>
        <v>-3300.0946956110361</v>
      </c>
      <c r="G495" s="96">
        <f>IFERROR(VLOOKUP(H495, A$418:D$431, 4, FALSE), 0)</f>
        <v>-0.54411189234544988</v>
      </c>
      <c r="H495" s="12" t="str">
        <f>"D" &amp; D27 &amp; "Y"</f>
        <v>D6Y</v>
      </c>
    </row>
    <row r="496" spans="1:8" ht="19.95" customHeight="1" x14ac:dyDescent="0.3">
      <c r="G496" s="96">
        <f>IFERROR(VLOOKUP(H496, A$418:D$431, 4, FALSE), 0)</f>
        <v>0.16005291005291011</v>
      </c>
      <c r="H496" s="12" t="str">
        <f>"D" &amp; E27 &amp; "X"</f>
        <v>D3X</v>
      </c>
    </row>
    <row r="497" spans="1:8" ht="19.95" customHeight="1" x14ac:dyDescent="0.3">
      <c r="G497" s="96">
        <f>IFERROR(VLOOKUP(H497, A$418:D$431, 4, FALSE), 0)</f>
        <v>-0.45474467261695684</v>
      </c>
      <c r="H497" s="12" t="str">
        <f>"D" &amp; F27 &amp; "Y"</f>
        <v>D3Y</v>
      </c>
    </row>
    <row r="498" spans="1:8" ht="19.95" customHeight="1" x14ac:dyDescent="0.3">
      <c r="B498" s="99" t="s">
        <v>273</v>
      </c>
      <c r="C498" s="178" t="str">
        <f>IF(B495&gt;0.001,"BARRA A TRACCIÓN (+)",IF(B495&lt;-0.001,"BARRA A COMPRESIÓN (-)","BARRA DE FUERZA NULA"))</f>
        <v>BARRA A COMPRESIÓN (-)</v>
      </c>
      <c r="D498" s="172"/>
      <c r="E498" s="172"/>
      <c r="F498" s="173"/>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68727.272727272706</v>
      </c>
      <c r="C502" s="92">
        <f>-J14</f>
        <v>-1</v>
      </c>
      <c r="D502" s="92">
        <f>-K14</f>
        <v>0</v>
      </c>
      <c r="E502" s="92">
        <f>J14</f>
        <v>1</v>
      </c>
      <c r="F502" s="92">
        <f>K14</f>
        <v>0</v>
      </c>
      <c r="G502" s="96">
        <f>IFERROR(VLOOKUP(H502, A$418:D$431, 4, FALSE), 0)</f>
        <v>0.10336750440917117</v>
      </c>
      <c r="H502" s="12" t="str">
        <f>"D" &amp; C28 &amp; "X"</f>
        <v>D6X</v>
      </c>
    </row>
    <row r="503" spans="1:8" ht="19.95" customHeight="1" x14ac:dyDescent="0.3">
      <c r="A503" s="99" t="s">
        <v>530</v>
      </c>
      <c r="B503" s="97">
        <f>(MMULT(C502:F502, G502:G505)*A502)</f>
        <v>-6416.6666666666752</v>
      </c>
      <c r="G503" s="96">
        <f>IFERROR(VLOOKUP(H503, A$418:D$431, 4, FALSE), 0)</f>
        <v>-0.54411189234544988</v>
      </c>
      <c r="H503" s="12" t="str">
        <f>"D" &amp; D28 &amp; "Y"</f>
        <v>D6Y</v>
      </c>
    </row>
    <row r="504" spans="1:8" ht="19.95" customHeight="1" x14ac:dyDescent="0.3">
      <c r="G504" s="96">
        <f>IFERROR(VLOOKUP(H504, A$418:D$431, 4, FALSE), 0)</f>
        <v>1.0003306878306823E-2</v>
      </c>
      <c r="H504" s="12" t="str">
        <f>"D" &amp; E28 &amp; "X"</f>
        <v>D7X</v>
      </c>
    </row>
    <row r="505" spans="1:8" ht="19.95" customHeight="1" x14ac:dyDescent="0.3">
      <c r="G505" s="96">
        <f>IFERROR(VLOOKUP(H505, A$418:D$431, 4, FALSE), 0)</f>
        <v>-0.23807031727555661</v>
      </c>
      <c r="H505" s="12" t="str">
        <f>"D" &amp; F28 &amp; "Y"</f>
        <v>D7Y</v>
      </c>
    </row>
    <row r="506" spans="1:8" ht="19.95" customHeight="1" x14ac:dyDescent="0.3">
      <c r="B506" s="99" t="s">
        <v>273</v>
      </c>
      <c r="C506" s="178" t="str">
        <f>IF(B503&gt;0.001,"BARRA A TRACCIÓN (+)",IF(B503&lt;-0.001,"BARRA A COMPRESIÓN (-)","BARRA DE FUERZA NULA"))</f>
        <v>BARRA A COMPRESIÓN (-)</v>
      </c>
      <c r="D506" s="172"/>
      <c r="E506" s="172"/>
      <c r="F506" s="173"/>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57271.083842339904</v>
      </c>
      <c r="C510" s="92">
        <f>-J15</f>
        <v>0.41665471049321368</v>
      </c>
      <c r="D510" s="92">
        <f>-K15</f>
        <v>0.90906482289428425</v>
      </c>
      <c r="E510" s="92">
        <f>J15</f>
        <v>-0.41665471049321368</v>
      </c>
      <c r="F510" s="92">
        <f>K15</f>
        <v>-0.90906482289428425</v>
      </c>
      <c r="G510" s="96">
        <f>IFERROR(VLOOKUP(H510, A$418:D$431, 4, FALSE), 0)</f>
        <v>1.0003306878306823E-2</v>
      </c>
      <c r="H510" s="12" t="str">
        <f>"D" &amp; C29 &amp; "X"</f>
        <v>D7X</v>
      </c>
    </row>
    <row r="511" spans="1:8" ht="19.95" customHeight="1" x14ac:dyDescent="0.3">
      <c r="A511" s="99" t="s">
        <v>589</v>
      </c>
      <c r="B511" s="97">
        <f>(MMULT(C510:F510, G510:G513)*A510)</f>
        <v>7700.2209564257246</v>
      </c>
      <c r="G511" s="96">
        <f>IFERROR(VLOOKUP(H511, A$418:D$431, 4, FALSE), 0)</f>
        <v>-0.23807031727555661</v>
      </c>
      <c r="H511" s="12" t="str">
        <f>"D" &amp; D29 &amp; "Y"</f>
        <v>D7Y</v>
      </c>
    </row>
    <row r="512" spans="1:8" ht="19.95" customHeight="1" x14ac:dyDescent="0.3">
      <c r="G512" s="96">
        <f>IFERROR(VLOOKUP(H512, A$418:D$431, 4, FALSE), 0)</f>
        <v>0.16005291005291011</v>
      </c>
      <c r="H512" s="12" t="str">
        <f>"D" &amp; E29 &amp; "X"</f>
        <v>D3X</v>
      </c>
    </row>
    <row r="513" spans="1:8" ht="19.95" customHeight="1" x14ac:dyDescent="0.3">
      <c r="G513" s="96">
        <f>IFERROR(VLOOKUP(H513, A$418:D$431, 4, FALSE), 0)</f>
        <v>-0.45474467261695684</v>
      </c>
      <c r="H513" s="12" t="str">
        <f>"D" &amp; F29 &amp; "Y"</f>
        <v>D3Y</v>
      </c>
    </row>
    <row r="514" spans="1:8" ht="19.95" customHeight="1" x14ac:dyDescent="0.3">
      <c r="B514" s="99" t="s">
        <v>273</v>
      </c>
      <c r="C514" s="178" t="str">
        <f>IF(B511&gt;0.001,"BARRA A TRACCIÓN (+)",IF(B511&lt;-0.001,"BARRA A COMPRESIÓN (-)","BARRA DE FUERZA NULA"))</f>
        <v>BARRA A TRACCIÓN (+)</v>
      </c>
      <c r="D514" s="172"/>
      <c r="E514" s="172"/>
      <c r="F514" s="173"/>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57271.083842339911</v>
      </c>
      <c r="C518" s="92">
        <f>-J16</f>
        <v>-0.41665471049321345</v>
      </c>
      <c r="D518" s="92">
        <f>-K16</f>
        <v>0.90906482289428436</v>
      </c>
      <c r="E518" s="92">
        <f>J16</f>
        <v>0.41665471049321345</v>
      </c>
      <c r="F518" s="92">
        <f>K16</f>
        <v>-0.90906482289428436</v>
      </c>
      <c r="G518" s="96">
        <f>IFERROR(VLOOKUP(H518, A$418:D$431, 4, FALSE), 0)</f>
        <v>1.0003306878306823E-2</v>
      </c>
      <c r="H518" s="12" t="str">
        <f>"D" &amp; C30 &amp; "X"</f>
        <v>D7X</v>
      </c>
    </row>
    <row r="519" spans="1:8" ht="19.95" customHeight="1" x14ac:dyDescent="0.3">
      <c r="A519" s="99" t="s">
        <v>590</v>
      </c>
      <c r="B519" s="97">
        <f>(MMULT(C518:F518, G518:G521)*A518)</f>
        <v>-7700.2209564257282</v>
      </c>
      <c r="G519" s="96">
        <f>IFERROR(VLOOKUP(H519, A$418:D$431, 4, FALSE), 0)</f>
        <v>-0.23807031727555661</v>
      </c>
      <c r="H519" s="12" t="str">
        <f>"D" &amp; D30 &amp; "Y"</f>
        <v>D7Y</v>
      </c>
    </row>
    <row r="520" spans="1:8" ht="19.95" customHeight="1" x14ac:dyDescent="0.3">
      <c r="G520" s="96">
        <f>IFERROR(VLOOKUP(H520, A$418:D$431, 4, FALSE), 0)</f>
        <v>0.20673500881834228</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78" t="str">
        <f>IF(B519&gt;0.001,"BARRA A TRACCIÓN (+)",IF(B519&lt;-0.001,"BARRA A COMPRESIÓN (-)","BARRA DE FUERZA NULA"))</f>
        <v>BARRA A COMPRESIÓN (-)</v>
      </c>
      <c r="D522" s="172"/>
      <c r="E522" s="172"/>
      <c r="F522" s="173"/>
    </row>
    <row r="525" spans="1:8" ht="22.05" customHeight="1" x14ac:dyDescent="0.3">
      <c r="B525" s="217" t="s">
        <v>404</v>
      </c>
      <c r="C525" s="175"/>
      <c r="D525" s="175"/>
      <c r="E525" s="175"/>
      <c r="F525" s="175"/>
      <c r="G525" s="175"/>
      <c r="H525" s="175"/>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366.66666666666669</v>
      </c>
      <c r="F527" s="9">
        <f t="shared" ref="F527:F537" si="58">L6</f>
        <v>12</v>
      </c>
      <c r="G527" s="97">
        <f>B439</f>
        <v>3208.3333333333321</v>
      </c>
      <c r="H527" s="84" t="str">
        <f>C442</f>
        <v>BARRA A TRACCIÓN (+)</v>
      </c>
    </row>
    <row r="528" spans="1:8" ht="19.95" customHeight="1" x14ac:dyDescent="0.3">
      <c r="B528" s="25">
        <v>2</v>
      </c>
      <c r="C528" s="86">
        <f t="shared" si="55"/>
        <v>2</v>
      </c>
      <c r="D528" s="86">
        <f t="shared" si="56"/>
        <v>3</v>
      </c>
      <c r="E528" s="9">
        <f t="shared" si="57"/>
        <v>366.66666666666669</v>
      </c>
      <c r="F528" s="9">
        <f t="shared" si="58"/>
        <v>12</v>
      </c>
      <c r="G528" s="97">
        <f>B447</f>
        <v>7791.6666666666715</v>
      </c>
      <c r="H528" s="84" t="str">
        <f>C450</f>
        <v>BARRA A TRACCIÓN (+)</v>
      </c>
    </row>
    <row r="529" spans="2:8" ht="19.95" customHeight="1" x14ac:dyDescent="0.3">
      <c r="B529" s="26">
        <v>3</v>
      </c>
      <c r="C529" s="86">
        <f t="shared" si="55"/>
        <v>3</v>
      </c>
      <c r="D529" s="86">
        <f t="shared" si="56"/>
        <v>4</v>
      </c>
      <c r="E529" s="9">
        <f t="shared" si="57"/>
        <v>366.66666666666663</v>
      </c>
      <c r="F529" s="9">
        <f t="shared" si="58"/>
        <v>12</v>
      </c>
      <c r="G529" s="97">
        <f>B455</f>
        <v>3208.3333333333385</v>
      </c>
      <c r="H529" s="84" t="str">
        <f>C458</f>
        <v>BARRA A TRACCIÓN (+)</v>
      </c>
    </row>
    <row r="530" spans="2:8" ht="19.95" customHeight="1" x14ac:dyDescent="0.3">
      <c r="B530" s="43">
        <v>4</v>
      </c>
      <c r="C530" s="86">
        <f t="shared" si="55"/>
        <v>1</v>
      </c>
      <c r="D530" s="86">
        <f t="shared" si="56"/>
        <v>5</v>
      </c>
      <c r="E530" s="9">
        <f t="shared" si="57"/>
        <v>440.01262608146948</v>
      </c>
      <c r="F530" s="9">
        <f t="shared" si="58"/>
        <v>12</v>
      </c>
      <c r="G530" s="97">
        <f>B463</f>
        <v>-7700.2209564257255</v>
      </c>
      <c r="H530" s="84" t="str">
        <f>C466</f>
        <v>BARRA A COMPRESIÓN (-)</v>
      </c>
    </row>
    <row r="531" spans="2:8" ht="19.95" customHeight="1" x14ac:dyDescent="0.3">
      <c r="B531" s="44">
        <v>5</v>
      </c>
      <c r="C531" s="86">
        <f t="shared" si="55"/>
        <v>5</v>
      </c>
      <c r="D531" s="86">
        <f t="shared" si="56"/>
        <v>2</v>
      </c>
      <c r="E531" s="9">
        <f t="shared" si="57"/>
        <v>440.01262608146953</v>
      </c>
      <c r="F531" s="9">
        <f t="shared" si="58"/>
        <v>12</v>
      </c>
      <c r="G531" s="97">
        <f>B471</f>
        <v>7700.2209564257182</v>
      </c>
      <c r="H531" s="84" t="str">
        <f>C474</f>
        <v>BARRA A TRACCIÓN (+)</v>
      </c>
    </row>
    <row r="532" spans="2:8" ht="19.95" customHeight="1" x14ac:dyDescent="0.3">
      <c r="B532" s="51">
        <v>6</v>
      </c>
      <c r="C532" s="86">
        <f t="shared" si="55"/>
        <v>5</v>
      </c>
      <c r="D532" s="86">
        <f t="shared" si="56"/>
        <v>6</v>
      </c>
      <c r="E532" s="9">
        <f t="shared" si="57"/>
        <v>366.66666666666674</v>
      </c>
      <c r="F532" s="9">
        <f t="shared" si="58"/>
        <v>12</v>
      </c>
      <c r="G532" s="97">
        <f>B479</f>
        <v>-6416.6666666666761</v>
      </c>
      <c r="H532" s="84" t="str">
        <f>C482</f>
        <v>BARRA A COMPRESIÓN (-)</v>
      </c>
    </row>
    <row r="533" spans="2:8" ht="19.95" customHeight="1" x14ac:dyDescent="0.3">
      <c r="B533" s="52">
        <v>7</v>
      </c>
      <c r="C533" s="86">
        <f t="shared" si="55"/>
        <v>2</v>
      </c>
      <c r="D533" s="86">
        <f t="shared" si="56"/>
        <v>6</v>
      </c>
      <c r="E533" s="9">
        <f t="shared" si="57"/>
        <v>440.01262608146948</v>
      </c>
      <c r="F533" s="9">
        <f t="shared" si="58"/>
        <v>12</v>
      </c>
      <c r="G533" s="97">
        <f>B487</f>
        <v>-3300.0946956110301</v>
      </c>
      <c r="H533" s="84" t="str">
        <f>C490</f>
        <v>BARRA A COMPRESIÓN (-)</v>
      </c>
    </row>
    <row r="534" spans="2:8" ht="19.95" customHeight="1" x14ac:dyDescent="0.3">
      <c r="B534" s="59">
        <v>8</v>
      </c>
      <c r="C534" s="86">
        <f t="shared" si="55"/>
        <v>6</v>
      </c>
      <c r="D534" s="86">
        <f t="shared" si="56"/>
        <v>3</v>
      </c>
      <c r="E534" s="9">
        <f t="shared" si="57"/>
        <v>440.01262608146953</v>
      </c>
      <c r="F534" s="9">
        <f t="shared" si="58"/>
        <v>12</v>
      </c>
      <c r="G534" s="97">
        <f>B495</f>
        <v>-3300.0946956110361</v>
      </c>
      <c r="H534" s="84" t="str">
        <f>C498</f>
        <v>BARRA A COMPRESIÓN (-)</v>
      </c>
    </row>
    <row r="535" spans="2:8" ht="19.95" customHeight="1" x14ac:dyDescent="0.3">
      <c r="B535" s="60">
        <v>9</v>
      </c>
      <c r="C535" s="86">
        <f t="shared" si="55"/>
        <v>6</v>
      </c>
      <c r="D535" s="86">
        <f t="shared" si="56"/>
        <v>7</v>
      </c>
      <c r="E535" s="9">
        <f t="shared" si="57"/>
        <v>366.66666666666674</v>
      </c>
      <c r="F535" s="9">
        <f t="shared" si="58"/>
        <v>12</v>
      </c>
      <c r="G535" s="97">
        <f>B503</f>
        <v>-6416.6666666666752</v>
      </c>
      <c r="H535" s="84" t="str">
        <f>C506</f>
        <v>BARRA A COMPRESIÓN (-)</v>
      </c>
    </row>
    <row r="536" spans="2:8" ht="19.95" customHeight="1" x14ac:dyDescent="0.3">
      <c r="B536" s="67">
        <v>10</v>
      </c>
      <c r="C536" s="86">
        <f t="shared" si="55"/>
        <v>7</v>
      </c>
      <c r="D536" s="86">
        <f t="shared" si="56"/>
        <v>3</v>
      </c>
      <c r="E536" s="9">
        <f t="shared" si="57"/>
        <v>440.01262608146953</v>
      </c>
      <c r="F536" s="9">
        <f t="shared" si="58"/>
        <v>12</v>
      </c>
      <c r="G536" s="97">
        <f>B511</f>
        <v>7700.2209564257246</v>
      </c>
      <c r="H536" s="84" t="str">
        <f>C514</f>
        <v>BARRA A TRACCIÓN (+)</v>
      </c>
    </row>
    <row r="537" spans="2:8" ht="19.95" customHeight="1" x14ac:dyDescent="0.3">
      <c r="B537" s="68">
        <v>11</v>
      </c>
      <c r="C537" s="86">
        <f t="shared" si="55"/>
        <v>7</v>
      </c>
      <c r="D537" s="86">
        <f t="shared" si="56"/>
        <v>4</v>
      </c>
      <c r="E537" s="9">
        <f t="shared" si="57"/>
        <v>440.01262608146948</v>
      </c>
      <c r="F537" s="9">
        <f t="shared" si="58"/>
        <v>12</v>
      </c>
      <c r="G537" s="97">
        <f>B519</f>
        <v>-7700.2209564257282</v>
      </c>
      <c r="H537" s="84" t="str">
        <f>C522</f>
        <v>BARRA A COMPRESIÓN (-)</v>
      </c>
    </row>
  </sheetData>
  <mergeCells count="166">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328:W328"/>
    <mergeCell ref="R316:W316"/>
    <mergeCell ref="R381:W381"/>
    <mergeCell ref="C368:M368"/>
    <mergeCell ref="R365:W365"/>
    <mergeCell ref="R322:W322"/>
    <mergeCell ref="R331:W331"/>
    <mergeCell ref="R321:W321"/>
    <mergeCell ref="R386:W386"/>
    <mergeCell ref="R401:W401"/>
    <mergeCell ref="R370:W370"/>
    <mergeCell ref="R323:W323"/>
    <mergeCell ref="C442:F442"/>
    <mergeCell ref="R453:W453"/>
    <mergeCell ref="R340:W340"/>
    <mergeCell ref="R434:W434"/>
    <mergeCell ref="R445:W445"/>
    <mergeCell ref="R450:W450"/>
    <mergeCell ref="R455:W455"/>
    <mergeCell ref="R337:W337"/>
    <mergeCell ref="R368:W368"/>
    <mergeCell ref="R408:W408"/>
    <mergeCell ref="R402:W402"/>
    <mergeCell ref="R400:W400"/>
    <mergeCell ref="R443:W443"/>
    <mergeCell ref="R436:W436"/>
    <mergeCell ref="R405:W405"/>
    <mergeCell ref="R444:W444"/>
    <mergeCell ref="R366:W366"/>
    <mergeCell ref="R380:W380"/>
    <mergeCell ref="R374:W374"/>
    <mergeCell ref="R379:W379"/>
    <mergeCell ref="R388:W388"/>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R459:W459"/>
    <mergeCell ref="R372:W372"/>
    <mergeCell ref="K4:K5"/>
    <mergeCell ref="R307:W307"/>
    <mergeCell ref="R347:W347"/>
    <mergeCell ref="R387:W387"/>
    <mergeCell ref="R412:W412"/>
    <mergeCell ref="R452:W452"/>
    <mergeCell ref="B2:N2"/>
    <mergeCell ref="B3:D3"/>
    <mergeCell ref="R398:W398"/>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595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HYPERLINK("#'AUTOMATIZADA_39'!A1",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8</v>
      </c>
      <c r="C6" s="173"/>
      <c r="D6" s="206">
        <f>COUNT(C28:C42)</f>
        <v>13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350</v>
      </c>
      <c r="AB8" s="20">
        <f>IF(F29="","",F29)</f>
        <v>0</v>
      </c>
      <c r="AC8" t="s">
        <v>316</v>
      </c>
    </row>
    <row r="9" spans="2:29" x14ac:dyDescent="0.3">
      <c r="AA9" s="20">
        <f>IF(G29="","",G29)</f>
        <v>700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700</v>
      </c>
      <c r="AB11" s="20">
        <f>IF(F30="","",F30)</f>
        <v>0</v>
      </c>
      <c r="AC11" t="s">
        <v>324</v>
      </c>
    </row>
    <row r="12" spans="2:29" x14ac:dyDescent="0.3">
      <c r="AA12" s="20">
        <f>IF(G30="","",G30)</f>
        <v>1050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1050</v>
      </c>
      <c r="AB14" s="20">
        <f>IF(F31="","",F31)</f>
        <v>0</v>
      </c>
      <c r="AC14" t="s">
        <v>328</v>
      </c>
    </row>
    <row r="15" spans="2:29" ht="19.05" customHeight="1" x14ac:dyDescent="0.3">
      <c r="B15" s="89">
        <v>2</v>
      </c>
      <c r="C15" s="21">
        <v>350</v>
      </c>
      <c r="D15" s="21">
        <v>0</v>
      </c>
      <c r="E15" s="21" t="s">
        <v>326</v>
      </c>
      <c r="F15" s="88">
        <f t="shared" si="0"/>
        <v>0</v>
      </c>
      <c r="G15" s="88">
        <f t="shared" si="1"/>
        <v>0</v>
      </c>
      <c r="H15" s="22">
        <v>0</v>
      </c>
      <c r="I15" s="22">
        <v>-4000</v>
      </c>
      <c r="J15" s="205" t="s">
        <v>573</v>
      </c>
      <c r="K15" s="172"/>
      <c r="L15" s="172"/>
      <c r="M15" s="172"/>
      <c r="N15" s="172"/>
      <c r="O15" s="173"/>
      <c r="AA15" s="20">
        <f>IF(G31="","",G31)</f>
        <v>1400</v>
      </c>
      <c r="AB15" s="20">
        <f>IF(H31="","",H31)</f>
        <v>0</v>
      </c>
      <c r="AC15" t="s">
        <v>331</v>
      </c>
    </row>
    <row r="16" spans="2:29" ht="19.05" customHeight="1" x14ac:dyDescent="0.3">
      <c r="B16" s="89">
        <v>3</v>
      </c>
      <c r="C16" s="21">
        <v>700</v>
      </c>
      <c r="D16" s="21">
        <v>0</v>
      </c>
      <c r="E16" s="21" t="s">
        <v>326</v>
      </c>
      <c r="F16" s="88">
        <f t="shared" si="0"/>
        <v>0</v>
      </c>
      <c r="G16" s="88">
        <f t="shared" si="1"/>
        <v>0</v>
      </c>
      <c r="H16" s="22">
        <v>0</v>
      </c>
      <c r="I16" s="22">
        <v>-5000</v>
      </c>
      <c r="J16" s="205" t="s">
        <v>574</v>
      </c>
      <c r="K16" s="172"/>
      <c r="L16" s="172"/>
      <c r="M16" s="172"/>
      <c r="N16" s="172"/>
      <c r="O16" s="173"/>
    </row>
    <row r="17" spans="2:29" ht="19.05" customHeight="1" x14ac:dyDescent="0.3">
      <c r="B17" s="89">
        <v>4</v>
      </c>
      <c r="C17" s="21">
        <v>1050</v>
      </c>
      <c r="D17" s="21">
        <v>0</v>
      </c>
      <c r="E17" s="21" t="s">
        <v>326</v>
      </c>
      <c r="F17" s="88">
        <f t="shared" si="0"/>
        <v>0</v>
      </c>
      <c r="G17" s="88">
        <f t="shared" si="1"/>
        <v>0</v>
      </c>
      <c r="H17" s="22">
        <v>0</v>
      </c>
      <c r="I17" s="22">
        <v>-4000</v>
      </c>
      <c r="J17" s="205" t="s">
        <v>596</v>
      </c>
      <c r="K17" s="172"/>
      <c r="L17" s="172"/>
      <c r="M17" s="172"/>
      <c r="N17" s="172"/>
      <c r="O17" s="173"/>
      <c r="AA17" s="20">
        <f>IF(E32="","",E32)</f>
        <v>0</v>
      </c>
      <c r="AB17" s="20">
        <f>IF(F32="","",F32)</f>
        <v>0</v>
      </c>
      <c r="AC17" t="s">
        <v>334</v>
      </c>
    </row>
    <row r="18" spans="2:29" ht="19.05" customHeight="1" x14ac:dyDescent="0.3">
      <c r="B18" s="89">
        <v>5</v>
      </c>
      <c r="C18" s="21">
        <v>1400</v>
      </c>
      <c r="D18" s="21">
        <v>0</v>
      </c>
      <c r="E18" s="21" t="s">
        <v>329</v>
      </c>
      <c r="F18" s="88">
        <f t="shared" si="0"/>
        <v>0</v>
      </c>
      <c r="G18" s="88">
        <f t="shared" si="1"/>
        <v>1</v>
      </c>
      <c r="H18" s="22">
        <v>0</v>
      </c>
      <c r="I18" s="22">
        <v>0</v>
      </c>
      <c r="J18" s="205" t="s">
        <v>407</v>
      </c>
      <c r="K18" s="172"/>
      <c r="L18" s="172"/>
      <c r="M18" s="172"/>
      <c r="N18" s="172"/>
      <c r="O18" s="173"/>
      <c r="AA18" s="20">
        <f>IF(G32="","",G32)</f>
        <v>350</v>
      </c>
      <c r="AB18" s="20">
        <f>IF(H32="","",H32)</f>
        <v>450</v>
      </c>
      <c r="AC18" t="s">
        <v>335</v>
      </c>
    </row>
    <row r="19" spans="2:29" ht="19.05" customHeight="1" x14ac:dyDescent="0.3">
      <c r="B19" s="89">
        <v>6</v>
      </c>
      <c r="C19" s="21">
        <v>350</v>
      </c>
      <c r="D19" s="21">
        <v>450</v>
      </c>
      <c r="E19" s="21" t="s">
        <v>326</v>
      </c>
      <c r="F19" s="88">
        <f t="shared" si="0"/>
        <v>0</v>
      </c>
      <c r="G19" s="88">
        <f t="shared" si="1"/>
        <v>0</v>
      </c>
      <c r="H19" s="22">
        <v>0</v>
      </c>
      <c r="I19" s="22">
        <v>0</v>
      </c>
      <c r="J19" s="205" t="s">
        <v>597</v>
      </c>
      <c r="K19" s="172"/>
      <c r="L19" s="172"/>
      <c r="M19" s="172"/>
      <c r="N19" s="172"/>
      <c r="O19" s="173"/>
    </row>
    <row r="20" spans="2:29" ht="19.05" customHeight="1" x14ac:dyDescent="0.3">
      <c r="B20" s="89">
        <v>7</v>
      </c>
      <c r="C20" s="21">
        <v>700</v>
      </c>
      <c r="D20" s="21">
        <v>450</v>
      </c>
      <c r="E20" s="21" t="s">
        <v>326</v>
      </c>
      <c r="F20" s="88">
        <f t="shared" si="0"/>
        <v>0</v>
      </c>
      <c r="G20" s="88">
        <f t="shared" si="1"/>
        <v>0</v>
      </c>
      <c r="H20" s="22">
        <v>0</v>
      </c>
      <c r="I20" s="22">
        <v>0</v>
      </c>
      <c r="J20" s="205" t="s">
        <v>598</v>
      </c>
      <c r="K20" s="172"/>
      <c r="L20" s="172"/>
      <c r="M20" s="172"/>
      <c r="N20" s="172"/>
      <c r="O20" s="173"/>
      <c r="AA20" s="20">
        <f>IF(E33="","",E33)</f>
        <v>350</v>
      </c>
      <c r="AB20" s="20">
        <f>IF(F33="","",F33)</f>
        <v>450</v>
      </c>
      <c r="AC20" t="s">
        <v>336</v>
      </c>
    </row>
    <row r="21" spans="2:29" ht="19.05" customHeight="1" x14ac:dyDescent="0.3">
      <c r="B21" s="89">
        <v>8</v>
      </c>
      <c r="C21" s="21">
        <v>1050</v>
      </c>
      <c r="D21" s="21">
        <v>450</v>
      </c>
      <c r="E21" s="21" t="s">
        <v>326</v>
      </c>
      <c r="F21" s="88">
        <f t="shared" si="0"/>
        <v>0</v>
      </c>
      <c r="G21" s="88">
        <f t="shared" si="1"/>
        <v>0</v>
      </c>
      <c r="H21" s="22">
        <v>0</v>
      </c>
      <c r="I21" s="22">
        <v>0</v>
      </c>
      <c r="J21" s="205" t="s">
        <v>599</v>
      </c>
      <c r="K21" s="172"/>
      <c r="L21" s="172"/>
      <c r="M21" s="172"/>
      <c r="N21" s="172"/>
      <c r="O21" s="173"/>
      <c r="AA21" s="20">
        <f>IF(G33="","",G33)</f>
        <v>700</v>
      </c>
      <c r="AB21" s="20">
        <f>IF(H33="","",H33)</f>
        <v>450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700</v>
      </c>
      <c r="AB23" s="20">
        <f>IF(F34="","",F34)</f>
        <v>450</v>
      </c>
      <c r="AC23" t="s">
        <v>338</v>
      </c>
    </row>
    <row r="24" spans="2:29" x14ac:dyDescent="0.3">
      <c r="AA24" s="20">
        <f>IF(G34="","",G34)</f>
        <v>1050</v>
      </c>
      <c r="AB24" s="20">
        <f>IF(H34="","",H34)</f>
        <v>450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1050</v>
      </c>
      <c r="AB26" s="20">
        <f>IF(F35="","",F35)</f>
        <v>450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1400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450</v>
      </c>
      <c r="AC29" t="s">
        <v>353</v>
      </c>
    </row>
    <row r="30" spans="2:29" ht="19.05" customHeight="1" x14ac:dyDescent="0.3">
      <c r="B30" s="89">
        <v>3</v>
      </c>
      <c r="C30" s="23">
        <v>3</v>
      </c>
      <c r="D30" s="23">
        <v>4</v>
      </c>
      <c r="E30" s="5">
        <f t="shared" si="2"/>
        <v>700</v>
      </c>
      <c r="F30" s="5">
        <f t="shared" si="3"/>
        <v>0</v>
      </c>
      <c r="G30" s="5">
        <f t="shared" si="4"/>
        <v>1050</v>
      </c>
      <c r="H30" s="5">
        <f t="shared" si="5"/>
        <v>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4</v>
      </c>
      <c r="D31" s="23">
        <v>5</v>
      </c>
      <c r="E31" s="5">
        <f t="shared" si="2"/>
        <v>1050</v>
      </c>
      <c r="F31" s="5">
        <f t="shared" si="3"/>
        <v>0</v>
      </c>
      <c r="G31" s="5">
        <f t="shared" si="4"/>
        <v>1400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6</v>
      </c>
      <c r="E32" s="5">
        <f t="shared" si="2"/>
        <v>0</v>
      </c>
      <c r="F32" s="5">
        <f t="shared" si="3"/>
        <v>0</v>
      </c>
      <c r="G32" s="5">
        <f t="shared" si="4"/>
        <v>350</v>
      </c>
      <c r="H32" s="5">
        <f t="shared" si="5"/>
        <v>450</v>
      </c>
      <c r="I32" s="9">
        <f t="shared" si="6"/>
        <v>350</v>
      </c>
      <c r="J32" s="9">
        <f t="shared" si="7"/>
        <v>450</v>
      </c>
      <c r="K32" s="9">
        <f t="shared" si="8"/>
        <v>570.08771254956901</v>
      </c>
      <c r="L32" s="92">
        <f t="shared" si="9"/>
        <v>0.61394061351492046</v>
      </c>
      <c r="M32" s="92">
        <f t="shared" si="10"/>
        <v>0.78935221737632633</v>
      </c>
      <c r="N32" s="22">
        <v>12</v>
      </c>
      <c r="O32" s="24">
        <v>2100000</v>
      </c>
      <c r="AA32" s="20">
        <f>IF(E37="","",E37)</f>
        <v>350</v>
      </c>
      <c r="AB32" s="20">
        <f>IF(F37="","",F37)</f>
        <v>0</v>
      </c>
      <c r="AC32" t="s">
        <v>355</v>
      </c>
    </row>
    <row r="33" spans="2:29" ht="19.05" customHeight="1" x14ac:dyDescent="0.3">
      <c r="B33" s="89">
        <v>6</v>
      </c>
      <c r="C33" s="23">
        <v>6</v>
      </c>
      <c r="D33" s="23">
        <v>7</v>
      </c>
      <c r="E33" s="5">
        <f t="shared" si="2"/>
        <v>350</v>
      </c>
      <c r="F33" s="5">
        <f t="shared" si="3"/>
        <v>450</v>
      </c>
      <c r="G33" s="5">
        <f t="shared" si="4"/>
        <v>700</v>
      </c>
      <c r="H33" s="5">
        <f t="shared" si="5"/>
        <v>450</v>
      </c>
      <c r="I33" s="9">
        <f t="shared" si="6"/>
        <v>350</v>
      </c>
      <c r="J33" s="9">
        <f t="shared" si="7"/>
        <v>0</v>
      </c>
      <c r="K33" s="9">
        <f t="shared" si="8"/>
        <v>350</v>
      </c>
      <c r="L33" s="92">
        <f t="shared" si="9"/>
        <v>1</v>
      </c>
      <c r="M33" s="92">
        <f t="shared" si="10"/>
        <v>0</v>
      </c>
      <c r="N33" s="22">
        <v>12</v>
      </c>
      <c r="O33" s="24">
        <v>2100000</v>
      </c>
      <c r="AA33" s="20">
        <f>IF(G37="","",G37)</f>
        <v>700</v>
      </c>
      <c r="AB33" s="20">
        <f>IF(H37="","",H37)</f>
        <v>450</v>
      </c>
      <c r="AC33" t="s">
        <v>356</v>
      </c>
    </row>
    <row r="34" spans="2:29" ht="19.05" customHeight="1" x14ac:dyDescent="0.3">
      <c r="B34" s="89">
        <v>7</v>
      </c>
      <c r="C34" s="23">
        <v>7</v>
      </c>
      <c r="D34" s="23">
        <v>8</v>
      </c>
      <c r="E34" s="5">
        <f t="shared" si="2"/>
        <v>700</v>
      </c>
      <c r="F34" s="5">
        <f t="shared" si="3"/>
        <v>450</v>
      </c>
      <c r="G34" s="5">
        <f t="shared" si="4"/>
        <v>1050</v>
      </c>
      <c r="H34" s="5">
        <f t="shared" si="5"/>
        <v>450</v>
      </c>
      <c r="I34" s="9">
        <f t="shared" si="6"/>
        <v>350</v>
      </c>
      <c r="J34" s="9">
        <f t="shared" si="7"/>
        <v>0</v>
      </c>
      <c r="K34" s="9">
        <f t="shared" si="8"/>
        <v>350</v>
      </c>
      <c r="L34" s="92">
        <f t="shared" si="9"/>
        <v>1</v>
      </c>
      <c r="M34" s="92">
        <f t="shared" si="10"/>
        <v>0</v>
      </c>
      <c r="N34" s="22">
        <v>12</v>
      </c>
      <c r="O34" s="24">
        <v>2100000</v>
      </c>
    </row>
    <row r="35" spans="2:29" ht="19.05" customHeight="1" x14ac:dyDescent="0.3">
      <c r="B35" s="89">
        <v>8</v>
      </c>
      <c r="C35" s="23">
        <v>8</v>
      </c>
      <c r="D35" s="23">
        <v>5</v>
      </c>
      <c r="E35" s="5">
        <f t="shared" si="2"/>
        <v>1050</v>
      </c>
      <c r="F35" s="5">
        <f t="shared" si="3"/>
        <v>450</v>
      </c>
      <c r="G35" s="5">
        <f t="shared" si="4"/>
        <v>1400</v>
      </c>
      <c r="H35" s="5">
        <f t="shared" si="5"/>
        <v>0</v>
      </c>
      <c r="I35" s="9">
        <f t="shared" si="6"/>
        <v>350</v>
      </c>
      <c r="J35" s="9">
        <f t="shared" si="7"/>
        <v>-450</v>
      </c>
      <c r="K35" s="9">
        <f t="shared" si="8"/>
        <v>570.08771254956901</v>
      </c>
      <c r="L35" s="92">
        <f t="shared" si="9"/>
        <v>0.61394061351492046</v>
      </c>
      <c r="M35" s="92">
        <f t="shared" si="10"/>
        <v>-0.78935221737632633</v>
      </c>
      <c r="N35" s="22">
        <v>12</v>
      </c>
      <c r="O35" s="24">
        <v>2100000</v>
      </c>
      <c r="AA35" s="20">
        <f>IF(E38="","",E38)</f>
        <v>700</v>
      </c>
      <c r="AB35" s="20">
        <f>IF(F38="","",F38)</f>
        <v>450</v>
      </c>
      <c r="AC35" t="s">
        <v>357</v>
      </c>
    </row>
    <row r="36" spans="2:29" ht="19.05" customHeight="1" x14ac:dyDescent="0.3">
      <c r="B36" s="89">
        <v>9</v>
      </c>
      <c r="C36" s="23">
        <v>6</v>
      </c>
      <c r="D36" s="23">
        <v>2</v>
      </c>
      <c r="E36" s="5">
        <f t="shared" si="2"/>
        <v>350</v>
      </c>
      <c r="F36" s="5">
        <f t="shared" si="3"/>
        <v>450</v>
      </c>
      <c r="G36" s="5">
        <f t="shared" si="4"/>
        <v>350</v>
      </c>
      <c r="H36" s="5">
        <f t="shared" si="5"/>
        <v>0</v>
      </c>
      <c r="I36" s="9">
        <f t="shared" si="6"/>
        <v>0</v>
      </c>
      <c r="J36" s="9">
        <f t="shared" si="7"/>
        <v>-450</v>
      </c>
      <c r="K36" s="9">
        <f t="shared" si="8"/>
        <v>450</v>
      </c>
      <c r="L36" s="92">
        <f t="shared" si="9"/>
        <v>0</v>
      </c>
      <c r="M36" s="92">
        <f t="shared" si="10"/>
        <v>-1</v>
      </c>
      <c r="N36" s="22">
        <v>12</v>
      </c>
      <c r="O36" s="24">
        <v>2100000</v>
      </c>
      <c r="AA36" s="20">
        <f>IF(G38="","",G38)</f>
        <v>700</v>
      </c>
      <c r="AB36" s="20">
        <f>IF(H38="","",H38)</f>
        <v>0</v>
      </c>
      <c r="AC36" t="s">
        <v>358</v>
      </c>
    </row>
    <row r="37" spans="2:29" ht="19.05" customHeight="1" x14ac:dyDescent="0.3">
      <c r="B37" s="89">
        <v>10</v>
      </c>
      <c r="C37" s="23">
        <v>2</v>
      </c>
      <c r="D37" s="23">
        <v>7</v>
      </c>
      <c r="E37" s="5">
        <f t="shared" si="2"/>
        <v>350</v>
      </c>
      <c r="F37" s="5">
        <f t="shared" si="3"/>
        <v>0</v>
      </c>
      <c r="G37" s="5">
        <f t="shared" si="4"/>
        <v>700</v>
      </c>
      <c r="H37" s="5">
        <f t="shared" si="5"/>
        <v>450</v>
      </c>
      <c r="I37" s="9">
        <f t="shared" si="6"/>
        <v>350</v>
      </c>
      <c r="J37" s="9">
        <f t="shared" si="7"/>
        <v>450</v>
      </c>
      <c r="K37" s="9">
        <f t="shared" si="8"/>
        <v>570.08771254956901</v>
      </c>
      <c r="L37" s="92">
        <f t="shared" si="9"/>
        <v>0.61394061351492046</v>
      </c>
      <c r="M37" s="92">
        <f t="shared" si="10"/>
        <v>0.78935221737632633</v>
      </c>
      <c r="N37" s="22">
        <v>12</v>
      </c>
      <c r="O37" s="24">
        <v>2100000</v>
      </c>
    </row>
    <row r="38" spans="2:29" ht="19.05" customHeight="1" x14ac:dyDescent="0.3">
      <c r="B38" s="89">
        <v>11</v>
      </c>
      <c r="C38" s="23">
        <v>7</v>
      </c>
      <c r="D38" s="23">
        <v>3</v>
      </c>
      <c r="E38" s="5">
        <f t="shared" si="2"/>
        <v>700</v>
      </c>
      <c r="F38" s="5">
        <f t="shared" si="3"/>
        <v>450</v>
      </c>
      <c r="G38" s="5">
        <f t="shared" si="4"/>
        <v>700</v>
      </c>
      <c r="H38" s="5">
        <f t="shared" si="5"/>
        <v>0</v>
      </c>
      <c r="I38" s="9">
        <f t="shared" si="6"/>
        <v>0</v>
      </c>
      <c r="J38" s="9">
        <f t="shared" si="7"/>
        <v>-450</v>
      </c>
      <c r="K38" s="9">
        <f t="shared" si="8"/>
        <v>450</v>
      </c>
      <c r="L38" s="92">
        <f t="shared" si="9"/>
        <v>0</v>
      </c>
      <c r="M38" s="92">
        <f t="shared" si="10"/>
        <v>-1</v>
      </c>
      <c r="N38" s="22">
        <v>12</v>
      </c>
      <c r="O38" s="24">
        <v>2100000</v>
      </c>
      <c r="AA38" s="20">
        <f>IF(E39="","",E39)</f>
        <v>700</v>
      </c>
      <c r="AB38" s="20">
        <f>IF(F39="","",F39)</f>
        <v>0</v>
      </c>
      <c r="AC38" t="s">
        <v>359</v>
      </c>
    </row>
    <row r="39" spans="2:29" ht="19.05" customHeight="1" x14ac:dyDescent="0.3">
      <c r="B39" s="89">
        <v>12</v>
      </c>
      <c r="C39" s="23">
        <v>3</v>
      </c>
      <c r="D39" s="23">
        <v>8</v>
      </c>
      <c r="E39" s="5">
        <f t="shared" si="2"/>
        <v>700</v>
      </c>
      <c r="F39" s="5">
        <f t="shared" si="3"/>
        <v>0</v>
      </c>
      <c r="G39" s="5">
        <f t="shared" si="4"/>
        <v>1050</v>
      </c>
      <c r="H39" s="5">
        <f t="shared" si="5"/>
        <v>450</v>
      </c>
      <c r="I39" s="9">
        <f t="shared" si="6"/>
        <v>350</v>
      </c>
      <c r="J39" s="9">
        <f t="shared" si="7"/>
        <v>450</v>
      </c>
      <c r="K39" s="9">
        <f t="shared" si="8"/>
        <v>570.08771254956901</v>
      </c>
      <c r="L39" s="92">
        <f t="shared" si="9"/>
        <v>0.61394061351492046</v>
      </c>
      <c r="M39" s="92">
        <f t="shared" si="10"/>
        <v>0.78935221737632633</v>
      </c>
      <c r="N39" s="22">
        <v>12</v>
      </c>
      <c r="O39" s="24">
        <v>2100000</v>
      </c>
      <c r="AA39" s="20">
        <f>IF(G39="","",G39)</f>
        <v>1050</v>
      </c>
      <c r="AB39" s="20">
        <f>IF(H39="","",H39)</f>
        <v>450</v>
      </c>
      <c r="AC39" t="s">
        <v>360</v>
      </c>
    </row>
    <row r="40" spans="2:29" ht="19.05" customHeight="1" x14ac:dyDescent="0.3">
      <c r="B40" s="89">
        <v>13</v>
      </c>
      <c r="C40" s="23">
        <v>8</v>
      </c>
      <c r="D40" s="23">
        <v>4</v>
      </c>
      <c r="E40" s="5">
        <f t="shared" si="2"/>
        <v>1050</v>
      </c>
      <c r="F40" s="5">
        <f t="shared" si="3"/>
        <v>450</v>
      </c>
      <c r="G40" s="5">
        <f t="shared" si="4"/>
        <v>1050</v>
      </c>
      <c r="H40" s="5">
        <f t="shared" si="5"/>
        <v>0</v>
      </c>
      <c r="I40" s="9">
        <f t="shared" si="6"/>
        <v>0</v>
      </c>
      <c r="J40" s="9">
        <f t="shared" si="7"/>
        <v>-450</v>
      </c>
      <c r="K40" s="9">
        <f t="shared" si="8"/>
        <v>450</v>
      </c>
      <c r="L40" s="92">
        <f t="shared" si="9"/>
        <v>0</v>
      </c>
      <c r="M40" s="92">
        <f t="shared" si="10"/>
        <v>-1</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f>IF(E40="","",E40)</f>
        <v>1050</v>
      </c>
      <c r="AB41" s="20">
        <f>IF(F40="","",F40)</f>
        <v>450</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f>IF(G40="","",G40)</f>
        <v>1050</v>
      </c>
      <c r="AB42" s="20">
        <f>IF(H40="","",H40)</f>
        <v>0</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4F00-000000000000}">
      <formula1>"Fijo (articulado),Rodillo Y (despl. X libre),Rodillo X (despl. Y libre),Libre (0 reac.)"</formula1>
    </dataValidation>
  </dataValidations>
  <pageMargins left="0.75" right="0.75" top="1" bottom="1" header="0.5" footer="0.5"/>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Y649"/>
  <sheetViews>
    <sheetView workbookViewId="0"/>
  </sheetViews>
  <sheetFormatPr baseColWidth="10" defaultColWidth="8.88671875" defaultRowHeight="14.4" x14ac:dyDescent="0.3"/>
  <cols>
    <col min="1" max="1" width="11" style="98" customWidth="1"/>
    <col min="2" max="18" width="13" style="98" customWidth="1"/>
    <col min="19" max="19" width="4" style="98" customWidth="1"/>
    <col min="20" max="24" width="16" style="98" customWidth="1"/>
    <col min="25" max="25" width="24" style="98" customWidth="1"/>
  </cols>
  <sheetData>
    <row r="1" spans="2:14" ht="28.05" customHeight="1" x14ac:dyDescent="0.3">
      <c r="B1" s="174" t="s">
        <v>600</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HYPERLINK("#'GRAFICA_39'!A1",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GRAFICA_39!E28</f>
        <v>0</v>
      </c>
      <c r="D6" s="22">
        <f>GRAFICA_39!F28</f>
        <v>0</v>
      </c>
      <c r="E6" s="22">
        <f>GRAFICA_39!G28</f>
        <v>350</v>
      </c>
      <c r="F6" s="22">
        <f>GRAFICA_39!H28</f>
        <v>0</v>
      </c>
      <c r="G6" s="9">
        <f t="shared" ref="G6:G18" si="0">E6-C6</f>
        <v>350</v>
      </c>
      <c r="H6" s="9">
        <f t="shared" ref="H6:H18" si="1">F6-D6</f>
        <v>0</v>
      </c>
      <c r="I6" s="9">
        <f t="shared" ref="I6:I18" si="2">SQRT(G6*G6+H6*H6)</f>
        <v>350</v>
      </c>
      <c r="J6" s="92">
        <f t="shared" ref="J6:J18" si="3">G6/I6</f>
        <v>1</v>
      </c>
      <c r="K6" s="92">
        <f t="shared" ref="K6:K18" si="4">H6/I6</f>
        <v>0</v>
      </c>
      <c r="L6" s="22">
        <f>GRAFICA_39!N28</f>
        <v>12</v>
      </c>
      <c r="M6" s="22">
        <f>GRAFICA_39!O28</f>
        <v>2100000</v>
      </c>
      <c r="N6" s="6">
        <f t="shared" ref="N6:N18" si="5">L6*M6/I6</f>
        <v>72000</v>
      </c>
    </row>
    <row r="7" spans="2:14" ht="19.05" customHeight="1" x14ac:dyDescent="0.3">
      <c r="B7" s="25">
        <v>2</v>
      </c>
      <c r="C7" s="22">
        <f>GRAFICA_39!E29</f>
        <v>350</v>
      </c>
      <c r="D7" s="22">
        <f>GRAFICA_39!F29</f>
        <v>0</v>
      </c>
      <c r="E7" s="22">
        <f>GRAFICA_39!G29</f>
        <v>700</v>
      </c>
      <c r="F7" s="22">
        <f>GRAFICA_39!H29</f>
        <v>0</v>
      </c>
      <c r="G7" s="9">
        <f t="shared" si="0"/>
        <v>350</v>
      </c>
      <c r="H7" s="9">
        <f t="shared" si="1"/>
        <v>0</v>
      </c>
      <c r="I7" s="9">
        <f t="shared" si="2"/>
        <v>350</v>
      </c>
      <c r="J7" s="92">
        <f t="shared" si="3"/>
        <v>1</v>
      </c>
      <c r="K7" s="92">
        <f t="shared" si="4"/>
        <v>0</v>
      </c>
      <c r="L7" s="22">
        <f>GRAFICA_39!N29</f>
        <v>12</v>
      </c>
      <c r="M7" s="22">
        <f>GRAFICA_39!O29</f>
        <v>2100000</v>
      </c>
      <c r="N7" s="6">
        <f t="shared" si="5"/>
        <v>72000</v>
      </c>
    </row>
    <row r="8" spans="2:14" ht="19.05" customHeight="1" x14ac:dyDescent="0.3">
      <c r="B8" s="26">
        <v>3</v>
      </c>
      <c r="C8" s="22">
        <f>GRAFICA_39!E30</f>
        <v>700</v>
      </c>
      <c r="D8" s="22">
        <f>GRAFICA_39!F30</f>
        <v>0</v>
      </c>
      <c r="E8" s="22">
        <f>GRAFICA_39!G30</f>
        <v>1050</v>
      </c>
      <c r="F8" s="22">
        <f>GRAFICA_39!H30</f>
        <v>0</v>
      </c>
      <c r="G8" s="9">
        <f t="shared" si="0"/>
        <v>350</v>
      </c>
      <c r="H8" s="9">
        <f t="shared" si="1"/>
        <v>0</v>
      </c>
      <c r="I8" s="9">
        <f t="shared" si="2"/>
        <v>350</v>
      </c>
      <c r="J8" s="92">
        <f t="shared" si="3"/>
        <v>1</v>
      </c>
      <c r="K8" s="92">
        <f t="shared" si="4"/>
        <v>0</v>
      </c>
      <c r="L8" s="22">
        <f>GRAFICA_39!N30</f>
        <v>12</v>
      </c>
      <c r="M8" s="22">
        <f>GRAFICA_39!O30</f>
        <v>2100000</v>
      </c>
      <c r="N8" s="6">
        <f t="shared" si="5"/>
        <v>72000</v>
      </c>
    </row>
    <row r="9" spans="2:14" ht="19.05" customHeight="1" x14ac:dyDescent="0.3">
      <c r="B9" s="43">
        <v>4</v>
      </c>
      <c r="C9" s="22">
        <f>GRAFICA_39!E31</f>
        <v>1050</v>
      </c>
      <c r="D9" s="22">
        <f>GRAFICA_39!F31</f>
        <v>0</v>
      </c>
      <c r="E9" s="22">
        <f>GRAFICA_39!G31</f>
        <v>1400</v>
      </c>
      <c r="F9" s="22">
        <f>GRAFICA_39!H31</f>
        <v>0</v>
      </c>
      <c r="G9" s="9">
        <f t="shared" si="0"/>
        <v>350</v>
      </c>
      <c r="H9" s="9">
        <f t="shared" si="1"/>
        <v>0</v>
      </c>
      <c r="I9" s="9">
        <f t="shared" si="2"/>
        <v>350</v>
      </c>
      <c r="J9" s="92">
        <f t="shared" si="3"/>
        <v>1</v>
      </c>
      <c r="K9" s="92">
        <f t="shared" si="4"/>
        <v>0</v>
      </c>
      <c r="L9" s="22">
        <f>GRAFICA_39!N31</f>
        <v>12</v>
      </c>
      <c r="M9" s="22">
        <f>GRAFICA_39!O31</f>
        <v>2100000</v>
      </c>
      <c r="N9" s="6">
        <f t="shared" si="5"/>
        <v>72000</v>
      </c>
    </row>
    <row r="10" spans="2:14" ht="19.05" customHeight="1" x14ac:dyDescent="0.3">
      <c r="B10" s="44">
        <v>5</v>
      </c>
      <c r="C10" s="22">
        <f>GRAFICA_39!E32</f>
        <v>0</v>
      </c>
      <c r="D10" s="22">
        <f>GRAFICA_39!F32</f>
        <v>0</v>
      </c>
      <c r="E10" s="22">
        <f>GRAFICA_39!G32</f>
        <v>350</v>
      </c>
      <c r="F10" s="22">
        <f>GRAFICA_39!H32</f>
        <v>450</v>
      </c>
      <c r="G10" s="9">
        <f t="shared" si="0"/>
        <v>350</v>
      </c>
      <c r="H10" s="9">
        <f t="shared" si="1"/>
        <v>450</v>
      </c>
      <c r="I10" s="9">
        <f t="shared" si="2"/>
        <v>570.08771254956901</v>
      </c>
      <c r="J10" s="92">
        <f t="shared" si="3"/>
        <v>0.61394061351492046</v>
      </c>
      <c r="K10" s="92">
        <f t="shared" si="4"/>
        <v>0.78935221737632633</v>
      </c>
      <c r="L10" s="22">
        <f>GRAFICA_39!N32</f>
        <v>12</v>
      </c>
      <c r="M10" s="22">
        <f>GRAFICA_39!O32</f>
        <v>2100000</v>
      </c>
      <c r="N10" s="6">
        <f t="shared" si="5"/>
        <v>44203.724173074268</v>
      </c>
    </row>
    <row r="11" spans="2:14" ht="19.05" customHeight="1" x14ac:dyDescent="0.3">
      <c r="B11" s="51">
        <v>6</v>
      </c>
      <c r="C11" s="22">
        <f>GRAFICA_39!E33</f>
        <v>350</v>
      </c>
      <c r="D11" s="22">
        <f>GRAFICA_39!F33</f>
        <v>450</v>
      </c>
      <c r="E11" s="22">
        <f>GRAFICA_39!G33</f>
        <v>700</v>
      </c>
      <c r="F11" s="22">
        <f>GRAFICA_39!H33</f>
        <v>450</v>
      </c>
      <c r="G11" s="9">
        <f t="shared" si="0"/>
        <v>350</v>
      </c>
      <c r="H11" s="9">
        <f t="shared" si="1"/>
        <v>0</v>
      </c>
      <c r="I11" s="9">
        <f t="shared" si="2"/>
        <v>350</v>
      </c>
      <c r="J11" s="92">
        <f t="shared" si="3"/>
        <v>1</v>
      </c>
      <c r="K11" s="92">
        <f t="shared" si="4"/>
        <v>0</v>
      </c>
      <c r="L11" s="22">
        <f>GRAFICA_39!N33</f>
        <v>12</v>
      </c>
      <c r="M11" s="22">
        <f>GRAFICA_39!O33</f>
        <v>2100000</v>
      </c>
      <c r="N11" s="6">
        <f t="shared" si="5"/>
        <v>72000</v>
      </c>
    </row>
    <row r="12" spans="2:14" ht="19.05" customHeight="1" x14ac:dyDescent="0.3">
      <c r="B12" s="52">
        <v>7</v>
      </c>
      <c r="C12" s="22">
        <f>GRAFICA_39!E34</f>
        <v>700</v>
      </c>
      <c r="D12" s="22">
        <f>GRAFICA_39!F34</f>
        <v>450</v>
      </c>
      <c r="E12" s="22">
        <f>GRAFICA_39!G34</f>
        <v>1050</v>
      </c>
      <c r="F12" s="22">
        <f>GRAFICA_39!H34</f>
        <v>450</v>
      </c>
      <c r="G12" s="9">
        <f t="shared" si="0"/>
        <v>350</v>
      </c>
      <c r="H12" s="9">
        <f t="shared" si="1"/>
        <v>0</v>
      </c>
      <c r="I12" s="9">
        <f t="shared" si="2"/>
        <v>350</v>
      </c>
      <c r="J12" s="92">
        <f t="shared" si="3"/>
        <v>1</v>
      </c>
      <c r="K12" s="92">
        <f t="shared" si="4"/>
        <v>0</v>
      </c>
      <c r="L12" s="22">
        <f>GRAFICA_39!N34</f>
        <v>12</v>
      </c>
      <c r="M12" s="22">
        <f>GRAFICA_39!O34</f>
        <v>2100000</v>
      </c>
      <c r="N12" s="6">
        <f t="shared" si="5"/>
        <v>72000</v>
      </c>
    </row>
    <row r="13" spans="2:14" ht="19.05" customHeight="1" x14ac:dyDescent="0.3">
      <c r="B13" s="59">
        <v>8</v>
      </c>
      <c r="C13" s="22">
        <f>GRAFICA_39!E35</f>
        <v>1050</v>
      </c>
      <c r="D13" s="22">
        <f>GRAFICA_39!F35</f>
        <v>450</v>
      </c>
      <c r="E13" s="22">
        <f>GRAFICA_39!G35</f>
        <v>1400</v>
      </c>
      <c r="F13" s="22">
        <f>GRAFICA_39!H35</f>
        <v>0</v>
      </c>
      <c r="G13" s="9">
        <f t="shared" si="0"/>
        <v>350</v>
      </c>
      <c r="H13" s="9">
        <f t="shared" si="1"/>
        <v>-450</v>
      </c>
      <c r="I13" s="9">
        <f t="shared" si="2"/>
        <v>570.08771254956901</v>
      </c>
      <c r="J13" s="92">
        <f t="shared" si="3"/>
        <v>0.61394061351492046</v>
      </c>
      <c r="K13" s="92">
        <f t="shared" si="4"/>
        <v>-0.78935221737632633</v>
      </c>
      <c r="L13" s="22">
        <f>GRAFICA_39!N35</f>
        <v>12</v>
      </c>
      <c r="M13" s="22">
        <f>GRAFICA_39!O35</f>
        <v>2100000</v>
      </c>
      <c r="N13" s="6">
        <f t="shared" si="5"/>
        <v>44203.724173074268</v>
      </c>
    </row>
    <row r="14" spans="2:14" ht="19.05" customHeight="1" x14ac:dyDescent="0.3">
      <c r="B14" s="60">
        <v>9</v>
      </c>
      <c r="C14" s="22">
        <f>GRAFICA_39!E36</f>
        <v>350</v>
      </c>
      <c r="D14" s="22">
        <f>GRAFICA_39!F36</f>
        <v>450</v>
      </c>
      <c r="E14" s="22">
        <f>GRAFICA_39!G36</f>
        <v>350</v>
      </c>
      <c r="F14" s="22">
        <f>GRAFICA_39!H36</f>
        <v>0</v>
      </c>
      <c r="G14" s="9">
        <f t="shared" si="0"/>
        <v>0</v>
      </c>
      <c r="H14" s="9">
        <f t="shared" si="1"/>
        <v>-450</v>
      </c>
      <c r="I14" s="9">
        <f t="shared" si="2"/>
        <v>450</v>
      </c>
      <c r="J14" s="92">
        <f t="shared" si="3"/>
        <v>0</v>
      </c>
      <c r="K14" s="92">
        <f t="shared" si="4"/>
        <v>-1</v>
      </c>
      <c r="L14" s="22">
        <f>GRAFICA_39!N36</f>
        <v>12</v>
      </c>
      <c r="M14" s="22">
        <f>GRAFICA_39!O36</f>
        <v>2100000</v>
      </c>
      <c r="N14" s="6">
        <f t="shared" si="5"/>
        <v>56000</v>
      </c>
    </row>
    <row r="15" spans="2:14" ht="19.05" customHeight="1" x14ac:dyDescent="0.3">
      <c r="B15" s="67">
        <v>10</v>
      </c>
      <c r="C15" s="22">
        <f>GRAFICA_39!E37</f>
        <v>350</v>
      </c>
      <c r="D15" s="22">
        <f>GRAFICA_39!F37</f>
        <v>0</v>
      </c>
      <c r="E15" s="22">
        <f>GRAFICA_39!G37</f>
        <v>700</v>
      </c>
      <c r="F15" s="22">
        <f>GRAFICA_39!H37</f>
        <v>450</v>
      </c>
      <c r="G15" s="9">
        <f t="shared" si="0"/>
        <v>350</v>
      </c>
      <c r="H15" s="9">
        <f t="shared" si="1"/>
        <v>450</v>
      </c>
      <c r="I15" s="9">
        <f t="shared" si="2"/>
        <v>570.08771254956901</v>
      </c>
      <c r="J15" s="92">
        <f t="shared" si="3"/>
        <v>0.61394061351492046</v>
      </c>
      <c r="K15" s="92">
        <f t="shared" si="4"/>
        <v>0.78935221737632633</v>
      </c>
      <c r="L15" s="22">
        <f>GRAFICA_39!N37</f>
        <v>12</v>
      </c>
      <c r="M15" s="22">
        <f>GRAFICA_39!O37</f>
        <v>2100000</v>
      </c>
      <c r="N15" s="6">
        <f t="shared" si="5"/>
        <v>44203.724173074268</v>
      </c>
    </row>
    <row r="16" spans="2:14" ht="19.05" customHeight="1" x14ac:dyDescent="0.3">
      <c r="B16" s="68">
        <v>11</v>
      </c>
      <c r="C16" s="22">
        <f>GRAFICA_39!E38</f>
        <v>700</v>
      </c>
      <c r="D16" s="22">
        <f>GRAFICA_39!F38</f>
        <v>450</v>
      </c>
      <c r="E16" s="22">
        <f>GRAFICA_39!G38</f>
        <v>700</v>
      </c>
      <c r="F16" s="22">
        <f>GRAFICA_39!H38</f>
        <v>0</v>
      </c>
      <c r="G16" s="9">
        <f t="shared" si="0"/>
        <v>0</v>
      </c>
      <c r="H16" s="9">
        <f t="shared" si="1"/>
        <v>-450</v>
      </c>
      <c r="I16" s="9">
        <f t="shared" si="2"/>
        <v>450</v>
      </c>
      <c r="J16" s="92">
        <f t="shared" si="3"/>
        <v>0</v>
      </c>
      <c r="K16" s="92">
        <f t="shared" si="4"/>
        <v>-1</v>
      </c>
      <c r="L16" s="22">
        <f>GRAFICA_39!N38</f>
        <v>12</v>
      </c>
      <c r="M16" s="22">
        <f>GRAFICA_39!O38</f>
        <v>2100000</v>
      </c>
      <c r="N16" s="6">
        <f t="shared" si="5"/>
        <v>56000</v>
      </c>
    </row>
    <row r="17" spans="2:14" ht="19.05" customHeight="1" x14ac:dyDescent="0.3">
      <c r="B17" s="10">
        <v>12</v>
      </c>
      <c r="C17" s="22">
        <f>GRAFICA_39!E39</f>
        <v>700</v>
      </c>
      <c r="D17" s="22">
        <f>GRAFICA_39!F39</f>
        <v>0</v>
      </c>
      <c r="E17" s="22">
        <f>GRAFICA_39!G39</f>
        <v>1050</v>
      </c>
      <c r="F17" s="22">
        <f>GRAFICA_39!H39</f>
        <v>450</v>
      </c>
      <c r="G17" s="9">
        <f t="shared" si="0"/>
        <v>350</v>
      </c>
      <c r="H17" s="9">
        <f t="shared" si="1"/>
        <v>450</v>
      </c>
      <c r="I17" s="9">
        <f t="shared" si="2"/>
        <v>570.08771254956901</v>
      </c>
      <c r="J17" s="92">
        <f t="shared" si="3"/>
        <v>0.61394061351492046</v>
      </c>
      <c r="K17" s="92">
        <f t="shared" si="4"/>
        <v>0.78935221737632633</v>
      </c>
      <c r="L17" s="22">
        <f>GRAFICA_39!N39</f>
        <v>12</v>
      </c>
      <c r="M17" s="22">
        <f>GRAFICA_39!O39</f>
        <v>2100000</v>
      </c>
      <c r="N17" s="6">
        <f t="shared" si="5"/>
        <v>44203.724173074268</v>
      </c>
    </row>
    <row r="18" spans="2:14" ht="19.05" customHeight="1" x14ac:dyDescent="0.3">
      <c r="B18" s="75">
        <v>13</v>
      </c>
      <c r="C18" s="22">
        <f>GRAFICA_39!E40</f>
        <v>1050</v>
      </c>
      <c r="D18" s="22">
        <f>GRAFICA_39!F40</f>
        <v>450</v>
      </c>
      <c r="E18" s="22">
        <f>GRAFICA_39!G40</f>
        <v>1050</v>
      </c>
      <c r="F18" s="22">
        <f>GRAFICA_39!H40</f>
        <v>0</v>
      </c>
      <c r="G18" s="9">
        <f t="shared" si="0"/>
        <v>0</v>
      </c>
      <c r="H18" s="9">
        <f t="shared" si="1"/>
        <v>-450</v>
      </c>
      <c r="I18" s="9">
        <f t="shared" si="2"/>
        <v>450</v>
      </c>
      <c r="J18" s="92">
        <f t="shared" si="3"/>
        <v>0</v>
      </c>
      <c r="K18" s="92">
        <f t="shared" si="4"/>
        <v>-1</v>
      </c>
      <c r="L18" s="22">
        <f>GRAFICA_39!N40</f>
        <v>12</v>
      </c>
      <c r="M18" s="22">
        <f>GRAFICA_39!O40</f>
        <v>2100000</v>
      </c>
      <c r="N18" s="6">
        <f t="shared" si="5"/>
        <v>56000</v>
      </c>
    </row>
    <row r="20" spans="2:14" ht="18" customHeight="1" x14ac:dyDescent="0.3">
      <c r="B20" s="202" t="s">
        <v>145</v>
      </c>
      <c r="C20" s="202" t="s">
        <v>369</v>
      </c>
      <c r="D20" s="173"/>
      <c r="E20" s="202" t="s">
        <v>370</v>
      </c>
      <c r="F20" s="173"/>
    </row>
    <row r="21" spans="2:14" ht="18" customHeight="1" x14ac:dyDescent="0.3">
      <c r="B21" s="203"/>
      <c r="C21" s="81" t="s">
        <v>157</v>
      </c>
      <c r="D21" s="81" t="s">
        <v>158</v>
      </c>
      <c r="E21" s="81" t="s">
        <v>157</v>
      </c>
      <c r="F21" s="81" t="s">
        <v>158</v>
      </c>
    </row>
    <row r="22" spans="2:14" ht="19.05" customHeight="1" x14ac:dyDescent="0.3">
      <c r="B22" s="85">
        <v>1</v>
      </c>
      <c r="C22" s="23">
        <f>GRAFICA_39!C28</f>
        <v>1</v>
      </c>
      <c r="D22" s="23">
        <f>GRAFICA_39!C28</f>
        <v>1</v>
      </c>
      <c r="E22" s="23">
        <f>GRAFICA_39!D28</f>
        <v>2</v>
      </c>
      <c r="F22" s="23">
        <f>GRAFICA_39!D28</f>
        <v>2</v>
      </c>
    </row>
    <row r="23" spans="2:14" ht="19.05" customHeight="1" x14ac:dyDescent="0.3">
      <c r="B23" s="25">
        <v>2</v>
      </c>
      <c r="C23" s="23">
        <f>GRAFICA_39!C29</f>
        <v>2</v>
      </c>
      <c r="D23" s="23">
        <f>GRAFICA_39!C29</f>
        <v>2</v>
      </c>
      <c r="E23" s="23">
        <f>GRAFICA_39!D29</f>
        <v>3</v>
      </c>
      <c r="F23" s="23">
        <f>GRAFICA_39!D29</f>
        <v>3</v>
      </c>
    </row>
    <row r="24" spans="2:14" ht="19.05" customHeight="1" x14ac:dyDescent="0.3">
      <c r="B24" s="26">
        <v>3</v>
      </c>
      <c r="C24" s="23">
        <f>GRAFICA_39!C30</f>
        <v>3</v>
      </c>
      <c r="D24" s="23">
        <f>GRAFICA_39!C30</f>
        <v>3</v>
      </c>
      <c r="E24" s="23">
        <f>GRAFICA_39!D30</f>
        <v>4</v>
      </c>
      <c r="F24" s="23">
        <f>GRAFICA_39!D30</f>
        <v>4</v>
      </c>
    </row>
    <row r="25" spans="2:14" ht="19.05" customHeight="1" x14ac:dyDescent="0.3">
      <c r="B25" s="43">
        <v>4</v>
      </c>
      <c r="C25" s="23">
        <f>GRAFICA_39!C31</f>
        <v>4</v>
      </c>
      <c r="D25" s="23">
        <f>GRAFICA_39!C31</f>
        <v>4</v>
      </c>
      <c r="E25" s="23">
        <f>GRAFICA_39!D31</f>
        <v>5</v>
      </c>
      <c r="F25" s="23">
        <f>GRAFICA_39!D31</f>
        <v>5</v>
      </c>
    </row>
    <row r="26" spans="2:14" ht="19.05" customHeight="1" x14ac:dyDescent="0.3">
      <c r="B26" s="44">
        <v>5</v>
      </c>
      <c r="C26" s="23">
        <f>GRAFICA_39!C32</f>
        <v>1</v>
      </c>
      <c r="D26" s="23">
        <f>GRAFICA_39!C32</f>
        <v>1</v>
      </c>
      <c r="E26" s="23">
        <f>GRAFICA_39!D32</f>
        <v>6</v>
      </c>
      <c r="F26" s="23">
        <f>GRAFICA_39!D32</f>
        <v>6</v>
      </c>
    </row>
    <row r="27" spans="2:14" ht="19.05" customHeight="1" x14ac:dyDescent="0.3">
      <c r="B27" s="51">
        <v>6</v>
      </c>
      <c r="C27" s="23">
        <f>GRAFICA_39!C33</f>
        <v>6</v>
      </c>
      <c r="D27" s="23">
        <f>GRAFICA_39!C33</f>
        <v>6</v>
      </c>
      <c r="E27" s="23">
        <f>GRAFICA_39!D33</f>
        <v>7</v>
      </c>
      <c r="F27" s="23">
        <f>GRAFICA_39!D33</f>
        <v>7</v>
      </c>
    </row>
    <row r="28" spans="2:14" ht="19.05" customHeight="1" x14ac:dyDescent="0.3">
      <c r="B28" s="52">
        <v>7</v>
      </c>
      <c r="C28" s="23">
        <f>GRAFICA_39!C34</f>
        <v>7</v>
      </c>
      <c r="D28" s="23">
        <f>GRAFICA_39!C34</f>
        <v>7</v>
      </c>
      <c r="E28" s="23">
        <f>GRAFICA_39!D34</f>
        <v>8</v>
      </c>
      <c r="F28" s="23">
        <f>GRAFICA_39!D34</f>
        <v>8</v>
      </c>
    </row>
    <row r="29" spans="2:14" ht="19.05" customHeight="1" x14ac:dyDescent="0.3">
      <c r="B29" s="59">
        <v>8</v>
      </c>
      <c r="C29" s="23">
        <f>GRAFICA_39!C35</f>
        <v>8</v>
      </c>
      <c r="D29" s="23">
        <f>GRAFICA_39!C35</f>
        <v>8</v>
      </c>
      <c r="E29" s="23">
        <f>GRAFICA_39!D35</f>
        <v>5</v>
      </c>
      <c r="F29" s="23">
        <f>GRAFICA_39!D35</f>
        <v>5</v>
      </c>
    </row>
    <row r="30" spans="2:14" ht="19.05" customHeight="1" x14ac:dyDescent="0.3">
      <c r="B30" s="60">
        <v>9</v>
      </c>
      <c r="C30" s="23">
        <f>GRAFICA_39!C36</f>
        <v>6</v>
      </c>
      <c r="D30" s="23">
        <f>GRAFICA_39!C36</f>
        <v>6</v>
      </c>
      <c r="E30" s="23">
        <f>GRAFICA_39!D36</f>
        <v>2</v>
      </c>
      <c r="F30" s="23">
        <f>GRAFICA_39!D36</f>
        <v>2</v>
      </c>
    </row>
    <row r="31" spans="2:14" ht="19.05" customHeight="1" x14ac:dyDescent="0.3">
      <c r="B31" s="67">
        <v>10</v>
      </c>
      <c r="C31" s="23">
        <f>GRAFICA_39!C37</f>
        <v>2</v>
      </c>
      <c r="D31" s="23">
        <f>GRAFICA_39!C37</f>
        <v>2</v>
      </c>
      <c r="E31" s="23">
        <f>GRAFICA_39!D37</f>
        <v>7</v>
      </c>
      <c r="F31" s="23">
        <f>GRAFICA_39!D37</f>
        <v>7</v>
      </c>
    </row>
    <row r="32" spans="2:14" ht="19.05" customHeight="1" x14ac:dyDescent="0.3">
      <c r="B32" s="68">
        <v>11</v>
      </c>
      <c r="C32" s="23">
        <f>GRAFICA_39!C38</f>
        <v>7</v>
      </c>
      <c r="D32" s="23">
        <f>GRAFICA_39!C38</f>
        <v>7</v>
      </c>
      <c r="E32" s="23">
        <f>GRAFICA_39!D38</f>
        <v>3</v>
      </c>
      <c r="F32" s="23">
        <f>GRAFICA_39!D38</f>
        <v>3</v>
      </c>
    </row>
    <row r="33" spans="1:18" ht="19.05" customHeight="1" x14ac:dyDescent="0.3">
      <c r="B33" s="10">
        <v>12</v>
      </c>
      <c r="C33" s="23">
        <f>GRAFICA_39!C39</f>
        <v>3</v>
      </c>
      <c r="D33" s="23">
        <f>GRAFICA_39!C39</f>
        <v>3</v>
      </c>
      <c r="E33" s="23">
        <f>GRAFICA_39!D39</f>
        <v>8</v>
      </c>
      <c r="F33" s="23">
        <f>GRAFICA_39!D39</f>
        <v>8</v>
      </c>
    </row>
    <row r="34" spans="1:18" ht="19.05" customHeight="1" x14ac:dyDescent="0.3">
      <c r="B34" s="75">
        <v>13</v>
      </c>
      <c r="C34" s="23">
        <f>GRAFICA_39!C40</f>
        <v>8</v>
      </c>
      <c r="D34" s="23">
        <f>GRAFICA_39!C40</f>
        <v>8</v>
      </c>
      <c r="E34" s="23">
        <f>GRAFICA_39!D40</f>
        <v>4</v>
      </c>
      <c r="F34" s="23">
        <f>GRAFICA_39!D40</f>
        <v>4</v>
      </c>
    </row>
    <row r="37" spans="1:18" ht="18" customHeight="1" x14ac:dyDescent="0.3">
      <c r="B37" s="27" t="str">
        <f>CONCATENATE("U",C22,C$21)</f>
        <v>U1X</v>
      </c>
      <c r="C37" s="27" t="str">
        <f>CONCATENATE("U",D22,D$21)</f>
        <v>U1Y</v>
      </c>
      <c r="D37" s="27" t="str">
        <f>CONCATENATE("U",E22,E$21)</f>
        <v>U2X</v>
      </c>
      <c r="E37" s="27" t="str">
        <f>CONCATENATE("U",F22,F$21)</f>
        <v>U2Y</v>
      </c>
    </row>
    <row r="38" spans="1:18" x14ac:dyDescent="0.3">
      <c r="B38" s="7">
        <f>J6*J6*N6</f>
        <v>72000</v>
      </c>
      <c r="C38" s="7">
        <f>J6*K6*N6</f>
        <v>0</v>
      </c>
      <c r="D38" s="7">
        <f>-B38</f>
        <v>-72000</v>
      </c>
      <c r="E38" s="7">
        <f>-C38</f>
        <v>0</v>
      </c>
      <c r="F38" s="27" t="str">
        <f>B37</f>
        <v>U1X</v>
      </c>
    </row>
    <row r="39" spans="1:18" ht="16.8" customHeight="1" x14ac:dyDescent="0.3">
      <c r="A39" s="28" t="s">
        <v>177</v>
      </c>
      <c r="B39" s="7">
        <f>C38</f>
        <v>0</v>
      </c>
      <c r="C39" s="7">
        <f>K6*K6*N6</f>
        <v>0</v>
      </c>
      <c r="D39" s="7">
        <f>-B39</f>
        <v>0</v>
      </c>
      <c r="E39" s="7">
        <f>-C39</f>
        <v>0</v>
      </c>
      <c r="F39" s="27" t="str">
        <f>C37</f>
        <v>U1Y</v>
      </c>
    </row>
    <row r="40" spans="1:18" x14ac:dyDescent="0.3">
      <c r="B40" s="7">
        <f>D38</f>
        <v>-72000</v>
      </c>
      <c r="C40" s="7">
        <f>E38</f>
        <v>0</v>
      </c>
      <c r="D40" s="7">
        <f>B38</f>
        <v>72000</v>
      </c>
      <c r="E40" s="7">
        <f>C38</f>
        <v>0</v>
      </c>
      <c r="F40" s="27" t="str">
        <f>D37</f>
        <v>U2X</v>
      </c>
    </row>
    <row r="41" spans="1:18" x14ac:dyDescent="0.3">
      <c r="B41" s="7">
        <f>D39</f>
        <v>0</v>
      </c>
      <c r="C41" s="7">
        <f>E39</f>
        <v>0</v>
      </c>
      <c r="D41" s="7">
        <f>B39</f>
        <v>0</v>
      </c>
      <c r="E41" s="7">
        <f>C39</f>
        <v>0</v>
      </c>
      <c r="F41" s="27" t="str">
        <f>E37</f>
        <v>U2Y</v>
      </c>
    </row>
    <row r="43" spans="1:18" ht="18" customHeight="1" x14ac:dyDescent="0.3">
      <c r="B43" s="27" t="s">
        <v>178</v>
      </c>
      <c r="C43" s="27" t="s">
        <v>179</v>
      </c>
      <c r="D43" s="27" t="s">
        <v>180</v>
      </c>
      <c r="E43" s="27" t="s">
        <v>181</v>
      </c>
      <c r="F43" s="27" t="s">
        <v>182</v>
      </c>
      <c r="G43" s="27" t="s">
        <v>183</v>
      </c>
      <c r="H43" s="27" t="s">
        <v>184</v>
      </c>
      <c r="I43" s="27" t="s">
        <v>185</v>
      </c>
      <c r="J43" s="27" t="s">
        <v>186</v>
      </c>
      <c r="K43" s="27" t="s">
        <v>187</v>
      </c>
      <c r="L43" s="27" t="s">
        <v>188</v>
      </c>
      <c r="M43" s="27" t="s">
        <v>189</v>
      </c>
      <c r="N43" s="27" t="s">
        <v>579</v>
      </c>
      <c r="O43" s="27" t="s">
        <v>580</v>
      </c>
      <c r="P43" s="27" t="s">
        <v>601</v>
      </c>
      <c r="Q43" s="27" t="s">
        <v>602</v>
      </c>
    </row>
    <row r="44" spans="1:18" ht="19.05" customHeight="1" x14ac:dyDescent="0.3">
      <c r="B44" s="8">
        <f t="shared" ref="B44:Q53" si="6">IFERROR(INDEX($B$38:$E$41, MATCH($R44, $B$37:$E$37, 0), MATCH(B$43, $B$37:$E$37, 0)), 0)</f>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9">
        <f t="shared" si="6"/>
        <v>0</v>
      </c>
      <c r="Q44" s="9">
        <f t="shared" si="6"/>
        <v>0</v>
      </c>
      <c r="R44" s="27" t="s">
        <v>178</v>
      </c>
    </row>
    <row r="45" spans="1:18"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9">
        <f t="shared" si="6"/>
        <v>0</v>
      </c>
      <c r="Q45" s="9">
        <f t="shared" si="6"/>
        <v>0</v>
      </c>
      <c r="R45" s="27" t="s">
        <v>179</v>
      </c>
    </row>
    <row r="46" spans="1:18" ht="19.05" customHeight="1" x14ac:dyDescent="0.3">
      <c r="B46" s="8">
        <f t="shared" si="6"/>
        <v>-72000</v>
      </c>
      <c r="C46" s="8">
        <f t="shared" si="6"/>
        <v>0</v>
      </c>
      <c r="D46" s="8">
        <f t="shared" si="6"/>
        <v>72000</v>
      </c>
      <c r="E46" s="8">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9">
        <f t="shared" si="6"/>
        <v>0</v>
      </c>
      <c r="Q46" s="9">
        <f t="shared" si="6"/>
        <v>0</v>
      </c>
      <c r="R46" s="27" t="s">
        <v>180</v>
      </c>
    </row>
    <row r="47" spans="1:18" ht="19.05" customHeight="1" x14ac:dyDescent="0.3">
      <c r="B47" s="8">
        <f t="shared" si="6"/>
        <v>0</v>
      </c>
      <c r="C47" s="8">
        <f t="shared" si="6"/>
        <v>0</v>
      </c>
      <c r="D47" s="8">
        <f t="shared" si="6"/>
        <v>0</v>
      </c>
      <c r="E47" s="8">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9">
        <f t="shared" si="6"/>
        <v>0</v>
      </c>
      <c r="Q47" s="9">
        <f t="shared" si="6"/>
        <v>0</v>
      </c>
      <c r="R47" s="27" t="s">
        <v>181</v>
      </c>
    </row>
    <row r="48" spans="1:18"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9">
        <f t="shared" si="6"/>
        <v>0</v>
      </c>
      <c r="Q48" s="9">
        <f t="shared" si="6"/>
        <v>0</v>
      </c>
      <c r="R48" s="27" t="s">
        <v>182</v>
      </c>
    </row>
    <row r="49" spans="1:18"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9">
        <f t="shared" si="6"/>
        <v>0</v>
      </c>
      <c r="Q49" s="9">
        <f t="shared" si="6"/>
        <v>0</v>
      </c>
      <c r="R49" s="27" t="s">
        <v>183</v>
      </c>
    </row>
    <row r="50" spans="1:18"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9">
        <f t="shared" si="6"/>
        <v>0</v>
      </c>
      <c r="Q50" s="9">
        <f t="shared" si="6"/>
        <v>0</v>
      </c>
      <c r="R50" s="27" t="s">
        <v>184</v>
      </c>
    </row>
    <row r="51" spans="1:18" ht="19.05" customHeight="1" x14ac:dyDescent="0.3">
      <c r="A51" s="28" t="s">
        <v>190</v>
      </c>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9">
        <f t="shared" si="6"/>
        <v>0</v>
      </c>
      <c r="Q51" s="9">
        <f t="shared" si="6"/>
        <v>0</v>
      </c>
      <c r="R51" s="27" t="s">
        <v>185</v>
      </c>
    </row>
    <row r="52" spans="1:18"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9">
        <f t="shared" si="6"/>
        <v>0</v>
      </c>
      <c r="Q52" s="9">
        <f t="shared" si="6"/>
        <v>0</v>
      </c>
      <c r="R52" s="27" t="s">
        <v>186</v>
      </c>
    </row>
    <row r="53" spans="1:18"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9">
        <f t="shared" si="6"/>
        <v>0</v>
      </c>
      <c r="Q53" s="9">
        <f t="shared" si="6"/>
        <v>0</v>
      </c>
      <c r="R53" s="27" t="s">
        <v>187</v>
      </c>
    </row>
    <row r="54" spans="1:18" ht="19.05" customHeight="1" x14ac:dyDescent="0.3">
      <c r="B54" s="9">
        <f t="shared" ref="B54:Q59" si="7">IFERROR(INDEX($B$38:$E$41, MATCH($R54, $B$37:$E$37, 0), MATCH(B$43, $B$37:$E$37, 0)), 0)</f>
        <v>0</v>
      </c>
      <c r="C54" s="9">
        <f t="shared" si="7"/>
        <v>0</v>
      </c>
      <c r="D54" s="9">
        <f t="shared" si="7"/>
        <v>0</v>
      </c>
      <c r="E54" s="9">
        <f t="shared" si="7"/>
        <v>0</v>
      </c>
      <c r="F54" s="9">
        <f t="shared" si="7"/>
        <v>0</v>
      </c>
      <c r="G54" s="9">
        <f t="shared" si="7"/>
        <v>0</v>
      </c>
      <c r="H54" s="9">
        <f t="shared" si="7"/>
        <v>0</v>
      </c>
      <c r="I54" s="9">
        <f t="shared" si="7"/>
        <v>0</v>
      </c>
      <c r="J54" s="9">
        <f t="shared" si="7"/>
        <v>0</v>
      </c>
      <c r="K54" s="9">
        <f t="shared" si="7"/>
        <v>0</v>
      </c>
      <c r="L54" s="9">
        <f t="shared" si="7"/>
        <v>0</v>
      </c>
      <c r="M54" s="9">
        <f t="shared" si="7"/>
        <v>0</v>
      </c>
      <c r="N54" s="9">
        <f t="shared" si="7"/>
        <v>0</v>
      </c>
      <c r="O54" s="9">
        <f t="shared" si="7"/>
        <v>0</v>
      </c>
      <c r="P54" s="9">
        <f t="shared" si="7"/>
        <v>0</v>
      </c>
      <c r="Q54" s="9">
        <f t="shared" si="7"/>
        <v>0</v>
      </c>
      <c r="R54" s="27" t="s">
        <v>188</v>
      </c>
    </row>
    <row r="55" spans="1:18" ht="19.05" customHeight="1" x14ac:dyDescent="0.3">
      <c r="B55" s="9">
        <f t="shared" si="7"/>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9">
        <f t="shared" si="7"/>
        <v>0</v>
      </c>
      <c r="M55" s="9">
        <f t="shared" si="7"/>
        <v>0</v>
      </c>
      <c r="N55" s="9">
        <f t="shared" si="7"/>
        <v>0</v>
      </c>
      <c r="O55" s="9">
        <f t="shared" si="7"/>
        <v>0</v>
      </c>
      <c r="P55" s="9">
        <f t="shared" si="7"/>
        <v>0</v>
      </c>
      <c r="Q55" s="9">
        <f t="shared" si="7"/>
        <v>0</v>
      </c>
      <c r="R55" s="27" t="s">
        <v>189</v>
      </c>
    </row>
    <row r="56" spans="1:18"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9">
        <f t="shared" si="7"/>
        <v>0</v>
      </c>
      <c r="M56" s="9">
        <f t="shared" si="7"/>
        <v>0</v>
      </c>
      <c r="N56" s="9">
        <f t="shared" si="7"/>
        <v>0</v>
      </c>
      <c r="O56" s="9">
        <f t="shared" si="7"/>
        <v>0</v>
      </c>
      <c r="P56" s="9">
        <f t="shared" si="7"/>
        <v>0</v>
      </c>
      <c r="Q56" s="9">
        <f t="shared" si="7"/>
        <v>0</v>
      </c>
      <c r="R56" s="27" t="s">
        <v>579</v>
      </c>
    </row>
    <row r="57" spans="1:18" ht="19.05" customHeight="1" x14ac:dyDescent="0.3">
      <c r="B57" s="9">
        <f t="shared" si="7"/>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9">
        <f t="shared" si="7"/>
        <v>0</v>
      </c>
      <c r="O57" s="9">
        <f t="shared" si="7"/>
        <v>0</v>
      </c>
      <c r="P57" s="9">
        <f t="shared" si="7"/>
        <v>0</v>
      </c>
      <c r="Q57" s="9">
        <f t="shared" si="7"/>
        <v>0</v>
      </c>
      <c r="R57" s="27" t="s">
        <v>580</v>
      </c>
    </row>
    <row r="58" spans="1:18"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9">
        <f t="shared" si="7"/>
        <v>0</v>
      </c>
      <c r="O58" s="9">
        <f t="shared" si="7"/>
        <v>0</v>
      </c>
      <c r="P58" s="9">
        <f t="shared" si="7"/>
        <v>0</v>
      </c>
      <c r="Q58" s="9">
        <f t="shared" si="7"/>
        <v>0</v>
      </c>
      <c r="R58" s="27" t="s">
        <v>601</v>
      </c>
    </row>
    <row r="59" spans="1:18"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9">
        <f t="shared" si="7"/>
        <v>0</v>
      </c>
      <c r="O59" s="9">
        <f t="shared" si="7"/>
        <v>0</v>
      </c>
      <c r="P59" s="9">
        <f t="shared" si="7"/>
        <v>0</v>
      </c>
      <c r="Q59" s="9">
        <f t="shared" si="7"/>
        <v>0</v>
      </c>
      <c r="R59" s="27" t="s">
        <v>602</v>
      </c>
    </row>
    <row r="62" spans="1:18" ht="18" customHeight="1" x14ac:dyDescent="0.3">
      <c r="B62" s="29" t="str">
        <f>CONCATENATE("U",C23,C$21)</f>
        <v>U2X</v>
      </c>
      <c r="C62" s="29" t="str">
        <f>CONCATENATE("U",D23,D$21)</f>
        <v>U2Y</v>
      </c>
      <c r="D62" s="29" t="str">
        <f>CONCATENATE("U",E23,E$21)</f>
        <v>U3X</v>
      </c>
      <c r="E62" s="29" t="str">
        <f>CONCATENATE("U",F23,F$21)</f>
        <v>U3Y</v>
      </c>
    </row>
    <row r="63" spans="1:18" x14ac:dyDescent="0.3">
      <c r="B63" s="30">
        <f>J7*J7*N7</f>
        <v>72000</v>
      </c>
      <c r="C63" s="30">
        <f>J7*K7*N7</f>
        <v>0</v>
      </c>
      <c r="D63" s="30">
        <f>-B63</f>
        <v>-72000</v>
      </c>
      <c r="E63" s="30">
        <f>-C63</f>
        <v>0</v>
      </c>
      <c r="F63" s="29" t="str">
        <f>B62</f>
        <v>U2X</v>
      </c>
    </row>
    <row r="64" spans="1:18" ht="16.8" customHeight="1" x14ac:dyDescent="0.3">
      <c r="A64" s="28" t="s">
        <v>191</v>
      </c>
      <c r="B64" s="30">
        <f>C63</f>
        <v>0</v>
      </c>
      <c r="C64" s="30">
        <f>K7*K7*N7</f>
        <v>0</v>
      </c>
      <c r="D64" s="30">
        <f>-B64</f>
        <v>0</v>
      </c>
      <c r="E64" s="30">
        <f>-C64</f>
        <v>0</v>
      </c>
      <c r="F64" s="29" t="str">
        <f>C62</f>
        <v>U2Y</v>
      </c>
    </row>
    <row r="65" spans="1:18" x14ac:dyDescent="0.3">
      <c r="B65" s="30">
        <f>D63</f>
        <v>-72000</v>
      </c>
      <c r="C65" s="30">
        <f>E63</f>
        <v>0</v>
      </c>
      <c r="D65" s="30">
        <f>B63</f>
        <v>72000</v>
      </c>
      <c r="E65" s="30">
        <f>C63</f>
        <v>0</v>
      </c>
      <c r="F65" s="29" t="str">
        <f>D62</f>
        <v>U3X</v>
      </c>
    </row>
    <row r="66" spans="1:18" x14ac:dyDescent="0.3">
      <c r="B66" s="30">
        <f>D64</f>
        <v>0</v>
      </c>
      <c r="C66" s="30">
        <f>E64</f>
        <v>0</v>
      </c>
      <c r="D66" s="30">
        <f>B64</f>
        <v>0</v>
      </c>
      <c r="E66" s="30">
        <f>C64</f>
        <v>0</v>
      </c>
      <c r="F66" s="29" t="str">
        <f>E62</f>
        <v>U3Y</v>
      </c>
    </row>
    <row r="68" spans="1:18" ht="18" customHeight="1" x14ac:dyDescent="0.3">
      <c r="B68" s="29" t="s">
        <v>178</v>
      </c>
      <c r="C68" s="29" t="s">
        <v>179</v>
      </c>
      <c r="D68" s="29" t="s">
        <v>180</v>
      </c>
      <c r="E68" s="29" t="s">
        <v>181</v>
      </c>
      <c r="F68" s="29" t="s">
        <v>182</v>
      </c>
      <c r="G68" s="29" t="s">
        <v>183</v>
      </c>
      <c r="H68" s="29" t="s">
        <v>184</v>
      </c>
      <c r="I68" s="29" t="s">
        <v>185</v>
      </c>
      <c r="J68" s="29" t="s">
        <v>186</v>
      </c>
      <c r="K68" s="29" t="s">
        <v>187</v>
      </c>
      <c r="L68" s="29" t="s">
        <v>188</v>
      </c>
      <c r="M68" s="29" t="s">
        <v>189</v>
      </c>
      <c r="N68" s="29" t="s">
        <v>579</v>
      </c>
      <c r="O68" s="29" t="s">
        <v>580</v>
      </c>
      <c r="P68" s="29" t="s">
        <v>601</v>
      </c>
      <c r="Q68" s="29" t="s">
        <v>602</v>
      </c>
    </row>
    <row r="69" spans="1:18" ht="19.05" customHeight="1" x14ac:dyDescent="0.3">
      <c r="B69" s="9">
        <f t="shared" ref="B69:Q78" si="8">IFERROR(INDEX($B$63:$E$66, MATCH($R69, $B$62:$E$62, 0), MATCH(B$68, $B$62:$E$62, 0)), 0)</f>
        <v>0</v>
      </c>
      <c r="C69" s="9">
        <f t="shared" si="8"/>
        <v>0</v>
      </c>
      <c r="D69" s="9">
        <f t="shared" si="8"/>
        <v>0</v>
      </c>
      <c r="E69" s="9">
        <f t="shared" si="8"/>
        <v>0</v>
      </c>
      <c r="F69" s="9">
        <f t="shared" si="8"/>
        <v>0</v>
      </c>
      <c r="G69" s="9">
        <f t="shared" si="8"/>
        <v>0</v>
      </c>
      <c r="H69" s="9">
        <f t="shared" si="8"/>
        <v>0</v>
      </c>
      <c r="I69" s="9">
        <f t="shared" si="8"/>
        <v>0</v>
      </c>
      <c r="J69" s="9">
        <f t="shared" si="8"/>
        <v>0</v>
      </c>
      <c r="K69" s="9">
        <f t="shared" si="8"/>
        <v>0</v>
      </c>
      <c r="L69" s="9">
        <f t="shared" si="8"/>
        <v>0</v>
      </c>
      <c r="M69" s="9">
        <f t="shared" si="8"/>
        <v>0</v>
      </c>
      <c r="N69" s="9">
        <f t="shared" si="8"/>
        <v>0</v>
      </c>
      <c r="O69" s="9">
        <f t="shared" si="8"/>
        <v>0</v>
      </c>
      <c r="P69" s="9">
        <f t="shared" si="8"/>
        <v>0</v>
      </c>
      <c r="Q69" s="9">
        <f t="shared" si="8"/>
        <v>0</v>
      </c>
      <c r="R69" s="29" t="s">
        <v>178</v>
      </c>
    </row>
    <row r="70" spans="1:18" ht="19.05" customHeight="1" x14ac:dyDescent="0.3">
      <c r="B70" s="9">
        <f t="shared" si="8"/>
        <v>0</v>
      </c>
      <c r="C70" s="9">
        <f t="shared" si="8"/>
        <v>0</v>
      </c>
      <c r="D70" s="9">
        <f t="shared" si="8"/>
        <v>0</v>
      </c>
      <c r="E70" s="9">
        <f t="shared" si="8"/>
        <v>0</v>
      </c>
      <c r="F70" s="9">
        <f t="shared" si="8"/>
        <v>0</v>
      </c>
      <c r="G70" s="9">
        <f t="shared" si="8"/>
        <v>0</v>
      </c>
      <c r="H70" s="9">
        <f t="shared" si="8"/>
        <v>0</v>
      </c>
      <c r="I70" s="9">
        <f t="shared" si="8"/>
        <v>0</v>
      </c>
      <c r="J70" s="9">
        <f t="shared" si="8"/>
        <v>0</v>
      </c>
      <c r="K70" s="9">
        <f t="shared" si="8"/>
        <v>0</v>
      </c>
      <c r="L70" s="9">
        <f t="shared" si="8"/>
        <v>0</v>
      </c>
      <c r="M70" s="9">
        <f t="shared" si="8"/>
        <v>0</v>
      </c>
      <c r="N70" s="9">
        <f t="shared" si="8"/>
        <v>0</v>
      </c>
      <c r="O70" s="9">
        <f t="shared" si="8"/>
        <v>0</v>
      </c>
      <c r="P70" s="9">
        <f t="shared" si="8"/>
        <v>0</v>
      </c>
      <c r="Q70" s="9">
        <f t="shared" si="8"/>
        <v>0</v>
      </c>
      <c r="R70" s="29" t="s">
        <v>179</v>
      </c>
    </row>
    <row r="71" spans="1:18" ht="19.05" customHeight="1" x14ac:dyDescent="0.3">
      <c r="B71" s="9">
        <f t="shared" si="8"/>
        <v>0</v>
      </c>
      <c r="C71" s="9">
        <f t="shared" si="8"/>
        <v>0</v>
      </c>
      <c r="D71" s="31">
        <f t="shared" si="8"/>
        <v>72000</v>
      </c>
      <c r="E71" s="31">
        <f t="shared" si="8"/>
        <v>0</v>
      </c>
      <c r="F71" s="31">
        <f t="shared" si="8"/>
        <v>-72000</v>
      </c>
      <c r="G71" s="31">
        <f t="shared" si="8"/>
        <v>0</v>
      </c>
      <c r="H71" s="9">
        <f t="shared" si="8"/>
        <v>0</v>
      </c>
      <c r="I71" s="9">
        <f t="shared" si="8"/>
        <v>0</v>
      </c>
      <c r="J71" s="9">
        <f t="shared" si="8"/>
        <v>0</v>
      </c>
      <c r="K71" s="9">
        <f t="shared" si="8"/>
        <v>0</v>
      </c>
      <c r="L71" s="9">
        <f t="shared" si="8"/>
        <v>0</v>
      </c>
      <c r="M71" s="9">
        <f t="shared" si="8"/>
        <v>0</v>
      </c>
      <c r="N71" s="9">
        <f t="shared" si="8"/>
        <v>0</v>
      </c>
      <c r="O71" s="9">
        <f t="shared" si="8"/>
        <v>0</v>
      </c>
      <c r="P71" s="9">
        <f t="shared" si="8"/>
        <v>0</v>
      </c>
      <c r="Q71" s="9">
        <f t="shared" si="8"/>
        <v>0</v>
      </c>
      <c r="R71" s="29" t="s">
        <v>180</v>
      </c>
    </row>
    <row r="72" spans="1:18" ht="19.05" customHeight="1" x14ac:dyDescent="0.3">
      <c r="B72" s="9">
        <f t="shared" si="8"/>
        <v>0</v>
      </c>
      <c r="C72" s="9">
        <f t="shared" si="8"/>
        <v>0</v>
      </c>
      <c r="D72" s="31">
        <f t="shared" si="8"/>
        <v>0</v>
      </c>
      <c r="E72" s="31">
        <f t="shared" si="8"/>
        <v>0</v>
      </c>
      <c r="F72" s="31">
        <f t="shared" si="8"/>
        <v>0</v>
      </c>
      <c r="G72" s="31">
        <f t="shared" si="8"/>
        <v>0</v>
      </c>
      <c r="H72" s="9">
        <f t="shared" si="8"/>
        <v>0</v>
      </c>
      <c r="I72" s="9">
        <f t="shared" si="8"/>
        <v>0</v>
      </c>
      <c r="J72" s="9">
        <f t="shared" si="8"/>
        <v>0</v>
      </c>
      <c r="K72" s="9">
        <f t="shared" si="8"/>
        <v>0</v>
      </c>
      <c r="L72" s="9">
        <f t="shared" si="8"/>
        <v>0</v>
      </c>
      <c r="M72" s="9">
        <f t="shared" si="8"/>
        <v>0</v>
      </c>
      <c r="N72" s="9">
        <f t="shared" si="8"/>
        <v>0</v>
      </c>
      <c r="O72" s="9">
        <f t="shared" si="8"/>
        <v>0</v>
      </c>
      <c r="P72" s="9">
        <f t="shared" si="8"/>
        <v>0</v>
      </c>
      <c r="Q72" s="9">
        <f t="shared" si="8"/>
        <v>0</v>
      </c>
      <c r="R72" s="29" t="s">
        <v>181</v>
      </c>
    </row>
    <row r="73" spans="1:18" ht="19.05" customHeight="1" x14ac:dyDescent="0.3">
      <c r="B73" s="9">
        <f t="shared" si="8"/>
        <v>0</v>
      </c>
      <c r="C73" s="9">
        <f t="shared" si="8"/>
        <v>0</v>
      </c>
      <c r="D73" s="31">
        <f t="shared" si="8"/>
        <v>-72000</v>
      </c>
      <c r="E73" s="31">
        <f t="shared" si="8"/>
        <v>0</v>
      </c>
      <c r="F73" s="31">
        <f t="shared" si="8"/>
        <v>72000</v>
      </c>
      <c r="G73" s="31">
        <f t="shared" si="8"/>
        <v>0</v>
      </c>
      <c r="H73" s="9">
        <f t="shared" si="8"/>
        <v>0</v>
      </c>
      <c r="I73" s="9">
        <f t="shared" si="8"/>
        <v>0</v>
      </c>
      <c r="J73" s="9">
        <f t="shared" si="8"/>
        <v>0</v>
      </c>
      <c r="K73" s="9">
        <f t="shared" si="8"/>
        <v>0</v>
      </c>
      <c r="L73" s="9">
        <f t="shared" si="8"/>
        <v>0</v>
      </c>
      <c r="M73" s="9">
        <f t="shared" si="8"/>
        <v>0</v>
      </c>
      <c r="N73" s="9">
        <f t="shared" si="8"/>
        <v>0</v>
      </c>
      <c r="O73" s="9">
        <f t="shared" si="8"/>
        <v>0</v>
      </c>
      <c r="P73" s="9">
        <f t="shared" si="8"/>
        <v>0</v>
      </c>
      <c r="Q73" s="9">
        <f t="shared" si="8"/>
        <v>0</v>
      </c>
      <c r="R73" s="29" t="s">
        <v>182</v>
      </c>
    </row>
    <row r="74" spans="1:18" ht="19.05" customHeight="1" x14ac:dyDescent="0.3">
      <c r="B74" s="9">
        <f t="shared" si="8"/>
        <v>0</v>
      </c>
      <c r="C74" s="9">
        <f t="shared" si="8"/>
        <v>0</v>
      </c>
      <c r="D74" s="31">
        <f t="shared" si="8"/>
        <v>0</v>
      </c>
      <c r="E74" s="31">
        <f t="shared" si="8"/>
        <v>0</v>
      </c>
      <c r="F74" s="31">
        <f t="shared" si="8"/>
        <v>0</v>
      </c>
      <c r="G74" s="31">
        <f t="shared" si="8"/>
        <v>0</v>
      </c>
      <c r="H74" s="9">
        <f t="shared" si="8"/>
        <v>0</v>
      </c>
      <c r="I74" s="9">
        <f t="shared" si="8"/>
        <v>0</v>
      </c>
      <c r="J74" s="9">
        <f t="shared" si="8"/>
        <v>0</v>
      </c>
      <c r="K74" s="9">
        <f t="shared" si="8"/>
        <v>0</v>
      </c>
      <c r="L74" s="9">
        <f t="shared" si="8"/>
        <v>0</v>
      </c>
      <c r="M74" s="9">
        <f t="shared" si="8"/>
        <v>0</v>
      </c>
      <c r="N74" s="9">
        <f t="shared" si="8"/>
        <v>0</v>
      </c>
      <c r="O74" s="9">
        <f t="shared" si="8"/>
        <v>0</v>
      </c>
      <c r="P74" s="9">
        <f t="shared" si="8"/>
        <v>0</v>
      </c>
      <c r="Q74" s="9">
        <f t="shared" si="8"/>
        <v>0</v>
      </c>
      <c r="R74" s="29" t="s">
        <v>183</v>
      </c>
    </row>
    <row r="75" spans="1:18"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9">
        <f t="shared" si="8"/>
        <v>0</v>
      </c>
      <c r="M75" s="9">
        <f t="shared" si="8"/>
        <v>0</v>
      </c>
      <c r="N75" s="9">
        <f t="shared" si="8"/>
        <v>0</v>
      </c>
      <c r="O75" s="9">
        <f t="shared" si="8"/>
        <v>0</v>
      </c>
      <c r="P75" s="9">
        <f t="shared" si="8"/>
        <v>0</v>
      </c>
      <c r="Q75" s="9">
        <f t="shared" si="8"/>
        <v>0</v>
      </c>
      <c r="R75" s="29" t="s">
        <v>184</v>
      </c>
    </row>
    <row r="76" spans="1:18" ht="19.05" customHeight="1" x14ac:dyDescent="0.3">
      <c r="A76" s="28" t="s">
        <v>192</v>
      </c>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9">
        <f t="shared" si="8"/>
        <v>0</v>
      </c>
      <c r="M76" s="9">
        <f t="shared" si="8"/>
        <v>0</v>
      </c>
      <c r="N76" s="9">
        <f t="shared" si="8"/>
        <v>0</v>
      </c>
      <c r="O76" s="9">
        <f t="shared" si="8"/>
        <v>0</v>
      </c>
      <c r="P76" s="9">
        <f t="shared" si="8"/>
        <v>0</v>
      </c>
      <c r="Q76" s="9">
        <f t="shared" si="8"/>
        <v>0</v>
      </c>
      <c r="R76" s="29" t="s">
        <v>185</v>
      </c>
    </row>
    <row r="77" spans="1:18"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9">
        <f t="shared" si="8"/>
        <v>0</v>
      </c>
      <c r="M77" s="9">
        <f t="shared" si="8"/>
        <v>0</v>
      </c>
      <c r="N77" s="9">
        <f t="shared" si="8"/>
        <v>0</v>
      </c>
      <c r="O77" s="9">
        <f t="shared" si="8"/>
        <v>0</v>
      </c>
      <c r="P77" s="9">
        <f t="shared" si="8"/>
        <v>0</v>
      </c>
      <c r="Q77" s="9">
        <f t="shared" si="8"/>
        <v>0</v>
      </c>
      <c r="R77" s="29" t="s">
        <v>186</v>
      </c>
    </row>
    <row r="78" spans="1:18" ht="19.05" customHeight="1" x14ac:dyDescent="0.3">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9">
        <f t="shared" si="8"/>
        <v>0</v>
      </c>
      <c r="O78" s="9">
        <f t="shared" si="8"/>
        <v>0</v>
      </c>
      <c r="P78" s="9">
        <f t="shared" si="8"/>
        <v>0</v>
      </c>
      <c r="Q78" s="9">
        <f t="shared" si="8"/>
        <v>0</v>
      </c>
      <c r="R78" s="29" t="s">
        <v>187</v>
      </c>
    </row>
    <row r="79" spans="1:18" ht="19.05" customHeight="1" x14ac:dyDescent="0.3">
      <c r="B79" s="9">
        <f t="shared" ref="B79:Q84" si="9">IFERROR(INDEX($B$63:$E$66, MATCH($R79, $B$62:$E$62, 0), MATCH(B$68, $B$62:$E$62, 0)), 0)</f>
        <v>0</v>
      </c>
      <c r="C79" s="9">
        <f t="shared" si="9"/>
        <v>0</v>
      </c>
      <c r="D79" s="9">
        <f t="shared" si="9"/>
        <v>0</v>
      </c>
      <c r="E79" s="9">
        <f t="shared" si="9"/>
        <v>0</v>
      </c>
      <c r="F79" s="9">
        <f t="shared" si="9"/>
        <v>0</v>
      </c>
      <c r="G79" s="9">
        <f t="shared" si="9"/>
        <v>0</v>
      </c>
      <c r="H79" s="9">
        <f t="shared" si="9"/>
        <v>0</v>
      </c>
      <c r="I79" s="9">
        <f t="shared" si="9"/>
        <v>0</v>
      </c>
      <c r="J79" s="9">
        <f t="shared" si="9"/>
        <v>0</v>
      </c>
      <c r="K79" s="9">
        <f t="shared" si="9"/>
        <v>0</v>
      </c>
      <c r="L79" s="9">
        <f t="shared" si="9"/>
        <v>0</v>
      </c>
      <c r="M79" s="9">
        <f t="shared" si="9"/>
        <v>0</v>
      </c>
      <c r="N79" s="9">
        <f t="shared" si="9"/>
        <v>0</v>
      </c>
      <c r="O79" s="9">
        <f t="shared" si="9"/>
        <v>0</v>
      </c>
      <c r="P79" s="9">
        <f t="shared" si="9"/>
        <v>0</v>
      </c>
      <c r="Q79" s="9">
        <f t="shared" si="9"/>
        <v>0</v>
      </c>
      <c r="R79" s="29" t="s">
        <v>188</v>
      </c>
    </row>
    <row r="80" spans="1:18" ht="19.05" customHeight="1" x14ac:dyDescent="0.3">
      <c r="B80" s="9">
        <f t="shared" si="9"/>
        <v>0</v>
      </c>
      <c r="C80" s="9">
        <f t="shared" si="9"/>
        <v>0</v>
      </c>
      <c r="D80" s="9">
        <f t="shared" si="9"/>
        <v>0</v>
      </c>
      <c r="E80" s="9">
        <f t="shared" si="9"/>
        <v>0</v>
      </c>
      <c r="F80" s="9">
        <f t="shared" si="9"/>
        <v>0</v>
      </c>
      <c r="G80" s="9">
        <f t="shared" si="9"/>
        <v>0</v>
      </c>
      <c r="H80" s="9">
        <f t="shared" si="9"/>
        <v>0</v>
      </c>
      <c r="I80" s="9">
        <f t="shared" si="9"/>
        <v>0</v>
      </c>
      <c r="J80" s="9">
        <f t="shared" si="9"/>
        <v>0</v>
      </c>
      <c r="K80" s="9">
        <f t="shared" si="9"/>
        <v>0</v>
      </c>
      <c r="L80" s="9">
        <f t="shared" si="9"/>
        <v>0</v>
      </c>
      <c r="M80" s="9">
        <f t="shared" si="9"/>
        <v>0</v>
      </c>
      <c r="N80" s="9">
        <f t="shared" si="9"/>
        <v>0</v>
      </c>
      <c r="O80" s="9">
        <f t="shared" si="9"/>
        <v>0</v>
      </c>
      <c r="P80" s="9">
        <f t="shared" si="9"/>
        <v>0</v>
      </c>
      <c r="Q80" s="9">
        <f t="shared" si="9"/>
        <v>0</v>
      </c>
      <c r="R80" s="29" t="s">
        <v>189</v>
      </c>
    </row>
    <row r="81" spans="1:18" ht="19.05" customHeight="1" x14ac:dyDescent="0.3">
      <c r="B81" s="9">
        <f t="shared" si="9"/>
        <v>0</v>
      </c>
      <c r="C81" s="9">
        <f t="shared" si="9"/>
        <v>0</v>
      </c>
      <c r="D81" s="9">
        <f t="shared" si="9"/>
        <v>0</v>
      </c>
      <c r="E81" s="9">
        <f t="shared" si="9"/>
        <v>0</v>
      </c>
      <c r="F81" s="9">
        <f t="shared" si="9"/>
        <v>0</v>
      </c>
      <c r="G81" s="9">
        <f t="shared" si="9"/>
        <v>0</v>
      </c>
      <c r="H81" s="9">
        <f t="shared" si="9"/>
        <v>0</v>
      </c>
      <c r="I81" s="9">
        <f t="shared" si="9"/>
        <v>0</v>
      </c>
      <c r="J81" s="9">
        <f t="shared" si="9"/>
        <v>0</v>
      </c>
      <c r="K81" s="9">
        <f t="shared" si="9"/>
        <v>0</v>
      </c>
      <c r="L81" s="9">
        <f t="shared" si="9"/>
        <v>0</v>
      </c>
      <c r="M81" s="9">
        <f t="shared" si="9"/>
        <v>0</v>
      </c>
      <c r="N81" s="9">
        <f t="shared" si="9"/>
        <v>0</v>
      </c>
      <c r="O81" s="9">
        <f t="shared" si="9"/>
        <v>0</v>
      </c>
      <c r="P81" s="9">
        <f t="shared" si="9"/>
        <v>0</v>
      </c>
      <c r="Q81" s="9">
        <f t="shared" si="9"/>
        <v>0</v>
      </c>
      <c r="R81" s="29" t="s">
        <v>579</v>
      </c>
    </row>
    <row r="82" spans="1:18" ht="19.05" customHeight="1" x14ac:dyDescent="0.3">
      <c r="B82" s="9">
        <f t="shared" si="9"/>
        <v>0</v>
      </c>
      <c r="C82" s="9">
        <f t="shared" si="9"/>
        <v>0</v>
      </c>
      <c r="D82" s="9">
        <f t="shared" si="9"/>
        <v>0</v>
      </c>
      <c r="E82" s="9">
        <f t="shared" si="9"/>
        <v>0</v>
      </c>
      <c r="F82" s="9">
        <f t="shared" si="9"/>
        <v>0</v>
      </c>
      <c r="G82" s="9">
        <f t="shared" si="9"/>
        <v>0</v>
      </c>
      <c r="H82" s="9">
        <f t="shared" si="9"/>
        <v>0</v>
      </c>
      <c r="I82" s="9">
        <f t="shared" si="9"/>
        <v>0</v>
      </c>
      <c r="J82" s="9">
        <f t="shared" si="9"/>
        <v>0</v>
      </c>
      <c r="K82" s="9">
        <f t="shared" si="9"/>
        <v>0</v>
      </c>
      <c r="L82" s="9">
        <f t="shared" si="9"/>
        <v>0</v>
      </c>
      <c r="M82" s="9">
        <f t="shared" si="9"/>
        <v>0</v>
      </c>
      <c r="N82" s="9">
        <f t="shared" si="9"/>
        <v>0</v>
      </c>
      <c r="O82" s="9">
        <f t="shared" si="9"/>
        <v>0</v>
      </c>
      <c r="P82" s="9">
        <f t="shared" si="9"/>
        <v>0</v>
      </c>
      <c r="Q82" s="9">
        <f t="shared" si="9"/>
        <v>0</v>
      </c>
      <c r="R82" s="29" t="s">
        <v>580</v>
      </c>
    </row>
    <row r="83" spans="1:18" ht="19.05" customHeight="1" x14ac:dyDescent="0.3">
      <c r="B83" s="9">
        <f t="shared" si="9"/>
        <v>0</v>
      </c>
      <c r="C83" s="9">
        <f t="shared" si="9"/>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0</v>
      </c>
      <c r="P83" s="9">
        <f t="shared" si="9"/>
        <v>0</v>
      </c>
      <c r="Q83" s="9">
        <f t="shared" si="9"/>
        <v>0</v>
      </c>
      <c r="R83" s="29" t="s">
        <v>601</v>
      </c>
    </row>
    <row r="84" spans="1:18" ht="19.05" customHeight="1" x14ac:dyDescent="0.3">
      <c r="B84" s="9">
        <f t="shared" si="9"/>
        <v>0</v>
      </c>
      <c r="C84" s="9">
        <f t="shared" si="9"/>
        <v>0</v>
      </c>
      <c r="D84" s="9">
        <f t="shared" si="9"/>
        <v>0</v>
      </c>
      <c r="E84" s="9">
        <f t="shared" si="9"/>
        <v>0</v>
      </c>
      <c r="F84" s="9">
        <f t="shared" si="9"/>
        <v>0</v>
      </c>
      <c r="G84" s="9">
        <f t="shared" si="9"/>
        <v>0</v>
      </c>
      <c r="H84" s="9">
        <f t="shared" si="9"/>
        <v>0</v>
      </c>
      <c r="I84" s="9">
        <f t="shared" si="9"/>
        <v>0</v>
      </c>
      <c r="J84" s="9">
        <f t="shared" si="9"/>
        <v>0</v>
      </c>
      <c r="K84" s="9">
        <f t="shared" si="9"/>
        <v>0</v>
      </c>
      <c r="L84" s="9">
        <f t="shared" si="9"/>
        <v>0</v>
      </c>
      <c r="M84" s="9">
        <f t="shared" si="9"/>
        <v>0</v>
      </c>
      <c r="N84" s="9">
        <f t="shared" si="9"/>
        <v>0</v>
      </c>
      <c r="O84" s="9">
        <f t="shared" si="9"/>
        <v>0</v>
      </c>
      <c r="P84" s="9">
        <f t="shared" si="9"/>
        <v>0</v>
      </c>
      <c r="Q84" s="9">
        <f t="shared" si="9"/>
        <v>0</v>
      </c>
      <c r="R84" s="29" t="s">
        <v>602</v>
      </c>
    </row>
    <row r="87" spans="1:18" ht="18" customHeight="1" x14ac:dyDescent="0.3">
      <c r="B87" s="32" t="str">
        <f>CONCATENATE("U",C24,C$21)</f>
        <v>U3X</v>
      </c>
      <c r="C87" s="32" t="str">
        <f>CONCATENATE("U",D24,D$21)</f>
        <v>U3Y</v>
      </c>
      <c r="D87" s="32" t="str">
        <f>CONCATENATE("U",E24,E$21)</f>
        <v>U4X</v>
      </c>
      <c r="E87" s="32" t="str">
        <f>CONCATENATE("U",F24,F$21)</f>
        <v>U4Y</v>
      </c>
    </row>
    <row r="88" spans="1:18" x14ac:dyDescent="0.3">
      <c r="B88" s="33">
        <f>J8*J8*N8</f>
        <v>72000</v>
      </c>
      <c r="C88" s="33">
        <f>J8*K8*N8</f>
        <v>0</v>
      </c>
      <c r="D88" s="33">
        <f>-B88</f>
        <v>-72000</v>
      </c>
      <c r="E88" s="33">
        <f>-C88</f>
        <v>0</v>
      </c>
      <c r="F88" s="32" t="str">
        <f>B87</f>
        <v>U3X</v>
      </c>
    </row>
    <row r="89" spans="1:18" ht="16.8" customHeight="1" x14ac:dyDescent="0.3">
      <c r="A89" s="28" t="s">
        <v>193</v>
      </c>
      <c r="B89" s="33">
        <f>C88</f>
        <v>0</v>
      </c>
      <c r="C89" s="33">
        <f>K8*K8*N8</f>
        <v>0</v>
      </c>
      <c r="D89" s="33">
        <f>-B89</f>
        <v>0</v>
      </c>
      <c r="E89" s="33">
        <f>-C89</f>
        <v>0</v>
      </c>
      <c r="F89" s="32" t="str">
        <f>C87</f>
        <v>U3Y</v>
      </c>
    </row>
    <row r="90" spans="1:18" x14ac:dyDescent="0.3">
      <c r="B90" s="33">
        <f>D88</f>
        <v>-72000</v>
      </c>
      <c r="C90" s="33">
        <f>E88</f>
        <v>0</v>
      </c>
      <c r="D90" s="33">
        <f>B88</f>
        <v>72000</v>
      </c>
      <c r="E90" s="33">
        <f>C88</f>
        <v>0</v>
      </c>
      <c r="F90" s="32" t="str">
        <f>D87</f>
        <v>U4X</v>
      </c>
    </row>
    <row r="91" spans="1:18" x14ac:dyDescent="0.3">
      <c r="B91" s="33">
        <f>D89</f>
        <v>0</v>
      </c>
      <c r="C91" s="33">
        <f>E89</f>
        <v>0</v>
      </c>
      <c r="D91" s="33">
        <f>B89</f>
        <v>0</v>
      </c>
      <c r="E91" s="33">
        <f>C89</f>
        <v>0</v>
      </c>
      <c r="F91" s="32" t="str">
        <f>E87</f>
        <v>U4Y</v>
      </c>
    </row>
    <row r="93" spans="1:18" ht="18" customHeight="1" x14ac:dyDescent="0.3">
      <c r="B93" s="32" t="s">
        <v>178</v>
      </c>
      <c r="C93" s="32" t="s">
        <v>179</v>
      </c>
      <c r="D93" s="32" t="s">
        <v>180</v>
      </c>
      <c r="E93" s="32" t="s">
        <v>181</v>
      </c>
      <c r="F93" s="32" t="s">
        <v>182</v>
      </c>
      <c r="G93" s="32" t="s">
        <v>183</v>
      </c>
      <c r="H93" s="32" t="s">
        <v>184</v>
      </c>
      <c r="I93" s="32" t="s">
        <v>185</v>
      </c>
      <c r="J93" s="32" t="s">
        <v>186</v>
      </c>
      <c r="K93" s="32" t="s">
        <v>187</v>
      </c>
      <c r="L93" s="32" t="s">
        <v>188</v>
      </c>
      <c r="M93" s="32" t="s">
        <v>189</v>
      </c>
      <c r="N93" s="32" t="s">
        <v>579</v>
      </c>
      <c r="O93" s="32" t="s">
        <v>580</v>
      </c>
      <c r="P93" s="32" t="s">
        <v>601</v>
      </c>
      <c r="Q93" s="32" t="s">
        <v>602</v>
      </c>
    </row>
    <row r="94" spans="1:18" ht="19.05" customHeight="1" x14ac:dyDescent="0.3">
      <c r="B94" s="9">
        <f t="shared" ref="B94:Q103" si="10">IFERROR(INDEX($B$88:$E$91, MATCH($R94, $B$87:$E$87, 0), MATCH(B$93, $B$87:$E$87, 0)), 0)</f>
        <v>0</v>
      </c>
      <c r="C94" s="9">
        <f t="shared" si="10"/>
        <v>0</v>
      </c>
      <c r="D94" s="9">
        <f t="shared" si="10"/>
        <v>0</v>
      </c>
      <c r="E94" s="9">
        <f t="shared" si="10"/>
        <v>0</v>
      </c>
      <c r="F94" s="9">
        <f t="shared" si="10"/>
        <v>0</v>
      </c>
      <c r="G94" s="9">
        <f t="shared" si="10"/>
        <v>0</v>
      </c>
      <c r="H94" s="9">
        <f t="shared" si="10"/>
        <v>0</v>
      </c>
      <c r="I94" s="9">
        <f t="shared" si="10"/>
        <v>0</v>
      </c>
      <c r="J94" s="9">
        <f t="shared" si="10"/>
        <v>0</v>
      </c>
      <c r="K94" s="9">
        <f t="shared" si="10"/>
        <v>0</v>
      </c>
      <c r="L94" s="9">
        <f t="shared" si="10"/>
        <v>0</v>
      </c>
      <c r="M94" s="9">
        <f t="shared" si="10"/>
        <v>0</v>
      </c>
      <c r="N94" s="9">
        <f t="shared" si="10"/>
        <v>0</v>
      </c>
      <c r="O94" s="9">
        <f t="shared" si="10"/>
        <v>0</v>
      </c>
      <c r="P94" s="9">
        <f t="shared" si="10"/>
        <v>0</v>
      </c>
      <c r="Q94" s="9">
        <f t="shared" si="10"/>
        <v>0</v>
      </c>
      <c r="R94" s="32" t="s">
        <v>178</v>
      </c>
    </row>
    <row r="95" spans="1:18" ht="19.05" customHeight="1" x14ac:dyDescent="0.3">
      <c r="B95" s="9">
        <f t="shared" si="10"/>
        <v>0</v>
      </c>
      <c r="C95" s="9">
        <f t="shared" si="10"/>
        <v>0</v>
      </c>
      <c r="D95" s="9">
        <f t="shared" si="10"/>
        <v>0</v>
      </c>
      <c r="E95" s="9">
        <f t="shared" si="10"/>
        <v>0</v>
      </c>
      <c r="F95" s="9">
        <f t="shared" si="10"/>
        <v>0</v>
      </c>
      <c r="G95" s="9">
        <f t="shared" si="10"/>
        <v>0</v>
      </c>
      <c r="H95" s="9">
        <f t="shared" si="10"/>
        <v>0</v>
      </c>
      <c r="I95" s="9">
        <f t="shared" si="10"/>
        <v>0</v>
      </c>
      <c r="J95" s="9">
        <f t="shared" si="10"/>
        <v>0</v>
      </c>
      <c r="K95" s="9">
        <f t="shared" si="10"/>
        <v>0</v>
      </c>
      <c r="L95" s="9">
        <f t="shared" si="10"/>
        <v>0</v>
      </c>
      <c r="M95" s="9">
        <f t="shared" si="10"/>
        <v>0</v>
      </c>
      <c r="N95" s="9">
        <f t="shared" si="10"/>
        <v>0</v>
      </c>
      <c r="O95" s="9">
        <f t="shared" si="10"/>
        <v>0</v>
      </c>
      <c r="P95" s="9">
        <f t="shared" si="10"/>
        <v>0</v>
      </c>
      <c r="Q95" s="9">
        <f t="shared" si="10"/>
        <v>0</v>
      </c>
      <c r="R95" s="32" t="s">
        <v>179</v>
      </c>
    </row>
    <row r="96" spans="1:18" ht="19.05" customHeight="1" x14ac:dyDescent="0.3">
      <c r="B96" s="9">
        <f t="shared" si="10"/>
        <v>0</v>
      </c>
      <c r="C96" s="9">
        <f t="shared" si="10"/>
        <v>0</v>
      </c>
      <c r="D96" s="9">
        <f t="shared" si="10"/>
        <v>0</v>
      </c>
      <c r="E96" s="9">
        <f t="shared" si="10"/>
        <v>0</v>
      </c>
      <c r="F96" s="9">
        <f t="shared" si="10"/>
        <v>0</v>
      </c>
      <c r="G96" s="9">
        <f t="shared" si="10"/>
        <v>0</v>
      </c>
      <c r="H96" s="9">
        <f t="shared" si="10"/>
        <v>0</v>
      </c>
      <c r="I96" s="9">
        <f t="shared" si="10"/>
        <v>0</v>
      </c>
      <c r="J96" s="9">
        <f t="shared" si="10"/>
        <v>0</v>
      </c>
      <c r="K96" s="9">
        <f t="shared" si="10"/>
        <v>0</v>
      </c>
      <c r="L96" s="9">
        <f t="shared" si="10"/>
        <v>0</v>
      </c>
      <c r="M96" s="9">
        <f t="shared" si="10"/>
        <v>0</v>
      </c>
      <c r="N96" s="9">
        <f t="shared" si="10"/>
        <v>0</v>
      </c>
      <c r="O96" s="9">
        <f t="shared" si="10"/>
        <v>0</v>
      </c>
      <c r="P96" s="9">
        <f t="shared" si="10"/>
        <v>0</v>
      </c>
      <c r="Q96" s="9">
        <f t="shared" si="10"/>
        <v>0</v>
      </c>
      <c r="R96" s="32" t="s">
        <v>180</v>
      </c>
    </row>
    <row r="97" spans="1:18" ht="19.05" customHeight="1" x14ac:dyDescent="0.3">
      <c r="B97" s="9">
        <f t="shared" si="10"/>
        <v>0</v>
      </c>
      <c r="C97" s="9">
        <f t="shared" si="10"/>
        <v>0</v>
      </c>
      <c r="D97" s="9">
        <f t="shared" si="10"/>
        <v>0</v>
      </c>
      <c r="E97" s="9">
        <f t="shared" si="10"/>
        <v>0</v>
      </c>
      <c r="F97" s="9">
        <f t="shared" si="10"/>
        <v>0</v>
      </c>
      <c r="G97" s="9">
        <f t="shared" si="10"/>
        <v>0</v>
      </c>
      <c r="H97" s="9">
        <f t="shared" si="10"/>
        <v>0</v>
      </c>
      <c r="I97" s="9">
        <f t="shared" si="10"/>
        <v>0</v>
      </c>
      <c r="J97" s="9">
        <f t="shared" si="10"/>
        <v>0</v>
      </c>
      <c r="K97" s="9">
        <f t="shared" si="10"/>
        <v>0</v>
      </c>
      <c r="L97" s="9">
        <f t="shared" si="10"/>
        <v>0</v>
      </c>
      <c r="M97" s="9">
        <f t="shared" si="10"/>
        <v>0</v>
      </c>
      <c r="N97" s="9">
        <f t="shared" si="10"/>
        <v>0</v>
      </c>
      <c r="O97" s="9">
        <f t="shared" si="10"/>
        <v>0</v>
      </c>
      <c r="P97" s="9">
        <f t="shared" si="10"/>
        <v>0</v>
      </c>
      <c r="Q97" s="9">
        <f t="shared" si="10"/>
        <v>0</v>
      </c>
      <c r="R97" s="32" t="s">
        <v>181</v>
      </c>
    </row>
    <row r="98" spans="1:18" ht="19.05" customHeight="1" x14ac:dyDescent="0.3">
      <c r="B98" s="9">
        <f t="shared" si="10"/>
        <v>0</v>
      </c>
      <c r="C98" s="9">
        <f t="shared" si="10"/>
        <v>0</v>
      </c>
      <c r="D98" s="9">
        <f t="shared" si="10"/>
        <v>0</v>
      </c>
      <c r="E98" s="9">
        <f t="shared" si="10"/>
        <v>0</v>
      </c>
      <c r="F98" s="34">
        <f t="shared" si="10"/>
        <v>72000</v>
      </c>
      <c r="G98" s="34">
        <f t="shared" si="10"/>
        <v>0</v>
      </c>
      <c r="H98" s="34">
        <f t="shared" si="10"/>
        <v>-72000</v>
      </c>
      <c r="I98" s="34">
        <f t="shared" si="10"/>
        <v>0</v>
      </c>
      <c r="J98" s="9">
        <f t="shared" si="10"/>
        <v>0</v>
      </c>
      <c r="K98" s="9">
        <f t="shared" si="10"/>
        <v>0</v>
      </c>
      <c r="L98" s="9">
        <f t="shared" si="10"/>
        <v>0</v>
      </c>
      <c r="M98" s="9">
        <f t="shared" si="10"/>
        <v>0</v>
      </c>
      <c r="N98" s="9">
        <f t="shared" si="10"/>
        <v>0</v>
      </c>
      <c r="O98" s="9">
        <f t="shared" si="10"/>
        <v>0</v>
      </c>
      <c r="P98" s="9">
        <f t="shared" si="10"/>
        <v>0</v>
      </c>
      <c r="Q98" s="9">
        <f t="shared" si="10"/>
        <v>0</v>
      </c>
      <c r="R98" s="32" t="s">
        <v>182</v>
      </c>
    </row>
    <row r="99" spans="1:18" ht="19.05" customHeight="1" x14ac:dyDescent="0.3">
      <c r="B99" s="9">
        <f t="shared" si="10"/>
        <v>0</v>
      </c>
      <c r="C99" s="9">
        <f t="shared" si="10"/>
        <v>0</v>
      </c>
      <c r="D99" s="9">
        <f t="shared" si="10"/>
        <v>0</v>
      </c>
      <c r="E99" s="9">
        <f t="shared" si="10"/>
        <v>0</v>
      </c>
      <c r="F99" s="34">
        <f t="shared" si="10"/>
        <v>0</v>
      </c>
      <c r="G99" s="34">
        <f t="shared" si="10"/>
        <v>0</v>
      </c>
      <c r="H99" s="34">
        <f t="shared" si="10"/>
        <v>0</v>
      </c>
      <c r="I99" s="34">
        <f t="shared" si="10"/>
        <v>0</v>
      </c>
      <c r="J99" s="9">
        <f t="shared" si="10"/>
        <v>0</v>
      </c>
      <c r="K99" s="9">
        <f t="shared" si="10"/>
        <v>0</v>
      </c>
      <c r="L99" s="9">
        <f t="shared" si="10"/>
        <v>0</v>
      </c>
      <c r="M99" s="9">
        <f t="shared" si="10"/>
        <v>0</v>
      </c>
      <c r="N99" s="9">
        <f t="shared" si="10"/>
        <v>0</v>
      </c>
      <c r="O99" s="9">
        <f t="shared" si="10"/>
        <v>0</v>
      </c>
      <c r="P99" s="9">
        <f t="shared" si="10"/>
        <v>0</v>
      </c>
      <c r="Q99" s="9">
        <f t="shared" si="10"/>
        <v>0</v>
      </c>
      <c r="R99" s="32" t="s">
        <v>183</v>
      </c>
    </row>
    <row r="100" spans="1:18" ht="19.05" customHeight="1" x14ac:dyDescent="0.3">
      <c r="B100" s="9">
        <f t="shared" si="10"/>
        <v>0</v>
      </c>
      <c r="C100" s="9">
        <f t="shared" si="10"/>
        <v>0</v>
      </c>
      <c r="D100" s="9">
        <f t="shared" si="10"/>
        <v>0</v>
      </c>
      <c r="E100" s="9">
        <f t="shared" si="10"/>
        <v>0</v>
      </c>
      <c r="F100" s="34">
        <f t="shared" si="10"/>
        <v>-72000</v>
      </c>
      <c r="G100" s="34">
        <f t="shared" si="10"/>
        <v>0</v>
      </c>
      <c r="H100" s="34">
        <f t="shared" si="10"/>
        <v>72000</v>
      </c>
      <c r="I100" s="34">
        <f t="shared" si="10"/>
        <v>0</v>
      </c>
      <c r="J100" s="9">
        <f t="shared" si="10"/>
        <v>0</v>
      </c>
      <c r="K100" s="9">
        <f t="shared" si="10"/>
        <v>0</v>
      </c>
      <c r="L100" s="9">
        <f t="shared" si="10"/>
        <v>0</v>
      </c>
      <c r="M100" s="9">
        <f t="shared" si="10"/>
        <v>0</v>
      </c>
      <c r="N100" s="9">
        <f t="shared" si="10"/>
        <v>0</v>
      </c>
      <c r="O100" s="9">
        <f t="shared" si="10"/>
        <v>0</v>
      </c>
      <c r="P100" s="9">
        <f t="shared" si="10"/>
        <v>0</v>
      </c>
      <c r="Q100" s="9">
        <f t="shared" si="10"/>
        <v>0</v>
      </c>
      <c r="R100" s="32" t="s">
        <v>184</v>
      </c>
    </row>
    <row r="101" spans="1:18" ht="19.05" customHeight="1" x14ac:dyDescent="0.3">
      <c r="A101" s="28" t="s">
        <v>194</v>
      </c>
      <c r="B101" s="9">
        <f t="shared" si="10"/>
        <v>0</v>
      </c>
      <c r="C101" s="9">
        <f t="shared" si="10"/>
        <v>0</v>
      </c>
      <c r="D101" s="9">
        <f t="shared" si="10"/>
        <v>0</v>
      </c>
      <c r="E101" s="9">
        <f t="shared" si="10"/>
        <v>0</v>
      </c>
      <c r="F101" s="34">
        <f t="shared" si="10"/>
        <v>0</v>
      </c>
      <c r="G101" s="34">
        <f t="shared" si="10"/>
        <v>0</v>
      </c>
      <c r="H101" s="34">
        <f t="shared" si="10"/>
        <v>0</v>
      </c>
      <c r="I101" s="34">
        <f t="shared" si="10"/>
        <v>0</v>
      </c>
      <c r="J101" s="9">
        <f t="shared" si="10"/>
        <v>0</v>
      </c>
      <c r="K101" s="9">
        <f t="shared" si="10"/>
        <v>0</v>
      </c>
      <c r="L101" s="9">
        <f t="shared" si="10"/>
        <v>0</v>
      </c>
      <c r="M101" s="9">
        <f t="shared" si="10"/>
        <v>0</v>
      </c>
      <c r="N101" s="9">
        <f t="shared" si="10"/>
        <v>0</v>
      </c>
      <c r="O101" s="9">
        <f t="shared" si="10"/>
        <v>0</v>
      </c>
      <c r="P101" s="9">
        <f t="shared" si="10"/>
        <v>0</v>
      </c>
      <c r="Q101" s="9">
        <f t="shared" si="10"/>
        <v>0</v>
      </c>
      <c r="R101" s="32" t="s">
        <v>185</v>
      </c>
    </row>
    <row r="102" spans="1:18" ht="19.05" customHeight="1" x14ac:dyDescent="0.3">
      <c r="B102" s="9">
        <f t="shared" si="10"/>
        <v>0</v>
      </c>
      <c r="C102" s="9">
        <f t="shared" si="10"/>
        <v>0</v>
      </c>
      <c r="D102" s="9">
        <f t="shared" si="10"/>
        <v>0</v>
      </c>
      <c r="E102" s="9">
        <f t="shared" si="10"/>
        <v>0</v>
      </c>
      <c r="F102" s="9">
        <f t="shared" si="10"/>
        <v>0</v>
      </c>
      <c r="G102" s="9">
        <f t="shared" si="10"/>
        <v>0</v>
      </c>
      <c r="H102" s="9">
        <f t="shared" si="10"/>
        <v>0</v>
      </c>
      <c r="I102" s="9">
        <f t="shared" si="10"/>
        <v>0</v>
      </c>
      <c r="J102" s="9">
        <f t="shared" si="10"/>
        <v>0</v>
      </c>
      <c r="K102" s="9">
        <f t="shared" si="10"/>
        <v>0</v>
      </c>
      <c r="L102" s="9">
        <f t="shared" si="10"/>
        <v>0</v>
      </c>
      <c r="M102" s="9">
        <f t="shared" si="10"/>
        <v>0</v>
      </c>
      <c r="N102" s="9">
        <f t="shared" si="10"/>
        <v>0</v>
      </c>
      <c r="O102" s="9">
        <f t="shared" si="10"/>
        <v>0</v>
      </c>
      <c r="P102" s="9">
        <f t="shared" si="10"/>
        <v>0</v>
      </c>
      <c r="Q102" s="9">
        <f t="shared" si="10"/>
        <v>0</v>
      </c>
      <c r="R102" s="32" t="s">
        <v>186</v>
      </c>
    </row>
    <row r="103" spans="1:18" ht="19.05" customHeight="1" x14ac:dyDescent="0.3">
      <c r="B103" s="9">
        <f t="shared" si="10"/>
        <v>0</v>
      </c>
      <c r="C103" s="9">
        <f t="shared" si="10"/>
        <v>0</v>
      </c>
      <c r="D103" s="9">
        <f t="shared" si="10"/>
        <v>0</v>
      </c>
      <c r="E103" s="9">
        <f t="shared" si="10"/>
        <v>0</v>
      </c>
      <c r="F103" s="9">
        <f t="shared" si="10"/>
        <v>0</v>
      </c>
      <c r="G103" s="9">
        <f t="shared" si="10"/>
        <v>0</v>
      </c>
      <c r="H103" s="9">
        <f t="shared" si="10"/>
        <v>0</v>
      </c>
      <c r="I103" s="9">
        <f t="shared" si="10"/>
        <v>0</v>
      </c>
      <c r="J103" s="9">
        <f t="shared" si="10"/>
        <v>0</v>
      </c>
      <c r="K103" s="9">
        <f t="shared" si="10"/>
        <v>0</v>
      </c>
      <c r="L103" s="9">
        <f t="shared" si="10"/>
        <v>0</v>
      </c>
      <c r="M103" s="9">
        <f t="shared" si="10"/>
        <v>0</v>
      </c>
      <c r="N103" s="9">
        <f t="shared" si="10"/>
        <v>0</v>
      </c>
      <c r="O103" s="9">
        <f t="shared" si="10"/>
        <v>0</v>
      </c>
      <c r="P103" s="9">
        <f t="shared" si="10"/>
        <v>0</v>
      </c>
      <c r="Q103" s="9">
        <f t="shared" si="10"/>
        <v>0</v>
      </c>
      <c r="R103" s="32" t="s">
        <v>187</v>
      </c>
    </row>
    <row r="104" spans="1:18" ht="19.05" customHeight="1" x14ac:dyDescent="0.3">
      <c r="B104" s="9">
        <f t="shared" ref="B104:Q109" si="11">IFERROR(INDEX($B$88:$E$91, MATCH($R104, $B$87:$E$87, 0), MATCH(B$93, $B$87:$E$87, 0)), 0)</f>
        <v>0</v>
      </c>
      <c r="C104" s="9">
        <f t="shared" si="11"/>
        <v>0</v>
      </c>
      <c r="D104" s="9">
        <f t="shared" si="11"/>
        <v>0</v>
      </c>
      <c r="E104" s="9">
        <f t="shared" si="11"/>
        <v>0</v>
      </c>
      <c r="F104" s="9">
        <f t="shared" si="11"/>
        <v>0</v>
      </c>
      <c r="G104" s="9">
        <f t="shared" si="11"/>
        <v>0</v>
      </c>
      <c r="H104" s="9">
        <f t="shared" si="11"/>
        <v>0</v>
      </c>
      <c r="I104" s="9">
        <f t="shared" si="11"/>
        <v>0</v>
      </c>
      <c r="J104" s="9">
        <f t="shared" si="11"/>
        <v>0</v>
      </c>
      <c r="K104" s="9">
        <f t="shared" si="11"/>
        <v>0</v>
      </c>
      <c r="L104" s="9">
        <f t="shared" si="11"/>
        <v>0</v>
      </c>
      <c r="M104" s="9">
        <f t="shared" si="11"/>
        <v>0</v>
      </c>
      <c r="N104" s="9">
        <f t="shared" si="11"/>
        <v>0</v>
      </c>
      <c r="O104" s="9">
        <f t="shared" si="11"/>
        <v>0</v>
      </c>
      <c r="P104" s="9">
        <f t="shared" si="11"/>
        <v>0</v>
      </c>
      <c r="Q104" s="9">
        <f t="shared" si="11"/>
        <v>0</v>
      </c>
      <c r="R104" s="32" t="s">
        <v>188</v>
      </c>
    </row>
    <row r="105" spans="1:18" ht="19.05" customHeight="1" x14ac:dyDescent="0.3">
      <c r="B105" s="9">
        <f t="shared" si="11"/>
        <v>0</v>
      </c>
      <c r="C105" s="9">
        <f t="shared" si="11"/>
        <v>0</v>
      </c>
      <c r="D105" s="9">
        <f t="shared" si="11"/>
        <v>0</v>
      </c>
      <c r="E105" s="9">
        <f t="shared" si="11"/>
        <v>0</v>
      </c>
      <c r="F105" s="9">
        <f t="shared" si="11"/>
        <v>0</v>
      </c>
      <c r="G105" s="9">
        <f t="shared" si="11"/>
        <v>0</v>
      </c>
      <c r="H105" s="9">
        <f t="shared" si="11"/>
        <v>0</v>
      </c>
      <c r="I105" s="9">
        <f t="shared" si="11"/>
        <v>0</v>
      </c>
      <c r="J105" s="9">
        <f t="shared" si="11"/>
        <v>0</v>
      </c>
      <c r="K105" s="9">
        <f t="shared" si="11"/>
        <v>0</v>
      </c>
      <c r="L105" s="9">
        <f t="shared" si="11"/>
        <v>0</v>
      </c>
      <c r="M105" s="9">
        <f t="shared" si="11"/>
        <v>0</v>
      </c>
      <c r="N105" s="9">
        <f t="shared" si="11"/>
        <v>0</v>
      </c>
      <c r="O105" s="9">
        <f t="shared" si="11"/>
        <v>0</v>
      </c>
      <c r="P105" s="9">
        <f t="shared" si="11"/>
        <v>0</v>
      </c>
      <c r="Q105" s="9">
        <f t="shared" si="11"/>
        <v>0</v>
      </c>
      <c r="R105" s="32" t="s">
        <v>189</v>
      </c>
    </row>
    <row r="106" spans="1:18" ht="19.05" customHeight="1" x14ac:dyDescent="0.3">
      <c r="B106" s="9">
        <f t="shared" si="11"/>
        <v>0</v>
      </c>
      <c r="C106" s="9">
        <f t="shared" si="11"/>
        <v>0</v>
      </c>
      <c r="D106" s="9">
        <f t="shared" si="11"/>
        <v>0</v>
      </c>
      <c r="E106" s="9">
        <f t="shared" si="11"/>
        <v>0</v>
      </c>
      <c r="F106" s="9">
        <f t="shared" si="11"/>
        <v>0</v>
      </c>
      <c r="G106" s="9">
        <f t="shared" si="11"/>
        <v>0</v>
      </c>
      <c r="H106" s="9">
        <f t="shared" si="11"/>
        <v>0</v>
      </c>
      <c r="I106" s="9">
        <f t="shared" si="11"/>
        <v>0</v>
      </c>
      <c r="J106" s="9">
        <f t="shared" si="11"/>
        <v>0</v>
      </c>
      <c r="K106" s="9">
        <f t="shared" si="11"/>
        <v>0</v>
      </c>
      <c r="L106" s="9">
        <f t="shared" si="11"/>
        <v>0</v>
      </c>
      <c r="M106" s="9">
        <f t="shared" si="11"/>
        <v>0</v>
      </c>
      <c r="N106" s="9">
        <f t="shared" si="11"/>
        <v>0</v>
      </c>
      <c r="O106" s="9">
        <f t="shared" si="11"/>
        <v>0</v>
      </c>
      <c r="P106" s="9">
        <f t="shared" si="11"/>
        <v>0</v>
      </c>
      <c r="Q106" s="9">
        <f t="shared" si="11"/>
        <v>0</v>
      </c>
      <c r="R106" s="32" t="s">
        <v>579</v>
      </c>
    </row>
    <row r="107" spans="1:18" ht="19.05" customHeight="1" x14ac:dyDescent="0.3">
      <c r="B107" s="9">
        <f t="shared" si="11"/>
        <v>0</v>
      </c>
      <c r="C107" s="9">
        <f t="shared" si="11"/>
        <v>0</v>
      </c>
      <c r="D107" s="9">
        <f t="shared" si="11"/>
        <v>0</v>
      </c>
      <c r="E107" s="9">
        <f t="shared" si="11"/>
        <v>0</v>
      </c>
      <c r="F107" s="9">
        <f t="shared" si="11"/>
        <v>0</v>
      </c>
      <c r="G107" s="9">
        <f t="shared" si="11"/>
        <v>0</v>
      </c>
      <c r="H107" s="9">
        <f t="shared" si="11"/>
        <v>0</v>
      </c>
      <c r="I107" s="9">
        <f t="shared" si="11"/>
        <v>0</v>
      </c>
      <c r="J107" s="9">
        <f t="shared" si="11"/>
        <v>0</v>
      </c>
      <c r="K107" s="9">
        <f t="shared" si="11"/>
        <v>0</v>
      </c>
      <c r="L107" s="9">
        <f t="shared" si="11"/>
        <v>0</v>
      </c>
      <c r="M107" s="9">
        <f t="shared" si="11"/>
        <v>0</v>
      </c>
      <c r="N107" s="9">
        <f t="shared" si="11"/>
        <v>0</v>
      </c>
      <c r="O107" s="9">
        <f t="shared" si="11"/>
        <v>0</v>
      </c>
      <c r="P107" s="9">
        <f t="shared" si="11"/>
        <v>0</v>
      </c>
      <c r="Q107" s="9">
        <f t="shared" si="11"/>
        <v>0</v>
      </c>
      <c r="R107" s="32" t="s">
        <v>580</v>
      </c>
    </row>
    <row r="108" spans="1:18" ht="19.05" customHeight="1" x14ac:dyDescent="0.3">
      <c r="B108" s="9">
        <f t="shared" si="11"/>
        <v>0</v>
      </c>
      <c r="C108" s="9">
        <f t="shared" si="11"/>
        <v>0</v>
      </c>
      <c r="D108" s="9">
        <f t="shared" si="11"/>
        <v>0</v>
      </c>
      <c r="E108" s="9">
        <f t="shared" si="11"/>
        <v>0</v>
      </c>
      <c r="F108" s="9">
        <f t="shared" si="11"/>
        <v>0</v>
      </c>
      <c r="G108" s="9">
        <f t="shared" si="11"/>
        <v>0</v>
      </c>
      <c r="H108" s="9">
        <f t="shared" si="11"/>
        <v>0</v>
      </c>
      <c r="I108" s="9">
        <f t="shared" si="11"/>
        <v>0</v>
      </c>
      <c r="J108" s="9">
        <f t="shared" si="11"/>
        <v>0</v>
      </c>
      <c r="K108" s="9">
        <f t="shared" si="11"/>
        <v>0</v>
      </c>
      <c r="L108" s="9">
        <f t="shared" si="11"/>
        <v>0</v>
      </c>
      <c r="M108" s="9">
        <f t="shared" si="11"/>
        <v>0</v>
      </c>
      <c r="N108" s="9">
        <f t="shared" si="11"/>
        <v>0</v>
      </c>
      <c r="O108" s="9">
        <f t="shared" si="11"/>
        <v>0</v>
      </c>
      <c r="P108" s="9">
        <f t="shared" si="11"/>
        <v>0</v>
      </c>
      <c r="Q108" s="9">
        <f t="shared" si="11"/>
        <v>0</v>
      </c>
      <c r="R108" s="32" t="s">
        <v>601</v>
      </c>
    </row>
    <row r="109" spans="1:18" ht="19.05" customHeight="1" x14ac:dyDescent="0.3">
      <c r="B109" s="9">
        <f t="shared" si="11"/>
        <v>0</v>
      </c>
      <c r="C109" s="9">
        <f t="shared" si="11"/>
        <v>0</v>
      </c>
      <c r="D109" s="9">
        <f t="shared" si="11"/>
        <v>0</v>
      </c>
      <c r="E109" s="9">
        <f t="shared" si="11"/>
        <v>0</v>
      </c>
      <c r="F109" s="9">
        <f t="shared" si="11"/>
        <v>0</v>
      </c>
      <c r="G109" s="9">
        <f t="shared" si="11"/>
        <v>0</v>
      </c>
      <c r="H109" s="9">
        <f t="shared" si="11"/>
        <v>0</v>
      </c>
      <c r="I109" s="9">
        <f t="shared" si="11"/>
        <v>0</v>
      </c>
      <c r="J109" s="9">
        <f t="shared" si="11"/>
        <v>0</v>
      </c>
      <c r="K109" s="9">
        <f t="shared" si="11"/>
        <v>0</v>
      </c>
      <c r="L109" s="9">
        <f t="shared" si="11"/>
        <v>0</v>
      </c>
      <c r="M109" s="9">
        <f t="shared" si="11"/>
        <v>0</v>
      </c>
      <c r="N109" s="9">
        <f t="shared" si="11"/>
        <v>0</v>
      </c>
      <c r="O109" s="9">
        <f t="shared" si="11"/>
        <v>0</v>
      </c>
      <c r="P109" s="9">
        <f t="shared" si="11"/>
        <v>0</v>
      </c>
      <c r="Q109" s="9">
        <f t="shared" si="11"/>
        <v>0</v>
      </c>
      <c r="R109" s="32" t="s">
        <v>602</v>
      </c>
    </row>
    <row r="112" spans="1:18" ht="18" customHeight="1" x14ac:dyDescent="0.3">
      <c r="B112" s="45" t="str">
        <f>CONCATENATE("U",C25,C$21)</f>
        <v>U4X</v>
      </c>
      <c r="C112" s="45" t="str">
        <f>CONCATENATE("U",D25,D$21)</f>
        <v>U4Y</v>
      </c>
      <c r="D112" s="45" t="str">
        <f>CONCATENATE("U",E25,E$21)</f>
        <v>U5X</v>
      </c>
      <c r="E112" s="45" t="str">
        <f>CONCATENATE("U",F25,F$21)</f>
        <v>U5Y</v>
      </c>
    </row>
    <row r="113" spans="1:18" x14ac:dyDescent="0.3">
      <c r="B113" s="46">
        <f>J9*J9*N9</f>
        <v>72000</v>
      </c>
      <c r="C113" s="46">
        <f>J9*K9*N9</f>
        <v>0</v>
      </c>
      <c r="D113" s="46">
        <f>-B113</f>
        <v>-72000</v>
      </c>
      <c r="E113" s="46">
        <f>-C113</f>
        <v>0</v>
      </c>
      <c r="F113" s="45" t="str">
        <f>B112</f>
        <v>U4X</v>
      </c>
    </row>
    <row r="114" spans="1:18" ht="16.8" customHeight="1" x14ac:dyDescent="0.3">
      <c r="A114" s="28" t="s">
        <v>195</v>
      </c>
      <c r="B114" s="46">
        <f>C113</f>
        <v>0</v>
      </c>
      <c r="C114" s="46">
        <f>K9*K9*N9</f>
        <v>0</v>
      </c>
      <c r="D114" s="46">
        <f>-B114</f>
        <v>0</v>
      </c>
      <c r="E114" s="46">
        <f>-C114</f>
        <v>0</v>
      </c>
      <c r="F114" s="45" t="str">
        <f>C112</f>
        <v>U4Y</v>
      </c>
    </row>
    <row r="115" spans="1:18" x14ac:dyDescent="0.3">
      <c r="B115" s="46">
        <f>D113</f>
        <v>-72000</v>
      </c>
      <c r="C115" s="46">
        <f>E113</f>
        <v>0</v>
      </c>
      <c r="D115" s="46">
        <f>B113</f>
        <v>72000</v>
      </c>
      <c r="E115" s="46">
        <f>C113</f>
        <v>0</v>
      </c>
      <c r="F115" s="45" t="str">
        <f>D112</f>
        <v>U5X</v>
      </c>
    </row>
    <row r="116" spans="1:18" x14ac:dyDescent="0.3">
      <c r="B116" s="46">
        <f>D114</f>
        <v>0</v>
      </c>
      <c r="C116" s="46">
        <f>E114</f>
        <v>0</v>
      </c>
      <c r="D116" s="46">
        <f>B114</f>
        <v>0</v>
      </c>
      <c r="E116" s="46">
        <f>C114</f>
        <v>0</v>
      </c>
      <c r="F116" s="45" t="str">
        <f>E112</f>
        <v>U5Y</v>
      </c>
    </row>
    <row r="118" spans="1:18" ht="18" customHeight="1" x14ac:dyDescent="0.3">
      <c r="B118" s="45" t="s">
        <v>178</v>
      </c>
      <c r="C118" s="45" t="s">
        <v>179</v>
      </c>
      <c r="D118" s="45" t="s">
        <v>180</v>
      </c>
      <c r="E118" s="45" t="s">
        <v>181</v>
      </c>
      <c r="F118" s="45" t="s">
        <v>182</v>
      </c>
      <c r="G118" s="45" t="s">
        <v>183</v>
      </c>
      <c r="H118" s="45" t="s">
        <v>184</v>
      </c>
      <c r="I118" s="45" t="s">
        <v>185</v>
      </c>
      <c r="J118" s="45" t="s">
        <v>186</v>
      </c>
      <c r="K118" s="45" t="s">
        <v>187</v>
      </c>
      <c r="L118" s="45" t="s">
        <v>188</v>
      </c>
      <c r="M118" s="45" t="s">
        <v>189</v>
      </c>
      <c r="N118" s="45" t="s">
        <v>579</v>
      </c>
      <c r="O118" s="45" t="s">
        <v>580</v>
      </c>
      <c r="P118" s="45" t="s">
        <v>601</v>
      </c>
      <c r="Q118" s="45" t="s">
        <v>602</v>
      </c>
    </row>
    <row r="119" spans="1:18" ht="19.05" customHeight="1" x14ac:dyDescent="0.3">
      <c r="B119" s="9">
        <f t="shared" ref="B119:Q128" si="12">IFERROR(INDEX($B$113:$E$116, MATCH($R119, $B$112:$E$112, 0), MATCH(B$118, $B$112:$E$112, 0)), 0)</f>
        <v>0</v>
      </c>
      <c r="C119" s="9">
        <f t="shared" si="12"/>
        <v>0</v>
      </c>
      <c r="D119" s="9">
        <f t="shared" si="12"/>
        <v>0</v>
      </c>
      <c r="E119" s="9">
        <f t="shared" si="12"/>
        <v>0</v>
      </c>
      <c r="F119" s="9">
        <f t="shared" si="12"/>
        <v>0</v>
      </c>
      <c r="G119" s="9">
        <f t="shared" si="12"/>
        <v>0</v>
      </c>
      <c r="H119" s="9">
        <f t="shared" si="12"/>
        <v>0</v>
      </c>
      <c r="I119" s="9">
        <f t="shared" si="12"/>
        <v>0</v>
      </c>
      <c r="J119" s="9">
        <f t="shared" si="12"/>
        <v>0</v>
      </c>
      <c r="K119" s="9">
        <f t="shared" si="12"/>
        <v>0</v>
      </c>
      <c r="L119" s="9">
        <f t="shared" si="12"/>
        <v>0</v>
      </c>
      <c r="M119" s="9">
        <f t="shared" si="12"/>
        <v>0</v>
      </c>
      <c r="N119" s="9">
        <f t="shared" si="12"/>
        <v>0</v>
      </c>
      <c r="O119" s="9">
        <f t="shared" si="12"/>
        <v>0</v>
      </c>
      <c r="P119" s="9">
        <f t="shared" si="12"/>
        <v>0</v>
      </c>
      <c r="Q119" s="9">
        <f t="shared" si="12"/>
        <v>0</v>
      </c>
      <c r="R119" s="45" t="s">
        <v>178</v>
      </c>
    </row>
    <row r="120" spans="1:18" ht="19.05" customHeight="1" x14ac:dyDescent="0.3">
      <c r="B120" s="9">
        <f t="shared" si="12"/>
        <v>0</v>
      </c>
      <c r="C120" s="9">
        <f t="shared" si="12"/>
        <v>0</v>
      </c>
      <c r="D120" s="9">
        <f t="shared" si="12"/>
        <v>0</v>
      </c>
      <c r="E120" s="9">
        <f t="shared" si="12"/>
        <v>0</v>
      </c>
      <c r="F120" s="9">
        <f t="shared" si="12"/>
        <v>0</v>
      </c>
      <c r="G120" s="9">
        <f t="shared" si="12"/>
        <v>0</v>
      </c>
      <c r="H120" s="9">
        <f t="shared" si="12"/>
        <v>0</v>
      </c>
      <c r="I120" s="9">
        <f t="shared" si="12"/>
        <v>0</v>
      </c>
      <c r="J120" s="9">
        <f t="shared" si="12"/>
        <v>0</v>
      </c>
      <c r="K120" s="9">
        <f t="shared" si="12"/>
        <v>0</v>
      </c>
      <c r="L120" s="9">
        <f t="shared" si="12"/>
        <v>0</v>
      </c>
      <c r="M120" s="9">
        <f t="shared" si="12"/>
        <v>0</v>
      </c>
      <c r="N120" s="9">
        <f t="shared" si="12"/>
        <v>0</v>
      </c>
      <c r="O120" s="9">
        <f t="shared" si="12"/>
        <v>0</v>
      </c>
      <c r="P120" s="9">
        <f t="shared" si="12"/>
        <v>0</v>
      </c>
      <c r="Q120" s="9">
        <f t="shared" si="12"/>
        <v>0</v>
      </c>
      <c r="R120" s="45" t="s">
        <v>179</v>
      </c>
    </row>
    <row r="121" spans="1:18" ht="19.05" customHeight="1" x14ac:dyDescent="0.3">
      <c r="B121" s="9">
        <f t="shared" si="12"/>
        <v>0</v>
      </c>
      <c r="C121" s="9">
        <f t="shared" si="12"/>
        <v>0</v>
      </c>
      <c r="D121" s="9">
        <f t="shared" si="12"/>
        <v>0</v>
      </c>
      <c r="E121" s="9">
        <f t="shared" si="12"/>
        <v>0</v>
      </c>
      <c r="F121" s="9">
        <f t="shared" si="12"/>
        <v>0</v>
      </c>
      <c r="G121" s="9">
        <f t="shared" si="12"/>
        <v>0</v>
      </c>
      <c r="H121" s="9">
        <f t="shared" si="12"/>
        <v>0</v>
      </c>
      <c r="I121" s="9">
        <f t="shared" si="12"/>
        <v>0</v>
      </c>
      <c r="J121" s="9">
        <f t="shared" si="12"/>
        <v>0</v>
      </c>
      <c r="K121" s="9">
        <f t="shared" si="12"/>
        <v>0</v>
      </c>
      <c r="L121" s="9">
        <f t="shared" si="12"/>
        <v>0</v>
      </c>
      <c r="M121" s="9">
        <f t="shared" si="12"/>
        <v>0</v>
      </c>
      <c r="N121" s="9">
        <f t="shared" si="12"/>
        <v>0</v>
      </c>
      <c r="O121" s="9">
        <f t="shared" si="12"/>
        <v>0</v>
      </c>
      <c r="P121" s="9">
        <f t="shared" si="12"/>
        <v>0</v>
      </c>
      <c r="Q121" s="9">
        <f t="shared" si="12"/>
        <v>0</v>
      </c>
      <c r="R121" s="45" t="s">
        <v>180</v>
      </c>
    </row>
    <row r="122" spans="1:18" ht="19.05" customHeight="1" x14ac:dyDescent="0.3">
      <c r="B122" s="9">
        <f t="shared" si="12"/>
        <v>0</v>
      </c>
      <c r="C122" s="9">
        <f t="shared" si="12"/>
        <v>0</v>
      </c>
      <c r="D122" s="9">
        <f t="shared" si="12"/>
        <v>0</v>
      </c>
      <c r="E122" s="9">
        <f t="shared" si="12"/>
        <v>0</v>
      </c>
      <c r="F122" s="9">
        <f t="shared" si="12"/>
        <v>0</v>
      </c>
      <c r="G122" s="9">
        <f t="shared" si="12"/>
        <v>0</v>
      </c>
      <c r="H122" s="9">
        <f t="shared" si="12"/>
        <v>0</v>
      </c>
      <c r="I122" s="9">
        <f t="shared" si="12"/>
        <v>0</v>
      </c>
      <c r="J122" s="9">
        <f t="shared" si="12"/>
        <v>0</v>
      </c>
      <c r="K122" s="9">
        <f t="shared" si="12"/>
        <v>0</v>
      </c>
      <c r="L122" s="9">
        <f t="shared" si="12"/>
        <v>0</v>
      </c>
      <c r="M122" s="9">
        <f t="shared" si="12"/>
        <v>0</v>
      </c>
      <c r="N122" s="9">
        <f t="shared" si="12"/>
        <v>0</v>
      </c>
      <c r="O122" s="9">
        <f t="shared" si="12"/>
        <v>0</v>
      </c>
      <c r="P122" s="9">
        <f t="shared" si="12"/>
        <v>0</v>
      </c>
      <c r="Q122" s="9">
        <f t="shared" si="12"/>
        <v>0</v>
      </c>
      <c r="R122" s="45" t="s">
        <v>181</v>
      </c>
    </row>
    <row r="123" spans="1:18" ht="19.05" customHeight="1" x14ac:dyDescent="0.3">
      <c r="B123" s="9">
        <f t="shared" si="12"/>
        <v>0</v>
      </c>
      <c r="C123" s="9">
        <f t="shared" si="12"/>
        <v>0</v>
      </c>
      <c r="D123" s="9">
        <f t="shared" si="12"/>
        <v>0</v>
      </c>
      <c r="E123" s="9">
        <f t="shared" si="12"/>
        <v>0</v>
      </c>
      <c r="F123" s="9">
        <f t="shared" si="12"/>
        <v>0</v>
      </c>
      <c r="G123" s="9">
        <f t="shared" si="12"/>
        <v>0</v>
      </c>
      <c r="H123" s="9">
        <f t="shared" si="12"/>
        <v>0</v>
      </c>
      <c r="I123" s="9">
        <f t="shared" si="12"/>
        <v>0</v>
      </c>
      <c r="J123" s="9">
        <f t="shared" si="12"/>
        <v>0</v>
      </c>
      <c r="K123" s="9">
        <f t="shared" si="12"/>
        <v>0</v>
      </c>
      <c r="L123" s="9">
        <f t="shared" si="12"/>
        <v>0</v>
      </c>
      <c r="M123" s="9">
        <f t="shared" si="12"/>
        <v>0</v>
      </c>
      <c r="N123" s="9">
        <f t="shared" si="12"/>
        <v>0</v>
      </c>
      <c r="O123" s="9">
        <f t="shared" si="12"/>
        <v>0</v>
      </c>
      <c r="P123" s="9">
        <f t="shared" si="12"/>
        <v>0</v>
      </c>
      <c r="Q123" s="9">
        <f t="shared" si="12"/>
        <v>0</v>
      </c>
      <c r="R123" s="45" t="s">
        <v>182</v>
      </c>
    </row>
    <row r="124" spans="1:18" ht="19.05" customHeight="1" x14ac:dyDescent="0.3">
      <c r="B124" s="9">
        <f t="shared" si="12"/>
        <v>0</v>
      </c>
      <c r="C124" s="9">
        <f t="shared" si="12"/>
        <v>0</v>
      </c>
      <c r="D124" s="9">
        <f t="shared" si="12"/>
        <v>0</v>
      </c>
      <c r="E124" s="9">
        <f t="shared" si="12"/>
        <v>0</v>
      </c>
      <c r="F124" s="9">
        <f t="shared" si="12"/>
        <v>0</v>
      </c>
      <c r="G124" s="9">
        <f t="shared" si="12"/>
        <v>0</v>
      </c>
      <c r="H124" s="9">
        <f t="shared" si="12"/>
        <v>0</v>
      </c>
      <c r="I124" s="9">
        <f t="shared" si="12"/>
        <v>0</v>
      </c>
      <c r="J124" s="9">
        <f t="shared" si="12"/>
        <v>0</v>
      </c>
      <c r="K124" s="9">
        <f t="shared" si="12"/>
        <v>0</v>
      </c>
      <c r="L124" s="9">
        <f t="shared" si="12"/>
        <v>0</v>
      </c>
      <c r="M124" s="9">
        <f t="shared" si="12"/>
        <v>0</v>
      </c>
      <c r="N124" s="9">
        <f t="shared" si="12"/>
        <v>0</v>
      </c>
      <c r="O124" s="9">
        <f t="shared" si="12"/>
        <v>0</v>
      </c>
      <c r="P124" s="9">
        <f t="shared" si="12"/>
        <v>0</v>
      </c>
      <c r="Q124" s="9">
        <f t="shared" si="12"/>
        <v>0</v>
      </c>
      <c r="R124" s="45" t="s">
        <v>183</v>
      </c>
    </row>
    <row r="125" spans="1:18" ht="19.05" customHeight="1" x14ac:dyDescent="0.3">
      <c r="B125" s="9">
        <f t="shared" si="12"/>
        <v>0</v>
      </c>
      <c r="C125" s="9">
        <f t="shared" si="12"/>
        <v>0</v>
      </c>
      <c r="D125" s="9">
        <f t="shared" si="12"/>
        <v>0</v>
      </c>
      <c r="E125" s="9">
        <f t="shared" si="12"/>
        <v>0</v>
      </c>
      <c r="F125" s="9">
        <f t="shared" si="12"/>
        <v>0</v>
      </c>
      <c r="G125" s="9">
        <f t="shared" si="12"/>
        <v>0</v>
      </c>
      <c r="H125" s="47">
        <f t="shared" si="12"/>
        <v>72000</v>
      </c>
      <c r="I125" s="47">
        <f t="shared" si="12"/>
        <v>0</v>
      </c>
      <c r="J125" s="47">
        <f t="shared" si="12"/>
        <v>-72000</v>
      </c>
      <c r="K125" s="47">
        <f t="shared" si="12"/>
        <v>0</v>
      </c>
      <c r="L125" s="9">
        <f t="shared" si="12"/>
        <v>0</v>
      </c>
      <c r="M125" s="9">
        <f t="shared" si="12"/>
        <v>0</v>
      </c>
      <c r="N125" s="9">
        <f t="shared" si="12"/>
        <v>0</v>
      </c>
      <c r="O125" s="9">
        <f t="shared" si="12"/>
        <v>0</v>
      </c>
      <c r="P125" s="9">
        <f t="shared" si="12"/>
        <v>0</v>
      </c>
      <c r="Q125" s="9">
        <f t="shared" si="12"/>
        <v>0</v>
      </c>
      <c r="R125" s="45" t="s">
        <v>184</v>
      </c>
    </row>
    <row r="126" spans="1:18" ht="19.05" customHeight="1" x14ac:dyDescent="0.3">
      <c r="A126" s="28" t="s">
        <v>196</v>
      </c>
      <c r="B126" s="9">
        <f t="shared" si="12"/>
        <v>0</v>
      </c>
      <c r="C126" s="9">
        <f t="shared" si="12"/>
        <v>0</v>
      </c>
      <c r="D126" s="9">
        <f t="shared" si="12"/>
        <v>0</v>
      </c>
      <c r="E126" s="9">
        <f t="shared" si="12"/>
        <v>0</v>
      </c>
      <c r="F126" s="9">
        <f t="shared" si="12"/>
        <v>0</v>
      </c>
      <c r="G126" s="9">
        <f t="shared" si="12"/>
        <v>0</v>
      </c>
      <c r="H126" s="47">
        <f t="shared" si="12"/>
        <v>0</v>
      </c>
      <c r="I126" s="47">
        <f t="shared" si="12"/>
        <v>0</v>
      </c>
      <c r="J126" s="47">
        <f t="shared" si="12"/>
        <v>0</v>
      </c>
      <c r="K126" s="47">
        <f t="shared" si="12"/>
        <v>0</v>
      </c>
      <c r="L126" s="9">
        <f t="shared" si="12"/>
        <v>0</v>
      </c>
      <c r="M126" s="9">
        <f t="shared" si="12"/>
        <v>0</v>
      </c>
      <c r="N126" s="9">
        <f t="shared" si="12"/>
        <v>0</v>
      </c>
      <c r="O126" s="9">
        <f t="shared" si="12"/>
        <v>0</v>
      </c>
      <c r="P126" s="9">
        <f t="shared" si="12"/>
        <v>0</v>
      </c>
      <c r="Q126" s="9">
        <f t="shared" si="12"/>
        <v>0</v>
      </c>
      <c r="R126" s="45" t="s">
        <v>185</v>
      </c>
    </row>
    <row r="127" spans="1:18" ht="19.05" customHeight="1" x14ac:dyDescent="0.3">
      <c r="B127" s="9">
        <f t="shared" si="12"/>
        <v>0</v>
      </c>
      <c r="C127" s="9">
        <f t="shared" si="12"/>
        <v>0</v>
      </c>
      <c r="D127" s="9">
        <f t="shared" si="12"/>
        <v>0</v>
      </c>
      <c r="E127" s="9">
        <f t="shared" si="12"/>
        <v>0</v>
      </c>
      <c r="F127" s="9">
        <f t="shared" si="12"/>
        <v>0</v>
      </c>
      <c r="G127" s="9">
        <f t="shared" si="12"/>
        <v>0</v>
      </c>
      <c r="H127" s="47">
        <f t="shared" si="12"/>
        <v>-72000</v>
      </c>
      <c r="I127" s="47">
        <f t="shared" si="12"/>
        <v>0</v>
      </c>
      <c r="J127" s="47">
        <f t="shared" si="12"/>
        <v>72000</v>
      </c>
      <c r="K127" s="47">
        <f t="shared" si="12"/>
        <v>0</v>
      </c>
      <c r="L127" s="9">
        <f t="shared" si="12"/>
        <v>0</v>
      </c>
      <c r="M127" s="9">
        <f t="shared" si="12"/>
        <v>0</v>
      </c>
      <c r="N127" s="9">
        <f t="shared" si="12"/>
        <v>0</v>
      </c>
      <c r="O127" s="9">
        <f t="shared" si="12"/>
        <v>0</v>
      </c>
      <c r="P127" s="9">
        <f t="shared" si="12"/>
        <v>0</v>
      </c>
      <c r="Q127" s="9">
        <f t="shared" si="12"/>
        <v>0</v>
      </c>
      <c r="R127" s="45" t="s">
        <v>186</v>
      </c>
    </row>
    <row r="128" spans="1:18" ht="19.05" customHeight="1" x14ac:dyDescent="0.3">
      <c r="B128" s="9">
        <f t="shared" si="12"/>
        <v>0</v>
      </c>
      <c r="C128" s="9">
        <f t="shared" si="12"/>
        <v>0</v>
      </c>
      <c r="D128" s="9">
        <f t="shared" si="12"/>
        <v>0</v>
      </c>
      <c r="E128" s="9">
        <f t="shared" si="12"/>
        <v>0</v>
      </c>
      <c r="F128" s="9">
        <f t="shared" si="12"/>
        <v>0</v>
      </c>
      <c r="G128" s="9">
        <f t="shared" si="12"/>
        <v>0</v>
      </c>
      <c r="H128" s="47">
        <f t="shared" si="12"/>
        <v>0</v>
      </c>
      <c r="I128" s="47">
        <f t="shared" si="12"/>
        <v>0</v>
      </c>
      <c r="J128" s="47">
        <f t="shared" si="12"/>
        <v>0</v>
      </c>
      <c r="K128" s="47">
        <f t="shared" si="12"/>
        <v>0</v>
      </c>
      <c r="L128" s="9">
        <f t="shared" si="12"/>
        <v>0</v>
      </c>
      <c r="M128" s="9">
        <f t="shared" si="12"/>
        <v>0</v>
      </c>
      <c r="N128" s="9">
        <f t="shared" si="12"/>
        <v>0</v>
      </c>
      <c r="O128" s="9">
        <f t="shared" si="12"/>
        <v>0</v>
      </c>
      <c r="P128" s="9">
        <f t="shared" si="12"/>
        <v>0</v>
      </c>
      <c r="Q128" s="9">
        <f t="shared" si="12"/>
        <v>0</v>
      </c>
      <c r="R128" s="45" t="s">
        <v>187</v>
      </c>
    </row>
    <row r="129" spans="1:18" ht="19.05" customHeight="1" x14ac:dyDescent="0.3">
      <c r="B129" s="9">
        <f t="shared" ref="B129:Q134" si="13">IFERROR(INDEX($B$113:$E$116, MATCH($R129, $B$112:$E$112, 0), MATCH(B$118, $B$112:$E$112, 0)), 0)</f>
        <v>0</v>
      </c>
      <c r="C129" s="9">
        <f t="shared" si="13"/>
        <v>0</v>
      </c>
      <c r="D129" s="9">
        <f t="shared" si="13"/>
        <v>0</v>
      </c>
      <c r="E129" s="9">
        <f t="shared" si="13"/>
        <v>0</v>
      </c>
      <c r="F129" s="9">
        <f t="shared" si="13"/>
        <v>0</v>
      </c>
      <c r="G129" s="9">
        <f t="shared" si="13"/>
        <v>0</v>
      </c>
      <c r="H129" s="9">
        <f t="shared" si="13"/>
        <v>0</v>
      </c>
      <c r="I129" s="9">
        <f t="shared" si="13"/>
        <v>0</v>
      </c>
      <c r="J129" s="9">
        <f t="shared" si="13"/>
        <v>0</v>
      </c>
      <c r="K129" s="9">
        <f t="shared" si="13"/>
        <v>0</v>
      </c>
      <c r="L129" s="9">
        <f t="shared" si="13"/>
        <v>0</v>
      </c>
      <c r="M129" s="9">
        <f t="shared" si="13"/>
        <v>0</v>
      </c>
      <c r="N129" s="9">
        <f t="shared" si="13"/>
        <v>0</v>
      </c>
      <c r="O129" s="9">
        <f t="shared" si="13"/>
        <v>0</v>
      </c>
      <c r="P129" s="9">
        <f t="shared" si="13"/>
        <v>0</v>
      </c>
      <c r="Q129" s="9">
        <f t="shared" si="13"/>
        <v>0</v>
      </c>
      <c r="R129" s="45" t="s">
        <v>188</v>
      </c>
    </row>
    <row r="130" spans="1:18" ht="19.05" customHeight="1" x14ac:dyDescent="0.3">
      <c r="B130" s="9">
        <f t="shared" si="13"/>
        <v>0</v>
      </c>
      <c r="C130" s="9">
        <f t="shared" si="13"/>
        <v>0</v>
      </c>
      <c r="D130" s="9">
        <f t="shared" si="13"/>
        <v>0</v>
      </c>
      <c r="E130" s="9">
        <f t="shared" si="13"/>
        <v>0</v>
      </c>
      <c r="F130" s="9">
        <f t="shared" si="13"/>
        <v>0</v>
      </c>
      <c r="G130" s="9">
        <f t="shared" si="13"/>
        <v>0</v>
      </c>
      <c r="H130" s="9">
        <f t="shared" si="13"/>
        <v>0</v>
      </c>
      <c r="I130" s="9">
        <f t="shared" si="13"/>
        <v>0</v>
      </c>
      <c r="J130" s="9">
        <f t="shared" si="13"/>
        <v>0</v>
      </c>
      <c r="K130" s="9">
        <f t="shared" si="13"/>
        <v>0</v>
      </c>
      <c r="L130" s="9">
        <f t="shared" si="13"/>
        <v>0</v>
      </c>
      <c r="M130" s="9">
        <f t="shared" si="13"/>
        <v>0</v>
      </c>
      <c r="N130" s="9">
        <f t="shared" si="13"/>
        <v>0</v>
      </c>
      <c r="O130" s="9">
        <f t="shared" si="13"/>
        <v>0</v>
      </c>
      <c r="P130" s="9">
        <f t="shared" si="13"/>
        <v>0</v>
      </c>
      <c r="Q130" s="9">
        <f t="shared" si="13"/>
        <v>0</v>
      </c>
      <c r="R130" s="45" t="s">
        <v>189</v>
      </c>
    </row>
    <row r="131" spans="1:18" ht="19.05" customHeight="1" x14ac:dyDescent="0.3">
      <c r="B131" s="9">
        <f t="shared" si="13"/>
        <v>0</v>
      </c>
      <c r="C131" s="9">
        <f t="shared" si="13"/>
        <v>0</v>
      </c>
      <c r="D131" s="9">
        <f t="shared" si="13"/>
        <v>0</v>
      </c>
      <c r="E131" s="9">
        <f t="shared" si="13"/>
        <v>0</v>
      </c>
      <c r="F131" s="9">
        <f t="shared" si="13"/>
        <v>0</v>
      </c>
      <c r="G131" s="9">
        <f t="shared" si="13"/>
        <v>0</v>
      </c>
      <c r="H131" s="9">
        <f t="shared" si="13"/>
        <v>0</v>
      </c>
      <c r="I131" s="9">
        <f t="shared" si="13"/>
        <v>0</v>
      </c>
      <c r="J131" s="9">
        <f t="shared" si="13"/>
        <v>0</v>
      </c>
      <c r="K131" s="9">
        <f t="shared" si="13"/>
        <v>0</v>
      </c>
      <c r="L131" s="9">
        <f t="shared" si="13"/>
        <v>0</v>
      </c>
      <c r="M131" s="9">
        <f t="shared" si="13"/>
        <v>0</v>
      </c>
      <c r="N131" s="9">
        <f t="shared" si="13"/>
        <v>0</v>
      </c>
      <c r="O131" s="9">
        <f t="shared" si="13"/>
        <v>0</v>
      </c>
      <c r="P131" s="9">
        <f t="shared" si="13"/>
        <v>0</v>
      </c>
      <c r="Q131" s="9">
        <f t="shared" si="13"/>
        <v>0</v>
      </c>
      <c r="R131" s="45" t="s">
        <v>579</v>
      </c>
    </row>
    <row r="132" spans="1:18" ht="19.05" customHeight="1" x14ac:dyDescent="0.3">
      <c r="B132" s="9">
        <f t="shared" si="13"/>
        <v>0</v>
      </c>
      <c r="C132" s="9">
        <f t="shared" si="13"/>
        <v>0</v>
      </c>
      <c r="D132" s="9">
        <f t="shared" si="13"/>
        <v>0</v>
      </c>
      <c r="E132" s="9">
        <f t="shared" si="13"/>
        <v>0</v>
      </c>
      <c r="F132" s="9">
        <f t="shared" si="13"/>
        <v>0</v>
      </c>
      <c r="G132" s="9">
        <f t="shared" si="13"/>
        <v>0</v>
      </c>
      <c r="H132" s="9">
        <f t="shared" si="13"/>
        <v>0</v>
      </c>
      <c r="I132" s="9">
        <f t="shared" si="13"/>
        <v>0</v>
      </c>
      <c r="J132" s="9">
        <f t="shared" si="13"/>
        <v>0</v>
      </c>
      <c r="K132" s="9">
        <f t="shared" si="13"/>
        <v>0</v>
      </c>
      <c r="L132" s="9">
        <f t="shared" si="13"/>
        <v>0</v>
      </c>
      <c r="M132" s="9">
        <f t="shared" si="13"/>
        <v>0</v>
      </c>
      <c r="N132" s="9">
        <f t="shared" si="13"/>
        <v>0</v>
      </c>
      <c r="O132" s="9">
        <f t="shared" si="13"/>
        <v>0</v>
      </c>
      <c r="P132" s="9">
        <f t="shared" si="13"/>
        <v>0</v>
      </c>
      <c r="Q132" s="9">
        <f t="shared" si="13"/>
        <v>0</v>
      </c>
      <c r="R132" s="45" t="s">
        <v>580</v>
      </c>
    </row>
    <row r="133" spans="1:18" ht="19.05" customHeight="1" x14ac:dyDescent="0.3">
      <c r="B133" s="9">
        <f t="shared" si="13"/>
        <v>0</v>
      </c>
      <c r="C133" s="9">
        <f t="shared" si="13"/>
        <v>0</v>
      </c>
      <c r="D133" s="9">
        <f t="shared" si="13"/>
        <v>0</v>
      </c>
      <c r="E133" s="9">
        <f t="shared" si="13"/>
        <v>0</v>
      </c>
      <c r="F133" s="9">
        <f t="shared" si="13"/>
        <v>0</v>
      </c>
      <c r="G133" s="9">
        <f t="shared" si="13"/>
        <v>0</v>
      </c>
      <c r="H133" s="9">
        <f t="shared" si="13"/>
        <v>0</v>
      </c>
      <c r="I133" s="9">
        <f t="shared" si="13"/>
        <v>0</v>
      </c>
      <c r="J133" s="9">
        <f t="shared" si="13"/>
        <v>0</v>
      </c>
      <c r="K133" s="9">
        <f t="shared" si="13"/>
        <v>0</v>
      </c>
      <c r="L133" s="9">
        <f t="shared" si="13"/>
        <v>0</v>
      </c>
      <c r="M133" s="9">
        <f t="shared" si="13"/>
        <v>0</v>
      </c>
      <c r="N133" s="9">
        <f t="shared" si="13"/>
        <v>0</v>
      </c>
      <c r="O133" s="9">
        <f t="shared" si="13"/>
        <v>0</v>
      </c>
      <c r="P133" s="9">
        <f t="shared" si="13"/>
        <v>0</v>
      </c>
      <c r="Q133" s="9">
        <f t="shared" si="13"/>
        <v>0</v>
      </c>
      <c r="R133" s="45" t="s">
        <v>601</v>
      </c>
    </row>
    <row r="134" spans="1:18" ht="19.05" customHeight="1" x14ac:dyDescent="0.3">
      <c r="B134" s="9">
        <f t="shared" si="13"/>
        <v>0</v>
      </c>
      <c r="C134" s="9">
        <f t="shared" si="13"/>
        <v>0</v>
      </c>
      <c r="D134" s="9">
        <f t="shared" si="13"/>
        <v>0</v>
      </c>
      <c r="E134" s="9">
        <f t="shared" si="13"/>
        <v>0</v>
      </c>
      <c r="F134" s="9">
        <f t="shared" si="13"/>
        <v>0</v>
      </c>
      <c r="G134" s="9">
        <f t="shared" si="13"/>
        <v>0</v>
      </c>
      <c r="H134" s="9">
        <f t="shared" si="13"/>
        <v>0</v>
      </c>
      <c r="I134" s="9">
        <f t="shared" si="13"/>
        <v>0</v>
      </c>
      <c r="J134" s="9">
        <f t="shared" si="13"/>
        <v>0</v>
      </c>
      <c r="K134" s="9">
        <f t="shared" si="13"/>
        <v>0</v>
      </c>
      <c r="L134" s="9">
        <f t="shared" si="13"/>
        <v>0</v>
      </c>
      <c r="M134" s="9">
        <f t="shared" si="13"/>
        <v>0</v>
      </c>
      <c r="N134" s="9">
        <f t="shared" si="13"/>
        <v>0</v>
      </c>
      <c r="O134" s="9">
        <f t="shared" si="13"/>
        <v>0</v>
      </c>
      <c r="P134" s="9">
        <f t="shared" si="13"/>
        <v>0</v>
      </c>
      <c r="Q134" s="9">
        <f t="shared" si="13"/>
        <v>0</v>
      </c>
      <c r="R134" s="45" t="s">
        <v>602</v>
      </c>
    </row>
    <row r="137" spans="1:18" ht="18" customHeight="1" x14ac:dyDescent="0.3">
      <c r="B137" s="48" t="str">
        <f>CONCATENATE("U",C26,C$21)</f>
        <v>U1X</v>
      </c>
      <c r="C137" s="48" t="str">
        <f>CONCATENATE("U",D26,D$21)</f>
        <v>U1Y</v>
      </c>
      <c r="D137" s="48" t="str">
        <f>CONCATENATE("U",E26,E$21)</f>
        <v>U6X</v>
      </c>
      <c r="E137" s="48" t="str">
        <f>CONCATENATE("U",F26,F$21)</f>
        <v>U6Y</v>
      </c>
    </row>
    <row r="138" spans="1:18" x14ac:dyDescent="0.3">
      <c r="B138" s="49">
        <f>J10*J10*N10</f>
        <v>16661.403726774148</v>
      </c>
      <c r="C138" s="49">
        <f>J10*K10*N10</f>
        <v>21421.804791566763</v>
      </c>
      <c r="D138" s="49">
        <f>-B138</f>
        <v>-16661.403726774148</v>
      </c>
      <c r="E138" s="49">
        <f>-C138</f>
        <v>-21421.804791566763</v>
      </c>
      <c r="F138" s="48" t="str">
        <f>B137</f>
        <v>U1X</v>
      </c>
    </row>
    <row r="139" spans="1:18" ht="16.8" customHeight="1" x14ac:dyDescent="0.3">
      <c r="A139" s="28" t="s">
        <v>197</v>
      </c>
      <c r="B139" s="49">
        <f>C138</f>
        <v>21421.804791566763</v>
      </c>
      <c r="C139" s="49">
        <f>K10*K10*N10</f>
        <v>27542.32044630012</v>
      </c>
      <c r="D139" s="49">
        <f>-B139</f>
        <v>-21421.804791566763</v>
      </c>
      <c r="E139" s="49">
        <f>-C139</f>
        <v>-27542.32044630012</v>
      </c>
      <c r="F139" s="48" t="str">
        <f>C137</f>
        <v>U1Y</v>
      </c>
    </row>
    <row r="140" spans="1:18" x14ac:dyDescent="0.3">
      <c r="B140" s="49">
        <f>D138</f>
        <v>-16661.403726774148</v>
      </c>
      <c r="C140" s="49">
        <f>E138</f>
        <v>-21421.804791566763</v>
      </c>
      <c r="D140" s="49">
        <f>B138</f>
        <v>16661.403726774148</v>
      </c>
      <c r="E140" s="49">
        <f>C138</f>
        <v>21421.804791566763</v>
      </c>
      <c r="F140" s="48" t="str">
        <f>D137</f>
        <v>U6X</v>
      </c>
    </row>
    <row r="141" spans="1:18" x14ac:dyDescent="0.3">
      <c r="B141" s="49">
        <f>D139</f>
        <v>-21421.804791566763</v>
      </c>
      <c r="C141" s="49">
        <f>E139</f>
        <v>-27542.32044630012</v>
      </c>
      <c r="D141" s="49">
        <f>B139</f>
        <v>21421.804791566763</v>
      </c>
      <c r="E141" s="49">
        <f>C139</f>
        <v>27542.32044630012</v>
      </c>
      <c r="F141" s="48" t="str">
        <f>E137</f>
        <v>U6Y</v>
      </c>
    </row>
    <row r="143" spans="1:18" ht="18" customHeight="1" x14ac:dyDescent="0.3">
      <c r="B143" s="48" t="s">
        <v>178</v>
      </c>
      <c r="C143" s="48" t="s">
        <v>179</v>
      </c>
      <c r="D143" s="48" t="s">
        <v>180</v>
      </c>
      <c r="E143" s="48" t="s">
        <v>181</v>
      </c>
      <c r="F143" s="48" t="s">
        <v>182</v>
      </c>
      <c r="G143" s="48" t="s">
        <v>183</v>
      </c>
      <c r="H143" s="48" t="s">
        <v>184</v>
      </c>
      <c r="I143" s="48" t="s">
        <v>185</v>
      </c>
      <c r="J143" s="48" t="s">
        <v>186</v>
      </c>
      <c r="K143" s="48" t="s">
        <v>187</v>
      </c>
      <c r="L143" s="48" t="s">
        <v>188</v>
      </c>
      <c r="M143" s="48" t="s">
        <v>189</v>
      </c>
      <c r="N143" s="48" t="s">
        <v>579</v>
      </c>
      <c r="O143" s="48" t="s">
        <v>580</v>
      </c>
      <c r="P143" s="48" t="s">
        <v>601</v>
      </c>
      <c r="Q143" s="48" t="s">
        <v>602</v>
      </c>
    </row>
    <row r="144" spans="1:18" ht="19.05" customHeight="1" x14ac:dyDescent="0.3">
      <c r="B144" s="50">
        <f t="shared" ref="B144:Q153" si="14">IFERROR(INDEX($B$138:$E$141, MATCH($R144, $B$137:$E$137, 0), MATCH(B$143, $B$137:$E$137, 0)), 0)</f>
        <v>16661.403726774148</v>
      </c>
      <c r="C144" s="50">
        <f t="shared" si="14"/>
        <v>21421.804791566763</v>
      </c>
      <c r="D144" s="9">
        <f t="shared" si="14"/>
        <v>0</v>
      </c>
      <c r="E144" s="9">
        <f t="shared" si="14"/>
        <v>0</v>
      </c>
      <c r="F144" s="9">
        <f t="shared" si="14"/>
        <v>0</v>
      </c>
      <c r="G144" s="9">
        <f t="shared" si="14"/>
        <v>0</v>
      </c>
      <c r="H144" s="9">
        <f t="shared" si="14"/>
        <v>0</v>
      </c>
      <c r="I144" s="9">
        <f t="shared" si="14"/>
        <v>0</v>
      </c>
      <c r="J144" s="9">
        <f t="shared" si="14"/>
        <v>0</v>
      </c>
      <c r="K144" s="9">
        <f t="shared" si="14"/>
        <v>0</v>
      </c>
      <c r="L144" s="50">
        <f t="shared" si="14"/>
        <v>-16661.403726774148</v>
      </c>
      <c r="M144" s="50">
        <f t="shared" si="14"/>
        <v>-21421.804791566763</v>
      </c>
      <c r="N144" s="9">
        <f t="shared" si="14"/>
        <v>0</v>
      </c>
      <c r="O144" s="9">
        <f t="shared" si="14"/>
        <v>0</v>
      </c>
      <c r="P144" s="9">
        <f t="shared" si="14"/>
        <v>0</v>
      </c>
      <c r="Q144" s="9">
        <f t="shared" si="14"/>
        <v>0</v>
      </c>
      <c r="R144" s="48" t="s">
        <v>178</v>
      </c>
    </row>
    <row r="145" spans="1:18" ht="19.05" customHeight="1" x14ac:dyDescent="0.3">
      <c r="B145" s="50">
        <f t="shared" si="14"/>
        <v>21421.804791566763</v>
      </c>
      <c r="C145" s="50">
        <f t="shared" si="14"/>
        <v>27542.32044630012</v>
      </c>
      <c r="D145" s="9">
        <f t="shared" si="14"/>
        <v>0</v>
      </c>
      <c r="E145" s="9">
        <f t="shared" si="14"/>
        <v>0</v>
      </c>
      <c r="F145" s="9">
        <f t="shared" si="14"/>
        <v>0</v>
      </c>
      <c r="G145" s="9">
        <f t="shared" si="14"/>
        <v>0</v>
      </c>
      <c r="H145" s="9">
        <f t="shared" si="14"/>
        <v>0</v>
      </c>
      <c r="I145" s="9">
        <f t="shared" si="14"/>
        <v>0</v>
      </c>
      <c r="J145" s="9">
        <f t="shared" si="14"/>
        <v>0</v>
      </c>
      <c r="K145" s="9">
        <f t="shared" si="14"/>
        <v>0</v>
      </c>
      <c r="L145" s="50">
        <f t="shared" si="14"/>
        <v>-21421.804791566763</v>
      </c>
      <c r="M145" s="50">
        <f t="shared" si="14"/>
        <v>-27542.32044630012</v>
      </c>
      <c r="N145" s="9">
        <f t="shared" si="14"/>
        <v>0</v>
      </c>
      <c r="O145" s="9">
        <f t="shared" si="14"/>
        <v>0</v>
      </c>
      <c r="P145" s="9">
        <f t="shared" si="14"/>
        <v>0</v>
      </c>
      <c r="Q145" s="9">
        <f t="shared" si="14"/>
        <v>0</v>
      </c>
      <c r="R145" s="48" t="s">
        <v>179</v>
      </c>
    </row>
    <row r="146" spans="1:18" ht="19.05" customHeight="1" x14ac:dyDescent="0.3">
      <c r="B146" s="9">
        <f t="shared" si="14"/>
        <v>0</v>
      </c>
      <c r="C146" s="9">
        <f t="shared" si="14"/>
        <v>0</v>
      </c>
      <c r="D146" s="9">
        <f t="shared" si="14"/>
        <v>0</v>
      </c>
      <c r="E146" s="9">
        <f t="shared" si="14"/>
        <v>0</v>
      </c>
      <c r="F146" s="9">
        <f t="shared" si="14"/>
        <v>0</v>
      </c>
      <c r="G146" s="9">
        <f t="shared" si="14"/>
        <v>0</v>
      </c>
      <c r="H146" s="9">
        <f t="shared" si="14"/>
        <v>0</v>
      </c>
      <c r="I146" s="9">
        <f t="shared" si="14"/>
        <v>0</v>
      </c>
      <c r="J146" s="9">
        <f t="shared" si="14"/>
        <v>0</v>
      </c>
      <c r="K146" s="9">
        <f t="shared" si="14"/>
        <v>0</v>
      </c>
      <c r="L146" s="9">
        <f t="shared" si="14"/>
        <v>0</v>
      </c>
      <c r="M146" s="9">
        <f t="shared" si="14"/>
        <v>0</v>
      </c>
      <c r="N146" s="9">
        <f t="shared" si="14"/>
        <v>0</v>
      </c>
      <c r="O146" s="9">
        <f t="shared" si="14"/>
        <v>0</v>
      </c>
      <c r="P146" s="9">
        <f t="shared" si="14"/>
        <v>0</v>
      </c>
      <c r="Q146" s="9">
        <f t="shared" si="14"/>
        <v>0</v>
      </c>
      <c r="R146" s="48" t="s">
        <v>180</v>
      </c>
    </row>
    <row r="147" spans="1:18" ht="19.05" customHeight="1" x14ac:dyDescent="0.3">
      <c r="B147" s="9">
        <f t="shared" si="14"/>
        <v>0</v>
      </c>
      <c r="C147" s="9">
        <f t="shared" si="14"/>
        <v>0</v>
      </c>
      <c r="D147" s="9">
        <f t="shared" si="14"/>
        <v>0</v>
      </c>
      <c r="E147" s="9">
        <f t="shared" si="14"/>
        <v>0</v>
      </c>
      <c r="F147" s="9">
        <f t="shared" si="14"/>
        <v>0</v>
      </c>
      <c r="G147" s="9">
        <f t="shared" si="14"/>
        <v>0</v>
      </c>
      <c r="H147" s="9">
        <f t="shared" si="14"/>
        <v>0</v>
      </c>
      <c r="I147" s="9">
        <f t="shared" si="14"/>
        <v>0</v>
      </c>
      <c r="J147" s="9">
        <f t="shared" si="14"/>
        <v>0</v>
      </c>
      <c r="K147" s="9">
        <f t="shared" si="14"/>
        <v>0</v>
      </c>
      <c r="L147" s="9">
        <f t="shared" si="14"/>
        <v>0</v>
      </c>
      <c r="M147" s="9">
        <f t="shared" si="14"/>
        <v>0</v>
      </c>
      <c r="N147" s="9">
        <f t="shared" si="14"/>
        <v>0</v>
      </c>
      <c r="O147" s="9">
        <f t="shared" si="14"/>
        <v>0</v>
      </c>
      <c r="P147" s="9">
        <f t="shared" si="14"/>
        <v>0</v>
      </c>
      <c r="Q147" s="9">
        <f t="shared" si="14"/>
        <v>0</v>
      </c>
      <c r="R147" s="48" t="s">
        <v>181</v>
      </c>
    </row>
    <row r="148" spans="1:18" ht="19.05" customHeight="1" x14ac:dyDescent="0.3">
      <c r="B148" s="9">
        <f t="shared" si="14"/>
        <v>0</v>
      </c>
      <c r="C148" s="9">
        <f t="shared" si="14"/>
        <v>0</v>
      </c>
      <c r="D148" s="9">
        <f t="shared" si="14"/>
        <v>0</v>
      </c>
      <c r="E148" s="9">
        <f t="shared" si="14"/>
        <v>0</v>
      </c>
      <c r="F148" s="9">
        <f t="shared" si="14"/>
        <v>0</v>
      </c>
      <c r="G148" s="9">
        <f t="shared" si="14"/>
        <v>0</v>
      </c>
      <c r="H148" s="9">
        <f t="shared" si="14"/>
        <v>0</v>
      </c>
      <c r="I148" s="9">
        <f t="shared" si="14"/>
        <v>0</v>
      </c>
      <c r="J148" s="9">
        <f t="shared" si="14"/>
        <v>0</v>
      </c>
      <c r="K148" s="9">
        <f t="shared" si="14"/>
        <v>0</v>
      </c>
      <c r="L148" s="9">
        <f t="shared" si="14"/>
        <v>0</v>
      </c>
      <c r="M148" s="9">
        <f t="shared" si="14"/>
        <v>0</v>
      </c>
      <c r="N148" s="9">
        <f t="shared" si="14"/>
        <v>0</v>
      </c>
      <c r="O148" s="9">
        <f t="shared" si="14"/>
        <v>0</v>
      </c>
      <c r="P148" s="9">
        <f t="shared" si="14"/>
        <v>0</v>
      </c>
      <c r="Q148" s="9">
        <f t="shared" si="14"/>
        <v>0</v>
      </c>
      <c r="R148" s="48" t="s">
        <v>182</v>
      </c>
    </row>
    <row r="149" spans="1:18" ht="19.05" customHeight="1" x14ac:dyDescent="0.3">
      <c r="B149" s="9">
        <f t="shared" si="14"/>
        <v>0</v>
      </c>
      <c r="C149" s="9">
        <f t="shared" si="14"/>
        <v>0</v>
      </c>
      <c r="D149" s="9">
        <f t="shared" si="14"/>
        <v>0</v>
      </c>
      <c r="E149" s="9">
        <f t="shared" si="14"/>
        <v>0</v>
      </c>
      <c r="F149" s="9">
        <f t="shared" si="14"/>
        <v>0</v>
      </c>
      <c r="G149" s="9">
        <f t="shared" si="14"/>
        <v>0</v>
      </c>
      <c r="H149" s="9">
        <f t="shared" si="14"/>
        <v>0</v>
      </c>
      <c r="I149" s="9">
        <f t="shared" si="14"/>
        <v>0</v>
      </c>
      <c r="J149" s="9">
        <f t="shared" si="14"/>
        <v>0</v>
      </c>
      <c r="K149" s="9">
        <f t="shared" si="14"/>
        <v>0</v>
      </c>
      <c r="L149" s="9">
        <f t="shared" si="14"/>
        <v>0</v>
      </c>
      <c r="M149" s="9">
        <f t="shared" si="14"/>
        <v>0</v>
      </c>
      <c r="N149" s="9">
        <f t="shared" si="14"/>
        <v>0</v>
      </c>
      <c r="O149" s="9">
        <f t="shared" si="14"/>
        <v>0</v>
      </c>
      <c r="P149" s="9">
        <f t="shared" si="14"/>
        <v>0</v>
      </c>
      <c r="Q149" s="9">
        <f t="shared" si="14"/>
        <v>0</v>
      </c>
      <c r="R149" s="48" t="s">
        <v>183</v>
      </c>
    </row>
    <row r="150" spans="1:18" ht="19.05" customHeight="1" x14ac:dyDescent="0.3">
      <c r="B150" s="9">
        <f t="shared" si="14"/>
        <v>0</v>
      </c>
      <c r="C150" s="9">
        <f t="shared" si="14"/>
        <v>0</v>
      </c>
      <c r="D150" s="9">
        <f t="shared" si="14"/>
        <v>0</v>
      </c>
      <c r="E150" s="9">
        <f t="shared" si="14"/>
        <v>0</v>
      </c>
      <c r="F150" s="9">
        <f t="shared" si="14"/>
        <v>0</v>
      </c>
      <c r="G150" s="9">
        <f t="shared" si="14"/>
        <v>0</v>
      </c>
      <c r="H150" s="9">
        <f t="shared" si="14"/>
        <v>0</v>
      </c>
      <c r="I150" s="9">
        <f t="shared" si="14"/>
        <v>0</v>
      </c>
      <c r="J150" s="9">
        <f t="shared" si="14"/>
        <v>0</v>
      </c>
      <c r="K150" s="9">
        <f t="shared" si="14"/>
        <v>0</v>
      </c>
      <c r="L150" s="9">
        <f t="shared" si="14"/>
        <v>0</v>
      </c>
      <c r="M150" s="9">
        <f t="shared" si="14"/>
        <v>0</v>
      </c>
      <c r="N150" s="9">
        <f t="shared" si="14"/>
        <v>0</v>
      </c>
      <c r="O150" s="9">
        <f t="shared" si="14"/>
        <v>0</v>
      </c>
      <c r="P150" s="9">
        <f t="shared" si="14"/>
        <v>0</v>
      </c>
      <c r="Q150" s="9">
        <f t="shared" si="14"/>
        <v>0</v>
      </c>
      <c r="R150" s="48" t="s">
        <v>184</v>
      </c>
    </row>
    <row r="151" spans="1:18" ht="19.05" customHeight="1" x14ac:dyDescent="0.3">
      <c r="A151" s="28" t="s">
        <v>198</v>
      </c>
      <c r="B151" s="9">
        <f t="shared" si="14"/>
        <v>0</v>
      </c>
      <c r="C151" s="9">
        <f t="shared" si="14"/>
        <v>0</v>
      </c>
      <c r="D151" s="9">
        <f t="shared" si="14"/>
        <v>0</v>
      </c>
      <c r="E151" s="9">
        <f t="shared" si="14"/>
        <v>0</v>
      </c>
      <c r="F151" s="9">
        <f t="shared" si="14"/>
        <v>0</v>
      </c>
      <c r="G151" s="9">
        <f t="shared" si="14"/>
        <v>0</v>
      </c>
      <c r="H151" s="9">
        <f t="shared" si="14"/>
        <v>0</v>
      </c>
      <c r="I151" s="9">
        <f t="shared" si="14"/>
        <v>0</v>
      </c>
      <c r="J151" s="9">
        <f t="shared" si="14"/>
        <v>0</v>
      </c>
      <c r="K151" s="9">
        <f t="shared" si="14"/>
        <v>0</v>
      </c>
      <c r="L151" s="9">
        <f t="shared" si="14"/>
        <v>0</v>
      </c>
      <c r="M151" s="9">
        <f t="shared" si="14"/>
        <v>0</v>
      </c>
      <c r="N151" s="9">
        <f t="shared" si="14"/>
        <v>0</v>
      </c>
      <c r="O151" s="9">
        <f t="shared" si="14"/>
        <v>0</v>
      </c>
      <c r="P151" s="9">
        <f t="shared" si="14"/>
        <v>0</v>
      </c>
      <c r="Q151" s="9">
        <f t="shared" si="14"/>
        <v>0</v>
      </c>
      <c r="R151" s="48" t="s">
        <v>185</v>
      </c>
    </row>
    <row r="152" spans="1:18" ht="19.05" customHeight="1" x14ac:dyDescent="0.3">
      <c r="B152" s="9">
        <f t="shared" si="14"/>
        <v>0</v>
      </c>
      <c r="C152" s="9">
        <f t="shared" si="14"/>
        <v>0</v>
      </c>
      <c r="D152" s="9">
        <f t="shared" si="14"/>
        <v>0</v>
      </c>
      <c r="E152" s="9">
        <f t="shared" si="14"/>
        <v>0</v>
      </c>
      <c r="F152" s="9">
        <f t="shared" si="14"/>
        <v>0</v>
      </c>
      <c r="G152" s="9">
        <f t="shared" si="14"/>
        <v>0</v>
      </c>
      <c r="H152" s="9">
        <f t="shared" si="14"/>
        <v>0</v>
      </c>
      <c r="I152" s="9">
        <f t="shared" si="14"/>
        <v>0</v>
      </c>
      <c r="J152" s="9">
        <f t="shared" si="14"/>
        <v>0</v>
      </c>
      <c r="K152" s="9">
        <f t="shared" si="14"/>
        <v>0</v>
      </c>
      <c r="L152" s="9">
        <f t="shared" si="14"/>
        <v>0</v>
      </c>
      <c r="M152" s="9">
        <f t="shared" si="14"/>
        <v>0</v>
      </c>
      <c r="N152" s="9">
        <f t="shared" si="14"/>
        <v>0</v>
      </c>
      <c r="O152" s="9">
        <f t="shared" si="14"/>
        <v>0</v>
      </c>
      <c r="P152" s="9">
        <f t="shared" si="14"/>
        <v>0</v>
      </c>
      <c r="Q152" s="9">
        <f t="shared" si="14"/>
        <v>0</v>
      </c>
      <c r="R152" s="48" t="s">
        <v>186</v>
      </c>
    </row>
    <row r="153" spans="1:18" ht="19.05" customHeight="1" x14ac:dyDescent="0.3">
      <c r="B153" s="9">
        <f t="shared" si="14"/>
        <v>0</v>
      </c>
      <c r="C153" s="9">
        <f t="shared" si="14"/>
        <v>0</v>
      </c>
      <c r="D153" s="9">
        <f t="shared" si="14"/>
        <v>0</v>
      </c>
      <c r="E153" s="9">
        <f t="shared" si="14"/>
        <v>0</v>
      </c>
      <c r="F153" s="9">
        <f t="shared" si="14"/>
        <v>0</v>
      </c>
      <c r="G153" s="9">
        <f t="shared" si="14"/>
        <v>0</v>
      </c>
      <c r="H153" s="9">
        <f t="shared" si="14"/>
        <v>0</v>
      </c>
      <c r="I153" s="9">
        <f t="shared" si="14"/>
        <v>0</v>
      </c>
      <c r="J153" s="9">
        <f t="shared" si="14"/>
        <v>0</v>
      </c>
      <c r="K153" s="9">
        <f t="shared" si="14"/>
        <v>0</v>
      </c>
      <c r="L153" s="9">
        <f t="shared" si="14"/>
        <v>0</v>
      </c>
      <c r="M153" s="9">
        <f t="shared" si="14"/>
        <v>0</v>
      </c>
      <c r="N153" s="9">
        <f t="shared" si="14"/>
        <v>0</v>
      </c>
      <c r="O153" s="9">
        <f t="shared" si="14"/>
        <v>0</v>
      </c>
      <c r="P153" s="9">
        <f t="shared" si="14"/>
        <v>0</v>
      </c>
      <c r="Q153" s="9">
        <f t="shared" si="14"/>
        <v>0</v>
      </c>
      <c r="R153" s="48" t="s">
        <v>187</v>
      </c>
    </row>
    <row r="154" spans="1:18" ht="19.05" customHeight="1" x14ac:dyDescent="0.3">
      <c r="B154" s="50">
        <f t="shared" ref="B154:Q159" si="15">IFERROR(INDEX($B$138:$E$141, MATCH($R154, $B$137:$E$137, 0), MATCH(B$143, $B$137:$E$137, 0)), 0)</f>
        <v>-16661.403726774148</v>
      </c>
      <c r="C154" s="50">
        <f t="shared" si="15"/>
        <v>-21421.804791566763</v>
      </c>
      <c r="D154" s="9">
        <f t="shared" si="15"/>
        <v>0</v>
      </c>
      <c r="E154" s="9">
        <f t="shared" si="15"/>
        <v>0</v>
      </c>
      <c r="F154" s="9">
        <f t="shared" si="15"/>
        <v>0</v>
      </c>
      <c r="G154" s="9">
        <f t="shared" si="15"/>
        <v>0</v>
      </c>
      <c r="H154" s="9">
        <f t="shared" si="15"/>
        <v>0</v>
      </c>
      <c r="I154" s="9">
        <f t="shared" si="15"/>
        <v>0</v>
      </c>
      <c r="J154" s="9">
        <f t="shared" si="15"/>
        <v>0</v>
      </c>
      <c r="K154" s="9">
        <f t="shared" si="15"/>
        <v>0</v>
      </c>
      <c r="L154" s="50">
        <f t="shared" si="15"/>
        <v>16661.403726774148</v>
      </c>
      <c r="M154" s="50">
        <f t="shared" si="15"/>
        <v>21421.804791566763</v>
      </c>
      <c r="N154" s="9">
        <f t="shared" si="15"/>
        <v>0</v>
      </c>
      <c r="O154" s="9">
        <f t="shared" si="15"/>
        <v>0</v>
      </c>
      <c r="P154" s="9">
        <f t="shared" si="15"/>
        <v>0</v>
      </c>
      <c r="Q154" s="9">
        <f t="shared" si="15"/>
        <v>0</v>
      </c>
      <c r="R154" s="48" t="s">
        <v>188</v>
      </c>
    </row>
    <row r="155" spans="1:18" ht="19.05" customHeight="1" x14ac:dyDescent="0.3">
      <c r="B155" s="50">
        <f t="shared" si="15"/>
        <v>-21421.804791566763</v>
      </c>
      <c r="C155" s="50">
        <f t="shared" si="15"/>
        <v>-27542.32044630012</v>
      </c>
      <c r="D155" s="9">
        <f t="shared" si="15"/>
        <v>0</v>
      </c>
      <c r="E155" s="9">
        <f t="shared" si="15"/>
        <v>0</v>
      </c>
      <c r="F155" s="9">
        <f t="shared" si="15"/>
        <v>0</v>
      </c>
      <c r="G155" s="9">
        <f t="shared" si="15"/>
        <v>0</v>
      </c>
      <c r="H155" s="9">
        <f t="shared" si="15"/>
        <v>0</v>
      </c>
      <c r="I155" s="9">
        <f t="shared" si="15"/>
        <v>0</v>
      </c>
      <c r="J155" s="9">
        <f t="shared" si="15"/>
        <v>0</v>
      </c>
      <c r="K155" s="9">
        <f t="shared" si="15"/>
        <v>0</v>
      </c>
      <c r="L155" s="50">
        <f t="shared" si="15"/>
        <v>21421.804791566763</v>
      </c>
      <c r="M155" s="50">
        <f t="shared" si="15"/>
        <v>27542.32044630012</v>
      </c>
      <c r="N155" s="9">
        <f t="shared" si="15"/>
        <v>0</v>
      </c>
      <c r="O155" s="9">
        <f t="shared" si="15"/>
        <v>0</v>
      </c>
      <c r="P155" s="9">
        <f t="shared" si="15"/>
        <v>0</v>
      </c>
      <c r="Q155" s="9">
        <f t="shared" si="15"/>
        <v>0</v>
      </c>
      <c r="R155" s="48" t="s">
        <v>189</v>
      </c>
    </row>
    <row r="156" spans="1:18" ht="19.05" customHeight="1" x14ac:dyDescent="0.3">
      <c r="B156" s="9">
        <f t="shared" si="15"/>
        <v>0</v>
      </c>
      <c r="C156" s="9">
        <f t="shared" si="15"/>
        <v>0</v>
      </c>
      <c r="D156" s="9">
        <f t="shared" si="15"/>
        <v>0</v>
      </c>
      <c r="E156" s="9">
        <f t="shared" si="15"/>
        <v>0</v>
      </c>
      <c r="F156" s="9">
        <f t="shared" si="15"/>
        <v>0</v>
      </c>
      <c r="G156" s="9">
        <f t="shared" si="15"/>
        <v>0</v>
      </c>
      <c r="H156" s="9">
        <f t="shared" si="15"/>
        <v>0</v>
      </c>
      <c r="I156" s="9">
        <f t="shared" si="15"/>
        <v>0</v>
      </c>
      <c r="J156" s="9">
        <f t="shared" si="15"/>
        <v>0</v>
      </c>
      <c r="K156" s="9">
        <f t="shared" si="15"/>
        <v>0</v>
      </c>
      <c r="L156" s="9">
        <f t="shared" si="15"/>
        <v>0</v>
      </c>
      <c r="M156" s="9">
        <f t="shared" si="15"/>
        <v>0</v>
      </c>
      <c r="N156" s="9">
        <f t="shared" si="15"/>
        <v>0</v>
      </c>
      <c r="O156" s="9">
        <f t="shared" si="15"/>
        <v>0</v>
      </c>
      <c r="P156" s="9">
        <f t="shared" si="15"/>
        <v>0</v>
      </c>
      <c r="Q156" s="9">
        <f t="shared" si="15"/>
        <v>0</v>
      </c>
      <c r="R156" s="48" t="s">
        <v>579</v>
      </c>
    </row>
    <row r="157" spans="1:18" ht="19.05" customHeight="1" x14ac:dyDescent="0.3">
      <c r="B157" s="9">
        <f t="shared" si="15"/>
        <v>0</v>
      </c>
      <c r="C157" s="9">
        <f t="shared" si="15"/>
        <v>0</v>
      </c>
      <c r="D157" s="9">
        <f t="shared" si="15"/>
        <v>0</v>
      </c>
      <c r="E157" s="9">
        <f t="shared" si="15"/>
        <v>0</v>
      </c>
      <c r="F157" s="9">
        <f t="shared" si="15"/>
        <v>0</v>
      </c>
      <c r="G157" s="9">
        <f t="shared" si="15"/>
        <v>0</v>
      </c>
      <c r="H157" s="9">
        <f t="shared" si="15"/>
        <v>0</v>
      </c>
      <c r="I157" s="9">
        <f t="shared" si="15"/>
        <v>0</v>
      </c>
      <c r="J157" s="9">
        <f t="shared" si="15"/>
        <v>0</v>
      </c>
      <c r="K157" s="9">
        <f t="shared" si="15"/>
        <v>0</v>
      </c>
      <c r="L157" s="9">
        <f t="shared" si="15"/>
        <v>0</v>
      </c>
      <c r="M157" s="9">
        <f t="shared" si="15"/>
        <v>0</v>
      </c>
      <c r="N157" s="9">
        <f t="shared" si="15"/>
        <v>0</v>
      </c>
      <c r="O157" s="9">
        <f t="shared" si="15"/>
        <v>0</v>
      </c>
      <c r="P157" s="9">
        <f t="shared" si="15"/>
        <v>0</v>
      </c>
      <c r="Q157" s="9">
        <f t="shared" si="15"/>
        <v>0</v>
      </c>
      <c r="R157" s="48" t="s">
        <v>580</v>
      </c>
    </row>
    <row r="158" spans="1:18" ht="19.05" customHeight="1" x14ac:dyDescent="0.3">
      <c r="B158" s="9">
        <f t="shared" si="15"/>
        <v>0</v>
      </c>
      <c r="C158" s="9">
        <f t="shared" si="15"/>
        <v>0</v>
      </c>
      <c r="D158" s="9">
        <f t="shared" si="15"/>
        <v>0</v>
      </c>
      <c r="E158" s="9">
        <f t="shared" si="15"/>
        <v>0</v>
      </c>
      <c r="F158" s="9">
        <f t="shared" si="15"/>
        <v>0</v>
      </c>
      <c r="G158" s="9">
        <f t="shared" si="15"/>
        <v>0</v>
      </c>
      <c r="H158" s="9">
        <f t="shared" si="15"/>
        <v>0</v>
      </c>
      <c r="I158" s="9">
        <f t="shared" si="15"/>
        <v>0</v>
      </c>
      <c r="J158" s="9">
        <f t="shared" si="15"/>
        <v>0</v>
      </c>
      <c r="K158" s="9">
        <f t="shared" si="15"/>
        <v>0</v>
      </c>
      <c r="L158" s="9">
        <f t="shared" si="15"/>
        <v>0</v>
      </c>
      <c r="M158" s="9">
        <f t="shared" si="15"/>
        <v>0</v>
      </c>
      <c r="N158" s="9">
        <f t="shared" si="15"/>
        <v>0</v>
      </c>
      <c r="O158" s="9">
        <f t="shared" si="15"/>
        <v>0</v>
      </c>
      <c r="P158" s="9">
        <f t="shared" si="15"/>
        <v>0</v>
      </c>
      <c r="Q158" s="9">
        <f t="shared" si="15"/>
        <v>0</v>
      </c>
      <c r="R158" s="48" t="s">
        <v>601</v>
      </c>
    </row>
    <row r="159" spans="1:18" ht="19.05" customHeight="1" x14ac:dyDescent="0.3">
      <c r="B159" s="9">
        <f t="shared" si="15"/>
        <v>0</v>
      </c>
      <c r="C159" s="9">
        <f t="shared" si="15"/>
        <v>0</v>
      </c>
      <c r="D159" s="9">
        <f t="shared" si="15"/>
        <v>0</v>
      </c>
      <c r="E159" s="9">
        <f t="shared" si="15"/>
        <v>0</v>
      </c>
      <c r="F159" s="9">
        <f t="shared" si="15"/>
        <v>0</v>
      </c>
      <c r="G159" s="9">
        <f t="shared" si="15"/>
        <v>0</v>
      </c>
      <c r="H159" s="9">
        <f t="shared" si="15"/>
        <v>0</v>
      </c>
      <c r="I159" s="9">
        <f t="shared" si="15"/>
        <v>0</v>
      </c>
      <c r="J159" s="9">
        <f t="shared" si="15"/>
        <v>0</v>
      </c>
      <c r="K159" s="9">
        <f t="shared" si="15"/>
        <v>0</v>
      </c>
      <c r="L159" s="9">
        <f t="shared" si="15"/>
        <v>0</v>
      </c>
      <c r="M159" s="9">
        <f t="shared" si="15"/>
        <v>0</v>
      </c>
      <c r="N159" s="9">
        <f t="shared" si="15"/>
        <v>0</v>
      </c>
      <c r="O159" s="9">
        <f t="shared" si="15"/>
        <v>0</v>
      </c>
      <c r="P159" s="9">
        <f t="shared" si="15"/>
        <v>0</v>
      </c>
      <c r="Q159" s="9">
        <f t="shared" si="15"/>
        <v>0</v>
      </c>
      <c r="R159" s="48" t="s">
        <v>602</v>
      </c>
    </row>
    <row r="162" spans="1:18" ht="18" customHeight="1" x14ac:dyDescent="0.3">
      <c r="B162" s="53" t="str">
        <f>CONCATENATE("U",C27,C$21)</f>
        <v>U6X</v>
      </c>
      <c r="C162" s="53" t="str">
        <f>CONCATENATE("U",D27,D$21)</f>
        <v>U6Y</v>
      </c>
      <c r="D162" s="53" t="str">
        <f>CONCATENATE("U",E27,E$21)</f>
        <v>U7X</v>
      </c>
      <c r="E162" s="53" t="str">
        <f>CONCATENATE("U",F27,F$21)</f>
        <v>U7Y</v>
      </c>
    </row>
    <row r="163" spans="1:18" x14ac:dyDescent="0.3">
      <c r="B163" s="54">
        <f>J11*J11*N11</f>
        <v>72000</v>
      </c>
      <c r="C163" s="54">
        <f>J11*K11*N11</f>
        <v>0</v>
      </c>
      <c r="D163" s="54">
        <f>-B163</f>
        <v>-72000</v>
      </c>
      <c r="E163" s="54">
        <f>-C163</f>
        <v>0</v>
      </c>
      <c r="F163" s="53" t="str">
        <f>B162</f>
        <v>U6X</v>
      </c>
    </row>
    <row r="164" spans="1:18" ht="16.8" customHeight="1" x14ac:dyDescent="0.3">
      <c r="A164" s="28" t="s">
        <v>199</v>
      </c>
      <c r="B164" s="54">
        <f>C163</f>
        <v>0</v>
      </c>
      <c r="C164" s="54">
        <f>K11*K11*N11</f>
        <v>0</v>
      </c>
      <c r="D164" s="54">
        <f>-B164</f>
        <v>0</v>
      </c>
      <c r="E164" s="54">
        <f>-C164</f>
        <v>0</v>
      </c>
      <c r="F164" s="53" t="str">
        <f>C162</f>
        <v>U6Y</v>
      </c>
    </row>
    <row r="165" spans="1:18" x14ac:dyDescent="0.3">
      <c r="B165" s="54">
        <f>D163</f>
        <v>-72000</v>
      </c>
      <c r="C165" s="54">
        <f>E163</f>
        <v>0</v>
      </c>
      <c r="D165" s="54">
        <f>B163</f>
        <v>72000</v>
      </c>
      <c r="E165" s="54">
        <f>C163</f>
        <v>0</v>
      </c>
      <c r="F165" s="53" t="str">
        <f>D162</f>
        <v>U7X</v>
      </c>
    </row>
    <row r="166" spans="1:18" x14ac:dyDescent="0.3">
      <c r="B166" s="54">
        <f>D164</f>
        <v>0</v>
      </c>
      <c r="C166" s="54">
        <f>E164</f>
        <v>0</v>
      </c>
      <c r="D166" s="54">
        <f>B164</f>
        <v>0</v>
      </c>
      <c r="E166" s="54">
        <f>C164</f>
        <v>0</v>
      </c>
      <c r="F166" s="53" t="str">
        <f>E162</f>
        <v>U7Y</v>
      </c>
    </row>
    <row r="168" spans="1:18" ht="18" customHeight="1" x14ac:dyDescent="0.3">
      <c r="B168" s="53" t="s">
        <v>178</v>
      </c>
      <c r="C168" s="53" t="s">
        <v>179</v>
      </c>
      <c r="D168" s="53" t="s">
        <v>180</v>
      </c>
      <c r="E168" s="53" t="s">
        <v>181</v>
      </c>
      <c r="F168" s="53" t="s">
        <v>182</v>
      </c>
      <c r="G168" s="53" t="s">
        <v>183</v>
      </c>
      <c r="H168" s="53" t="s">
        <v>184</v>
      </c>
      <c r="I168" s="53" t="s">
        <v>185</v>
      </c>
      <c r="J168" s="53" t="s">
        <v>186</v>
      </c>
      <c r="K168" s="53" t="s">
        <v>187</v>
      </c>
      <c r="L168" s="53" t="s">
        <v>188</v>
      </c>
      <c r="M168" s="53" t="s">
        <v>189</v>
      </c>
      <c r="N168" s="53" t="s">
        <v>579</v>
      </c>
      <c r="O168" s="53" t="s">
        <v>580</v>
      </c>
      <c r="P168" s="53" t="s">
        <v>601</v>
      </c>
      <c r="Q168" s="53" t="s">
        <v>602</v>
      </c>
    </row>
    <row r="169" spans="1:18" ht="19.05" customHeight="1" x14ac:dyDescent="0.3">
      <c r="B169" s="9">
        <f t="shared" ref="B169:Q178" si="16">IFERROR(INDEX($B$163:$E$166, MATCH($R169, $B$162:$E$162, 0), MATCH(B$168, $B$162:$E$162, 0)), 0)</f>
        <v>0</v>
      </c>
      <c r="C169" s="9">
        <f t="shared" si="16"/>
        <v>0</v>
      </c>
      <c r="D169" s="9">
        <f t="shared" si="16"/>
        <v>0</v>
      </c>
      <c r="E169" s="9">
        <f t="shared" si="16"/>
        <v>0</v>
      </c>
      <c r="F169" s="9">
        <f t="shared" si="16"/>
        <v>0</v>
      </c>
      <c r="G169" s="9">
        <f t="shared" si="16"/>
        <v>0</v>
      </c>
      <c r="H169" s="9">
        <f t="shared" si="16"/>
        <v>0</v>
      </c>
      <c r="I169" s="9">
        <f t="shared" si="16"/>
        <v>0</v>
      </c>
      <c r="J169" s="9">
        <f t="shared" si="16"/>
        <v>0</v>
      </c>
      <c r="K169" s="9">
        <f t="shared" si="16"/>
        <v>0</v>
      </c>
      <c r="L169" s="9">
        <f t="shared" si="16"/>
        <v>0</v>
      </c>
      <c r="M169" s="9">
        <f t="shared" si="16"/>
        <v>0</v>
      </c>
      <c r="N169" s="9">
        <f t="shared" si="16"/>
        <v>0</v>
      </c>
      <c r="O169" s="9">
        <f t="shared" si="16"/>
        <v>0</v>
      </c>
      <c r="P169" s="9">
        <f t="shared" si="16"/>
        <v>0</v>
      </c>
      <c r="Q169" s="9">
        <f t="shared" si="16"/>
        <v>0</v>
      </c>
      <c r="R169" s="53" t="s">
        <v>178</v>
      </c>
    </row>
    <row r="170" spans="1:18" ht="19.05" customHeight="1" x14ac:dyDescent="0.3">
      <c r="B170" s="9">
        <f t="shared" si="16"/>
        <v>0</v>
      </c>
      <c r="C170" s="9">
        <f t="shared" si="16"/>
        <v>0</v>
      </c>
      <c r="D170" s="9">
        <f t="shared" si="16"/>
        <v>0</v>
      </c>
      <c r="E170" s="9">
        <f t="shared" si="16"/>
        <v>0</v>
      </c>
      <c r="F170" s="9">
        <f t="shared" si="16"/>
        <v>0</v>
      </c>
      <c r="G170" s="9">
        <f t="shared" si="16"/>
        <v>0</v>
      </c>
      <c r="H170" s="9">
        <f t="shared" si="16"/>
        <v>0</v>
      </c>
      <c r="I170" s="9">
        <f t="shared" si="16"/>
        <v>0</v>
      </c>
      <c r="J170" s="9">
        <f t="shared" si="16"/>
        <v>0</v>
      </c>
      <c r="K170" s="9">
        <f t="shared" si="16"/>
        <v>0</v>
      </c>
      <c r="L170" s="9">
        <f t="shared" si="16"/>
        <v>0</v>
      </c>
      <c r="M170" s="9">
        <f t="shared" si="16"/>
        <v>0</v>
      </c>
      <c r="N170" s="9">
        <f t="shared" si="16"/>
        <v>0</v>
      </c>
      <c r="O170" s="9">
        <f t="shared" si="16"/>
        <v>0</v>
      </c>
      <c r="P170" s="9">
        <f t="shared" si="16"/>
        <v>0</v>
      </c>
      <c r="Q170" s="9">
        <f t="shared" si="16"/>
        <v>0</v>
      </c>
      <c r="R170" s="53" t="s">
        <v>179</v>
      </c>
    </row>
    <row r="171" spans="1:18" ht="19.05" customHeight="1" x14ac:dyDescent="0.3">
      <c r="B171" s="9">
        <f t="shared" si="16"/>
        <v>0</v>
      </c>
      <c r="C171" s="9">
        <f t="shared" si="16"/>
        <v>0</v>
      </c>
      <c r="D171" s="9">
        <f t="shared" si="16"/>
        <v>0</v>
      </c>
      <c r="E171" s="9">
        <f t="shared" si="16"/>
        <v>0</v>
      </c>
      <c r="F171" s="9">
        <f t="shared" si="16"/>
        <v>0</v>
      </c>
      <c r="G171" s="9">
        <f t="shared" si="16"/>
        <v>0</v>
      </c>
      <c r="H171" s="9">
        <f t="shared" si="16"/>
        <v>0</v>
      </c>
      <c r="I171" s="9">
        <f t="shared" si="16"/>
        <v>0</v>
      </c>
      <c r="J171" s="9">
        <f t="shared" si="16"/>
        <v>0</v>
      </c>
      <c r="K171" s="9">
        <f t="shared" si="16"/>
        <v>0</v>
      </c>
      <c r="L171" s="9">
        <f t="shared" si="16"/>
        <v>0</v>
      </c>
      <c r="M171" s="9">
        <f t="shared" si="16"/>
        <v>0</v>
      </c>
      <c r="N171" s="9">
        <f t="shared" si="16"/>
        <v>0</v>
      </c>
      <c r="O171" s="9">
        <f t="shared" si="16"/>
        <v>0</v>
      </c>
      <c r="P171" s="9">
        <f t="shared" si="16"/>
        <v>0</v>
      </c>
      <c r="Q171" s="9">
        <f t="shared" si="16"/>
        <v>0</v>
      </c>
      <c r="R171" s="53" t="s">
        <v>180</v>
      </c>
    </row>
    <row r="172" spans="1:18" ht="19.05" customHeight="1" x14ac:dyDescent="0.3">
      <c r="B172" s="9">
        <f t="shared" si="16"/>
        <v>0</v>
      </c>
      <c r="C172" s="9">
        <f t="shared" si="16"/>
        <v>0</v>
      </c>
      <c r="D172" s="9">
        <f t="shared" si="16"/>
        <v>0</v>
      </c>
      <c r="E172" s="9">
        <f t="shared" si="16"/>
        <v>0</v>
      </c>
      <c r="F172" s="9">
        <f t="shared" si="16"/>
        <v>0</v>
      </c>
      <c r="G172" s="9">
        <f t="shared" si="16"/>
        <v>0</v>
      </c>
      <c r="H172" s="9">
        <f t="shared" si="16"/>
        <v>0</v>
      </c>
      <c r="I172" s="9">
        <f t="shared" si="16"/>
        <v>0</v>
      </c>
      <c r="J172" s="9">
        <f t="shared" si="16"/>
        <v>0</v>
      </c>
      <c r="K172" s="9">
        <f t="shared" si="16"/>
        <v>0</v>
      </c>
      <c r="L172" s="9">
        <f t="shared" si="16"/>
        <v>0</v>
      </c>
      <c r="M172" s="9">
        <f t="shared" si="16"/>
        <v>0</v>
      </c>
      <c r="N172" s="9">
        <f t="shared" si="16"/>
        <v>0</v>
      </c>
      <c r="O172" s="9">
        <f t="shared" si="16"/>
        <v>0</v>
      </c>
      <c r="P172" s="9">
        <f t="shared" si="16"/>
        <v>0</v>
      </c>
      <c r="Q172" s="9">
        <f t="shared" si="16"/>
        <v>0</v>
      </c>
      <c r="R172" s="53" t="s">
        <v>181</v>
      </c>
    </row>
    <row r="173" spans="1:18" ht="19.05" customHeight="1" x14ac:dyDescent="0.3">
      <c r="B173" s="9">
        <f t="shared" si="16"/>
        <v>0</v>
      </c>
      <c r="C173" s="9">
        <f t="shared" si="16"/>
        <v>0</v>
      </c>
      <c r="D173" s="9">
        <f t="shared" si="16"/>
        <v>0</v>
      </c>
      <c r="E173" s="9">
        <f t="shared" si="16"/>
        <v>0</v>
      </c>
      <c r="F173" s="9">
        <f t="shared" si="16"/>
        <v>0</v>
      </c>
      <c r="G173" s="9">
        <f t="shared" si="16"/>
        <v>0</v>
      </c>
      <c r="H173" s="9">
        <f t="shared" si="16"/>
        <v>0</v>
      </c>
      <c r="I173" s="9">
        <f t="shared" si="16"/>
        <v>0</v>
      </c>
      <c r="J173" s="9">
        <f t="shared" si="16"/>
        <v>0</v>
      </c>
      <c r="K173" s="9">
        <f t="shared" si="16"/>
        <v>0</v>
      </c>
      <c r="L173" s="9">
        <f t="shared" si="16"/>
        <v>0</v>
      </c>
      <c r="M173" s="9">
        <f t="shared" si="16"/>
        <v>0</v>
      </c>
      <c r="N173" s="9">
        <f t="shared" si="16"/>
        <v>0</v>
      </c>
      <c r="O173" s="9">
        <f t="shared" si="16"/>
        <v>0</v>
      </c>
      <c r="P173" s="9">
        <f t="shared" si="16"/>
        <v>0</v>
      </c>
      <c r="Q173" s="9">
        <f t="shared" si="16"/>
        <v>0</v>
      </c>
      <c r="R173" s="53" t="s">
        <v>182</v>
      </c>
    </row>
    <row r="174" spans="1:18" ht="19.05" customHeight="1" x14ac:dyDescent="0.3">
      <c r="B174" s="9">
        <f t="shared" si="16"/>
        <v>0</v>
      </c>
      <c r="C174" s="9">
        <f t="shared" si="16"/>
        <v>0</v>
      </c>
      <c r="D174" s="9">
        <f t="shared" si="16"/>
        <v>0</v>
      </c>
      <c r="E174" s="9">
        <f t="shared" si="16"/>
        <v>0</v>
      </c>
      <c r="F174" s="9">
        <f t="shared" si="16"/>
        <v>0</v>
      </c>
      <c r="G174" s="9">
        <f t="shared" si="16"/>
        <v>0</v>
      </c>
      <c r="H174" s="9">
        <f t="shared" si="16"/>
        <v>0</v>
      </c>
      <c r="I174" s="9">
        <f t="shared" si="16"/>
        <v>0</v>
      </c>
      <c r="J174" s="9">
        <f t="shared" si="16"/>
        <v>0</v>
      </c>
      <c r="K174" s="9">
        <f t="shared" si="16"/>
        <v>0</v>
      </c>
      <c r="L174" s="9">
        <f t="shared" si="16"/>
        <v>0</v>
      </c>
      <c r="M174" s="9">
        <f t="shared" si="16"/>
        <v>0</v>
      </c>
      <c r="N174" s="9">
        <f t="shared" si="16"/>
        <v>0</v>
      </c>
      <c r="O174" s="9">
        <f t="shared" si="16"/>
        <v>0</v>
      </c>
      <c r="P174" s="9">
        <f t="shared" si="16"/>
        <v>0</v>
      </c>
      <c r="Q174" s="9">
        <f t="shared" si="16"/>
        <v>0</v>
      </c>
      <c r="R174" s="53" t="s">
        <v>183</v>
      </c>
    </row>
    <row r="175" spans="1:18" ht="19.05" customHeight="1" x14ac:dyDescent="0.3">
      <c r="B175" s="9">
        <f t="shared" si="16"/>
        <v>0</v>
      </c>
      <c r="C175" s="9">
        <f t="shared" si="16"/>
        <v>0</v>
      </c>
      <c r="D175" s="9">
        <f t="shared" si="16"/>
        <v>0</v>
      </c>
      <c r="E175" s="9">
        <f t="shared" si="16"/>
        <v>0</v>
      </c>
      <c r="F175" s="9">
        <f t="shared" si="16"/>
        <v>0</v>
      </c>
      <c r="G175" s="9">
        <f t="shared" si="16"/>
        <v>0</v>
      </c>
      <c r="H175" s="9">
        <f t="shared" si="16"/>
        <v>0</v>
      </c>
      <c r="I175" s="9">
        <f t="shared" si="16"/>
        <v>0</v>
      </c>
      <c r="J175" s="9">
        <f t="shared" si="16"/>
        <v>0</v>
      </c>
      <c r="K175" s="9">
        <f t="shared" si="16"/>
        <v>0</v>
      </c>
      <c r="L175" s="9">
        <f t="shared" si="16"/>
        <v>0</v>
      </c>
      <c r="M175" s="9">
        <f t="shared" si="16"/>
        <v>0</v>
      </c>
      <c r="N175" s="9">
        <f t="shared" si="16"/>
        <v>0</v>
      </c>
      <c r="O175" s="9">
        <f t="shared" si="16"/>
        <v>0</v>
      </c>
      <c r="P175" s="9">
        <f t="shared" si="16"/>
        <v>0</v>
      </c>
      <c r="Q175" s="9">
        <f t="shared" si="16"/>
        <v>0</v>
      </c>
      <c r="R175" s="53" t="s">
        <v>184</v>
      </c>
    </row>
    <row r="176" spans="1:18" ht="19.05" customHeight="1" x14ac:dyDescent="0.3">
      <c r="A176" s="28" t="s">
        <v>200</v>
      </c>
      <c r="B176" s="9">
        <f t="shared" si="16"/>
        <v>0</v>
      </c>
      <c r="C176" s="9">
        <f t="shared" si="16"/>
        <v>0</v>
      </c>
      <c r="D176" s="9">
        <f t="shared" si="16"/>
        <v>0</v>
      </c>
      <c r="E176" s="9">
        <f t="shared" si="16"/>
        <v>0</v>
      </c>
      <c r="F176" s="9">
        <f t="shared" si="16"/>
        <v>0</v>
      </c>
      <c r="G176" s="9">
        <f t="shared" si="16"/>
        <v>0</v>
      </c>
      <c r="H176" s="9">
        <f t="shared" si="16"/>
        <v>0</v>
      </c>
      <c r="I176" s="9">
        <f t="shared" si="16"/>
        <v>0</v>
      </c>
      <c r="J176" s="9">
        <f t="shared" si="16"/>
        <v>0</v>
      </c>
      <c r="K176" s="9">
        <f t="shared" si="16"/>
        <v>0</v>
      </c>
      <c r="L176" s="9">
        <f t="shared" si="16"/>
        <v>0</v>
      </c>
      <c r="M176" s="9">
        <f t="shared" si="16"/>
        <v>0</v>
      </c>
      <c r="N176" s="9">
        <f t="shared" si="16"/>
        <v>0</v>
      </c>
      <c r="O176" s="9">
        <f t="shared" si="16"/>
        <v>0</v>
      </c>
      <c r="P176" s="9">
        <f t="shared" si="16"/>
        <v>0</v>
      </c>
      <c r="Q176" s="9">
        <f t="shared" si="16"/>
        <v>0</v>
      </c>
      <c r="R176" s="53" t="s">
        <v>185</v>
      </c>
    </row>
    <row r="177" spans="1:18" ht="19.05" customHeight="1" x14ac:dyDescent="0.3">
      <c r="B177" s="9">
        <f t="shared" si="16"/>
        <v>0</v>
      </c>
      <c r="C177" s="9">
        <f t="shared" si="16"/>
        <v>0</v>
      </c>
      <c r="D177" s="9">
        <f t="shared" si="16"/>
        <v>0</v>
      </c>
      <c r="E177" s="9">
        <f t="shared" si="16"/>
        <v>0</v>
      </c>
      <c r="F177" s="9">
        <f t="shared" si="16"/>
        <v>0</v>
      </c>
      <c r="G177" s="9">
        <f t="shared" si="16"/>
        <v>0</v>
      </c>
      <c r="H177" s="9">
        <f t="shared" si="16"/>
        <v>0</v>
      </c>
      <c r="I177" s="9">
        <f t="shared" si="16"/>
        <v>0</v>
      </c>
      <c r="J177" s="9">
        <f t="shared" si="16"/>
        <v>0</v>
      </c>
      <c r="K177" s="9">
        <f t="shared" si="16"/>
        <v>0</v>
      </c>
      <c r="L177" s="9">
        <f t="shared" si="16"/>
        <v>0</v>
      </c>
      <c r="M177" s="9">
        <f t="shared" si="16"/>
        <v>0</v>
      </c>
      <c r="N177" s="9">
        <f t="shared" si="16"/>
        <v>0</v>
      </c>
      <c r="O177" s="9">
        <f t="shared" si="16"/>
        <v>0</v>
      </c>
      <c r="P177" s="9">
        <f t="shared" si="16"/>
        <v>0</v>
      </c>
      <c r="Q177" s="9">
        <f t="shared" si="16"/>
        <v>0</v>
      </c>
      <c r="R177" s="53" t="s">
        <v>186</v>
      </c>
    </row>
    <row r="178" spans="1:18" ht="19.05" customHeight="1" x14ac:dyDescent="0.3">
      <c r="B178" s="9">
        <f t="shared" si="16"/>
        <v>0</v>
      </c>
      <c r="C178" s="9">
        <f t="shared" si="16"/>
        <v>0</v>
      </c>
      <c r="D178" s="9">
        <f t="shared" si="16"/>
        <v>0</v>
      </c>
      <c r="E178" s="9">
        <f t="shared" si="16"/>
        <v>0</v>
      </c>
      <c r="F178" s="9">
        <f t="shared" si="16"/>
        <v>0</v>
      </c>
      <c r="G178" s="9">
        <f t="shared" si="16"/>
        <v>0</v>
      </c>
      <c r="H178" s="9">
        <f t="shared" si="16"/>
        <v>0</v>
      </c>
      <c r="I178" s="9">
        <f t="shared" si="16"/>
        <v>0</v>
      </c>
      <c r="J178" s="9">
        <f t="shared" si="16"/>
        <v>0</v>
      </c>
      <c r="K178" s="9">
        <f t="shared" si="16"/>
        <v>0</v>
      </c>
      <c r="L178" s="9">
        <f t="shared" si="16"/>
        <v>0</v>
      </c>
      <c r="M178" s="9">
        <f t="shared" si="16"/>
        <v>0</v>
      </c>
      <c r="N178" s="9">
        <f t="shared" si="16"/>
        <v>0</v>
      </c>
      <c r="O178" s="9">
        <f t="shared" si="16"/>
        <v>0</v>
      </c>
      <c r="P178" s="9">
        <f t="shared" si="16"/>
        <v>0</v>
      </c>
      <c r="Q178" s="9">
        <f t="shared" si="16"/>
        <v>0</v>
      </c>
      <c r="R178" s="53" t="s">
        <v>187</v>
      </c>
    </row>
    <row r="179" spans="1:18" ht="19.05" customHeight="1" x14ac:dyDescent="0.3">
      <c r="B179" s="9">
        <f t="shared" ref="B179:Q184" si="17">IFERROR(INDEX($B$163:$E$166, MATCH($R179, $B$162:$E$162, 0), MATCH(B$168, $B$162:$E$162, 0)), 0)</f>
        <v>0</v>
      </c>
      <c r="C179" s="9">
        <f t="shared" si="17"/>
        <v>0</v>
      </c>
      <c r="D179" s="9">
        <f t="shared" si="17"/>
        <v>0</v>
      </c>
      <c r="E179" s="9">
        <f t="shared" si="17"/>
        <v>0</v>
      </c>
      <c r="F179" s="9">
        <f t="shared" si="17"/>
        <v>0</v>
      </c>
      <c r="G179" s="9">
        <f t="shared" si="17"/>
        <v>0</v>
      </c>
      <c r="H179" s="9">
        <f t="shared" si="17"/>
        <v>0</v>
      </c>
      <c r="I179" s="9">
        <f t="shared" si="17"/>
        <v>0</v>
      </c>
      <c r="J179" s="9">
        <f t="shared" si="17"/>
        <v>0</v>
      </c>
      <c r="K179" s="9">
        <f t="shared" si="17"/>
        <v>0</v>
      </c>
      <c r="L179" s="55">
        <f t="shared" si="17"/>
        <v>72000</v>
      </c>
      <c r="M179" s="55">
        <f t="shared" si="17"/>
        <v>0</v>
      </c>
      <c r="N179" s="55">
        <f t="shared" si="17"/>
        <v>-72000</v>
      </c>
      <c r="O179" s="55">
        <f t="shared" si="17"/>
        <v>0</v>
      </c>
      <c r="P179" s="9">
        <f t="shared" si="17"/>
        <v>0</v>
      </c>
      <c r="Q179" s="9">
        <f t="shared" si="17"/>
        <v>0</v>
      </c>
      <c r="R179" s="53" t="s">
        <v>188</v>
      </c>
    </row>
    <row r="180" spans="1:18" ht="19.05" customHeight="1" x14ac:dyDescent="0.3">
      <c r="B180" s="9">
        <f t="shared" si="17"/>
        <v>0</v>
      </c>
      <c r="C180" s="9">
        <f t="shared" si="17"/>
        <v>0</v>
      </c>
      <c r="D180" s="9">
        <f t="shared" si="17"/>
        <v>0</v>
      </c>
      <c r="E180" s="9">
        <f t="shared" si="17"/>
        <v>0</v>
      </c>
      <c r="F180" s="9">
        <f t="shared" si="17"/>
        <v>0</v>
      </c>
      <c r="G180" s="9">
        <f t="shared" si="17"/>
        <v>0</v>
      </c>
      <c r="H180" s="9">
        <f t="shared" si="17"/>
        <v>0</v>
      </c>
      <c r="I180" s="9">
        <f t="shared" si="17"/>
        <v>0</v>
      </c>
      <c r="J180" s="9">
        <f t="shared" si="17"/>
        <v>0</v>
      </c>
      <c r="K180" s="9">
        <f t="shared" si="17"/>
        <v>0</v>
      </c>
      <c r="L180" s="55">
        <f t="shared" si="17"/>
        <v>0</v>
      </c>
      <c r="M180" s="55">
        <f t="shared" si="17"/>
        <v>0</v>
      </c>
      <c r="N180" s="55">
        <f t="shared" si="17"/>
        <v>0</v>
      </c>
      <c r="O180" s="55">
        <f t="shared" si="17"/>
        <v>0</v>
      </c>
      <c r="P180" s="9">
        <f t="shared" si="17"/>
        <v>0</v>
      </c>
      <c r="Q180" s="9">
        <f t="shared" si="17"/>
        <v>0</v>
      </c>
      <c r="R180" s="53" t="s">
        <v>189</v>
      </c>
    </row>
    <row r="181" spans="1:18" ht="19.05" customHeight="1" x14ac:dyDescent="0.3">
      <c r="B181" s="9">
        <f t="shared" si="17"/>
        <v>0</v>
      </c>
      <c r="C181" s="9">
        <f t="shared" si="17"/>
        <v>0</v>
      </c>
      <c r="D181" s="9">
        <f t="shared" si="17"/>
        <v>0</v>
      </c>
      <c r="E181" s="9">
        <f t="shared" si="17"/>
        <v>0</v>
      </c>
      <c r="F181" s="9">
        <f t="shared" si="17"/>
        <v>0</v>
      </c>
      <c r="G181" s="9">
        <f t="shared" si="17"/>
        <v>0</v>
      </c>
      <c r="H181" s="9">
        <f t="shared" si="17"/>
        <v>0</v>
      </c>
      <c r="I181" s="9">
        <f t="shared" si="17"/>
        <v>0</v>
      </c>
      <c r="J181" s="9">
        <f t="shared" si="17"/>
        <v>0</v>
      </c>
      <c r="K181" s="9">
        <f t="shared" si="17"/>
        <v>0</v>
      </c>
      <c r="L181" s="55">
        <f t="shared" si="17"/>
        <v>-72000</v>
      </c>
      <c r="M181" s="55">
        <f t="shared" si="17"/>
        <v>0</v>
      </c>
      <c r="N181" s="55">
        <f t="shared" si="17"/>
        <v>72000</v>
      </c>
      <c r="O181" s="55">
        <f t="shared" si="17"/>
        <v>0</v>
      </c>
      <c r="P181" s="9">
        <f t="shared" si="17"/>
        <v>0</v>
      </c>
      <c r="Q181" s="9">
        <f t="shared" si="17"/>
        <v>0</v>
      </c>
      <c r="R181" s="53" t="s">
        <v>579</v>
      </c>
    </row>
    <row r="182" spans="1:18" ht="19.05" customHeight="1" x14ac:dyDescent="0.3">
      <c r="B182" s="9">
        <f t="shared" si="17"/>
        <v>0</v>
      </c>
      <c r="C182" s="9">
        <f t="shared" si="17"/>
        <v>0</v>
      </c>
      <c r="D182" s="9">
        <f t="shared" si="17"/>
        <v>0</v>
      </c>
      <c r="E182" s="9">
        <f t="shared" si="17"/>
        <v>0</v>
      </c>
      <c r="F182" s="9">
        <f t="shared" si="17"/>
        <v>0</v>
      </c>
      <c r="G182" s="9">
        <f t="shared" si="17"/>
        <v>0</v>
      </c>
      <c r="H182" s="9">
        <f t="shared" si="17"/>
        <v>0</v>
      </c>
      <c r="I182" s="9">
        <f t="shared" si="17"/>
        <v>0</v>
      </c>
      <c r="J182" s="9">
        <f t="shared" si="17"/>
        <v>0</v>
      </c>
      <c r="K182" s="9">
        <f t="shared" si="17"/>
        <v>0</v>
      </c>
      <c r="L182" s="55">
        <f t="shared" si="17"/>
        <v>0</v>
      </c>
      <c r="M182" s="55">
        <f t="shared" si="17"/>
        <v>0</v>
      </c>
      <c r="N182" s="55">
        <f t="shared" si="17"/>
        <v>0</v>
      </c>
      <c r="O182" s="55">
        <f t="shared" si="17"/>
        <v>0</v>
      </c>
      <c r="P182" s="9">
        <f t="shared" si="17"/>
        <v>0</v>
      </c>
      <c r="Q182" s="9">
        <f t="shared" si="17"/>
        <v>0</v>
      </c>
      <c r="R182" s="53" t="s">
        <v>580</v>
      </c>
    </row>
    <row r="183" spans="1:18" ht="19.05" customHeight="1" x14ac:dyDescent="0.3">
      <c r="B183" s="9">
        <f t="shared" si="17"/>
        <v>0</v>
      </c>
      <c r="C183" s="9">
        <f t="shared" si="17"/>
        <v>0</v>
      </c>
      <c r="D183" s="9">
        <f t="shared" si="17"/>
        <v>0</v>
      </c>
      <c r="E183" s="9">
        <f t="shared" si="17"/>
        <v>0</v>
      </c>
      <c r="F183" s="9">
        <f t="shared" si="17"/>
        <v>0</v>
      </c>
      <c r="G183" s="9">
        <f t="shared" si="17"/>
        <v>0</v>
      </c>
      <c r="H183" s="9">
        <f t="shared" si="17"/>
        <v>0</v>
      </c>
      <c r="I183" s="9">
        <f t="shared" si="17"/>
        <v>0</v>
      </c>
      <c r="J183" s="9">
        <f t="shared" si="17"/>
        <v>0</v>
      </c>
      <c r="K183" s="9">
        <f t="shared" si="17"/>
        <v>0</v>
      </c>
      <c r="L183" s="9">
        <f t="shared" si="17"/>
        <v>0</v>
      </c>
      <c r="M183" s="9">
        <f t="shared" si="17"/>
        <v>0</v>
      </c>
      <c r="N183" s="9">
        <f t="shared" si="17"/>
        <v>0</v>
      </c>
      <c r="O183" s="9">
        <f t="shared" si="17"/>
        <v>0</v>
      </c>
      <c r="P183" s="9">
        <f t="shared" si="17"/>
        <v>0</v>
      </c>
      <c r="Q183" s="9">
        <f t="shared" si="17"/>
        <v>0</v>
      </c>
      <c r="R183" s="53" t="s">
        <v>601</v>
      </c>
    </row>
    <row r="184" spans="1:18" ht="19.05" customHeight="1" x14ac:dyDescent="0.3">
      <c r="B184" s="9">
        <f t="shared" si="17"/>
        <v>0</v>
      </c>
      <c r="C184" s="9">
        <f t="shared" si="17"/>
        <v>0</v>
      </c>
      <c r="D184" s="9">
        <f t="shared" si="17"/>
        <v>0</v>
      </c>
      <c r="E184" s="9">
        <f t="shared" si="17"/>
        <v>0</v>
      </c>
      <c r="F184" s="9">
        <f t="shared" si="17"/>
        <v>0</v>
      </c>
      <c r="G184" s="9">
        <f t="shared" si="17"/>
        <v>0</v>
      </c>
      <c r="H184" s="9">
        <f t="shared" si="17"/>
        <v>0</v>
      </c>
      <c r="I184" s="9">
        <f t="shared" si="17"/>
        <v>0</v>
      </c>
      <c r="J184" s="9">
        <f t="shared" si="17"/>
        <v>0</v>
      </c>
      <c r="K184" s="9">
        <f t="shared" si="17"/>
        <v>0</v>
      </c>
      <c r="L184" s="9">
        <f t="shared" si="17"/>
        <v>0</v>
      </c>
      <c r="M184" s="9">
        <f t="shared" si="17"/>
        <v>0</v>
      </c>
      <c r="N184" s="9">
        <f t="shared" si="17"/>
        <v>0</v>
      </c>
      <c r="O184" s="9">
        <f t="shared" si="17"/>
        <v>0</v>
      </c>
      <c r="P184" s="9">
        <f t="shared" si="17"/>
        <v>0</v>
      </c>
      <c r="Q184" s="9">
        <f t="shared" si="17"/>
        <v>0</v>
      </c>
      <c r="R184" s="53" t="s">
        <v>602</v>
      </c>
    </row>
    <row r="187" spans="1:18" ht="18" customHeight="1" x14ac:dyDescent="0.3">
      <c r="B187" s="56" t="str">
        <f>CONCATENATE("U",C28,C$21)</f>
        <v>U7X</v>
      </c>
      <c r="C187" s="56" t="str">
        <f>CONCATENATE("U",D28,D$21)</f>
        <v>U7Y</v>
      </c>
      <c r="D187" s="56" t="str">
        <f>CONCATENATE("U",E28,E$21)</f>
        <v>U8X</v>
      </c>
      <c r="E187" s="56" t="str">
        <f>CONCATENATE("U",F28,F$21)</f>
        <v>U8Y</v>
      </c>
    </row>
    <row r="188" spans="1:18" x14ac:dyDescent="0.3">
      <c r="B188" s="57">
        <f>J12*J12*N12</f>
        <v>72000</v>
      </c>
      <c r="C188" s="57">
        <f>J12*K12*N12</f>
        <v>0</v>
      </c>
      <c r="D188" s="57">
        <f>-B188</f>
        <v>-72000</v>
      </c>
      <c r="E188" s="57">
        <f>-C188</f>
        <v>0</v>
      </c>
      <c r="F188" s="56" t="str">
        <f>B187</f>
        <v>U7X</v>
      </c>
    </row>
    <row r="189" spans="1:18" ht="16.8" customHeight="1" x14ac:dyDescent="0.3">
      <c r="A189" s="28" t="s">
        <v>201</v>
      </c>
      <c r="B189" s="57">
        <f>C188</f>
        <v>0</v>
      </c>
      <c r="C189" s="57">
        <f>K12*K12*N12</f>
        <v>0</v>
      </c>
      <c r="D189" s="57">
        <f>-B189</f>
        <v>0</v>
      </c>
      <c r="E189" s="57">
        <f>-C189</f>
        <v>0</v>
      </c>
      <c r="F189" s="56" t="str">
        <f>C187</f>
        <v>U7Y</v>
      </c>
    </row>
    <row r="190" spans="1:18" x14ac:dyDescent="0.3">
      <c r="B190" s="57">
        <f>D188</f>
        <v>-72000</v>
      </c>
      <c r="C190" s="57">
        <f>E188</f>
        <v>0</v>
      </c>
      <c r="D190" s="57">
        <f>B188</f>
        <v>72000</v>
      </c>
      <c r="E190" s="57">
        <f>C188</f>
        <v>0</v>
      </c>
      <c r="F190" s="56" t="str">
        <f>D187</f>
        <v>U8X</v>
      </c>
    </row>
    <row r="191" spans="1:18" x14ac:dyDescent="0.3">
      <c r="B191" s="57">
        <f>D189</f>
        <v>0</v>
      </c>
      <c r="C191" s="57">
        <f>E189</f>
        <v>0</v>
      </c>
      <c r="D191" s="57">
        <f>B189</f>
        <v>0</v>
      </c>
      <c r="E191" s="57">
        <f>C189</f>
        <v>0</v>
      </c>
      <c r="F191" s="56" t="str">
        <f>E187</f>
        <v>U8Y</v>
      </c>
    </row>
    <row r="193" spans="1:18" ht="18" customHeight="1" x14ac:dyDescent="0.3">
      <c r="B193" s="56" t="s">
        <v>178</v>
      </c>
      <c r="C193" s="56" t="s">
        <v>179</v>
      </c>
      <c r="D193" s="56" t="s">
        <v>180</v>
      </c>
      <c r="E193" s="56" t="s">
        <v>181</v>
      </c>
      <c r="F193" s="56" t="s">
        <v>182</v>
      </c>
      <c r="G193" s="56" t="s">
        <v>183</v>
      </c>
      <c r="H193" s="56" t="s">
        <v>184</v>
      </c>
      <c r="I193" s="56" t="s">
        <v>185</v>
      </c>
      <c r="J193" s="56" t="s">
        <v>186</v>
      </c>
      <c r="K193" s="56" t="s">
        <v>187</v>
      </c>
      <c r="L193" s="56" t="s">
        <v>188</v>
      </c>
      <c r="M193" s="56" t="s">
        <v>189</v>
      </c>
      <c r="N193" s="56" t="s">
        <v>579</v>
      </c>
      <c r="O193" s="56" t="s">
        <v>580</v>
      </c>
      <c r="P193" s="56" t="s">
        <v>601</v>
      </c>
      <c r="Q193" s="56" t="s">
        <v>602</v>
      </c>
    </row>
    <row r="194" spans="1:18" ht="19.05" customHeight="1" x14ac:dyDescent="0.3">
      <c r="B194" s="9">
        <f t="shared" ref="B194:Q203" si="18">IFERROR(INDEX($B$188:$E$191, MATCH($R194, $B$187:$E$187, 0), MATCH(B$193, $B$187:$E$187, 0)), 0)</f>
        <v>0</v>
      </c>
      <c r="C194" s="9">
        <f t="shared" si="18"/>
        <v>0</v>
      </c>
      <c r="D194" s="9">
        <f t="shared" si="18"/>
        <v>0</v>
      </c>
      <c r="E194" s="9">
        <f t="shared" si="18"/>
        <v>0</v>
      </c>
      <c r="F194" s="9">
        <f t="shared" si="18"/>
        <v>0</v>
      </c>
      <c r="G194" s="9">
        <f t="shared" si="18"/>
        <v>0</v>
      </c>
      <c r="H194" s="9">
        <f t="shared" si="18"/>
        <v>0</v>
      </c>
      <c r="I194" s="9">
        <f t="shared" si="18"/>
        <v>0</v>
      </c>
      <c r="J194" s="9">
        <f t="shared" si="18"/>
        <v>0</v>
      </c>
      <c r="K194" s="9">
        <f t="shared" si="18"/>
        <v>0</v>
      </c>
      <c r="L194" s="9">
        <f t="shared" si="18"/>
        <v>0</v>
      </c>
      <c r="M194" s="9">
        <f t="shared" si="18"/>
        <v>0</v>
      </c>
      <c r="N194" s="9">
        <f t="shared" si="18"/>
        <v>0</v>
      </c>
      <c r="O194" s="9">
        <f t="shared" si="18"/>
        <v>0</v>
      </c>
      <c r="P194" s="9">
        <f t="shared" si="18"/>
        <v>0</v>
      </c>
      <c r="Q194" s="9">
        <f t="shared" si="18"/>
        <v>0</v>
      </c>
      <c r="R194" s="56" t="s">
        <v>178</v>
      </c>
    </row>
    <row r="195" spans="1:18" ht="19.05" customHeight="1" x14ac:dyDescent="0.3">
      <c r="B195" s="9">
        <f t="shared" si="18"/>
        <v>0</v>
      </c>
      <c r="C195" s="9">
        <f t="shared" si="18"/>
        <v>0</v>
      </c>
      <c r="D195" s="9">
        <f t="shared" si="18"/>
        <v>0</v>
      </c>
      <c r="E195" s="9">
        <f t="shared" si="18"/>
        <v>0</v>
      </c>
      <c r="F195" s="9">
        <f t="shared" si="18"/>
        <v>0</v>
      </c>
      <c r="G195" s="9">
        <f t="shared" si="18"/>
        <v>0</v>
      </c>
      <c r="H195" s="9">
        <f t="shared" si="18"/>
        <v>0</v>
      </c>
      <c r="I195" s="9">
        <f t="shared" si="18"/>
        <v>0</v>
      </c>
      <c r="J195" s="9">
        <f t="shared" si="18"/>
        <v>0</v>
      </c>
      <c r="K195" s="9">
        <f t="shared" si="18"/>
        <v>0</v>
      </c>
      <c r="L195" s="9">
        <f t="shared" si="18"/>
        <v>0</v>
      </c>
      <c r="M195" s="9">
        <f t="shared" si="18"/>
        <v>0</v>
      </c>
      <c r="N195" s="9">
        <f t="shared" si="18"/>
        <v>0</v>
      </c>
      <c r="O195" s="9">
        <f t="shared" si="18"/>
        <v>0</v>
      </c>
      <c r="P195" s="9">
        <f t="shared" si="18"/>
        <v>0</v>
      </c>
      <c r="Q195" s="9">
        <f t="shared" si="18"/>
        <v>0</v>
      </c>
      <c r="R195" s="56" t="s">
        <v>179</v>
      </c>
    </row>
    <row r="196" spans="1:18" ht="19.05" customHeight="1" x14ac:dyDescent="0.3">
      <c r="B196" s="9">
        <f t="shared" si="18"/>
        <v>0</v>
      </c>
      <c r="C196" s="9">
        <f t="shared" si="18"/>
        <v>0</v>
      </c>
      <c r="D196" s="9">
        <f t="shared" si="18"/>
        <v>0</v>
      </c>
      <c r="E196" s="9">
        <f t="shared" si="18"/>
        <v>0</v>
      </c>
      <c r="F196" s="9">
        <f t="shared" si="18"/>
        <v>0</v>
      </c>
      <c r="G196" s="9">
        <f t="shared" si="18"/>
        <v>0</v>
      </c>
      <c r="H196" s="9">
        <f t="shared" si="18"/>
        <v>0</v>
      </c>
      <c r="I196" s="9">
        <f t="shared" si="18"/>
        <v>0</v>
      </c>
      <c r="J196" s="9">
        <f t="shared" si="18"/>
        <v>0</v>
      </c>
      <c r="K196" s="9">
        <f t="shared" si="18"/>
        <v>0</v>
      </c>
      <c r="L196" s="9">
        <f t="shared" si="18"/>
        <v>0</v>
      </c>
      <c r="M196" s="9">
        <f t="shared" si="18"/>
        <v>0</v>
      </c>
      <c r="N196" s="9">
        <f t="shared" si="18"/>
        <v>0</v>
      </c>
      <c r="O196" s="9">
        <f t="shared" si="18"/>
        <v>0</v>
      </c>
      <c r="P196" s="9">
        <f t="shared" si="18"/>
        <v>0</v>
      </c>
      <c r="Q196" s="9">
        <f t="shared" si="18"/>
        <v>0</v>
      </c>
      <c r="R196" s="56" t="s">
        <v>180</v>
      </c>
    </row>
    <row r="197" spans="1:18" ht="19.05" customHeight="1" x14ac:dyDescent="0.3">
      <c r="B197" s="9">
        <f t="shared" si="18"/>
        <v>0</v>
      </c>
      <c r="C197" s="9">
        <f t="shared" si="18"/>
        <v>0</v>
      </c>
      <c r="D197" s="9">
        <f t="shared" si="18"/>
        <v>0</v>
      </c>
      <c r="E197" s="9">
        <f t="shared" si="18"/>
        <v>0</v>
      </c>
      <c r="F197" s="9">
        <f t="shared" si="18"/>
        <v>0</v>
      </c>
      <c r="G197" s="9">
        <f t="shared" si="18"/>
        <v>0</v>
      </c>
      <c r="H197" s="9">
        <f t="shared" si="18"/>
        <v>0</v>
      </c>
      <c r="I197" s="9">
        <f t="shared" si="18"/>
        <v>0</v>
      </c>
      <c r="J197" s="9">
        <f t="shared" si="18"/>
        <v>0</v>
      </c>
      <c r="K197" s="9">
        <f t="shared" si="18"/>
        <v>0</v>
      </c>
      <c r="L197" s="9">
        <f t="shared" si="18"/>
        <v>0</v>
      </c>
      <c r="M197" s="9">
        <f t="shared" si="18"/>
        <v>0</v>
      </c>
      <c r="N197" s="9">
        <f t="shared" si="18"/>
        <v>0</v>
      </c>
      <c r="O197" s="9">
        <f t="shared" si="18"/>
        <v>0</v>
      </c>
      <c r="P197" s="9">
        <f t="shared" si="18"/>
        <v>0</v>
      </c>
      <c r="Q197" s="9">
        <f t="shared" si="18"/>
        <v>0</v>
      </c>
      <c r="R197" s="56" t="s">
        <v>181</v>
      </c>
    </row>
    <row r="198" spans="1:18" ht="19.05" customHeight="1" x14ac:dyDescent="0.3">
      <c r="B198" s="9">
        <f t="shared" si="18"/>
        <v>0</v>
      </c>
      <c r="C198" s="9">
        <f t="shared" si="18"/>
        <v>0</v>
      </c>
      <c r="D198" s="9">
        <f t="shared" si="18"/>
        <v>0</v>
      </c>
      <c r="E198" s="9">
        <f t="shared" si="18"/>
        <v>0</v>
      </c>
      <c r="F198" s="9">
        <f t="shared" si="18"/>
        <v>0</v>
      </c>
      <c r="G198" s="9">
        <f t="shared" si="18"/>
        <v>0</v>
      </c>
      <c r="H198" s="9">
        <f t="shared" si="18"/>
        <v>0</v>
      </c>
      <c r="I198" s="9">
        <f t="shared" si="18"/>
        <v>0</v>
      </c>
      <c r="J198" s="9">
        <f t="shared" si="18"/>
        <v>0</v>
      </c>
      <c r="K198" s="9">
        <f t="shared" si="18"/>
        <v>0</v>
      </c>
      <c r="L198" s="9">
        <f t="shared" si="18"/>
        <v>0</v>
      </c>
      <c r="M198" s="9">
        <f t="shared" si="18"/>
        <v>0</v>
      </c>
      <c r="N198" s="9">
        <f t="shared" si="18"/>
        <v>0</v>
      </c>
      <c r="O198" s="9">
        <f t="shared" si="18"/>
        <v>0</v>
      </c>
      <c r="P198" s="9">
        <f t="shared" si="18"/>
        <v>0</v>
      </c>
      <c r="Q198" s="9">
        <f t="shared" si="18"/>
        <v>0</v>
      </c>
      <c r="R198" s="56" t="s">
        <v>182</v>
      </c>
    </row>
    <row r="199" spans="1:18" ht="19.05" customHeight="1" x14ac:dyDescent="0.3">
      <c r="B199" s="9">
        <f t="shared" si="18"/>
        <v>0</v>
      </c>
      <c r="C199" s="9">
        <f t="shared" si="18"/>
        <v>0</v>
      </c>
      <c r="D199" s="9">
        <f t="shared" si="18"/>
        <v>0</v>
      </c>
      <c r="E199" s="9">
        <f t="shared" si="18"/>
        <v>0</v>
      </c>
      <c r="F199" s="9">
        <f t="shared" si="18"/>
        <v>0</v>
      </c>
      <c r="G199" s="9">
        <f t="shared" si="18"/>
        <v>0</v>
      </c>
      <c r="H199" s="9">
        <f t="shared" si="18"/>
        <v>0</v>
      </c>
      <c r="I199" s="9">
        <f t="shared" si="18"/>
        <v>0</v>
      </c>
      <c r="J199" s="9">
        <f t="shared" si="18"/>
        <v>0</v>
      </c>
      <c r="K199" s="9">
        <f t="shared" si="18"/>
        <v>0</v>
      </c>
      <c r="L199" s="9">
        <f t="shared" si="18"/>
        <v>0</v>
      </c>
      <c r="M199" s="9">
        <f t="shared" si="18"/>
        <v>0</v>
      </c>
      <c r="N199" s="9">
        <f t="shared" si="18"/>
        <v>0</v>
      </c>
      <c r="O199" s="9">
        <f t="shared" si="18"/>
        <v>0</v>
      </c>
      <c r="P199" s="9">
        <f t="shared" si="18"/>
        <v>0</v>
      </c>
      <c r="Q199" s="9">
        <f t="shared" si="18"/>
        <v>0</v>
      </c>
      <c r="R199" s="56" t="s">
        <v>183</v>
      </c>
    </row>
    <row r="200" spans="1:18" ht="19.05" customHeight="1" x14ac:dyDescent="0.3">
      <c r="B200" s="9">
        <f t="shared" si="18"/>
        <v>0</v>
      </c>
      <c r="C200" s="9">
        <f t="shared" si="18"/>
        <v>0</v>
      </c>
      <c r="D200" s="9">
        <f t="shared" si="18"/>
        <v>0</v>
      </c>
      <c r="E200" s="9">
        <f t="shared" si="18"/>
        <v>0</v>
      </c>
      <c r="F200" s="9">
        <f t="shared" si="18"/>
        <v>0</v>
      </c>
      <c r="G200" s="9">
        <f t="shared" si="18"/>
        <v>0</v>
      </c>
      <c r="H200" s="9">
        <f t="shared" si="18"/>
        <v>0</v>
      </c>
      <c r="I200" s="9">
        <f t="shared" si="18"/>
        <v>0</v>
      </c>
      <c r="J200" s="9">
        <f t="shared" si="18"/>
        <v>0</v>
      </c>
      <c r="K200" s="9">
        <f t="shared" si="18"/>
        <v>0</v>
      </c>
      <c r="L200" s="9">
        <f t="shared" si="18"/>
        <v>0</v>
      </c>
      <c r="M200" s="9">
        <f t="shared" si="18"/>
        <v>0</v>
      </c>
      <c r="N200" s="9">
        <f t="shared" si="18"/>
        <v>0</v>
      </c>
      <c r="O200" s="9">
        <f t="shared" si="18"/>
        <v>0</v>
      </c>
      <c r="P200" s="9">
        <f t="shared" si="18"/>
        <v>0</v>
      </c>
      <c r="Q200" s="9">
        <f t="shared" si="18"/>
        <v>0</v>
      </c>
      <c r="R200" s="56" t="s">
        <v>184</v>
      </c>
    </row>
    <row r="201" spans="1:18" ht="19.05" customHeight="1" x14ac:dyDescent="0.3">
      <c r="A201" s="28" t="s">
        <v>202</v>
      </c>
      <c r="B201" s="9">
        <f t="shared" si="18"/>
        <v>0</v>
      </c>
      <c r="C201" s="9">
        <f t="shared" si="18"/>
        <v>0</v>
      </c>
      <c r="D201" s="9">
        <f t="shared" si="18"/>
        <v>0</v>
      </c>
      <c r="E201" s="9">
        <f t="shared" si="18"/>
        <v>0</v>
      </c>
      <c r="F201" s="9">
        <f t="shared" si="18"/>
        <v>0</v>
      </c>
      <c r="G201" s="9">
        <f t="shared" si="18"/>
        <v>0</v>
      </c>
      <c r="H201" s="9">
        <f t="shared" si="18"/>
        <v>0</v>
      </c>
      <c r="I201" s="9">
        <f t="shared" si="18"/>
        <v>0</v>
      </c>
      <c r="J201" s="9">
        <f t="shared" si="18"/>
        <v>0</v>
      </c>
      <c r="K201" s="9">
        <f t="shared" si="18"/>
        <v>0</v>
      </c>
      <c r="L201" s="9">
        <f t="shared" si="18"/>
        <v>0</v>
      </c>
      <c r="M201" s="9">
        <f t="shared" si="18"/>
        <v>0</v>
      </c>
      <c r="N201" s="9">
        <f t="shared" si="18"/>
        <v>0</v>
      </c>
      <c r="O201" s="9">
        <f t="shared" si="18"/>
        <v>0</v>
      </c>
      <c r="P201" s="9">
        <f t="shared" si="18"/>
        <v>0</v>
      </c>
      <c r="Q201" s="9">
        <f t="shared" si="18"/>
        <v>0</v>
      </c>
      <c r="R201" s="56" t="s">
        <v>185</v>
      </c>
    </row>
    <row r="202" spans="1:18" ht="19.05" customHeight="1" x14ac:dyDescent="0.3">
      <c r="B202" s="9">
        <f t="shared" si="18"/>
        <v>0</v>
      </c>
      <c r="C202" s="9">
        <f t="shared" si="18"/>
        <v>0</v>
      </c>
      <c r="D202" s="9">
        <f t="shared" si="18"/>
        <v>0</v>
      </c>
      <c r="E202" s="9">
        <f t="shared" si="18"/>
        <v>0</v>
      </c>
      <c r="F202" s="9">
        <f t="shared" si="18"/>
        <v>0</v>
      </c>
      <c r="G202" s="9">
        <f t="shared" si="18"/>
        <v>0</v>
      </c>
      <c r="H202" s="9">
        <f t="shared" si="18"/>
        <v>0</v>
      </c>
      <c r="I202" s="9">
        <f t="shared" si="18"/>
        <v>0</v>
      </c>
      <c r="J202" s="9">
        <f t="shared" si="18"/>
        <v>0</v>
      </c>
      <c r="K202" s="9">
        <f t="shared" si="18"/>
        <v>0</v>
      </c>
      <c r="L202" s="9">
        <f t="shared" si="18"/>
        <v>0</v>
      </c>
      <c r="M202" s="9">
        <f t="shared" si="18"/>
        <v>0</v>
      </c>
      <c r="N202" s="9">
        <f t="shared" si="18"/>
        <v>0</v>
      </c>
      <c r="O202" s="9">
        <f t="shared" si="18"/>
        <v>0</v>
      </c>
      <c r="P202" s="9">
        <f t="shared" si="18"/>
        <v>0</v>
      </c>
      <c r="Q202" s="9">
        <f t="shared" si="18"/>
        <v>0</v>
      </c>
      <c r="R202" s="56" t="s">
        <v>186</v>
      </c>
    </row>
    <row r="203" spans="1:18" ht="19.05" customHeight="1" x14ac:dyDescent="0.3">
      <c r="B203" s="9">
        <f t="shared" si="18"/>
        <v>0</v>
      </c>
      <c r="C203" s="9">
        <f t="shared" si="18"/>
        <v>0</v>
      </c>
      <c r="D203" s="9">
        <f t="shared" si="18"/>
        <v>0</v>
      </c>
      <c r="E203" s="9">
        <f t="shared" si="18"/>
        <v>0</v>
      </c>
      <c r="F203" s="9">
        <f t="shared" si="18"/>
        <v>0</v>
      </c>
      <c r="G203" s="9">
        <f t="shared" si="18"/>
        <v>0</v>
      </c>
      <c r="H203" s="9">
        <f t="shared" si="18"/>
        <v>0</v>
      </c>
      <c r="I203" s="9">
        <f t="shared" si="18"/>
        <v>0</v>
      </c>
      <c r="J203" s="9">
        <f t="shared" si="18"/>
        <v>0</v>
      </c>
      <c r="K203" s="9">
        <f t="shared" si="18"/>
        <v>0</v>
      </c>
      <c r="L203" s="9">
        <f t="shared" si="18"/>
        <v>0</v>
      </c>
      <c r="M203" s="9">
        <f t="shared" si="18"/>
        <v>0</v>
      </c>
      <c r="N203" s="9">
        <f t="shared" si="18"/>
        <v>0</v>
      </c>
      <c r="O203" s="9">
        <f t="shared" si="18"/>
        <v>0</v>
      </c>
      <c r="P203" s="9">
        <f t="shared" si="18"/>
        <v>0</v>
      </c>
      <c r="Q203" s="9">
        <f t="shared" si="18"/>
        <v>0</v>
      </c>
      <c r="R203" s="56" t="s">
        <v>187</v>
      </c>
    </row>
    <row r="204" spans="1:18" ht="19.05" customHeight="1" x14ac:dyDescent="0.3">
      <c r="B204" s="9">
        <f t="shared" ref="B204:Q209" si="19">IFERROR(INDEX($B$188:$E$191, MATCH($R204, $B$187:$E$187, 0), MATCH(B$193, $B$187:$E$187, 0)), 0)</f>
        <v>0</v>
      </c>
      <c r="C204" s="9">
        <f t="shared" si="19"/>
        <v>0</v>
      </c>
      <c r="D204" s="9">
        <f t="shared" si="19"/>
        <v>0</v>
      </c>
      <c r="E204" s="9">
        <f t="shared" si="19"/>
        <v>0</v>
      </c>
      <c r="F204" s="9">
        <f t="shared" si="19"/>
        <v>0</v>
      </c>
      <c r="G204" s="9">
        <f t="shared" si="19"/>
        <v>0</v>
      </c>
      <c r="H204" s="9">
        <f t="shared" si="19"/>
        <v>0</v>
      </c>
      <c r="I204" s="9">
        <f t="shared" si="19"/>
        <v>0</v>
      </c>
      <c r="J204" s="9">
        <f t="shared" si="19"/>
        <v>0</v>
      </c>
      <c r="K204" s="9">
        <f t="shared" si="19"/>
        <v>0</v>
      </c>
      <c r="L204" s="9">
        <f t="shared" si="19"/>
        <v>0</v>
      </c>
      <c r="M204" s="9">
        <f t="shared" si="19"/>
        <v>0</v>
      </c>
      <c r="N204" s="9">
        <f t="shared" si="19"/>
        <v>0</v>
      </c>
      <c r="O204" s="9">
        <f t="shared" si="19"/>
        <v>0</v>
      </c>
      <c r="P204" s="9">
        <f t="shared" si="19"/>
        <v>0</v>
      </c>
      <c r="Q204" s="9">
        <f t="shared" si="19"/>
        <v>0</v>
      </c>
      <c r="R204" s="56" t="s">
        <v>188</v>
      </c>
    </row>
    <row r="205" spans="1:18" ht="19.05" customHeight="1" x14ac:dyDescent="0.3">
      <c r="B205" s="9">
        <f t="shared" si="19"/>
        <v>0</v>
      </c>
      <c r="C205" s="9">
        <f t="shared" si="19"/>
        <v>0</v>
      </c>
      <c r="D205" s="9">
        <f t="shared" si="19"/>
        <v>0</v>
      </c>
      <c r="E205" s="9">
        <f t="shared" si="19"/>
        <v>0</v>
      </c>
      <c r="F205" s="9">
        <f t="shared" si="19"/>
        <v>0</v>
      </c>
      <c r="G205" s="9">
        <f t="shared" si="19"/>
        <v>0</v>
      </c>
      <c r="H205" s="9">
        <f t="shared" si="19"/>
        <v>0</v>
      </c>
      <c r="I205" s="9">
        <f t="shared" si="19"/>
        <v>0</v>
      </c>
      <c r="J205" s="9">
        <f t="shared" si="19"/>
        <v>0</v>
      </c>
      <c r="K205" s="9">
        <f t="shared" si="19"/>
        <v>0</v>
      </c>
      <c r="L205" s="9">
        <f t="shared" si="19"/>
        <v>0</v>
      </c>
      <c r="M205" s="9">
        <f t="shared" si="19"/>
        <v>0</v>
      </c>
      <c r="N205" s="9">
        <f t="shared" si="19"/>
        <v>0</v>
      </c>
      <c r="O205" s="9">
        <f t="shared" si="19"/>
        <v>0</v>
      </c>
      <c r="P205" s="9">
        <f t="shared" si="19"/>
        <v>0</v>
      </c>
      <c r="Q205" s="9">
        <f t="shared" si="19"/>
        <v>0</v>
      </c>
      <c r="R205" s="56" t="s">
        <v>189</v>
      </c>
    </row>
    <row r="206" spans="1:18" ht="19.05" customHeight="1" x14ac:dyDescent="0.3">
      <c r="B206" s="9">
        <f t="shared" si="19"/>
        <v>0</v>
      </c>
      <c r="C206" s="9">
        <f t="shared" si="19"/>
        <v>0</v>
      </c>
      <c r="D206" s="9">
        <f t="shared" si="19"/>
        <v>0</v>
      </c>
      <c r="E206" s="9">
        <f t="shared" si="19"/>
        <v>0</v>
      </c>
      <c r="F206" s="9">
        <f t="shared" si="19"/>
        <v>0</v>
      </c>
      <c r="G206" s="9">
        <f t="shared" si="19"/>
        <v>0</v>
      </c>
      <c r="H206" s="9">
        <f t="shared" si="19"/>
        <v>0</v>
      </c>
      <c r="I206" s="9">
        <f t="shared" si="19"/>
        <v>0</v>
      </c>
      <c r="J206" s="9">
        <f t="shared" si="19"/>
        <v>0</v>
      </c>
      <c r="K206" s="9">
        <f t="shared" si="19"/>
        <v>0</v>
      </c>
      <c r="L206" s="9">
        <f t="shared" si="19"/>
        <v>0</v>
      </c>
      <c r="M206" s="9">
        <f t="shared" si="19"/>
        <v>0</v>
      </c>
      <c r="N206" s="58">
        <f t="shared" si="19"/>
        <v>72000</v>
      </c>
      <c r="O206" s="58">
        <f t="shared" si="19"/>
        <v>0</v>
      </c>
      <c r="P206" s="58">
        <f t="shared" si="19"/>
        <v>-72000</v>
      </c>
      <c r="Q206" s="58">
        <f t="shared" si="19"/>
        <v>0</v>
      </c>
      <c r="R206" s="56" t="s">
        <v>579</v>
      </c>
    </row>
    <row r="207" spans="1:18" ht="19.05" customHeight="1" x14ac:dyDescent="0.3">
      <c r="B207" s="9">
        <f t="shared" si="19"/>
        <v>0</v>
      </c>
      <c r="C207" s="9">
        <f t="shared" si="19"/>
        <v>0</v>
      </c>
      <c r="D207" s="9">
        <f t="shared" si="19"/>
        <v>0</v>
      </c>
      <c r="E207" s="9">
        <f t="shared" si="19"/>
        <v>0</v>
      </c>
      <c r="F207" s="9">
        <f t="shared" si="19"/>
        <v>0</v>
      </c>
      <c r="G207" s="9">
        <f t="shared" si="19"/>
        <v>0</v>
      </c>
      <c r="H207" s="9">
        <f t="shared" si="19"/>
        <v>0</v>
      </c>
      <c r="I207" s="9">
        <f t="shared" si="19"/>
        <v>0</v>
      </c>
      <c r="J207" s="9">
        <f t="shared" si="19"/>
        <v>0</v>
      </c>
      <c r="K207" s="9">
        <f t="shared" si="19"/>
        <v>0</v>
      </c>
      <c r="L207" s="9">
        <f t="shared" si="19"/>
        <v>0</v>
      </c>
      <c r="M207" s="9">
        <f t="shared" si="19"/>
        <v>0</v>
      </c>
      <c r="N207" s="58">
        <f t="shared" si="19"/>
        <v>0</v>
      </c>
      <c r="O207" s="58">
        <f t="shared" si="19"/>
        <v>0</v>
      </c>
      <c r="P207" s="58">
        <f t="shared" si="19"/>
        <v>0</v>
      </c>
      <c r="Q207" s="58">
        <f t="shared" si="19"/>
        <v>0</v>
      </c>
      <c r="R207" s="56" t="s">
        <v>580</v>
      </c>
    </row>
    <row r="208" spans="1:18" ht="19.05" customHeight="1" x14ac:dyDescent="0.3">
      <c r="B208" s="9">
        <f t="shared" si="19"/>
        <v>0</v>
      </c>
      <c r="C208" s="9">
        <f t="shared" si="19"/>
        <v>0</v>
      </c>
      <c r="D208" s="9">
        <f t="shared" si="19"/>
        <v>0</v>
      </c>
      <c r="E208" s="9">
        <f t="shared" si="19"/>
        <v>0</v>
      </c>
      <c r="F208" s="9">
        <f t="shared" si="19"/>
        <v>0</v>
      </c>
      <c r="G208" s="9">
        <f t="shared" si="19"/>
        <v>0</v>
      </c>
      <c r="H208" s="9">
        <f t="shared" si="19"/>
        <v>0</v>
      </c>
      <c r="I208" s="9">
        <f t="shared" si="19"/>
        <v>0</v>
      </c>
      <c r="J208" s="9">
        <f t="shared" si="19"/>
        <v>0</v>
      </c>
      <c r="K208" s="9">
        <f t="shared" si="19"/>
        <v>0</v>
      </c>
      <c r="L208" s="9">
        <f t="shared" si="19"/>
        <v>0</v>
      </c>
      <c r="M208" s="9">
        <f t="shared" si="19"/>
        <v>0</v>
      </c>
      <c r="N208" s="58">
        <f t="shared" si="19"/>
        <v>-72000</v>
      </c>
      <c r="O208" s="58">
        <f t="shared" si="19"/>
        <v>0</v>
      </c>
      <c r="P208" s="58">
        <f t="shared" si="19"/>
        <v>72000</v>
      </c>
      <c r="Q208" s="58">
        <f t="shared" si="19"/>
        <v>0</v>
      </c>
      <c r="R208" s="56" t="s">
        <v>601</v>
      </c>
    </row>
    <row r="209" spans="1:18" ht="19.05" customHeight="1" x14ac:dyDescent="0.3">
      <c r="B209" s="9">
        <f t="shared" si="19"/>
        <v>0</v>
      </c>
      <c r="C209" s="9">
        <f t="shared" si="19"/>
        <v>0</v>
      </c>
      <c r="D209" s="9">
        <f t="shared" si="19"/>
        <v>0</v>
      </c>
      <c r="E209" s="9">
        <f t="shared" si="19"/>
        <v>0</v>
      </c>
      <c r="F209" s="9">
        <f t="shared" si="19"/>
        <v>0</v>
      </c>
      <c r="G209" s="9">
        <f t="shared" si="19"/>
        <v>0</v>
      </c>
      <c r="H209" s="9">
        <f t="shared" si="19"/>
        <v>0</v>
      </c>
      <c r="I209" s="9">
        <f t="shared" si="19"/>
        <v>0</v>
      </c>
      <c r="J209" s="9">
        <f t="shared" si="19"/>
        <v>0</v>
      </c>
      <c r="K209" s="9">
        <f t="shared" si="19"/>
        <v>0</v>
      </c>
      <c r="L209" s="9">
        <f t="shared" si="19"/>
        <v>0</v>
      </c>
      <c r="M209" s="9">
        <f t="shared" si="19"/>
        <v>0</v>
      </c>
      <c r="N209" s="58">
        <f t="shared" si="19"/>
        <v>0</v>
      </c>
      <c r="O209" s="58">
        <f t="shared" si="19"/>
        <v>0</v>
      </c>
      <c r="P209" s="58">
        <f t="shared" si="19"/>
        <v>0</v>
      </c>
      <c r="Q209" s="58">
        <f t="shared" si="19"/>
        <v>0</v>
      </c>
      <c r="R209" s="56" t="s">
        <v>602</v>
      </c>
    </row>
    <row r="212" spans="1:18" ht="18" customHeight="1" x14ac:dyDescent="0.3">
      <c r="B212" s="61" t="str">
        <f>CONCATENATE("U",C29,C$21)</f>
        <v>U8X</v>
      </c>
      <c r="C212" s="61" t="str">
        <f>CONCATENATE("U",D29,D$21)</f>
        <v>U8Y</v>
      </c>
      <c r="D212" s="61" t="str">
        <f>CONCATENATE("U",E29,E$21)</f>
        <v>U5X</v>
      </c>
      <c r="E212" s="61" t="str">
        <f>CONCATENATE("U",F29,F$21)</f>
        <v>U5Y</v>
      </c>
    </row>
    <row r="213" spans="1:18" x14ac:dyDescent="0.3">
      <c r="B213" s="62">
        <f>J13*J13*N13</f>
        <v>16661.403726774148</v>
      </c>
      <c r="C213" s="62">
        <f>J13*K13*N13</f>
        <v>-21421.804791566763</v>
      </c>
      <c r="D213" s="62">
        <f>-B213</f>
        <v>-16661.403726774148</v>
      </c>
      <c r="E213" s="62">
        <f>-C213</f>
        <v>21421.804791566763</v>
      </c>
      <c r="F213" s="61" t="str">
        <f>B212</f>
        <v>U8X</v>
      </c>
    </row>
    <row r="214" spans="1:18" ht="16.8" customHeight="1" x14ac:dyDescent="0.3">
      <c r="A214" s="28" t="s">
        <v>203</v>
      </c>
      <c r="B214" s="62">
        <f>C213</f>
        <v>-21421.804791566763</v>
      </c>
      <c r="C214" s="62">
        <f>K13*K13*N13</f>
        <v>27542.32044630012</v>
      </c>
      <c r="D214" s="62">
        <f>-B214</f>
        <v>21421.804791566763</v>
      </c>
      <c r="E214" s="62">
        <f>-C214</f>
        <v>-27542.32044630012</v>
      </c>
      <c r="F214" s="61" t="str">
        <f>C212</f>
        <v>U8Y</v>
      </c>
    </row>
    <row r="215" spans="1:18" x14ac:dyDescent="0.3">
      <c r="B215" s="62">
        <f>D213</f>
        <v>-16661.403726774148</v>
      </c>
      <c r="C215" s="62">
        <f>E213</f>
        <v>21421.804791566763</v>
      </c>
      <c r="D215" s="62">
        <f>B213</f>
        <v>16661.403726774148</v>
      </c>
      <c r="E215" s="62">
        <f>C213</f>
        <v>-21421.804791566763</v>
      </c>
      <c r="F215" s="61" t="str">
        <f>D212</f>
        <v>U5X</v>
      </c>
    </row>
    <row r="216" spans="1:18" x14ac:dyDescent="0.3">
      <c r="B216" s="62">
        <f>D214</f>
        <v>21421.804791566763</v>
      </c>
      <c r="C216" s="62">
        <f>E214</f>
        <v>-27542.32044630012</v>
      </c>
      <c r="D216" s="62">
        <f>B214</f>
        <v>-21421.804791566763</v>
      </c>
      <c r="E216" s="62">
        <f>C214</f>
        <v>27542.32044630012</v>
      </c>
      <c r="F216" s="61" t="str">
        <f>E212</f>
        <v>U5Y</v>
      </c>
    </row>
    <row r="218" spans="1:18" ht="18" customHeight="1" x14ac:dyDescent="0.3">
      <c r="B218" s="61" t="s">
        <v>178</v>
      </c>
      <c r="C218" s="61" t="s">
        <v>179</v>
      </c>
      <c r="D218" s="61" t="s">
        <v>180</v>
      </c>
      <c r="E218" s="61" t="s">
        <v>181</v>
      </c>
      <c r="F218" s="61" t="s">
        <v>182</v>
      </c>
      <c r="G218" s="61" t="s">
        <v>183</v>
      </c>
      <c r="H218" s="61" t="s">
        <v>184</v>
      </c>
      <c r="I218" s="61" t="s">
        <v>185</v>
      </c>
      <c r="J218" s="61" t="s">
        <v>186</v>
      </c>
      <c r="K218" s="61" t="s">
        <v>187</v>
      </c>
      <c r="L218" s="61" t="s">
        <v>188</v>
      </c>
      <c r="M218" s="61" t="s">
        <v>189</v>
      </c>
      <c r="N218" s="61" t="s">
        <v>579</v>
      </c>
      <c r="O218" s="61" t="s">
        <v>580</v>
      </c>
      <c r="P218" s="61" t="s">
        <v>601</v>
      </c>
      <c r="Q218" s="61" t="s">
        <v>602</v>
      </c>
    </row>
    <row r="219" spans="1:18" ht="19.05" customHeight="1" x14ac:dyDescent="0.3">
      <c r="B219" s="9">
        <f t="shared" ref="B219:Q228" si="20">IFERROR(INDEX($B$213:$E$216, MATCH($R219, $B$212:$E$212, 0), MATCH(B$218, $B$212:$E$212, 0)), 0)</f>
        <v>0</v>
      </c>
      <c r="C219" s="9">
        <f t="shared" si="20"/>
        <v>0</v>
      </c>
      <c r="D219" s="9">
        <f t="shared" si="20"/>
        <v>0</v>
      </c>
      <c r="E219" s="9">
        <f t="shared" si="20"/>
        <v>0</v>
      </c>
      <c r="F219" s="9">
        <f t="shared" si="20"/>
        <v>0</v>
      </c>
      <c r="G219" s="9">
        <f t="shared" si="20"/>
        <v>0</v>
      </c>
      <c r="H219" s="9">
        <f t="shared" si="20"/>
        <v>0</v>
      </c>
      <c r="I219" s="9">
        <f t="shared" si="20"/>
        <v>0</v>
      </c>
      <c r="J219" s="9">
        <f t="shared" si="20"/>
        <v>0</v>
      </c>
      <c r="K219" s="9">
        <f t="shared" si="20"/>
        <v>0</v>
      </c>
      <c r="L219" s="9">
        <f t="shared" si="20"/>
        <v>0</v>
      </c>
      <c r="M219" s="9">
        <f t="shared" si="20"/>
        <v>0</v>
      </c>
      <c r="N219" s="9">
        <f t="shared" si="20"/>
        <v>0</v>
      </c>
      <c r="O219" s="9">
        <f t="shared" si="20"/>
        <v>0</v>
      </c>
      <c r="P219" s="9">
        <f t="shared" si="20"/>
        <v>0</v>
      </c>
      <c r="Q219" s="9">
        <f t="shared" si="20"/>
        <v>0</v>
      </c>
      <c r="R219" s="61" t="s">
        <v>178</v>
      </c>
    </row>
    <row r="220" spans="1:18" ht="19.05" customHeight="1" x14ac:dyDescent="0.3">
      <c r="B220" s="9">
        <f t="shared" si="20"/>
        <v>0</v>
      </c>
      <c r="C220" s="9">
        <f t="shared" si="20"/>
        <v>0</v>
      </c>
      <c r="D220" s="9">
        <f t="shared" si="20"/>
        <v>0</v>
      </c>
      <c r="E220" s="9">
        <f t="shared" si="20"/>
        <v>0</v>
      </c>
      <c r="F220" s="9">
        <f t="shared" si="20"/>
        <v>0</v>
      </c>
      <c r="G220" s="9">
        <f t="shared" si="20"/>
        <v>0</v>
      </c>
      <c r="H220" s="9">
        <f t="shared" si="20"/>
        <v>0</v>
      </c>
      <c r="I220" s="9">
        <f t="shared" si="20"/>
        <v>0</v>
      </c>
      <c r="J220" s="9">
        <f t="shared" si="20"/>
        <v>0</v>
      </c>
      <c r="K220" s="9">
        <f t="shared" si="20"/>
        <v>0</v>
      </c>
      <c r="L220" s="9">
        <f t="shared" si="20"/>
        <v>0</v>
      </c>
      <c r="M220" s="9">
        <f t="shared" si="20"/>
        <v>0</v>
      </c>
      <c r="N220" s="9">
        <f t="shared" si="20"/>
        <v>0</v>
      </c>
      <c r="O220" s="9">
        <f t="shared" si="20"/>
        <v>0</v>
      </c>
      <c r="P220" s="9">
        <f t="shared" si="20"/>
        <v>0</v>
      </c>
      <c r="Q220" s="9">
        <f t="shared" si="20"/>
        <v>0</v>
      </c>
      <c r="R220" s="61" t="s">
        <v>179</v>
      </c>
    </row>
    <row r="221" spans="1:18" ht="19.05" customHeight="1" x14ac:dyDescent="0.3">
      <c r="B221" s="9">
        <f t="shared" si="20"/>
        <v>0</v>
      </c>
      <c r="C221" s="9">
        <f t="shared" si="20"/>
        <v>0</v>
      </c>
      <c r="D221" s="9">
        <f t="shared" si="20"/>
        <v>0</v>
      </c>
      <c r="E221" s="9">
        <f t="shared" si="20"/>
        <v>0</v>
      </c>
      <c r="F221" s="9">
        <f t="shared" si="20"/>
        <v>0</v>
      </c>
      <c r="G221" s="9">
        <f t="shared" si="20"/>
        <v>0</v>
      </c>
      <c r="H221" s="9">
        <f t="shared" si="20"/>
        <v>0</v>
      </c>
      <c r="I221" s="9">
        <f t="shared" si="20"/>
        <v>0</v>
      </c>
      <c r="J221" s="9">
        <f t="shared" si="20"/>
        <v>0</v>
      </c>
      <c r="K221" s="9">
        <f t="shared" si="20"/>
        <v>0</v>
      </c>
      <c r="L221" s="9">
        <f t="shared" si="20"/>
        <v>0</v>
      </c>
      <c r="M221" s="9">
        <f t="shared" si="20"/>
        <v>0</v>
      </c>
      <c r="N221" s="9">
        <f t="shared" si="20"/>
        <v>0</v>
      </c>
      <c r="O221" s="9">
        <f t="shared" si="20"/>
        <v>0</v>
      </c>
      <c r="P221" s="9">
        <f t="shared" si="20"/>
        <v>0</v>
      </c>
      <c r="Q221" s="9">
        <f t="shared" si="20"/>
        <v>0</v>
      </c>
      <c r="R221" s="61" t="s">
        <v>180</v>
      </c>
    </row>
    <row r="222" spans="1:18" ht="19.05" customHeight="1" x14ac:dyDescent="0.3">
      <c r="B222" s="9">
        <f t="shared" si="20"/>
        <v>0</v>
      </c>
      <c r="C222" s="9">
        <f t="shared" si="20"/>
        <v>0</v>
      </c>
      <c r="D222" s="9">
        <f t="shared" si="20"/>
        <v>0</v>
      </c>
      <c r="E222" s="9">
        <f t="shared" si="20"/>
        <v>0</v>
      </c>
      <c r="F222" s="9">
        <f t="shared" si="20"/>
        <v>0</v>
      </c>
      <c r="G222" s="9">
        <f t="shared" si="20"/>
        <v>0</v>
      </c>
      <c r="H222" s="9">
        <f t="shared" si="20"/>
        <v>0</v>
      </c>
      <c r="I222" s="9">
        <f t="shared" si="20"/>
        <v>0</v>
      </c>
      <c r="J222" s="9">
        <f t="shared" si="20"/>
        <v>0</v>
      </c>
      <c r="K222" s="9">
        <f t="shared" si="20"/>
        <v>0</v>
      </c>
      <c r="L222" s="9">
        <f t="shared" si="20"/>
        <v>0</v>
      </c>
      <c r="M222" s="9">
        <f t="shared" si="20"/>
        <v>0</v>
      </c>
      <c r="N222" s="9">
        <f t="shared" si="20"/>
        <v>0</v>
      </c>
      <c r="O222" s="9">
        <f t="shared" si="20"/>
        <v>0</v>
      </c>
      <c r="P222" s="9">
        <f t="shared" si="20"/>
        <v>0</v>
      </c>
      <c r="Q222" s="9">
        <f t="shared" si="20"/>
        <v>0</v>
      </c>
      <c r="R222" s="61" t="s">
        <v>181</v>
      </c>
    </row>
    <row r="223" spans="1:18" ht="19.05" customHeight="1" x14ac:dyDescent="0.3">
      <c r="B223" s="9">
        <f t="shared" si="20"/>
        <v>0</v>
      </c>
      <c r="C223" s="9">
        <f t="shared" si="20"/>
        <v>0</v>
      </c>
      <c r="D223" s="9">
        <f t="shared" si="20"/>
        <v>0</v>
      </c>
      <c r="E223" s="9">
        <f t="shared" si="20"/>
        <v>0</v>
      </c>
      <c r="F223" s="9">
        <f t="shared" si="20"/>
        <v>0</v>
      </c>
      <c r="G223" s="9">
        <f t="shared" si="20"/>
        <v>0</v>
      </c>
      <c r="H223" s="9">
        <f t="shared" si="20"/>
        <v>0</v>
      </c>
      <c r="I223" s="9">
        <f t="shared" si="20"/>
        <v>0</v>
      </c>
      <c r="J223" s="9">
        <f t="shared" si="20"/>
        <v>0</v>
      </c>
      <c r="K223" s="9">
        <f t="shared" si="20"/>
        <v>0</v>
      </c>
      <c r="L223" s="9">
        <f t="shared" si="20"/>
        <v>0</v>
      </c>
      <c r="M223" s="9">
        <f t="shared" si="20"/>
        <v>0</v>
      </c>
      <c r="N223" s="9">
        <f t="shared" si="20"/>
        <v>0</v>
      </c>
      <c r="O223" s="9">
        <f t="shared" si="20"/>
        <v>0</v>
      </c>
      <c r="P223" s="9">
        <f t="shared" si="20"/>
        <v>0</v>
      </c>
      <c r="Q223" s="9">
        <f t="shared" si="20"/>
        <v>0</v>
      </c>
      <c r="R223" s="61" t="s">
        <v>182</v>
      </c>
    </row>
    <row r="224" spans="1:18" ht="19.05" customHeight="1" x14ac:dyDescent="0.3">
      <c r="B224" s="9">
        <f t="shared" si="20"/>
        <v>0</v>
      </c>
      <c r="C224" s="9">
        <f t="shared" si="20"/>
        <v>0</v>
      </c>
      <c r="D224" s="9">
        <f t="shared" si="20"/>
        <v>0</v>
      </c>
      <c r="E224" s="9">
        <f t="shared" si="20"/>
        <v>0</v>
      </c>
      <c r="F224" s="9">
        <f t="shared" si="20"/>
        <v>0</v>
      </c>
      <c r="G224" s="9">
        <f t="shared" si="20"/>
        <v>0</v>
      </c>
      <c r="H224" s="9">
        <f t="shared" si="20"/>
        <v>0</v>
      </c>
      <c r="I224" s="9">
        <f t="shared" si="20"/>
        <v>0</v>
      </c>
      <c r="J224" s="9">
        <f t="shared" si="20"/>
        <v>0</v>
      </c>
      <c r="K224" s="9">
        <f t="shared" si="20"/>
        <v>0</v>
      </c>
      <c r="L224" s="9">
        <f t="shared" si="20"/>
        <v>0</v>
      </c>
      <c r="M224" s="9">
        <f t="shared" si="20"/>
        <v>0</v>
      </c>
      <c r="N224" s="9">
        <f t="shared" si="20"/>
        <v>0</v>
      </c>
      <c r="O224" s="9">
        <f t="shared" si="20"/>
        <v>0</v>
      </c>
      <c r="P224" s="9">
        <f t="shared" si="20"/>
        <v>0</v>
      </c>
      <c r="Q224" s="9">
        <f t="shared" si="20"/>
        <v>0</v>
      </c>
      <c r="R224" s="61" t="s">
        <v>183</v>
      </c>
    </row>
    <row r="225" spans="1:18" ht="19.05" customHeight="1" x14ac:dyDescent="0.3">
      <c r="B225" s="9">
        <f t="shared" si="20"/>
        <v>0</v>
      </c>
      <c r="C225" s="9">
        <f t="shared" si="20"/>
        <v>0</v>
      </c>
      <c r="D225" s="9">
        <f t="shared" si="20"/>
        <v>0</v>
      </c>
      <c r="E225" s="9">
        <f t="shared" si="20"/>
        <v>0</v>
      </c>
      <c r="F225" s="9">
        <f t="shared" si="20"/>
        <v>0</v>
      </c>
      <c r="G225" s="9">
        <f t="shared" si="20"/>
        <v>0</v>
      </c>
      <c r="H225" s="9">
        <f t="shared" si="20"/>
        <v>0</v>
      </c>
      <c r="I225" s="9">
        <f t="shared" si="20"/>
        <v>0</v>
      </c>
      <c r="J225" s="9">
        <f t="shared" si="20"/>
        <v>0</v>
      </c>
      <c r="K225" s="9">
        <f t="shared" si="20"/>
        <v>0</v>
      </c>
      <c r="L225" s="9">
        <f t="shared" si="20"/>
        <v>0</v>
      </c>
      <c r="M225" s="9">
        <f t="shared" si="20"/>
        <v>0</v>
      </c>
      <c r="N225" s="9">
        <f t="shared" si="20"/>
        <v>0</v>
      </c>
      <c r="O225" s="9">
        <f t="shared" si="20"/>
        <v>0</v>
      </c>
      <c r="P225" s="9">
        <f t="shared" si="20"/>
        <v>0</v>
      </c>
      <c r="Q225" s="9">
        <f t="shared" si="20"/>
        <v>0</v>
      </c>
      <c r="R225" s="61" t="s">
        <v>184</v>
      </c>
    </row>
    <row r="226" spans="1:18" ht="19.05" customHeight="1" x14ac:dyDescent="0.3">
      <c r="A226" s="28" t="s">
        <v>204</v>
      </c>
      <c r="B226" s="9">
        <f t="shared" si="20"/>
        <v>0</v>
      </c>
      <c r="C226" s="9">
        <f t="shared" si="20"/>
        <v>0</v>
      </c>
      <c r="D226" s="9">
        <f t="shared" si="20"/>
        <v>0</v>
      </c>
      <c r="E226" s="9">
        <f t="shared" si="20"/>
        <v>0</v>
      </c>
      <c r="F226" s="9">
        <f t="shared" si="20"/>
        <v>0</v>
      </c>
      <c r="G226" s="9">
        <f t="shared" si="20"/>
        <v>0</v>
      </c>
      <c r="H226" s="9">
        <f t="shared" si="20"/>
        <v>0</v>
      </c>
      <c r="I226" s="9">
        <f t="shared" si="20"/>
        <v>0</v>
      </c>
      <c r="J226" s="9">
        <f t="shared" si="20"/>
        <v>0</v>
      </c>
      <c r="K226" s="9">
        <f t="shared" si="20"/>
        <v>0</v>
      </c>
      <c r="L226" s="9">
        <f t="shared" si="20"/>
        <v>0</v>
      </c>
      <c r="M226" s="9">
        <f t="shared" si="20"/>
        <v>0</v>
      </c>
      <c r="N226" s="9">
        <f t="shared" si="20"/>
        <v>0</v>
      </c>
      <c r="O226" s="9">
        <f t="shared" si="20"/>
        <v>0</v>
      </c>
      <c r="P226" s="9">
        <f t="shared" si="20"/>
        <v>0</v>
      </c>
      <c r="Q226" s="9">
        <f t="shared" si="20"/>
        <v>0</v>
      </c>
      <c r="R226" s="61" t="s">
        <v>185</v>
      </c>
    </row>
    <row r="227" spans="1:18" ht="19.05" customHeight="1" x14ac:dyDescent="0.3">
      <c r="B227" s="9">
        <f t="shared" si="20"/>
        <v>0</v>
      </c>
      <c r="C227" s="9">
        <f t="shared" si="20"/>
        <v>0</v>
      </c>
      <c r="D227" s="9">
        <f t="shared" si="20"/>
        <v>0</v>
      </c>
      <c r="E227" s="9">
        <f t="shared" si="20"/>
        <v>0</v>
      </c>
      <c r="F227" s="9">
        <f t="shared" si="20"/>
        <v>0</v>
      </c>
      <c r="G227" s="9">
        <f t="shared" si="20"/>
        <v>0</v>
      </c>
      <c r="H227" s="9">
        <f t="shared" si="20"/>
        <v>0</v>
      </c>
      <c r="I227" s="9">
        <f t="shared" si="20"/>
        <v>0</v>
      </c>
      <c r="J227" s="63">
        <f t="shared" si="20"/>
        <v>16661.403726774148</v>
      </c>
      <c r="K227" s="63">
        <f t="shared" si="20"/>
        <v>-21421.804791566763</v>
      </c>
      <c r="L227" s="9">
        <f t="shared" si="20"/>
        <v>0</v>
      </c>
      <c r="M227" s="9">
        <f t="shared" si="20"/>
        <v>0</v>
      </c>
      <c r="N227" s="9">
        <f t="shared" si="20"/>
        <v>0</v>
      </c>
      <c r="O227" s="9">
        <f t="shared" si="20"/>
        <v>0</v>
      </c>
      <c r="P227" s="63">
        <f t="shared" si="20"/>
        <v>-16661.403726774148</v>
      </c>
      <c r="Q227" s="63">
        <f t="shared" si="20"/>
        <v>21421.804791566763</v>
      </c>
      <c r="R227" s="61" t="s">
        <v>186</v>
      </c>
    </row>
    <row r="228" spans="1:18" ht="19.05" customHeight="1" x14ac:dyDescent="0.3">
      <c r="B228" s="9">
        <f t="shared" si="20"/>
        <v>0</v>
      </c>
      <c r="C228" s="9">
        <f t="shared" si="20"/>
        <v>0</v>
      </c>
      <c r="D228" s="9">
        <f t="shared" si="20"/>
        <v>0</v>
      </c>
      <c r="E228" s="9">
        <f t="shared" si="20"/>
        <v>0</v>
      </c>
      <c r="F228" s="9">
        <f t="shared" si="20"/>
        <v>0</v>
      </c>
      <c r="G228" s="9">
        <f t="shared" si="20"/>
        <v>0</v>
      </c>
      <c r="H228" s="9">
        <f t="shared" si="20"/>
        <v>0</v>
      </c>
      <c r="I228" s="9">
        <f t="shared" si="20"/>
        <v>0</v>
      </c>
      <c r="J228" s="63">
        <f t="shared" si="20"/>
        <v>-21421.804791566763</v>
      </c>
      <c r="K228" s="63">
        <f t="shared" si="20"/>
        <v>27542.32044630012</v>
      </c>
      <c r="L228" s="9">
        <f t="shared" si="20"/>
        <v>0</v>
      </c>
      <c r="M228" s="9">
        <f t="shared" si="20"/>
        <v>0</v>
      </c>
      <c r="N228" s="9">
        <f t="shared" si="20"/>
        <v>0</v>
      </c>
      <c r="O228" s="9">
        <f t="shared" si="20"/>
        <v>0</v>
      </c>
      <c r="P228" s="63">
        <f t="shared" si="20"/>
        <v>21421.804791566763</v>
      </c>
      <c r="Q228" s="63">
        <f t="shared" si="20"/>
        <v>-27542.32044630012</v>
      </c>
      <c r="R228" s="61" t="s">
        <v>187</v>
      </c>
    </row>
    <row r="229" spans="1:18" ht="19.05" customHeight="1" x14ac:dyDescent="0.3">
      <c r="B229" s="9">
        <f t="shared" ref="B229:Q234" si="21">IFERROR(INDEX($B$213:$E$216, MATCH($R229, $B$212:$E$212, 0), MATCH(B$218, $B$212:$E$212, 0)), 0)</f>
        <v>0</v>
      </c>
      <c r="C229" s="9">
        <f t="shared" si="21"/>
        <v>0</v>
      </c>
      <c r="D229" s="9">
        <f t="shared" si="21"/>
        <v>0</v>
      </c>
      <c r="E229" s="9">
        <f t="shared" si="21"/>
        <v>0</v>
      </c>
      <c r="F229" s="9">
        <f t="shared" si="21"/>
        <v>0</v>
      </c>
      <c r="G229" s="9">
        <f t="shared" si="21"/>
        <v>0</v>
      </c>
      <c r="H229" s="9">
        <f t="shared" si="21"/>
        <v>0</v>
      </c>
      <c r="I229" s="9">
        <f t="shared" si="21"/>
        <v>0</v>
      </c>
      <c r="J229" s="9">
        <f t="shared" si="21"/>
        <v>0</v>
      </c>
      <c r="K229" s="9">
        <f t="shared" si="21"/>
        <v>0</v>
      </c>
      <c r="L229" s="9">
        <f t="shared" si="21"/>
        <v>0</v>
      </c>
      <c r="M229" s="9">
        <f t="shared" si="21"/>
        <v>0</v>
      </c>
      <c r="N229" s="9">
        <f t="shared" si="21"/>
        <v>0</v>
      </c>
      <c r="O229" s="9">
        <f t="shared" si="21"/>
        <v>0</v>
      </c>
      <c r="P229" s="9">
        <f t="shared" si="21"/>
        <v>0</v>
      </c>
      <c r="Q229" s="9">
        <f t="shared" si="21"/>
        <v>0</v>
      </c>
      <c r="R229" s="61" t="s">
        <v>188</v>
      </c>
    </row>
    <row r="230" spans="1:18" ht="19.05" customHeight="1" x14ac:dyDescent="0.3">
      <c r="B230" s="9">
        <f t="shared" si="21"/>
        <v>0</v>
      </c>
      <c r="C230" s="9">
        <f t="shared" si="21"/>
        <v>0</v>
      </c>
      <c r="D230" s="9">
        <f t="shared" si="21"/>
        <v>0</v>
      </c>
      <c r="E230" s="9">
        <f t="shared" si="21"/>
        <v>0</v>
      </c>
      <c r="F230" s="9">
        <f t="shared" si="21"/>
        <v>0</v>
      </c>
      <c r="G230" s="9">
        <f t="shared" si="21"/>
        <v>0</v>
      </c>
      <c r="H230" s="9">
        <f t="shared" si="21"/>
        <v>0</v>
      </c>
      <c r="I230" s="9">
        <f t="shared" si="21"/>
        <v>0</v>
      </c>
      <c r="J230" s="9">
        <f t="shared" si="21"/>
        <v>0</v>
      </c>
      <c r="K230" s="9">
        <f t="shared" si="21"/>
        <v>0</v>
      </c>
      <c r="L230" s="9">
        <f t="shared" si="21"/>
        <v>0</v>
      </c>
      <c r="M230" s="9">
        <f t="shared" si="21"/>
        <v>0</v>
      </c>
      <c r="N230" s="9">
        <f t="shared" si="21"/>
        <v>0</v>
      </c>
      <c r="O230" s="9">
        <f t="shared" si="21"/>
        <v>0</v>
      </c>
      <c r="P230" s="9">
        <f t="shared" si="21"/>
        <v>0</v>
      </c>
      <c r="Q230" s="9">
        <f t="shared" si="21"/>
        <v>0</v>
      </c>
      <c r="R230" s="61" t="s">
        <v>189</v>
      </c>
    </row>
    <row r="231" spans="1:18" ht="19.05" customHeight="1" x14ac:dyDescent="0.3">
      <c r="B231" s="9">
        <f t="shared" si="21"/>
        <v>0</v>
      </c>
      <c r="C231" s="9">
        <f t="shared" si="21"/>
        <v>0</v>
      </c>
      <c r="D231" s="9">
        <f t="shared" si="21"/>
        <v>0</v>
      </c>
      <c r="E231" s="9">
        <f t="shared" si="21"/>
        <v>0</v>
      </c>
      <c r="F231" s="9">
        <f t="shared" si="21"/>
        <v>0</v>
      </c>
      <c r="G231" s="9">
        <f t="shared" si="21"/>
        <v>0</v>
      </c>
      <c r="H231" s="9">
        <f t="shared" si="21"/>
        <v>0</v>
      </c>
      <c r="I231" s="9">
        <f t="shared" si="21"/>
        <v>0</v>
      </c>
      <c r="J231" s="9">
        <f t="shared" si="21"/>
        <v>0</v>
      </c>
      <c r="K231" s="9">
        <f t="shared" si="21"/>
        <v>0</v>
      </c>
      <c r="L231" s="9">
        <f t="shared" si="21"/>
        <v>0</v>
      </c>
      <c r="M231" s="9">
        <f t="shared" si="21"/>
        <v>0</v>
      </c>
      <c r="N231" s="9">
        <f t="shared" si="21"/>
        <v>0</v>
      </c>
      <c r="O231" s="9">
        <f t="shared" si="21"/>
        <v>0</v>
      </c>
      <c r="P231" s="9">
        <f t="shared" si="21"/>
        <v>0</v>
      </c>
      <c r="Q231" s="9">
        <f t="shared" si="21"/>
        <v>0</v>
      </c>
      <c r="R231" s="61" t="s">
        <v>579</v>
      </c>
    </row>
    <row r="232" spans="1:18" ht="19.05" customHeight="1" x14ac:dyDescent="0.3">
      <c r="B232" s="9">
        <f t="shared" si="21"/>
        <v>0</v>
      </c>
      <c r="C232" s="9">
        <f t="shared" si="21"/>
        <v>0</v>
      </c>
      <c r="D232" s="9">
        <f t="shared" si="21"/>
        <v>0</v>
      </c>
      <c r="E232" s="9">
        <f t="shared" si="21"/>
        <v>0</v>
      </c>
      <c r="F232" s="9">
        <f t="shared" si="21"/>
        <v>0</v>
      </c>
      <c r="G232" s="9">
        <f t="shared" si="21"/>
        <v>0</v>
      </c>
      <c r="H232" s="9">
        <f t="shared" si="21"/>
        <v>0</v>
      </c>
      <c r="I232" s="9">
        <f t="shared" si="21"/>
        <v>0</v>
      </c>
      <c r="J232" s="9">
        <f t="shared" si="21"/>
        <v>0</v>
      </c>
      <c r="K232" s="9">
        <f t="shared" si="21"/>
        <v>0</v>
      </c>
      <c r="L232" s="9">
        <f t="shared" si="21"/>
        <v>0</v>
      </c>
      <c r="M232" s="9">
        <f t="shared" si="21"/>
        <v>0</v>
      </c>
      <c r="N232" s="9">
        <f t="shared" si="21"/>
        <v>0</v>
      </c>
      <c r="O232" s="9">
        <f t="shared" si="21"/>
        <v>0</v>
      </c>
      <c r="P232" s="9">
        <f t="shared" si="21"/>
        <v>0</v>
      </c>
      <c r="Q232" s="9">
        <f t="shared" si="21"/>
        <v>0</v>
      </c>
      <c r="R232" s="61" t="s">
        <v>580</v>
      </c>
    </row>
    <row r="233" spans="1:18" ht="19.05" customHeight="1" x14ac:dyDescent="0.3">
      <c r="B233" s="9">
        <f t="shared" si="21"/>
        <v>0</v>
      </c>
      <c r="C233" s="9">
        <f t="shared" si="21"/>
        <v>0</v>
      </c>
      <c r="D233" s="9">
        <f t="shared" si="21"/>
        <v>0</v>
      </c>
      <c r="E233" s="9">
        <f t="shared" si="21"/>
        <v>0</v>
      </c>
      <c r="F233" s="9">
        <f t="shared" si="21"/>
        <v>0</v>
      </c>
      <c r="G233" s="9">
        <f t="shared" si="21"/>
        <v>0</v>
      </c>
      <c r="H233" s="9">
        <f t="shared" si="21"/>
        <v>0</v>
      </c>
      <c r="I233" s="9">
        <f t="shared" si="21"/>
        <v>0</v>
      </c>
      <c r="J233" s="63">
        <f t="shared" si="21"/>
        <v>-16661.403726774148</v>
      </c>
      <c r="K233" s="63">
        <f t="shared" si="21"/>
        <v>21421.804791566763</v>
      </c>
      <c r="L233" s="9">
        <f t="shared" si="21"/>
        <v>0</v>
      </c>
      <c r="M233" s="9">
        <f t="shared" si="21"/>
        <v>0</v>
      </c>
      <c r="N233" s="9">
        <f t="shared" si="21"/>
        <v>0</v>
      </c>
      <c r="O233" s="9">
        <f t="shared" si="21"/>
        <v>0</v>
      </c>
      <c r="P233" s="63">
        <f t="shared" si="21"/>
        <v>16661.403726774148</v>
      </c>
      <c r="Q233" s="63">
        <f t="shared" si="21"/>
        <v>-21421.804791566763</v>
      </c>
      <c r="R233" s="61" t="s">
        <v>601</v>
      </c>
    </row>
    <row r="234" spans="1:18" ht="19.05" customHeight="1" x14ac:dyDescent="0.3">
      <c r="B234" s="9">
        <f t="shared" si="21"/>
        <v>0</v>
      </c>
      <c r="C234" s="9">
        <f t="shared" si="21"/>
        <v>0</v>
      </c>
      <c r="D234" s="9">
        <f t="shared" si="21"/>
        <v>0</v>
      </c>
      <c r="E234" s="9">
        <f t="shared" si="21"/>
        <v>0</v>
      </c>
      <c r="F234" s="9">
        <f t="shared" si="21"/>
        <v>0</v>
      </c>
      <c r="G234" s="9">
        <f t="shared" si="21"/>
        <v>0</v>
      </c>
      <c r="H234" s="9">
        <f t="shared" si="21"/>
        <v>0</v>
      </c>
      <c r="I234" s="9">
        <f t="shared" si="21"/>
        <v>0</v>
      </c>
      <c r="J234" s="63">
        <f t="shared" si="21"/>
        <v>21421.804791566763</v>
      </c>
      <c r="K234" s="63">
        <f t="shared" si="21"/>
        <v>-27542.32044630012</v>
      </c>
      <c r="L234" s="9">
        <f t="shared" si="21"/>
        <v>0</v>
      </c>
      <c r="M234" s="9">
        <f t="shared" si="21"/>
        <v>0</v>
      </c>
      <c r="N234" s="9">
        <f t="shared" si="21"/>
        <v>0</v>
      </c>
      <c r="O234" s="9">
        <f t="shared" si="21"/>
        <v>0</v>
      </c>
      <c r="P234" s="63">
        <f t="shared" si="21"/>
        <v>-21421.804791566763</v>
      </c>
      <c r="Q234" s="63">
        <f t="shared" si="21"/>
        <v>27542.32044630012</v>
      </c>
      <c r="R234" s="61" t="s">
        <v>602</v>
      </c>
    </row>
    <row r="237" spans="1:18" ht="18" customHeight="1" x14ac:dyDescent="0.3">
      <c r="B237" s="64" t="str">
        <f>CONCATENATE("U",C30,C$21)</f>
        <v>U6X</v>
      </c>
      <c r="C237" s="64" t="str">
        <f>CONCATENATE("U",D30,D$21)</f>
        <v>U6Y</v>
      </c>
      <c r="D237" s="64" t="str">
        <f>CONCATENATE("U",E30,E$21)</f>
        <v>U2X</v>
      </c>
      <c r="E237" s="64" t="str">
        <f>CONCATENATE("U",F30,F$21)</f>
        <v>U2Y</v>
      </c>
    </row>
    <row r="238" spans="1:18" x14ac:dyDescent="0.3">
      <c r="B238" s="65">
        <f>J14*J14*N14</f>
        <v>0</v>
      </c>
      <c r="C238" s="65">
        <f>J14*K14*N14</f>
        <v>0</v>
      </c>
      <c r="D238" s="65">
        <f>-B238</f>
        <v>0</v>
      </c>
      <c r="E238" s="65">
        <f>-C238</f>
        <v>0</v>
      </c>
      <c r="F238" s="64" t="str">
        <f>B237</f>
        <v>U6X</v>
      </c>
    </row>
    <row r="239" spans="1:18" ht="16.8" customHeight="1" x14ac:dyDescent="0.3">
      <c r="A239" s="28" t="s">
        <v>528</v>
      </c>
      <c r="B239" s="65">
        <f>C238</f>
        <v>0</v>
      </c>
      <c r="C239" s="65">
        <f>K14*K14*N14</f>
        <v>56000</v>
      </c>
      <c r="D239" s="65">
        <f>-B239</f>
        <v>0</v>
      </c>
      <c r="E239" s="65">
        <f>-C239</f>
        <v>-56000</v>
      </c>
      <c r="F239" s="64" t="str">
        <f>C237</f>
        <v>U6Y</v>
      </c>
    </row>
    <row r="240" spans="1:18" x14ac:dyDescent="0.3">
      <c r="B240" s="65">
        <f>D238</f>
        <v>0</v>
      </c>
      <c r="C240" s="65">
        <f>E238</f>
        <v>0</v>
      </c>
      <c r="D240" s="65">
        <f>B238</f>
        <v>0</v>
      </c>
      <c r="E240" s="65">
        <f>C238</f>
        <v>0</v>
      </c>
      <c r="F240" s="64" t="str">
        <f>D237</f>
        <v>U2X</v>
      </c>
    </row>
    <row r="241" spans="1:18" x14ac:dyDescent="0.3">
      <c r="B241" s="65">
        <f>D239</f>
        <v>0</v>
      </c>
      <c r="C241" s="65">
        <f>E239</f>
        <v>-56000</v>
      </c>
      <c r="D241" s="65">
        <f>B239</f>
        <v>0</v>
      </c>
      <c r="E241" s="65">
        <f>C239</f>
        <v>56000</v>
      </c>
      <c r="F241" s="64" t="str">
        <f>E237</f>
        <v>U2Y</v>
      </c>
    </row>
    <row r="243" spans="1:18" ht="18" customHeight="1" x14ac:dyDescent="0.3">
      <c r="B243" s="64" t="s">
        <v>178</v>
      </c>
      <c r="C243" s="64" t="s">
        <v>179</v>
      </c>
      <c r="D243" s="64" t="s">
        <v>180</v>
      </c>
      <c r="E243" s="64" t="s">
        <v>181</v>
      </c>
      <c r="F243" s="64" t="s">
        <v>182</v>
      </c>
      <c r="G243" s="64" t="s">
        <v>183</v>
      </c>
      <c r="H243" s="64" t="s">
        <v>184</v>
      </c>
      <c r="I243" s="64" t="s">
        <v>185</v>
      </c>
      <c r="J243" s="64" t="s">
        <v>186</v>
      </c>
      <c r="K243" s="64" t="s">
        <v>187</v>
      </c>
      <c r="L243" s="64" t="s">
        <v>188</v>
      </c>
      <c r="M243" s="64" t="s">
        <v>189</v>
      </c>
      <c r="N243" s="64" t="s">
        <v>579</v>
      </c>
      <c r="O243" s="64" t="s">
        <v>580</v>
      </c>
      <c r="P243" s="64" t="s">
        <v>601</v>
      </c>
      <c r="Q243" s="64" t="s">
        <v>602</v>
      </c>
    </row>
    <row r="244" spans="1:18" ht="19.05" customHeight="1" x14ac:dyDescent="0.3">
      <c r="B244" s="9">
        <f t="shared" ref="B244:Q253" si="22">IFERROR(INDEX($B$238:$E$241, MATCH($R244, $B$237:$E$237, 0), MATCH(B$243, $B$237:$E$237, 0)), 0)</f>
        <v>0</v>
      </c>
      <c r="C244" s="9">
        <f t="shared" si="22"/>
        <v>0</v>
      </c>
      <c r="D244" s="9">
        <f t="shared" si="22"/>
        <v>0</v>
      </c>
      <c r="E244" s="9">
        <f t="shared" si="22"/>
        <v>0</v>
      </c>
      <c r="F244" s="9">
        <f t="shared" si="22"/>
        <v>0</v>
      </c>
      <c r="G244" s="9">
        <f t="shared" si="22"/>
        <v>0</v>
      </c>
      <c r="H244" s="9">
        <f t="shared" si="22"/>
        <v>0</v>
      </c>
      <c r="I244" s="9">
        <f t="shared" si="22"/>
        <v>0</v>
      </c>
      <c r="J244" s="9">
        <f t="shared" si="22"/>
        <v>0</v>
      </c>
      <c r="K244" s="9">
        <f t="shared" si="22"/>
        <v>0</v>
      </c>
      <c r="L244" s="9">
        <f t="shared" si="22"/>
        <v>0</v>
      </c>
      <c r="M244" s="9">
        <f t="shared" si="22"/>
        <v>0</v>
      </c>
      <c r="N244" s="9">
        <f t="shared" si="22"/>
        <v>0</v>
      </c>
      <c r="O244" s="9">
        <f t="shared" si="22"/>
        <v>0</v>
      </c>
      <c r="P244" s="9">
        <f t="shared" si="22"/>
        <v>0</v>
      </c>
      <c r="Q244" s="9">
        <f t="shared" si="22"/>
        <v>0</v>
      </c>
      <c r="R244" s="64" t="s">
        <v>178</v>
      </c>
    </row>
    <row r="245" spans="1:18" ht="19.05" customHeight="1" x14ac:dyDescent="0.3">
      <c r="B245" s="9">
        <f t="shared" si="22"/>
        <v>0</v>
      </c>
      <c r="C245" s="9">
        <f t="shared" si="22"/>
        <v>0</v>
      </c>
      <c r="D245" s="9">
        <f t="shared" si="22"/>
        <v>0</v>
      </c>
      <c r="E245" s="9">
        <f t="shared" si="22"/>
        <v>0</v>
      </c>
      <c r="F245" s="9">
        <f t="shared" si="22"/>
        <v>0</v>
      </c>
      <c r="G245" s="9">
        <f t="shared" si="22"/>
        <v>0</v>
      </c>
      <c r="H245" s="9">
        <f t="shared" si="22"/>
        <v>0</v>
      </c>
      <c r="I245" s="9">
        <f t="shared" si="22"/>
        <v>0</v>
      </c>
      <c r="J245" s="9">
        <f t="shared" si="22"/>
        <v>0</v>
      </c>
      <c r="K245" s="9">
        <f t="shared" si="22"/>
        <v>0</v>
      </c>
      <c r="L245" s="9">
        <f t="shared" si="22"/>
        <v>0</v>
      </c>
      <c r="M245" s="9">
        <f t="shared" si="22"/>
        <v>0</v>
      </c>
      <c r="N245" s="9">
        <f t="shared" si="22"/>
        <v>0</v>
      </c>
      <c r="O245" s="9">
        <f t="shared" si="22"/>
        <v>0</v>
      </c>
      <c r="P245" s="9">
        <f t="shared" si="22"/>
        <v>0</v>
      </c>
      <c r="Q245" s="9">
        <f t="shared" si="22"/>
        <v>0</v>
      </c>
      <c r="R245" s="64" t="s">
        <v>179</v>
      </c>
    </row>
    <row r="246" spans="1:18" ht="19.05" customHeight="1" x14ac:dyDescent="0.3">
      <c r="B246" s="9">
        <f t="shared" si="22"/>
        <v>0</v>
      </c>
      <c r="C246" s="9">
        <f t="shared" si="22"/>
        <v>0</v>
      </c>
      <c r="D246" s="66">
        <f t="shared" si="22"/>
        <v>0</v>
      </c>
      <c r="E246" s="66">
        <f t="shared" si="22"/>
        <v>0</v>
      </c>
      <c r="F246" s="9">
        <f t="shared" si="22"/>
        <v>0</v>
      </c>
      <c r="G246" s="9">
        <f t="shared" si="22"/>
        <v>0</v>
      </c>
      <c r="H246" s="9">
        <f t="shared" si="22"/>
        <v>0</v>
      </c>
      <c r="I246" s="9">
        <f t="shared" si="22"/>
        <v>0</v>
      </c>
      <c r="J246" s="9">
        <f t="shared" si="22"/>
        <v>0</v>
      </c>
      <c r="K246" s="9">
        <f t="shared" si="22"/>
        <v>0</v>
      </c>
      <c r="L246" s="66">
        <f t="shared" si="22"/>
        <v>0</v>
      </c>
      <c r="M246" s="66">
        <f t="shared" si="22"/>
        <v>0</v>
      </c>
      <c r="N246" s="9">
        <f t="shared" si="22"/>
        <v>0</v>
      </c>
      <c r="O246" s="9">
        <f t="shared" si="22"/>
        <v>0</v>
      </c>
      <c r="P246" s="9">
        <f t="shared" si="22"/>
        <v>0</v>
      </c>
      <c r="Q246" s="9">
        <f t="shared" si="22"/>
        <v>0</v>
      </c>
      <c r="R246" s="64" t="s">
        <v>180</v>
      </c>
    </row>
    <row r="247" spans="1:18" ht="19.05" customHeight="1" x14ac:dyDescent="0.3">
      <c r="B247" s="9">
        <f t="shared" si="22"/>
        <v>0</v>
      </c>
      <c r="C247" s="9">
        <f t="shared" si="22"/>
        <v>0</v>
      </c>
      <c r="D247" s="66">
        <f t="shared" si="22"/>
        <v>0</v>
      </c>
      <c r="E247" s="66">
        <f t="shared" si="22"/>
        <v>56000</v>
      </c>
      <c r="F247" s="9">
        <f t="shared" si="22"/>
        <v>0</v>
      </c>
      <c r="G247" s="9">
        <f t="shared" si="22"/>
        <v>0</v>
      </c>
      <c r="H247" s="9">
        <f t="shared" si="22"/>
        <v>0</v>
      </c>
      <c r="I247" s="9">
        <f t="shared" si="22"/>
        <v>0</v>
      </c>
      <c r="J247" s="9">
        <f t="shared" si="22"/>
        <v>0</v>
      </c>
      <c r="K247" s="9">
        <f t="shared" si="22"/>
        <v>0</v>
      </c>
      <c r="L247" s="66">
        <f t="shared" si="22"/>
        <v>0</v>
      </c>
      <c r="M247" s="66">
        <f t="shared" si="22"/>
        <v>-56000</v>
      </c>
      <c r="N247" s="9">
        <f t="shared" si="22"/>
        <v>0</v>
      </c>
      <c r="O247" s="9">
        <f t="shared" si="22"/>
        <v>0</v>
      </c>
      <c r="P247" s="9">
        <f t="shared" si="22"/>
        <v>0</v>
      </c>
      <c r="Q247" s="9">
        <f t="shared" si="22"/>
        <v>0</v>
      </c>
      <c r="R247" s="64" t="s">
        <v>181</v>
      </c>
    </row>
    <row r="248" spans="1:18" ht="19.05" customHeight="1" x14ac:dyDescent="0.3">
      <c r="B248" s="9">
        <f t="shared" si="22"/>
        <v>0</v>
      </c>
      <c r="C248" s="9">
        <f t="shared" si="22"/>
        <v>0</v>
      </c>
      <c r="D248" s="9">
        <f t="shared" si="22"/>
        <v>0</v>
      </c>
      <c r="E248" s="9">
        <f t="shared" si="22"/>
        <v>0</v>
      </c>
      <c r="F248" s="9">
        <f t="shared" si="22"/>
        <v>0</v>
      </c>
      <c r="G248" s="9">
        <f t="shared" si="22"/>
        <v>0</v>
      </c>
      <c r="H248" s="9">
        <f t="shared" si="22"/>
        <v>0</v>
      </c>
      <c r="I248" s="9">
        <f t="shared" si="22"/>
        <v>0</v>
      </c>
      <c r="J248" s="9">
        <f t="shared" si="22"/>
        <v>0</v>
      </c>
      <c r="K248" s="9">
        <f t="shared" si="22"/>
        <v>0</v>
      </c>
      <c r="L248" s="9">
        <f t="shared" si="22"/>
        <v>0</v>
      </c>
      <c r="M248" s="9">
        <f t="shared" si="22"/>
        <v>0</v>
      </c>
      <c r="N248" s="9">
        <f t="shared" si="22"/>
        <v>0</v>
      </c>
      <c r="O248" s="9">
        <f t="shared" si="22"/>
        <v>0</v>
      </c>
      <c r="P248" s="9">
        <f t="shared" si="22"/>
        <v>0</v>
      </c>
      <c r="Q248" s="9">
        <f t="shared" si="22"/>
        <v>0</v>
      </c>
      <c r="R248" s="64" t="s">
        <v>182</v>
      </c>
    </row>
    <row r="249" spans="1:18" ht="19.05" customHeight="1" x14ac:dyDescent="0.3">
      <c r="B249" s="9">
        <f t="shared" si="22"/>
        <v>0</v>
      </c>
      <c r="C249" s="9">
        <f t="shared" si="22"/>
        <v>0</v>
      </c>
      <c r="D249" s="9">
        <f t="shared" si="22"/>
        <v>0</v>
      </c>
      <c r="E249" s="9">
        <f t="shared" si="22"/>
        <v>0</v>
      </c>
      <c r="F249" s="9">
        <f t="shared" si="22"/>
        <v>0</v>
      </c>
      <c r="G249" s="9">
        <f t="shared" si="22"/>
        <v>0</v>
      </c>
      <c r="H249" s="9">
        <f t="shared" si="22"/>
        <v>0</v>
      </c>
      <c r="I249" s="9">
        <f t="shared" si="22"/>
        <v>0</v>
      </c>
      <c r="J249" s="9">
        <f t="shared" si="22"/>
        <v>0</v>
      </c>
      <c r="K249" s="9">
        <f t="shared" si="22"/>
        <v>0</v>
      </c>
      <c r="L249" s="9">
        <f t="shared" si="22"/>
        <v>0</v>
      </c>
      <c r="M249" s="9">
        <f t="shared" si="22"/>
        <v>0</v>
      </c>
      <c r="N249" s="9">
        <f t="shared" si="22"/>
        <v>0</v>
      </c>
      <c r="O249" s="9">
        <f t="shared" si="22"/>
        <v>0</v>
      </c>
      <c r="P249" s="9">
        <f t="shared" si="22"/>
        <v>0</v>
      </c>
      <c r="Q249" s="9">
        <f t="shared" si="22"/>
        <v>0</v>
      </c>
      <c r="R249" s="64" t="s">
        <v>183</v>
      </c>
    </row>
    <row r="250" spans="1:18" ht="19.05" customHeight="1" x14ac:dyDescent="0.3">
      <c r="B250" s="9">
        <f t="shared" si="22"/>
        <v>0</v>
      </c>
      <c r="C250" s="9">
        <f t="shared" si="22"/>
        <v>0</v>
      </c>
      <c r="D250" s="9">
        <f t="shared" si="22"/>
        <v>0</v>
      </c>
      <c r="E250" s="9">
        <f t="shared" si="22"/>
        <v>0</v>
      </c>
      <c r="F250" s="9">
        <f t="shared" si="22"/>
        <v>0</v>
      </c>
      <c r="G250" s="9">
        <f t="shared" si="22"/>
        <v>0</v>
      </c>
      <c r="H250" s="9">
        <f t="shared" si="22"/>
        <v>0</v>
      </c>
      <c r="I250" s="9">
        <f t="shared" si="22"/>
        <v>0</v>
      </c>
      <c r="J250" s="9">
        <f t="shared" si="22"/>
        <v>0</v>
      </c>
      <c r="K250" s="9">
        <f t="shared" si="22"/>
        <v>0</v>
      </c>
      <c r="L250" s="9">
        <f t="shared" si="22"/>
        <v>0</v>
      </c>
      <c r="M250" s="9">
        <f t="shared" si="22"/>
        <v>0</v>
      </c>
      <c r="N250" s="9">
        <f t="shared" si="22"/>
        <v>0</v>
      </c>
      <c r="O250" s="9">
        <f t="shared" si="22"/>
        <v>0</v>
      </c>
      <c r="P250" s="9">
        <f t="shared" si="22"/>
        <v>0</v>
      </c>
      <c r="Q250" s="9">
        <f t="shared" si="22"/>
        <v>0</v>
      </c>
      <c r="R250" s="64" t="s">
        <v>184</v>
      </c>
    </row>
    <row r="251" spans="1:18" ht="19.05" customHeight="1" x14ac:dyDescent="0.3">
      <c r="A251" s="28" t="s">
        <v>529</v>
      </c>
      <c r="B251" s="9">
        <f t="shared" si="22"/>
        <v>0</v>
      </c>
      <c r="C251" s="9">
        <f t="shared" si="22"/>
        <v>0</v>
      </c>
      <c r="D251" s="9">
        <f t="shared" si="22"/>
        <v>0</v>
      </c>
      <c r="E251" s="9">
        <f t="shared" si="22"/>
        <v>0</v>
      </c>
      <c r="F251" s="9">
        <f t="shared" si="22"/>
        <v>0</v>
      </c>
      <c r="G251" s="9">
        <f t="shared" si="22"/>
        <v>0</v>
      </c>
      <c r="H251" s="9">
        <f t="shared" si="22"/>
        <v>0</v>
      </c>
      <c r="I251" s="9">
        <f t="shared" si="22"/>
        <v>0</v>
      </c>
      <c r="J251" s="9">
        <f t="shared" si="22"/>
        <v>0</v>
      </c>
      <c r="K251" s="9">
        <f t="shared" si="22"/>
        <v>0</v>
      </c>
      <c r="L251" s="9">
        <f t="shared" si="22"/>
        <v>0</v>
      </c>
      <c r="M251" s="9">
        <f t="shared" si="22"/>
        <v>0</v>
      </c>
      <c r="N251" s="9">
        <f t="shared" si="22"/>
        <v>0</v>
      </c>
      <c r="O251" s="9">
        <f t="shared" si="22"/>
        <v>0</v>
      </c>
      <c r="P251" s="9">
        <f t="shared" si="22"/>
        <v>0</v>
      </c>
      <c r="Q251" s="9">
        <f t="shared" si="22"/>
        <v>0</v>
      </c>
      <c r="R251" s="64" t="s">
        <v>185</v>
      </c>
    </row>
    <row r="252" spans="1:18" ht="19.05" customHeight="1" x14ac:dyDescent="0.3">
      <c r="B252" s="9">
        <f t="shared" si="22"/>
        <v>0</v>
      </c>
      <c r="C252" s="9">
        <f t="shared" si="22"/>
        <v>0</v>
      </c>
      <c r="D252" s="9">
        <f t="shared" si="22"/>
        <v>0</v>
      </c>
      <c r="E252" s="9">
        <f t="shared" si="22"/>
        <v>0</v>
      </c>
      <c r="F252" s="9">
        <f t="shared" si="22"/>
        <v>0</v>
      </c>
      <c r="G252" s="9">
        <f t="shared" si="22"/>
        <v>0</v>
      </c>
      <c r="H252" s="9">
        <f t="shared" si="22"/>
        <v>0</v>
      </c>
      <c r="I252" s="9">
        <f t="shared" si="22"/>
        <v>0</v>
      </c>
      <c r="J252" s="9">
        <f t="shared" si="22"/>
        <v>0</v>
      </c>
      <c r="K252" s="9">
        <f t="shared" si="22"/>
        <v>0</v>
      </c>
      <c r="L252" s="9">
        <f t="shared" si="22"/>
        <v>0</v>
      </c>
      <c r="M252" s="9">
        <f t="shared" si="22"/>
        <v>0</v>
      </c>
      <c r="N252" s="9">
        <f t="shared" si="22"/>
        <v>0</v>
      </c>
      <c r="O252" s="9">
        <f t="shared" si="22"/>
        <v>0</v>
      </c>
      <c r="P252" s="9">
        <f t="shared" si="22"/>
        <v>0</v>
      </c>
      <c r="Q252" s="9">
        <f t="shared" si="22"/>
        <v>0</v>
      </c>
      <c r="R252" s="64" t="s">
        <v>186</v>
      </c>
    </row>
    <row r="253" spans="1:18" ht="19.05" customHeight="1" x14ac:dyDescent="0.3">
      <c r="B253" s="9">
        <f t="shared" si="22"/>
        <v>0</v>
      </c>
      <c r="C253" s="9">
        <f t="shared" si="22"/>
        <v>0</v>
      </c>
      <c r="D253" s="9">
        <f t="shared" si="22"/>
        <v>0</v>
      </c>
      <c r="E253" s="9">
        <f t="shared" si="22"/>
        <v>0</v>
      </c>
      <c r="F253" s="9">
        <f t="shared" si="22"/>
        <v>0</v>
      </c>
      <c r="G253" s="9">
        <f t="shared" si="22"/>
        <v>0</v>
      </c>
      <c r="H253" s="9">
        <f t="shared" si="22"/>
        <v>0</v>
      </c>
      <c r="I253" s="9">
        <f t="shared" si="22"/>
        <v>0</v>
      </c>
      <c r="J253" s="9">
        <f t="shared" si="22"/>
        <v>0</v>
      </c>
      <c r="K253" s="9">
        <f t="shared" si="22"/>
        <v>0</v>
      </c>
      <c r="L253" s="9">
        <f t="shared" si="22"/>
        <v>0</v>
      </c>
      <c r="M253" s="9">
        <f t="shared" si="22"/>
        <v>0</v>
      </c>
      <c r="N253" s="9">
        <f t="shared" si="22"/>
        <v>0</v>
      </c>
      <c r="O253" s="9">
        <f t="shared" si="22"/>
        <v>0</v>
      </c>
      <c r="P253" s="9">
        <f t="shared" si="22"/>
        <v>0</v>
      </c>
      <c r="Q253" s="9">
        <f t="shared" si="22"/>
        <v>0</v>
      </c>
      <c r="R253" s="64" t="s">
        <v>187</v>
      </c>
    </row>
    <row r="254" spans="1:18" ht="19.05" customHeight="1" x14ac:dyDescent="0.3">
      <c r="B254" s="9">
        <f t="shared" ref="B254:Q259" si="23">IFERROR(INDEX($B$238:$E$241, MATCH($R254, $B$237:$E$237, 0), MATCH(B$243, $B$237:$E$237, 0)), 0)</f>
        <v>0</v>
      </c>
      <c r="C254" s="9">
        <f t="shared" si="23"/>
        <v>0</v>
      </c>
      <c r="D254" s="66">
        <f t="shared" si="23"/>
        <v>0</v>
      </c>
      <c r="E254" s="66">
        <f t="shared" si="23"/>
        <v>0</v>
      </c>
      <c r="F254" s="9">
        <f t="shared" si="23"/>
        <v>0</v>
      </c>
      <c r="G254" s="9">
        <f t="shared" si="23"/>
        <v>0</v>
      </c>
      <c r="H254" s="9">
        <f t="shared" si="23"/>
        <v>0</v>
      </c>
      <c r="I254" s="9">
        <f t="shared" si="23"/>
        <v>0</v>
      </c>
      <c r="J254" s="9">
        <f t="shared" si="23"/>
        <v>0</v>
      </c>
      <c r="K254" s="9">
        <f t="shared" si="23"/>
        <v>0</v>
      </c>
      <c r="L254" s="66">
        <f t="shared" si="23"/>
        <v>0</v>
      </c>
      <c r="M254" s="66">
        <f t="shared" si="23"/>
        <v>0</v>
      </c>
      <c r="N254" s="9">
        <f t="shared" si="23"/>
        <v>0</v>
      </c>
      <c r="O254" s="9">
        <f t="shared" si="23"/>
        <v>0</v>
      </c>
      <c r="P254" s="9">
        <f t="shared" si="23"/>
        <v>0</v>
      </c>
      <c r="Q254" s="9">
        <f t="shared" si="23"/>
        <v>0</v>
      </c>
      <c r="R254" s="64" t="s">
        <v>188</v>
      </c>
    </row>
    <row r="255" spans="1:18" ht="19.05" customHeight="1" x14ac:dyDescent="0.3">
      <c r="B255" s="9">
        <f t="shared" si="23"/>
        <v>0</v>
      </c>
      <c r="C255" s="9">
        <f t="shared" si="23"/>
        <v>0</v>
      </c>
      <c r="D255" s="66">
        <f t="shared" si="23"/>
        <v>0</v>
      </c>
      <c r="E255" s="66">
        <f t="shared" si="23"/>
        <v>-56000</v>
      </c>
      <c r="F255" s="9">
        <f t="shared" si="23"/>
        <v>0</v>
      </c>
      <c r="G255" s="9">
        <f t="shared" si="23"/>
        <v>0</v>
      </c>
      <c r="H255" s="9">
        <f t="shared" si="23"/>
        <v>0</v>
      </c>
      <c r="I255" s="9">
        <f t="shared" si="23"/>
        <v>0</v>
      </c>
      <c r="J255" s="9">
        <f t="shared" si="23"/>
        <v>0</v>
      </c>
      <c r="K255" s="9">
        <f t="shared" si="23"/>
        <v>0</v>
      </c>
      <c r="L255" s="66">
        <f t="shared" si="23"/>
        <v>0</v>
      </c>
      <c r="M255" s="66">
        <f t="shared" si="23"/>
        <v>56000</v>
      </c>
      <c r="N255" s="9">
        <f t="shared" si="23"/>
        <v>0</v>
      </c>
      <c r="O255" s="9">
        <f t="shared" si="23"/>
        <v>0</v>
      </c>
      <c r="P255" s="9">
        <f t="shared" si="23"/>
        <v>0</v>
      </c>
      <c r="Q255" s="9">
        <f t="shared" si="23"/>
        <v>0</v>
      </c>
      <c r="R255" s="64" t="s">
        <v>189</v>
      </c>
    </row>
    <row r="256" spans="1:18" ht="19.05" customHeight="1" x14ac:dyDescent="0.3">
      <c r="B256" s="9">
        <f t="shared" si="23"/>
        <v>0</v>
      </c>
      <c r="C256" s="9">
        <f t="shared" si="23"/>
        <v>0</v>
      </c>
      <c r="D256" s="9">
        <f t="shared" si="23"/>
        <v>0</v>
      </c>
      <c r="E256" s="9">
        <f t="shared" si="23"/>
        <v>0</v>
      </c>
      <c r="F256" s="9">
        <f t="shared" si="23"/>
        <v>0</v>
      </c>
      <c r="G256" s="9">
        <f t="shared" si="23"/>
        <v>0</v>
      </c>
      <c r="H256" s="9">
        <f t="shared" si="23"/>
        <v>0</v>
      </c>
      <c r="I256" s="9">
        <f t="shared" si="23"/>
        <v>0</v>
      </c>
      <c r="J256" s="9">
        <f t="shared" si="23"/>
        <v>0</v>
      </c>
      <c r="K256" s="9">
        <f t="shared" si="23"/>
        <v>0</v>
      </c>
      <c r="L256" s="9">
        <f t="shared" si="23"/>
        <v>0</v>
      </c>
      <c r="M256" s="9">
        <f t="shared" si="23"/>
        <v>0</v>
      </c>
      <c r="N256" s="9">
        <f t="shared" si="23"/>
        <v>0</v>
      </c>
      <c r="O256" s="9">
        <f t="shared" si="23"/>
        <v>0</v>
      </c>
      <c r="P256" s="9">
        <f t="shared" si="23"/>
        <v>0</v>
      </c>
      <c r="Q256" s="9">
        <f t="shared" si="23"/>
        <v>0</v>
      </c>
      <c r="R256" s="64" t="s">
        <v>579</v>
      </c>
    </row>
    <row r="257" spans="1:18" ht="19.05" customHeight="1" x14ac:dyDescent="0.3">
      <c r="B257" s="9">
        <f t="shared" si="23"/>
        <v>0</v>
      </c>
      <c r="C257" s="9">
        <f t="shared" si="23"/>
        <v>0</v>
      </c>
      <c r="D257" s="9">
        <f t="shared" si="23"/>
        <v>0</v>
      </c>
      <c r="E257" s="9">
        <f t="shared" si="23"/>
        <v>0</v>
      </c>
      <c r="F257" s="9">
        <f t="shared" si="23"/>
        <v>0</v>
      </c>
      <c r="G257" s="9">
        <f t="shared" si="23"/>
        <v>0</v>
      </c>
      <c r="H257" s="9">
        <f t="shared" si="23"/>
        <v>0</v>
      </c>
      <c r="I257" s="9">
        <f t="shared" si="23"/>
        <v>0</v>
      </c>
      <c r="J257" s="9">
        <f t="shared" si="23"/>
        <v>0</v>
      </c>
      <c r="K257" s="9">
        <f t="shared" si="23"/>
        <v>0</v>
      </c>
      <c r="L257" s="9">
        <f t="shared" si="23"/>
        <v>0</v>
      </c>
      <c r="M257" s="9">
        <f t="shared" si="23"/>
        <v>0</v>
      </c>
      <c r="N257" s="9">
        <f t="shared" si="23"/>
        <v>0</v>
      </c>
      <c r="O257" s="9">
        <f t="shared" si="23"/>
        <v>0</v>
      </c>
      <c r="P257" s="9">
        <f t="shared" si="23"/>
        <v>0</v>
      </c>
      <c r="Q257" s="9">
        <f t="shared" si="23"/>
        <v>0</v>
      </c>
      <c r="R257" s="64" t="s">
        <v>580</v>
      </c>
    </row>
    <row r="258" spans="1:18" ht="19.05" customHeight="1" x14ac:dyDescent="0.3">
      <c r="B258" s="9">
        <f t="shared" si="23"/>
        <v>0</v>
      </c>
      <c r="C258" s="9">
        <f t="shared" si="23"/>
        <v>0</v>
      </c>
      <c r="D258" s="9">
        <f t="shared" si="23"/>
        <v>0</v>
      </c>
      <c r="E258" s="9">
        <f t="shared" si="23"/>
        <v>0</v>
      </c>
      <c r="F258" s="9">
        <f t="shared" si="23"/>
        <v>0</v>
      </c>
      <c r="G258" s="9">
        <f t="shared" si="23"/>
        <v>0</v>
      </c>
      <c r="H258" s="9">
        <f t="shared" si="23"/>
        <v>0</v>
      </c>
      <c r="I258" s="9">
        <f t="shared" si="23"/>
        <v>0</v>
      </c>
      <c r="J258" s="9">
        <f t="shared" si="23"/>
        <v>0</v>
      </c>
      <c r="K258" s="9">
        <f t="shared" si="23"/>
        <v>0</v>
      </c>
      <c r="L258" s="9">
        <f t="shared" si="23"/>
        <v>0</v>
      </c>
      <c r="M258" s="9">
        <f t="shared" si="23"/>
        <v>0</v>
      </c>
      <c r="N258" s="9">
        <f t="shared" si="23"/>
        <v>0</v>
      </c>
      <c r="O258" s="9">
        <f t="shared" si="23"/>
        <v>0</v>
      </c>
      <c r="P258" s="9">
        <f t="shared" si="23"/>
        <v>0</v>
      </c>
      <c r="Q258" s="9">
        <f t="shared" si="23"/>
        <v>0</v>
      </c>
      <c r="R258" s="64" t="s">
        <v>601</v>
      </c>
    </row>
    <row r="259" spans="1:18" ht="19.05" customHeight="1" x14ac:dyDescent="0.3">
      <c r="B259" s="9">
        <f t="shared" si="23"/>
        <v>0</v>
      </c>
      <c r="C259" s="9">
        <f t="shared" si="23"/>
        <v>0</v>
      </c>
      <c r="D259" s="9">
        <f t="shared" si="23"/>
        <v>0</v>
      </c>
      <c r="E259" s="9">
        <f t="shared" si="23"/>
        <v>0</v>
      </c>
      <c r="F259" s="9">
        <f t="shared" si="23"/>
        <v>0</v>
      </c>
      <c r="G259" s="9">
        <f t="shared" si="23"/>
        <v>0</v>
      </c>
      <c r="H259" s="9">
        <f t="shared" si="23"/>
        <v>0</v>
      </c>
      <c r="I259" s="9">
        <f t="shared" si="23"/>
        <v>0</v>
      </c>
      <c r="J259" s="9">
        <f t="shared" si="23"/>
        <v>0</v>
      </c>
      <c r="K259" s="9">
        <f t="shared" si="23"/>
        <v>0</v>
      </c>
      <c r="L259" s="9">
        <f t="shared" si="23"/>
        <v>0</v>
      </c>
      <c r="M259" s="9">
        <f t="shared" si="23"/>
        <v>0</v>
      </c>
      <c r="N259" s="9">
        <f t="shared" si="23"/>
        <v>0</v>
      </c>
      <c r="O259" s="9">
        <f t="shared" si="23"/>
        <v>0</v>
      </c>
      <c r="P259" s="9">
        <f t="shared" si="23"/>
        <v>0</v>
      </c>
      <c r="Q259" s="9">
        <f t="shared" si="23"/>
        <v>0</v>
      </c>
      <c r="R259" s="64" t="s">
        <v>602</v>
      </c>
    </row>
    <row r="262" spans="1:18" ht="18" customHeight="1" x14ac:dyDescent="0.3">
      <c r="B262" s="69" t="str">
        <f>CONCATENATE("U",C31,C$21)</f>
        <v>U2X</v>
      </c>
      <c r="C262" s="69" t="str">
        <f>CONCATENATE("U",D31,D$21)</f>
        <v>U2Y</v>
      </c>
      <c r="D262" s="69" t="str">
        <f>CONCATENATE("U",E31,E$21)</f>
        <v>U7X</v>
      </c>
      <c r="E262" s="69" t="str">
        <f>CONCATENATE("U",F31,F$21)</f>
        <v>U7Y</v>
      </c>
    </row>
    <row r="263" spans="1:18" x14ac:dyDescent="0.3">
      <c r="B263" s="70">
        <f>J15*J15*N15</f>
        <v>16661.403726774148</v>
      </c>
      <c r="C263" s="70">
        <f>J15*K15*N15</f>
        <v>21421.804791566763</v>
      </c>
      <c r="D263" s="70">
        <f>-B263</f>
        <v>-16661.403726774148</v>
      </c>
      <c r="E263" s="70">
        <f>-C263</f>
        <v>-21421.804791566763</v>
      </c>
      <c r="F263" s="69" t="str">
        <f>B262</f>
        <v>U2X</v>
      </c>
    </row>
    <row r="264" spans="1:18" ht="16.8" customHeight="1" x14ac:dyDescent="0.3">
      <c r="A264" s="28" t="s">
        <v>581</v>
      </c>
      <c r="B264" s="70">
        <f>C263</f>
        <v>21421.804791566763</v>
      </c>
      <c r="C264" s="70">
        <f>K15*K15*N15</f>
        <v>27542.32044630012</v>
      </c>
      <c r="D264" s="70">
        <f>-B264</f>
        <v>-21421.804791566763</v>
      </c>
      <c r="E264" s="70">
        <f>-C264</f>
        <v>-27542.32044630012</v>
      </c>
      <c r="F264" s="69" t="str">
        <f>C262</f>
        <v>U2Y</v>
      </c>
    </row>
    <row r="265" spans="1:18" x14ac:dyDescent="0.3">
      <c r="B265" s="70">
        <f>D263</f>
        <v>-16661.403726774148</v>
      </c>
      <c r="C265" s="70">
        <f>E263</f>
        <v>-21421.804791566763</v>
      </c>
      <c r="D265" s="70">
        <f>B263</f>
        <v>16661.403726774148</v>
      </c>
      <c r="E265" s="70">
        <f>C263</f>
        <v>21421.804791566763</v>
      </c>
      <c r="F265" s="69" t="str">
        <f>D262</f>
        <v>U7X</v>
      </c>
    </row>
    <row r="266" spans="1:18" x14ac:dyDescent="0.3">
      <c r="B266" s="70">
        <f>D264</f>
        <v>-21421.804791566763</v>
      </c>
      <c r="C266" s="70">
        <f>E264</f>
        <v>-27542.32044630012</v>
      </c>
      <c r="D266" s="70">
        <f>B264</f>
        <v>21421.804791566763</v>
      </c>
      <c r="E266" s="70">
        <f>C264</f>
        <v>27542.32044630012</v>
      </c>
      <c r="F266" s="69" t="str">
        <f>E262</f>
        <v>U7Y</v>
      </c>
    </row>
    <row r="268" spans="1:18" ht="18" customHeight="1" x14ac:dyDescent="0.3">
      <c r="B268" s="69" t="s">
        <v>178</v>
      </c>
      <c r="C268" s="69" t="s">
        <v>179</v>
      </c>
      <c r="D268" s="69" t="s">
        <v>180</v>
      </c>
      <c r="E268" s="69" t="s">
        <v>181</v>
      </c>
      <c r="F268" s="69" t="s">
        <v>182</v>
      </c>
      <c r="G268" s="69" t="s">
        <v>183</v>
      </c>
      <c r="H268" s="69" t="s">
        <v>184</v>
      </c>
      <c r="I268" s="69" t="s">
        <v>185</v>
      </c>
      <c r="J268" s="69" t="s">
        <v>186</v>
      </c>
      <c r="K268" s="69" t="s">
        <v>187</v>
      </c>
      <c r="L268" s="69" t="s">
        <v>188</v>
      </c>
      <c r="M268" s="69" t="s">
        <v>189</v>
      </c>
      <c r="N268" s="69" t="s">
        <v>579</v>
      </c>
      <c r="O268" s="69" t="s">
        <v>580</v>
      </c>
      <c r="P268" s="69" t="s">
        <v>601</v>
      </c>
      <c r="Q268" s="69" t="s">
        <v>602</v>
      </c>
    </row>
    <row r="269" spans="1:18" ht="19.05" customHeight="1" x14ac:dyDescent="0.3">
      <c r="B269" s="9">
        <f t="shared" ref="B269:Q278" si="24">IFERROR(INDEX($B$263:$E$266, MATCH($R269, $B$262:$E$262, 0), MATCH(B$268, $B$262:$E$262, 0)), 0)</f>
        <v>0</v>
      </c>
      <c r="C269" s="9">
        <f t="shared" si="24"/>
        <v>0</v>
      </c>
      <c r="D269" s="9">
        <f t="shared" si="24"/>
        <v>0</v>
      </c>
      <c r="E269" s="9">
        <f t="shared" si="24"/>
        <v>0</v>
      </c>
      <c r="F269" s="9">
        <f t="shared" si="24"/>
        <v>0</v>
      </c>
      <c r="G269" s="9">
        <f t="shared" si="24"/>
        <v>0</v>
      </c>
      <c r="H269" s="9">
        <f t="shared" si="24"/>
        <v>0</v>
      </c>
      <c r="I269" s="9">
        <f t="shared" si="24"/>
        <v>0</v>
      </c>
      <c r="J269" s="9">
        <f t="shared" si="24"/>
        <v>0</v>
      </c>
      <c r="K269" s="9">
        <f t="shared" si="24"/>
        <v>0</v>
      </c>
      <c r="L269" s="9">
        <f t="shared" si="24"/>
        <v>0</v>
      </c>
      <c r="M269" s="9">
        <f t="shared" si="24"/>
        <v>0</v>
      </c>
      <c r="N269" s="9">
        <f t="shared" si="24"/>
        <v>0</v>
      </c>
      <c r="O269" s="9">
        <f t="shared" si="24"/>
        <v>0</v>
      </c>
      <c r="P269" s="9">
        <f t="shared" si="24"/>
        <v>0</v>
      </c>
      <c r="Q269" s="9">
        <f t="shared" si="24"/>
        <v>0</v>
      </c>
      <c r="R269" s="69" t="s">
        <v>178</v>
      </c>
    </row>
    <row r="270" spans="1:18" ht="19.05" customHeight="1" x14ac:dyDescent="0.3">
      <c r="B270" s="9">
        <f t="shared" si="24"/>
        <v>0</v>
      </c>
      <c r="C270" s="9">
        <f t="shared" si="24"/>
        <v>0</v>
      </c>
      <c r="D270" s="9">
        <f t="shared" si="24"/>
        <v>0</v>
      </c>
      <c r="E270" s="9">
        <f t="shared" si="24"/>
        <v>0</v>
      </c>
      <c r="F270" s="9">
        <f t="shared" si="24"/>
        <v>0</v>
      </c>
      <c r="G270" s="9">
        <f t="shared" si="24"/>
        <v>0</v>
      </c>
      <c r="H270" s="9">
        <f t="shared" si="24"/>
        <v>0</v>
      </c>
      <c r="I270" s="9">
        <f t="shared" si="24"/>
        <v>0</v>
      </c>
      <c r="J270" s="9">
        <f t="shared" si="24"/>
        <v>0</v>
      </c>
      <c r="K270" s="9">
        <f t="shared" si="24"/>
        <v>0</v>
      </c>
      <c r="L270" s="9">
        <f t="shared" si="24"/>
        <v>0</v>
      </c>
      <c r="M270" s="9">
        <f t="shared" si="24"/>
        <v>0</v>
      </c>
      <c r="N270" s="9">
        <f t="shared" si="24"/>
        <v>0</v>
      </c>
      <c r="O270" s="9">
        <f t="shared" si="24"/>
        <v>0</v>
      </c>
      <c r="P270" s="9">
        <f t="shared" si="24"/>
        <v>0</v>
      </c>
      <c r="Q270" s="9">
        <f t="shared" si="24"/>
        <v>0</v>
      </c>
      <c r="R270" s="69" t="s">
        <v>179</v>
      </c>
    </row>
    <row r="271" spans="1:18" ht="19.05" customHeight="1" x14ac:dyDescent="0.3">
      <c r="B271" s="9">
        <f t="shared" si="24"/>
        <v>0</v>
      </c>
      <c r="C271" s="9">
        <f t="shared" si="24"/>
        <v>0</v>
      </c>
      <c r="D271" s="71">
        <f t="shared" si="24"/>
        <v>16661.403726774148</v>
      </c>
      <c r="E271" s="71">
        <f t="shared" si="24"/>
        <v>21421.804791566763</v>
      </c>
      <c r="F271" s="9">
        <f t="shared" si="24"/>
        <v>0</v>
      </c>
      <c r="G271" s="9">
        <f t="shared" si="24"/>
        <v>0</v>
      </c>
      <c r="H271" s="9">
        <f t="shared" si="24"/>
        <v>0</v>
      </c>
      <c r="I271" s="9">
        <f t="shared" si="24"/>
        <v>0</v>
      </c>
      <c r="J271" s="9">
        <f t="shared" si="24"/>
        <v>0</v>
      </c>
      <c r="K271" s="9">
        <f t="shared" si="24"/>
        <v>0</v>
      </c>
      <c r="L271" s="9">
        <f t="shared" si="24"/>
        <v>0</v>
      </c>
      <c r="M271" s="9">
        <f t="shared" si="24"/>
        <v>0</v>
      </c>
      <c r="N271" s="71">
        <f t="shared" si="24"/>
        <v>-16661.403726774148</v>
      </c>
      <c r="O271" s="71">
        <f t="shared" si="24"/>
        <v>-21421.804791566763</v>
      </c>
      <c r="P271" s="9">
        <f t="shared" si="24"/>
        <v>0</v>
      </c>
      <c r="Q271" s="9">
        <f t="shared" si="24"/>
        <v>0</v>
      </c>
      <c r="R271" s="69" t="s">
        <v>180</v>
      </c>
    </row>
    <row r="272" spans="1:18" ht="19.05" customHeight="1" x14ac:dyDescent="0.3">
      <c r="B272" s="9">
        <f t="shared" si="24"/>
        <v>0</v>
      </c>
      <c r="C272" s="9">
        <f t="shared" si="24"/>
        <v>0</v>
      </c>
      <c r="D272" s="71">
        <f t="shared" si="24"/>
        <v>21421.804791566763</v>
      </c>
      <c r="E272" s="71">
        <f t="shared" si="24"/>
        <v>27542.32044630012</v>
      </c>
      <c r="F272" s="9">
        <f t="shared" si="24"/>
        <v>0</v>
      </c>
      <c r="G272" s="9">
        <f t="shared" si="24"/>
        <v>0</v>
      </c>
      <c r="H272" s="9">
        <f t="shared" si="24"/>
        <v>0</v>
      </c>
      <c r="I272" s="9">
        <f t="shared" si="24"/>
        <v>0</v>
      </c>
      <c r="J272" s="9">
        <f t="shared" si="24"/>
        <v>0</v>
      </c>
      <c r="K272" s="9">
        <f t="shared" si="24"/>
        <v>0</v>
      </c>
      <c r="L272" s="9">
        <f t="shared" si="24"/>
        <v>0</v>
      </c>
      <c r="M272" s="9">
        <f t="shared" si="24"/>
        <v>0</v>
      </c>
      <c r="N272" s="71">
        <f t="shared" si="24"/>
        <v>-21421.804791566763</v>
      </c>
      <c r="O272" s="71">
        <f t="shared" si="24"/>
        <v>-27542.32044630012</v>
      </c>
      <c r="P272" s="9">
        <f t="shared" si="24"/>
        <v>0</v>
      </c>
      <c r="Q272" s="9">
        <f t="shared" si="24"/>
        <v>0</v>
      </c>
      <c r="R272" s="69" t="s">
        <v>181</v>
      </c>
    </row>
    <row r="273" spans="1:18" ht="19.05" customHeight="1" x14ac:dyDescent="0.3">
      <c r="B273" s="9">
        <f t="shared" si="24"/>
        <v>0</v>
      </c>
      <c r="C273" s="9">
        <f t="shared" si="24"/>
        <v>0</v>
      </c>
      <c r="D273" s="9">
        <f t="shared" si="24"/>
        <v>0</v>
      </c>
      <c r="E273" s="9">
        <f t="shared" si="24"/>
        <v>0</v>
      </c>
      <c r="F273" s="9">
        <f t="shared" si="24"/>
        <v>0</v>
      </c>
      <c r="G273" s="9">
        <f t="shared" si="24"/>
        <v>0</v>
      </c>
      <c r="H273" s="9">
        <f t="shared" si="24"/>
        <v>0</v>
      </c>
      <c r="I273" s="9">
        <f t="shared" si="24"/>
        <v>0</v>
      </c>
      <c r="J273" s="9">
        <f t="shared" si="24"/>
        <v>0</v>
      </c>
      <c r="K273" s="9">
        <f t="shared" si="24"/>
        <v>0</v>
      </c>
      <c r="L273" s="9">
        <f t="shared" si="24"/>
        <v>0</v>
      </c>
      <c r="M273" s="9">
        <f t="shared" si="24"/>
        <v>0</v>
      </c>
      <c r="N273" s="9">
        <f t="shared" si="24"/>
        <v>0</v>
      </c>
      <c r="O273" s="9">
        <f t="shared" si="24"/>
        <v>0</v>
      </c>
      <c r="P273" s="9">
        <f t="shared" si="24"/>
        <v>0</v>
      </c>
      <c r="Q273" s="9">
        <f t="shared" si="24"/>
        <v>0</v>
      </c>
      <c r="R273" s="69" t="s">
        <v>182</v>
      </c>
    </row>
    <row r="274" spans="1:18" ht="19.05" customHeight="1" x14ac:dyDescent="0.3">
      <c r="B274" s="9">
        <f t="shared" si="24"/>
        <v>0</v>
      </c>
      <c r="C274" s="9">
        <f t="shared" si="24"/>
        <v>0</v>
      </c>
      <c r="D274" s="9">
        <f t="shared" si="24"/>
        <v>0</v>
      </c>
      <c r="E274" s="9">
        <f t="shared" si="24"/>
        <v>0</v>
      </c>
      <c r="F274" s="9">
        <f t="shared" si="24"/>
        <v>0</v>
      </c>
      <c r="G274" s="9">
        <f t="shared" si="24"/>
        <v>0</v>
      </c>
      <c r="H274" s="9">
        <f t="shared" si="24"/>
        <v>0</v>
      </c>
      <c r="I274" s="9">
        <f t="shared" si="24"/>
        <v>0</v>
      </c>
      <c r="J274" s="9">
        <f t="shared" si="24"/>
        <v>0</v>
      </c>
      <c r="K274" s="9">
        <f t="shared" si="24"/>
        <v>0</v>
      </c>
      <c r="L274" s="9">
        <f t="shared" si="24"/>
        <v>0</v>
      </c>
      <c r="M274" s="9">
        <f t="shared" si="24"/>
        <v>0</v>
      </c>
      <c r="N274" s="9">
        <f t="shared" si="24"/>
        <v>0</v>
      </c>
      <c r="O274" s="9">
        <f t="shared" si="24"/>
        <v>0</v>
      </c>
      <c r="P274" s="9">
        <f t="shared" si="24"/>
        <v>0</v>
      </c>
      <c r="Q274" s="9">
        <f t="shared" si="24"/>
        <v>0</v>
      </c>
      <c r="R274" s="69" t="s">
        <v>183</v>
      </c>
    </row>
    <row r="275" spans="1:18" ht="19.05" customHeight="1" x14ac:dyDescent="0.3">
      <c r="B275" s="9">
        <f t="shared" si="24"/>
        <v>0</v>
      </c>
      <c r="C275" s="9">
        <f t="shared" si="24"/>
        <v>0</v>
      </c>
      <c r="D275" s="9">
        <f t="shared" si="24"/>
        <v>0</v>
      </c>
      <c r="E275" s="9">
        <f t="shared" si="24"/>
        <v>0</v>
      </c>
      <c r="F275" s="9">
        <f t="shared" si="24"/>
        <v>0</v>
      </c>
      <c r="G275" s="9">
        <f t="shared" si="24"/>
        <v>0</v>
      </c>
      <c r="H275" s="9">
        <f t="shared" si="24"/>
        <v>0</v>
      </c>
      <c r="I275" s="9">
        <f t="shared" si="24"/>
        <v>0</v>
      </c>
      <c r="J275" s="9">
        <f t="shared" si="24"/>
        <v>0</v>
      </c>
      <c r="K275" s="9">
        <f t="shared" si="24"/>
        <v>0</v>
      </c>
      <c r="L275" s="9">
        <f t="shared" si="24"/>
        <v>0</v>
      </c>
      <c r="M275" s="9">
        <f t="shared" si="24"/>
        <v>0</v>
      </c>
      <c r="N275" s="9">
        <f t="shared" si="24"/>
        <v>0</v>
      </c>
      <c r="O275" s="9">
        <f t="shared" si="24"/>
        <v>0</v>
      </c>
      <c r="P275" s="9">
        <f t="shared" si="24"/>
        <v>0</v>
      </c>
      <c r="Q275" s="9">
        <f t="shared" si="24"/>
        <v>0</v>
      </c>
      <c r="R275" s="69" t="s">
        <v>184</v>
      </c>
    </row>
    <row r="276" spans="1:18" ht="19.05" customHeight="1" x14ac:dyDescent="0.3">
      <c r="A276" s="28" t="s">
        <v>582</v>
      </c>
      <c r="B276" s="9">
        <f t="shared" si="24"/>
        <v>0</v>
      </c>
      <c r="C276" s="9">
        <f t="shared" si="24"/>
        <v>0</v>
      </c>
      <c r="D276" s="9">
        <f t="shared" si="24"/>
        <v>0</v>
      </c>
      <c r="E276" s="9">
        <f t="shared" si="24"/>
        <v>0</v>
      </c>
      <c r="F276" s="9">
        <f t="shared" si="24"/>
        <v>0</v>
      </c>
      <c r="G276" s="9">
        <f t="shared" si="24"/>
        <v>0</v>
      </c>
      <c r="H276" s="9">
        <f t="shared" si="24"/>
        <v>0</v>
      </c>
      <c r="I276" s="9">
        <f t="shared" si="24"/>
        <v>0</v>
      </c>
      <c r="J276" s="9">
        <f t="shared" si="24"/>
        <v>0</v>
      </c>
      <c r="K276" s="9">
        <f t="shared" si="24"/>
        <v>0</v>
      </c>
      <c r="L276" s="9">
        <f t="shared" si="24"/>
        <v>0</v>
      </c>
      <c r="M276" s="9">
        <f t="shared" si="24"/>
        <v>0</v>
      </c>
      <c r="N276" s="9">
        <f t="shared" si="24"/>
        <v>0</v>
      </c>
      <c r="O276" s="9">
        <f t="shared" si="24"/>
        <v>0</v>
      </c>
      <c r="P276" s="9">
        <f t="shared" si="24"/>
        <v>0</v>
      </c>
      <c r="Q276" s="9">
        <f t="shared" si="24"/>
        <v>0</v>
      </c>
      <c r="R276" s="69" t="s">
        <v>185</v>
      </c>
    </row>
    <row r="277" spans="1:18" ht="19.05" customHeight="1" x14ac:dyDescent="0.3">
      <c r="B277" s="9">
        <f t="shared" si="24"/>
        <v>0</v>
      </c>
      <c r="C277" s="9">
        <f t="shared" si="24"/>
        <v>0</v>
      </c>
      <c r="D277" s="9">
        <f t="shared" si="24"/>
        <v>0</v>
      </c>
      <c r="E277" s="9">
        <f t="shared" si="24"/>
        <v>0</v>
      </c>
      <c r="F277" s="9">
        <f t="shared" si="24"/>
        <v>0</v>
      </c>
      <c r="G277" s="9">
        <f t="shared" si="24"/>
        <v>0</v>
      </c>
      <c r="H277" s="9">
        <f t="shared" si="24"/>
        <v>0</v>
      </c>
      <c r="I277" s="9">
        <f t="shared" si="24"/>
        <v>0</v>
      </c>
      <c r="J277" s="9">
        <f t="shared" si="24"/>
        <v>0</v>
      </c>
      <c r="K277" s="9">
        <f t="shared" si="24"/>
        <v>0</v>
      </c>
      <c r="L277" s="9">
        <f t="shared" si="24"/>
        <v>0</v>
      </c>
      <c r="M277" s="9">
        <f t="shared" si="24"/>
        <v>0</v>
      </c>
      <c r="N277" s="9">
        <f t="shared" si="24"/>
        <v>0</v>
      </c>
      <c r="O277" s="9">
        <f t="shared" si="24"/>
        <v>0</v>
      </c>
      <c r="P277" s="9">
        <f t="shared" si="24"/>
        <v>0</v>
      </c>
      <c r="Q277" s="9">
        <f t="shared" si="24"/>
        <v>0</v>
      </c>
      <c r="R277" s="69" t="s">
        <v>186</v>
      </c>
    </row>
    <row r="278" spans="1:18" ht="19.05" customHeight="1" x14ac:dyDescent="0.3">
      <c r="B278" s="9">
        <f t="shared" si="24"/>
        <v>0</v>
      </c>
      <c r="C278" s="9">
        <f t="shared" si="24"/>
        <v>0</v>
      </c>
      <c r="D278" s="9">
        <f t="shared" si="24"/>
        <v>0</v>
      </c>
      <c r="E278" s="9">
        <f t="shared" si="24"/>
        <v>0</v>
      </c>
      <c r="F278" s="9">
        <f t="shared" si="24"/>
        <v>0</v>
      </c>
      <c r="G278" s="9">
        <f t="shared" si="24"/>
        <v>0</v>
      </c>
      <c r="H278" s="9">
        <f t="shared" si="24"/>
        <v>0</v>
      </c>
      <c r="I278" s="9">
        <f t="shared" si="24"/>
        <v>0</v>
      </c>
      <c r="J278" s="9">
        <f t="shared" si="24"/>
        <v>0</v>
      </c>
      <c r="K278" s="9">
        <f t="shared" si="24"/>
        <v>0</v>
      </c>
      <c r="L278" s="9">
        <f t="shared" si="24"/>
        <v>0</v>
      </c>
      <c r="M278" s="9">
        <f t="shared" si="24"/>
        <v>0</v>
      </c>
      <c r="N278" s="9">
        <f t="shared" si="24"/>
        <v>0</v>
      </c>
      <c r="O278" s="9">
        <f t="shared" si="24"/>
        <v>0</v>
      </c>
      <c r="P278" s="9">
        <f t="shared" si="24"/>
        <v>0</v>
      </c>
      <c r="Q278" s="9">
        <f t="shared" si="24"/>
        <v>0</v>
      </c>
      <c r="R278" s="69" t="s">
        <v>187</v>
      </c>
    </row>
    <row r="279" spans="1:18" ht="19.05" customHeight="1" x14ac:dyDescent="0.3">
      <c r="B279" s="9">
        <f t="shared" ref="B279:Q284" si="25">IFERROR(INDEX($B$263:$E$266, MATCH($R279, $B$262:$E$262, 0), MATCH(B$268, $B$262:$E$262, 0)), 0)</f>
        <v>0</v>
      </c>
      <c r="C279" s="9">
        <f t="shared" si="25"/>
        <v>0</v>
      </c>
      <c r="D279" s="9">
        <f t="shared" si="25"/>
        <v>0</v>
      </c>
      <c r="E279" s="9">
        <f t="shared" si="25"/>
        <v>0</v>
      </c>
      <c r="F279" s="9">
        <f t="shared" si="25"/>
        <v>0</v>
      </c>
      <c r="G279" s="9">
        <f t="shared" si="25"/>
        <v>0</v>
      </c>
      <c r="H279" s="9">
        <f t="shared" si="25"/>
        <v>0</v>
      </c>
      <c r="I279" s="9">
        <f t="shared" si="25"/>
        <v>0</v>
      </c>
      <c r="J279" s="9">
        <f t="shared" si="25"/>
        <v>0</v>
      </c>
      <c r="K279" s="9">
        <f t="shared" si="25"/>
        <v>0</v>
      </c>
      <c r="L279" s="9">
        <f t="shared" si="25"/>
        <v>0</v>
      </c>
      <c r="M279" s="9">
        <f t="shared" si="25"/>
        <v>0</v>
      </c>
      <c r="N279" s="9">
        <f t="shared" si="25"/>
        <v>0</v>
      </c>
      <c r="O279" s="9">
        <f t="shared" si="25"/>
        <v>0</v>
      </c>
      <c r="P279" s="9">
        <f t="shared" si="25"/>
        <v>0</v>
      </c>
      <c r="Q279" s="9">
        <f t="shared" si="25"/>
        <v>0</v>
      </c>
      <c r="R279" s="69" t="s">
        <v>188</v>
      </c>
    </row>
    <row r="280" spans="1:18" ht="19.05" customHeight="1" x14ac:dyDescent="0.3">
      <c r="B280" s="9">
        <f t="shared" si="25"/>
        <v>0</v>
      </c>
      <c r="C280" s="9">
        <f t="shared" si="25"/>
        <v>0</v>
      </c>
      <c r="D280" s="9">
        <f t="shared" si="25"/>
        <v>0</v>
      </c>
      <c r="E280" s="9">
        <f t="shared" si="25"/>
        <v>0</v>
      </c>
      <c r="F280" s="9">
        <f t="shared" si="25"/>
        <v>0</v>
      </c>
      <c r="G280" s="9">
        <f t="shared" si="25"/>
        <v>0</v>
      </c>
      <c r="H280" s="9">
        <f t="shared" si="25"/>
        <v>0</v>
      </c>
      <c r="I280" s="9">
        <f t="shared" si="25"/>
        <v>0</v>
      </c>
      <c r="J280" s="9">
        <f t="shared" si="25"/>
        <v>0</v>
      </c>
      <c r="K280" s="9">
        <f t="shared" si="25"/>
        <v>0</v>
      </c>
      <c r="L280" s="9">
        <f t="shared" si="25"/>
        <v>0</v>
      </c>
      <c r="M280" s="9">
        <f t="shared" si="25"/>
        <v>0</v>
      </c>
      <c r="N280" s="9">
        <f t="shared" si="25"/>
        <v>0</v>
      </c>
      <c r="O280" s="9">
        <f t="shared" si="25"/>
        <v>0</v>
      </c>
      <c r="P280" s="9">
        <f t="shared" si="25"/>
        <v>0</v>
      </c>
      <c r="Q280" s="9">
        <f t="shared" si="25"/>
        <v>0</v>
      </c>
      <c r="R280" s="69" t="s">
        <v>189</v>
      </c>
    </row>
    <row r="281" spans="1:18" ht="19.05" customHeight="1" x14ac:dyDescent="0.3">
      <c r="B281" s="9">
        <f t="shared" si="25"/>
        <v>0</v>
      </c>
      <c r="C281" s="9">
        <f t="shared" si="25"/>
        <v>0</v>
      </c>
      <c r="D281" s="71">
        <f t="shared" si="25"/>
        <v>-16661.403726774148</v>
      </c>
      <c r="E281" s="71">
        <f t="shared" si="25"/>
        <v>-21421.804791566763</v>
      </c>
      <c r="F281" s="9">
        <f t="shared" si="25"/>
        <v>0</v>
      </c>
      <c r="G281" s="9">
        <f t="shared" si="25"/>
        <v>0</v>
      </c>
      <c r="H281" s="9">
        <f t="shared" si="25"/>
        <v>0</v>
      </c>
      <c r="I281" s="9">
        <f t="shared" si="25"/>
        <v>0</v>
      </c>
      <c r="J281" s="9">
        <f t="shared" si="25"/>
        <v>0</v>
      </c>
      <c r="K281" s="9">
        <f t="shared" si="25"/>
        <v>0</v>
      </c>
      <c r="L281" s="9">
        <f t="shared" si="25"/>
        <v>0</v>
      </c>
      <c r="M281" s="9">
        <f t="shared" si="25"/>
        <v>0</v>
      </c>
      <c r="N281" s="71">
        <f t="shared" si="25"/>
        <v>16661.403726774148</v>
      </c>
      <c r="O281" s="71">
        <f t="shared" si="25"/>
        <v>21421.804791566763</v>
      </c>
      <c r="P281" s="9">
        <f t="shared" si="25"/>
        <v>0</v>
      </c>
      <c r="Q281" s="9">
        <f t="shared" si="25"/>
        <v>0</v>
      </c>
      <c r="R281" s="69" t="s">
        <v>579</v>
      </c>
    </row>
    <row r="282" spans="1:18" ht="19.05" customHeight="1" x14ac:dyDescent="0.3">
      <c r="B282" s="9">
        <f t="shared" si="25"/>
        <v>0</v>
      </c>
      <c r="C282" s="9">
        <f t="shared" si="25"/>
        <v>0</v>
      </c>
      <c r="D282" s="71">
        <f t="shared" si="25"/>
        <v>-21421.804791566763</v>
      </c>
      <c r="E282" s="71">
        <f t="shared" si="25"/>
        <v>-27542.32044630012</v>
      </c>
      <c r="F282" s="9">
        <f t="shared" si="25"/>
        <v>0</v>
      </c>
      <c r="G282" s="9">
        <f t="shared" si="25"/>
        <v>0</v>
      </c>
      <c r="H282" s="9">
        <f t="shared" si="25"/>
        <v>0</v>
      </c>
      <c r="I282" s="9">
        <f t="shared" si="25"/>
        <v>0</v>
      </c>
      <c r="J282" s="9">
        <f t="shared" si="25"/>
        <v>0</v>
      </c>
      <c r="K282" s="9">
        <f t="shared" si="25"/>
        <v>0</v>
      </c>
      <c r="L282" s="9">
        <f t="shared" si="25"/>
        <v>0</v>
      </c>
      <c r="M282" s="9">
        <f t="shared" si="25"/>
        <v>0</v>
      </c>
      <c r="N282" s="71">
        <f t="shared" si="25"/>
        <v>21421.804791566763</v>
      </c>
      <c r="O282" s="71">
        <f t="shared" si="25"/>
        <v>27542.32044630012</v>
      </c>
      <c r="P282" s="9">
        <f t="shared" si="25"/>
        <v>0</v>
      </c>
      <c r="Q282" s="9">
        <f t="shared" si="25"/>
        <v>0</v>
      </c>
      <c r="R282" s="69" t="s">
        <v>580</v>
      </c>
    </row>
    <row r="283" spans="1:18" ht="19.05" customHeight="1" x14ac:dyDescent="0.3">
      <c r="B283" s="9">
        <f t="shared" si="25"/>
        <v>0</v>
      </c>
      <c r="C283" s="9">
        <f t="shared" si="25"/>
        <v>0</v>
      </c>
      <c r="D283" s="9">
        <f t="shared" si="25"/>
        <v>0</v>
      </c>
      <c r="E283" s="9">
        <f t="shared" si="25"/>
        <v>0</v>
      </c>
      <c r="F283" s="9">
        <f t="shared" si="25"/>
        <v>0</v>
      </c>
      <c r="G283" s="9">
        <f t="shared" si="25"/>
        <v>0</v>
      </c>
      <c r="H283" s="9">
        <f t="shared" si="25"/>
        <v>0</v>
      </c>
      <c r="I283" s="9">
        <f t="shared" si="25"/>
        <v>0</v>
      </c>
      <c r="J283" s="9">
        <f t="shared" si="25"/>
        <v>0</v>
      </c>
      <c r="K283" s="9">
        <f t="shared" si="25"/>
        <v>0</v>
      </c>
      <c r="L283" s="9">
        <f t="shared" si="25"/>
        <v>0</v>
      </c>
      <c r="M283" s="9">
        <f t="shared" si="25"/>
        <v>0</v>
      </c>
      <c r="N283" s="9">
        <f t="shared" si="25"/>
        <v>0</v>
      </c>
      <c r="O283" s="9">
        <f t="shared" si="25"/>
        <v>0</v>
      </c>
      <c r="P283" s="9">
        <f t="shared" si="25"/>
        <v>0</v>
      </c>
      <c r="Q283" s="9">
        <f t="shared" si="25"/>
        <v>0</v>
      </c>
      <c r="R283" s="69" t="s">
        <v>601</v>
      </c>
    </row>
    <row r="284" spans="1:18" ht="19.05" customHeight="1" x14ac:dyDescent="0.3">
      <c r="B284" s="9">
        <f t="shared" si="25"/>
        <v>0</v>
      </c>
      <c r="C284" s="9">
        <f t="shared" si="25"/>
        <v>0</v>
      </c>
      <c r="D284" s="9">
        <f t="shared" si="25"/>
        <v>0</v>
      </c>
      <c r="E284" s="9">
        <f t="shared" si="25"/>
        <v>0</v>
      </c>
      <c r="F284" s="9">
        <f t="shared" si="25"/>
        <v>0</v>
      </c>
      <c r="G284" s="9">
        <f t="shared" si="25"/>
        <v>0</v>
      </c>
      <c r="H284" s="9">
        <f t="shared" si="25"/>
        <v>0</v>
      </c>
      <c r="I284" s="9">
        <f t="shared" si="25"/>
        <v>0</v>
      </c>
      <c r="J284" s="9">
        <f t="shared" si="25"/>
        <v>0</v>
      </c>
      <c r="K284" s="9">
        <f t="shared" si="25"/>
        <v>0</v>
      </c>
      <c r="L284" s="9">
        <f t="shared" si="25"/>
        <v>0</v>
      </c>
      <c r="M284" s="9">
        <f t="shared" si="25"/>
        <v>0</v>
      </c>
      <c r="N284" s="9">
        <f t="shared" si="25"/>
        <v>0</v>
      </c>
      <c r="O284" s="9">
        <f t="shared" si="25"/>
        <v>0</v>
      </c>
      <c r="P284" s="9">
        <f t="shared" si="25"/>
        <v>0</v>
      </c>
      <c r="Q284" s="9">
        <f t="shared" si="25"/>
        <v>0</v>
      </c>
      <c r="R284" s="69" t="s">
        <v>602</v>
      </c>
    </row>
    <row r="287" spans="1:18" ht="18" customHeight="1" x14ac:dyDescent="0.3">
      <c r="B287" s="72" t="str">
        <f>CONCATENATE("U",C32,C$21)</f>
        <v>U7X</v>
      </c>
      <c r="C287" s="72" t="str">
        <f>CONCATENATE("U",D32,D$21)</f>
        <v>U7Y</v>
      </c>
      <c r="D287" s="72" t="str">
        <f>CONCATENATE("U",E32,E$21)</f>
        <v>U3X</v>
      </c>
      <c r="E287" s="72" t="str">
        <f>CONCATENATE("U",F32,F$21)</f>
        <v>U3Y</v>
      </c>
    </row>
    <row r="288" spans="1:18" x14ac:dyDescent="0.3">
      <c r="B288" s="73">
        <f>J16*J16*N16</f>
        <v>0</v>
      </c>
      <c r="C288" s="73">
        <f>J16*K16*N16</f>
        <v>0</v>
      </c>
      <c r="D288" s="73">
        <f>-B288</f>
        <v>0</v>
      </c>
      <c r="E288" s="73">
        <f>-C288</f>
        <v>0</v>
      </c>
      <c r="F288" s="72" t="str">
        <f>B287</f>
        <v>U7X</v>
      </c>
    </row>
    <row r="289" spans="1:18" ht="16.8" customHeight="1" x14ac:dyDescent="0.3">
      <c r="A289" s="28" t="s">
        <v>583</v>
      </c>
      <c r="B289" s="73">
        <f>C288</f>
        <v>0</v>
      </c>
      <c r="C289" s="73">
        <f>K16*K16*N16</f>
        <v>56000</v>
      </c>
      <c r="D289" s="73">
        <f>-B289</f>
        <v>0</v>
      </c>
      <c r="E289" s="73">
        <f>-C289</f>
        <v>-56000</v>
      </c>
      <c r="F289" s="72" t="str">
        <f>C287</f>
        <v>U7Y</v>
      </c>
    </row>
    <row r="290" spans="1:18" x14ac:dyDescent="0.3">
      <c r="B290" s="73">
        <f>D288</f>
        <v>0</v>
      </c>
      <c r="C290" s="73">
        <f>E288</f>
        <v>0</v>
      </c>
      <c r="D290" s="73">
        <f>B288</f>
        <v>0</v>
      </c>
      <c r="E290" s="73">
        <f>C288</f>
        <v>0</v>
      </c>
      <c r="F290" s="72" t="str">
        <f>D287</f>
        <v>U3X</v>
      </c>
    </row>
    <row r="291" spans="1:18" x14ac:dyDescent="0.3">
      <c r="B291" s="73">
        <f>D289</f>
        <v>0</v>
      </c>
      <c r="C291" s="73">
        <f>E289</f>
        <v>-56000</v>
      </c>
      <c r="D291" s="73">
        <f>B289</f>
        <v>0</v>
      </c>
      <c r="E291" s="73">
        <f>C289</f>
        <v>56000</v>
      </c>
      <c r="F291" s="72" t="str">
        <f>E287</f>
        <v>U3Y</v>
      </c>
    </row>
    <row r="293" spans="1:18" ht="18" customHeight="1" x14ac:dyDescent="0.3">
      <c r="B293" s="72" t="s">
        <v>178</v>
      </c>
      <c r="C293" s="72" t="s">
        <v>179</v>
      </c>
      <c r="D293" s="72" t="s">
        <v>180</v>
      </c>
      <c r="E293" s="72" t="s">
        <v>181</v>
      </c>
      <c r="F293" s="72" t="s">
        <v>182</v>
      </c>
      <c r="G293" s="72" t="s">
        <v>183</v>
      </c>
      <c r="H293" s="72" t="s">
        <v>184</v>
      </c>
      <c r="I293" s="72" t="s">
        <v>185</v>
      </c>
      <c r="J293" s="72" t="s">
        <v>186</v>
      </c>
      <c r="K293" s="72" t="s">
        <v>187</v>
      </c>
      <c r="L293" s="72" t="s">
        <v>188</v>
      </c>
      <c r="M293" s="72" t="s">
        <v>189</v>
      </c>
      <c r="N293" s="72" t="s">
        <v>579</v>
      </c>
      <c r="O293" s="72" t="s">
        <v>580</v>
      </c>
      <c r="P293" s="72" t="s">
        <v>601</v>
      </c>
      <c r="Q293" s="72" t="s">
        <v>602</v>
      </c>
    </row>
    <row r="294" spans="1:18" ht="19.05" customHeight="1" x14ac:dyDescent="0.3">
      <c r="B294" s="9">
        <f t="shared" ref="B294:Q303" si="26">IFERROR(INDEX($B$288:$E$291, MATCH($R294, $B$287:$E$287, 0), MATCH(B$293, $B$287:$E$287, 0)), 0)</f>
        <v>0</v>
      </c>
      <c r="C294" s="9">
        <f t="shared" si="26"/>
        <v>0</v>
      </c>
      <c r="D294" s="9">
        <f t="shared" si="26"/>
        <v>0</v>
      </c>
      <c r="E294" s="9">
        <f t="shared" si="26"/>
        <v>0</v>
      </c>
      <c r="F294" s="9">
        <f t="shared" si="26"/>
        <v>0</v>
      </c>
      <c r="G294" s="9">
        <f t="shared" si="26"/>
        <v>0</v>
      </c>
      <c r="H294" s="9">
        <f t="shared" si="26"/>
        <v>0</v>
      </c>
      <c r="I294" s="9">
        <f t="shared" si="26"/>
        <v>0</v>
      </c>
      <c r="J294" s="9">
        <f t="shared" si="26"/>
        <v>0</v>
      </c>
      <c r="K294" s="9">
        <f t="shared" si="26"/>
        <v>0</v>
      </c>
      <c r="L294" s="9">
        <f t="shared" si="26"/>
        <v>0</v>
      </c>
      <c r="M294" s="9">
        <f t="shared" si="26"/>
        <v>0</v>
      </c>
      <c r="N294" s="9">
        <f t="shared" si="26"/>
        <v>0</v>
      </c>
      <c r="O294" s="9">
        <f t="shared" si="26"/>
        <v>0</v>
      </c>
      <c r="P294" s="9">
        <f t="shared" si="26"/>
        <v>0</v>
      </c>
      <c r="Q294" s="9">
        <f t="shared" si="26"/>
        <v>0</v>
      </c>
      <c r="R294" s="72" t="s">
        <v>178</v>
      </c>
    </row>
    <row r="295" spans="1:18" ht="19.05" customHeight="1" x14ac:dyDescent="0.3">
      <c r="B295" s="9">
        <f t="shared" si="26"/>
        <v>0</v>
      </c>
      <c r="C295" s="9">
        <f t="shared" si="26"/>
        <v>0</v>
      </c>
      <c r="D295" s="9">
        <f t="shared" si="26"/>
        <v>0</v>
      </c>
      <c r="E295" s="9">
        <f t="shared" si="26"/>
        <v>0</v>
      </c>
      <c r="F295" s="9">
        <f t="shared" si="26"/>
        <v>0</v>
      </c>
      <c r="G295" s="9">
        <f t="shared" si="26"/>
        <v>0</v>
      </c>
      <c r="H295" s="9">
        <f t="shared" si="26"/>
        <v>0</v>
      </c>
      <c r="I295" s="9">
        <f t="shared" si="26"/>
        <v>0</v>
      </c>
      <c r="J295" s="9">
        <f t="shared" si="26"/>
        <v>0</v>
      </c>
      <c r="K295" s="9">
        <f t="shared" si="26"/>
        <v>0</v>
      </c>
      <c r="L295" s="9">
        <f t="shared" si="26"/>
        <v>0</v>
      </c>
      <c r="M295" s="9">
        <f t="shared" si="26"/>
        <v>0</v>
      </c>
      <c r="N295" s="9">
        <f t="shared" si="26"/>
        <v>0</v>
      </c>
      <c r="O295" s="9">
        <f t="shared" si="26"/>
        <v>0</v>
      </c>
      <c r="P295" s="9">
        <f t="shared" si="26"/>
        <v>0</v>
      </c>
      <c r="Q295" s="9">
        <f t="shared" si="26"/>
        <v>0</v>
      </c>
      <c r="R295" s="72" t="s">
        <v>179</v>
      </c>
    </row>
    <row r="296" spans="1:18" ht="19.05" customHeight="1" x14ac:dyDescent="0.3">
      <c r="B296" s="9">
        <f t="shared" si="26"/>
        <v>0</v>
      </c>
      <c r="C296" s="9">
        <f t="shared" si="26"/>
        <v>0</v>
      </c>
      <c r="D296" s="9">
        <f t="shared" si="26"/>
        <v>0</v>
      </c>
      <c r="E296" s="9">
        <f t="shared" si="26"/>
        <v>0</v>
      </c>
      <c r="F296" s="9">
        <f t="shared" si="26"/>
        <v>0</v>
      </c>
      <c r="G296" s="9">
        <f t="shared" si="26"/>
        <v>0</v>
      </c>
      <c r="H296" s="9">
        <f t="shared" si="26"/>
        <v>0</v>
      </c>
      <c r="I296" s="9">
        <f t="shared" si="26"/>
        <v>0</v>
      </c>
      <c r="J296" s="9">
        <f t="shared" si="26"/>
        <v>0</v>
      </c>
      <c r="K296" s="9">
        <f t="shared" si="26"/>
        <v>0</v>
      </c>
      <c r="L296" s="9">
        <f t="shared" si="26"/>
        <v>0</v>
      </c>
      <c r="M296" s="9">
        <f t="shared" si="26"/>
        <v>0</v>
      </c>
      <c r="N296" s="9">
        <f t="shared" si="26"/>
        <v>0</v>
      </c>
      <c r="O296" s="9">
        <f t="shared" si="26"/>
        <v>0</v>
      </c>
      <c r="P296" s="9">
        <f t="shared" si="26"/>
        <v>0</v>
      </c>
      <c r="Q296" s="9">
        <f t="shared" si="26"/>
        <v>0</v>
      </c>
      <c r="R296" s="72" t="s">
        <v>180</v>
      </c>
    </row>
    <row r="297" spans="1:18" ht="19.05" customHeight="1" x14ac:dyDescent="0.3">
      <c r="B297" s="9">
        <f t="shared" si="26"/>
        <v>0</v>
      </c>
      <c r="C297" s="9">
        <f t="shared" si="26"/>
        <v>0</v>
      </c>
      <c r="D297" s="9">
        <f t="shared" si="26"/>
        <v>0</v>
      </c>
      <c r="E297" s="9">
        <f t="shared" si="26"/>
        <v>0</v>
      </c>
      <c r="F297" s="9">
        <f t="shared" si="26"/>
        <v>0</v>
      </c>
      <c r="G297" s="9">
        <f t="shared" si="26"/>
        <v>0</v>
      </c>
      <c r="H297" s="9">
        <f t="shared" si="26"/>
        <v>0</v>
      </c>
      <c r="I297" s="9">
        <f t="shared" si="26"/>
        <v>0</v>
      </c>
      <c r="J297" s="9">
        <f t="shared" si="26"/>
        <v>0</v>
      </c>
      <c r="K297" s="9">
        <f t="shared" si="26"/>
        <v>0</v>
      </c>
      <c r="L297" s="9">
        <f t="shared" si="26"/>
        <v>0</v>
      </c>
      <c r="M297" s="9">
        <f t="shared" si="26"/>
        <v>0</v>
      </c>
      <c r="N297" s="9">
        <f t="shared" si="26"/>
        <v>0</v>
      </c>
      <c r="O297" s="9">
        <f t="shared" si="26"/>
        <v>0</v>
      </c>
      <c r="P297" s="9">
        <f t="shared" si="26"/>
        <v>0</v>
      </c>
      <c r="Q297" s="9">
        <f t="shared" si="26"/>
        <v>0</v>
      </c>
      <c r="R297" s="72" t="s">
        <v>181</v>
      </c>
    </row>
    <row r="298" spans="1:18" ht="19.05" customHeight="1" x14ac:dyDescent="0.3">
      <c r="B298" s="9">
        <f t="shared" si="26"/>
        <v>0</v>
      </c>
      <c r="C298" s="9">
        <f t="shared" si="26"/>
        <v>0</v>
      </c>
      <c r="D298" s="9">
        <f t="shared" si="26"/>
        <v>0</v>
      </c>
      <c r="E298" s="9">
        <f t="shared" si="26"/>
        <v>0</v>
      </c>
      <c r="F298" s="74">
        <f t="shared" si="26"/>
        <v>0</v>
      </c>
      <c r="G298" s="74">
        <f t="shared" si="26"/>
        <v>0</v>
      </c>
      <c r="H298" s="9">
        <f t="shared" si="26"/>
        <v>0</v>
      </c>
      <c r="I298" s="9">
        <f t="shared" si="26"/>
        <v>0</v>
      </c>
      <c r="J298" s="9">
        <f t="shared" si="26"/>
        <v>0</v>
      </c>
      <c r="K298" s="9">
        <f t="shared" si="26"/>
        <v>0</v>
      </c>
      <c r="L298" s="9">
        <f t="shared" si="26"/>
        <v>0</v>
      </c>
      <c r="M298" s="9">
        <f t="shared" si="26"/>
        <v>0</v>
      </c>
      <c r="N298" s="74">
        <f t="shared" si="26"/>
        <v>0</v>
      </c>
      <c r="O298" s="74">
        <f t="shared" si="26"/>
        <v>0</v>
      </c>
      <c r="P298" s="9">
        <f t="shared" si="26"/>
        <v>0</v>
      </c>
      <c r="Q298" s="9">
        <f t="shared" si="26"/>
        <v>0</v>
      </c>
      <c r="R298" s="72" t="s">
        <v>182</v>
      </c>
    </row>
    <row r="299" spans="1:18" ht="19.05" customHeight="1" x14ac:dyDescent="0.3">
      <c r="B299" s="9">
        <f t="shared" si="26"/>
        <v>0</v>
      </c>
      <c r="C299" s="9">
        <f t="shared" si="26"/>
        <v>0</v>
      </c>
      <c r="D299" s="9">
        <f t="shared" si="26"/>
        <v>0</v>
      </c>
      <c r="E299" s="9">
        <f t="shared" si="26"/>
        <v>0</v>
      </c>
      <c r="F299" s="74">
        <f t="shared" si="26"/>
        <v>0</v>
      </c>
      <c r="G299" s="74">
        <f t="shared" si="26"/>
        <v>56000</v>
      </c>
      <c r="H299" s="9">
        <f t="shared" si="26"/>
        <v>0</v>
      </c>
      <c r="I299" s="9">
        <f t="shared" si="26"/>
        <v>0</v>
      </c>
      <c r="J299" s="9">
        <f t="shared" si="26"/>
        <v>0</v>
      </c>
      <c r="K299" s="9">
        <f t="shared" si="26"/>
        <v>0</v>
      </c>
      <c r="L299" s="9">
        <f t="shared" si="26"/>
        <v>0</v>
      </c>
      <c r="M299" s="9">
        <f t="shared" si="26"/>
        <v>0</v>
      </c>
      <c r="N299" s="74">
        <f t="shared" si="26"/>
        <v>0</v>
      </c>
      <c r="O299" s="74">
        <f t="shared" si="26"/>
        <v>-56000</v>
      </c>
      <c r="P299" s="9">
        <f t="shared" si="26"/>
        <v>0</v>
      </c>
      <c r="Q299" s="9">
        <f t="shared" si="26"/>
        <v>0</v>
      </c>
      <c r="R299" s="72" t="s">
        <v>183</v>
      </c>
    </row>
    <row r="300" spans="1:18" ht="19.05" customHeight="1" x14ac:dyDescent="0.3">
      <c r="B300" s="9">
        <f t="shared" si="26"/>
        <v>0</v>
      </c>
      <c r="C300" s="9">
        <f t="shared" si="26"/>
        <v>0</v>
      </c>
      <c r="D300" s="9">
        <f t="shared" si="26"/>
        <v>0</v>
      </c>
      <c r="E300" s="9">
        <f t="shared" si="26"/>
        <v>0</v>
      </c>
      <c r="F300" s="9">
        <f t="shared" si="26"/>
        <v>0</v>
      </c>
      <c r="G300" s="9">
        <f t="shared" si="26"/>
        <v>0</v>
      </c>
      <c r="H300" s="9">
        <f t="shared" si="26"/>
        <v>0</v>
      </c>
      <c r="I300" s="9">
        <f t="shared" si="26"/>
        <v>0</v>
      </c>
      <c r="J300" s="9">
        <f t="shared" si="26"/>
        <v>0</v>
      </c>
      <c r="K300" s="9">
        <f t="shared" si="26"/>
        <v>0</v>
      </c>
      <c r="L300" s="9">
        <f t="shared" si="26"/>
        <v>0</v>
      </c>
      <c r="M300" s="9">
        <f t="shared" si="26"/>
        <v>0</v>
      </c>
      <c r="N300" s="9">
        <f t="shared" si="26"/>
        <v>0</v>
      </c>
      <c r="O300" s="9">
        <f t="shared" si="26"/>
        <v>0</v>
      </c>
      <c r="P300" s="9">
        <f t="shared" si="26"/>
        <v>0</v>
      </c>
      <c r="Q300" s="9">
        <f t="shared" si="26"/>
        <v>0</v>
      </c>
      <c r="R300" s="72" t="s">
        <v>184</v>
      </c>
    </row>
    <row r="301" spans="1:18" ht="19.05" customHeight="1" x14ac:dyDescent="0.3">
      <c r="A301" s="28" t="s">
        <v>584</v>
      </c>
      <c r="B301" s="9">
        <f t="shared" si="26"/>
        <v>0</v>
      </c>
      <c r="C301" s="9">
        <f t="shared" si="26"/>
        <v>0</v>
      </c>
      <c r="D301" s="9">
        <f t="shared" si="26"/>
        <v>0</v>
      </c>
      <c r="E301" s="9">
        <f t="shared" si="26"/>
        <v>0</v>
      </c>
      <c r="F301" s="9">
        <f t="shared" si="26"/>
        <v>0</v>
      </c>
      <c r="G301" s="9">
        <f t="shared" si="26"/>
        <v>0</v>
      </c>
      <c r="H301" s="9">
        <f t="shared" si="26"/>
        <v>0</v>
      </c>
      <c r="I301" s="9">
        <f t="shared" si="26"/>
        <v>0</v>
      </c>
      <c r="J301" s="9">
        <f t="shared" si="26"/>
        <v>0</v>
      </c>
      <c r="K301" s="9">
        <f t="shared" si="26"/>
        <v>0</v>
      </c>
      <c r="L301" s="9">
        <f t="shared" si="26"/>
        <v>0</v>
      </c>
      <c r="M301" s="9">
        <f t="shared" si="26"/>
        <v>0</v>
      </c>
      <c r="N301" s="9">
        <f t="shared" si="26"/>
        <v>0</v>
      </c>
      <c r="O301" s="9">
        <f t="shared" si="26"/>
        <v>0</v>
      </c>
      <c r="P301" s="9">
        <f t="shared" si="26"/>
        <v>0</v>
      </c>
      <c r="Q301" s="9">
        <f t="shared" si="26"/>
        <v>0</v>
      </c>
      <c r="R301" s="72" t="s">
        <v>185</v>
      </c>
    </row>
    <row r="302" spans="1:18" ht="19.05" customHeight="1" x14ac:dyDescent="0.3">
      <c r="B302" s="9">
        <f t="shared" si="26"/>
        <v>0</v>
      </c>
      <c r="C302" s="9">
        <f t="shared" si="26"/>
        <v>0</v>
      </c>
      <c r="D302" s="9">
        <f t="shared" si="26"/>
        <v>0</v>
      </c>
      <c r="E302" s="9">
        <f t="shared" si="26"/>
        <v>0</v>
      </c>
      <c r="F302" s="9">
        <f t="shared" si="26"/>
        <v>0</v>
      </c>
      <c r="G302" s="9">
        <f t="shared" si="26"/>
        <v>0</v>
      </c>
      <c r="H302" s="9">
        <f t="shared" si="26"/>
        <v>0</v>
      </c>
      <c r="I302" s="9">
        <f t="shared" si="26"/>
        <v>0</v>
      </c>
      <c r="J302" s="9">
        <f t="shared" si="26"/>
        <v>0</v>
      </c>
      <c r="K302" s="9">
        <f t="shared" si="26"/>
        <v>0</v>
      </c>
      <c r="L302" s="9">
        <f t="shared" si="26"/>
        <v>0</v>
      </c>
      <c r="M302" s="9">
        <f t="shared" si="26"/>
        <v>0</v>
      </c>
      <c r="N302" s="9">
        <f t="shared" si="26"/>
        <v>0</v>
      </c>
      <c r="O302" s="9">
        <f t="shared" si="26"/>
        <v>0</v>
      </c>
      <c r="P302" s="9">
        <f t="shared" si="26"/>
        <v>0</v>
      </c>
      <c r="Q302" s="9">
        <f t="shared" si="26"/>
        <v>0</v>
      </c>
      <c r="R302" s="72" t="s">
        <v>186</v>
      </c>
    </row>
    <row r="303" spans="1:18" ht="19.05" customHeight="1" x14ac:dyDescent="0.3">
      <c r="B303" s="9">
        <f t="shared" si="26"/>
        <v>0</v>
      </c>
      <c r="C303" s="9">
        <f t="shared" si="26"/>
        <v>0</v>
      </c>
      <c r="D303" s="9">
        <f t="shared" si="26"/>
        <v>0</v>
      </c>
      <c r="E303" s="9">
        <f t="shared" si="26"/>
        <v>0</v>
      </c>
      <c r="F303" s="9">
        <f t="shared" si="26"/>
        <v>0</v>
      </c>
      <c r="G303" s="9">
        <f t="shared" si="26"/>
        <v>0</v>
      </c>
      <c r="H303" s="9">
        <f t="shared" si="26"/>
        <v>0</v>
      </c>
      <c r="I303" s="9">
        <f t="shared" si="26"/>
        <v>0</v>
      </c>
      <c r="J303" s="9">
        <f t="shared" si="26"/>
        <v>0</v>
      </c>
      <c r="K303" s="9">
        <f t="shared" si="26"/>
        <v>0</v>
      </c>
      <c r="L303" s="9">
        <f t="shared" si="26"/>
        <v>0</v>
      </c>
      <c r="M303" s="9">
        <f t="shared" si="26"/>
        <v>0</v>
      </c>
      <c r="N303" s="9">
        <f t="shared" si="26"/>
        <v>0</v>
      </c>
      <c r="O303" s="9">
        <f t="shared" si="26"/>
        <v>0</v>
      </c>
      <c r="P303" s="9">
        <f t="shared" si="26"/>
        <v>0</v>
      </c>
      <c r="Q303" s="9">
        <f t="shared" si="26"/>
        <v>0</v>
      </c>
      <c r="R303" s="72" t="s">
        <v>187</v>
      </c>
    </row>
    <row r="304" spans="1:18" ht="19.05" customHeight="1" x14ac:dyDescent="0.3">
      <c r="B304" s="9">
        <f t="shared" ref="B304:Q309" si="27">IFERROR(INDEX($B$288:$E$291, MATCH($R304, $B$287:$E$287, 0), MATCH(B$293, $B$287:$E$287, 0)), 0)</f>
        <v>0</v>
      </c>
      <c r="C304" s="9">
        <f t="shared" si="27"/>
        <v>0</v>
      </c>
      <c r="D304" s="9">
        <f t="shared" si="27"/>
        <v>0</v>
      </c>
      <c r="E304" s="9">
        <f t="shared" si="27"/>
        <v>0</v>
      </c>
      <c r="F304" s="9">
        <f t="shared" si="27"/>
        <v>0</v>
      </c>
      <c r="G304" s="9">
        <f t="shared" si="27"/>
        <v>0</v>
      </c>
      <c r="H304" s="9">
        <f t="shared" si="27"/>
        <v>0</v>
      </c>
      <c r="I304" s="9">
        <f t="shared" si="27"/>
        <v>0</v>
      </c>
      <c r="J304" s="9">
        <f t="shared" si="27"/>
        <v>0</v>
      </c>
      <c r="K304" s="9">
        <f t="shared" si="27"/>
        <v>0</v>
      </c>
      <c r="L304" s="9">
        <f t="shared" si="27"/>
        <v>0</v>
      </c>
      <c r="M304" s="9">
        <f t="shared" si="27"/>
        <v>0</v>
      </c>
      <c r="N304" s="9">
        <f t="shared" si="27"/>
        <v>0</v>
      </c>
      <c r="O304" s="9">
        <f t="shared" si="27"/>
        <v>0</v>
      </c>
      <c r="P304" s="9">
        <f t="shared" si="27"/>
        <v>0</v>
      </c>
      <c r="Q304" s="9">
        <f t="shared" si="27"/>
        <v>0</v>
      </c>
      <c r="R304" s="72" t="s">
        <v>188</v>
      </c>
    </row>
    <row r="305" spans="1:18" ht="19.05" customHeight="1" x14ac:dyDescent="0.3">
      <c r="B305" s="9">
        <f t="shared" si="27"/>
        <v>0</v>
      </c>
      <c r="C305" s="9">
        <f t="shared" si="27"/>
        <v>0</v>
      </c>
      <c r="D305" s="9">
        <f t="shared" si="27"/>
        <v>0</v>
      </c>
      <c r="E305" s="9">
        <f t="shared" si="27"/>
        <v>0</v>
      </c>
      <c r="F305" s="9">
        <f t="shared" si="27"/>
        <v>0</v>
      </c>
      <c r="G305" s="9">
        <f t="shared" si="27"/>
        <v>0</v>
      </c>
      <c r="H305" s="9">
        <f t="shared" si="27"/>
        <v>0</v>
      </c>
      <c r="I305" s="9">
        <f t="shared" si="27"/>
        <v>0</v>
      </c>
      <c r="J305" s="9">
        <f t="shared" si="27"/>
        <v>0</v>
      </c>
      <c r="K305" s="9">
        <f t="shared" si="27"/>
        <v>0</v>
      </c>
      <c r="L305" s="9">
        <f t="shared" si="27"/>
        <v>0</v>
      </c>
      <c r="M305" s="9">
        <f t="shared" si="27"/>
        <v>0</v>
      </c>
      <c r="N305" s="9">
        <f t="shared" si="27"/>
        <v>0</v>
      </c>
      <c r="O305" s="9">
        <f t="shared" si="27"/>
        <v>0</v>
      </c>
      <c r="P305" s="9">
        <f t="shared" si="27"/>
        <v>0</v>
      </c>
      <c r="Q305" s="9">
        <f t="shared" si="27"/>
        <v>0</v>
      </c>
      <c r="R305" s="72" t="s">
        <v>189</v>
      </c>
    </row>
    <row r="306" spans="1:18" ht="19.05" customHeight="1" x14ac:dyDescent="0.3">
      <c r="B306" s="9">
        <f t="shared" si="27"/>
        <v>0</v>
      </c>
      <c r="C306" s="9">
        <f t="shared" si="27"/>
        <v>0</v>
      </c>
      <c r="D306" s="9">
        <f t="shared" si="27"/>
        <v>0</v>
      </c>
      <c r="E306" s="9">
        <f t="shared" si="27"/>
        <v>0</v>
      </c>
      <c r="F306" s="74">
        <f t="shared" si="27"/>
        <v>0</v>
      </c>
      <c r="G306" s="74">
        <f t="shared" si="27"/>
        <v>0</v>
      </c>
      <c r="H306" s="9">
        <f t="shared" si="27"/>
        <v>0</v>
      </c>
      <c r="I306" s="9">
        <f t="shared" si="27"/>
        <v>0</v>
      </c>
      <c r="J306" s="9">
        <f t="shared" si="27"/>
        <v>0</v>
      </c>
      <c r="K306" s="9">
        <f t="shared" si="27"/>
        <v>0</v>
      </c>
      <c r="L306" s="9">
        <f t="shared" si="27"/>
        <v>0</v>
      </c>
      <c r="M306" s="9">
        <f t="shared" si="27"/>
        <v>0</v>
      </c>
      <c r="N306" s="74">
        <f t="shared" si="27"/>
        <v>0</v>
      </c>
      <c r="O306" s="74">
        <f t="shared" si="27"/>
        <v>0</v>
      </c>
      <c r="P306" s="9">
        <f t="shared" si="27"/>
        <v>0</v>
      </c>
      <c r="Q306" s="9">
        <f t="shared" si="27"/>
        <v>0</v>
      </c>
      <c r="R306" s="72" t="s">
        <v>579</v>
      </c>
    </row>
    <row r="307" spans="1:18" ht="19.05" customHeight="1" x14ac:dyDescent="0.3">
      <c r="B307" s="9">
        <f t="shared" si="27"/>
        <v>0</v>
      </c>
      <c r="C307" s="9">
        <f t="shared" si="27"/>
        <v>0</v>
      </c>
      <c r="D307" s="9">
        <f t="shared" si="27"/>
        <v>0</v>
      </c>
      <c r="E307" s="9">
        <f t="shared" si="27"/>
        <v>0</v>
      </c>
      <c r="F307" s="74">
        <f t="shared" si="27"/>
        <v>0</v>
      </c>
      <c r="G307" s="74">
        <f t="shared" si="27"/>
        <v>-56000</v>
      </c>
      <c r="H307" s="9">
        <f t="shared" si="27"/>
        <v>0</v>
      </c>
      <c r="I307" s="9">
        <f t="shared" si="27"/>
        <v>0</v>
      </c>
      <c r="J307" s="9">
        <f t="shared" si="27"/>
        <v>0</v>
      </c>
      <c r="K307" s="9">
        <f t="shared" si="27"/>
        <v>0</v>
      </c>
      <c r="L307" s="9">
        <f t="shared" si="27"/>
        <v>0</v>
      </c>
      <c r="M307" s="9">
        <f t="shared" si="27"/>
        <v>0</v>
      </c>
      <c r="N307" s="74">
        <f t="shared" si="27"/>
        <v>0</v>
      </c>
      <c r="O307" s="74">
        <f t="shared" si="27"/>
        <v>56000</v>
      </c>
      <c r="P307" s="9">
        <f t="shared" si="27"/>
        <v>0</v>
      </c>
      <c r="Q307" s="9">
        <f t="shared" si="27"/>
        <v>0</v>
      </c>
      <c r="R307" s="72" t="s">
        <v>580</v>
      </c>
    </row>
    <row r="308" spans="1:18" ht="19.05" customHeight="1" x14ac:dyDescent="0.3">
      <c r="B308" s="9">
        <f t="shared" si="27"/>
        <v>0</v>
      </c>
      <c r="C308" s="9">
        <f t="shared" si="27"/>
        <v>0</v>
      </c>
      <c r="D308" s="9">
        <f t="shared" si="27"/>
        <v>0</v>
      </c>
      <c r="E308" s="9">
        <f t="shared" si="27"/>
        <v>0</v>
      </c>
      <c r="F308" s="9">
        <f t="shared" si="27"/>
        <v>0</v>
      </c>
      <c r="G308" s="9">
        <f t="shared" si="27"/>
        <v>0</v>
      </c>
      <c r="H308" s="9">
        <f t="shared" si="27"/>
        <v>0</v>
      </c>
      <c r="I308" s="9">
        <f t="shared" si="27"/>
        <v>0</v>
      </c>
      <c r="J308" s="9">
        <f t="shared" si="27"/>
        <v>0</v>
      </c>
      <c r="K308" s="9">
        <f t="shared" si="27"/>
        <v>0</v>
      </c>
      <c r="L308" s="9">
        <f t="shared" si="27"/>
        <v>0</v>
      </c>
      <c r="M308" s="9">
        <f t="shared" si="27"/>
        <v>0</v>
      </c>
      <c r="N308" s="9">
        <f t="shared" si="27"/>
        <v>0</v>
      </c>
      <c r="O308" s="9">
        <f t="shared" si="27"/>
        <v>0</v>
      </c>
      <c r="P308" s="9">
        <f t="shared" si="27"/>
        <v>0</v>
      </c>
      <c r="Q308" s="9">
        <f t="shared" si="27"/>
        <v>0</v>
      </c>
      <c r="R308" s="72" t="s">
        <v>601</v>
      </c>
    </row>
    <row r="309" spans="1:18" ht="19.05" customHeight="1" x14ac:dyDescent="0.3">
      <c r="B309" s="9">
        <f t="shared" si="27"/>
        <v>0</v>
      </c>
      <c r="C309" s="9">
        <f t="shared" si="27"/>
        <v>0</v>
      </c>
      <c r="D309" s="9">
        <f t="shared" si="27"/>
        <v>0</v>
      </c>
      <c r="E309" s="9">
        <f t="shared" si="27"/>
        <v>0</v>
      </c>
      <c r="F309" s="9">
        <f t="shared" si="27"/>
        <v>0</v>
      </c>
      <c r="G309" s="9">
        <f t="shared" si="27"/>
        <v>0</v>
      </c>
      <c r="H309" s="9">
        <f t="shared" si="27"/>
        <v>0</v>
      </c>
      <c r="I309" s="9">
        <f t="shared" si="27"/>
        <v>0</v>
      </c>
      <c r="J309" s="9">
        <f t="shared" si="27"/>
        <v>0</v>
      </c>
      <c r="K309" s="9">
        <f t="shared" si="27"/>
        <v>0</v>
      </c>
      <c r="L309" s="9">
        <f t="shared" si="27"/>
        <v>0</v>
      </c>
      <c r="M309" s="9">
        <f t="shared" si="27"/>
        <v>0</v>
      </c>
      <c r="N309" s="9">
        <f t="shared" si="27"/>
        <v>0</v>
      </c>
      <c r="O309" s="9">
        <f t="shared" si="27"/>
        <v>0</v>
      </c>
      <c r="P309" s="9">
        <f t="shared" si="27"/>
        <v>0</v>
      </c>
      <c r="Q309" s="9">
        <f t="shared" si="27"/>
        <v>0</v>
      </c>
      <c r="R309" s="72" t="s">
        <v>602</v>
      </c>
    </row>
    <row r="312" spans="1:18" ht="18" customHeight="1" x14ac:dyDescent="0.3">
      <c r="B312" s="89" t="str">
        <f>CONCATENATE("U",C33,C$21)</f>
        <v>U3X</v>
      </c>
      <c r="C312" s="89" t="str">
        <f>CONCATENATE("U",D33,D$21)</f>
        <v>U3Y</v>
      </c>
      <c r="D312" s="89" t="str">
        <f>CONCATENATE("U",E33,E$21)</f>
        <v>U8X</v>
      </c>
      <c r="E312" s="89" t="str">
        <f>CONCATENATE("U",F33,F$21)</f>
        <v>U8Y</v>
      </c>
    </row>
    <row r="313" spans="1:18" x14ac:dyDescent="0.3">
      <c r="B313" s="76">
        <f>J17*J17*N17</f>
        <v>16661.403726774148</v>
      </c>
      <c r="C313" s="76">
        <f>J17*K17*N17</f>
        <v>21421.804791566763</v>
      </c>
      <c r="D313" s="76">
        <f>-B313</f>
        <v>-16661.403726774148</v>
      </c>
      <c r="E313" s="76">
        <f>-C313</f>
        <v>-21421.804791566763</v>
      </c>
      <c r="F313" s="89" t="str">
        <f>B312</f>
        <v>U3X</v>
      </c>
    </row>
    <row r="314" spans="1:18" ht="16.8" customHeight="1" x14ac:dyDescent="0.3">
      <c r="A314" s="28" t="s">
        <v>603</v>
      </c>
      <c r="B314" s="76">
        <f>C313</f>
        <v>21421.804791566763</v>
      </c>
      <c r="C314" s="76">
        <f>K17*K17*N17</f>
        <v>27542.32044630012</v>
      </c>
      <c r="D314" s="76">
        <f>-B314</f>
        <v>-21421.804791566763</v>
      </c>
      <c r="E314" s="76">
        <f>-C314</f>
        <v>-27542.32044630012</v>
      </c>
      <c r="F314" s="89" t="str">
        <f>C312</f>
        <v>U3Y</v>
      </c>
    </row>
    <row r="315" spans="1:18" x14ac:dyDescent="0.3">
      <c r="B315" s="76">
        <f>D313</f>
        <v>-16661.403726774148</v>
      </c>
      <c r="C315" s="76">
        <f>E313</f>
        <v>-21421.804791566763</v>
      </c>
      <c r="D315" s="76">
        <f>B313</f>
        <v>16661.403726774148</v>
      </c>
      <c r="E315" s="76">
        <f>C313</f>
        <v>21421.804791566763</v>
      </c>
      <c r="F315" s="89" t="str">
        <f>D312</f>
        <v>U8X</v>
      </c>
    </row>
    <row r="316" spans="1:18" x14ac:dyDescent="0.3">
      <c r="B316" s="76">
        <f>D314</f>
        <v>-21421.804791566763</v>
      </c>
      <c r="C316" s="76">
        <f>E314</f>
        <v>-27542.32044630012</v>
      </c>
      <c r="D316" s="76">
        <f>B314</f>
        <v>21421.804791566763</v>
      </c>
      <c r="E316" s="76">
        <f>C314</f>
        <v>27542.32044630012</v>
      </c>
      <c r="F316" s="89" t="str">
        <f>E312</f>
        <v>U8Y</v>
      </c>
    </row>
    <row r="318" spans="1:18" ht="18" customHeight="1" x14ac:dyDescent="0.3">
      <c r="B318" s="89" t="s">
        <v>178</v>
      </c>
      <c r="C318" s="89" t="s">
        <v>179</v>
      </c>
      <c r="D318" s="89" t="s">
        <v>180</v>
      </c>
      <c r="E318" s="89" t="s">
        <v>181</v>
      </c>
      <c r="F318" s="89" t="s">
        <v>182</v>
      </c>
      <c r="G318" s="89" t="s">
        <v>183</v>
      </c>
      <c r="H318" s="89" t="s">
        <v>184</v>
      </c>
      <c r="I318" s="89" t="s">
        <v>185</v>
      </c>
      <c r="J318" s="89" t="s">
        <v>186</v>
      </c>
      <c r="K318" s="89" t="s">
        <v>187</v>
      </c>
      <c r="L318" s="89" t="s">
        <v>188</v>
      </c>
      <c r="M318" s="89" t="s">
        <v>189</v>
      </c>
      <c r="N318" s="89" t="s">
        <v>579</v>
      </c>
      <c r="O318" s="89" t="s">
        <v>580</v>
      </c>
      <c r="P318" s="89" t="s">
        <v>601</v>
      </c>
      <c r="Q318" s="89" t="s">
        <v>602</v>
      </c>
    </row>
    <row r="319" spans="1:18" ht="19.05" customHeight="1" x14ac:dyDescent="0.3">
      <c r="B319" s="9">
        <f t="shared" ref="B319:Q328" si="28">IFERROR(INDEX($B$313:$E$316, MATCH($R319, $B$312:$E$312, 0), MATCH(B$318, $B$312:$E$312, 0)), 0)</f>
        <v>0</v>
      </c>
      <c r="C319" s="9">
        <f t="shared" si="28"/>
        <v>0</v>
      </c>
      <c r="D319" s="9">
        <f t="shared" si="28"/>
        <v>0</v>
      </c>
      <c r="E319" s="9">
        <f t="shared" si="28"/>
        <v>0</v>
      </c>
      <c r="F319" s="9">
        <f t="shared" si="28"/>
        <v>0</v>
      </c>
      <c r="G319" s="9">
        <f t="shared" si="28"/>
        <v>0</v>
      </c>
      <c r="H319" s="9">
        <f t="shared" si="28"/>
        <v>0</v>
      </c>
      <c r="I319" s="9">
        <f t="shared" si="28"/>
        <v>0</v>
      </c>
      <c r="J319" s="9">
        <f t="shared" si="28"/>
        <v>0</v>
      </c>
      <c r="K319" s="9">
        <f t="shared" si="28"/>
        <v>0</v>
      </c>
      <c r="L319" s="9">
        <f t="shared" si="28"/>
        <v>0</v>
      </c>
      <c r="M319" s="9">
        <f t="shared" si="28"/>
        <v>0</v>
      </c>
      <c r="N319" s="9">
        <f t="shared" si="28"/>
        <v>0</v>
      </c>
      <c r="O319" s="9">
        <f t="shared" si="28"/>
        <v>0</v>
      </c>
      <c r="P319" s="9">
        <f t="shared" si="28"/>
        <v>0</v>
      </c>
      <c r="Q319" s="9">
        <f t="shared" si="28"/>
        <v>0</v>
      </c>
      <c r="R319" s="89" t="s">
        <v>178</v>
      </c>
    </row>
    <row r="320" spans="1:18" ht="19.05" customHeight="1" x14ac:dyDescent="0.3">
      <c r="B320" s="9">
        <f t="shared" si="28"/>
        <v>0</v>
      </c>
      <c r="C320" s="9">
        <f t="shared" si="28"/>
        <v>0</v>
      </c>
      <c r="D320" s="9">
        <f t="shared" si="28"/>
        <v>0</v>
      </c>
      <c r="E320" s="9">
        <f t="shared" si="28"/>
        <v>0</v>
      </c>
      <c r="F320" s="9">
        <f t="shared" si="28"/>
        <v>0</v>
      </c>
      <c r="G320" s="9">
        <f t="shared" si="28"/>
        <v>0</v>
      </c>
      <c r="H320" s="9">
        <f t="shared" si="28"/>
        <v>0</v>
      </c>
      <c r="I320" s="9">
        <f t="shared" si="28"/>
        <v>0</v>
      </c>
      <c r="J320" s="9">
        <f t="shared" si="28"/>
        <v>0</v>
      </c>
      <c r="K320" s="9">
        <f t="shared" si="28"/>
        <v>0</v>
      </c>
      <c r="L320" s="9">
        <f t="shared" si="28"/>
        <v>0</v>
      </c>
      <c r="M320" s="9">
        <f t="shared" si="28"/>
        <v>0</v>
      </c>
      <c r="N320" s="9">
        <f t="shared" si="28"/>
        <v>0</v>
      </c>
      <c r="O320" s="9">
        <f t="shared" si="28"/>
        <v>0</v>
      </c>
      <c r="P320" s="9">
        <f t="shared" si="28"/>
        <v>0</v>
      </c>
      <c r="Q320" s="9">
        <f t="shared" si="28"/>
        <v>0</v>
      </c>
      <c r="R320" s="89" t="s">
        <v>179</v>
      </c>
    </row>
    <row r="321" spans="1:18" ht="19.05" customHeight="1" x14ac:dyDescent="0.3">
      <c r="B321" s="9">
        <f t="shared" si="28"/>
        <v>0</v>
      </c>
      <c r="C321" s="9">
        <f t="shared" si="28"/>
        <v>0</v>
      </c>
      <c r="D321" s="9">
        <f t="shared" si="28"/>
        <v>0</v>
      </c>
      <c r="E321" s="9">
        <f t="shared" si="28"/>
        <v>0</v>
      </c>
      <c r="F321" s="9">
        <f t="shared" si="28"/>
        <v>0</v>
      </c>
      <c r="G321" s="9">
        <f t="shared" si="28"/>
        <v>0</v>
      </c>
      <c r="H321" s="9">
        <f t="shared" si="28"/>
        <v>0</v>
      </c>
      <c r="I321" s="9">
        <f t="shared" si="28"/>
        <v>0</v>
      </c>
      <c r="J321" s="9">
        <f t="shared" si="28"/>
        <v>0</v>
      </c>
      <c r="K321" s="9">
        <f t="shared" si="28"/>
        <v>0</v>
      </c>
      <c r="L321" s="9">
        <f t="shared" si="28"/>
        <v>0</v>
      </c>
      <c r="M321" s="9">
        <f t="shared" si="28"/>
        <v>0</v>
      </c>
      <c r="N321" s="9">
        <f t="shared" si="28"/>
        <v>0</v>
      </c>
      <c r="O321" s="9">
        <f t="shared" si="28"/>
        <v>0</v>
      </c>
      <c r="P321" s="9">
        <f t="shared" si="28"/>
        <v>0</v>
      </c>
      <c r="Q321" s="9">
        <f t="shared" si="28"/>
        <v>0</v>
      </c>
      <c r="R321" s="89" t="s">
        <v>180</v>
      </c>
    </row>
    <row r="322" spans="1:18" ht="19.05" customHeight="1" x14ac:dyDescent="0.3">
      <c r="B322" s="9">
        <f t="shared" si="28"/>
        <v>0</v>
      </c>
      <c r="C322" s="9">
        <f t="shared" si="28"/>
        <v>0</v>
      </c>
      <c r="D322" s="9">
        <f t="shared" si="28"/>
        <v>0</v>
      </c>
      <c r="E322" s="9">
        <f t="shared" si="28"/>
        <v>0</v>
      </c>
      <c r="F322" s="9">
        <f t="shared" si="28"/>
        <v>0</v>
      </c>
      <c r="G322" s="9">
        <f t="shared" si="28"/>
        <v>0</v>
      </c>
      <c r="H322" s="9">
        <f t="shared" si="28"/>
        <v>0</v>
      </c>
      <c r="I322" s="9">
        <f t="shared" si="28"/>
        <v>0</v>
      </c>
      <c r="J322" s="9">
        <f t="shared" si="28"/>
        <v>0</v>
      </c>
      <c r="K322" s="9">
        <f t="shared" si="28"/>
        <v>0</v>
      </c>
      <c r="L322" s="9">
        <f t="shared" si="28"/>
        <v>0</v>
      </c>
      <c r="M322" s="9">
        <f t="shared" si="28"/>
        <v>0</v>
      </c>
      <c r="N322" s="9">
        <f t="shared" si="28"/>
        <v>0</v>
      </c>
      <c r="O322" s="9">
        <f t="shared" si="28"/>
        <v>0</v>
      </c>
      <c r="P322" s="9">
        <f t="shared" si="28"/>
        <v>0</v>
      </c>
      <c r="Q322" s="9">
        <f t="shared" si="28"/>
        <v>0</v>
      </c>
      <c r="R322" s="89" t="s">
        <v>181</v>
      </c>
    </row>
    <row r="323" spans="1:18" ht="19.05" customHeight="1" x14ac:dyDescent="0.3">
      <c r="B323" s="9">
        <f t="shared" si="28"/>
        <v>0</v>
      </c>
      <c r="C323" s="9">
        <f t="shared" si="28"/>
        <v>0</v>
      </c>
      <c r="D323" s="9">
        <f t="shared" si="28"/>
        <v>0</v>
      </c>
      <c r="E323" s="9">
        <f t="shared" si="28"/>
        <v>0</v>
      </c>
      <c r="F323" s="77">
        <f t="shared" si="28"/>
        <v>16661.403726774148</v>
      </c>
      <c r="G323" s="77">
        <f t="shared" si="28"/>
        <v>21421.804791566763</v>
      </c>
      <c r="H323" s="9">
        <f t="shared" si="28"/>
        <v>0</v>
      </c>
      <c r="I323" s="9">
        <f t="shared" si="28"/>
        <v>0</v>
      </c>
      <c r="J323" s="9">
        <f t="shared" si="28"/>
        <v>0</v>
      </c>
      <c r="K323" s="9">
        <f t="shared" si="28"/>
        <v>0</v>
      </c>
      <c r="L323" s="9">
        <f t="shared" si="28"/>
        <v>0</v>
      </c>
      <c r="M323" s="9">
        <f t="shared" si="28"/>
        <v>0</v>
      </c>
      <c r="N323" s="9">
        <f t="shared" si="28"/>
        <v>0</v>
      </c>
      <c r="O323" s="9">
        <f t="shared" si="28"/>
        <v>0</v>
      </c>
      <c r="P323" s="77">
        <f t="shared" si="28"/>
        <v>-16661.403726774148</v>
      </c>
      <c r="Q323" s="77">
        <f t="shared" si="28"/>
        <v>-21421.804791566763</v>
      </c>
      <c r="R323" s="89" t="s">
        <v>182</v>
      </c>
    </row>
    <row r="324" spans="1:18" ht="19.05" customHeight="1" x14ac:dyDescent="0.3">
      <c r="B324" s="9">
        <f t="shared" si="28"/>
        <v>0</v>
      </c>
      <c r="C324" s="9">
        <f t="shared" si="28"/>
        <v>0</v>
      </c>
      <c r="D324" s="9">
        <f t="shared" si="28"/>
        <v>0</v>
      </c>
      <c r="E324" s="9">
        <f t="shared" si="28"/>
        <v>0</v>
      </c>
      <c r="F324" s="77">
        <f t="shared" si="28"/>
        <v>21421.804791566763</v>
      </c>
      <c r="G324" s="77">
        <f t="shared" si="28"/>
        <v>27542.32044630012</v>
      </c>
      <c r="H324" s="9">
        <f t="shared" si="28"/>
        <v>0</v>
      </c>
      <c r="I324" s="9">
        <f t="shared" si="28"/>
        <v>0</v>
      </c>
      <c r="J324" s="9">
        <f t="shared" si="28"/>
        <v>0</v>
      </c>
      <c r="K324" s="9">
        <f t="shared" si="28"/>
        <v>0</v>
      </c>
      <c r="L324" s="9">
        <f t="shared" si="28"/>
        <v>0</v>
      </c>
      <c r="M324" s="9">
        <f t="shared" si="28"/>
        <v>0</v>
      </c>
      <c r="N324" s="9">
        <f t="shared" si="28"/>
        <v>0</v>
      </c>
      <c r="O324" s="9">
        <f t="shared" si="28"/>
        <v>0</v>
      </c>
      <c r="P324" s="77">
        <f t="shared" si="28"/>
        <v>-21421.804791566763</v>
      </c>
      <c r="Q324" s="77">
        <f t="shared" si="28"/>
        <v>-27542.32044630012</v>
      </c>
      <c r="R324" s="89" t="s">
        <v>183</v>
      </c>
    </row>
    <row r="325" spans="1:18" ht="19.05" customHeight="1" x14ac:dyDescent="0.3">
      <c r="B325" s="9">
        <f t="shared" si="28"/>
        <v>0</v>
      </c>
      <c r="C325" s="9">
        <f t="shared" si="28"/>
        <v>0</v>
      </c>
      <c r="D325" s="9">
        <f t="shared" si="28"/>
        <v>0</v>
      </c>
      <c r="E325" s="9">
        <f t="shared" si="28"/>
        <v>0</v>
      </c>
      <c r="F325" s="9">
        <f t="shared" si="28"/>
        <v>0</v>
      </c>
      <c r="G325" s="9">
        <f t="shared" si="28"/>
        <v>0</v>
      </c>
      <c r="H325" s="9">
        <f t="shared" si="28"/>
        <v>0</v>
      </c>
      <c r="I325" s="9">
        <f t="shared" si="28"/>
        <v>0</v>
      </c>
      <c r="J325" s="9">
        <f t="shared" si="28"/>
        <v>0</v>
      </c>
      <c r="K325" s="9">
        <f t="shared" si="28"/>
        <v>0</v>
      </c>
      <c r="L325" s="9">
        <f t="shared" si="28"/>
        <v>0</v>
      </c>
      <c r="M325" s="9">
        <f t="shared" si="28"/>
        <v>0</v>
      </c>
      <c r="N325" s="9">
        <f t="shared" si="28"/>
        <v>0</v>
      </c>
      <c r="O325" s="9">
        <f t="shared" si="28"/>
        <v>0</v>
      </c>
      <c r="P325" s="9">
        <f t="shared" si="28"/>
        <v>0</v>
      </c>
      <c r="Q325" s="9">
        <f t="shared" si="28"/>
        <v>0</v>
      </c>
      <c r="R325" s="89" t="s">
        <v>184</v>
      </c>
    </row>
    <row r="326" spans="1:18" ht="19.05" customHeight="1" x14ac:dyDescent="0.3">
      <c r="A326" s="28" t="s">
        <v>604</v>
      </c>
      <c r="B326" s="9">
        <f t="shared" si="28"/>
        <v>0</v>
      </c>
      <c r="C326" s="9">
        <f t="shared" si="28"/>
        <v>0</v>
      </c>
      <c r="D326" s="9">
        <f t="shared" si="28"/>
        <v>0</v>
      </c>
      <c r="E326" s="9">
        <f t="shared" si="28"/>
        <v>0</v>
      </c>
      <c r="F326" s="9">
        <f t="shared" si="28"/>
        <v>0</v>
      </c>
      <c r="G326" s="9">
        <f t="shared" si="28"/>
        <v>0</v>
      </c>
      <c r="H326" s="9">
        <f t="shared" si="28"/>
        <v>0</v>
      </c>
      <c r="I326" s="9">
        <f t="shared" si="28"/>
        <v>0</v>
      </c>
      <c r="J326" s="9">
        <f t="shared" si="28"/>
        <v>0</v>
      </c>
      <c r="K326" s="9">
        <f t="shared" si="28"/>
        <v>0</v>
      </c>
      <c r="L326" s="9">
        <f t="shared" si="28"/>
        <v>0</v>
      </c>
      <c r="M326" s="9">
        <f t="shared" si="28"/>
        <v>0</v>
      </c>
      <c r="N326" s="9">
        <f t="shared" si="28"/>
        <v>0</v>
      </c>
      <c r="O326" s="9">
        <f t="shared" si="28"/>
        <v>0</v>
      </c>
      <c r="P326" s="9">
        <f t="shared" si="28"/>
        <v>0</v>
      </c>
      <c r="Q326" s="9">
        <f t="shared" si="28"/>
        <v>0</v>
      </c>
      <c r="R326" s="89" t="s">
        <v>185</v>
      </c>
    </row>
    <row r="327" spans="1:18" ht="19.05" customHeight="1" x14ac:dyDescent="0.3">
      <c r="B327" s="9">
        <f t="shared" si="28"/>
        <v>0</v>
      </c>
      <c r="C327" s="9">
        <f t="shared" si="28"/>
        <v>0</v>
      </c>
      <c r="D327" s="9">
        <f t="shared" si="28"/>
        <v>0</v>
      </c>
      <c r="E327" s="9">
        <f t="shared" si="28"/>
        <v>0</v>
      </c>
      <c r="F327" s="9">
        <f t="shared" si="28"/>
        <v>0</v>
      </c>
      <c r="G327" s="9">
        <f t="shared" si="28"/>
        <v>0</v>
      </c>
      <c r="H327" s="9">
        <f t="shared" si="28"/>
        <v>0</v>
      </c>
      <c r="I327" s="9">
        <f t="shared" si="28"/>
        <v>0</v>
      </c>
      <c r="J327" s="9">
        <f t="shared" si="28"/>
        <v>0</v>
      </c>
      <c r="K327" s="9">
        <f t="shared" si="28"/>
        <v>0</v>
      </c>
      <c r="L327" s="9">
        <f t="shared" si="28"/>
        <v>0</v>
      </c>
      <c r="M327" s="9">
        <f t="shared" si="28"/>
        <v>0</v>
      </c>
      <c r="N327" s="9">
        <f t="shared" si="28"/>
        <v>0</v>
      </c>
      <c r="O327" s="9">
        <f t="shared" si="28"/>
        <v>0</v>
      </c>
      <c r="P327" s="9">
        <f t="shared" si="28"/>
        <v>0</v>
      </c>
      <c r="Q327" s="9">
        <f t="shared" si="28"/>
        <v>0</v>
      </c>
      <c r="R327" s="89" t="s">
        <v>186</v>
      </c>
    </row>
    <row r="328" spans="1:18" ht="19.05" customHeight="1" x14ac:dyDescent="0.3">
      <c r="B328" s="9">
        <f t="shared" si="28"/>
        <v>0</v>
      </c>
      <c r="C328" s="9">
        <f t="shared" si="28"/>
        <v>0</v>
      </c>
      <c r="D328" s="9">
        <f t="shared" si="28"/>
        <v>0</v>
      </c>
      <c r="E328" s="9">
        <f t="shared" si="28"/>
        <v>0</v>
      </c>
      <c r="F328" s="9">
        <f t="shared" si="28"/>
        <v>0</v>
      </c>
      <c r="G328" s="9">
        <f t="shared" si="28"/>
        <v>0</v>
      </c>
      <c r="H328" s="9">
        <f t="shared" si="28"/>
        <v>0</v>
      </c>
      <c r="I328" s="9">
        <f t="shared" si="28"/>
        <v>0</v>
      </c>
      <c r="J328" s="9">
        <f t="shared" si="28"/>
        <v>0</v>
      </c>
      <c r="K328" s="9">
        <f t="shared" si="28"/>
        <v>0</v>
      </c>
      <c r="L328" s="9">
        <f t="shared" si="28"/>
        <v>0</v>
      </c>
      <c r="M328" s="9">
        <f t="shared" si="28"/>
        <v>0</v>
      </c>
      <c r="N328" s="9">
        <f t="shared" si="28"/>
        <v>0</v>
      </c>
      <c r="O328" s="9">
        <f t="shared" si="28"/>
        <v>0</v>
      </c>
      <c r="P328" s="9">
        <f t="shared" si="28"/>
        <v>0</v>
      </c>
      <c r="Q328" s="9">
        <f t="shared" si="28"/>
        <v>0</v>
      </c>
      <c r="R328" s="89" t="s">
        <v>187</v>
      </c>
    </row>
    <row r="329" spans="1:18" ht="19.05" customHeight="1" x14ac:dyDescent="0.3">
      <c r="B329" s="9">
        <f t="shared" ref="B329:Q334" si="29">IFERROR(INDEX($B$313:$E$316, MATCH($R329, $B$312:$E$312, 0), MATCH(B$318, $B$312:$E$312, 0)), 0)</f>
        <v>0</v>
      </c>
      <c r="C329" s="9">
        <f t="shared" si="29"/>
        <v>0</v>
      </c>
      <c r="D329" s="9">
        <f t="shared" si="29"/>
        <v>0</v>
      </c>
      <c r="E329" s="9">
        <f t="shared" si="29"/>
        <v>0</v>
      </c>
      <c r="F329" s="9">
        <f t="shared" si="29"/>
        <v>0</v>
      </c>
      <c r="G329" s="9">
        <f t="shared" si="29"/>
        <v>0</v>
      </c>
      <c r="H329" s="9">
        <f t="shared" si="29"/>
        <v>0</v>
      </c>
      <c r="I329" s="9">
        <f t="shared" si="29"/>
        <v>0</v>
      </c>
      <c r="J329" s="9">
        <f t="shared" si="29"/>
        <v>0</v>
      </c>
      <c r="K329" s="9">
        <f t="shared" si="29"/>
        <v>0</v>
      </c>
      <c r="L329" s="9">
        <f t="shared" si="29"/>
        <v>0</v>
      </c>
      <c r="M329" s="9">
        <f t="shared" si="29"/>
        <v>0</v>
      </c>
      <c r="N329" s="9">
        <f t="shared" si="29"/>
        <v>0</v>
      </c>
      <c r="O329" s="9">
        <f t="shared" si="29"/>
        <v>0</v>
      </c>
      <c r="P329" s="9">
        <f t="shared" si="29"/>
        <v>0</v>
      </c>
      <c r="Q329" s="9">
        <f t="shared" si="29"/>
        <v>0</v>
      </c>
      <c r="R329" s="89" t="s">
        <v>188</v>
      </c>
    </row>
    <row r="330" spans="1:18" ht="19.05" customHeight="1" x14ac:dyDescent="0.3">
      <c r="B330" s="9">
        <f t="shared" si="29"/>
        <v>0</v>
      </c>
      <c r="C330" s="9">
        <f t="shared" si="29"/>
        <v>0</v>
      </c>
      <c r="D330" s="9">
        <f t="shared" si="29"/>
        <v>0</v>
      </c>
      <c r="E330" s="9">
        <f t="shared" si="29"/>
        <v>0</v>
      </c>
      <c r="F330" s="9">
        <f t="shared" si="29"/>
        <v>0</v>
      </c>
      <c r="G330" s="9">
        <f t="shared" si="29"/>
        <v>0</v>
      </c>
      <c r="H330" s="9">
        <f t="shared" si="29"/>
        <v>0</v>
      </c>
      <c r="I330" s="9">
        <f t="shared" si="29"/>
        <v>0</v>
      </c>
      <c r="J330" s="9">
        <f t="shared" si="29"/>
        <v>0</v>
      </c>
      <c r="K330" s="9">
        <f t="shared" si="29"/>
        <v>0</v>
      </c>
      <c r="L330" s="9">
        <f t="shared" si="29"/>
        <v>0</v>
      </c>
      <c r="M330" s="9">
        <f t="shared" si="29"/>
        <v>0</v>
      </c>
      <c r="N330" s="9">
        <f t="shared" si="29"/>
        <v>0</v>
      </c>
      <c r="O330" s="9">
        <f t="shared" si="29"/>
        <v>0</v>
      </c>
      <c r="P330" s="9">
        <f t="shared" si="29"/>
        <v>0</v>
      </c>
      <c r="Q330" s="9">
        <f t="shared" si="29"/>
        <v>0</v>
      </c>
      <c r="R330" s="89" t="s">
        <v>189</v>
      </c>
    </row>
    <row r="331" spans="1:18" ht="19.05" customHeight="1" x14ac:dyDescent="0.3">
      <c r="B331" s="9">
        <f t="shared" si="29"/>
        <v>0</v>
      </c>
      <c r="C331" s="9">
        <f t="shared" si="29"/>
        <v>0</v>
      </c>
      <c r="D331" s="9">
        <f t="shared" si="29"/>
        <v>0</v>
      </c>
      <c r="E331" s="9">
        <f t="shared" si="29"/>
        <v>0</v>
      </c>
      <c r="F331" s="9">
        <f t="shared" si="29"/>
        <v>0</v>
      </c>
      <c r="G331" s="9">
        <f t="shared" si="29"/>
        <v>0</v>
      </c>
      <c r="H331" s="9">
        <f t="shared" si="29"/>
        <v>0</v>
      </c>
      <c r="I331" s="9">
        <f t="shared" si="29"/>
        <v>0</v>
      </c>
      <c r="J331" s="9">
        <f t="shared" si="29"/>
        <v>0</v>
      </c>
      <c r="K331" s="9">
        <f t="shared" si="29"/>
        <v>0</v>
      </c>
      <c r="L331" s="9">
        <f t="shared" si="29"/>
        <v>0</v>
      </c>
      <c r="M331" s="9">
        <f t="shared" si="29"/>
        <v>0</v>
      </c>
      <c r="N331" s="9">
        <f t="shared" si="29"/>
        <v>0</v>
      </c>
      <c r="O331" s="9">
        <f t="shared" si="29"/>
        <v>0</v>
      </c>
      <c r="P331" s="9">
        <f t="shared" si="29"/>
        <v>0</v>
      </c>
      <c r="Q331" s="9">
        <f t="shared" si="29"/>
        <v>0</v>
      </c>
      <c r="R331" s="89" t="s">
        <v>579</v>
      </c>
    </row>
    <row r="332" spans="1:18" ht="19.05" customHeight="1" x14ac:dyDescent="0.3">
      <c r="B332" s="9">
        <f t="shared" si="29"/>
        <v>0</v>
      </c>
      <c r="C332" s="9">
        <f t="shared" si="29"/>
        <v>0</v>
      </c>
      <c r="D332" s="9">
        <f t="shared" si="29"/>
        <v>0</v>
      </c>
      <c r="E332" s="9">
        <f t="shared" si="29"/>
        <v>0</v>
      </c>
      <c r="F332" s="9">
        <f t="shared" si="29"/>
        <v>0</v>
      </c>
      <c r="G332" s="9">
        <f t="shared" si="29"/>
        <v>0</v>
      </c>
      <c r="H332" s="9">
        <f t="shared" si="29"/>
        <v>0</v>
      </c>
      <c r="I332" s="9">
        <f t="shared" si="29"/>
        <v>0</v>
      </c>
      <c r="J332" s="9">
        <f t="shared" si="29"/>
        <v>0</v>
      </c>
      <c r="K332" s="9">
        <f t="shared" si="29"/>
        <v>0</v>
      </c>
      <c r="L332" s="9">
        <f t="shared" si="29"/>
        <v>0</v>
      </c>
      <c r="M332" s="9">
        <f t="shared" si="29"/>
        <v>0</v>
      </c>
      <c r="N332" s="9">
        <f t="shared" si="29"/>
        <v>0</v>
      </c>
      <c r="O332" s="9">
        <f t="shared" si="29"/>
        <v>0</v>
      </c>
      <c r="P332" s="9">
        <f t="shared" si="29"/>
        <v>0</v>
      </c>
      <c r="Q332" s="9">
        <f t="shared" si="29"/>
        <v>0</v>
      </c>
      <c r="R332" s="89" t="s">
        <v>580</v>
      </c>
    </row>
    <row r="333" spans="1:18" ht="19.05" customHeight="1" x14ac:dyDescent="0.3">
      <c r="B333" s="9">
        <f t="shared" si="29"/>
        <v>0</v>
      </c>
      <c r="C333" s="9">
        <f t="shared" si="29"/>
        <v>0</v>
      </c>
      <c r="D333" s="9">
        <f t="shared" si="29"/>
        <v>0</v>
      </c>
      <c r="E333" s="9">
        <f t="shared" si="29"/>
        <v>0</v>
      </c>
      <c r="F333" s="77">
        <f t="shared" si="29"/>
        <v>-16661.403726774148</v>
      </c>
      <c r="G333" s="77">
        <f t="shared" si="29"/>
        <v>-21421.804791566763</v>
      </c>
      <c r="H333" s="9">
        <f t="shared" si="29"/>
        <v>0</v>
      </c>
      <c r="I333" s="9">
        <f t="shared" si="29"/>
        <v>0</v>
      </c>
      <c r="J333" s="9">
        <f t="shared" si="29"/>
        <v>0</v>
      </c>
      <c r="K333" s="9">
        <f t="shared" si="29"/>
        <v>0</v>
      </c>
      <c r="L333" s="9">
        <f t="shared" si="29"/>
        <v>0</v>
      </c>
      <c r="M333" s="9">
        <f t="shared" si="29"/>
        <v>0</v>
      </c>
      <c r="N333" s="9">
        <f t="shared" si="29"/>
        <v>0</v>
      </c>
      <c r="O333" s="9">
        <f t="shared" si="29"/>
        <v>0</v>
      </c>
      <c r="P333" s="77">
        <f t="shared" si="29"/>
        <v>16661.403726774148</v>
      </c>
      <c r="Q333" s="77">
        <f t="shared" si="29"/>
        <v>21421.804791566763</v>
      </c>
      <c r="R333" s="89" t="s">
        <v>601</v>
      </c>
    </row>
    <row r="334" spans="1:18" ht="19.05" customHeight="1" x14ac:dyDescent="0.3">
      <c r="B334" s="9">
        <f t="shared" si="29"/>
        <v>0</v>
      </c>
      <c r="C334" s="9">
        <f t="shared" si="29"/>
        <v>0</v>
      </c>
      <c r="D334" s="9">
        <f t="shared" si="29"/>
        <v>0</v>
      </c>
      <c r="E334" s="9">
        <f t="shared" si="29"/>
        <v>0</v>
      </c>
      <c r="F334" s="77">
        <f t="shared" si="29"/>
        <v>-21421.804791566763</v>
      </c>
      <c r="G334" s="77">
        <f t="shared" si="29"/>
        <v>-27542.32044630012</v>
      </c>
      <c r="H334" s="9">
        <f t="shared" si="29"/>
        <v>0</v>
      </c>
      <c r="I334" s="9">
        <f t="shared" si="29"/>
        <v>0</v>
      </c>
      <c r="J334" s="9">
        <f t="shared" si="29"/>
        <v>0</v>
      </c>
      <c r="K334" s="9">
        <f t="shared" si="29"/>
        <v>0</v>
      </c>
      <c r="L334" s="9">
        <f t="shared" si="29"/>
        <v>0</v>
      </c>
      <c r="M334" s="9">
        <f t="shared" si="29"/>
        <v>0</v>
      </c>
      <c r="N334" s="9">
        <f t="shared" si="29"/>
        <v>0</v>
      </c>
      <c r="O334" s="9">
        <f t="shared" si="29"/>
        <v>0</v>
      </c>
      <c r="P334" s="77">
        <f t="shared" si="29"/>
        <v>21421.804791566763</v>
      </c>
      <c r="Q334" s="77">
        <f t="shared" si="29"/>
        <v>27542.32044630012</v>
      </c>
      <c r="R334" s="89" t="s">
        <v>602</v>
      </c>
    </row>
    <row r="337" spans="1:18" ht="18" customHeight="1" x14ac:dyDescent="0.3">
      <c r="B337" s="78" t="str">
        <f>CONCATENATE("U",C34,C$21)</f>
        <v>U8X</v>
      </c>
      <c r="C337" s="78" t="str">
        <f>CONCATENATE("U",D34,D$21)</f>
        <v>U8Y</v>
      </c>
      <c r="D337" s="78" t="str">
        <f>CONCATENATE("U",E34,E$21)</f>
        <v>U4X</v>
      </c>
      <c r="E337" s="78" t="str">
        <f>CONCATENATE("U",F34,F$21)</f>
        <v>U4Y</v>
      </c>
    </row>
    <row r="338" spans="1:18" x14ac:dyDescent="0.3">
      <c r="B338" s="79">
        <f>J18*J18*N18</f>
        <v>0</v>
      </c>
      <c r="C338" s="79">
        <f>J18*K18*N18</f>
        <v>0</v>
      </c>
      <c r="D338" s="79">
        <f>-B338</f>
        <v>0</v>
      </c>
      <c r="E338" s="79">
        <f>-C338</f>
        <v>0</v>
      </c>
      <c r="F338" s="78" t="str">
        <f>B337</f>
        <v>U8X</v>
      </c>
    </row>
    <row r="339" spans="1:18" ht="16.8" customHeight="1" x14ac:dyDescent="0.3">
      <c r="A339" s="28" t="s">
        <v>605</v>
      </c>
      <c r="B339" s="79">
        <f>C338</f>
        <v>0</v>
      </c>
      <c r="C339" s="79">
        <f>K18*K18*N18</f>
        <v>56000</v>
      </c>
      <c r="D339" s="79">
        <f>-B339</f>
        <v>0</v>
      </c>
      <c r="E339" s="79">
        <f>-C339</f>
        <v>-56000</v>
      </c>
      <c r="F339" s="78" t="str">
        <f>C337</f>
        <v>U8Y</v>
      </c>
    </row>
    <row r="340" spans="1:18" x14ac:dyDescent="0.3">
      <c r="B340" s="79">
        <f>D338</f>
        <v>0</v>
      </c>
      <c r="C340" s="79">
        <f>E338</f>
        <v>0</v>
      </c>
      <c r="D340" s="79">
        <f>B338</f>
        <v>0</v>
      </c>
      <c r="E340" s="79">
        <f>C338</f>
        <v>0</v>
      </c>
      <c r="F340" s="78" t="str">
        <f>D337</f>
        <v>U4X</v>
      </c>
    </row>
    <row r="341" spans="1:18" x14ac:dyDescent="0.3">
      <c r="B341" s="79">
        <f>D339</f>
        <v>0</v>
      </c>
      <c r="C341" s="79">
        <f>E339</f>
        <v>-56000</v>
      </c>
      <c r="D341" s="79">
        <f>B339</f>
        <v>0</v>
      </c>
      <c r="E341" s="79">
        <f>C339</f>
        <v>56000</v>
      </c>
      <c r="F341" s="78" t="str">
        <f>E337</f>
        <v>U4Y</v>
      </c>
    </row>
    <row r="343" spans="1:18" ht="18" customHeight="1" x14ac:dyDescent="0.3">
      <c r="B343" s="78" t="s">
        <v>178</v>
      </c>
      <c r="C343" s="78" t="s">
        <v>179</v>
      </c>
      <c r="D343" s="78" t="s">
        <v>180</v>
      </c>
      <c r="E343" s="78" t="s">
        <v>181</v>
      </c>
      <c r="F343" s="78" t="s">
        <v>182</v>
      </c>
      <c r="G343" s="78" t="s">
        <v>183</v>
      </c>
      <c r="H343" s="78" t="s">
        <v>184</v>
      </c>
      <c r="I343" s="78" t="s">
        <v>185</v>
      </c>
      <c r="J343" s="78" t="s">
        <v>186</v>
      </c>
      <c r="K343" s="78" t="s">
        <v>187</v>
      </c>
      <c r="L343" s="78" t="s">
        <v>188</v>
      </c>
      <c r="M343" s="78" t="s">
        <v>189</v>
      </c>
      <c r="N343" s="78" t="s">
        <v>579</v>
      </c>
      <c r="O343" s="78" t="s">
        <v>580</v>
      </c>
      <c r="P343" s="78" t="s">
        <v>601</v>
      </c>
      <c r="Q343" s="78" t="s">
        <v>602</v>
      </c>
    </row>
    <row r="344" spans="1:18" ht="19.05" customHeight="1" x14ac:dyDescent="0.3">
      <c r="B344" s="9">
        <f t="shared" ref="B344:Q353" si="30">IFERROR(INDEX($B$338:$E$341, MATCH($R344, $B$337:$E$337, 0), MATCH(B$343, $B$337:$E$337, 0)), 0)</f>
        <v>0</v>
      </c>
      <c r="C344" s="9">
        <f t="shared" si="30"/>
        <v>0</v>
      </c>
      <c r="D344" s="9">
        <f t="shared" si="30"/>
        <v>0</v>
      </c>
      <c r="E344" s="9">
        <f t="shared" si="30"/>
        <v>0</v>
      </c>
      <c r="F344" s="9">
        <f t="shared" si="30"/>
        <v>0</v>
      </c>
      <c r="G344" s="9">
        <f t="shared" si="30"/>
        <v>0</v>
      </c>
      <c r="H344" s="9">
        <f t="shared" si="30"/>
        <v>0</v>
      </c>
      <c r="I344" s="9">
        <f t="shared" si="30"/>
        <v>0</v>
      </c>
      <c r="J344" s="9">
        <f t="shared" si="30"/>
        <v>0</v>
      </c>
      <c r="K344" s="9">
        <f t="shared" si="30"/>
        <v>0</v>
      </c>
      <c r="L344" s="9">
        <f t="shared" si="30"/>
        <v>0</v>
      </c>
      <c r="M344" s="9">
        <f t="shared" si="30"/>
        <v>0</v>
      </c>
      <c r="N344" s="9">
        <f t="shared" si="30"/>
        <v>0</v>
      </c>
      <c r="O344" s="9">
        <f t="shared" si="30"/>
        <v>0</v>
      </c>
      <c r="P344" s="9">
        <f t="shared" si="30"/>
        <v>0</v>
      </c>
      <c r="Q344" s="9">
        <f t="shared" si="30"/>
        <v>0</v>
      </c>
      <c r="R344" s="78" t="s">
        <v>178</v>
      </c>
    </row>
    <row r="345" spans="1:18" ht="19.05" customHeight="1" x14ac:dyDescent="0.3">
      <c r="B345" s="9">
        <f t="shared" si="30"/>
        <v>0</v>
      </c>
      <c r="C345" s="9">
        <f t="shared" si="30"/>
        <v>0</v>
      </c>
      <c r="D345" s="9">
        <f t="shared" si="30"/>
        <v>0</v>
      </c>
      <c r="E345" s="9">
        <f t="shared" si="30"/>
        <v>0</v>
      </c>
      <c r="F345" s="9">
        <f t="shared" si="30"/>
        <v>0</v>
      </c>
      <c r="G345" s="9">
        <f t="shared" si="30"/>
        <v>0</v>
      </c>
      <c r="H345" s="9">
        <f t="shared" si="30"/>
        <v>0</v>
      </c>
      <c r="I345" s="9">
        <f t="shared" si="30"/>
        <v>0</v>
      </c>
      <c r="J345" s="9">
        <f t="shared" si="30"/>
        <v>0</v>
      </c>
      <c r="K345" s="9">
        <f t="shared" si="30"/>
        <v>0</v>
      </c>
      <c r="L345" s="9">
        <f t="shared" si="30"/>
        <v>0</v>
      </c>
      <c r="M345" s="9">
        <f t="shared" si="30"/>
        <v>0</v>
      </c>
      <c r="N345" s="9">
        <f t="shared" si="30"/>
        <v>0</v>
      </c>
      <c r="O345" s="9">
        <f t="shared" si="30"/>
        <v>0</v>
      </c>
      <c r="P345" s="9">
        <f t="shared" si="30"/>
        <v>0</v>
      </c>
      <c r="Q345" s="9">
        <f t="shared" si="30"/>
        <v>0</v>
      </c>
      <c r="R345" s="78" t="s">
        <v>179</v>
      </c>
    </row>
    <row r="346" spans="1:18" ht="19.05" customHeight="1" x14ac:dyDescent="0.3">
      <c r="B346" s="9">
        <f t="shared" si="30"/>
        <v>0</v>
      </c>
      <c r="C346" s="9">
        <f t="shared" si="30"/>
        <v>0</v>
      </c>
      <c r="D346" s="9">
        <f t="shared" si="30"/>
        <v>0</v>
      </c>
      <c r="E346" s="9">
        <f t="shared" si="30"/>
        <v>0</v>
      </c>
      <c r="F346" s="9">
        <f t="shared" si="30"/>
        <v>0</v>
      </c>
      <c r="G346" s="9">
        <f t="shared" si="30"/>
        <v>0</v>
      </c>
      <c r="H346" s="9">
        <f t="shared" si="30"/>
        <v>0</v>
      </c>
      <c r="I346" s="9">
        <f t="shared" si="30"/>
        <v>0</v>
      </c>
      <c r="J346" s="9">
        <f t="shared" si="30"/>
        <v>0</v>
      </c>
      <c r="K346" s="9">
        <f t="shared" si="30"/>
        <v>0</v>
      </c>
      <c r="L346" s="9">
        <f t="shared" si="30"/>
        <v>0</v>
      </c>
      <c r="M346" s="9">
        <f t="shared" si="30"/>
        <v>0</v>
      </c>
      <c r="N346" s="9">
        <f t="shared" si="30"/>
        <v>0</v>
      </c>
      <c r="O346" s="9">
        <f t="shared" si="30"/>
        <v>0</v>
      </c>
      <c r="P346" s="9">
        <f t="shared" si="30"/>
        <v>0</v>
      </c>
      <c r="Q346" s="9">
        <f t="shared" si="30"/>
        <v>0</v>
      </c>
      <c r="R346" s="78" t="s">
        <v>180</v>
      </c>
    </row>
    <row r="347" spans="1:18" ht="19.05" customHeight="1" x14ac:dyDescent="0.3">
      <c r="B347" s="9">
        <f t="shared" si="30"/>
        <v>0</v>
      </c>
      <c r="C347" s="9">
        <f t="shared" si="30"/>
        <v>0</v>
      </c>
      <c r="D347" s="9">
        <f t="shared" si="30"/>
        <v>0</v>
      </c>
      <c r="E347" s="9">
        <f t="shared" si="30"/>
        <v>0</v>
      </c>
      <c r="F347" s="9">
        <f t="shared" si="30"/>
        <v>0</v>
      </c>
      <c r="G347" s="9">
        <f t="shared" si="30"/>
        <v>0</v>
      </c>
      <c r="H347" s="9">
        <f t="shared" si="30"/>
        <v>0</v>
      </c>
      <c r="I347" s="9">
        <f t="shared" si="30"/>
        <v>0</v>
      </c>
      <c r="J347" s="9">
        <f t="shared" si="30"/>
        <v>0</v>
      </c>
      <c r="K347" s="9">
        <f t="shared" si="30"/>
        <v>0</v>
      </c>
      <c r="L347" s="9">
        <f t="shared" si="30"/>
        <v>0</v>
      </c>
      <c r="M347" s="9">
        <f t="shared" si="30"/>
        <v>0</v>
      </c>
      <c r="N347" s="9">
        <f t="shared" si="30"/>
        <v>0</v>
      </c>
      <c r="O347" s="9">
        <f t="shared" si="30"/>
        <v>0</v>
      </c>
      <c r="P347" s="9">
        <f t="shared" si="30"/>
        <v>0</v>
      </c>
      <c r="Q347" s="9">
        <f t="shared" si="30"/>
        <v>0</v>
      </c>
      <c r="R347" s="78" t="s">
        <v>181</v>
      </c>
    </row>
    <row r="348" spans="1:18" ht="19.05" customHeight="1" x14ac:dyDescent="0.3">
      <c r="B348" s="9">
        <f t="shared" si="30"/>
        <v>0</v>
      </c>
      <c r="C348" s="9">
        <f t="shared" si="30"/>
        <v>0</v>
      </c>
      <c r="D348" s="9">
        <f t="shared" si="30"/>
        <v>0</v>
      </c>
      <c r="E348" s="9">
        <f t="shared" si="30"/>
        <v>0</v>
      </c>
      <c r="F348" s="9">
        <f t="shared" si="30"/>
        <v>0</v>
      </c>
      <c r="G348" s="9">
        <f t="shared" si="30"/>
        <v>0</v>
      </c>
      <c r="H348" s="9">
        <f t="shared" si="30"/>
        <v>0</v>
      </c>
      <c r="I348" s="9">
        <f t="shared" si="30"/>
        <v>0</v>
      </c>
      <c r="J348" s="9">
        <f t="shared" si="30"/>
        <v>0</v>
      </c>
      <c r="K348" s="9">
        <f t="shared" si="30"/>
        <v>0</v>
      </c>
      <c r="L348" s="9">
        <f t="shared" si="30"/>
        <v>0</v>
      </c>
      <c r="M348" s="9">
        <f t="shared" si="30"/>
        <v>0</v>
      </c>
      <c r="N348" s="9">
        <f t="shared" si="30"/>
        <v>0</v>
      </c>
      <c r="O348" s="9">
        <f t="shared" si="30"/>
        <v>0</v>
      </c>
      <c r="P348" s="9">
        <f t="shared" si="30"/>
        <v>0</v>
      </c>
      <c r="Q348" s="9">
        <f t="shared" si="30"/>
        <v>0</v>
      </c>
      <c r="R348" s="78" t="s">
        <v>182</v>
      </c>
    </row>
    <row r="349" spans="1:18" ht="19.05" customHeight="1" x14ac:dyDescent="0.3">
      <c r="B349" s="9">
        <f t="shared" si="30"/>
        <v>0</v>
      </c>
      <c r="C349" s="9">
        <f t="shared" si="30"/>
        <v>0</v>
      </c>
      <c r="D349" s="9">
        <f t="shared" si="30"/>
        <v>0</v>
      </c>
      <c r="E349" s="9">
        <f t="shared" si="30"/>
        <v>0</v>
      </c>
      <c r="F349" s="9">
        <f t="shared" si="30"/>
        <v>0</v>
      </c>
      <c r="G349" s="9">
        <f t="shared" si="30"/>
        <v>0</v>
      </c>
      <c r="H349" s="9">
        <f t="shared" si="30"/>
        <v>0</v>
      </c>
      <c r="I349" s="9">
        <f t="shared" si="30"/>
        <v>0</v>
      </c>
      <c r="J349" s="9">
        <f t="shared" si="30"/>
        <v>0</v>
      </c>
      <c r="K349" s="9">
        <f t="shared" si="30"/>
        <v>0</v>
      </c>
      <c r="L349" s="9">
        <f t="shared" si="30"/>
        <v>0</v>
      </c>
      <c r="M349" s="9">
        <f t="shared" si="30"/>
        <v>0</v>
      </c>
      <c r="N349" s="9">
        <f t="shared" si="30"/>
        <v>0</v>
      </c>
      <c r="O349" s="9">
        <f t="shared" si="30"/>
        <v>0</v>
      </c>
      <c r="P349" s="9">
        <f t="shared" si="30"/>
        <v>0</v>
      </c>
      <c r="Q349" s="9">
        <f t="shared" si="30"/>
        <v>0</v>
      </c>
      <c r="R349" s="78" t="s">
        <v>183</v>
      </c>
    </row>
    <row r="350" spans="1:18" ht="19.05" customHeight="1" x14ac:dyDescent="0.3">
      <c r="B350" s="9">
        <f t="shared" si="30"/>
        <v>0</v>
      </c>
      <c r="C350" s="9">
        <f t="shared" si="30"/>
        <v>0</v>
      </c>
      <c r="D350" s="9">
        <f t="shared" si="30"/>
        <v>0</v>
      </c>
      <c r="E350" s="9">
        <f t="shared" si="30"/>
        <v>0</v>
      </c>
      <c r="F350" s="9">
        <f t="shared" si="30"/>
        <v>0</v>
      </c>
      <c r="G350" s="9">
        <f t="shared" si="30"/>
        <v>0</v>
      </c>
      <c r="H350" s="80">
        <f t="shared" si="30"/>
        <v>0</v>
      </c>
      <c r="I350" s="80">
        <f t="shared" si="30"/>
        <v>0</v>
      </c>
      <c r="J350" s="9">
        <f t="shared" si="30"/>
        <v>0</v>
      </c>
      <c r="K350" s="9">
        <f t="shared" si="30"/>
        <v>0</v>
      </c>
      <c r="L350" s="9">
        <f t="shared" si="30"/>
        <v>0</v>
      </c>
      <c r="M350" s="9">
        <f t="shared" si="30"/>
        <v>0</v>
      </c>
      <c r="N350" s="9">
        <f t="shared" si="30"/>
        <v>0</v>
      </c>
      <c r="O350" s="9">
        <f t="shared" si="30"/>
        <v>0</v>
      </c>
      <c r="P350" s="80">
        <f t="shared" si="30"/>
        <v>0</v>
      </c>
      <c r="Q350" s="80">
        <f t="shared" si="30"/>
        <v>0</v>
      </c>
      <c r="R350" s="78" t="s">
        <v>184</v>
      </c>
    </row>
    <row r="351" spans="1:18" ht="19.05" customHeight="1" x14ac:dyDescent="0.3">
      <c r="A351" s="28" t="s">
        <v>606</v>
      </c>
      <c r="B351" s="9">
        <f t="shared" si="30"/>
        <v>0</v>
      </c>
      <c r="C351" s="9">
        <f t="shared" si="30"/>
        <v>0</v>
      </c>
      <c r="D351" s="9">
        <f t="shared" si="30"/>
        <v>0</v>
      </c>
      <c r="E351" s="9">
        <f t="shared" si="30"/>
        <v>0</v>
      </c>
      <c r="F351" s="9">
        <f t="shared" si="30"/>
        <v>0</v>
      </c>
      <c r="G351" s="9">
        <f t="shared" si="30"/>
        <v>0</v>
      </c>
      <c r="H351" s="80">
        <f t="shared" si="30"/>
        <v>0</v>
      </c>
      <c r="I351" s="80">
        <f t="shared" si="30"/>
        <v>56000</v>
      </c>
      <c r="J351" s="9">
        <f t="shared" si="30"/>
        <v>0</v>
      </c>
      <c r="K351" s="9">
        <f t="shared" si="30"/>
        <v>0</v>
      </c>
      <c r="L351" s="9">
        <f t="shared" si="30"/>
        <v>0</v>
      </c>
      <c r="M351" s="9">
        <f t="shared" si="30"/>
        <v>0</v>
      </c>
      <c r="N351" s="9">
        <f t="shared" si="30"/>
        <v>0</v>
      </c>
      <c r="O351" s="9">
        <f t="shared" si="30"/>
        <v>0</v>
      </c>
      <c r="P351" s="80">
        <f t="shared" si="30"/>
        <v>0</v>
      </c>
      <c r="Q351" s="80">
        <f t="shared" si="30"/>
        <v>-56000</v>
      </c>
      <c r="R351" s="78" t="s">
        <v>185</v>
      </c>
    </row>
    <row r="352" spans="1:18" ht="19.05" customHeight="1" x14ac:dyDescent="0.3">
      <c r="B352" s="9">
        <f t="shared" si="30"/>
        <v>0</v>
      </c>
      <c r="C352" s="9">
        <f t="shared" si="30"/>
        <v>0</v>
      </c>
      <c r="D352" s="9">
        <f t="shared" si="30"/>
        <v>0</v>
      </c>
      <c r="E352" s="9">
        <f t="shared" si="30"/>
        <v>0</v>
      </c>
      <c r="F352" s="9">
        <f t="shared" si="30"/>
        <v>0</v>
      </c>
      <c r="G352" s="9">
        <f t="shared" si="30"/>
        <v>0</v>
      </c>
      <c r="H352" s="9">
        <f t="shared" si="30"/>
        <v>0</v>
      </c>
      <c r="I352" s="9">
        <f t="shared" si="30"/>
        <v>0</v>
      </c>
      <c r="J352" s="9">
        <f t="shared" si="30"/>
        <v>0</v>
      </c>
      <c r="K352" s="9">
        <f t="shared" si="30"/>
        <v>0</v>
      </c>
      <c r="L352" s="9">
        <f t="shared" si="30"/>
        <v>0</v>
      </c>
      <c r="M352" s="9">
        <f t="shared" si="30"/>
        <v>0</v>
      </c>
      <c r="N352" s="9">
        <f t="shared" si="30"/>
        <v>0</v>
      </c>
      <c r="O352" s="9">
        <f t="shared" si="30"/>
        <v>0</v>
      </c>
      <c r="P352" s="9">
        <f t="shared" si="30"/>
        <v>0</v>
      </c>
      <c r="Q352" s="9">
        <f t="shared" si="30"/>
        <v>0</v>
      </c>
      <c r="R352" s="78" t="s">
        <v>186</v>
      </c>
    </row>
    <row r="353" spans="2:18" ht="19.05" customHeight="1" x14ac:dyDescent="0.3">
      <c r="B353" s="9">
        <f t="shared" si="30"/>
        <v>0</v>
      </c>
      <c r="C353" s="9">
        <f t="shared" si="30"/>
        <v>0</v>
      </c>
      <c r="D353" s="9">
        <f t="shared" si="30"/>
        <v>0</v>
      </c>
      <c r="E353" s="9">
        <f t="shared" si="30"/>
        <v>0</v>
      </c>
      <c r="F353" s="9">
        <f t="shared" si="30"/>
        <v>0</v>
      </c>
      <c r="G353" s="9">
        <f t="shared" si="30"/>
        <v>0</v>
      </c>
      <c r="H353" s="9">
        <f t="shared" si="30"/>
        <v>0</v>
      </c>
      <c r="I353" s="9">
        <f t="shared" si="30"/>
        <v>0</v>
      </c>
      <c r="J353" s="9">
        <f t="shared" si="30"/>
        <v>0</v>
      </c>
      <c r="K353" s="9">
        <f t="shared" si="30"/>
        <v>0</v>
      </c>
      <c r="L353" s="9">
        <f t="shared" si="30"/>
        <v>0</v>
      </c>
      <c r="M353" s="9">
        <f t="shared" si="30"/>
        <v>0</v>
      </c>
      <c r="N353" s="9">
        <f t="shared" si="30"/>
        <v>0</v>
      </c>
      <c r="O353" s="9">
        <f t="shared" si="30"/>
        <v>0</v>
      </c>
      <c r="P353" s="9">
        <f t="shared" si="30"/>
        <v>0</v>
      </c>
      <c r="Q353" s="9">
        <f t="shared" si="30"/>
        <v>0</v>
      </c>
      <c r="R353" s="78" t="s">
        <v>187</v>
      </c>
    </row>
    <row r="354" spans="2:18" ht="19.05" customHeight="1" x14ac:dyDescent="0.3">
      <c r="B354" s="9">
        <f t="shared" ref="B354:Q359" si="31">IFERROR(INDEX($B$338:$E$341, MATCH($R354, $B$337:$E$337, 0), MATCH(B$343, $B$337:$E$337, 0)), 0)</f>
        <v>0</v>
      </c>
      <c r="C354" s="9">
        <f t="shared" si="31"/>
        <v>0</v>
      </c>
      <c r="D354" s="9">
        <f t="shared" si="31"/>
        <v>0</v>
      </c>
      <c r="E354" s="9">
        <f t="shared" si="31"/>
        <v>0</v>
      </c>
      <c r="F354" s="9">
        <f t="shared" si="31"/>
        <v>0</v>
      </c>
      <c r="G354" s="9">
        <f t="shared" si="31"/>
        <v>0</v>
      </c>
      <c r="H354" s="9">
        <f t="shared" si="31"/>
        <v>0</v>
      </c>
      <c r="I354" s="9">
        <f t="shared" si="31"/>
        <v>0</v>
      </c>
      <c r="J354" s="9">
        <f t="shared" si="31"/>
        <v>0</v>
      </c>
      <c r="K354" s="9">
        <f t="shared" si="31"/>
        <v>0</v>
      </c>
      <c r="L354" s="9">
        <f t="shared" si="31"/>
        <v>0</v>
      </c>
      <c r="M354" s="9">
        <f t="shared" si="31"/>
        <v>0</v>
      </c>
      <c r="N354" s="9">
        <f t="shared" si="31"/>
        <v>0</v>
      </c>
      <c r="O354" s="9">
        <f t="shared" si="31"/>
        <v>0</v>
      </c>
      <c r="P354" s="9">
        <f t="shared" si="31"/>
        <v>0</v>
      </c>
      <c r="Q354" s="9">
        <f t="shared" si="31"/>
        <v>0</v>
      </c>
      <c r="R354" s="78" t="s">
        <v>188</v>
      </c>
    </row>
    <row r="355" spans="2:18" ht="19.05" customHeight="1" x14ac:dyDescent="0.3">
      <c r="B355" s="9">
        <f t="shared" si="31"/>
        <v>0</v>
      </c>
      <c r="C355" s="9">
        <f t="shared" si="31"/>
        <v>0</v>
      </c>
      <c r="D355" s="9">
        <f t="shared" si="31"/>
        <v>0</v>
      </c>
      <c r="E355" s="9">
        <f t="shared" si="31"/>
        <v>0</v>
      </c>
      <c r="F355" s="9">
        <f t="shared" si="31"/>
        <v>0</v>
      </c>
      <c r="G355" s="9">
        <f t="shared" si="31"/>
        <v>0</v>
      </c>
      <c r="H355" s="9">
        <f t="shared" si="31"/>
        <v>0</v>
      </c>
      <c r="I355" s="9">
        <f t="shared" si="31"/>
        <v>0</v>
      </c>
      <c r="J355" s="9">
        <f t="shared" si="31"/>
        <v>0</v>
      </c>
      <c r="K355" s="9">
        <f t="shared" si="31"/>
        <v>0</v>
      </c>
      <c r="L355" s="9">
        <f t="shared" si="31"/>
        <v>0</v>
      </c>
      <c r="M355" s="9">
        <f t="shared" si="31"/>
        <v>0</v>
      </c>
      <c r="N355" s="9">
        <f t="shared" si="31"/>
        <v>0</v>
      </c>
      <c r="O355" s="9">
        <f t="shared" si="31"/>
        <v>0</v>
      </c>
      <c r="P355" s="9">
        <f t="shared" si="31"/>
        <v>0</v>
      </c>
      <c r="Q355" s="9">
        <f t="shared" si="31"/>
        <v>0</v>
      </c>
      <c r="R355" s="78" t="s">
        <v>189</v>
      </c>
    </row>
    <row r="356" spans="2:18" ht="19.05" customHeight="1" x14ac:dyDescent="0.3">
      <c r="B356" s="9">
        <f t="shared" si="31"/>
        <v>0</v>
      </c>
      <c r="C356" s="9">
        <f t="shared" si="31"/>
        <v>0</v>
      </c>
      <c r="D356" s="9">
        <f t="shared" si="31"/>
        <v>0</v>
      </c>
      <c r="E356" s="9">
        <f t="shared" si="31"/>
        <v>0</v>
      </c>
      <c r="F356" s="9">
        <f t="shared" si="31"/>
        <v>0</v>
      </c>
      <c r="G356" s="9">
        <f t="shared" si="31"/>
        <v>0</v>
      </c>
      <c r="H356" s="9">
        <f t="shared" si="31"/>
        <v>0</v>
      </c>
      <c r="I356" s="9">
        <f t="shared" si="31"/>
        <v>0</v>
      </c>
      <c r="J356" s="9">
        <f t="shared" si="31"/>
        <v>0</v>
      </c>
      <c r="K356" s="9">
        <f t="shared" si="31"/>
        <v>0</v>
      </c>
      <c r="L356" s="9">
        <f t="shared" si="31"/>
        <v>0</v>
      </c>
      <c r="M356" s="9">
        <f t="shared" si="31"/>
        <v>0</v>
      </c>
      <c r="N356" s="9">
        <f t="shared" si="31"/>
        <v>0</v>
      </c>
      <c r="O356" s="9">
        <f t="shared" si="31"/>
        <v>0</v>
      </c>
      <c r="P356" s="9">
        <f t="shared" si="31"/>
        <v>0</v>
      </c>
      <c r="Q356" s="9">
        <f t="shared" si="31"/>
        <v>0</v>
      </c>
      <c r="R356" s="78" t="s">
        <v>579</v>
      </c>
    </row>
    <row r="357" spans="2:18" ht="19.05" customHeight="1" x14ac:dyDescent="0.3">
      <c r="B357" s="9">
        <f t="shared" si="31"/>
        <v>0</v>
      </c>
      <c r="C357" s="9">
        <f t="shared" si="31"/>
        <v>0</v>
      </c>
      <c r="D357" s="9">
        <f t="shared" si="31"/>
        <v>0</v>
      </c>
      <c r="E357" s="9">
        <f t="shared" si="31"/>
        <v>0</v>
      </c>
      <c r="F357" s="9">
        <f t="shared" si="31"/>
        <v>0</v>
      </c>
      <c r="G357" s="9">
        <f t="shared" si="31"/>
        <v>0</v>
      </c>
      <c r="H357" s="9">
        <f t="shared" si="31"/>
        <v>0</v>
      </c>
      <c r="I357" s="9">
        <f t="shared" si="31"/>
        <v>0</v>
      </c>
      <c r="J357" s="9">
        <f t="shared" si="31"/>
        <v>0</v>
      </c>
      <c r="K357" s="9">
        <f t="shared" si="31"/>
        <v>0</v>
      </c>
      <c r="L357" s="9">
        <f t="shared" si="31"/>
        <v>0</v>
      </c>
      <c r="M357" s="9">
        <f t="shared" si="31"/>
        <v>0</v>
      </c>
      <c r="N357" s="9">
        <f t="shared" si="31"/>
        <v>0</v>
      </c>
      <c r="O357" s="9">
        <f t="shared" si="31"/>
        <v>0</v>
      </c>
      <c r="P357" s="9">
        <f t="shared" si="31"/>
        <v>0</v>
      </c>
      <c r="Q357" s="9">
        <f t="shared" si="31"/>
        <v>0</v>
      </c>
      <c r="R357" s="78" t="s">
        <v>580</v>
      </c>
    </row>
    <row r="358" spans="2:18" ht="19.05" customHeight="1" x14ac:dyDescent="0.3">
      <c r="B358" s="9">
        <f t="shared" si="31"/>
        <v>0</v>
      </c>
      <c r="C358" s="9">
        <f t="shared" si="31"/>
        <v>0</v>
      </c>
      <c r="D358" s="9">
        <f t="shared" si="31"/>
        <v>0</v>
      </c>
      <c r="E358" s="9">
        <f t="shared" si="31"/>
        <v>0</v>
      </c>
      <c r="F358" s="9">
        <f t="shared" si="31"/>
        <v>0</v>
      </c>
      <c r="G358" s="9">
        <f t="shared" si="31"/>
        <v>0</v>
      </c>
      <c r="H358" s="80">
        <f t="shared" si="31"/>
        <v>0</v>
      </c>
      <c r="I358" s="80">
        <f t="shared" si="31"/>
        <v>0</v>
      </c>
      <c r="J358" s="9">
        <f t="shared" si="31"/>
        <v>0</v>
      </c>
      <c r="K358" s="9">
        <f t="shared" si="31"/>
        <v>0</v>
      </c>
      <c r="L358" s="9">
        <f t="shared" si="31"/>
        <v>0</v>
      </c>
      <c r="M358" s="9">
        <f t="shared" si="31"/>
        <v>0</v>
      </c>
      <c r="N358" s="9">
        <f t="shared" si="31"/>
        <v>0</v>
      </c>
      <c r="O358" s="9">
        <f t="shared" si="31"/>
        <v>0</v>
      </c>
      <c r="P358" s="80">
        <f t="shared" si="31"/>
        <v>0</v>
      </c>
      <c r="Q358" s="80">
        <f t="shared" si="31"/>
        <v>0</v>
      </c>
      <c r="R358" s="78" t="s">
        <v>601</v>
      </c>
    </row>
    <row r="359" spans="2:18" ht="19.05" customHeight="1" x14ac:dyDescent="0.3">
      <c r="B359" s="9">
        <f t="shared" si="31"/>
        <v>0</v>
      </c>
      <c r="C359" s="9">
        <f t="shared" si="31"/>
        <v>0</v>
      </c>
      <c r="D359" s="9">
        <f t="shared" si="31"/>
        <v>0</v>
      </c>
      <c r="E359" s="9">
        <f t="shared" si="31"/>
        <v>0</v>
      </c>
      <c r="F359" s="9">
        <f t="shared" si="31"/>
        <v>0</v>
      </c>
      <c r="G359" s="9">
        <f t="shared" si="31"/>
        <v>0</v>
      </c>
      <c r="H359" s="80">
        <f t="shared" si="31"/>
        <v>0</v>
      </c>
      <c r="I359" s="80">
        <f t="shared" si="31"/>
        <v>-56000</v>
      </c>
      <c r="J359" s="9">
        <f t="shared" si="31"/>
        <v>0</v>
      </c>
      <c r="K359" s="9">
        <f t="shared" si="31"/>
        <v>0</v>
      </c>
      <c r="L359" s="9">
        <f t="shared" si="31"/>
        <v>0</v>
      </c>
      <c r="M359" s="9">
        <f t="shared" si="31"/>
        <v>0</v>
      </c>
      <c r="N359" s="9">
        <f t="shared" si="31"/>
        <v>0</v>
      </c>
      <c r="O359" s="9">
        <f t="shared" si="31"/>
        <v>0</v>
      </c>
      <c r="P359" s="80">
        <f t="shared" si="31"/>
        <v>0</v>
      </c>
      <c r="Q359" s="80">
        <f t="shared" si="31"/>
        <v>56000</v>
      </c>
      <c r="R359" s="78" t="s">
        <v>602</v>
      </c>
    </row>
    <row r="362" spans="2:18" ht="19.95" customHeight="1" x14ac:dyDescent="0.3">
      <c r="B362" s="87" t="s">
        <v>178</v>
      </c>
      <c r="C362" s="87" t="s">
        <v>179</v>
      </c>
      <c r="D362" s="87" t="s">
        <v>180</v>
      </c>
      <c r="E362" s="87" t="s">
        <v>181</v>
      </c>
      <c r="F362" s="87" t="s">
        <v>182</v>
      </c>
      <c r="G362" s="87" t="s">
        <v>183</v>
      </c>
      <c r="H362" s="87" t="s">
        <v>184</v>
      </c>
      <c r="I362" s="87" t="s">
        <v>185</v>
      </c>
      <c r="J362" s="87" t="s">
        <v>186</v>
      </c>
      <c r="K362" s="87" t="s">
        <v>187</v>
      </c>
      <c r="L362" s="87" t="s">
        <v>188</v>
      </c>
      <c r="M362" s="87" t="s">
        <v>189</v>
      </c>
      <c r="N362" s="87" t="s">
        <v>579</v>
      </c>
      <c r="O362" s="87" t="s">
        <v>580</v>
      </c>
      <c r="P362" s="87" t="s">
        <v>601</v>
      </c>
      <c r="Q362" s="87" t="s">
        <v>602</v>
      </c>
    </row>
    <row r="363" spans="2:18" ht="19.95" customHeight="1" x14ac:dyDescent="0.3">
      <c r="B363" s="35">
        <f t="shared" ref="B363:Q363" si="32">B44+B69+B94+B119+B144+B169+B194+B219+B244+B269+B294+B319+B344</f>
        <v>88661.403726774151</v>
      </c>
      <c r="C363" s="36">
        <f t="shared" si="32"/>
        <v>21421.804791566763</v>
      </c>
      <c r="D363" s="9">
        <f t="shared" si="32"/>
        <v>-72000</v>
      </c>
      <c r="E363" s="9">
        <f t="shared" si="32"/>
        <v>0</v>
      </c>
      <c r="F363" s="9">
        <f t="shared" si="32"/>
        <v>0</v>
      </c>
      <c r="G363" s="9">
        <f t="shared" si="32"/>
        <v>0</v>
      </c>
      <c r="H363" s="9">
        <f t="shared" si="32"/>
        <v>0</v>
      </c>
      <c r="I363" s="9">
        <f t="shared" si="32"/>
        <v>0</v>
      </c>
      <c r="J363" s="9">
        <f t="shared" si="32"/>
        <v>0</v>
      </c>
      <c r="K363" s="9">
        <f t="shared" si="32"/>
        <v>0</v>
      </c>
      <c r="L363" s="9">
        <f t="shared" si="32"/>
        <v>-16661.403726774148</v>
      </c>
      <c r="M363" s="9">
        <f t="shared" si="32"/>
        <v>-21421.804791566763</v>
      </c>
      <c r="N363" s="9">
        <f t="shared" si="32"/>
        <v>0</v>
      </c>
      <c r="O363" s="9">
        <f t="shared" si="32"/>
        <v>0</v>
      </c>
      <c r="P363" s="9">
        <f t="shared" si="32"/>
        <v>0</v>
      </c>
      <c r="Q363" s="9">
        <f t="shared" si="32"/>
        <v>0</v>
      </c>
      <c r="R363" s="89" t="s">
        <v>178</v>
      </c>
    </row>
    <row r="364" spans="2:18" ht="19.95" customHeight="1" x14ac:dyDescent="0.3">
      <c r="B364" s="36">
        <f t="shared" ref="B364:Q364" si="33">B45+B70+B95+B120+B145+B170+B195+B220+B245+B270+B295+B320+B345</f>
        <v>21421.804791566763</v>
      </c>
      <c r="C364" s="35">
        <f t="shared" si="33"/>
        <v>27542.32044630012</v>
      </c>
      <c r="D364" s="9">
        <f t="shared" si="33"/>
        <v>0</v>
      </c>
      <c r="E364" s="9">
        <f t="shared" si="33"/>
        <v>0</v>
      </c>
      <c r="F364" s="9">
        <f t="shared" si="33"/>
        <v>0</v>
      </c>
      <c r="G364" s="9">
        <f t="shared" si="33"/>
        <v>0</v>
      </c>
      <c r="H364" s="9">
        <f t="shared" si="33"/>
        <v>0</v>
      </c>
      <c r="I364" s="9">
        <f t="shared" si="33"/>
        <v>0</v>
      </c>
      <c r="J364" s="9">
        <f t="shared" si="33"/>
        <v>0</v>
      </c>
      <c r="K364" s="9">
        <f t="shared" si="33"/>
        <v>0</v>
      </c>
      <c r="L364" s="9">
        <f t="shared" si="33"/>
        <v>-21421.804791566763</v>
      </c>
      <c r="M364" s="9">
        <f t="shared" si="33"/>
        <v>-27542.32044630012</v>
      </c>
      <c r="N364" s="9">
        <f t="shared" si="33"/>
        <v>0</v>
      </c>
      <c r="O364" s="9">
        <f t="shared" si="33"/>
        <v>0</v>
      </c>
      <c r="P364" s="9">
        <f t="shared" si="33"/>
        <v>0</v>
      </c>
      <c r="Q364" s="9">
        <f t="shared" si="33"/>
        <v>0</v>
      </c>
      <c r="R364" s="89" t="s">
        <v>179</v>
      </c>
    </row>
    <row r="365" spans="2:18" ht="19.95" customHeight="1" x14ac:dyDescent="0.3">
      <c r="B365" s="9">
        <f t="shared" ref="B365:Q365" si="34">B46+B71+B96+B121+B146+B171+B196+B221+B246+B271+B296+B321+B346</f>
        <v>-72000</v>
      </c>
      <c r="C365" s="9">
        <f t="shared" si="34"/>
        <v>0</v>
      </c>
      <c r="D365" s="35">
        <f t="shared" si="34"/>
        <v>160661.40372677415</v>
      </c>
      <c r="E365" s="36">
        <f t="shared" si="34"/>
        <v>21421.804791566763</v>
      </c>
      <c r="F365" s="9">
        <f t="shared" si="34"/>
        <v>-72000</v>
      </c>
      <c r="G365" s="9">
        <f t="shared" si="34"/>
        <v>0</v>
      </c>
      <c r="H365" s="9">
        <f t="shared" si="34"/>
        <v>0</v>
      </c>
      <c r="I365" s="9">
        <f t="shared" si="34"/>
        <v>0</v>
      </c>
      <c r="J365" s="9">
        <f t="shared" si="34"/>
        <v>0</v>
      </c>
      <c r="K365" s="9">
        <f t="shared" si="34"/>
        <v>0</v>
      </c>
      <c r="L365" s="9">
        <f t="shared" si="34"/>
        <v>0</v>
      </c>
      <c r="M365" s="9">
        <f t="shared" si="34"/>
        <v>0</v>
      </c>
      <c r="N365" s="9">
        <f t="shared" si="34"/>
        <v>-16661.403726774148</v>
      </c>
      <c r="O365" s="9">
        <f t="shared" si="34"/>
        <v>-21421.804791566763</v>
      </c>
      <c r="P365" s="9">
        <f t="shared" si="34"/>
        <v>0</v>
      </c>
      <c r="Q365" s="9">
        <f t="shared" si="34"/>
        <v>0</v>
      </c>
      <c r="R365" s="89" t="s">
        <v>180</v>
      </c>
    </row>
    <row r="366" spans="2:18" ht="19.95" customHeight="1" x14ac:dyDescent="0.3">
      <c r="B366" s="9">
        <f t="shared" ref="B366:Q366" si="35">B47+B72+B97+B122+B147+B172+B197+B222+B247+B272+B297+B322+B347</f>
        <v>0</v>
      </c>
      <c r="C366" s="9">
        <f t="shared" si="35"/>
        <v>0</v>
      </c>
      <c r="D366" s="36">
        <f t="shared" si="35"/>
        <v>21421.804791566763</v>
      </c>
      <c r="E366" s="35">
        <f t="shared" si="35"/>
        <v>83542.320446300117</v>
      </c>
      <c r="F366" s="9">
        <f t="shared" si="35"/>
        <v>0</v>
      </c>
      <c r="G366" s="9">
        <f t="shared" si="35"/>
        <v>0</v>
      </c>
      <c r="H366" s="9">
        <f t="shared" si="35"/>
        <v>0</v>
      </c>
      <c r="I366" s="9">
        <f t="shared" si="35"/>
        <v>0</v>
      </c>
      <c r="J366" s="9">
        <f t="shared" si="35"/>
        <v>0</v>
      </c>
      <c r="K366" s="9">
        <f t="shared" si="35"/>
        <v>0</v>
      </c>
      <c r="L366" s="9">
        <f t="shared" si="35"/>
        <v>0</v>
      </c>
      <c r="M366" s="9">
        <f t="shared" si="35"/>
        <v>-56000</v>
      </c>
      <c r="N366" s="9">
        <f t="shared" si="35"/>
        <v>-21421.804791566763</v>
      </c>
      <c r="O366" s="9">
        <f t="shared" si="35"/>
        <v>-27542.32044630012</v>
      </c>
      <c r="P366" s="9">
        <f t="shared" si="35"/>
        <v>0</v>
      </c>
      <c r="Q366" s="9">
        <f t="shared" si="35"/>
        <v>0</v>
      </c>
      <c r="R366" s="89" t="s">
        <v>181</v>
      </c>
    </row>
    <row r="367" spans="2:18" ht="19.95" customHeight="1" x14ac:dyDescent="0.3">
      <c r="B367" s="9">
        <f t="shared" ref="B367:Q367" si="36">B48+B73+B98+B123+B148+B173+B198+B223+B248+B273+B298+B323+B348</f>
        <v>0</v>
      </c>
      <c r="C367" s="9">
        <f t="shared" si="36"/>
        <v>0</v>
      </c>
      <c r="D367" s="9">
        <f t="shared" si="36"/>
        <v>-72000</v>
      </c>
      <c r="E367" s="9">
        <f t="shared" si="36"/>
        <v>0</v>
      </c>
      <c r="F367" s="35">
        <f t="shared" si="36"/>
        <v>160661.40372677415</v>
      </c>
      <c r="G367" s="36">
        <f t="shared" si="36"/>
        <v>21421.804791566763</v>
      </c>
      <c r="H367" s="9">
        <f t="shared" si="36"/>
        <v>-72000</v>
      </c>
      <c r="I367" s="9">
        <f t="shared" si="36"/>
        <v>0</v>
      </c>
      <c r="J367" s="9">
        <f t="shared" si="36"/>
        <v>0</v>
      </c>
      <c r="K367" s="9">
        <f t="shared" si="36"/>
        <v>0</v>
      </c>
      <c r="L367" s="9">
        <f t="shared" si="36"/>
        <v>0</v>
      </c>
      <c r="M367" s="9">
        <f t="shared" si="36"/>
        <v>0</v>
      </c>
      <c r="N367" s="9">
        <f t="shared" si="36"/>
        <v>0</v>
      </c>
      <c r="O367" s="9">
        <f t="shared" si="36"/>
        <v>0</v>
      </c>
      <c r="P367" s="9">
        <f t="shared" si="36"/>
        <v>-16661.403726774148</v>
      </c>
      <c r="Q367" s="9">
        <f t="shared" si="36"/>
        <v>-21421.804791566763</v>
      </c>
      <c r="R367" s="89" t="s">
        <v>182</v>
      </c>
    </row>
    <row r="368" spans="2:18" ht="19.95" customHeight="1" x14ac:dyDescent="0.3">
      <c r="B368" s="9">
        <f t="shared" ref="B368:Q368" si="37">B49+B74+B99+B124+B149+B174+B199+B224+B249+B274+B299+B324+B349</f>
        <v>0</v>
      </c>
      <c r="C368" s="9">
        <f t="shared" si="37"/>
        <v>0</v>
      </c>
      <c r="D368" s="9">
        <f t="shared" si="37"/>
        <v>0</v>
      </c>
      <c r="E368" s="9">
        <f t="shared" si="37"/>
        <v>0</v>
      </c>
      <c r="F368" s="36">
        <f t="shared" si="37"/>
        <v>21421.804791566763</v>
      </c>
      <c r="G368" s="35">
        <f t="shared" si="37"/>
        <v>83542.320446300117</v>
      </c>
      <c r="H368" s="9">
        <f t="shared" si="37"/>
        <v>0</v>
      </c>
      <c r="I368" s="9">
        <f t="shared" si="37"/>
        <v>0</v>
      </c>
      <c r="J368" s="9">
        <f t="shared" si="37"/>
        <v>0</v>
      </c>
      <c r="K368" s="9">
        <f t="shared" si="37"/>
        <v>0</v>
      </c>
      <c r="L368" s="9">
        <f t="shared" si="37"/>
        <v>0</v>
      </c>
      <c r="M368" s="9">
        <f t="shared" si="37"/>
        <v>0</v>
      </c>
      <c r="N368" s="9">
        <f t="shared" si="37"/>
        <v>0</v>
      </c>
      <c r="O368" s="9">
        <f t="shared" si="37"/>
        <v>-56000</v>
      </c>
      <c r="P368" s="9">
        <f t="shared" si="37"/>
        <v>-21421.804791566763</v>
      </c>
      <c r="Q368" s="9">
        <f t="shared" si="37"/>
        <v>-27542.32044630012</v>
      </c>
      <c r="R368" s="89" t="s">
        <v>183</v>
      </c>
    </row>
    <row r="369" spans="1:25" ht="19.95" customHeight="1" x14ac:dyDescent="0.3">
      <c r="B369" s="9">
        <f t="shared" ref="B369:Q369" si="38">B50+B75+B100+B125+B150+B175+B200+B225+B250+B275+B300+B325+B350</f>
        <v>0</v>
      </c>
      <c r="C369" s="9">
        <f t="shared" si="38"/>
        <v>0</v>
      </c>
      <c r="D369" s="9">
        <f t="shared" si="38"/>
        <v>0</v>
      </c>
      <c r="E369" s="9">
        <f t="shared" si="38"/>
        <v>0</v>
      </c>
      <c r="F369" s="9">
        <f t="shared" si="38"/>
        <v>-72000</v>
      </c>
      <c r="G369" s="9">
        <f t="shared" si="38"/>
        <v>0</v>
      </c>
      <c r="H369" s="35">
        <f t="shared" si="38"/>
        <v>144000</v>
      </c>
      <c r="I369" s="36">
        <f t="shared" si="38"/>
        <v>0</v>
      </c>
      <c r="J369" s="9">
        <f t="shared" si="38"/>
        <v>-72000</v>
      </c>
      <c r="K369" s="9">
        <f t="shared" si="38"/>
        <v>0</v>
      </c>
      <c r="L369" s="9">
        <f t="shared" si="38"/>
        <v>0</v>
      </c>
      <c r="M369" s="9">
        <f t="shared" si="38"/>
        <v>0</v>
      </c>
      <c r="N369" s="9">
        <f t="shared" si="38"/>
        <v>0</v>
      </c>
      <c r="O369" s="9">
        <f t="shared" si="38"/>
        <v>0</v>
      </c>
      <c r="P369" s="9">
        <f t="shared" si="38"/>
        <v>0</v>
      </c>
      <c r="Q369" s="9">
        <f t="shared" si="38"/>
        <v>0</v>
      </c>
      <c r="R369" s="89" t="s">
        <v>184</v>
      </c>
    </row>
    <row r="370" spans="1:25" ht="19.95" customHeight="1" x14ac:dyDescent="0.3">
      <c r="A370" s="28" t="s">
        <v>205</v>
      </c>
      <c r="B370" s="9">
        <f t="shared" ref="B370:Q370" si="39">B51+B76+B101+B126+B151+B176+B201+B226+B251+B276+B301+B326+B351</f>
        <v>0</v>
      </c>
      <c r="C370" s="9">
        <f t="shared" si="39"/>
        <v>0</v>
      </c>
      <c r="D370" s="9">
        <f t="shared" si="39"/>
        <v>0</v>
      </c>
      <c r="E370" s="9">
        <f t="shared" si="39"/>
        <v>0</v>
      </c>
      <c r="F370" s="9">
        <f t="shared" si="39"/>
        <v>0</v>
      </c>
      <c r="G370" s="9">
        <f t="shared" si="39"/>
        <v>0</v>
      </c>
      <c r="H370" s="36">
        <f t="shared" si="39"/>
        <v>0</v>
      </c>
      <c r="I370" s="35">
        <f t="shared" si="39"/>
        <v>56000</v>
      </c>
      <c r="J370" s="9">
        <f t="shared" si="39"/>
        <v>0</v>
      </c>
      <c r="K370" s="9">
        <f t="shared" si="39"/>
        <v>0</v>
      </c>
      <c r="L370" s="9">
        <f t="shared" si="39"/>
        <v>0</v>
      </c>
      <c r="M370" s="9">
        <f t="shared" si="39"/>
        <v>0</v>
      </c>
      <c r="N370" s="9">
        <f t="shared" si="39"/>
        <v>0</v>
      </c>
      <c r="O370" s="9">
        <f t="shared" si="39"/>
        <v>0</v>
      </c>
      <c r="P370" s="9">
        <f t="shared" si="39"/>
        <v>0</v>
      </c>
      <c r="Q370" s="9">
        <f t="shared" si="39"/>
        <v>-56000</v>
      </c>
      <c r="R370" s="89" t="s">
        <v>185</v>
      </c>
    </row>
    <row r="371" spans="1:25" ht="19.95" customHeight="1" x14ac:dyDescent="0.3">
      <c r="B371" s="9">
        <f t="shared" ref="B371:Q371" si="40">B52+B77+B102+B127+B152+B177+B202+B227+B252+B277+B302+B327+B352</f>
        <v>0</v>
      </c>
      <c r="C371" s="9">
        <f t="shared" si="40"/>
        <v>0</v>
      </c>
      <c r="D371" s="9">
        <f t="shared" si="40"/>
        <v>0</v>
      </c>
      <c r="E371" s="9">
        <f t="shared" si="40"/>
        <v>0</v>
      </c>
      <c r="F371" s="9">
        <f t="shared" si="40"/>
        <v>0</v>
      </c>
      <c r="G371" s="9">
        <f t="shared" si="40"/>
        <v>0</v>
      </c>
      <c r="H371" s="9">
        <f t="shared" si="40"/>
        <v>-72000</v>
      </c>
      <c r="I371" s="9">
        <f t="shared" si="40"/>
        <v>0</v>
      </c>
      <c r="J371" s="35">
        <f t="shared" si="40"/>
        <v>88661.403726774151</v>
      </c>
      <c r="K371" s="36">
        <f t="shared" si="40"/>
        <v>-21421.804791566763</v>
      </c>
      <c r="L371" s="9">
        <f t="shared" si="40"/>
        <v>0</v>
      </c>
      <c r="M371" s="9">
        <f t="shared" si="40"/>
        <v>0</v>
      </c>
      <c r="N371" s="9">
        <f t="shared" si="40"/>
        <v>0</v>
      </c>
      <c r="O371" s="9">
        <f t="shared" si="40"/>
        <v>0</v>
      </c>
      <c r="P371" s="9">
        <f t="shared" si="40"/>
        <v>-16661.403726774148</v>
      </c>
      <c r="Q371" s="9">
        <f t="shared" si="40"/>
        <v>21421.804791566763</v>
      </c>
      <c r="R371" s="89" t="s">
        <v>186</v>
      </c>
    </row>
    <row r="372" spans="1:25" ht="19.95" customHeight="1" x14ac:dyDescent="0.3">
      <c r="B372" s="9">
        <f t="shared" ref="B372:Q372" si="41">B53+B78+B103+B128+B153+B178+B203+B228+B253+B278+B303+B328+B353</f>
        <v>0</v>
      </c>
      <c r="C372" s="9">
        <f t="shared" si="41"/>
        <v>0</v>
      </c>
      <c r="D372" s="9">
        <f t="shared" si="41"/>
        <v>0</v>
      </c>
      <c r="E372" s="9">
        <f t="shared" si="41"/>
        <v>0</v>
      </c>
      <c r="F372" s="9">
        <f t="shared" si="41"/>
        <v>0</v>
      </c>
      <c r="G372" s="9">
        <f t="shared" si="41"/>
        <v>0</v>
      </c>
      <c r="H372" s="9">
        <f t="shared" si="41"/>
        <v>0</v>
      </c>
      <c r="I372" s="9">
        <f t="shared" si="41"/>
        <v>0</v>
      </c>
      <c r="J372" s="36">
        <f t="shared" si="41"/>
        <v>-21421.804791566763</v>
      </c>
      <c r="K372" s="35">
        <f t="shared" si="41"/>
        <v>27542.32044630012</v>
      </c>
      <c r="L372" s="9">
        <f t="shared" si="41"/>
        <v>0</v>
      </c>
      <c r="M372" s="9">
        <f t="shared" si="41"/>
        <v>0</v>
      </c>
      <c r="N372" s="9">
        <f t="shared" si="41"/>
        <v>0</v>
      </c>
      <c r="O372" s="9">
        <f t="shared" si="41"/>
        <v>0</v>
      </c>
      <c r="P372" s="9">
        <f t="shared" si="41"/>
        <v>21421.804791566763</v>
      </c>
      <c r="Q372" s="9">
        <f t="shared" si="41"/>
        <v>-27542.32044630012</v>
      </c>
      <c r="R372" s="89" t="s">
        <v>187</v>
      </c>
    </row>
    <row r="373" spans="1:25" ht="19.95" customHeight="1" x14ac:dyDescent="0.3">
      <c r="B373" s="9">
        <f t="shared" ref="B373:Q373" si="42">B54+B79+B104+B129+B154+B179+B204+B229+B254+B279+B304+B329+B354</f>
        <v>-16661.403726774148</v>
      </c>
      <c r="C373" s="9">
        <f t="shared" si="42"/>
        <v>-21421.804791566763</v>
      </c>
      <c r="D373" s="9">
        <f t="shared" si="42"/>
        <v>0</v>
      </c>
      <c r="E373" s="9">
        <f t="shared" si="42"/>
        <v>0</v>
      </c>
      <c r="F373" s="9">
        <f t="shared" si="42"/>
        <v>0</v>
      </c>
      <c r="G373" s="9">
        <f t="shared" si="42"/>
        <v>0</v>
      </c>
      <c r="H373" s="9">
        <f t="shared" si="42"/>
        <v>0</v>
      </c>
      <c r="I373" s="9">
        <f t="shared" si="42"/>
        <v>0</v>
      </c>
      <c r="J373" s="9">
        <f t="shared" si="42"/>
        <v>0</v>
      </c>
      <c r="K373" s="9">
        <f t="shared" si="42"/>
        <v>0</v>
      </c>
      <c r="L373" s="35">
        <f t="shared" si="42"/>
        <v>88661.403726774151</v>
      </c>
      <c r="M373" s="36">
        <f t="shared" si="42"/>
        <v>21421.804791566763</v>
      </c>
      <c r="N373" s="9">
        <f t="shared" si="42"/>
        <v>-72000</v>
      </c>
      <c r="O373" s="9">
        <f t="shared" si="42"/>
        <v>0</v>
      </c>
      <c r="P373" s="9">
        <f t="shared" si="42"/>
        <v>0</v>
      </c>
      <c r="Q373" s="9">
        <f t="shared" si="42"/>
        <v>0</v>
      </c>
      <c r="R373" s="89" t="s">
        <v>188</v>
      </c>
    </row>
    <row r="374" spans="1:25" ht="19.95" customHeight="1" x14ac:dyDescent="0.3">
      <c r="B374" s="9">
        <f t="shared" ref="B374:Q374" si="43">B55+B80+B105+B130+B155+B180+B205+B230+B255+B280+B305+B330+B355</f>
        <v>-21421.804791566763</v>
      </c>
      <c r="C374" s="9">
        <f t="shared" si="43"/>
        <v>-27542.32044630012</v>
      </c>
      <c r="D374" s="9">
        <f t="shared" si="43"/>
        <v>0</v>
      </c>
      <c r="E374" s="9">
        <f t="shared" si="43"/>
        <v>-56000</v>
      </c>
      <c r="F374" s="9">
        <f t="shared" si="43"/>
        <v>0</v>
      </c>
      <c r="G374" s="9">
        <f t="shared" si="43"/>
        <v>0</v>
      </c>
      <c r="H374" s="9">
        <f t="shared" si="43"/>
        <v>0</v>
      </c>
      <c r="I374" s="9">
        <f t="shared" si="43"/>
        <v>0</v>
      </c>
      <c r="J374" s="9">
        <f t="shared" si="43"/>
        <v>0</v>
      </c>
      <c r="K374" s="9">
        <f t="shared" si="43"/>
        <v>0</v>
      </c>
      <c r="L374" s="36">
        <f t="shared" si="43"/>
        <v>21421.804791566763</v>
      </c>
      <c r="M374" s="35">
        <f t="shared" si="43"/>
        <v>83542.320446300117</v>
      </c>
      <c r="N374" s="9">
        <f t="shared" si="43"/>
        <v>0</v>
      </c>
      <c r="O374" s="9">
        <f t="shared" si="43"/>
        <v>0</v>
      </c>
      <c r="P374" s="9">
        <f t="shared" si="43"/>
        <v>0</v>
      </c>
      <c r="Q374" s="9">
        <f t="shared" si="43"/>
        <v>0</v>
      </c>
      <c r="R374" s="89" t="s">
        <v>189</v>
      </c>
    </row>
    <row r="375" spans="1:25" ht="19.95" customHeight="1" x14ac:dyDescent="0.3">
      <c r="B375" s="9">
        <f t="shared" ref="B375:Q375" si="44">B56+B81+B106+B131+B156+B181+B206+B231+B256+B281+B306+B331+B356</f>
        <v>0</v>
      </c>
      <c r="C375" s="9">
        <f t="shared" si="44"/>
        <v>0</v>
      </c>
      <c r="D375" s="9">
        <f t="shared" si="44"/>
        <v>-16661.403726774148</v>
      </c>
      <c r="E375" s="9">
        <f t="shared" si="44"/>
        <v>-21421.804791566763</v>
      </c>
      <c r="F375" s="9">
        <f t="shared" si="44"/>
        <v>0</v>
      </c>
      <c r="G375" s="9">
        <f t="shared" si="44"/>
        <v>0</v>
      </c>
      <c r="H375" s="9">
        <f t="shared" si="44"/>
        <v>0</v>
      </c>
      <c r="I375" s="9">
        <f t="shared" si="44"/>
        <v>0</v>
      </c>
      <c r="J375" s="9">
        <f t="shared" si="44"/>
        <v>0</v>
      </c>
      <c r="K375" s="9">
        <f t="shared" si="44"/>
        <v>0</v>
      </c>
      <c r="L375" s="9">
        <f t="shared" si="44"/>
        <v>-72000</v>
      </c>
      <c r="M375" s="9">
        <f t="shared" si="44"/>
        <v>0</v>
      </c>
      <c r="N375" s="35">
        <f t="shared" si="44"/>
        <v>160661.40372677415</v>
      </c>
      <c r="O375" s="36">
        <f t="shared" si="44"/>
        <v>21421.804791566763</v>
      </c>
      <c r="P375" s="9">
        <f t="shared" si="44"/>
        <v>-72000</v>
      </c>
      <c r="Q375" s="9">
        <f t="shared" si="44"/>
        <v>0</v>
      </c>
      <c r="R375" s="89" t="s">
        <v>579</v>
      </c>
    </row>
    <row r="376" spans="1:25" ht="19.95" customHeight="1" x14ac:dyDescent="0.3">
      <c r="B376" s="9">
        <f t="shared" ref="B376:Q376" si="45">B57+B82+B107+B132+B157+B182+B207+B232+B257+B282+B307+B332+B357</f>
        <v>0</v>
      </c>
      <c r="C376" s="9">
        <f t="shared" si="45"/>
        <v>0</v>
      </c>
      <c r="D376" s="9">
        <f t="shared" si="45"/>
        <v>-21421.804791566763</v>
      </c>
      <c r="E376" s="9">
        <f t="shared" si="45"/>
        <v>-27542.32044630012</v>
      </c>
      <c r="F376" s="9">
        <f t="shared" si="45"/>
        <v>0</v>
      </c>
      <c r="G376" s="9">
        <f t="shared" si="45"/>
        <v>-56000</v>
      </c>
      <c r="H376" s="9">
        <f t="shared" si="45"/>
        <v>0</v>
      </c>
      <c r="I376" s="9">
        <f t="shared" si="45"/>
        <v>0</v>
      </c>
      <c r="J376" s="9">
        <f t="shared" si="45"/>
        <v>0</v>
      </c>
      <c r="K376" s="9">
        <f t="shared" si="45"/>
        <v>0</v>
      </c>
      <c r="L376" s="9">
        <f t="shared" si="45"/>
        <v>0</v>
      </c>
      <c r="M376" s="9">
        <f t="shared" si="45"/>
        <v>0</v>
      </c>
      <c r="N376" s="36">
        <f t="shared" si="45"/>
        <v>21421.804791566763</v>
      </c>
      <c r="O376" s="35">
        <f t="shared" si="45"/>
        <v>83542.320446300117</v>
      </c>
      <c r="P376" s="9">
        <f t="shared" si="45"/>
        <v>0</v>
      </c>
      <c r="Q376" s="9">
        <f t="shared" si="45"/>
        <v>0</v>
      </c>
      <c r="R376" s="89" t="s">
        <v>580</v>
      </c>
    </row>
    <row r="377" spans="1:25" ht="19.95" customHeight="1" x14ac:dyDescent="0.3">
      <c r="B377" s="9">
        <f t="shared" ref="B377:Q377" si="46">B58+B83+B108+B133+B158+B183+B208+B233+B258+B283+B308+B333+B358</f>
        <v>0</v>
      </c>
      <c r="C377" s="9">
        <f t="shared" si="46"/>
        <v>0</v>
      </c>
      <c r="D377" s="9">
        <f t="shared" si="46"/>
        <v>0</v>
      </c>
      <c r="E377" s="9">
        <f t="shared" si="46"/>
        <v>0</v>
      </c>
      <c r="F377" s="9">
        <f t="shared" si="46"/>
        <v>-16661.403726774148</v>
      </c>
      <c r="G377" s="9">
        <f t="shared" si="46"/>
        <v>-21421.804791566763</v>
      </c>
      <c r="H377" s="9">
        <f t="shared" si="46"/>
        <v>0</v>
      </c>
      <c r="I377" s="9">
        <f t="shared" si="46"/>
        <v>0</v>
      </c>
      <c r="J377" s="9">
        <f t="shared" si="46"/>
        <v>-16661.403726774148</v>
      </c>
      <c r="K377" s="9">
        <f t="shared" si="46"/>
        <v>21421.804791566763</v>
      </c>
      <c r="L377" s="9">
        <f t="shared" si="46"/>
        <v>0</v>
      </c>
      <c r="M377" s="9">
        <f t="shared" si="46"/>
        <v>0</v>
      </c>
      <c r="N377" s="9">
        <f t="shared" si="46"/>
        <v>-72000</v>
      </c>
      <c r="O377" s="9">
        <f t="shared" si="46"/>
        <v>0</v>
      </c>
      <c r="P377" s="35">
        <f t="shared" si="46"/>
        <v>105322.8074535483</v>
      </c>
      <c r="Q377" s="36">
        <f t="shared" si="46"/>
        <v>0</v>
      </c>
      <c r="R377" s="89" t="s">
        <v>601</v>
      </c>
    </row>
    <row r="378" spans="1:25" ht="19.95" customHeight="1" x14ac:dyDescent="0.3">
      <c r="B378" s="9">
        <f t="shared" ref="B378:Q378" si="47">B59+B84+B109+B134+B159+B184+B209+B234+B259+B284+B309+B334+B359</f>
        <v>0</v>
      </c>
      <c r="C378" s="9">
        <f t="shared" si="47"/>
        <v>0</v>
      </c>
      <c r="D378" s="9">
        <f t="shared" si="47"/>
        <v>0</v>
      </c>
      <c r="E378" s="9">
        <f t="shared" si="47"/>
        <v>0</v>
      </c>
      <c r="F378" s="9">
        <f t="shared" si="47"/>
        <v>-21421.804791566763</v>
      </c>
      <c r="G378" s="9">
        <f t="shared" si="47"/>
        <v>-27542.32044630012</v>
      </c>
      <c r="H378" s="9">
        <f t="shared" si="47"/>
        <v>0</v>
      </c>
      <c r="I378" s="9">
        <f t="shared" si="47"/>
        <v>-56000</v>
      </c>
      <c r="J378" s="9">
        <f t="shared" si="47"/>
        <v>21421.804791566763</v>
      </c>
      <c r="K378" s="9">
        <f t="shared" si="47"/>
        <v>-27542.32044630012</v>
      </c>
      <c r="L378" s="9">
        <f t="shared" si="47"/>
        <v>0</v>
      </c>
      <c r="M378" s="9">
        <f t="shared" si="47"/>
        <v>0</v>
      </c>
      <c r="N378" s="9">
        <f t="shared" si="47"/>
        <v>0</v>
      </c>
      <c r="O378" s="9">
        <f t="shared" si="47"/>
        <v>0</v>
      </c>
      <c r="P378" s="36">
        <f t="shared" si="47"/>
        <v>0</v>
      </c>
      <c r="Q378" s="35">
        <f t="shared" si="47"/>
        <v>111084.64089260023</v>
      </c>
      <c r="R378" s="89" t="s">
        <v>602</v>
      </c>
    </row>
    <row r="381" spans="1:25" ht="19.95" customHeight="1" x14ac:dyDescent="0.35">
      <c r="A381" s="11" t="s">
        <v>206</v>
      </c>
      <c r="T381" s="216" t="s">
        <v>207</v>
      </c>
      <c r="U381" s="172"/>
      <c r="V381" s="172"/>
      <c r="W381" s="172"/>
      <c r="X381" s="172"/>
      <c r="Y381" s="173"/>
    </row>
    <row r="382" spans="1:25" ht="16.95" customHeight="1" x14ac:dyDescent="0.3">
      <c r="B382" s="12" t="s">
        <v>208</v>
      </c>
      <c r="C382" s="12" t="s">
        <v>178</v>
      </c>
      <c r="E382" s="37" t="str">
        <f>IF(GRAFICA_39!F14=1, B382, GRAFICA_39!H14)</f>
        <v>C1X</v>
      </c>
      <c r="T382" s="215" t="s">
        <v>376</v>
      </c>
      <c r="U382" s="172"/>
      <c r="V382" s="172"/>
      <c r="W382" s="172"/>
      <c r="X382" s="172"/>
      <c r="Y382" s="173"/>
    </row>
    <row r="383" spans="1:25" ht="16.95" customHeight="1" x14ac:dyDescent="0.3">
      <c r="B383" s="12" t="s">
        <v>210</v>
      </c>
      <c r="C383" s="12" t="s">
        <v>179</v>
      </c>
      <c r="E383" s="37" t="str">
        <f>IF(GRAFICA_39!G14=1, B383, GRAFICA_39!I14)</f>
        <v>C1Y</v>
      </c>
      <c r="T383" s="215" t="s">
        <v>211</v>
      </c>
      <c r="U383" s="172"/>
      <c r="V383" s="172"/>
      <c r="W383" s="172"/>
      <c r="X383" s="172"/>
      <c r="Y383" s="173"/>
    </row>
    <row r="384" spans="1:25" ht="16.95" customHeight="1" x14ac:dyDescent="0.3">
      <c r="B384" s="12" t="s">
        <v>212</v>
      </c>
      <c r="C384" s="12" t="s">
        <v>180</v>
      </c>
      <c r="E384" s="37">
        <f>IF(GRAFICA_39!F15=1, B384, GRAFICA_39!H15)</f>
        <v>0</v>
      </c>
      <c r="T384" s="215" t="s">
        <v>377</v>
      </c>
      <c r="U384" s="172"/>
      <c r="V384" s="172"/>
      <c r="W384" s="172"/>
      <c r="X384" s="172"/>
      <c r="Y384" s="173"/>
    </row>
    <row r="385" spans="1:25" ht="16.95" customHeight="1" x14ac:dyDescent="0.3">
      <c r="B385" s="12" t="s">
        <v>214</v>
      </c>
      <c r="C385" s="12" t="s">
        <v>181</v>
      </c>
      <c r="E385" s="37">
        <f>IF(GRAFICA_39!G15=1, B385, GRAFICA_39!I15)</f>
        <v>-4000</v>
      </c>
      <c r="T385" s="215" t="s">
        <v>215</v>
      </c>
      <c r="U385" s="172"/>
      <c r="V385" s="172"/>
      <c r="W385" s="172"/>
      <c r="X385" s="172"/>
      <c r="Y385" s="173"/>
    </row>
    <row r="386" spans="1:25" ht="16.95" customHeight="1" x14ac:dyDescent="0.3">
      <c r="B386" s="12" t="s">
        <v>216</v>
      </c>
      <c r="C386" s="12" t="s">
        <v>182</v>
      </c>
      <c r="E386" s="37">
        <f>IF(GRAFICA_39!F16=1, B386, GRAFICA_39!H16)</f>
        <v>0</v>
      </c>
      <c r="T386" s="215" t="s">
        <v>378</v>
      </c>
      <c r="U386" s="172"/>
      <c r="V386" s="172"/>
      <c r="W386" s="172"/>
      <c r="X386" s="172"/>
      <c r="Y386" s="173"/>
    </row>
    <row r="387" spans="1:25" ht="16.95" customHeight="1" x14ac:dyDescent="0.3">
      <c r="B387" s="12" t="s">
        <v>219</v>
      </c>
      <c r="C387" s="12" t="s">
        <v>183</v>
      </c>
      <c r="E387" s="37">
        <f>IF(GRAFICA_39!G16=1, B387, GRAFICA_39!I16)</f>
        <v>-5000</v>
      </c>
      <c r="T387" s="215" t="s">
        <v>379</v>
      </c>
      <c r="U387" s="172"/>
      <c r="V387" s="172"/>
      <c r="W387" s="172"/>
      <c r="X387" s="172"/>
      <c r="Y387" s="173"/>
    </row>
    <row r="388" spans="1:25" ht="16.95" customHeight="1" x14ac:dyDescent="0.3">
      <c r="B388" s="12" t="s">
        <v>221</v>
      </c>
      <c r="C388" s="12" t="s">
        <v>184</v>
      </c>
      <c r="E388" s="37">
        <f>IF(GRAFICA_39!F17=1, B388, GRAFICA_39!H17)</f>
        <v>0</v>
      </c>
      <c r="T388" s="215"/>
      <c r="U388" s="172"/>
      <c r="V388" s="172"/>
      <c r="W388" s="172"/>
      <c r="X388" s="172"/>
      <c r="Y388" s="173"/>
    </row>
    <row r="389" spans="1:25" ht="16.95" customHeight="1" x14ac:dyDescent="0.3">
      <c r="A389" s="38" t="s">
        <v>218</v>
      </c>
      <c r="B389" s="12" t="s">
        <v>222</v>
      </c>
      <c r="C389" s="12" t="s">
        <v>185</v>
      </c>
      <c r="D389" s="13" t="s">
        <v>220</v>
      </c>
      <c r="E389" s="37">
        <f>IF(GRAFICA_39!G17=1, B389, GRAFICA_39!I17)</f>
        <v>-4000</v>
      </c>
      <c r="T389" s="215"/>
      <c r="U389" s="172"/>
      <c r="V389" s="172"/>
      <c r="W389" s="172"/>
      <c r="X389" s="172"/>
      <c r="Y389" s="173"/>
    </row>
    <row r="390" spans="1:25" ht="16.95" customHeight="1" x14ac:dyDescent="0.3">
      <c r="B390" s="12" t="s">
        <v>223</v>
      </c>
      <c r="C390" s="12" t="s">
        <v>186</v>
      </c>
      <c r="E390" s="37">
        <f>IF(GRAFICA_39!F18=1, B390, GRAFICA_39!H18)</f>
        <v>0</v>
      </c>
      <c r="T390" s="215"/>
      <c r="U390" s="172"/>
      <c r="V390" s="172"/>
      <c r="W390" s="172"/>
      <c r="X390" s="172"/>
      <c r="Y390" s="173"/>
    </row>
    <row r="391" spans="1:25" ht="16.95" customHeight="1" x14ac:dyDescent="0.3">
      <c r="B391" s="12" t="s">
        <v>224</v>
      </c>
      <c r="C391" s="12" t="s">
        <v>187</v>
      </c>
      <c r="E391" s="37" t="str">
        <f>IF(GRAFICA_39!G18=1, B391, GRAFICA_39!I18)</f>
        <v>C5Y</v>
      </c>
      <c r="T391" s="215"/>
      <c r="U391" s="172"/>
      <c r="V391" s="172"/>
      <c r="W391" s="172"/>
      <c r="X391" s="172"/>
      <c r="Y391" s="173"/>
    </row>
    <row r="392" spans="1:25" ht="16.95" customHeight="1" x14ac:dyDescent="0.3">
      <c r="B392" s="12" t="s">
        <v>225</v>
      </c>
      <c r="C392" s="12" t="s">
        <v>188</v>
      </c>
      <c r="E392" s="37">
        <f>IF(GRAFICA_39!F19=1, B392, GRAFICA_39!H19)</f>
        <v>0</v>
      </c>
      <c r="T392" s="215"/>
      <c r="U392" s="172"/>
      <c r="V392" s="172"/>
      <c r="W392" s="172"/>
      <c r="X392" s="172"/>
      <c r="Y392" s="173"/>
    </row>
    <row r="393" spans="1:25" ht="16.95" customHeight="1" x14ac:dyDescent="0.3">
      <c r="B393" s="12" t="s">
        <v>226</v>
      </c>
      <c r="C393" s="12" t="s">
        <v>189</v>
      </c>
      <c r="E393" s="37">
        <f>IF(GRAFICA_39!G19=1, B393, GRAFICA_39!I19)</f>
        <v>0</v>
      </c>
      <c r="T393" s="215"/>
      <c r="U393" s="172"/>
      <c r="V393" s="172"/>
      <c r="W393" s="172"/>
      <c r="X393" s="172"/>
      <c r="Y393" s="173"/>
    </row>
    <row r="394" spans="1:25" ht="16.95" customHeight="1" x14ac:dyDescent="0.3">
      <c r="B394" s="12" t="s">
        <v>585</v>
      </c>
      <c r="C394" s="12" t="s">
        <v>579</v>
      </c>
      <c r="E394" s="37">
        <f>IF(GRAFICA_39!F20=1, B394, GRAFICA_39!H20)</f>
        <v>0</v>
      </c>
      <c r="T394" s="215"/>
      <c r="U394" s="172"/>
      <c r="V394" s="172"/>
      <c r="W394" s="172"/>
      <c r="X394" s="172"/>
      <c r="Y394" s="173"/>
    </row>
    <row r="395" spans="1:25" ht="16.95" customHeight="1" x14ac:dyDescent="0.3">
      <c r="B395" s="12" t="s">
        <v>586</v>
      </c>
      <c r="C395" s="12" t="s">
        <v>580</v>
      </c>
      <c r="E395" s="37">
        <f>IF(GRAFICA_39!G20=1, B395, GRAFICA_39!I20)</f>
        <v>0</v>
      </c>
      <c r="T395" s="215"/>
      <c r="U395" s="172"/>
      <c r="V395" s="172"/>
      <c r="W395" s="172"/>
      <c r="X395" s="172"/>
      <c r="Y395" s="173"/>
    </row>
    <row r="396" spans="1:25" ht="16.95" customHeight="1" x14ac:dyDescent="0.3">
      <c r="B396" s="12" t="s">
        <v>607</v>
      </c>
      <c r="C396" s="12" t="s">
        <v>601</v>
      </c>
      <c r="E396" s="37">
        <f>IF(GRAFICA_39!F21=1, B396, GRAFICA_39!H21)</f>
        <v>0</v>
      </c>
      <c r="T396" s="215"/>
      <c r="U396" s="172"/>
      <c r="V396" s="172"/>
      <c r="W396" s="172"/>
      <c r="X396" s="172"/>
      <c r="Y396" s="173"/>
    </row>
    <row r="397" spans="1:25" ht="16.95" customHeight="1" x14ac:dyDescent="0.3">
      <c r="B397" s="12" t="s">
        <v>608</v>
      </c>
      <c r="C397" s="12" t="s">
        <v>602</v>
      </c>
      <c r="E397" s="37">
        <f>IF(GRAFICA_39!G21=1, B397, GRAFICA_39!I21)</f>
        <v>0</v>
      </c>
      <c r="T397" s="215"/>
      <c r="U397" s="172"/>
      <c r="V397" s="172"/>
      <c r="W397" s="172"/>
      <c r="X397" s="172"/>
      <c r="Y397" s="173"/>
    </row>
    <row r="398" spans="1:25" ht="16.95" customHeight="1" x14ac:dyDescent="0.3">
      <c r="T398" s="215"/>
      <c r="U398" s="172"/>
      <c r="V398" s="172"/>
      <c r="W398" s="172"/>
      <c r="X398" s="172"/>
      <c r="Y398" s="173"/>
    </row>
    <row r="399" spans="1:25" ht="16.95" customHeight="1" x14ac:dyDescent="0.35">
      <c r="A399" s="11" t="s">
        <v>227</v>
      </c>
      <c r="T399" s="215"/>
      <c r="U399" s="172"/>
      <c r="V399" s="172"/>
      <c r="W399" s="172"/>
      <c r="X399" s="172"/>
      <c r="Y399" s="173"/>
    </row>
    <row r="400" spans="1:25" ht="16.95" customHeight="1" x14ac:dyDescent="0.3">
      <c r="B400" s="12" t="s">
        <v>228</v>
      </c>
      <c r="C400" s="12" t="s">
        <v>178</v>
      </c>
      <c r="E400" s="39">
        <f>IF(GRAFICA_39!F14=1, 0, B400)</f>
        <v>0</v>
      </c>
      <c r="F400" s="14" t="str">
        <f>IF(E400&lt;&gt;0, COUNTIF(E$400:E400, "&lt;&gt;0"), "")</f>
        <v/>
      </c>
      <c r="G400" s="14">
        <f>IF(E400=0, COUNTIF(E$400:E400, 0), "")</f>
        <v>1</v>
      </c>
      <c r="T400" s="215"/>
      <c r="U400" s="172"/>
      <c r="V400" s="172"/>
      <c r="W400" s="172"/>
      <c r="X400" s="172"/>
      <c r="Y400" s="173"/>
    </row>
    <row r="401" spans="1:25" ht="16.95" customHeight="1" x14ac:dyDescent="0.3">
      <c r="B401" s="12" t="s">
        <v>229</v>
      </c>
      <c r="C401" s="12" t="s">
        <v>179</v>
      </c>
      <c r="E401" s="39">
        <f>IF(GRAFICA_39!G14=1, 0, B401)</f>
        <v>0</v>
      </c>
      <c r="F401" s="14" t="str">
        <f>IF(E401&lt;&gt;0, COUNTIF(E$400:E401, "&lt;&gt;0"), "")</f>
        <v/>
      </c>
      <c r="G401" s="14">
        <f>IF(E401=0, COUNTIF(E$400:E401, 0), "")</f>
        <v>2</v>
      </c>
      <c r="T401" s="215"/>
      <c r="U401" s="172"/>
      <c r="V401" s="172"/>
      <c r="W401" s="172"/>
      <c r="X401" s="172"/>
      <c r="Y401" s="173"/>
    </row>
    <row r="402" spans="1:25" ht="16.95" customHeight="1" x14ac:dyDescent="0.3">
      <c r="B402" s="12" t="s">
        <v>230</v>
      </c>
      <c r="C402" s="12" t="s">
        <v>180</v>
      </c>
      <c r="E402" s="39" t="str">
        <f>IF(GRAFICA_39!F15=1, 0, B402)</f>
        <v>D2X</v>
      </c>
      <c r="F402" s="14">
        <f>IF(E402&lt;&gt;0, COUNTIF(E$400:E402, "&lt;&gt;0"), "")</f>
        <v>1</v>
      </c>
      <c r="G402" s="14" t="str">
        <f>IF(E402=0, COUNTIF(E$400:E402, 0), "")</f>
        <v/>
      </c>
      <c r="T402" s="215"/>
      <c r="U402" s="172"/>
      <c r="V402" s="172"/>
      <c r="W402" s="172"/>
      <c r="X402" s="172"/>
      <c r="Y402" s="173"/>
    </row>
    <row r="403" spans="1:25" ht="16.95" customHeight="1" x14ac:dyDescent="0.3">
      <c r="B403" s="12" t="s">
        <v>231</v>
      </c>
      <c r="C403" s="12" t="s">
        <v>181</v>
      </c>
      <c r="E403" s="39" t="str">
        <f>IF(GRAFICA_39!G15=1, 0, B403)</f>
        <v>D2Y</v>
      </c>
      <c r="F403" s="14">
        <f>IF(E403&lt;&gt;0, COUNTIF(E$400:E403, "&lt;&gt;0"), "")</f>
        <v>2</v>
      </c>
      <c r="G403" s="14" t="str">
        <f>IF(E403=0, COUNTIF(E$400:E403, 0), "")</f>
        <v/>
      </c>
      <c r="T403" s="215"/>
      <c r="U403" s="172"/>
      <c r="V403" s="172"/>
      <c r="W403" s="172"/>
      <c r="X403" s="172"/>
      <c r="Y403" s="173"/>
    </row>
    <row r="404" spans="1:25" ht="16.95" customHeight="1" x14ac:dyDescent="0.3">
      <c r="B404" s="12" t="s">
        <v>232</v>
      </c>
      <c r="C404" s="12" t="s">
        <v>182</v>
      </c>
      <c r="E404" s="39" t="str">
        <f>IF(GRAFICA_39!F16=1, 0, B404)</f>
        <v>D3X</v>
      </c>
      <c r="F404" s="14">
        <f>IF(E404&lt;&gt;0, COUNTIF(E$400:E404, "&lt;&gt;0"), "")</f>
        <v>3</v>
      </c>
      <c r="G404" s="14" t="str">
        <f>IF(E404=0, COUNTIF(E$400:E404, 0), "")</f>
        <v/>
      </c>
      <c r="T404" s="215"/>
      <c r="U404" s="172"/>
      <c r="V404" s="172"/>
      <c r="W404" s="172"/>
      <c r="X404" s="172"/>
      <c r="Y404" s="173"/>
    </row>
    <row r="405" spans="1:25" ht="16.95" customHeight="1" x14ac:dyDescent="0.3">
      <c r="B405" s="12" t="s">
        <v>234</v>
      </c>
      <c r="C405" s="12" t="s">
        <v>183</v>
      </c>
      <c r="E405" s="39" t="str">
        <f>IF(GRAFICA_39!G16=1, 0, B405)</f>
        <v>D3Y</v>
      </c>
      <c r="F405" s="14">
        <f>IF(E405&lt;&gt;0, COUNTIF(E$400:E405, "&lt;&gt;0"), "")</f>
        <v>4</v>
      </c>
      <c r="G405" s="14" t="str">
        <f>IF(E405=0, COUNTIF(E$400:E405, 0), "")</f>
        <v/>
      </c>
      <c r="T405" s="215"/>
      <c r="U405" s="172"/>
      <c r="V405" s="172"/>
      <c r="W405" s="172"/>
      <c r="X405" s="172"/>
      <c r="Y405" s="173"/>
    </row>
    <row r="406" spans="1:25" ht="16.95" customHeight="1" x14ac:dyDescent="0.3">
      <c r="B406" s="12" t="s">
        <v>235</v>
      </c>
      <c r="C406" s="12" t="s">
        <v>184</v>
      </c>
      <c r="E406" s="39" t="str">
        <f>IF(GRAFICA_39!F17=1, 0, B406)</f>
        <v>D4X</v>
      </c>
      <c r="F406" s="14">
        <f>IF(E406&lt;&gt;0, COUNTIF(E$400:E406, "&lt;&gt;0"), "")</f>
        <v>5</v>
      </c>
      <c r="G406" s="14" t="str">
        <f>IF(E406=0, COUNTIF(E$400:E406, 0), "")</f>
        <v/>
      </c>
      <c r="T406" s="215"/>
      <c r="U406" s="172"/>
      <c r="V406" s="172"/>
      <c r="W406" s="172"/>
      <c r="X406" s="172"/>
      <c r="Y406" s="173"/>
    </row>
    <row r="407" spans="1:25" ht="16.95" customHeight="1" x14ac:dyDescent="0.3">
      <c r="A407" s="38" t="s">
        <v>233</v>
      </c>
      <c r="B407" s="12" t="s">
        <v>236</v>
      </c>
      <c r="C407" s="12" t="s">
        <v>185</v>
      </c>
      <c r="D407" s="13" t="s">
        <v>220</v>
      </c>
      <c r="E407" s="39" t="str">
        <f>IF(GRAFICA_39!G17=1, 0, B407)</f>
        <v>D4Y</v>
      </c>
      <c r="F407" s="14">
        <f>IF(E407&lt;&gt;0, COUNTIF(E$400:E407, "&lt;&gt;0"), "")</f>
        <v>6</v>
      </c>
      <c r="G407" s="14" t="str">
        <f>IF(E407=0, COUNTIF(E$400:E407, 0), "")</f>
        <v/>
      </c>
      <c r="T407" s="215"/>
      <c r="U407" s="172"/>
      <c r="V407" s="172"/>
      <c r="W407" s="172"/>
      <c r="X407" s="172"/>
      <c r="Y407" s="173"/>
    </row>
    <row r="408" spans="1:25" ht="16.95" customHeight="1" x14ac:dyDescent="0.3">
      <c r="B408" s="12" t="s">
        <v>237</v>
      </c>
      <c r="C408" s="12" t="s">
        <v>186</v>
      </c>
      <c r="E408" s="39" t="str">
        <f>IF(GRAFICA_39!F18=1, 0, B408)</f>
        <v>D5X</v>
      </c>
      <c r="F408" s="14">
        <f>IF(E408&lt;&gt;0, COUNTIF(E$400:E408, "&lt;&gt;0"), "")</f>
        <v>7</v>
      </c>
      <c r="G408" s="14" t="str">
        <f>IF(E408=0, COUNTIF(E$400:E408, 0), "")</f>
        <v/>
      </c>
      <c r="T408" s="215"/>
      <c r="U408" s="172"/>
      <c r="V408" s="172"/>
      <c r="W408" s="172"/>
      <c r="X408" s="172"/>
      <c r="Y408" s="173"/>
    </row>
    <row r="409" spans="1:25" ht="16.95" customHeight="1" x14ac:dyDescent="0.3">
      <c r="B409" s="12" t="s">
        <v>238</v>
      </c>
      <c r="C409" s="12" t="s">
        <v>187</v>
      </c>
      <c r="E409" s="39">
        <f>IF(GRAFICA_39!G18=1, 0, B409)</f>
        <v>0</v>
      </c>
      <c r="F409" s="14" t="str">
        <f>IF(E409&lt;&gt;0, COUNTIF(E$400:E409, "&lt;&gt;0"), "")</f>
        <v/>
      </c>
      <c r="G409" s="14">
        <f>IF(E409=0, COUNTIF(E$400:E409, 0), "")</f>
        <v>3</v>
      </c>
      <c r="T409" s="215"/>
      <c r="U409" s="172"/>
      <c r="V409" s="172"/>
      <c r="W409" s="172"/>
      <c r="X409" s="172"/>
      <c r="Y409" s="173"/>
    </row>
    <row r="410" spans="1:25" ht="16.95" customHeight="1" x14ac:dyDescent="0.3">
      <c r="B410" s="12" t="s">
        <v>239</v>
      </c>
      <c r="C410" s="12" t="s">
        <v>188</v>
      </c>
      <c r="E410" s="39" t="str">
        <f>IF(GRAFICA_39!F19=1, 0, B410)</f>
        <v>D6X</v>
      </c>
      <c r="F410" s="14">
        <f>IF(E410&lt;&gt;0, COUNTIF(E$400:E410, "&lt;&gt;0"), "")</f>
        <v>8</v>
      </c>
      <c r="G410" s="14" t="str">
        <f>IF(E410=0, COUNTIF(E$400:E410, 0), "")</f>
        <v/>
      </c>
      <c r="T410" s="215"/>
      <c r="U410" s="172"/>
      <c r="V410" s="172"/>
      <c r="W410" s="172"/>
      <c r="X410" s="172"/>
      <c r="Y410" s="173"/>
    </row>
    <row r="411" spans="1:25" ht="16.95" customHeight="1" x14ac:dyDescent="0.3">
      <c r="B411" s="12" t="s">
        <v>240</v>
      </c>
      <c r="C411" s="12" t="s">
        <v>189</v>
      </c>
      <c r="E411" s="39" t="str">
        <f>IF(GRAFICA_39!G19=1, 0, B411)</f>
        <v>D6Y</v>
      </c>
      <c r="F411" s="14">
        <f>IF(E411&lt;&gt;0, COUNTIF(E$400:E411, "&lt;&gt;0"), "")</f>
        <v>9</v>
      </c>
      <c r="G411" s="14" t="str">
        <f>IF(E411=0, COUNTIF(E$400:E411, 0), "")</f>
        <v/>
      </c>
      <c r="T411" s="215"/>
      <c r="U411" s="172"/>
      <c r="V411" s="172"/>
      <c r="W411" s="172"/>
      <c r="X411" s="172"/>
      <c r="Y411" s="173"/>
    </row>
    <row r="412" spans="1:25" ht="16.95" customHeight="1" x14ac:dyDescent="0.3">
      <c r="B412" s="12" t="s">
        <v>587</v>
      </c>
      <c r="C412" s="12" t="s">
        <v>579</v>
      </c>
      <c r="E412" s="39" t="str">
        <f>IF(GRAFICA_39!F20=1, 0, B412)</f>
        <v>D7X</v>
      </c>
      <c r="F412" s="14">
        <f>IF(E412&lt;&gt;0, COUNTIF(E$400:E412, "&lt;&gt;0"), "")</f>
        <v>10</v>
      </c>
      <c r="G412" s="14" t="str">
        <f>IF(E412=0, COUNTIF(E$400:E412, 0), "")</f>
        <v/>
      </c>
      <c r="T412" s="215"/>
      <c r="U412" s="172"/>
      <c r="V412" s="172"/>
      <c r="W412" s="172"/>
      <c r="X412" s="172"/>
      <c r="Y412" s="173"/>
    </row>
    <row r="413" spans="1:25" ht="16.95" customHeight="1" x14ac:dyDescent="0.3">
      <c r="B413" s="12" t="s">
        <v>588</v>
      </c>
      <c r="C413" s="12" t="s">
        <v>580</v>
      </c>
      <c r="E413" s="39" t="str">
        <f>IF(GRAFICA_39!G20=1, 0, B413)</f>
        <v>D7Y</v>
      </c>
      <c r="F413" s="14">
        <f>IF(E413&lt;&gt;0, COUNTIF(E$400:E413, "&lt;&gt;0"), "")</f>
        <v>11</v>
      </c>
      <c r="G413" s="14" t="str">
        <f>IF(E413=0, COUNTIF(E$400:E413, 0), "")</f>
        <v/>
      </c>
      <c r="T413" s="215"/>
      <c r="U413" s="172"/>
      <c r="V413" s="172"/>
      <c r="W413" s="172"/>
      <c r="X413" s="172"/>
      <c r="Y413" s="173"/>
    </row>
    <row r="414" spans="1:25" ht="16.95" customHeight="1" x14ac:dyDescent="0.3">
      <c r="B414" s="12" t="s">
        <v>609</v>
      </c>
      <c r="C414" s="12" t="s">
        <v>601</v>
      </c>
      <c r="E414" s="39" t="str">
        <f>IF(GRAFICA_39!F21=1, 0, B414)</f>
        <v>D8X</v>
      </c>
      <c r="F414" s="14">
        <f>IF(E414&lt;&gt;0, COUNTIF(E$400:E414, "&lt;&gt;0"), "")</f>
        <v>12</v>
      </c>
      <c r="G414" s="14" t="str">
        <f>IF(E414=0, COUNTIF(E$400:E414, 0), "")</f>
        <v/>
      </c>
      <c r="T414" s="215"/>
      <c r="U414" s="172"/>
      <c r="V414" s="172"/>
      <c r="W414" s="172"/>
      <c r="X414" s="172"/>
      <c r="Y414" s="173"/>
    </row>
    <row r="415" spans="1:25" ht="16.95" customHeight="1" x14ac:dyDescent="0.3">
      <c r="B415" s="12" t="s">
        <v>610</v>
      </c>
      <c r="C415" s="12" t="s">
        <v>602</v>
      </c>
      <c r="E415" s="39" t="str">
        <f>IF(GRAFICA_39!G21=1, 0, B415)</f>
        <v>D8Y</v>
      </c>
      <c r="F415" s="14">
        <f>IF(E415&lt;&gt;0, COUNTIF(E$400:E415, "&lt;&gt;0"), "")</f>
        <v>13</v>
      </c>
      <c r="G415" s="14" t="str">
        <f>IF(E415=0, COUNTIF(E$400:E415, 0), "")</f>
        <v/>
      </c>
      <c r="T415" s="215"/>
      <c r="U415" s="172"/>
      <c r="V415" s="172"/>
      <c r="W415" s="172"/>
      <c r="X415" s="172"/>
      <c r="Y415" s="173"/>
    </row>
    <row r="417" spans="1:25" ht="19.95" customHeight="1" x14ac:dyDescent="0.35">
      <c r="A417" s="15" t="s">
        <v>241</v>
      </c>
      <c r="C417" s="218" t="s">
        <v>242</v>
      </c>
      <c r="D417" s="173"/>
      <c r="E417" s="40" t="s">
        <v>243</v>
      </c>
      <c r="T417" s="216" t="s">
        <v>244</v>
      </c>
      <c r="U417" s="172"/>
      <c r="V417" s="172"/>
      <c r="W417" s="172"/>
      <c r="X417" s="172"/>
      <c r="Y417" s="173"/>
    </row>
    <row r="418" spans="1:25" ht="16.95" customHeight="1" x14ac:dyDescent="0.3">
      <c r="E418" s="40" t="s">
        <v>245</v>
      </c>
      <c r="T418" s="215" t="s">
        <v>246</v>
      </c>
      <c r="U418" s="172"/>
      <c r="V418" s="172"/>
      <c r="W418" s="172"/>
      <c r="X418" s="172"/>
      <c r="Y418" s="173"/>
    </row>
    <row r="419" spans="1:25" ht="16.95" customHeight="1" x14ac:dyDescent="0.3">
      <c r="A419" s="99" t="s">
        <v>247</v>
      </c>
      <c r="C419" s="99" t="s">
        <v>248</v>
      </c>
      <c r="T419" s="215" t="s">
        <v>250</v>
      </c>
      <c r="U419" s="172"/>
      <c r="V419" s="172"/>
      <c r="W419" s="172"/>
      <c r="X419" s="172"/>
      <c r="Y419" s="173"/>
    </row>
    <row r="420" spans="1:25" ht="16.95" customHeight="1" x14ac:dyDescent="0.3">
      <c r="A420" s="12" t="str">
        <f t="shared" ref="A420:A435" si="48">E382</f>
        <v>C1X</v>
      </c>
      <c r="C420" s="9">
        <f t="shared" ref="C420:R420" si="49">B363</f>
        <v>88661.403726774151</v>
      </c>
      <c r="D420" s="9">
        <f t="shared" si="49"/>
        <v>21421.804791566763</v>
      </c>
      <c r="E420" s="9">
        <f t="shared" si="49"/>
        <v>-72000</v>
      </c>
      <c r="F420" s="9">
        <f t="shared" si="49"/>
        <v>0</v>
      </c>
      <c r="G420" s="9">
        <f t="shared" si="49"/>
        <v>0</v>
      </c>
      <c r="H420" s="9">
        <f t="shared" si="49"/>
        <v>0</v>
      </c>
      <c r="I420" s="9">
        <f t="shared" si="49"/>
        <v>0</v>
      </c>
      <c r="J420" s="9">
        <f t="shared" si="49"/>
        <v>0</v>
      </c>
      <c r="K420" s="9">
        <f t="shared" si="49"/>
        <v>0</v>
      </c>
      <c r="L420" s="9">
        <f t="shared" si="49"/>
        <v>0</v>
      </c>
      <c r="M420" s="9">
        <f t="shared" si="49"/>
        <v>-16661.403726774148</v>
      </c>
      <c r="N420" s="9">
        <f t="shared" si="49"/>
        <v>-21421.804791566763</v>
      </c>
      <c r="O420" s="9">
        <f t="shared" si="49"/>
        <v>0</v>
      </c>
      <c r="P420" s="9">
        <f t="shared" si="49"/>
        <v>0</v>
      </c>
      <c r="Q420" s="9">
        <f t="shared" si="49"/>
        <v>0</v>
      </c>
      <c r="R420" s="9">
        <f t="shared" si="49"/>
        <v>0</v>
      </c>
      <c r="S420" s="13" t="s">
        <v>251</v>
      </c>
      <c r="T420" s="219" t="s">
        <v>380</v>
      </c>
      <c r="U420" s="172"/>
      <c r="V420" s="172"/>
      <c r="W420" s="172"/>
      <c r="X420" s="172"/>
      <c r="Y420" s="173"/>
    </row>
    <row r="421" spans="1:25" ht="16.95" customHeight="1" x14ac:dyDescent="0.3">
      <c r="A421" s="12" t="str">
        <f t="shared" si="48"/>
        <v>C1Y</v>
      </c>
      <c r="C421" s="9">
        <f t="shared" ref="C421:R421" si="50">B364</f>
        <v>21421.804791566763</v>
      </c>
      <c r="D421" s="9">
        <f t="shared" si="50"/>
        <v>27542.32044630012</v>
      </c>
      <c r="E421" s="9">
        <f t="shared" si="50"/>
        <v>0</v>
      </c>
      <c r="F421" s="9">
        <f t="shared" si="50"/>
        <v>0</v>
      </c>
      <c r="G421" s="9">
        <f t="shared" si="50"/>
        <v>0</v>
      </c>
      <c r="H421" s="9">
        <f t="shared" si="50"/>
        <v>0</v>
      </c>
      <c r="I421" s="9">
        <f t="shared" si="50"/>
        <v>0</v>
      </c>
      <c r="J421" s="9">
        <f t="shared" si="50"/>
        <v>0</v>
      </c>
      <c r="K421" s="9">
        <f t="shared" si="50"/>
        <v>0</v>
      </c>
      <c r="L421" s="9">
        <f t="shared" si="50"/>
        <v>0</v>
      </c>
      <c r="M421" s="9">
        <f t="shared" si="50"/>
        <v>-21421.804791566763</v>
      </c>
      <c r="N421" s="9">
        <f t="shared" si="50"/>
        <v>-27542.32044630012</v>
      </c>
      <c r="O421" s="9">
        <f t="shared" si="50"/>
        <v>0</v>
      </c>
      <c r="P421" s="9">
        <f t="shared" si="50"/>
        <v>0</v>
      </c>
      <c r="Q421" s="9">
        <f t="shared" si="50"/>
        <v>0</v>
      </c>
      <c r="R421" s="9">
        <f t="shared" si="50"/>
        <v>0</v>
      </c>
      <c r="S421" s="13" t="s">
        <v>251</v>
      </c>
      <c r="T421" s="219" t="s">
        <v>253</v>
      </c>
      <c r="U421" s="172"/>
      <c r="V421" s="172"/>
      <c r="W421" s="172"/>
      <c r="X421" s="172"/>
      <c r="Y421" s="173"/>
    </row>
    <row r="422" spans="1:25" ht="16.95" customHeight="1" x14ac:dyDescent="0.3">
      <c r="A422" s="41">
        <f t="shared" si="48"/>
        <v>0</v>
      </c>
      <c r="C422" s="9">
        <f t="shared" ref="C422:R422" si="51">B365</f>
        <v>-72000</v>
      </c>
      <c r="D422" s="9">
        <f t="shared" si="51"/>
        <v>0</v>
      </c>
      <c r="E422" s="41">
        <f t="shared" si="51"/>
        <v>160661.40372677415</v>
      </c>
      <c r="F422" s="41">
        <f t="shared" si="51"/>
        <v>21421.804791566763</v>
      </c>
      <c r="G422" s="41">
        <f t="shared" si="51"/>
        <v>-72000</v>
      </c>
      <c r="H422" s="41">
        <f t="shared" si="51"/>
        <v>0</v>
      </c>
      <c r="I422" s="41">
        <f t="shared" si="51"/>
        <v>0</v>
      </c>
      <c r="J422" s="41">
        <f t="shared" si="51"/>
        <v>0</v>
      </c>
      <c r="K422" s="41">
        <f t="shared" si="51"/>
        <v>0</v>
      </c>
      <c r="L422" s="9">
        <f t="shared" si="51"/>
        <v>0</v>
      </c>
      <c r="M422" s="41">
        <f t="shared" si="51"/>
        <v>0</v>
      </c>
      <c r="N422" s="41">
        <f t="shared" si="51"/>
        <v>0</v>
      </c>
      <c r="O422" s="41">
        <f t="shared" si="51"/>
        <v>-16661.403726774148</v>
      </c>
      <c r="P422" s="41">
        <f t="shared" si="51"/>
        <v>-21421.804791566763</v>
      </c>
      <c r="Q422" s="41">
        <f t="shared" si="51"/>
        <v>0</v>
      </c>
      <c r="R422" s="41">
        <f t="shared" si="51"/>
        <v>0</v>
      </c>
      <c r="S422" s="13" t="s">
        <v>251</v>
      </c>
      <c r="T422" s="215" t="s">
        <v>254</v>
      </c>
      <c r="U422" s="172"/>
      <c r="V422" s="172"/>
      <c r="W422" s="172"/>
      <c r="X422" s="172"/>
      <c r="Y422" s="173"/>
    </row>
    <row r="423" spans="1:25" ht="16.95" customHeight="1" x14ac:dyDescent="0.3">
      <c r="A423" s="41">
        <f t="shared" si="48"/>
        <v>-4000</v>
      </c>
      <c r="C423" s="9">
        <f t="shared" ref="C423:R423" si="52">B366</f>
        <v>0</v>
      </c>
      <c r="D423" s="9">
        <f t="shared" si="52"/>
        <v>0</v>
      </c>
      <c r="E423" s="41">
        <f t="shared" si="52"/>
        <v>21421.804791566763</v>
      </c>
      <c r="F423" s="41">
        <f t="shared" si="52"/>
        <v>83542.320446300117</v>
      </c>
      <c r="G423" s="41">
        <f t="shared" si="52"/>
        <v>0</v>
      </c>
      <c r="H423" s="41">
        <f t="shared" si="52"/>
        <v>0</v>
      </c>
      <c r="I423" s="41">
        <f t="shared" si="52"/>
        <v>0</v>
      </c>
      <c r="J423" s="41">
        <f t="shared" si="52"/>
        <v>0</v>
      </c>
      <c r="K423" s="41">
        <f t="shared" si="52"/>
        <v>0</v>
      </c>
      <c r="L423" s="9">
        <f t="shared" si="52"/>
        <v>0</v>
      </c>
      <c r="M423" s="41">
        <f t="shared" si="52"/>
        <v>0</v>
      </c>
      <c r="N423" s="41">
        <f t="shared" si="52"/>
        <v>-56000</v>
      </c>
      <c r="O423" s="41">
        <f t="shared" si="52"/>
        <v>-21421.804791566763</v>
      </c>
      <c r="P423" s="41">
        <f t="shared" si="52"/>
        <v>-27542.32044630012</v>
      </c>
      <c r="Q423" s="41">
        <f t="shared" si="52"/>
        <v>0</v>
      </c>
      <c r="R423" s="41">
        <f t="shared" si="52"/>
        <v>0</v>
      </c>
      <c r="S423" s="13" t="s">
        <v>251</v>
      </c>
      <c r="T423" s="215" t="s">
        <v>381</v>
      </c>
      <c r="U423" s="172"/>
      <c r="V423" s="172"/>
      <c r="W423" s="172"/>
      <c r="X423" s="172"/>
      <c r="Y423" s="173"/>
    </row>
    <row r="424" spans="1:25" ht="16.95" customHeight="1" x14ac:dyDescent="0.3">
      <c r="A424" s="41">
        <f t="shared" si="48"/>
        <v>0</v>
      </c>
      <c r="C424" s="9">
        <f t="shared" ref="C424:R424" si="53">B367</f>
        <v>0</v>
      </c>
      <c r="D424" s="9">
        <f t="shared" si="53"/>
        <v>0</v>
      </c>
      <c r="E424" s="41">
        <f t="shared" si="53"/>
        <v>-72000</v>
      </c>
      <c r="F424" s="41">
        <f t="shared" si="53"/>
        <v>0</v>
      </c>
      <c r="G424" s="41">
        <f t="shared" si="53"/>
        <v>160661.40372677415</v>
      </c>
      <c r="H424" s="41">
        <f t="shared" si="53"/>
        <v>21421.804791566763</v>
      </c>
      <c r="I424" s="41">
        <f t="shared" si="53"/>
        <v>-72000</v>
      </c>
      <c r="J424" s="41">
        <f t="shared" si="53"/>
        <v>0</v>
      </c>
      <c r="K424" s="41">
        <f t="shared" si="53"/>
        <v>0</v>
      </c>
      <c r="L424" s="9">
        <f t="shared" si="53"/>
        <v>0</v>
      </c>
      <c r="M424" s="41">
        <f t="shared" si="53"/>
        <v>0</v>
      </c>
      <c r="N424" s="41">
        <f t="shared" si="53"/>
        <v>0</v>
      </c>
      <c r="O424" s="41">
        <f t="shared" si="53"/>
        <v>0</v>
      </c>
      <c r="P424" s="41">
        <f t="shared" si="53"/>
        <v>0</v>
      </c>
      <c r="Q424" s="41">
        <f t="shared" si="53"/>
        <v>-16661.403726774148</v>
      </c>
      <c r="R424" s="41">
        <f t="shared" si="53"/>
        <v>-21421.804791566763</v>
      </c>
      <c r="S424" s="13" t="s">
        <v>251</v>
      </c>
      <c r="T424" s="215" t="s">
        <v>382</v>
      </c>
      <c r="U424" s="172"/>
      <c r="V424" s="172"/>
      <c r="W424" s="172"/>
      <c r="X424" s="172"/>
      <c r="Y424" s="173"/>
    </row>
    <row r="425" spans="1:25" ht="16.95" customHeight="1" x14ac:dyDescent="0.3">
      <c r="A425" s="41">
        <f t="shared" si="48"/>
        <v>-5000</v>
      </c>
      <c r="C425" s="9">
        <f t="shared" ref="C425:R425" si="54">B368</f>
        <v>0</v>
      </c>
      <c r="D425" s="9">
        <f t="shared" si="54"/>
        <v>0</v>
      </c>
      <c r="E425" s="41">
        <f t="shared" si="54"/>
        <v>0</v>
      </c>
      <c r="F425" s="41">
        <f t="shared" si="54"/>
        <v>0</v>
      </c>
      <c r="G425" s="41">
        <f t="shared" si="54"/>
        <v>21421.804791566763</v>
      </c>
      <c r="H425" s="41">
        <f t="shared" si="54"/>
        <v>83542.320446300117</v>
      </c>
      <c r="I425" s="41">
        <f t="shared" si="54"/>
        <v>0</v>
      </c>
      <c r="J425" s="41">
        <f t="shared" si="54"/>
        <v>0</v>
      </c>
      <c r="K425" s="41">
        <f t="shared" si="54"/>
        <v>0</v>
      </c>
      <c r="L425" s="9">
        <f t="shared" si="54"/>
        <v>0</v>
      </c>
      <c r="M425" s="41">
        <f t="shared" si="54"/>
        <v>0</v>
      </c>
      <c r="N425" s="41">
        <f t="shared" si="54"/>
        <v>0</v>
      </c>
      <c r="O425" s="41">
        <f t="shared" si="54"/>
        <v>0</v>
      </c>
      <c r="P425" s="41">
        <f t="shared" si="54"/>
        <v>-56000</v>
      </c>
      <c r="Q425" s="41">
        <f t="shared" si="54"/>
        <v>-21421.804791566763</v>
      </c>
      <c r="R425" s="41">
        <f t="shared" si="54"/>
        <v>-27542.32044630012</v>
      </c>
      <c r="S425" s="13" t="s">
        <v>251</v>
      </c>
      <c r="T425" s="215" t="str">
        <f t="shared" ref="T425:T435" si="55">E405</f>
        <v>D3Y</v>
      </c>
      <c r="U425" s="172"/>
      <c r="V425" s="172"/>
      <c r="W425" s="172"/>
      <c r="X425" s="172"/>
      <c r="Y425" s="173"/>
    </row>
    <row r="426" spans="1:25" ht="16.95" customHeight="1" x14ac:dyDescent="0.3">
      <c r="A426" s="41">
        <f t="shared" si="48"/>
        <v>0</v>
      </c>
      <c r="C426" s="9">
        <f t="shared" ref="C426:R426" si="56">B369</f>
        <v>0</v>
      </c>
      <c r="D426" s="9">
        <f t="shared" si="56"/>
        <v>0</v>
      </c>
      <c r="E426" s="41">
        <f t="shared" si="56"/>
        <v>0</v>
      </c>
      <c r="F426" s="41">
        <f t="shared" si="56"/>
        <v>0</v>
      </c>
      <c r="G426" s="41">
        <f t="shared" si="56"/>
        <v>-72000</v>
      </c>
      <c r="H426" s="41">
        <f t="shared" si="56"/>
        <v>0</v>
      </c>
      <c r="I426" s="41">
        <f t="shared" si="56"/>
        <v>144000</v>
      </c>
      <c r="J426" s="41">
        <f t="shared" si="56"/>
        <v>0</v>
      </c>
      <c r="K426" s="41">
        <f t="shared" si="56"/>
        <v>-72000</v>
      </c>
      <c r="L426" s="9">
        <f t="shared" si="56"/>
        <v>0</v>
      </c>
      <c r="M426" s="41">
        <f t="shared" si="56"/>
        <v>0</v>
      </c>
      <c r="N426" s="41">
        <f t="shared" si="56"/>
        <v>0</v>
      </c>
      <c r="O426" s="41">
        <f t="shared" si="56"/>
        <v>0</v>
      </c>
      <c r="P426" s="41">
        <f t="shared" si="56"/>
        <v>0</v>
      </c>
      <c r="Q426" s="41">
        <f t="shared" si="56"/>
        <v>0</v>
      </c>
      <c r="R426" s="41">
        <f t="shared" si="56"/>
        <v>0</v>
      </c>
      <c r="S426" s="13" t="s">
        <v>251</v>
      </c>
      <c r="T426" s="215" t="str">
        <f t="shared" si="55"/>
        <v>D4X</v>
      </c>
      <c r="U426" s="172"/>
      <c r="V426" s="172"/>
      <c r="W426" s="172"/>
      <c r="X426" s="172"/>
      <c r="Y426" s="173"/>
    </row>
    <row r="427" spans="1:25" ht="16.95" customHeight="1" x14ac:dyDescent="0.3">
      <c r="A427" s="41">
        <f t="shared" si="48"/>
        <v>-4000</v>
      </c>
      <c r="C427" s="9">
        <f t="shared" ref="C427:R427" si="57">B370</f>
        <v>0</v>
      </c>
      <c r="D427" s="9">
        <f t="shared" si="57"/>
        <v>0</v>
      </c>
      <c r="E427" s="41">
        <f t="shared" si="57"/>
        <v>0</v>
      </c>
      <c r="F427" s="41">
        <f t="shared" si="57"/>
        <v>0</v>
      </c>
      <c r="G427" s="41">
        <f t="shared" si="57"/>
        <v>0</v>
      </c>
      <c r="H427" s="41">
        <f t="shared" si="57"/>
        <v>0</v>
      </c>
      <c r="I427" s="41">
        <f t="shared" si="57"/>
        <v>0</v>
      </c>
      <c r="J427" s="41">
        <f t="shared" si="57"/>
        <v>56000</v>
      </c>
      <c r="K427" s="41">
        <f t="shared" si="57"/>
        <v>0</v>
      </c>
      <c r="L427" s="9">
        <f t="shared" si="57"/>
        <v>0</v>
      </c>
      <c r="M427" s="41">
        <f t="shared" si="57"/>
        <v>0</v>
      </c>
      <c r="N427" s="41">
        <f t="shared" si="57"/>
        <v>0</v>
      </c>
      <c r="O427" s="41">
        <f t="shared" si="57"/>
        <v>0</v>
      </c>
      <c r="P427" s="41">
        <f t="shared" si="57"/>
        <v>0</v>
      </c>
      <c r="Q427" s="41">
        <f t="shared" si="57"/>
        <v>0</v>
      </c>
      <c r="R427" s="41">
        <f t="shared" si="57"/>
        <v>-56000</v>
      </c>
      <c r="S427" s="13" t="s">
        <v>251</v>
      </c>
      <c r="T427" s="215" t="str">
        <f t="shared" si="55"/>
        <v>D4Y</v>
      </c>
      <c r="U427" s="172"/>
      <c r="V427" s="172"/>
      <c r="W427" s="172"/>
      <c r="X427" s="172"/>
      <c r="Y427" s="173"/>
    </row>
    <row r="428" spans="1:25" ht="16.95" customHeight="1" x14ac:dyDescent="0.3">
      <c r="A428" s="41">
        <f t="shared" si="48"/>
        <v>0</v>
      </c>
      <c r="B428" s="13" t="s">
        <v>220</v>
      </c>
      <c r="C428" s="9">
        <f t="shared" ref="C428:R428" si="58">B371</f>
        <v>0</v>
      </c>
      <c r="D428" s="9">
        <f t="shared" si="58"/>
        <v>0</v>
      </c>
      <c r="E428" s="41">
        <f t="shared" si="58"/>
        <v>0</v>
      </c>
      <c r="F428" s="41">
        <f t="shared" si="58"/>
        <v>0</v>
      </c>
      <c r="G428" s="41">
        <f t="shared" si="58"/>
        <v>0</v>
      </c>
      <c r="H428" s="41">
        <f t="shared" si="58"/>
        <v>0</v>
      </c>
      <c r="I428" s="41">
        <f t="shared" si="58"/>
        <v>-72000</v>
      </c>
      <c r="J428" s="41">
        <f t="shared" si="58"/>
        <v>0</v>
      </c>
      <c r="K428" s="41">
        <f t="shared" si="58"/>
        <v>88661.403726774151</v>
      </c>
      <c r="L428" s="9">
        <f t="shared" si="58"/>
        <v>-21421.804791566763</v>
      </c>
      <c r="M428" s="41">
        <f t="shared" si="58"/>
        <v>0</v>
      </c>
      <c r="N428" s="41">
        <f t="shared" si="58"/>
        <v>0</v>
      </c>
      <c r="O428" s="41">
        <f t="shared" si="58"/>
        <v>0</v>
      </c>
      <c r="P428" s="41">
        <f t="shared" si="58"/>
        <v>0</v>
      </c>
      <c r="Q428" s="41">
        <f t="shared" si="58"/>
        <v>-16661.403726774148</v>
      </c>
      <c r="R428" s="41">
        <f t="shared" si="58"/>
        <v>21421.804791566763</v>
      </c>
      <c r="S428" s="13" t="s">
        <v>251</v>
      </c>
      <c r="T428" s="215" t="str">
        <f t="shared" si="55"/>
        <v>D5X</v>
      </c>
      <c r="U428" s="172"/>
      <c r="V428" s="172"/>
      <c r="W428" s="172"/>
      <c r="X428" s="172"/>
      <c r="Y428" s="173"/>
    </row>
    <row r="429" spans="1:25" ht="16.95" customHeight="1" x14ac:dyDescent="0.3">
      <c r="A429" s="12" t="str">
        <f t="shared" si="48"/>
        <v>C5Y</v>
      </c>
      <c r="C429" s="9">
        <f t="shared" ref="C429:R429" si="59">B372</f>
        <v>0</v>
      </c>
      <c r="D429" s="9">
        <f t="shared" si="59"/>
        <v>0</v>
      </c>
      <c r="E429" s="9">
        <f t="shared" si="59"/>
        <v>0</v>
      </c>
      <c r="F429" s="9">
        <f t="shared" si="59"/>
        <v>0</v>
      </c>
      <c r="G429" s="9">
        <f t="shared" si="59"/>
        <v>0</v>
      </c>
      <c r="H429" s="9">
        <f t="shared" si="59"/>
        <v>0</v>
      </c>
      <c r="I429" s="9">
        <f t="shared" si="59"/>
        <v>0</v>
      </c>
      <c r="J429" s="9">
        <f t="shared" si="59"/>
        <v>0</v>
      </c>
      <c r="K429" s="9">
        <f t="shared" si="59"/>
        <v>-21421.804791566763</v>
      </c>
      <c r="L429" s="9">
        <f t="shared" si="59"/>
        <v>27542.32044630012</v>
      </c>
      <c r="M429" s="9">
        <f t="shared" si="59"/>
        <v>0</v>
      </c>
      <c r="N429" s="9">
        <f t="shared" si="59"/>
        <v>0</v>
      </c>
      <c r="O429" s="9">
        <f t="shared" si="59"/>
        <v>0</v>
      </c>
      <c r="P429" s="9">
        <f t="shared" si="59"/>
        <v>0</v>
      </c>
      <c r="Q429" s="9">
        <f t="shared" si="59"/>
        <v>21421.804791566763</v>
      </c>
      <c r="R429" s="9">
        <f t="shared" si="59"/>
        <v>-27542.32044630012</v>
      </c>
      <c r="S429" s="13" t="s">
        <v>251</v>
      </c>
      <c r="T429" s="219">
        <f t="shared" si="55"/>
        <v>0</v>
      </c>
      <c r="U429" s="172"/>
      <c r="V429" s="172"/>
      <c r="W429" s="172"/>
      <c r="X429" s="172"/>
      <c r="Y429" s="173"/>
    </row>
    <row r="430" spans="1:25" ht="16.95" customHeight="1" x14ac:dyDescent="0.3">
      <c r="A430" s="41">
        <f t="shared" si="48"/>
        <v>0</v>
      </c>
      <c r="C430" s="9">
        <f t="shared" ref="C430:R430" si="60">B373</f>
        <v>-16661.403726774148</v>
      </c>
      <c r="D430" s="9">
        <f t="shared" si="60"/>
        <v>-21421.804791566763</v>
      </c>
      <c r="E430" s="41">
        <f t="shared" si="60"/>
        <v>0</v>
      </c>
      <c r="F430" s="41">
        <f t="shared" si="60"/>
        <v>0</v>
      </c>
      <c r="G430" s="41">
        <f t="shared" si="60"/>
        <v>0</v>
      </c>
      <c r="H430" s="41">
        <f t="shared" si="60"/>
        <v>0</v>
      </c>
      <c r="I430" s="41">
        <f t="shared" si="60"/>
        <v>0</v>
      </c>
      <c r="J430" s="41">
        <f t="shared" si="60"/>
        <v>0</v>
      </c>
      <c r="K430" s="41">
        <f t="shared" si="60"/>
        <v>0</v>
      </c>
      <c r="L430" s="9">
        <f t="shared" si="60"/>
        <v>0</v>
      </c>
      <c r="M430" s="41">
        <f t="shared" si="60"/>
        <v>88661.403726774151</v>
      </c>
      <c r="N430" s="41">
        <f t="shared" si="60"/>
        <v>21421.804791566763</v>
      </c>
      <c r="O430" s="41">
        <f t="shared" si="60"/>
        <v>-72000</v>
      </c>
      <c r="P430" s="41">
        <f t="shared" si="60"/>
        <v>0</v>
      </c>
      <c r="Q430" s="41">
        <f t="shared" si="60"/>
        <v>0</v>
      </c>
      <c r="R430" s="41">
        <f t="shared" si="60"/>
        <v>0</v>
      </c>
      <c r="S430" s="13" t="s">
        <v>251</v>
      </c>
      <c r="T430" s="215" t="str">
        <f t="shared" si="55"/>
        <v>D6X</v>
      </c>
      <c r="U430" s="172"/>
      <c r="V430" s="172"/>
      <c r="W430" s="172"/>
      <c r="X430" s="172"/>
      <c r="Y430" s="173"/>
    </row>
    <row r="431" spans="1:25" ht="16.95" customHeight="1" x14ac:dyDescent="0.3">
      <c r="A431" s="41">
        <f t="shared" si="48"/>
        <v>0</v>
      </c>
      <c r="C431" s="9">
        <f t="shared" ref="C431:R431" si="61">B374</f>
        <v>-21421.804791566763</v>
      </c>
      <c r="D431" s="9">
        <f t="shared" si="61"/>
        <v>-27542.32044630012</v>
      </c>
      <c r="E431" s="41">
        <f t="shared" si="61"/>
        <v>0</v>
      </c>
      <c r="F431" s="41">
        <f t="shared" si="61"/>
        <v>-56000</v>
      </c>
      <c r="G431" s="41">
        <f t="shared" si="61"/>
        <v>0</v>
      </c>
      <c r="H431" s="41">
        <f t="shared" si="61"/>
        <v>0</v>
      </c>
      <c r="I431" s="41">
        <f t="shared" si="61"/>
        <v>0</v>
      </c>
      <c r="J431" s="41">
        <f t="shared" si="61"/>
        <v>0</v>
      </c>
      <c r="K431" s="41">
        <f t="shared" si="61"/>
        <v>0</v>
      </c>
      <c r="L431" s="9">
        <f t="shared" si="61"/>
        <v>0</v>
      </c>
      <c r="M431" s="41">
        <f t="shared" si="61"/>
        <v>21421.804791566763</v>
      </c>
      <c r="N431" s="41">
        <f t="shared" si="61"/>
        <v>83542.320446300117</v>
      </c>
      <c r="O431" s="41">
        <f t="shared" si="61"/>
        <v>0</v>
      </c>
      <c r="P431" s="41">
        <f t="shared" si="61"/>
        <v>0</v>
      </c>
      <c r="Q431" s="41">
        <f t="shared" si="61"/>
        <v>0</v>
      </c>
      <c r="R431" s="41">
        <f t="shared" si="61"/>
        <v>0</v>
      </c>
      <c r="S431" s="13" t="s">
        <v>251</v>
      </c>
      <c r="T431" s="215" t="str">
        <f t="shared" si="55"/>
        <v>D6Y</v>
      </c>
      <c r="U431" s="172"/>
      <c r="V431" s="172"/>
      <c r="W431" s="172"/>
      <c r="X431" s="172"/>
      <c r="Y431" s="173"/>
    </row>
    <row r="432" spans="1:25" ht="16.95" customHeight="1" x14ac:dyDescent="0.3">
      <c r="A432" s="41">
        <f t="shared" si="48"/>
        <v>0</v>
      </c>
      <c r="C432" s="9">
        <f t="shared" ref="C432:R432" si="62">B375</f>
        <v>0</v>
      </c>
      <c r="D432" s="9">
        <f t="shared" si="62"/>
        <v>0</v>
      </c>
      <c r="E432" s="41">
        <f t="shared" si="62"/>
        <v>-16661.403726774148</v>
      </c>
      <c r="F432" s="41">
        <f t="shared" si="62"/>
        <v>-21421.804791566763</v>
      </c>
      <c r="G432" s="41">
        <f t="shared" si="62"/>
        <v>0</v>
      </c>
      <c r="H432" s="41">
        <f t="shared" si="62"/>
        <v>0</v>
      </c>
      <c r="I432" s="41">
        <f t="shared" si="62"/>
        <v>0</v>
      </c>
      <c r="J432" s="41">
        <f t="shared" si="62"/>
        <v>0</v>
      </c>
      <c r="K432" s="41">
        <f t="shared" si="62"/>
        <v>0</v>
      </c>
      <c r="L432" s="9">
        <f t="shared" si="62"/>
        <v>0</v>
      </c>
      <c r="M432" s="41">
        <f t="shared" si="62"/>
        <v>-72000</v>
      </c>
      <c r="N432" s="41">
        <f t="shared" si="62"/>
        <v>0</v>
      </c>
      <c r="O432" s="41">
        <f t="shared" si="62"/>
        <v>160661.40372677415</v>
      </c>
      <c r="P432" s="41">
        <f t="shared" si="62"/>
        <v>21421.804791566763</v>
      </c>
      <c r="Q432" s="41">
        <f t="shared" si="62"/>
        <v>-72000</v>
      </c>
      <c r="R432" s="41">
        <f t="shared" si="62"/>
        <v>0</v>
      </c>
      <c r="S432" s="13" t="s">
        <v>251</v>
      </c>
      <c r="T432" s="215" t="str">
        <f t="shared" si="55"/>
        <v>D7X</v>
      </c>
      <c r="U432" s="172"/>
      <c r="V432" s="172"/>
      <c r="W432" s="172"/>
      <c r="X432" s="172"/>
      <c r="Y432" s="173"/>
    </row>
    <row r="433" spans="1:25" ht="16.95" customHeight="1" x14ac:dyDescent="0.3">
      <c r="A433" s="41">
        <f t="shared" si="48"/>
        <v>0</v>
      </c>
      <c r="C433" s="9">
        <f t="shared" ref="C433:R433" si="63">B376</f>
        <v>0</v>
      </c>
      <c r="D433" s="9">
        <f t="shared" si="63"/>
        <v>0</v>
      </c>
      <c r="E433" s="41">
        <f t="shared" si="63"/>
        <v>-21421.804791566763</v>
      </c>
      <c r="F433" s="41">
        <f t="shared" si="63"/>
        <v>-27542.32044630012</v>
      </c>
      <c r="G433" s="41">
        <f t="shared" si="63"/>
        <v>0</v>
      </c>
      <c r="H433" s="41">
        <f t="shared" si="63"/>
        <v>-56000</v>
      </c>
      <c r="I433" s="41">
        <f t="shared" si="63"/>
        <v>0</v>
      </c>
      <c r="J433" s="41">
        <f t="shared" si="63"/>
        <v>0</v>
      </c>
      <c r="K433" s="41">
        <f t="shared" si="63"/>
        <v>0</v>
      </c>
      <c r="L433" s="9">
        <f t="shared" si="63"/>
        <v>0</v>
      </c>
      <c r="M433" s="41">
        <f t="shared" si="63"/>
        <v>0</v>
      </c>
      <c r="N433" s="41">
        <f t="shared" si="63"/>
        <v>0</v>
      </c>
      <c r="O433" s="41">
        <f t="shared" si="63"/>
        <v>21421.804791566763</v>
      </c>
      <c r="P433" s="41">
        <f t="shared" si="63"/>
        <v>83542.320446300117</v>
      </c>
      <c r="Q433" s="41">
        <f t="shared" si="63"/>
        <v>0</v>
      </c>
      <c r="R433" s="41">
        <f t="shared" si="63"/>
        <v>0</v>
      </c>
      <c r="S433" s="13" t="s">
        <v>251</v>
      </c>
      <c r="T433" s="215" t="str">
        <f t="shared" si="55"/>
        <v>D7Y</v>
      </c>
      <c r="U433" s="172"/>
      <c r="V433" s="172"/>
      <c r="W433" s="172"/>
      <c r="X433" s="172"/>
      <c r="Y433" s="173"/>
    </row>
    <row r="434" spans="1:25" ht="16.95" customHeight="1" x14ac:dyDescent="0.3">
      <c r="A434" s="41">
        <f t="shared" si="48"/>
        <v>0</v>
      </c>
      <c r="C434" s="9">
        <f t="shared" ref="C434:R434" si="64">B377</f>
        <v>0</v>
      </c>
      <c r="D434" s="9">
        <f t="shared" si="64"/>
        <v>0</v>
      </c>
      <c r="E434" s="41">
        <f t="shared" si="64"/>
        <v>0</v>
      </c>
      <c r="F434" s="41">
        <f t="shared" si="64"/>
        <v>0</v>
      </c>
      <c r="G434" s="41">
        <f t="shared" si="64"/>
        <v>-16661.403726774148</v>
      </c>
      <c r="H434" s="41">
        <f t="shared" si="64"/>
        <v>-21421.804791566763</v>
      </c>
      <c r="I434" s="41">
        <f t="shared" si="64"/>
        <v>0</v>
      </c>
      <c r="J434" s="41">
        <f t="shared" si="64"/>
        <v>0</v>
      </c>
      <c r="K434" s="41">
        <f t="shared" si="64"/>
        <v>-16661.403726774148</v>
      </c>
      <c r="L434" s="9">
        <f t="shared" si="64"/>
        <v>21421.804791566763</v>
      </c>
      <c r="M434" s="41">
        <f t="shared" si="64"/>
        <v>0</v>
      </c>
      <c r="N434" s="41">
        <f t="shared" si="64"/>
        <v>0</v>
      </c>
      <c r="O434" s="41">
        <f t="shared" si="64"/>
        <v>-72000</v>
      </c>
      <c r="P434" s="41">
        <f t="shared" si="64"/>
        <v>0</v>
      </c>
      <c r="Q434" s="41">
        <f t="shared" si="64"/>
        <v>105322.8074535483</v>
      </c>
      <c r="R434" s="41">
        <f t="shared" si="64"/>
        <v>0</v>
      </c>
      <c r="S434" s="13" t="s">
        <v>251</v>
      </c>
      <c r="T434" s="215" t="str">
        <f t="shared" si="55"/>
        <v>D8X</v>
      </c>
      <c r="U434" s="172"/>
      <c r="V434" s="172"/>
      <c r="W434" s="172"/>
      <c r="X434" s="172"/>
      <c r="Y434" s="173"/>
    </row>
    <row r="435" spans="1:25" ht="16.95" customHeight="1" x14ac:dyDescent="0.3">
      <c r="A435" s="41">
        <f t="shared" si="48"/>
        <v>0</v>
      </c>
      <c r="C435" s="9">
        <f t="shared" ref="C435:R435" si="65">B378</f>
        <v>0</v>
      </c>
      <c r="D435" s="9">
        <f t="shared" si="65"/>
        <v>0</v>
      </c>
      <c r="E435" s="41">
        <f t="shared" si="65"/>
        <v>0</v>
      </c>
      <c r="F435" s="41">
        <f t="shared" si="65"/>
        <v>0</v>
      </c>
      <c r="G435" s="41">
        <f t="shared" si="65"/>
        <v>-21421.804791566763</v>
      </c>
      <c r="H435" s="41">
        <f t="shared" si="65"/>
        <v>-27542.32044630012</v>
      </c>
      <c r="I435" s="41">
        <f t="shared" si="65"/>
        <v>0</v>
      </c>
      <c r="J435" s="41">
        <f t="shared" si="65"/>
        <v>-56000</v>
      </c>
      <c r="K435" s="41">
        <f t="shared" si="65"/>
        <v>21421.804791566763</v>
      </c>
      <c r="L435" s="9">
        <f t="shared" si="65"/>
        <v>-27542.32044630012</v>
      </c>
      <c r="M435" s="41">
        <f t="shared" si="65"/>
        <v>0</v>
      </c>
      <c r="N435" s="41">
        <f t="shared" si="65"/>
        <v>0</v>
      </c>
      <c r="O435" s="41">
        <f t="shared" si="65"/>
        <v>0</v>
      </c>
      <c r="P435" s="41">
        <f t="shared" si="65"/>
        <v>0</v>
      </c>
      <c r="Q435" s="41">
        <f t="shared" si="65"/>
        <v>0</v>
      </c>
      <c r="R435" s="41">
        <f t="shared" si="65"/>
        <v>111084.64089260023</v>
      </c>
      <c r="S435" s="13" t="s">
        <v>251</v>
      </c>
      <c r="T435" s="215" t="str">
        <f t="shared" si="55"/>
        <v>D8Y</v>
      </c>
      <c r="U435" s="172"/>
      <c r="V435" s="172"/>
      <c r="W435" s="172"/>
      <c r="X435" s="172"/>
      <c r="Y435" s="173"/>
    </row>
    <row r="438" spans="1:25" ht="19.95" customHeight="1" x14ac:dyDescent="0.35">
      <c r="A438" s="15" t="s">
        <v>257</v>
      </c>
      <c r="T438" s="216" t="s">
        <v>258</v>
      </c>
      <c r="U438" s="172"/>
      <c r="V438" s="172"/>
      <c r="W438" s="172"/>
      <c r="X438" s="172"/>
      <c r="Y438" s="173"/>
    </row>
    <row r="439" spans="1:25" ht="16.95" customHeight="1" x14ac:dyDescent="0.3">
      <c r="C439" s="38" t="str">
        <f>INDEX(C$400:C$415, MATCH(1, F$400:F$415, 0))</f>
        <v>U2X</v>
      </c>
      <c r="D439" s="38" t="str">
        <f>INDEX(C$400:C$415, MATCH(2, F$400:F$415, 0))</f>
        <v>U2Y</v>
      </c>
      <c r="E439" s="38" t="str">
        <f>INDEX(C$400:C$415, MATCH(3, F$400:F$415, 0))</f>
        <v>U3X</v>
      </c>
      <c r="F439" s="38" t="str">
        <f>INDEX(C$400:C$415, MATCH(4, F$400:F$415, 0))</f>
        <v>U3Y</v>
      </c>
      <c r="G439" s="38" t="str">
        <f>INDEX(C$400:C$415, MATCH(5, F$400:F$415, 0))</f>
        <v>U4X</v>
      </c>
      <c r="H439" s="38" t="str">
        <f>INDEX(C$400:C$415, MATCH(6, F$400:F$415, 0))</f>
        <v>U4Y</v>
      </c>
      <c r="I439" s="38" t="str">
        <f>INDEX(C$400:C$415, MATCH(7, F$400:F$415, 0))</f>
        <v>U5X</v>
      </c>
      <c r="J439" s="38" t="str">
        <f>INDEX(C$400:C$415, MATCH(8, F$400:F$415, 0))</f>
        <v>U6X</v>
      </c>
      <c r="K439" s="38" t="str">
        <f>INDEX(C$400:C$415, MATCH(9, F$400:F$415, 0))</f>
        <v>U6Y</v>
      </c>
      <c r="L439" s="38" t="str">
        <f>INDEX(C$400:C$415, MATCH(10, F$400:F$415, 0))</f>
        <v>U7X</v>
      </c>
      <c r="M439" s="38" t="str">
        <f>INDEX(C$400:C$415, MATCH(11, F$400:F$415, 0))</f>
        <v>U7Y</v>
      </c>
      <c r="N439" s="38" t="str">
        <f>INDEX(C$400:C$415, MATCH(12, F$400:F$415, 0))</f>
        <v>U8X</v>
      </c>
      <c r="O439" s="38" t="str">
        <f>INDEX(C$400:C$415, MATCH(13, F$400:F$415, 0))</f>
        <v>U8Y</v>
      </c>
      <c r="T439" s="215" t="s">
        <v>383</v>
      </c>
      <c r="U439" s="172"/>
      <c r="V439" s="172"/>
      <c r="W439" s="172"/>
      <c r="X439" s="172"/>
      <c r="Y439" s="173"/>
    </row>
    <row r="440" spans="1:25" ht="16.95" customHeight="1" x14ac:dyDescent="0.3">
      <c r="A440" s="41">
        <f t="shared" ref="A440:A452" si="66">INDEX(E$382:E$397, MATCH(R440, C$382:C$397, 0))</f>
        <v>0</v>
      </c>
      <c r="C440" s="41">
        <f t="shared" ref="C440:O452" si="67">INDEX($B$363:$Q$378, MATCH($R440, $R$363:$R$378, 0), MATCH(C$439, $B$362:$Q$362, 0))</f>
        <v>160661.40372677415</v>
      </c>
      <c r="D440" s="41">
        <f t="shared" si="67"/>
        <v>21421.804791566763</v>
      </c>
      <c r="E440" s="41">
        <f t="shared" si="67"/>
        <v>-72000</v>
      </c>
      <c r="F440" s="41">
        <f t="shared" si="67"/>
        <v>0</v>
      </c>
      <c r="G440" s="41">
        <f t="shared" si="67"/>
        <v>0</v>
      </c>
      <c r="H440" s="41">
        <f t="shared" si="67"/>
        <v>0</v>
      </c>
      <c r="I440" s="41">
        <f t="shared" si="67"/>
        <v>0</v>
      </c>
      <c r="J440" s="41">
        <f t="shared" si="67"/>
        <v>0</v>
      </c>
      <c r="K440" s="41">
        <f t="shared" si="67"/>
        <v>0</v>
      </c>
      <c r="L440" s="41">
        <f t="shared" si="67"/>
        <v>-16661.403726774148</v>
      </c>
      <c r="M440" s="41">
        <f t="shared" si="67"/>
        <v>-21421.804791566763</v>
      </c>
      <c r="N440" s="41">
        <f t="shared" si="67"/>
        <v>0</v>
      </c>
      <c r="O440" s="41">
        <f t="shared" si="67"/>
        <v>0</v>
      </c>
      <c r="P440" s="13" t="s">
        <v>251</v>
      </c>
      <c r="Q440" s="38" t="str">
        <f>INDEX(B$400:B$415, MATCH(1, F$400:F$415, 0))</f>
        <v>D2X</v>
      </c>
      <c r="R440" s="14" t="str">
        <f>INDEX(C$400:C$415, MATCH(1, F$400:F$415, 0))</f>
        <v>U2X</v>
      </c>
      <c r="T440" s="215" t="s">
        <v>384</v>
      </c>
      <c r="U440" s="172"/>
      <c r="V440" s="172"/>
      <c r="W440" s="172"/>
      <c r="X440" s="172"/>
      <c r="Y440" s="173"/>
    </row>
    <row r="441" spans="1:25" ht="16.95" customHeight="1" x14ac:dyDescent="0.3">
      <c r="A441" s="41">
        <f t="shared" si="66"/>
        <v>-4000</v>
      </c>
      <c r="C441" s="41">
        <f t="shared" si="67"/>
        <v>21421.804791566763</v>
      </c>
      <c r="D441" s="41">
        <f t="shared" si="67"/>
        <v>83542.320446300117</v>
      </c>
      <c r="E441" s="41">
        <f t="shared" si="67"/>
        <v>0</v>
      </c>
      <c r="F441" s="41">
        <f t="shared" si="67"/>
        <v>0</v>
      </c>
      <c r="G441" s="41">
        <f t="shared" si="67"/>
        <v>0</v>
      </c>
      <c r="H441" s="41">
        <f t="shared" si="67"/>
        <v>0</v>
      </c>
      <c r="I441" s="41">
        <f t="shared" si="67"/>
        <v>0</v>
      </c>
      <c r="J441" s="41">
        <f t="shared" si="67"/>
        <v>0</v>
      </c>
      <c r="K441" s="41">
        <f t="shared" si="67"/>
        <v>-56000</v>
      </c>
      <c r="L441" s="41">
        <f t="shared" si="67"/>
        <v>-21421.804791566763</v>
      </c>
      <c r="M441" s="41">
        <f t="shared" si="67"/>
        <v>-27542.32044630012</v>
      </c>
      <c r="N441" s="41">
        <f t="shared" si="67"/>
        <v>0</v>
      </c>
      <c r="O441" s="41">
        <f t="shared" si="67"/>
        <v>0</v>
      </c>
      <c r="P441" s="13" t="s">
        <v>251</v>
      </c>
      <c r="Q441" s="38" t="str">
        <f>INDEX(B$400:B$415, MATCH(2, F$400:F$415, 0))</f>
        <v>D2Y</v>
      </c>
      <c r="R441" s="14" t="str">
        <f>INDEX(C$400:C$415, MATCH(2, F$400:F$415, 0))</f>
        <v>U2Y</v>
      </c>
      <c r="T441" s="215" t="s">
        <v>385</v>
      </c>
      <c r="U441" s="172"/>
      <c r="V441" s="172"/>
      <c r="W441" s="172"/>
      <c r="X441" s="172"/>
      <c r="Y441" s="173"/>
    </row>
    <row r="442" spans="1:25" ht="16.95" customHeight="1" x14ac:dyDescent="0.3">
      <c r="A442" s="41">
        <f t="shared" si="66"/>
        <v>0</v>
      </c>
      <c r="C442" s="41">
        <f t="shared" si="67"/>
        <v>-72000</v>
      </c>
      <c r="D442" s="41">
        <f t="shared" si="67"/>
        <v>0</v>
      </c>
      <c r="E442" s="41">
        <f t="shared" si="67"/>
        <v>160661.40372677415</v>
      </c>
      <c r="F442" s="41">
        <f t="shared" si="67"/>
        <v>21421.804791566763</v>
      </c>
      <c r="G442" s="41">
        <f t="shared" si="67"/>
        <v>-72000</v>
      </c>
      <c r="H442" s="41">
        <f t="shared" si="67"/>
        <v>0</v>
      </c>
      <c r="I442" s="41">
        <f t="shared" si="67"/>
        <v>0</v>
      </c>
      <c r="J442" s="41">
        <f t="shared" si="67"/>
        <v>0</v>
      </c>
      <c r="K442" s="41">
        <f t="shared" si="67"/>
        <v>0</v>
      </c>
      <c r="L442" s="41">
        <f t="shared" si="67"/>
        <v>0</v>
      </c>
      <c r="M442" s="41">
        <f t="shared" si="67"/>
        <v>0</v>
      </c>
      <c r="N442" s="41">
        <f t="shared" si="67"/>
        <v>-16661.403726774148</v>
      </c>
      <c r="O442" s="41">
        <f t="shared" si="67"/>
        <v>-21421.804791566763</v>
      </c>
      <c r="P442" s="13" t="s">
        <v>251</v>
      </c>
      <c r="Q442" s="38" t="str">
        <f>INDEX(B$400:B$415, MATCH(3, F$400:F$415, 0))</f>
        <v>D3X</v>
      </c>
      <c r="R442" s="14" t="str">
        <f>INDEX(C$400:C$415, MATCH(3, F$400:F$415, 0))</f>
        <v>U3X</v>
      </c>
      <c r="T442" s="215" t="s">
        <v>386</v>
      </c>
      <c r="U442" s="172"/>
      <c r="V442" s="172"/>
      <c r="W442" s="172"/>
      <c r="X442" s="172"/>
      <c r="Y442" s="173"/>
    </row>
    <row r="443" spans="1:25" ht="16.95" customHeight="1" x14ac:dyDescent="0.3">
      <c r="A443" s="41">
        <f t="shared" si="66"/>
        <v>-5000</v>
      </c>
      <c r="C443" s="41">
        <f t="shared" si="67"/>
        <v>0</v>
      </c>
      <c r="D443" s="41">
        <f t="shared" si="67"/>
        <v>0</v>
      </c>
      <c r="E443" s="41">
        <f t="shared" si="67"/>
        <v>21421.804791566763</v>
      </c>
      <c r="F443" s="41">
        <f t="shared" si="67"/>
        <v>83542.320446300117</v>
      </c>
      <c r="G443" s="41">
        <f t="shared" si="67"/>
        <v>0</v>
      </c>
      <c r="H443" s="41">
        <f t="shared" si="67"/>
        <v>0</v>
      </c>
      <c r="I443" s="41">
        <f t="shared" si="67"/>
        <v>0</v>
      </c>
      <c r="J443" s="41">
        <f t="shared" si="67"/>
        <v>0</v>
      </c>
      <c r="K443" s="41">
        <f t="shared" si="67"/>
        <v>0</v>
      </c>
      <c r="L443" s="41">
        <f t="shared" si="67"/>
        <v>0</v>
      </c>
      <c r="M443" s="41">
        <f t="shared" si="67"/>
        <v>-56000</v>
      </c>
      <c r="N443" s="41">
        <f t="shared" si="67"/>
        <v>-21421.804791566763</v>
      </c>
      <c r="O443" s="41">
        <f t="shared" si="67"/>
        <v>-27542.32044630012</v>
      </c>
      <c r="P443" s="13" t="s">
        <v>251</v>
      </c>
      <c r="Q443" s="38" t="str">
        <f>INDEX(B$400:B$415, MATCH(4, F$400:F$415, 0))</f>
        <v>D3Y</v>
      </c>
      <c r="R443" s="14" t="str">
        <f>INDEX(C$400:C$415, MATCH(4, F$400:F$415, 0))</f>
        <v>U3Y</v>
      </c>
      <c r="T443" s="215" t="s">
        <v>387</v>
      </c>
      <c r="U443" s="172"/>
      <c r="V443" s="172"/>
      <c r="W443" s="172"/>
      <c r="X443" s="172"/>
      <c r="Y443" s="173"/>
    </row>
    <row r="444" spans="1:25" ht="16.95" customHeight="1" x14ac:dyDescent="0.3">
      <c r="A444" s="41">
        <f t="shared" si="66"/>
        <v>0</v>
      </c>
      <c r="C444" s="41">
        <f t="shared" si="67"/>
        <v>0</v>
      </c>
      <c r="D444" s="41">
        <f t="shared" si="67"/>
        <v>0</v>
      </c>
      <c r="E444" s="41">
        <f t="shared" si="67"/>
        <v>-72000</v>
      </c>
      <c r="F444" s="41">
        <f t="shared" si="67"/>
        <v>0</v>
      </c>
      <c r="G444" s="41">
        <f t="shared" si="67"/>
        <v>144000</v>
      </c>
      <c r="H444" s="41">
        <f t="shared" si="67"/>
        <v>0</v>
      </c>
      <c r="I444" s="41">
        <f t="shared" si="67"/>
        <v>-72000</v>
      </c>
      <c r="J444" s="41">
        <f t="shared" si="67"/>
        <v>0</v>
      </c>
      <c r="K444" s="41">
        <f t="shared" si="67"/>
        <v>0</v>
      </c>
      <c r="L444" s="41">
        <f t="shared" si="67"/>
        <v>0</v>
      </c>
      <c r="M444" s="41">
        <f t="shared" si="67"/>
        <v>0</v>
      </c>
      <c r="N444" s="41">
        <f t="shared" si="67"/>
        <v>0</v>
      </c>
      <c r="O444" s="41">
        <f t="shared" si="67"/>
        <v>0</v>
      </c>
      <c r="P444" s="13" t="s">
        <v>251</v>
      </c>
      <c r="Q444" s="38" t="str">
        <f>INDEX(B$400:B$415, MATCH(5, F$400:F$415, 0))</f>
        <v>D4X</v>
      </c>
      <c r="R444" s="14" t="str">
        <f>INDEX(C$400:C$415, MATCH(5, F$400:F$415, 0))</f>
        <v>U4X</v>
      </c>
      <c r="T444" s="215" t="s">
        <v>388</v>
      </c>
      <c r="U444" s="172"/>
      <c r="V444" s="172"/>
      <c r="W444" s="172"/>
      <c r="X444" s="172"/>
      <c r="Y444" s="173"/>
    </row>
    <row r="445" spans="1:25" ht="16.95" customHeight="1" x14ac:dyDescent="0.3">
      <c r="A445" s="41">
        <f t="shared" si="66"/>
        <v>-4000</v>
      </c>
      <c r="C445" s="41">
        <f t="shared" si="67"/>
        <v>0</v>
      </c>
      <c r="D445" s="41">
        <f t="shared" si="67"/>
        <v>0</v>
      </c>
      <c r="E445" s="41">
        <f t="shared" si="67"/>
        <v>0</v>
      </c>
      <c r="F445" s="41">
        <f t="shared" si="67"/>
        <v>0</v>
      </c>
      <c r="G445" s="41">
        <f t="shared" si="67"/>
        <v>0</v>
      </c>
      <c r="H445" s="41">
        <f t="shared" si="67"/>
        <v>56000</v>
      </c>
      <c r="I445" s="41">
        <f t="shared" si="67"/>
        <v>0</v>
      </c>
      <c r="J445" s="41">
        <f t="shared" si="67"/>
        <v>0</v>
      </c>
      <c r="K445" s="41">
        <f t="shared" si="67"/>
        <v>0</v>
      </c>
      <c r="L445" s="41">
        <f t="shared" si="67"/>
        <v>0</v>
      </c>
      <c r="M445" s="41">
        <f t="shared" si="67"/>
        <v>0</v>
      </c>
      <c r="N445" s="41">
        <f t="shared" si="67"/>
        <v>0</v>
      </c>
      <c r="O445" s="41">
        <f t="shared" si="67"/>
        <v>-56000</v>
      </c>
      <c r="P445" s="13" t="s">
        <v>251</v>
      </c>
      <c r="Q445" s="38" t="str">
        <f>INDEX(B$400:B$415, MATCH(6, F$400:F$415, 0))</f>
        <v>D4Y</v>
      </c>
      <c r="R445" s="14" t="str">
        <f>INDEX(C$400:C$415, MATCH(6, F$400:F$415, 0))</f>
        <v>U4Y</v>
      </c>
      <c r="T445" s="215"/>
      <c r="U445" s="172"/>
      <c r="V445" s="172"/>
      <c r="W445" s="172"/>
      <c r="X445" s="172"/>
      <c r="Y445" s="173"/>
    </row>
    <row r="446" spans="1:25" ht="16.95" customHeight="1" x14ac:dyDescent="0.3">
      <c r="A446" s="41">
        <f t="shared" si="66"/>
        <v>0</v>
      </c>
      <c r="B446" s="13" t="s">
        <v>220</v>
      </c>
      <c r="C446" s="41">
        <f t="shared" si="67"/>
        <v>0</v>
      </c>
      <c r="D446" s="41">
        <f t="shared" si="67"/>
        <v>0</v>
      </c>
      <c r="E446" s="41">
        <f t="shared" si="67"/>
        <v>0</v>
      </c>
      <c r="F446" s="41">
        <f t="shared" si="67"/>
        <v>0</v>
      </c>
      <c r="G446" s="41">
        <f t="shared" si="67"/>
        <v>-72000</v>
      </c>
      <c r="H446" s="41">
        <f t="shared" si="67"/>
        <v>0</v>
      </c>
      <c r="I446" s="41">
        <f t="shared" si="67"/>
        <v>88661.403726774151</v>
      </c>
      <c r="J446" s="41">
        <f t="shared" si="67"/>
        <v>0</v>
      </c>
      <c r="K446" s="41">
        <f t="shared" si="67"/>
        <v>0</v>
      </c>
      <c r="L446" s="41">
        <f t="shared" si="67"/>
        <v>0</v>
      </c>
      <c r="M446" s="41">
        <f t="shared" si="67"/>
        <v>0</v>
      </c>
      <c r="N446" s="41">
        <f t="shared" si="67"/>
        <v>-16661.403726774148</v>
      </c>
      <c r="O446" s="41">
        <f t="shared" si="67"/>
        <v>21421.804791566763</v>
      </c>
      <c r="P446" s="13" t="s">
        <v>251</v>
      </c>
      <c r="Q446" s="38" t="str">
        <f>INDEX(B$400:B$415, MATCH(7, F$400:F$415, 0))</f>
        <v>D5X</v>
      </c>
      <c r="R446" s="14" t="str">
        <f>INDEX(C$400:C$415, MATCH(7, F$400:F$415, 0))</f>
        <v>U5X</v>
      </c>
      <c r="T446" s="215"/>
      <c r="U446" s="172"/>
      <c r="V446" s="172"/>
      <c r="W446" s="172"/>
      <c r="X446" s="172"/>
      <c r="Y446" s="173"/>
    </row>
    <row r="447" spans="1:25" ht="16.95" customHeight="1" x14ac:dyDescent="0.3">
      <c r="A447" s="41">
        <f t="shared" si="66"/>
        <v>0</v>
      </c>
      <c r="C447" s="41">
        <f t="shared" si="67"/>
        <v>0</v>
      </c>
      <c r="D447" s="41">
        <f t="shared" si="67"/>
        <v>0</v>
      </c>
      <c r="E447" s="41">
        <f t="shared" si="67"/>
        <v>0</v>
      </c>
      <c r="F447" s="41">
        <f t="shared" si="67"/>
        <v>0</v>
      </c>
      <c r="G447" s="41">
        <f t="shared" si="67"/>
        <v>0</v>
      </c>
      <c r="H447" s="41">
        <f t="shared" si="67"/>
        <v>0</v>
      </c>
      <c r="I447" s="41">
        <f t="shared" si="67"/>
        <v>0</v>
      </c>
      <c r="J447" s="41">
        <f t="shared" si="67"/>
        <v>88661.403726774151</v>
      </c>
      <c r="K447" s="41">
        <f t="shared" si="67"/>
        <v>21421.804791566763</v>
      </c>
      <c r="L447" s="41">
        <f t="shared" si="67"/>
        <v>-72000</v>
      </c>
      <c r="M447" s="41">
        <f t="shared" si="67"/>
        <v>0</v>
      </c>
      <c r="N447" s="41">
        <f t="shared" si="67"/>
        <v>0</v>
      </c>
      <c r="O447" s="41">
        <f t="shared" si="67"/>
        <v>0</v>
      </c>
      <c r="P447" s="13" t="s">
        <v>251</v>
      </c>
      <c r="Q447" s="38" t="str">
        <f>INDEX(B$400:B$415, MATCH(8, F$400:F$415, 0))</f>
        <v>D6X</v>
      </c>
      <c r="R447" s="14" t="str">
        <f>INDEX(C$400:C$415, MATCH(8, F$400:F$415, 0))</f>
        <v>U6X</v>
      </c>
      <c r="T447" s="215"/>
      <c r="U447" s="172"/>
      <c r="V447" s="172"/>
      <c r="W447" s="172"/>
      <c r="X447" s="172"/>
      <c r="Y447" s="173"/>
    </row>
    <row r="448" spans="1:25" ht="16.95" customHeight="1" x14ac:dyDescent="0.3">
      <c r="A448" s="41">
        <f t="shared" si="66"/>
        <v>0</v>
      </c>
      <c r="C448" s="41">
        <f t="shared" si="67"/>
        <v>0</v>
      </c>
      <c r="D448" s="41">
        <f t="shared" si="67"/>
        <v>-56000</v>
      </c>
      <c r="E448" s="41">
        <f t="shared" si="67"/>
        <v>0</v>
      </c>
      <c r="F448" s="41">
        <f t="shared" si="67"/>
        <v>0</v>
      </c>
      <c r="G448" s="41">
        <f t="shared" si="67"/>
        <v>0</v>
      </c>
      <c r="H448" s="41">
        <f t="shared" si="67"/>
        <v>0</v>
      </c>
      <c r="I448" s="41">
        <f t="shared" si="67"/>
        <v>0</v>
      </c>
      <c r="J448" s="41">
        <f t="shared" si="67"/>
        <v>21421.804791566763</v>
      </c>
      <c r="K448" s="41">
        <f t="shared" si="67"/>
        <v>83542.320446300117</v>
      </c>
      <c r="L448" s="41">
        <f t="shared" si="67"/>
        <v>0</v>
      </c>
      <c r="M448" s="41">
        <f t="shared" si="67"/>
        <v>0</v>
      </c>
      <c r="N448" s="41">
        <f t="shared" si="67"/>
        <v>0</v>
      </c>
      <c r="O448" s="41">
        <f t="shared" si="67"/>
        <v>0</v>
      </c>
      <c r="P448" s="13" t="s">
        <v>251</v>
      </c>
      <c r="Q448" s="38" t="str">
        <f>INDEX(B$400:B$415, MATCH(9, F$400:F$415, 0))</f>
        <v>D6Y</v>
      </c>
      <c r="R448" s="14" t="str">
        <f>INDEX(C$400:C$415, MATCH(9, F$400:F$415, 0))</f>
        <v>U6Y</v>
      </c>
      <c r="T448" s="215"/>
      <c r="U448" s="172"/>
      <c r="V448" s="172"/>
      <c r="W448" s="172"/>
      <c r="X448" s="172"/>
      <c r="Y448" s="173"/>
    </row>
    <row r="449" spans="1:25" ht="16.95" customHeight="1" x14ac:dyDescent="0.3">
      <c r="A449" s="41">
        <f t="shared" si="66"/>
        <v>0</v>
      </c>
      <c r="C449" s="41">
        <f t="shared" si="67"/>
        <v>-16661.403726774148</v>
      </c>
      <c r="D449" s="41">
        <f t="shared" si="67"/>
        <v>-21421.804791566763</v>
      </c>
      <c r="E449" s="41">
        <f t="shared" si="67"/>
        <v>0</v>
      </c>
      <c r="F449" s="41">
        <f t="shared" si="67"/>
        <v>0</v>
      </c>
      <c r="G449" s="41">
        <f t="shared" si="67"/>
        <v>0</v>
      </c>
      <c r="H449" s="41">
        <f t="shared" si="67"/>
        <v>0</v>
      </c>
      <c r="I449" s="41">
        <f t="shared" si="67"/>
        <v>0</v>
      </c>
      <c r="J449" s="41">
        <f t="shared" si="67"/>
        <v>-72000</v>
      </c>
      <c r="K449" s="41">
        <f t="shared" si="67"/>
        <v>0</v>
      </c>
      <c r="L449" s="41">
        <f t="shared" si="67"/>
        <v>160661.40372677415</v>
      </c>
      <c r="M449" s="41">
        <f t="shared" si="67"/>
        <v>21421.804791566763</v>
      </c>
      <c r="N449" s="41">
        <f t="shared" si="67"/>
        <v>-72000</v>
      </c>
      <c r="O449" s="41">
        <f t="shared" si="67"/>
        <v>0</v>
      </c>
      <c r="P449" s="13" t="s">
        <v>251</v>
      </c>
      <c r="Q449" s="38" t="str">
        <f>INDEX(B$400:B$415, MATCH(10, F$400:F$415, 0))</f>
        <v>D7X</v>
      </c>
      <c r="R449" s="14" t="str">
        <f>INDEX(C$400:C$415, MATCH(10, F$400:F$415, 0))</f>
        <v>U7X</v>
      </c>
      <c r="T449" s="215"/>
      <c r="U449" s="172"/>
      <c r="V449" s="172"/>
      <c r="W449" s="172"/>
      <c r="X449" s="172"/>
      <c r="Y449" s="173"/>
    </row>
    <row r="450" spans="1:25" ht="16.95" customHeight="1" x14ac:dyDescent="0.3">
      <c r="A450" s="41">
        <f t="shared" si="66"/>
        <v>0</v>
      </c>
      <c r="C450" s="41">
        <f t="shared" si="67"/>
        <v>-21421.804791566763</v>
      </c>
      <c r="D450" s="41">
        <f t="shared" si="67"/>
        <v>-27542.32044630012</v>
      </c>
      <c r="E450" s="41">
        <f t="shared" si="67"/>
        <v>0</v>
      </c>
      <c r="F450" s="41">
        <f t="shared" si="67"/>
        <v>-56000</v>
      </c>
      <c r="G450" s="41">
        <f t="shared" si="67"/>
        <v>0</v>
      </c>
      <c r="H450" s="41">
        <f t="shared" si="67"/>
        <v>0</v>
      </c>
      <c r="I450" s="41">
        <f t="shared" si="67"/>
        <v>0</v>
      </c>
      <c r="J450" s="41">
        <f t="shared" si="67"/>
        <v>0</v>
      </c>
      <c r="K450" s="41">
        <f t="shared" si="67"/>
        <v>0</v>
      </c>
      <c r="L450" s="41">
        <f t="shared" si="67"/>
        <v>21421.804791566763</v>
      </c>
      <c r="M450" s="41">
        <f t="shared" si="67"/>
        <v>83542.320446300117</v>
      </c>
      <c r="N450" s="41">
        <f t="shared" si="67"/>
        <v>0</v>
      </c>
      <c r="O450" s="41">
        <f t="shared" si="67"/>
        <v>0</v>
      </c>
      <c r="P450" s="13" t="s">
        <v>251</v>
      </c>
      <c r="Q450" s="38" t="str">
        <f>INDEX(B$400:B$415, MATCH(11, F$400:F$415, 0))</f>
        <v>D7Y</v>
      </c>
      <c r="R450" s="14" t="str">
        <f>INDEX(C$400:C$415, MATCH(11, F$400:F$415, 0))</f>
        <v>U7Y</v>
      </c>
      <c r="T450" s="215"/>
      <c r="U450" s="172"/>
      <c r="V450" s="172"/>
      <c r="W450" s="172"/>
      <c r="X450" s="172"/>
      <c r="Y450" s="173"/>
    </row>
    <row r="451" spans="1:25" ht="16.95" customHeight="1" x14ac:dyDescent="0.3">
      <c r="A451" s="41">
        <f t="shared" si="66"/>
        <v>0</v>
      </c>
      <c r="C451" s="41">
        <f t="shared" si="67"/>
        <v>0</v>
      </c>
      <c r="D451" s="41">
        <f t="shared" si="67"/>
        <v>0</v>
      </c>
      <c r="E451" s="41">
        <f t="shared" si="67"/>
        <v>-16661.403726774148</v>
      </c>
      <c r="F451" s="41">
        <f t="shared" si="67"/>
        <v>-21421.804791566763</v>
      </c>
      <c r="G451" s="41">
        <f t="shared" si="67"/>
        <v>0</v>
      </c>
      <c r="H451" s="41">
        <f t="shared" si="67"/>
        <v>0</v>
      </c>
      <c r="I451" s="41">
        <f t="shared" si="67"/>
        <v>-16661.403726774148</v>
      </c>
      <c r="J451" s="41">
        <f t="shared" si="67"/>
        <v>0</v>
      </c>
      <c r="K451" s="41">
        <f t="shared" si="67"/>
        <v>0</v>
      </c>
      <c r="L451" s="41">
        <f t="shared" si="67"/>
        <v>-72000</v>
      </c>
      <c r="M451" s="41">
        <f t="shared" si="67"/>
        <v>0</v>
      </c>
      <c r="N451" s="41">
        <f t="shared" si="67"/>
        <v>105322.8074535483</v>
      </c>
      <c r="O451" s="41">
        <f t="shared" si="67"/>
        <v>0</v>
      </c>
      <c r="P451" s="13" t="s">
        <v>251</v>
      </c>
      <c r="Q451" s="38" t="str">
        <f>INDEX(B$400:B$415, MATCH(12, F$400:F$415, 0))</f>
        <v>D8X</v>
      </c>
      <c r="R451" s="14" t="str">
        <f>INDEX(C$400:C$415, MATCH(12, F$400:F$415, 0))</f>
        <v>U8X</v>
      </c>
      <c r="T451" s="215"/>
      <c r="U451" s="172"/>
      <c r="V451" s="172"/>
      <c r="W451" s="172"/>
      <c r="X451" s="172"/>
      <c r="Y451" s="173"/>
    </row>
    <row r="452" spans="1:25" ht="16.95" customHeight="1" x14ac:dyDescent="0.3">
      <c r="A452" s="41">
        <f t="shared" si="66"/>
        <v>0</v>
      </c>
      <c r="C452" s="41">
        <f t="shared" si="67"/>
        <v>0</v>
      </c>
      <c r="D452" s="41">
        <f t="shared" si="67"/>
        <v>0</v>
      </c>
      <c r="E452" s="41">
        <f t="shared" si="67"/>
        <v>-21421.804791566763</v>
      </c>
      <c r="F452" s="41">
        <f t="shared" si="67"/>
        <v>-27542.32044630012</v>
      </c>
      <c r="G452" s="41">
        <f t="shared" si="67"/>
        <v>0</v>
      </c>
      <c r="H452" s="41">
        <f t="shared" si="67"/>
        <v>-56000</v>
      </c>
      <c r="I452" s="41">
        <f t="shared" si="67"/>
        <v>21421.804791566763</v>
      </c>
      <c r="J452" s="41">
        <f t="shared" si="67"/>
        <v>0</v>
      </c>
      <c r="K452" s="41">
        <f t="shared" si="67"/>
        <v>0</v>
      </c>
      <c r="L452" s="41">
        <f t="shared" si="67"/>
        <v>0</v>
      </c>
      <c r="M452" s="41">
        <f t="shared" si="67"/>
        <v>0</v>
      </c>
      <c r="N452" s="41">
        <f t="shared" si="67"/>
        <v>0</v>
      </c>
      <c r="O452" s="41">
        <f t="shared" si="67"/>
        <v>111084.64089260023</v>
      </c>
      <c r="P452" s="13" t="s">
        <v>251</v>
      </c>
      <c r="Q452" s="38" t="str">
        <f>INDEX(B$400:B$415, MATCH(13, F$400:F$415, 0))</f>
        <v>D8Y</v>
      </c>
      <c r="R452" s="14" t="str">
        <f>INDEX(C$400:C$415, MATCH(13, F$400:F$415, 0))</f>
        <v>U8Y</v>
      </c>
      <c r="T452" s="215"/>
      <c r="U452" s="172"/>
      <c r="V452" s="172"/>
      <c r="W452" s="172"/>
      <c r="X452" s="172"/>
      <c r="Y452" s="173"/>
    </row>
    <row r="453" spans="1:25" ht="16.95" customHeight="1" x14ac:dyDescent="0.3">
      <c r="T453" s="215"/>
      <c r="U453" s="172"/>
      <c r="V453" s="172"/>
      <c r="W453" s="172"/>
      <c r="X453" s="172"/>
      <c r="Y453" s="173"/>
    </row>
    <row r="454" spans="1:25" ht="16.95" customHeight="1" x14ac:dyDescent="0.3">
      <c r="C454" s="218" t="s">
        <v>263</v>
      </c>
      <c r="D454" s="172"/>
      <c r="E454" s="172"/>
      <c r="F454" s="172"/>
      <c r="G454" s="172"/>
      <c r="H454" s="172"/>
      <c r="I454" s="172"/>
      <c r="J454" s="172"/>
      <c r="K454" s="172"/>
      <c r="L454" s="172"/>
      <c r="M454" s="172"/>
      <c r="N454" s="172"/>
      <c r="O454" s="173"/>
      <c r="T454" s="215"/>
      <c r="U454" s="172"/>
      <c r="V454" s="172"/>
      <c r="W454" s="172"/>
      <c r="X454" s="172"/>
      <c r="Y454" s="173"/>
    </row>
    <row r="455" spans="1:25" ht="16.95" customHeight="1" x14ac:dyDescent="0.3">
      <c r="A455" s="99" t="s">
        <v>249</v>
      </c>
      <c r="C455" s="193" t="s">
        <v>264</v>
      </c>
      <c r="D455" s="175"/>
      <c r="E455" s="175"/>
      <c r="F455" s="175"/>
      <c r="G455" s="175"/>
      <c r="H455" s="175"/>
      <c r="I455" s="175"/>
      <c r="J455" s="175"/>
      <c r="K455" s="175"/>
      <c r="L455" s="175"/>
      <c r="M455" s="175"/>
      <c r="N455" s="175"/>
      <c r="O455" s="175"/>
      <c r="Q455" s="99" t="s">
        <v>247</v>
      </c>
      <c r="T455" s="215"/>
      <c r="U455" s="172"/>
      <c r="V455" s="172"/>
      <c r="W455" s="172"/>
      <c r="X455" s="172"/>
      <c r="Y455" s="173"/>
    </row>
    <row r="456" spans="1:25" ht="16.95" customHeight="1" x14ac:dyDescent="0.3">
      <c r="A456" s="12" t="str">
        <f t="shared" ref="A456:A468" si="68">Q440</f>
        <v>D2X</v>
      </c>
      <c r="C456" s="93">
        <f t="array" ref="C456:O468">MINVERSE(C440:O452)</f>
        <v>1.3888888888888884E-5</v>
      </c>
      <c r="D456" s="93">
        <v>-8.1018518518518503E-6</v>
      </c>
      <c r="E456" s="93">
        <v>1.3888888888888884E-5</v>
      </c>
      <c r="F456" s="93">
        <v>-5.4012345679012327E-6</v>
      </c>
      <c r="G456" s="93">
        <v>1.3888888888888884E-5</v>
      </c>
      <c r="H456" s="93">
        <v>-2.7006172839506163E-6</v>
      </c>
      <c r="I456" s="93">
        <v>1.3888888888888884E-5</v>
      </c>
      <c r="J456" s="93">
        <v>1.0416666666666663E-5</v>
      </c>
      <c r="K456" s="93">
        <v>-8.1018518518518503E-6</v>
      </c>
      <c r="L456" s="93">
        <v>1.0416666666666666E-5</v>
      </c>
      <c r="M456" s="93">
        <v>-5.4012345679012352E-6</v>
      </c>
      <c r="N456" s="93">
        <v>1.0416666666666663E-5</v>
      </c>
      <c r="O456" s="93">
        <v>-2.7006172839506163E-6</v>
      </c>
      <c r="Q456" s="17">
        <f t="shared" ref="Q456:Q468" si="69">A440</f>
        <v>0</v>
      </c>
      <c r="T456" s="215"/>
      <c r="U456" s="172"/>
      <c r="V456" s="172"/>
      <c r="W456" s="172"/>
      <c r="X456" s="172"/>
      <c r="Y456" s="173"/>
    </row>
    <row r="457" spans="1:25" ht="16.95" customHeight="1" x14ac:dyDescent="0.3">
      <c r="A457" s="12" t="str">
        <f t="shared" si="68"/>
        <v>D2Y</v>
      </c>
      <c r="C457" s="93">
        <v>-8.101851851851852E-6</v>
      </c>
      <c r="D457" s="93">
        <v>5.3094896126583871E-5</v>
      </c>
      <c r="E457" s="93">
        <v>-1.3503086419753087E-5</v>
      </c>
      <c r="F457" s="93">
        <v>3.9422007307330017E-5</v>
      </c>
      <c r="G457" s="93">
        <v>-1.6203703703703707E-5</v>
      </c>
      <c r="H457" s="93">
        <v>2.1811483763404378E-5</v>
      </c>
      <c r="I457" s="93">
        <v>-1.8904320987654324E-5</v>
      </c>
      <c r="J457" s="93">
        <v>-1.6034423028470651E-5</v>
      </c>
      <c r="K457" s="93">
        <v>3.9702038983726729E-5</v>
      </c>
      <c r="L457" s="93">
        <v>-7.9325711766188005E-6</v>
      </c>
      <c r="M457" s="93">
        <v>4.3886293021615726E-5</v>
      </c>
      <c r="N457" s="93">
        <v>-2.5313366087175598E-6</v>
      </c>
      <c r="O457" s="93">
        <v>2.1811483763404378E-5</v>
      </c>
      <c r="Q457" s="17">
        <f t="shared" si="69"/>
        <v>-4000</v>
      </c>
      <c r="T457" s="215"/>
      <c r="U457" s="172"/>
      <c r="V457" s="172"/>
      <c r="W457" s="172"/>
      <c r="X457" s="172"/>
      <c r="Y457" s="173"/>
    </row>
    <row r="458" spans="1:25" ht="16.95" customHeight="1" x14ac:dyDescent="0.3">
      <c r="A458" s="12" t="str">
        <f t="shared" si="68"/>
        <v>D3X</v>
      </c>
      <c r="C458" s="93">
        <v>1.3888888888888881E-5</v>
      </c>
      <c r="D458" s="93">
        <v>-1.3503086419753089E-5</v>
      </c>
      <c r="E458" s="93">
        <v>2.7777777777777772E-5</v>
      </c>
      <c r="F458" s="93">
        <v>-1.6203703703703711E-5</v>
      </c>
      <c r="G458" s="93">
        <v>2.7777777777777766E-5</v>
      </c>
      <c r="H458" s="93">
        <v>-8.1018518518518553E-6</v>
      </c>
      <c r="I458" s="93">
        <v>2.7777777777777772E-5</v>
      </c>
      <c r="J458" s="93">
        <v>1.7361111111111111E-5</v>
      </c>
      <c r="K458" s="93">
        <v>-1.3503086419753085E-5</v>
      </c>
      <c r="L458" s="93">
        <v>1.7361111111111108E-5</v>
      </c>
      <c r="M458" s="93">
        <v>-1.6203703703703711E-5</v>
      </c>
      <c r="N458" s="93">
        <v>1.7361111111111104E-5</v>
      </c>
      <c r="O458" s="93">
        <v>-8.1018518518518553E-6</v>
      </c>
      <c r="Q458" s="17">
        <f t="shared" si="69"/>
        <v>0</v>
      </c>
      <c r="T458" s="215"/>
      <c r="U458" s="172"/>
      <c r="V458" s="172"/>
      <c r="W458" s="172"/>
      <c r="X458" s="172"/>
      <c r="Y458" s="173"/>
    </row>
    <row r="459" spans="1:25" ht="16.95" customHeight="1" x14ac:dyDescent="0.3">
      <c r="A459" s="12" t="str">
        <f t="shared" si="68"/>
        <v>D3Y</v>
      </c>
      <c r="C459" s="93">
        <v>-5.4012345679012344E-6</v>
      </c>
      <c r="D459" s="93">
        <v>3.9422007307330017E-5</v>
      </c>
      <c r="E459" s="93">
        <v>-1.6203703703703707E-5</v>
      </c>
      <c r="F459" s="93">
        <v>7.044209417570257E-5</v>
      </c>
      <c r="G459" s="93">
        <v>-2.1604938271604944E-5</v>
      </c>
      <c r="H459" s="93">
        <v>3.9422007307330017E-5</v>
      </c>
      <c r="I459" s="93">
        <v>-2.7006172839506181E-5</v>
      </c>
      <c r="J459" s="93">
        <v>-1.5865142353237601E-5</v>
      </c>
      <c r="K459" s="93">
        <v>3.0493435878758584E-5</v>
      </c>
      <c r="L459" s="93">
        <v>-1.0463907785336362E-5</v>
      </c>
      <c r="M459" s="93">
        <v>6.1513522747131124E-5</v>
      </c>
      <c r="N459" s="93">
        <v>3.385613504661144E-7</v>
      </c>
      <c r="O459" s="93">
        <v>3.9422007307330017E-5</v>
      </c>
      <c r="Q459" s="17">
        <f t="shared" si="69"/>
        <v>-5000</v>
      </c>
      <c r="T459" s="215"/>
      <c r="U459" s="172"/>
      <c r="V459" s="172"/>
      <c r="W459" s="172"/>
      <c r="X459" s="172"/>
      <c r="Y459" s="173"/>
    </row>
    <row r="460" spans="1:25" ht="16.95" customHeight="1" x14ac:dyDescent="0.3">
      <c r="A460" s="12" t="str">
        <f t="shared" si="68"/>
        <v>D4X</v>
      </c>
      <c r="C460" s="93">
        <v>1.3888888888888883E-5</v>
      </c>
      <c r="D460" s="93">
        <v>-1.6203703703703711E-5</v>
      </c>
      <c r="E460" s="93">
        <v>2.7777777777777772E-5</v>
      </c>
      <c r="F460" s="93">
        <v>-2.1604938271604941E-5</v>
      </c>
      <c r="G460" s="93">
        <v>4.1666666666666658E-5</v>
      </c>
      <c r="H460" s="93">
        <v>-1.6203703703703711E-5</v>
      </c>
      <c r="I460" s="93">
        <v>4.1666666666666658E-5</v>
      </c>
      <c r="J460" s="93">
        <v>2.0833333333333339E-5</v>
      </c>
      <c r="K460" s="93">
        <v>-1.6203703703703707E-5</v>
      </c>
      <c r="L460" s="93">
        <v>2.0833333333333329E-5</v>
      </c>
      <c r="M460" s="93">
        <v>-2.1604938271604944E-5</v>
      </c>
      <c r="N460" s="93">
        <v>2.0833333333333326E-5</v>
      </c>
      <c r="O460" s="93">
        <v>-1.6203703703703711E-5</v>
      </c>
      <c r="Q460" s="17">
        <f t="shared" si="69"/>
        <v>0</v>
      </c>
      <c r="T460" s="215"/>
      <c r="U460" s="172"/>
      <c r="V460" s="172"/>
      <c r="W460" s="172"/>
      <c r="X460" s="172"/>
      <c r="Y460" s="173"/>
    </row>
    <row r="461" spans="1:25" ht="16.95" customHeight="1" x14ac:dyDescent="0.3">
      <c r="A461" s="12" t="str">
        <f t="shared" si="68"/>
        <v>D4Y</v>
      </c>
      <c r="C461" s="93">
        <v>-2.7006172839506155E-6</v>
      </c>
      <c r="D461" s="93">
        <v>2.1811483763404381E-5</v>
      </c>
      <c r="E461" s="93">
        <v>-8.1018518518518537E-6</v>
      </c>
      <c r="F461" s="93">
        <v>3.9422007307330024E-5</v>
      </c>
      <c r="G461" s="93">
        <v>-1.6203703703703707E-5</v>
      </c>
      <c r="H461" s="93">
        <v>6.2023467555155304E-5</v>
      </c>
      <c r="I461" s="93">
        <v>-2.4305555555555564E-5</v>
      </c>
      <c r="J461" s="93">
        <v>-1.0633188460569419E-5</v>
      </c>
      <c r="K461" s="93">
        <v>1.7347198049118661E-5</v>
      </c>
      <c r="L461" s="93">
        <v>-7.9325711766187988E-6</v>
      </c>
      <c r="M461" s="93">
        <v>3.4957721593044307E-5</v>
      </c>
      <c r="N461" s="93">
        <v>-2.5313366087175602E-6</v>
      </c>
      <c r="O461" s="93">
        <v>4.4166324698012452E-5</v>
      </c>
      <c r="Q461" s="17">
        <f t="shared" si="69"/>
        <v>-4000</v>
      </c>
      <c r="T461" s="215"/>
      <c r="U461" s="172"/>
      <c r="V461" s="172"/>
      <c r="W461" s="172"/>
      <c r="X461" s="172"/>
      <c r="Y461" s="173"/>
    </row>
    <row r="462" spans="1:25" ht="16.95" customHeight="1" x14ac:dyDescent="0.3">
      <c r="A462" s="12" t="str">
        <f t="shared" si="68"/>
        <v>D5X</v>
      </c>
      <c r="B462" s="13" t="s">
        <v>220</v>
      </c>
      <c r="C462" s="93">
        <v>1.3888888888888883E-5</v>
      </c>
      <c r="D462" s="93">
        <v>-1.8904320987654327E-5</v>
      </c>
      <c r="E462" s="93">
        <v>2.7777777777777772E-5</v>
      </c>
      <c r="F462" s="93">
        <v>-2.7006172839506184E-5</v>
      </c>
      <c r="G462" s="93">
        <v>4.1666666666666658E-5</v>
      </c>
      <c r="H462" s="93">
        <v>-2.4305555555555561E-5</v>
      </c>
      <c r="I462" s="93">
        <v>5.5555555555555545E-5</v>
      </c>
      <c r="J462" s="93">
        <v>2.4305555555555561E-5</v>
      </c>
      <c r="K462" s="93">
        <v>-1.8904320987654327E-5</v>
      </c>
      <c r="L462" s="93">
        <v>2.4305555555555554E-5</v>
      </c>
      <c r="M462" s="93">
        <v>-2.7006172839506184E-5</v>
      </c>
      <c r="N462" s="93">
        <v>2.4305555555555547E-5</v>
      </c>
      <c r="O462" s="93">
        <v>-2.4305555555555561E-5</v>
      </c>
      <c r="Q462" s="17">
        <f t="shared" si="69"/>
        <v>0</v>
      </c>
      <c r="T462" s="215"/>
      <c r="U462" s="172"/>
      <c r="V462" s="172"/>
      <c r="W462" s="172"/>
      <c r="X462" s="172"/>
      <c r="Y462" s="173"/>
    </row>
    <row r="463" spans="1:25" ht="16.95" customHeight="1" x14ac:dyDescent="0.3">
      <c r="A463" s="12" t="str">
        <f t="shared" si="68"/>
        <v>D6X</v>
      </c>
      <c r="C463" s="93">
        <v>1.0416666666666665E-5</v>
      </c>
      <c r="D463" s="93">
        <v>-1.6034423028470651E-5</v>
      </c>
      <c r="E463" s="93">
        <v>1.7361111111111111E-5</v>
      </c>
      <c r="F463" s="93">
        <v>-1.5865142353237601E-5</v>
      </c>
      <c r="G463" s="93">
        <v>2.0833333333333329E-5</v>
      </c>
      <c r="H463" s="93">
        <v>-1.0633188460569419E-5</v>
      </c>
      <c r="I463" s="93">
        <v>2.4305555555555554E-5</v>
      </c>
      <c r="J463" s="93">
        <v>4.3000162502316977E-5</v>
      </c>
      <c r="K463" s="93">
        <v>-2.1774218946838001E-5</v>
      </c>
      <c r="L463" s="93">
        <v>3.2583495835650305E-5</v>
      </c>
      <c r="M463" s="93">
        <v>-2.1604938271604951E-5</v>
      </c>
      <c r="N463" s="93">
        <v>2.5639051391205859E-5</v>
      </c>
      <c r="O463" s="93">
        <v>-1.0633188460569419E-5</v>
      </c>
      <c r="Q463" s="17">
        <f t="shared" si="69"/>
        <v>0</v>
      </c>
      <c r="T463" s="215"/>
      <c r="U463" s="172"/>
      <c r="V463" s="172"/>
      <c r="W463" s="172"/>
      <c r="X463" s="172"/>
      <c r="Y463" s="173"/>
    </row>
    <row r="464" spans="1:25" ht="16.95" customHeight="1" x14ac:dyDescent="0.3">
      <c r="A464" s="12" t="str">
        <f t="shared" si="68"/>
        <v>D6Y</v>
      </c>
      <c r="C464" s="93">
        <v>-8.101851851851852E-6</v>
      </c>
      <c r="D464" s="93">
        <v>3.9702038983726729E-5</v>
      </c>
      <c r="E464" s="93">
        <v>-1.3503086419753087E-5</v>
      </c>
      <c r="F464" s="93">
        <v>3.0493435878758584E-5</v>
      </c>
      <c r="G464" s="93">
        <v>-1.6203703703703704E-5</v>
      </c>
      <c r="H464" s="93">
        <v>1.7347198049118661E-5</v>
      </c>
      <c r="I464" s="93">
        <v>-1.8904320987654321E-5</v>
      </c>
      <c r="J464" s="93">
        <v>-2.1774218946837997E-5</v>
      </c>
      <c r="K464" s="93">
        <v>4.4166324698012438E-5</v>
      </c>
      <c r="L464" s="93">
        <v>-1.3672367094986147E-5</v>
      </c>
      <c r="M464" s="93">
        <v>3.4957721593044294E-5</v>
      </c>
      <c r="N464" s="93">
        <v>-8.2711325270849085E-6</v>
      </c>
      <c r="O464" s="93">
        <v>1.7347198049118661E-5</v>
      </c>
      <c r="Q464" s="17">
        <f t="shared" si="69"/>
        <v>0</v>
      </c>
      <c r="T464" s="215"/>
      <c r="U464" s="172"/>
      <c r="V464" s="172"/>
      <c r="W464" s="172"/>
      <c r="X464" s="172"/>
      <c r="Y464" s="173"/>
    </row>
    <row r="465" spans="1:25" ht="16.95" customHeight="1" x14ac:dyDescent="0.3">
      <c r="A465" s="12" t="str">
        <f t="shared" si="68"/>
        <v>D7X</v>
      </c>
      <c r="C465" s="93">
        <v>1.0416666666666665E-5</v>
      </c>
      <c r="D465" s="93">
        <v>-7.9325711766187971E-6</v>
      </c>
      <c r="E465" s="93">
        <v>1.7361111111111111E-5</v>
      </c>
      <c r="F465" s="93">
        <v>-1.0463907785336366E-5</v>
      </c>
      <c r="G465" s="93">
        <v>2.0833333333333329E-5</v>
      </c>
      <c r="H465" s="93">
        <v>-7.9325711766187988E-6</v>
      </c>
      <c r="I465" s="93">
        <v>2.4305555555555554E-5</v>
      </c>
      <c r="J465" s="93">
        <v>3.2583495835650305E-5</v>
      </c>
      <c r="K465" s="93">
        <v>-1.3672367094986147E-5</v>
      </c>
      <c r="L465" s="93">
        <v>3.6055718057872527E-5</v>
      </c>
      <c r="M465" s="93">
        <v>-1.6203703703703714E-5</v>
      </c>
      <c r="N465" s="93">
        <v>2.9111273613428084E-5</v>
      </c>
      <c r="O465" s="93">
        <v>-7.9325711766187988E-6</v>
      </c>
      <c r="Q465" s="17">
        <f t="shared" si="69"/>
        <v>0</v>
      </c>
      <c r="T465" s="215"/>
      <c r="U465" s="172"/>
      <c r="V465" s="172"/>
      <c r="W465" s="172"/>
      <c r="X465" s="172"/>
      <c r="Y465" s="173"/>
    </row>
    <row r="466" spans="1:25" ht="16.95" customHeight="1" x14ac:dyDescent="0.3">
      <c r="A466" s="12" t="str">
        <f t="shared" si="68"/>
        <v>D7Y</v>
      </c>
      <c r="C466" s="93">
        <v>-5.4012345679012344E-6</v>
      </c>
      <c r="D466" s="93">
        <v>4.388629302161574E-5</v>
      </c>
      <c r="E466" s="93">
        <v>-1.6203703703703707E-5</v>
      </c>
      <c r="F466" s="93">
        <v>6.1513522747131137E-5</v>
      </c>
      <c r="G466" s="93">
        <v>-2.1604938271604944E-5</v>
      </c>
      <c r="H466" s="93">
        <v>3.4957721593044307E-5</v>
      </c>
      <c r="I466" s="93">
        <v>-2.7006172839506188E-5</v>
      </c>
      <c r="J466" s="93">
        <v>-2.1604938271604951E-5</v>
      </c>
      <c r="K466" s="93">
        <v>3.49577215930443E-5</v>
      </c>
      <c r="L466" s="93">
        <v>-1.6203703703703714E-5</v>
      </c>
      <c r="M466" s="93">
        <v>7.0442094175702556E-5</v>
      </c>
      <c r="N466" s="93">
        <v>-5.4012345679012352E-6</v>
      </c>
      <c r="O466" s="93">
        <v>3.4957721593044307E-5</v>
      </c>
      <c r="Q466" s="17">
        <f t="shared" si="69"/>
        <v>0</v>
      </c>
      <c r="T466" s="215"/>
      <c r="U466" s="172"/>
      <c r="V466" s="172"/>
      <c r="W466" s="172"/>
      <c r="X466" s="172"/>
      <c r="Y466" s="173"/>
    </row>
    <row r="467" spans="1:25" ht="16.95" customHeight="1" x14ac:dyDescent="0.3">
      <c r="A467" s="12" t="str">
        <f t="shared" si="68"/>
        <v>D8X</v>
      </c>
      <c r="C467" s="93">
        <v>1.0416666666666665E-5</v>
      </c>
      <c r="D467" s="93">
        <v>-2.5313366087175585E-6</v>
      </c>
      <c r="E467" s="93">
        <v>1.7361111111111108E-5</v>
      </c>
      <c r="F467" s="93">
        <v>3.3856135046611356E-7</v>
      </c>
      <c r="G467" s="93">
        <v>2.0833333333333326E-5</v>
      </c>
      <c r="H467" s="93">
        <v>-2.5313366087175602E-6</v>
      </c>
      <c r="I467" s="93">
        <v>2.4305555555555551E-5</v>
      </c>
      <c r="J467" s="93">
        <v>2.5639051391205862E-5</v>
      </c>
      <c r="K467" s="93">
        <v>-8.2711325270849068E-6</v>
      </c>
      <c r="L467" s="93">
        <v>2.9111273613428084E-5</v>
      </c>
      <c r="M467" s="93">
        <v>-5.4012345679012361E-6</v>
      </c>
      <c r="N467" s="93">
        <v>3.6055718057872527E-5</v>
      </c>
      <c r="O467" s="93">
        <v>-2.5313366087175602E-6</v>
      </c>
      <c r="Q467" s="17">
        <f t="shared" si="69"/>
        <v>0</v>
      </c>
      <c r="T467" s="215"/>
      <c r="U467" s="172"/>
      <c r="V467" s="172"/>
      <c r="W467" s="172"/>
      <c r="X467" s="172"/>
      <c r="Y467" s="173"/>
    </row>
    <row r="468" spans="1:25" ht="16.95" customHeight="1" x14ac:dyDescent="0.3">
      <c r="A468" s="12" t="str">
        <f t="shared" si="68"/>
        <v>D8Y</v>
      </c>
      <c r="C468" s="93">
        <v>-2.7006172839506155E-6</v>
      </c>
      <c r="D468" s="93">
        <v>2.1811483763404381E-5</v>
      </c>
      <c r="E468" s="93">
        <v>-8.1018518518518537E-6</v>
      </c>
      <c r="F468" s="93">
        <v>3.9422007307330024E-5</v>
      </c>
      <c r="G468" s="93">
        <v>-1.6203703703703707E-5</v>
      </c>
      <c r="H468" s="93">
        <v>4.4166324698012452E-5</v>
      </c>
      <c r="I468" s="93">
        <v>-2.4305555555555564E-5</v>
      </c>
      <c r="J468" s="93">
        <v>-1.0633188460569419E-5</v>
      </c>
      <c r="K468" s="93">
        <v>1.7347198049118661E-5</v>
      </c>
      <c r="L468" s="93">
        <v>-7.9325711766187988E-6</v>
      </c>
      <c r="M468" s="93">
        <v>3.4957721593044307E-5</v>
      </c>
      <c r="N468" s="93">
        <v>-2.5313366087175602E-6</v>
      </c>
      <c r="O468" s="93">
        <v>4.4166324698012452E-5</v>
      </c>
      <c r="Q468" s="17">
        <f t="shared" si="69"/>
        <v>0</v>
      </c>
      <c r="T468" s="215"/>
      <c r="U468" s="172"/>
      <c r="V468" s="172"/>
      <c r="W468" s="172"/>
      <c r="X468" s="172"/>
      <c r="Y468" s="173"/>
    </row>
    <row r="469" spans="1:25" ht="16.95" customHeight="1" x14ac:dyDescent="0.3">
      <c r="T469" s="215"/>
      <c r="U469" s="172"/>
      <c r="V469" s="172"/>
      <c r="W469" s="172"/>
      <c r="X469" s="172"/>
      <c r="Y469" s="173"/>
    </row>
    <row r="470" spans="1:25" ht="16.95" customHeight="1" x14ac:dyDescent="0.3">
      <c r="C470" s="218" t="s">
        <v>265</v>
      </c>
      <c r="D470" s="173"/>
      <c r="T470" s="215"/>
      <c r="U470" s="172"/>
      <c r="V470" s="172"/>
      <c r="W470" s="172"/>
      <c r="X470" s="172"/>
      <c r="Y470" s="173"/>
    </row>
    <row r="471" spans="1:25" ht="16.95" customHeight="1" x14ac:dyDescent="0.3">
      <c r="A471" s="99" t="s">
        <v>249</v>
      </c>
      <c r="C471" s="99" t="s">
        <v>266</v>
      </c>
      <c r="T471" s="215"/>
      <c r="U471" s="172"/>
      <c r="V471" s="172"/>
      <c r="W471" s="172"/>
      <c r="X471" s="172"/>
      <c r="Y471" s="173"/>
    </row>
    <row r="472" spans="1:25" ht="16.95" customHeight="1" x14ac:dyDescent="0.3">
      <c r="A472" s="12" t="str">
        <f t="shared" ref="A472:A484" si="70">A456</f>
        <v>D2X</v>
      </c>
      <c r="C472" s="94">
        <f t="array" ref="C472:C484">MMULT(C456:O468, Q456:Q468)</f>
        <v>7.0216049382716028E-2</v>
      </c>
      <c r="D472" s="12" t="s">
        <v>267</v>
      </c>
      <c r="T472" s="215"/>
      <c r="U472" s="172"/>
      <c r="V472" s="172"/>
      <c r="W472" s="172"/>
      <c r="X472" s="172"/>
      <c r="Y472" s="173"/>
    </row>
    <row r="473" spans="1:25" ht="16.95" customHeight="1" x14ac:dyDescent="0.3">
      <c r="A473" s="12" t="str">
        <f t="shared" si="70"/>
        <v>D2Y</v>
      </c>
      <c r="C473" s="94">
        <v>-0.49673555609660308</v>
      </c>
      <c r="D473" s="12" t="s">
        <v>267</v>
      </c>
      <c r="T473" s="215"/>
      <c r="U473" s="172"/>
      <c r="V473" s="172"/>
      <c r="W473" s="172"/>
      <c r="X473" s="172"/>
      <c r="Y473" s="173"/>
    </row>
    <row r="474" spans="1:25" ht="16.95" customHeight="1" x14ac:dyDescent="0.3">
      <c r="A474" s="12" t="str">
        <f t="shared" si="70"/>
        <v>D3X</v>
      </c>
      <c r="C474" s="94">
        <v>0.16743827160493832</v>
      </c>
      <c r="D474" s="12" t="s">
        <v>267</v>
      </c>
      <c r="T474" s="215"/>
      <c r="U474" s="172"/>
      <c r="V474" s="172"/>
      <c r="W474" s="172"/>
      <c r="X474" s="172"/>
      <c r="Y474" s="173"/>
    </row>
    <row r="475" spans="1:25" ht="16.95" customHeight="1" x14ac:dyDescent="0.3">
      <c r="A475" s="12" t="str">
        <f t="shared" si="70"/>
        <v>D3Y</v>
      </c>
      <c r="C475" s="94">
        <v>-0.66758652933715301</v>
      </c>
      <c r="D475" s="12" t="s">
        <v>267</v>
      </c>
      <c r="T475" s="215"/>
      <c r="U475" s="172"/>
      <c r="V475" s="172"/>
      <c r="W475" s="172"/>
      <c r="X475" s="172"/>
      <c r="Y475" s="173"/>
    </row>
    <row r="476" spans="1:25" ht="16.95" customHeight="1" x14ac:dyDescent="0.3">
      <c r="A476" s="12" t="str">
        <f t="shared" si="70"/>
        <v>D4X</v>
      </c>
      <c r="C476" s="94">
        <v>0.23765432098765438</v>
      </c>
      <c r="D476" s="12" t="s">
        <v>267</v>
      </c>
      <c r="T476" s="215"/>
      <c r="U476" s="172"/>
      <c r="V476" s="172"/>
      <c r="W476" s="172"/>
      <c r="X476" s="172"/>
      <c r="Y476" s="173"/>
    </row>
    <row r="477" spans="1:25" ht="16.95" customHeight="1" x14ac:dyDescent="0.3">
      <c r="A477" s="12" t="str">
        <f t="shared" si="70"/>
        <v>D4Y</v>
      </c>
      <c r="C477" s="94">
        <v>-0.53244984181088884</v>
      </c>
      <c r="D477" s="12" t="s">
        <v>267</v>
      </c>
      <c r="T477" s="215"/>
      <c r="U477" s="172"/>
      <c r="V477" s="172"/>
      <c r="W477" s="172"/>
      <c r="X477" s="172"/>
      <c r="Y477" s="173"/>
    </row>
    <row r="478" spans="1:25" ht="16.95" customHeight="1" x14ac:dyDescent="0.3">
      <c r="A478" s="12" t="str">
        <f t="shared" si="70"/>
        <v>D5X</v>
      </c>
      <c r="B478" s="13" t="s">
        <v>220</v>
      </c>
      <c r="C478" s="94">
        <v>0.30787037037037046</v>
      </c>
      <c r="D478" s="12" t="s">
        <v>267</v>
      </c>
      <c r="T478" s="215"/>
      <c r="U478" s="172"/>
      <c r="V478" s="172"/>
      <c r="W478" s="172"/>
      <c r="X478" s="172"/>
      <c r="Y478" s="173"/>
    </row>
    <row r="479" spans="1:25" ht="16.95" customHeight="1" x14ac:dyDescent="0.3">
      <c r="A479" s="12" t="str">
        <f t="shared" si="70"/>
        <v>D6X</v>
      </c>
      <c r="C479" s="94">
        <v>0.18599615772234829</v>
      </c>
      <c r="D479" s="12" t="s">
        <v>267</v>
      </c>
      <c r="T479" s="215"/>
      <c r="U479" s="172"/>
      <c r="V479" s="172"/>
      <c r="W479" s="172"/>
      <c r="X479" s="172"/>
      <c r="Y479" s="173"/>
    </row>
    <row r="480" spans="1:25" ht="16.95" customHeight="1" x14ac:dyDescent="0.3">
      <c r="A480" s="12" t="str">
        <f t="shared" si="70"/>
        <v>D6Y</v>
      </c>
      <c r="C480" s="94">
        <v>-0.38066412752517448</v>
      </c>
      <c r="D480" s="12" t="s">
        <v>267</v>
      </c>
      <c r="T480" s="215"/>
      <c r="U480" s="172"/>
      <c r="V480" s="172"/>
      <c r="W480" s="172"/>
      <c r="X480" s="172"/>
      <c r="Y480" s="173"/>
    </row>
    <row r="481" spans="1:25" ht="16.95" customHeight="1" x14ac:dyDescent="0.3">
      <c r="A481" s="12" t="str">
        <f t="shared" si="70"/>
        <v>D7X</v>
      </c>
      <c r="C481" s="94">
        <v>0.11578010833963222</v>
      </c>
      <c r="D481" s="12" t="s">
        <v>267</v>
      </c>
      <c r="T481" s="215"/>
      <c r="U481" s="172"/>
      <c r="V481" s="172"/>
      <c r="W481" s="172"/>
      <c r="X481" s="172"/>
      <c r="Y481" s="173"/>
    </row>
    <row r="482" spans="1:25" ht="16.95" customHeight="1" x14ac:dyDescent="0.3">
      <c r="A482" s="12" t="str">
        <f t="shared" si="70"/>
        <v>D7Y</v>
      </c>
      <c r="C482" s="94">
        <v>-0.62294367219429581</v>
      </c>
      <c r="D482" s="12" t="s">
        <v>267</v>
      </c>
      <c r="T482" s="215"/>
      <c r="U482" s="172"/>
      <c r="V482" s="172"/>
      <c r="W482" s="172"/>
      <c r="X482" s="172"/>
      <c r="Y482" s="173"/>
    </row>
    <row r="483" spans="1:25" ht="16.95" customHeight="1" x14ac:dyDescent="0.3">
      <c r="A483" s="12" t="str">
        <f t="shared" si="70"/>
        <v>D8X</v>
      </c>
      <c r="C483" s="94">
        <v>1.8557886117409907E-2</v>
      </c>
      <c r="D483" s="12" t="s">
        <v>267</v>
      </c>
      <c r="T483" s="215"/>
      <c r="U483" s="172"/>
      <c r="V483" s="172"/>
      <c r="W483" s="172"/>
      <c r="X483" s="172"/>
      <c r="Y483" s="173"/>
    </row>
    <row r="484" spans="1:25" ht="16.95" customHeight="1" x14ac:dyDescent="0.3">
      <c r="A484" s="12" t="str">
        <f t="shared" si="70"/>
        <v>D8Y</v>
      </c>
      <c r="C484" s="94">
        <v>-0.46102127038231744</v>
      </c>
      <c r="D484" s="12" t="s">
        <v>267</v>
      </c>
      <c r="T484" s="215"/>
      <c r="U484" s="172"/>
      <c r="V484" s="172"/>
      <c r="W484" s="172"/>
      <c r="X484" s="172"/>
      <c r="Y484" s="173"/>
    </row>
    <row r="487" spans="1:25" ht="19.95" customHeight="1" x14ac:dyDescent="0.35">
      <c r="A487" s="11" t="s">
        <v>268</v>
      </c>
      <c r="T487" s="216" t="s">
        <v>269</v>
      </c>
      <c r="U487" s="172"/>
      <c r="V487" s="172"/>
      <c r="W487" s="172"/>
      <c r="X487" s="172"/>
      <c r="Y487" s="173"/>
    </row>
    <row r="488" spans="1:25" ht="16.95" customHeight="1" x14ac:dyDescent="0.3">
      <c r="A488" s="99" t="s">
        <v>247</v>
      </c>
      <c r="Q488" s="99" t="s">
        <v>249</v>
      </c>
      <c r="T488" s="215" t="s">
        <v>389</v>
      </c>
      <c r="U488" s="172"/>
      <c r="V488" s="172"/>
      <c r="W488" s="172"/>
      <c r="X488" s="172"/>
      <c r="Y488" s="173"/>
    </row>
    <row r="489" spans="1:25" ht="16.95" customHeight="1" x14ac:dyDescent="0.3">
      <c r="A489" s="18" t="str">
        <f>INDEX(B$382:B$397, MATCH(R489, C$382:C$397, 0))</f>
        <v>C1X</v>
      </c>
      <c r="C489" s="9">
        <f t="shared" ref="C489:O491" si="71">INDEX($B$363:$Q$378, MATCH($R489, $R$363:$R$378, 0), MATCH(C$439, $B$362:$Q$362, 0))</f>
        <v>-72000</v>
      </c>
      <c r="D489" s="9">
        <f t="shared" si="71"/>
        <v>0</v>
      </c>
      <c r="E489" s="9">
        <f t="shared" si="71"/>
        <v>0</v>
      </c>
      <c r="F489" s="9">
        <f t="shared" si="71"/>
        <v>0</v>
      </c>
      <c r="G489" s="9">
        <f t="shared" si="71"/>
        <v>0</v>
      </c>
      <c r="H489" s="9">
        <f t="shared" si="71"/>
        <v>0</v>
      </c>
      <c r="I489" s="9">
        <f t="shared" si="71"/>
        <v>0</v>
      </c>
      <c r="J489" s="9">
        <f t="shared" si="71"/>
        <v>-16661.403726774148</v>
      </c>
      <c r="K489" s="9">
        <f t="shared" si="71"/>
        <v>-21421.804791566763</v>
      </c>
      <c r="L489" s="9">
        <f t="shared" si="71"/>
        <v>0</v>
      </c>
      <c r="M489" s="9">
        <f t="shared" si="71"/>
        <v>0</v>
      </c>
      <c r="N489" s="9">
        <f t="shared" si="71"/>
        <v>0</v>
      </c>
      <c r="O489" s="9">
        <f t="shared" si="71"/>
        <v>0</v>
      </c>
      <c r="Q489" s="95">
        <f t="shared" ref="Q489:Q501" si="72">C472</f>
        <v>7.0216049382716028E-2</v>
      </c>
      <c r="R489" s="14" t="str">
        <f>INDEX(C$400:C$415, MATCH(1, G$400:G$415, 0))</f>
        <v>U1X</v>
      </c>
      <c r="T489" s="215" t="s">
        <v>390</v>
      </c>
      <c r="U489" s="172"/>
      <c r="V489" s="172"/>
      <c r="W489" s="172"/>
      <c r="X489" s="172"/>
      <c r="Y489" s="173"/>
    </row>
    <row r="490" spans="1:25" ht="16.95" customHeight="1" x14ac:dyDescent="0.3">
      <c r="A490" s="18" t="str">
        <f>INDEX(B$382:B$397, MATCH(R490, C$382:C$397, 0))</f>
        <v>C1Y</v>
      </c>
      <c r="B490" s="13" t="s">
        <v>220</v>
      </c>
      <c r="C490" s="9">
        <f t="shared" si="71"/>
        <v>0</v>
      </c>
      <c r="D490" s="9">
        <f t="shared" si="71"/>
        <v>0</v>
      </c>
      <c r="E490" s="9">
        <f t="shared" si="71"/>
        <v>0</v>
      </c>
      <c r="F490" s="9">
        <f t="shared" si="71"/>
        <v>0</v>
      </c>
      <c r="G490" s="9">
        <f t="shared" si="71"/>
        <v>0</v>
      </c>
      <c r="H490" s="9">
        <f t="shared" si="71"/>
        <v>0</v>
      </c>
      <c r="I490" s="9">
        <f t="shared" si="71"/>
        <v>0</v>
      </c>
      <c r="J490" s="9">
        <f t="shared" si="71"/>
        <v>-21421.804791566763</v>
      </c>
      <c r="K490" s="9">
        <f t="shared" si="71"/>
        <v>-27542.32044630012</v>
      </c>
      <c r="L490" s="9">
        <f t="shared" si="71"/>
        <v>0</v>
      </c>
      <c r="M490" s="9">
        <f t="shared" si="71"/>
        <v>0</v>
      </c>
      <c r="N490" s="9">
        <f t="shared" si="71"/>
        <v>0</v>
      </c>
      <c r="O490" s="9">
        <f t="shared" si="71"/>
        <v>0</v>
      </c>
      <c r="Q490" s="95">
        <f t="shared" si="72"/>
        <v>-0.49673555609660308</v>
      </c>
      <c r="R490" s="14" t="str">
        <f>INDEX(C$400:C$415, MATCH(2, G$400:G$415, 0))</f>
        <v>U1Y</v>
      </c>
      <c r="T490" s="215" t="s">
        <v>391</v>
      </c>
      <c r="U490" s="172"/>
      <c r="V490" s="172"/>
      <c r="W490" s="172"/>
      <c r="X490" s="172"/>
      <c r="Y490" s="173"/>
    </row>
    <row r="491" spans="1:25" ht="16.95" customHeight="1" x14ac:dyDescent="0.3">
      <c r="A491" s="18" t="str">
        <f>INDEX(B$382:B$397, MATCH(R491, C$382:C$397, 0))</f>
        <v>C5Y</v>
      </c>
      <c r="C491" s="9">
        <f t="shared" si="71"/>
        <v>0</v>
      </c>
      <c r="D491" s="9">
        <f t="shared" si="71"/>
        <v>0</v>
      </c>
      <c r="E491" s="9">
        <f t="shared" si="71"/>
        <v>0</v>
      </c>
      <c r="F491" s="9">
        <f t="shared" si="71"/>
        <v>0</v>
      </c>
      <c r="G491" s="9">
        <f t="shared" si="71"/>
        <v>0</v>
      </c>
      <c r="H491" s="9">
        <f t="shared" si="71"/>
        <v>0</v>
      </c>
      <c r="I491" s="9">
        <f t="shared" si="71"/>
        <v>-21421.804791566763</v>
      </c>
      <c r="J491" s="9">
        <f t="shared" si="71"/>
        <v>0</v>
      </c>
      <c r="K491" s="9">
        <f t="shared" si="71"/>
        <v>0</v>
      </c>
      <c r="L491" s="9">
        <f t="shared" si="71"/>
        <v>0</v>
      </c>
      <c r="M491" s="9">
        <f t="shared" si="71"/>
        <v>0</v>
      </c>
      <c r="N491" s="9">
        <f t="shared" si="71"/>
        <v>21421.804791566763</v>
      </c>
      <c r="O491" s="9">
        <f t="shared" si="71"/>
        <v>-27542.32044630012</v>
      </c>
      <c r="Q491" s="95">
        <f t="shared" si="72"/>
        <v>0.16743827160493832</v>
      </c>
      <c r="R491" s="14" t="str">
        <f>INDEX(C$400:C$415, MATCH(3, G$400:G$415, 0))</f>
        <v>U5Y</v>
      </c>
      <c r="T491" s="215" t="s">
        <v>392</v>
      </c>
      <c r="U491" s="172"/>
      <c r="V491" s="172"/>
      <c r="W491" s="172"/>
      <c r="X491" s="172"/>
      <c r="Y491" s="173"/>
    </row>
    <row r="492" spans="1:25" ht="16.95" customHeight="1" x14ac:dyDescent="0.3">
      <c r="Q492" s="95">
        <f t="shared" si="72"/>
        <v>-0.66758652933715301</v>
      </c>
      <c r="T492" s="215" t="s">
        <v>393</v>
      </c>
      <c r="U492" s="172"/>
      <c r="V492" s="172"/>
      <c r="W492" s="172"/>
      <c r="X492" s="172"/>
      <c r="Y492" s="173"/>
    </row>
    <row r="493" spans="1:25" ht="16.95" customHeight="1" x14ac:dyDescent="0.3">
      <c r="Q493" s="95">
        <f t="shared" si="72"/>
        <v>0.23765432098765438</v>
      </c>
      <c r="T493" s="215" t="s">
        <v>394</v>
      </c>
      <c r="U493" s="172"/>
      <c r="V493" s="172"/>
      <c r="W493" s="172"/>
      <c r="X493" s="172"/>
      <c r="Y493" s="173"/>
    </row>
    <row r="494" spans="1:25" ht="16.95" customHeight="1" x14ac:dyDescent="0.3">
      <c r="Q494" s="95">
        <f t="shared" si="72"/>
        <v>-0.53244984181088884</v>
      </c>
      <c r="T494" s="215"/>
      <c r="U494" s="172"/>
      <c r="V494" s="172"/>
      <c r="W494" s="172"/>
      <c r="X494" s="172"/>
      <c r="Y494" s="173"/>
    </row>
    <row r="495" spans="1:25" ht="16.95" customHeight="1" x14ac:dyDescent="0.3">
      <c r="Q495" s="95">
        <f t="shared" si="72"/>
        <v>0.30787037037037046</v>
      </c>
      <c r="T495" s="215"/>
      <c r="U495" s="172"/>
      <c r="V495" s="172"/>
      <c r="W495" s="172"/>
      <c r="X495" s="172"/>
      <c r="Y495" s="173"/>
    </row>
    <row r="496" spans="1:25" ht="16.95" customHeight="1" x14ac:dyDescent="0.3">
      <c r="Q496" s="95">
        <f t="shared" si="72"/>
        <v>0.18599615772234829</v>
      </c>
      <c r="T496" s="215"/>
      <c r="U496" s="172"/>
      <c r="V496" s="172"/>
      <c r="W496" s="172"/>
      <c r="X496" s="172"/>
      <c r="Y496" s="173"/>
    </row>
    <row r="497" spans="1:25" ht="16.95" customHeight="1" x14ac:dyDescent="0.3">
      <c r="Q497" s="95">
        <f t="shared" si="72"/>
        <v>-0.38066412752517448</v>
      </c>
      <c r="T497" s="215"/>
      <c r="U497" s="172"/>
      <c r="V497" s="172"/>
      <c r="W497" s="172"/>
      <c r="X497" s="172"/>
      <c r="Y497" s="173"/>
    </row>
    <row r="498" spans="1:25" ht="16.95" customHeight="1" x14ac:dyDescent="0.3">
      <c r="Q498" s="95">
        <f t="shared" si="72"/>
        <v>0.11578010833963222</v>
      </c>
      <c r="T498" s="215"/>
      <c r="U498" s="172"/>
      <c r="V498" s="172"/>
      <c r="W498" s="172"/>
      <c r="X498" s="172"/>
      <c r="Y498" s="173"/>
    </row>
    <row r="499" spans="1:25" ht="16.95" customHeight="1" x14ac:dyDescent="0.3">
      <c r="Q499" s="95">
        <f t="shared" si="72"/>
        <v>-0.62294367219429581</v>
      </c>
      <c r="T499" s="215"/>
      <c r="U499" s="172"/>
      <c r="V499" s="172"/>
      <c r="W499" s="172"/>
      <c r="X499" s="172"/>
      <c r="Y499" s="173"/>
    </row>
    <row r="500" spans="1:25" ht="16.95" customHeight="1" x14ac:dyDescent="0.3">
      <c r="Q500" s="95">
        <f t="shared" si="72"/>
        <v>1.8557886117409907E-2</v>
      </c>
      <c r="T500" s="215"/>
      <c r="U500" s="172"/>
      <c r="V500" s="172"/>
      <c r="W500" s="172"/>
      <c r="X500" s="172"/>
      <c r="Y500" s="173"/>
    </row>
    <row r="501" spans="1:25" ht="16.95" customHeight="1" x14ac:dyDescent="0.3">
      <c r="Q501" s="95">
        <f t="shared" si="72"/>
        <v>-0.46102127038231744</v>
      </c>
      <c r="T501" s="215"/>
      <c r="U501" s="172"/>
      <c r="V501" s="172"/>
      <c r="W501" s="172"/>
      <c r="X501" s="172"/>
      <c r="Y501" s="173"/>
    </row>
    <row r="502" spans="1:25" ht="16.95" customHeight="1" x14ac:dyDescent="0.3">
      <c r="T502" s="215"/>
      <c r="U502" s="172"/>
      <c r="V502" s="172"/>
      <c r="W502" s="172"/>
      <c r="X502" s="172"/>
      <c r="Y502" s="173"/>
    </row>
    <row r="503" spans="1:25" ht="16.95" customHeight="1" x14ac:dyDescent="0.3">
      <c r="A503" s="12" t="str">
        <f>A489</f>
        <v>C1X</v>
      </c>
      <c r="C503" s="17">
        <f t="array" ref="C503:C505">MMULT(C489:O491, Q489:Q501)</f>
        <v>4.5474735088646412E-12</v>
      </c>
      <c r="D503" s="12" t="s">
        <v>273</v>
      </c>
      <c r="T503" s="215"/>
      <c r="U503" s="172"/>
      <c r="V503" s="172"/>
      <c r="W503" s="172"/>
      <c r="X503" s="172"/>
      <c r="Y503" s="173"/>
    </row>
    <row r="504" spans="1:25" ht="16.95" customHeight="1" x14ac:dyDescent="0.3">
      <c r="A504" s="12" t="str">
        <f>A490</f>
        <v>C1Y</v>
      </c>
      <c r="B504" s="13" t="s">
        <v>220</v>
      </c>
      <c r="C504" s="17">
        <v>6500.0000000000018</v>
      </c>
      <c r="D504" s="12" t="s">
        <v>273</v>
      </c>
      <c r="T504" s="215"/>
      <c r="U504" s="172"/>
      <c r="V504" s="172"/>
      <c r="W504" s="172"/>
      <c r="X504" s="172"/>
      <c r="Y504" s="173"/>
    </row>
    <row r="505" spans="1:25" ht="16.95" customHeight="1" x14ac:dyDescent="0.3">
      <c r="A505" s="12" t="str">
        <f>A491</f>
        <v>C5Y</v>
      </c>
      <c r="C505" s="17">
        <v>6500.0000000000045</v>
      </c>
      <c r="D505" s="12" t="s">
        <v>273</v>
      </c>
      <c r="T505" s="215"/>
      <c r="U505" s="172"/>
      <c r="V505" s="172"/>
      <c r="W505" s="172"/>
      <c r="X505" s="172"/>
      <c r="Y505" s="173"/>
    </row>
    <row r="508" spans="1:25" ht="19.95" customHeight="1" x14ac:dyDescent="0.35">
      <c r="A508" s="11" t="s">
        <v>274</v>
      </c>
    </row>
    <row r="510" spans="1:25" ht="19.05" customHeight="1" x14ac:dyDescent="0.3">
      <c r="A510" s="12" t="s">
        <v>228</v>
      </c>
      <c r="B510" s="12" t="s">
        <v>178</v>
      </c>
      <c r="D510" s="94">
        <f t="shared" ref="D510:D525" si="73">IFERROR(INDEX(C$472:C$484, MATCH(A510, A$472:A$484, 0)), 0)</f>
        <v>0</v>
      </c>
    </row>
    <row r="511" spans="1:25" ht="19.05" customHeight="1" x14ac:dyDescent="0.3">
      <c r="A511" s="12" t="s">
        <v>229</v>
      </c>
      <c r="B511" s="12" t="s">
        <v>179</v>
      </c>
      <c r="D511" s="94">
        <f t="shared" si="73"/>
        <v>0</v>
      </c>
    </row>
    <row r="512" spans="1:25" ht="19.05" customHeight="1" x14ac:dyDescent="0.3">
      <c r="A512" s="12" t="s">
        <v>230</v>
      </c>
      <c r="B512" s="12" t="s">
        <v>180</v>
      </c>
      <c r="D512" s="94">
        <f t="shared" si="73"/>
        <v>7.0216049382716028E-2</v>
      </c>
    </row>
    <row r="513" spans="1:25" ht="19.05" customHeight="1" x14ac:dyDescent="0.3">
      <c r="A513" s="12" t="s">
        <v>231</v>
      </c>
      <c r="B513" s="12" t="s">
        <v>181</v>
      </c>
      <c r="D513" s="94">
        <f t="shared" si="73"/>
        <v>-0.49673555609660308</v>
      </c>
    </row>
    <row r="514" spans="1:25" ht="19.05" customHeight="1" x14ac:dyDescent="0.3">
      <c r="A514" s="12" t="s">
        <v>232</v>
      </c>
      <c r="B514" s="12" t="s">
        <v>182</v>
      </c>
      <c r="D514" s="94">
        <f t="shared" si="73"/>
        <v>0.16743827160493832</v>
      </c>
    </row>
    <row r="515" spans="1:25" ht="19.05" customHeight="1" x14ac:dyDescent="0.3">
      <c r="A515" s="12" t="s">
        <v>234</v>
      </c>
      <c r="B515" s="12" t="s">
        <v>183</v>
      </c>
      <c r="D515" s="94">
        <f t="shared" si="73"/>
        <v>-0.66758652933715301</v>
      </c>
    </row>
    <row r="516" spans="1:25" ht="19.05" customHeight="1" x14ac:dyDescent="0.3">
      <c r="A516" s="12" t="s">
        <v>235</v>
      </c>
      <c r="B516" s="12" t="s">
        <v>184</v>
      </c>
      <c r="D516" s="94">
        <f t="shared" si="73"/>
        <v>0.23765432098765438</v>
      </c>
    </row>
    <row r="517" spans="1:25" ht="19.05" customHeight="1" x14ac:dyDescent="0.3">
      <c r="A517" s="12" t="s">
        <v>236</v>
      </c>
      <c r="B517" s="12" t="s">
        <v>185</v>
      </c>
      <c r="D517" s="94">
        <f t="shared" si="73"/>
        <v>-0.53244984181088884</v>
      </c>
    </row>
    <row r="518" spans="1:25" ht="19.05" customHeight="1" x14ac:dyDescent="0.3">
      <c r="A518" s="12" t="s">
        <v>237</v>
      </c>
      <c r="B518" s="12" t="s">
        <v>186</v>
      </c>
      <c r="D518" s="94">
        <f t="shared" si="73"/>
        <v>0.30787037037037046</v>
      </c>
    </row>
    <row r="519" spans="1:25" ht="19.05" customHeight="1" x14ac:dyDescent="0.3">
      <c r="A519" s="12" t="s">
        <v>238</v>
      </c>
      <c r="B519" s="12" t="s">
        <v>187</v>
      </c>
      <c r="D519" s="94">
        <f t="shared" si="73"/>
        <v>0</v>
      </c>
    </row>
    <row r="520" spans="1:25" ht="19.05" customHeight="1" x14ac:dyDescent="0.3">
      <c r="A520" s="12" t="s">
        <v>239</v>
      </c>
      <c r="B520" s="12" t="s">
        <v>188</v>
      </c>
      <c r="D520" s="94">
        <f t="shared" si="73"/>
        <v>0.18599615772234829</v>
      </c>
    </row>
    <row r="521" spans="1:25" ht="19.05" customHeight="1" x14ac:dyDescent="0.3">
      <c r="A521" s="12" t="s">
        <v>240</v>
      </c>
      <c r="B521" s="12" t="s">
        <v>189</v>
      </c>
      <c r="D521" s="94">
        <f t="shared" si="73"/>
        <v>-0.38066412752517448</v>
      </c>
    </row>
    <row r="522" spans="1:25" ht="19.05" customHeight="1" x14ac:dyDescent="0.3">
      <c r="A522" s="12" t="s">
        <v>587</v>
      </c>
      <c r="B522" s="12" t="s">
        <v>579</v>
      </c>
      <c r="D522" s="94">
        <f t="shared" si="73"/>
        <v>0.11578010833963222</v>
      </c>
    </row>
    <row r="523" spans="1:25" ht="19.05" customHeight="1" x14ac:dyDescent="0.3">
      <c r="A523" s="12" t="s">
        <v>588</v>
      </c>
      <c r="B523" s="12" t="s">
        <v>580</v>
      </c>
      <c r="D523" s="94">
        <f t="shared" si="73"/>
        <v>-0.62294367219429581</v>
      </c>
    </row>
    <row r="524" spans="1:25" ht="19.05" customHeight="1" x14ac:dyDescent="0.3">
      <c r="A524" s="12" t="s">
        <v>609</v>
      </c>
      <c r="B524" s="12" t="s">
        <v>601</v>
      </c>
      <c r="D524" s="94">
        <f t="shared" si="73"/>
        <v>1.8557886117409907E-2</v>
      </c>
    </row>
    <row r="525" spans="1:25" ht="19.05" customHeight="1" x14ac:dyDescent="0.3">
      <c r="A525" s="12" t="s">
        <v>610</v>
      </c>
      <c r="B525" s="12" t="s">
        <v>602</v>
      </c>
      <c r="D525" s="94">
        <f t="shared" si="73"/>
        <v>-0.46102127038231744</v>
      </c>
    </row>
    <row r="528" spans="1:25" ht="19.95" customHeight="1" x14ac:dyDescent="0.35">
      <c r="A528" s="11" t="s">
        <v>275</v>
      </c>
      <c r="T528" s="216" t="s">
        <v>276</v>
      </c>
      <c r="U528" s="172"/>
      <c r="V528" s="172"/>
      <c r="W528" s="172"/>
      <c r="X528" s="172"/>
      <c r="Y528" s="173"/>
    </row>
    <row r="529" spans="1:25" ht="16.95" customHeight="1" x14ac:dyDescent="0.3">
      <c r="T529" s="215" t="s">
        <v>395</v>
      </c>
      <c r="U529" s="172"/>
      <c r="V529" s="172"/>
      <c r="W529" s="172"/>
      <c r="X529" s="172"/>
      <c r="Y529" s="173"/>
    </row>
    <row r="530" spans="1:25" ht="16.95" customHeight="1" x14ac:dyDescent="0.3">
      <c r="A530" s="19" t="s">
        <v>278</v>
      </c>
      <c r="C530" s="19" t="s">
        <v>279</v>
      </c>
      <c r="D530" s="19" t="s">
        <v>280</v>
      </c>
      <c r="E530" s="19" t="s">
        <v>279</v>
      </c>
      <c r="F530" s="19" t="s">
        <v>280</v>
      </c>
      <c r="G530" s="19" t="s">
        <v>249</v>
      </c>
      <c r="T530" s="215" t="s">
        <v>396</v>
      </c>
      <c r="U530" s="172"/>
      <c r="V530" s="172"/>
      <c r="W530" s="172"/>
      <c r="X530" s="172"/>
      <c r="Y530" s="173"/>
    </row>
    <row r="531" spans="1:25" ht="16.95" customHeight="1" x14ac:dyDescent="0.3">
      <c r="C531" s="19" t="s">
        <v>282</v>
      </c>
      <c r="D531" s="19" t="s">
        <v>282</v>
      </c>
      <c r="E531" s="19" t="s">
        <v>283</v>
      </c>
      <c r="F531" s="19" t="s">
        <v>283</v>
      </c>
      <c r="T531" s="215" t="s">
        <v>397</v>
      </c>
      <c r="U531" s="172"/>
      <c r="V531" s="172"/>
      <c r="W531" s="172"/>
      <c r="X531" s="172"/>
      <c r="Y531" s="173"/>
    </row>
    <row r="532" spans="1:25" ht="16.95" customHeight="1" x14ac:dyDescent="0.3">
      <c r="A532" s="17">
        <f>N6</f>
        <v>72000</v>
      </c>
      <c r="C532" s="92">
        <f>-J6</f>
        <v>-1</v>
      </c>
      <c r="D532" s="92">
        <f>-K6</f>
        <v>0</v>
      </c>
      <c r="E532" s="92">
        <f>J6</f>
        <v>1</v>
      </c>
      <c r="F532" s="92">
        <f>K6</f>
        <v>0</v>
      </c>
      <c r="G532" s="96">
        <f>IFERROR(VLOOKUP(H532, A$510:D$525, 4, FALSE), 0)</f>
        <v>0</v>
      </c>
      <c r="H532" s="12" t="str">
        <f>"D" &amp; C22 &amp; "X"</f>
        <v>D1X</v>
      </c>
      <c r="T532" s="215" t="s">
        <v>398</v>
      </c>
      <c r="U532" s="172"/>
      <c r="V532" s="172"/>
      <c r="W532" s="172"/>
      <c r="X532" s="172"/>
      <c r="Y532" s="173"/>
    </row>
    <row r="533" spans="1:25" ht="16.95" customHeight="1" x14ac:dyDescent="0.3">
      <c r="A533" s="99" t="s">
        <v>285</v>
      </c>
      <c r="B533" s="97">
        <f>(MMULT(C532:F532, G532:G535)*A532)</f>
        <v>5055.5555555555538</v>
      </c>
      <c r="G533" s="96">
        <f>IFERROR(VLOOKUP(H533, A$510:D$525, 4, FALSE), 0)</f>
        <v>0</v>
      </c>
      <c r="H533" s="12" t="str">
        <f>"D" &amp; D22 &amp; "Y"</f>
        <v>D1Y</v>
      </c>
      <c r="T533" s="215" t="s">
        <v>399</v>
      </c>
      <c r="U533" s="172"/>
      <c r="V533" s="172"/>
      <c r="W533" s="172"/>
      <c r="X533" s="172"/>
      <c r="Y533" s="173"/>
    </row>
    <row r="534" spans="1:25" ht="16.95" customHeight="1" x14ac:dyDescent="0.3">
      <c r="G534" s="96">
        <f>IFERROR(VLOOKUP(H534, A$510:D$525, 4, FALSE), 0)</f>
        <v>7.0216049382716028E-2</v>
      </c>
      <c r="H534" s="12" t="str">
        <f>"D" &amp; E22 &amp; "X"</f>
        <v>D2X</v>
      </c>
      <c r="T534" s="215" t="s">
        <v>400</v>
      </c>
      <c r="U534" s="172"/>
      <c r="V534" s="172"/>
      <c r="W534" s="172"/>
      <c r="X534" s="172"/>
      <c r="Y534" s="173"/>
    </row>
    <row r="535" spans="1:25" ht="16.95" customHeight="1" x14ac:dyDescent="0.3">
      <c r="G535" s="96">
        <f>IFERROR(VLOOKUP(H535, A$510:D$525, 4, FALSE), 0)</f>
        <v>-0.49673555609660308</v>
      </c>
      <c r="H535" s="12" t="str">
        <f>"D" &amp; F22 &amp; "Y"</f>
        <v>D2Y</v>
      </c>
      <c r="T535" s="215" t="s">
        <v>401</v>
      </c>
      <c r="U535" s="172"/>
      <c r="V535" s="172"/>
      <c r="W535" s="172"/>
      <c r="X535" s="172"/>
      <c r="Y535" s="173"/>
    </row>
    <row r="536" spans="1:25" ht="16.95" customHeight="1" x14ac:dyDescent="0.3">
      <c r="B536" s="99" t="s">
        <v>273</v>
      </c>
      <c r="C536" s="178" t="str">
        <f>IF(B533&gt;0.001,"BARRA A TRACCIÓN (+)",IF(B533&lt;-0.001,"BARRA A COMPRESIÓN (-)","BARRA DE FUERZA NULA"))</f>
        <v>BARRA A TRACCIÓN (+)</v>
      </c>
      <c r="D536" s="172"/>
      <c r="E536" s="172"/>
      <c r="F536" s="173"/>
      <c r="T536" s="215" t="s">
        <v>402</v>
      </c>
      <c r="U536" s="172"/>
      <c r="V536" s="172"/>
      <c r="W536" s="172"/>
      <c r="X536" s="172"/>
      <c r="Y536" s="173"/>
    </row>
    <row r="537" spans="1:25" ht="16.95" customHeight="1" x14ac:dyDescent="0.3">
      <c r="T537" s="215" t="s">
        <v>403</v>
      </c>
      <c r="U537" s="172"/>
      <c r="V537" s="172"/>
      <c r="W537" s="172"/>
      <c r="X537" s="172"/>
      <c r="Y537" s="173"/>
    </row>
    <row r="538" spans="1:25" ht="16.95" customHeight="1" x14ac:dyDescent="0.3">
      <c r="A538" s="19" t="s">
        <v>278</v>
      </c>
      <c r="C538" s="19" t="s">
        <v>279</v>
      </c>
      <c r="D538" s="19" t="s">
        <v>280</v>
      </c>
      <c r="E538" s="19" t="s">
        <v>279</v>
      </c>
      <c r="F538" s="19" t="s">
        <v>280</v>
      </c>
      <c r="G538" s="19" t="s">
        <v>249</v>
      </c>
      <c r="T538" s="215"/>
      <c r="U538" s="172"/>
      <c r="V538" s="172"/>
      <c r="W538" s="172"/>
      <c r="X538" s="172"/>
      <c r="Y538" s="173"/>
    </row>
    <row r="539" spans="1:25" ht="16.95" customHeight="1" x14ac:dyDescent="0.3">
      <c r="C539" s="19" t="s">
        <v>282</v>
      </c>
      <c r="D539" s="19" t="s">
        <v>282</v>
      </c>
      <c r="E539" s="19" t="s">
        <v>283</v>
      </c>
      <c r="F539" s="19" t="s">
        <v>283</v>
      </c>
      <c r="T539" s="215"/>
      <c r="U539" s="172"/>
      <c r="V539" s="172"/>
      <c r="W539" s="172"/>
      <c r="X539" s="172"/>
      <c r="Y539" s="173"/>
    </row>
    <row r="540" spans="1:25" ht="16.95" customHeight="1" x14ac:dyDescent="0.3">
      <c r="A540" s="17">
        <f>N7</f>
        <v>72000</v>
      </c>
      <c r="C540" s="92">
        <f>-J7</f>
        <v>-1</v>
      </c>
      <c r="D540" s="92">
        <f>-K7</f>
        <v>0</v>
      </c>
      <c r="E540" s="92">
        <f>J7</f>
        <v>1</v>
      </c>
      <c r="F540" s="92">
        <f>K7</f>
        <v>0</v>
      </c>
      <c r="G540" s="96">
        <f>IFERROR(VLOOKUP(H540, A$510:D$525, 4, FALSE), 0)</f>
        <v>7.0216049382716028E-2</v>
      </c>
      <c r="H540" s="12" t="str">
        <f>"D" &amp; C23 &amp; "X"</f>
        <v>D2X</v>
      </c>
      <c r="T540" s="215"/>
      <c r="U540" s="172"/>
      <c r="V540" s="172"/>
      <c r="W540" s="172"/>
      <c r="X540" s="172"/>
      <c r="Y540" s="173"/>
    </row>
    <row r="541" spans="1:25" ht="16.95" customHeight="1" x14ac:dyDescent="0.3">
      <c r="A541" s="99" t="s">
        <v>286</v>
      </c>
      <c r="B541" s="97">
        <f>(MMULT(C540:F540, G540:G543)*A540)</f>
        <v>7000.0000000000055</v>
      </c>
      <c r="G541" s="96">
        <f>IFERROR(VLOOKUP(H541, A$510:D$525, 4, FALSE), 0)</f>
        <v>-0.49673555609660308</v>
      </c>
      <c r="H541" s="12" t="str">
        <f>"D" &amp; D23 &amp; "Y"</f>
        <v>D2Y</v>
      </c>
      <c r="T541" s="215"/>
      <c r="U541" s="172"/>
      <c r="V541" s="172"/>
      <c r="W541" s="172"/>
      <c r="X541" s="172"/>
      <c r="Y541" s="173"/>
    </row>
    <row r="542" spans="1:25" ht="16.95" customHeight="1" x14ac:dyDescent="0.3">
      <c r="G542" s="96">
        <f>IFERROR(VLOOKUP(H542, A$510:D$525, 4, FALSE), 0)</f>
        <v>0.16743827160493832</v>
      </c>
      <c r="H542" s="12" t="str">
        <f>"D" &amp; E23 &amp; "X"</f>
        <v>D3X</v>
      </c>
      <c r="T542" s="215"/>
      <c r="U542" s="172"/>
      <c r="V542" s="172"/>
      <c r="W542" s="172"/>
      <c r="X542" s="172"/>
      <c r="Y542" s="173"/>
    </row>
    <row r="543" spans="1:25" ht="16.95" customHeight="1" x14ac:dyDescent="0.3">
      <c r="G543" s="96">
        <f>IFERROR(VLOOKUP(H543, A$510:D$525, 4, FALSE), 0)</f>
        <v>-0.66758652933715301</v>
      </c>
      <c r="H543" s="12" t="str">
        <f>"D" &amp; F23 &amp; "Y"</f>
        <v>D3Y</v>
      </c>
      <c r="T543" s="215"/>
      <c r="U543" s="172"/>
      <c r="V543" s="172"/>
      <c r="W543" s="172"/>
      <c r="X543" s="172"/>
      <c r="Y543" s="173"/>
    </row>
    <row r="544" spans="1:25" ht="16.95" customHeight="1" x14ac:dyDescent="0.3">
      <c r="B544" s="99" t="s">
        <v>273</v>
      </c>
      <c r="C544" s="178" t="str">
        <f>IF(B541&gt;0.001,"BARRA A TRACCIÓN (+)",IF(B541&lt;-0.001,"BARRA A COMPRESIÓN (-)","BARRA DE FUERZA NULA"))</f>
        <v>BARRA A TRACCIÓN (+)</v>
      </c>
      <c r="D544" s="172"/>
      <c r="E544" s="172"/>
      <c r="F544" s="173"/>
      <c r="T544" s="215"/>
      <c r="U544" s="172"/>
      <c r="V544" s="172"/>
      <c r="W544" s="172"/>
      <c r="X544" s="172"/>
      <c r="Y544" s="173"/>
    </row>
    <row r="545" spans="1:25" ht="16.95" customHeight="1" x14ac:dyDescent="0.3">
      <c r="T545" s="215"/>
      <c r="U545" s="172"/>
      <c r="V545" s="172"/>
      <c r="W545" s="172"/>
      <c r="X545" s="172"/>
      <c r="Y545" s="173"/>
    </row>
    <row r="546" spans="1:25" ht="16.95" customHeight="1" x14ac:dyDescent="0.3">
      <c r="A546" s="19" t="s">
        <v>278</v>
      </c>
      <c r="C546" s="19" t="s">
        <v>279</v>
      </c>
      <c r="D546" s="19" t="s">
        <v>280</v>
      </c>
      <c r="E546" s="19" t="s">
        <v>279</v>
      </c>
      <c r="F546" s="19" t="s">
        <v>280</v>
      </c>
      <c r="G546" s="19" t="s">
        <v>249</v>
      </c>
      <c r="T546" s="215"/>
      <c r="U546" s="172"/>
      <c r="V546" s="172"/>
      <c r="W546" s="172"/>
      <c r="X546" s="172"/>
      <c r="Y546" s="173"/>
    </row>
    <row r="547" spans="1:25" ht="16.95" customHeight="1" x14ac:dyDescent="0.3">
      <c r="C547" s="19" t="s">
        <v>282</v>
      </c>
      <c r="D547" s="19" t="s">
        <v>282</v>
      </c>
      <c r="E547" s="19" t="s">
        <v>283</v>
      </c>
      <c r="F547" s="19" t="s">
        <v>283</v>
      </c>
      <c r="T547" s="215"/>
      <c r="U547" s="172"/>
      <c r="V547" s="172"/>
      <c r="W547" s="172"/>
      <c r="X547" s="172"/>
      <c r="Y547" s="173"/>
    </row>
    <row r="548" spans="1:25" ht="16.95" customHeight="1" x14ac:dyDescent="0.3">
      <c r="A548" s="17">
        <f>N8</f>
        <v>72000</v>
      </c>
      <c r="C548" s="92">
        <f>-J8</f>
        <v>-1</v>
      </c>
      <c r="D548" s="92">
        <f>-K8</f>
        <v>0</v>
      </c>
      <c r="E548" s="92">
        <f>J8</f>
        <v>1</v>
      </c>
      <c r="F548" s="92">
        <f>K8</f>
        <v>0</v>
      </c>
      <c r="G548" s="96">
        <f>IFERROR(VLOOKUP(H548, A$510:D$525, 4, FALSE), 0)</f>
        <v>0.16743827160493832</v>
      </c>
      <c r="H548" s="12" t="str">
        <f>"D" &amp; C24 &amp; "X"</f>
        <v>D3X</v>
      </c>
      <c r="T548" s="215"/>
      <c r="U548" s="172"/>
      <c r="V548" s="172"/>
      <c r="W548" s="172"/>
      <c r="X548" s="172"/>
      <c r="Y548" s="173"/>
    </row>
    <row r="549" spans="1:25" ht="16.95" customHeight="1" x14ac:dyDescent="0.3">
      <c r="A549" s="99" t="s">
        <v>287</v>
      </c>
      <c r="B549" s="97">
        <f>(MMULT(C548:F548, G548:G551)*A548)</f>
        <v>5055.5555555555557</v>
      </c>
      <c r="G549" s="96">
        <f>IFERROR(VLOOKUP(H549, A$510:D$525, 4, FALSE), 0)</f>
        <v>-0.66758652933715301</v>
      </c>
      <c r="H549" s="12" t="str">
        <f>"D" &amp; D24 &amp; "Y"</f>
        <v>D3Y</v>
      </c>
      <c r="T549" s="215"/>
      <c r="U549" s="172"/>
      <c r="V549" s="172"/>
      <c r="W549" s="172"/>
      <c r="X549" s="172"/>
      <c r="Y549" s="173"/>
    </row>
    <row r="550" spans="1:25" ht="16.95" customHeight="1" x14ac:dyDescent="0.3">
      <c r="G550" s="96">
        <f>IFERROR(VLOOKUP(H550, A$510:D$525, 4, FALSE), 0)</f>
        <v>0.23765432098765438</v>
      </c>
      <c r="H550" s="12" t="str">
        <f>"D" &amp; E24 &amp; "X"</f>
        <v>D4X</v>
      </c>
      <c r="T550" s="215"/>
      <c r="U550" s="172"/>
      <c r="V550" s="172"/>
      <c r="W550" s="172"/>
      <c r="X550" s="172"/>
      <c r="Y550" s="173"/>
    </row>
    <row r="551" spans="1:25" ht="16.95" customHeight="1" x14ac:dyDescent="0.3">
      <c r="G551" s="96">
        <f>IFERROR(VLOOKUP(H551, A$510:D$525, 4, FALSE), 0)</f>
        <v>-0.53244984181088884</v>
      </c>
      <c r="H551" s="12" t="str">
        <f>"D" &amp; F24 &amp; "Y"</f>
        <v>D4Y</v>
      </c>
      <c r="T551" s="215"/>
      <c r="U551" s="172"/>
      <c r="V551" s="172"/>
      <c r="W551" s="172"/>
      <c r="X551" s="172"/>
      <c r="Y551" s="173"/>
    </row>
    <row r="552" spans="1:25" ht="16.95" customHeight="1" x14ac:dyDescent="0.3">
      <c r="B552" s="99" t="s">
        <v>273</v>
      </c>
      <c r="C552" s="178" t="str">
        <f>IF(B549&gt;0.001,"BARRA A TRACCIÓN (+)",IF(B549&lt;-0.001,"BARRA A COMPRESIÓN (-)","BARRA DE FUERZA NULA"))</f>
        <v>BARRA A TRACCIÓN (+)</v>
      </c>
      <c r="D552" s="172"/>
      <c r="E552" s="172"/>
      <c r="F552" s="173"/>
      <c r="T552" s="215"/>
      <c r="U552" s="172"/>
      <c r="V552" s="172"/>
      <c r="W552" s="172"/>
      <c r="X552" s="172"/>
      <c r="Y552" s="173"/>
    </row>
    <row r="553" spans="1:25" ht="16.95" customHeight="1" x14ac:dyDescent="0.3">
      <c r="T553" s="215"/>
      <c r="U553" s="172"/>
      <c r="V553" s="172"/>
      <c r="W553" s="172"/>
      <c r="X553" s="172"/>
      <c r="Y553" s="173"/>
    </row>
    <row r="554" spans="1:25" ht="18" customHeight="1" x14ac:dyDescent="0.3">
      <c r="A554" s="19" t="s">
        <v>278</v>
      </c>
      <c r="C554" s="19" t="s">
        <v>279</v>
      </c>
      <c r="D554" s="19" t="s">
        <v>280</v>
      </c>
      <c r="E554" s="19" t="s">
        <v>279</v>
      </c>
      <c r="F554" s="19" t="s">
        <v>280</v>
      </c>
      <c r="G554" s="19" t="s">
        <v>249</v>
      </c>
    </row>
    <row r="555" spans="1:25" ht="16.05" customHeight="1" x14ac:dyDescent="0.3">
      <c r="C555" s="19" t="s">
        <v>282</v>
      </c>
      <c r="D555" s="19" t="s">
        <v>282</v>
      </c>
      <c r="E555" s="19" t="s">
        <v>283</v>
      </c>
      <c r="F555" s="19" t="s">
        <v>283</v>
      </c>
    </row>
    <row r="556" spans="1:25" ht="19.95" customHeight="1" x14ac:dyDescent="0.3">
      <c r="A556" s="17">
        <f>N9</f>
        <v>72000</v>
      </c>
      <c r="C556" s="92">
        <f>-J9</f>
        <v>-1</v>
      </c>
      <c r="D556" s="92">
        <f>-K9</f>
        <v>0</v>
      </c>
      <c r="E556" s="92">
        <f>J9</f>
        <v>1</v>
      </c>
      <c r="F556" s="92">
        <f>K9</f>
        <v>0</v>
      </c>
      <c r="G556" s="96">
        <f>IFERROR(VLOOKUP(H556, A$510:D$525, 4, FALSE), 0)</f>
        <v>0.23765432098765438</v>
      </c>
      <c r="H556" s="12" t="str">
        <f>"D" &amp; C25 &amp; "X"</f>
        <v>D4X</v>
      </c>
    </row>
    <row r="557" spans="1:25" ht="19.95" customHeight="1" x14ac:dyDescent="0.3">
      <c r="A557" s="99" t="s">
        <v>288</v>
      </c>
      <c r="B557" s="97">
        <f>(MMULT(C556:F556, G556:G559)*A556)</f>
        <v>5055.5555555555584</v>
      </c>
      <c r="G557" s="96">
        <f>IFERROR(VLOOKUP(H557, A$510:D$525, 4, FALSE), 0)</f>
        <v>-0.53244984181088884</v>
      </c>
      <c r="H557" s="12" t="str">
        <f>"D" &amp; D25 &amp; "Y"</f>
        <v>D4Y</v>
      </c>
    </row>
    <row r="558" spans="1:25" ht="19.95" customHeight="1" x14ac:dyDescent="0.3">
      <c r="G558" s="96">
        <f>IFERROR(VLOOKUP(H558, A$510:D$525, 4, FALSE), 0)</f>
        <v>0.30787037037037046</v>
      </c>
      <c r="H558" s="12" t="str">
        <f>"D" &amp; E25 &amp; "X"</f>
        <v>D5X</v>
      </c>
    </row>
    <row r="559" spans="1:25" ht="19.95" customHeight="1" x14ac:dyDescent="0.3">
      <c r="G559" s="96">
        <f>IFERROR(VLOOKUP(H559, A$510:D$525, 4, FALSE), 0)</f>
        <v>0</v>
      </c>
      <c r="H559" s="12" t="str">
        <f>"D" &amp; F25 &amp; "Y"</f>
        <v>D5Y</v>
      </c>
    </row>
    <row r="560" spans="1:25" ht="19.95" customHeight="1" x14ac:dyDescent="0.3">
      <c r="B560" s="99" t="s">
        <v>273</v>
      </c>
      <c r="C560" s="178" t="str">
        <f>IF(B557&gt;0.001,"BARRA A TRACCIÓN (+)",IF(B557&lt;-0.001,"BARRA A COMPRESIÓN (-)","BARRA DE FUERZA NULA"))</f>
        <v>BARRA A TRACCIÓN (+)</v>
      </c>
      <c r="D560" s="172"/>
      <c r="E560" s="172"/>
      <c r="F560" s="173"/>
    </row>
    <row r="562" spans="1:8" ht="18" customHeight="1" x14ac:dyDescent="0.3">
      <c r="A562" s="19" t="s">
        <v>278</v>
      </c>
      <c r="C562" s="19" t="s">
        <v>279</v>
      </c>
      <c r="D562" s="19" t="s">
        <v>280</v>
      </c>
      <c r="E562" s="19" t="s">
        <v>279</v>
      </c>
      <c r="F562" s="19" t="s">
        <v>280</v>
      </c>
      <c r="G562" s="19" t="s">
        <v>249</v>
      </c>
    </row>
    <row r="563" spans="1:8" ht="16.05" customHeight="1" x14ac:dyDescent="0.3">
      <c r="C563" s="19" t="s">
        <v>282</v>
      </c>
      <c r="D563" s="19" t="s">
        <v>282</v>
      </c>
      <c r="E563" s="19" t="s">
        <v>283</v>
      </c>
      <c r="F563" s="19" t="s">
        <v>283</v>
      </c>
    </row>
    <row r="564" spans="1:8" ht="19.95" customHeight="1" x14ac:dyDescent="0.3">
      <c r="A564" s="17">
        <f>N10</f>
        <v>44203.724173074268</v>
      </c>
      <c r="C564" s="92">
        <f>-J10</f>
        <v>-0.61394061351492046</v>
      </c>
      <c r="D564" s="92">
        <f>-K10</f>
        <v>-0.78935221737632633</v>
      </c>
      <c r="E564" s="92">
        <f>J10</f>
        <v>0.61394061351492046</v>
      </c>
      <c r="F564" s="92">
        <f>K10</f>
        <v>0.78935221737632633</v>
      </c>
      <c r="G564" s="96">
        <f>IFERROR(VLOOKUP(H564, A$510:D$525, 4, FALSE), 0)</f>
        <v>0</v>
      </c>
      <c r="H564" s="12" t="str">
        <f>"D" &amp; C26 &amp; "X"</f>
        <v>D1X</v>
      </c>
    </row>
    <row r="565" spans="1:8" ht="19.95" customHeight="1" x14ac:dyDescent="0.3">
      <c r="A565" s="99" t="s">
        <v>289</v>
      </c>
      <c r="B565" s="97">
        <f>(MMULT(C564:F564, G564:G567)*A564)</f>
        <v>-8234.6002923826672</v>
      </c>
      <c r="G565" s="96">
        <f>IFERROR(VLOOKUP(H565, A$510:D$525, 4, FALSE), 0)</f>
        <v>0</v>
      </c>
      <c r="H565" s="12" t="str">
        <f>"D" &amp; D26 &amp; "Y"</f>
        <v>D1Y</v>
      </c>
    </row>
    <row r="566" spans="1:8" ht="19.95" customHeight="1" x14ac:dyDescent="0.3">
      <c r="G566" s="96">
        <f>IFERROR(VLOOKUP(H566, A$510:D$525, 4, FALSE), 0)</f>
        <v>0.18599615772234829</v>
      </c>
      <c r="H566" s="12" t="str">
        <f>"D" &amp; E26 &amp; "X"</f>
        <v>D6X</v>
      </c>
    </row>
    <row r="567" spans="1:8" ht="19.95" customHeight="1" x14ac:dyDescent="0.3">
      <c r="G567" s="96">
        <f>IFERROR(VLOOKUP(H567, A$510:D$525, 4, FALSE), 0)</f>
        <v>-0.38066412752517448</v>
      </c>
      <c r="H567" s="12" t="str">
        <f>"D" &amp; F26 &amp; "Y"</f>
        <v>D6Y</v>
      </c>
    </row>
    <row r="568" spans="1:8" ht="19.95" customHeight="1" x14ac:dyDescent="0.3">
      <c r="B568" s="99" t="s">
        <v>273</v>
      </c>
      <c r="C568" s="178" t="str">
        <f>IF(B565&gt;0.001,"BARRA A TRACCIÓN (+)",IF(B565&lt;-0.001,"BARRA A COMPRESIÓN (-)","BARRA DE FUERZA NULA"))</f>
        <v>BARRA A COMPRESIÓN (-)</v>
      </c>
      <c r="D568" s="172"/>
      <c r="E568" s="172"/>
      <c r="F568" s="173"/>
    </row>
    <row r="570" spans="1:8" ht="18" customHeight="1" x14ac:dyDescent="0.3">
      <c r="A570" s="19" t="s">
        <v>278</v>
      </c>
      <c r="C570" s="19" t="s">
        <v>279</v>
      </c>
      <c r="D570" s="19" t="s">
        <v>280</v>
      </c>
      <c r="E570" s="19" t="s">
        <v>279</v>
      </c>
      <c r="F570" s="19" t="s">
        <v>280</v>
      </c>
      <c r="G570" s="19" t="s">
        <v>249</v>
      </c>
    </row>
    <row r="571" spans="1:8" ht="16.05" customHeight="1" x14ac:dyDescent="0.3">
      <c r="C571" s="19" t="s">
        <v>282</v>
      </c>
      <c r="D571" s="19" t="s">
        <v>282</v>
      </c>
      <c r="E571" s="19" t="s">
        <v>283</v>
      </c>
      <c r="F571" s="19" t="s">
        <v>283</v>
      </c>
    </row>
    <row r="572" spans="1:8" ht="19.95" customHeight="1" x14ac:dyDescent="0.3">
      <c r="A572" s="17">
        <f>N11</f>
        <v>72000</v>
      </c>
      <c r="C572" s="92">
        <f>-J11</f>
        <v>-1</v>
      </c>
      <c r="D572" s="92">
        <f>-K11</f>
        <v>0</v>
      </c>
      <c r="E572" s="92">
        <f>J11</f>
        <v>1</v>
      </c>
      <c r="F572" s="92">
        <f>K11</f>
        <v>0</v>
      </c>
      <c r="G572" s="96">
        <f>IFERROR(VLOOKUP(H572, A$510:D$525, 4, FALSE), 0)</f>
        <v>0.18599615772234829</v>
      </c>
      <c r="H572" s="12" t="str">
        <f>"D" &amp; C27 &amp; "X"</f>
        <v>D6X</v>
      </c>
    </row>
    <row r="573" spans="1:8" ht="19.95" customHeight="1" x14ac:dyDescent="0.3">
      <c r="A573" s="99" t="s">
        <v>290</v>
      </c>
      <c r="B573" s="97">
        <f>(MMULT(C572:F572, G572:G575)*A572)</f>
        <v>-5055.5555555555575</v>
      </c>
      <c r="G573" s="96">
        <f>IFERROR(VLOOKUP(H573, A$510:D$525, 4, FALSE), 0)</f>
        <v>-0.38066412752517448</v>
      </c>
      <c r="H573" s="12" t="str">
        <f>"D" &amp; D27 &amp; "Y"</f>
        <v>D6Y</v>
      </c>
    </row>
    <row r="574" spans="1:8" ht="19.95" customHeight="1" x14ac:dyDescent="0.3">
      <c r="G574" s="96">
        <f>IFERROR(VLOOKUP(H574, A$510:D$525, 4, FALSE), 0)</f>
        <v>0.11578010833963222</v>
      </c>
      <c r="H574" s="12" t="str">
        <f>"D" &amp; E27 &amp; "X"</f>
        <v>D7X</v>
      </c>
    </row>
    <row r="575" spans="1:8" ht="19.95" customHeight="1" x14ac:dyDescent="0.3">
      <c r="G575" s="96">
        <f>IFERROR(VLOOKUP(H575, A$510:D$525, 4, FALSE), 0)</f>
        <v>-0.62294367219429581</v>
      </c>
      <c r="H575" s="12" t="str">
        <f>"D" &amp; F27 &amp; "Y"</f>
        <v>D7Y</v>
      </c>
    </row>
    <row r="576" spans="1:8" ht="19.95" customHeight="1" x14ac:dyDescent="0.3">
      <c r="B576" s="99" t="s">
        <v>273</v>
      </c>
      <c r="C576" s="178" t="str">
        <f>IF(B573&gt;0.001,"BARRA A TRACCIÓN (+)",IF(B573&lt;-0.001,"BARRA A COMPRESIÓN (-)","BARRA DE FUERZA NULA"))</f>
        <v>BARRA A COMPRESIÓN (-)</v>
      </c>
      <c r="D576" s="172"/>
      <c r="E576" s="172"/>
      <c r="F576" s="173"/>
    </row>
    <row r="578" spans="1:8" ht="18" customHeight="1" x14ac:dyDescent="0.3">
      <c r="A578" s="19" t="s">
        <v>278</v>
      </c>
      <c r="C578" s="19" t="s">
        <v>279</v>
      </c>
      <c r="D578" s="19" t="s">
        <v>280</v>
      </c>
      <c r="E578" s="19" t="s">
        <v>279</v>
      </c>
      <c r="F578" s="19" t="s">
        <v>280</v>
      </c>
      <c r="G578" s="19" t="s">
        <v>249</v>
      </c>
    </row>
    <row r="579" spans="1:8" ht="16.05" customHeight="1" x14ac:dyDescent="0.3">
      <c r="C579" s="19" t="s">
        <v>282</v>
      </c>
      <c r="D579" s="19" t="s">
        <v>282</v>
      </c>
      <c r="E579" s="19" t="s">
        <v>283</v>
      </c>
      <c r="F579" s="19" t="s">
        <v>283</v>
      </c>
    </row>
    <row r="580" spans="1:8" ht="19.95" customHeight="1" x14ac:dyDescent="0.3">
      <c r="A580" s="17">
        <f>N12</f>
        <v>72000</v>
      </c>
      <c r="C580" s="92">
        <f>-J12</f>
        <v>-1</v>
      </c>
      <c r="D580" s="92">
        <f>-K12</f>
        <v>0</v>
      </c>
      <c r="E580" s="92">
        <f>J12</f>
        <v>1</v>
      </c>
      <c r="F580" s="92">
        <f>K12</f>
        <v>0</v>
      </c>
      <c r="G580" s="96">
        <f>IFERROR(VLOOKUP(H580, A$510:D$525, 4, FALSE), 0)</f>
        <v>0.11578010833963222</v>
      </c>
      <c r="H580" s="12" t="str">
        <f>"D" &amp; C28 &amp; "X"</f>
        <v>D7X</v>
      </c>
    </row>
    <row r="581" spans="1:8" ht="19.95" customHeight="1" x14ac:dyDescent="0.3">
      <c r="A581" s="99" t="s">
        <v>291</v>
      </c>
      <c r="B581" s="97">
        <f>(MMULT(C580:F580, G580:G583)*A580)</f>
        <v>-7000.0000000000064</v>
      </c>
      <c r="G581" s="96">
        <f>IFERROR(VLOOKUP(H581, A$510:D$525, 4, FALSE), 0)</f>
        <v>-0.62294367219429581</v>
      </c>
      <c r="H581" s="12" t="str">
        <f>"D" &amp; D28 &amp; "Y"</f>
        <v>D7Y</v>
      </c>
    </row>
    <row r="582" spans="1:8" ht="19.95" customHeight="1" x14ac:dyDescent="0.3">
      <c r="G582" s="96">
        <f>IFERROR(VLOOKUP(H582, A$510:D$525, 4, FALSE), 0)</f>
        <v>1.8557886117409907E-2</v>
      </c>
      <c r="H582" s="12" t="str">
        <f>"D" &amp; E28 &amp; "X"</f>
        <v>D8X</v>
      </c>
    </row>
    <row r="583" spans="1:8" ht="19.95" customHeight="1" x14ac:dyDescent="0.3">
      <c r="G583" s="96">
        <f>IFERROR(VLOOKUP(H583, A$510:D$525, 4, FALSE), 0)</f>
        <v>-0.46102127038231744</v>
      </c>
      <c r="H583" s="12" t="str">
        <f>"D" &amp; F28 &amp; "Y"</f>
        <v>D8Y</v>
      </c>
    </row>
    <row r="584" spans="1:8" ht="19.95" customHeight="1" x14ac:dyDescent="0.3">
      <c r="B584" s="99" t="s">
        <v>273</v>
      </c>
      <c r="C584" s="178" t="str">
        <f>IF(B581&gt;0.001,"BARRA A TRACCIÓN (+)",IF(B581&lt;-0.001,"BARRA A COMPRESIÓN (-)","BARRA DE FUERZA NULA"))</f>
        <v>BARRA A COMPRESIÓN (-)</v>
      </c>
      <c r="D584" s="172"/>
      <c r="E584" s="172"/>
      <c r="F584" s="173"/>
    </row>
    <row r="586" spans="1:8" ht="18" customHeight="1" x14ac:dyDescent="0.3">
      <c r="A586" s="19" t="s">
        <v>278</v>
      </c>
      <c r="C586" s="19" t="s">
        <v>279</v>
      </c>
      <c r="D586" s="19" t="s">
        <v>280</v>
      </c>
      <c r="E586" s="19" t="s">
        <v>279</v>
      </c>
      <c r="F586" s="19" t="s">
        <v>280</v>
      </c>
      <c r="G586" s="19" t="s">
        <v>249</v>
      </c>
    </row>
    <row r="587" spans="1:8" ht="16.05" customHeight="1" x14ac:dyDescent="0.3">
      <c r="C587" s="19" t="s">
        <v>282</v>
      </c>
      <c r="D587" s="19" t="s">
        <v>282</v>
      </c>
      <c r="E587" s="19" t="s">
        <v>283</v>
      </c>
      <c r="F587" s="19" t="s">
        <v>283</v>
      </c>
    </row>
    <row r="588" spans="1:8" ht="19.95" customHeight="1" x14ac:dyDescent="0.3">
      <c r="A588" s="17">
        <f>N13</f>
        <v>44203.724173074268</v>
      </c>
      <c r="C588" s="92">
        <f>-J13</f>
        <v>-0.61394061351492046</v>
      </c>
      <c r="D588" s="92">
        <f>-K13</f>
        <v>0.78935221737632633</v>
      </c>
      <c r="E588" s="92">
        <f>J13</f>
        <v>0.61394061351492046</v>
      </c>
      <c r="F588" s="92">
        <f>K13</f>
        <v>-0.78935221737632633</v>
      </c>
      <c r="G588" s="96">
        <f>IFERROR(VLOOKUP(H588, A$510:D$525, 4, FALSE), 0)</f>
        <v>1.8557886117409907E-2</v>
      </c>
      <c r="H588" s="12" t="str">
        <f>"D" &amp; C29 &amp; "X"</f>
        <v>D8X</v>
      </c>
    </row>
    <row r="589" spans="1:8" ht="19.95" customHeight="1" x14ac:dyDescent="0.3">
      <c r="A589" s="99" t="s">
        <v>292</v>
      </c>
      <c r="B589" s="97">
        <f>(MMULT(C588:F588, G588:G591)*A588)</f>
        <v>-8234.6002923826709</v>
      </c>
      <c r="G589" s="96">
        <f>IFERROR(VLOOKUP(H589, A$510:D$525, 4, FALSE), 0)</f>
        <v>-0.46102127038231744</v>
      </c>
      <c r="H589" s="12" t="str">
        <f>"D" &amp; D29 &amp; "Y"</f>
        <v>D8Y</v>
      </c>
    </row>
    <row r="590" spans="1:8" ht="19.95" customHeight="1" x14ac:dyDescent="0.3">
      <c r="G590" s="96">
        <f>IFERROR(VLOOKUP(H590, A$510:D$525, 4, FALSE), 0)</f>
        <v>0.30787037037037046</v>
      </c>
      <c r="H590" s="12" t="str">
        <f>"D" &amp; E29 &amp; "X"</f>
        <v>D5X</v>
      </c>
    </row>
    <row r="591" spans="1:8" ht="19.95" customHeight="1" x14ac:dyDescent="0.3">
      <c r="G591" s="96">
        <f>IFERROR(VLOOKUP(H591, A$510:D$525, 4, FALSE), 0)</f>
        <v>0</v>
      </c>
      <c r="H591" s="12" t="str">
        <f>"D" &amp; F29 &amp; "Y"</f>
        <v>D5Y</v>
      </c>
    </row>
    <row r="592" spans="1:8" ht="19.95" customHeight="1" x14ac:dyDescent="0.3">
      <c r="B592" s="99" t="s">
        <v>273</v>
      </c>
      <c r="C592" s="178" t="str">
        <f>IF(B589&gt;0.001,"BARRA A TRACCIÓN (+)",IF(B589&lt;-0.001,"BARRA A COMPRESIÓN (-)","BARRA DE FUERZA NULA"))</f>
        <v>BARRA A COMPRESIÓN (-)</v>
      </c>
      <c r="D592" s="172"/>
      <c r="E592" s="172"/>
      <c r="F592" s="173"/>
    </row>
    <row r="594" spans="1:8" ht="18" customHeight="1" x14ac:dyDescent="0.3">
      <c r="A594" s="19" t="s">
        <v>278</v>
      </c>
      <c r="C594" s="19" t="s">
        <v>279</v>
      </c>
      <c r="D594" s="19" t="s">
        <v>280</v>
      </c>
      <c r="E594" s="19" t="s">
        <v>279</v>
      </c>
      <c r="F594" s="19" t="s">
        <v>280</v>
      </c>
      <c r="G594" s="19" t="s">
        <v>249</v>
      </c>
    </row>
    <row r="595" spans="1:8" ht="16.05" customHeight="1" x14ac:dyDescent="0.3">
      <c r="C595" s="19" t="s">
        <v>282</v>
      </c>
      <c r="D595" s="19" t="s">
        <v>282</v>
      </c>
      <c r="E595" s="19" t="s">
        <v>283</v>
      </c>
      <c r="F595" s="19" t="s">
        <v>283</v>
      </c>
    </row>
    <row r="596" spans="1:8" ht="19.95" customHeight="1" x14ac:dyDescent="0.3">
      <c r="A596" s="17">
        <f>N14</f>
        <v>56000</v>
      </c>
      <c r="C596" s="92">
        <f>-J14</f>
        <v>0</v>
      </c>
      <c r="D596" s="92">
        <f>-K14</f>
        <v>1</v>
      </c>
      <c r="E596" s="92">
        <f>J14</f>
        <v>0</v>
      </c>
      <c r="F596" s="92">
        <f>K14</f>
        <v>-1</v>
      </c>
      <c r="G596" s="96">
        <f>IFERROR(VLOOKUP(H596, A$510:D$525, 4, FALSE), 0)</f>
        <v>0.18599615772234829</v>
      </c>
      <c r="H596" s="12" t="str">
        <f>"D" &amp; C30 &amp; "X"</f>
        <v>D6X</v>
      </c>
    </row>
    <row r="597" spans="1:8" ht="19.95" customHeight="1" x14ac:dyDescent="0.3">
      <c r="A597" s="99" t="s">
        <v>530</v>
      </c>
      <c r="B597" s="97">
        <f>(MMULT(C596:F596, G596:G599)*A596)</f>
        <v>6500.0000000000018</v>
      </c>
      <c r="G597" s="96">
        <f>IFERROR(VLOOKUP(H597, A$510:D$525, 4, FALSE), 0)</f>
        <v>-0.38066412752517448</v>
      </c>
      <c r="H597" s="12" t="str">
        <f>"D" &amp; D30 &amp; "Y"</f>
        <v>D6Y</v>
      </c>
    </row>
    <row r="598" spans="1:8" ht="19.95" customHeight="1" x14ac:dyDescent="0.3">
      <c r="G598" s="96">
        <f>IFERROR(VLOOKUP(H598, A$510:D$525, 4, FALSE), 0)</f>
        <v>7.0216049382716028E-2</v>
      </c>
      <c r="H598" s="12" t="str">
        <f>"D" &amp; E30 &amp; "X"</f>
        <v>D2X</v>
      </c>
    </row>
    <row r="599" spans="1:8" ht="19.95" customHeight="1" x14ac:dyDescent="0.3">
      <c r="G599" s="96">
        <f>IFERROR(VLOOKUP(H599, A$510:D$525, 4, FALSE), 0)</f>
        <v>-0.49673555609660308</v>
      </c>
      <c r="H599" s="12" t="str">
        <f>"D" &amp; F30 &amp; "Y"</f>
        <v>D2Y</v>
      </c>
    </row>
    <row r="600" spans="1:8" ht="19.95" customHeight="1" x14ac:dyDescent="0.3">
      <c r="B600" s="99" t="s">
        <v>273</v>
      </c>
      <c r="C600" s="178" t="str">
        <f>IF(B597&gt;0.001,"BARRA A TRACCIÓN (+)",IF(B597&lt;-0.001,"BARRA A COMPRESIÓN (-)","BARRA DE FUERZA NULA"))</f>
        <v>BARRA A TRACCIÓN (+)</v>
      </c>
      <c r="D600" s="172"/>
      <c r="E600" s="172"/>
      <c r="F600" s="173"/>
    </row>
    <row r="602" spans="1:8" ht="18" customHeight="1" x14ac:dyDescent="0.3">
      <c r="A602" s="19" t="s">
        <v>278</v>
      </c>
      <c r="C602" s="19" t="s">
        <v>279</v>
      </c>
      <c r="D602" s="19" t="s">
        <v>280</v>
      </c>
      <c r="E602" s="19" t="s">
        <v>279</v>
      </c>
      <c r="F602" s="19" t="s">
        <v>280</v>
      </c>
      <c r="G602" s="19" t="s">
        <v>249</v>
      </c>
    </row>
    <row r="603" spans="1:8" ht="16.05" customHeight="1" x14ac:dyDescent="0.3">
      <c r="C603" s="19" t="s">
        <v>282</v>
      </c>
      <c r="D603" s="19" t="s">
        <v>282</v>
      </c>
      <c r="E603" s="19" t="s">
        <v>283</v>
      </c>
      <c r="F603" s="19" t="s">
        <v>283</v>
      </c>
    </row>
    <row r="604" spans="1:8" ht="19.95" customHeight="1" x14ac:dyDescent="0.3">
      <c r="A604" s="17">
        <f>N15</f>
        <v>44203.724173074268</v>
      </c>
      <c r="C604" s="92">
        <f>-J15</f>
        <v>-0.61394061351492046</v>
      </c>
      <c r="D604" s="92">
        <f>-K15</f>
        <v>-0.78935221737632633</v>
      </c>
      <c r="E604" s="92">
        <f>J15</f>
        <v>0.61394061351492046</v>
      </c>
      <c r="F604" s="92">
        <f>K15</f>
        <v>0.78935221737632633</v>
      </c>
      <c r="G604" s="96">
        <f>IFERROR(VLOOKUP(H604, A$510:D$525, 4, FALSE), 0)</f>
        <v>7.0216049382716028E-2</v>
      </c>
      <c r="H604" s="12" t="str">
        <f>"D" &amp; C31 &amp; "X"</f>
        <v>D2X</v>
      </c>
    </row>
    <row r="605" spans="1:8" ht="19.95" customHeight="1" x14ac:dyDescent="0.3">
      <c r="A605" s="99" t="s">
        <v>589</v>
      </c>
      <c r="B605" s="97">
        <f>(MMULT(C604:F604, G604:G607)*A604)</f>
        <v>-3167.1539586087197</v>
      </c>
      <c r="G605" s="96">
        <f>IFERROR(VLOOKUP(H605, A$510:D$525, 4, FALSE), 0)</f>
        <v>-0.49673555609660308</v>
      </c>
      <c r="H605" s="12" t="str">
        <f>"D" &amp; D31 &amp; "Y"</f>
        <v>D2Y</v>
      </c>
    </row>
    <row r="606" spans="1:8" ht="19.95" customHeight="1" x14ac:dyDescent="0.3">
      <c r="G606" s="96">
        <f>IFERROR(VLOOKUP(H606, A$510:D$525, 4, FALSE), 0)</f>
        <v>0.11578010833963222</v>
      </c>
      <c r="H606" s="12" t="str">
        <f>"D" &amp; E31 &amp; "X"</f>
        <v>D7X</v>
      </c>
    </row>
    <row r="607" spans="1:8" ht="19.95" customHeight="1" x14ac:dyDescent="0.3">
      <c r="G607" s="96">
        <f>IFERROR(VLOOKUP(H607, A$510:D$525, 4, FALSE), 0)</f>
        <v>-0.62294367219429581</v>
      </c>
      <c r="H607" s="12" t="str">
        <f>"D" &amp; F31 &amp; "Y"</f>
        <v>D7Y</v>
      </c>
    </row>
    <row r="608" spans="1:8" ht="19.95" customHeight="1" x14ac:dyDescent="0.3">
      <c r="B608" s="99" t="s">
        <v>273</v>
      </c>
      <c r="C608" s="178" t="str">
        <f>IF(B605&gt;0.001,"BARRA A TRACCIÓN (+)",IF(B605&lt;-0.001,"BARRA A COMPRESIÓN (-)","BARRA DE FUERZA NULA"))</f>
        <v>BARRA A COMPRESIÓN (-)</v>
      </c>
      <c r="D608" s="172"/>
      <c r="E608" s="172"/>
      <c r="F608" s="173"/>
    </row>
    <row r="610" spans="1:8" ht="18" customHeight="1" x14ac:dyDescent="0.3">
      <c r="A610" s="19" t="s">
        <v>278</v>
      </c>
      <c r="C610" s="19" t="s">
        <v>279</v>
      </c>
      <c r="D610" s="19" t="s">
        <v>280</v>
      </c>
      <c r="E610" s="19" t="s">
        <v>279</v>
      </c>
      <c r="F610" s="19" t="s">
        <v>280</v>
      </c>
      <c r="G610" s="19" t="s">
        <v>249</v>
      </c>
    </row>
    <row r="611" spans="1:8" ht="16.05" customHeight="1" x14ac:dyDescent="0.3">
      <c r="C611" s="19" t="s">
        <v>282</v>
      </c>
      <c r="D611" s="19" t="s">
        <v>282</v>
      </c>
      <c r="E611" s="19" t="s">
        <v>283</v>
      </c>
      <c r="F611" s="19" t="s">
        <v>283</v>
      </c>
    </row>
    <row r="612" spans="1:8" ht="19.95" customHeight="1" x14ac:dyDescent="0.3">
      <c r="A612" s="17">
        <f>N16</f>
        <v>56000</v>
      </c>
      <c r="C612" s="92">
        <f>-J16</f>
        <v>0</v>
      </c>
      <c r="D612" s="92">
        <f>-K16</f>
        <v>1</v>
      </c>
      <c r="E612" s="92">
        <f>J16</f>
        <v>0</v>
      </c>
      <c r="F612" s="92">
        <f>K16</f>
        <v>-1</v>
      </c>
      <c r="G612" s="96">
        <f>IFERROR(VLOOKUP(H612, A$510:D$525, 4, FALSE), 0)</f>
        <v>0.11578010833963222</v>
      </c>
      <c r="H612" s="12" t="str">
        <f>"D" &amp; C32 &amp; "X"</f>
        <v>D7X</v>
      </c>
    </row>
    <row r="613" spans="1:8" ht="19.95" customHeight="1" x14ac:dyDescent="0.3">
      <c r="A613" s="99" t="s">
        <v>590</v>
      </c>
      <c r="B613" s="97">
        <f>(MMULT(C612:F612, G612:G615)*A612)</f>
        <v>2500.0000000000036</v>
      </c>
      <c r="G613" s="96">
        <f>IFERROR(VLOOKUP(H613, A$510:D$525, 4, FALSE), 0)</f>
        <v>-0.62294367219429581</v>
      </c>
      <c r="H613" s="12" t="str">
        <f>"D" &amp; D32 &amp; "Y"</f>
        <v>D7Y</v>
      </c>
    </row>
    <row r="614" spans="1:8" ht="19.95" customHeight="1" x14ac:dyDescent="0.3">
      <c r="G614" s="96">
        <f>IFERROR(VLOOKUP(H614, A$510:D$525, 4, FALSE), 0)</f>
        <v>0.16743827160493832</v>
      </c>
      <c r="H614" s="12" t="str">
        <f>"D" &amp; E32 &amp; "X"</f>
        <v>D3X</v>
      </c>
    </row>
    <row r="615" spans="1:8" ht="19.95" customHeight="1" x14ac:dyDescent="0.3">
      <c r="G615" s="96">
        <f>IFERROR(VLOOKUP(H615, A$510:D$525, 4, FALSE), 0)</f>
        <v>-0.66758652933715301</v>
      </c>
      <c r="H615" s="12" t="str">
        <f>"D" &amp; F32 &amp; "Y"</f>
        <v>D3Y</v>
      </c>
    </row>
    <row r="616" spans="1:8" ht="19.95" customHeight="1" x14ac:dyDescent="0.3">
      <c r="B616" s="99" t="s">
        <v>273</v>
      </c>
      <c r="C616" s="178" t="str">
        <f>IF(B613&gt;0.001,"BARRA A TRACCIÓN (+)",IF(B613&lt;-0.001,"BARRA A COMPRESIÓN (-)","BARRA DE FUERZA NULA"))</f>
        <v>BARRA A TRACCIÓN (+)</v>
      </c>
      <c r="D616" s="172"/>
      <c r="E616" s="172"/>
      <c r="F616" s="173"/>
    </row>
    <row r="618" spans="1:8" ht="18" customHeight="1" x14ac:dyDescent="0.3">
      <c r="A618" s="19" t="s">
        <v>278</v>
      </c>
      <c r="C618" s="19" t="s">
        <v>279</v>
      </c>
      <c r="D618" s="19" t="s">
        <v>280</v>
      </c>
      <c r="E618" s="19" t="s">
        <v>279</v>
      </c>
      <c r="F618" s="19" t="s">
        <v>280</v>
      </c>
      <c r="G618" s="19" t="s">
        <v>249</v>
      </c>
    </row>
    <row r="619" spans="1:8" ht="16.05" customHeight="1" x14ac:dyDescent="0.3">
      <c r="C619" s="19" t="s">
        <v>282</v>
      </c>
      <c r="D619" s="19" t="s">
        <v>282</v>
      </c>
      <c r="E619" s="19" t="s">
        <v>283</v>
      </c>
      <c r="F619" s="19" t="s">
        <v>283</v>
      </c>
    </row>
    <row r="620" spans="1:8" ht="19.95" customHeight="1" x14ac:dyDescent="0.3">
      <c r="A620" s="17">
        <f>N17</f>
        <v>44203.724173074268</v>
      </c>
      <c r="C620" s="92">
        <f>-J17</f>
        <v>-0.61394061351492046</v>
      </c>
      <c r="D620" s="92">
        <f>-K17</f>
        <v>-0.78935221737632633</v>
      </c>
      <c r="E620" s="92">
        <f>J17</f>
        <v>0.61394061351492046</v>
      </c>
      <c r="F620" s="92">
        <f>K17</f>
        <v>0.78935221737632633</v>
      </c>
      <c r="G620" s="96">
        <f>IFERROR(VLOOKUP(H620, A$510:D$525, 4, FALSE), 0)</f>
        <v>0.16743827160493832</v>
      </c>
      <c r="H620" s="12" t="str">
        <f>"D" &amp; C33 &amp; "X"</f>
        <v>D3X</v>
      </c>
    </row>
    <row r="621" spans="1:8" ht="19.95" customHeight="1" x14ac:dyDescent="0.3">
      <c r="A621" s="99" t="s">
        <v>611</v>
      </c>
      <c r="B621" s="97">
        <f>(MMULT(C620:F620, G620:G623)*A620)</f>
        <v>3167.1539586087197</v>
      </c>
      <c r="G621" s="96">
        <f>IFERROR(VLOOKUP(H621, A$510:D$525, 4, FALSE), 0)</f>
        <v>-0.66758652933715301</v>
      </c>
      <c r="H621" s="12" t="str">
        <f>"D" &amp; D33 &amp; "Y"</f>
        <v>D3Y</v>
      </c>
    </row>
    <row r="622" spans="1:8" ht="19.95" customHeight="1" x14ac:dyDescent="0.3">
      <c r="G622" s="96">
        <f>IFERROR(VLOOKUP(H622, A$510:D$525, 4, FALSE), 0)</f>
        <v>1.8557886117409907E-2</v>
      </c>
      <c r="H622" s="12" t="str">
        <f>"D" &amp; E33 &amp; "X"</f>
        <v>D8X</v>
      </c>
    </row>
    <row r="623" spans="1:8" ht="19.95" customHeight="1" x14ac:dyDescent="0.3">
      <c r="G623" s="96">
        <f>IFERROR(VLOOKUP(H623, A$510:D$525, 4, FALSE), 0)</f>
        <v>-0.46102127038231744</v>
      </c>
      <c r="H623" s="12" t="str">
        <f>"D" &amp; F33 &amp; "Y"</f>
        <v>D8Y</v>
      </c>
    </row>
    <row r="624" spans="1:8" ht="19.95" customHeight="1" x14ac:dyDescent="0.3">
      <c r="B624" s="99" t="s">
        <v>273</v>
      </c>
      <c r="C624" s="178" t="str">
        <f>IF(B621&gt;0.001,"BARRA A TRACCIÓN (+)",IF(B621&lt;-0.001,"BARRA A COMPRESIÓN (-)","BARRA DE FUERZA NULA"))</f>
        <v>BARRA A TRACCIÓN (+)</v>
      </c>
      <c r="D624" s="172"/>
      <c r="E624" s="172"/>
      <c r="F624" s="173"/>
    </row>
    <row r="626" spans="1:8" ht="18" customHeight="1" x14ac:dyDescent="0.3">
      <c r="A626" s="19" t="s">
        <v>278</v>
      </c>
      <c r="C626" s="19" t="s">
        <v>279</v>
      </c>
      <c r="D626" s="19" t="s">
        <v>280</v>
      </c>
      <c r="E626" s="19" t="s">
        <v>279</v>
      </c>
      <c r="F626" s="19" t="s">
        <v>280</v>
      </c>
      <c r="G626" s="19" t="s">
        <v>249</v>
      </c>
    </row>
    <row r="627" spans="1:8" ht="16.05" customHeight="1" x14ac:dyDescent="0.3">
      <c r="C627" s="19" t="s">
        <v>282</v>
      </c>
      <c r="D627" s="19" t="s">
        <v>282</v>
      </c>
      <c r="E627" s="19" t="s">
        <v>283</v>
      </c>
      <c r="F627" s="19" t="s">
        <v>283</v>
      </c>
    </row>
    <row r="628" spans="1:8" ht="19.95" customHeight="1" x14ac:dyDescent="0.3">
      <c r="A628" s="17">
        <f>N18</f>
        <v>56000</v>
      </c>
      <c r="C628" s="92">
        <f>-J18</f>
        <v>0</v>
      </c>
      <c r="D628" s="92">
        <f>-K18</f>
        <v>1</v>
      </c>
      <c r="E628" s="92">
        <f>J18</f>
        <v>0</v>
      </c>
      <c r="F628" s="92">
        <f>K18</f>
        <v>-1</v>
      </c>
      <c r="G628" s="96">
        <f>IFERROR(VLOOKUP(H628, A$510:D$525, 4, FALSE), 0)</f>
        <v>1.8557886117409907E-2</v>
      </c>
      <c r="H628" s="12" t="str">
        <f>"D" &amp; C34 &amp; "X"</f>
        <v>D8X</v>
      </c>
    </row>
    <row r="629" spans="1:8" ht="19.95" customHeight="1" x14ac:dyDescent="0.3">
      <c r="A629" s="99" t="s">
        <v>612</v>
      </c>
      <c r="B629" s="97">
        <f>(MMULT(C628:F628, G628:G631)*A628)</f>
        <v>3999.9999999999982</v>
      </c>
      <c r="G629" s="96">
        <f>IFERROR(VLOOKUP(H629, A$510:D$525, 4, FALSE), 0)</f>
        <v>-0.46102127038231744</v>
      </c>
      <c r="H629" s="12" t="str">
        <f>"D" &amp; D34 &amp; "Y"</f>
        <v>D8Y</v>
      </c>
    </row>
    <row r="630" spans="1:8" ht="19.95" customHeight="1" x14ac:dyDescent="0.3">
      <c r="G630" s="96">
        <f>IFERROR(VLOOKUP(H630, A$510:D$525, 4, FALSE), 0)</f>
        <v>0.23765432098765438</v>
      </c>
      <c r="H630" s="12" t="str">
        <f>"D" &amp; E34 &amp; "X"</f>
        <v>D4X</v>
      </c>
    </row>
    <row r="631" spans="1:8" ht="19.95" customHeight="1" x14ac:dyDescent="0.3">
      <c r="G631" s="96">
        <f>IFERROR(VLOOKUP(H631, A$510:D$525, 4, FALSE), 0)</f>
        <v>-0.53244984181088884</v>
      </c>
      <c r="H631" s="12" t="str">
        <f>"D" &amp; F34 &amp; "Y"</f>
        <v>D4Y</v>
      </c>
    </row>
    <row r="632" spans="1:8" ht="19.95" customHeight="1" x14ac:dyDescent="0.3">
      <c r="B632" s="99" t="s">
        <v>273</v>
      </c>
      <c r="C632" s="178" t="str">
        <f>IF(B629&gt;0.001,"BARRA A TRACCIÓN (+)",IF(B629&lt;-0.001,"BARRA A COMPRESIÓN (-)","BARRA DE FUERZA NULA"))</f>
        <v>BARRA A TRACCIÓN (+)</v>
      </c>
      <c r="D632" s="172"/>
      <c r="E632" s="172"/>
      <c r="F632" s="173"/>
    </row>
    <row r="635" spans="1:8" ht="22.05" customHeight="1" x14ac:dyDescent="0.3">
      <c r="B635" s="217" t="s">
        <v>404</v>
      </c>
      <c r="C635" s="175"/>
      <c r="D635" s="175"/>
      <c r="E635" s="175"/>
      <c r="F635" s="175"/>
      <c r="G635" s="175"/>
      <c r="H635" s="175"/>
    </row>
    <row r="636" spans="1:8" ht="24" customHeight="1" x14ac:dyDescent="0.3">
      <c r="B636" s="87" t="s">
        <v>294</v>
      </c>
      <c r="C636" s="87" t="s">
        <v>295</v>
      </c>
      <c r="D636" s="87" t="s">
        <v>296</v>
      </c>
      <c r="E636" s="87" t="s">
        <v>297</v>
      </c>
      <c r="F636" s="87" t="s">
        <v>298</v>
      </c>
      <c r="G636" s="87" t="s">
        <v>299</v>
      </c>
      <c r="H636" s="87" t="s">
        <v>300</v>
      </c>
    </row>
    <row r="637" spans="1:8" ht="19.95" customHeight="1" x14ac:dyDescent="0.3">
      <c r="B637" s="85">
        <v>1</v>
      </c>
      <c r="C637" s="86">
        <f t="shared" ref="C637:C649" si="74">C22</f>
        <v>1</v>
      </c>
      <c r="D637" s="86">
        <f t="shared" ref="D637:D649" si="75">E22</f>
        <v>2</v>
      </c>
      <c r="E637" s="9">
        <f t="shared" ref="E637:E649" si="76">I6</f>
        <v>350</v>
      </c>
      <c r="F637" s="9">
        <f t="shared" ref="F637:F649" si="77">L6</f>
        <v>12</v>
      </c>
      <c r="G637" s="97">
        <f>B533</f>
        <v>5055.5555555555538</v>
      </c>
      <c r="H637" s="84" t="str">
        <f>C536</f>
        <v>BARRA A TRACCIÓN (+)</v>
      </c>
    </row>
    <row r="638" spans="1:8" ht="19.95" customHeight="1" x14ac:dyDescent="0.3">
      <c r="B638" s="25">
        <v>2</v>
      </c>
      <c r="C638" s="86">
        <f t="shared" si="74"/>
        <v>2</v>
      </c>
      <c r="D638" s="86">
        <f t="shared" si="75"/>
        <v>3</v>
      </c>
      <c r="E638" s="9">
        <f t="shared" si="76"/>
        <v>350</v>
      </c>
      <c r="F638" s="9">
        <f t="shared" si="77"/>
        <v>12</v>
      </c>
      <c r="G638" s="97">
        <f>B541</f>
        <v>7000.0000000000055</v>
      </c>
      <c r="H638" s="84" t="str">
        <f>C544</f>
        <v>BARRA A TRACCIÓN (+)</v>
      </c>
    </row>
    <row r="639" spans="1:8" ht="19.95" customHeight="1" x14ac:dyDescent="0.3">
      <c r="B639" s="26">
        <v>3</v>
      </c>
      <c r="C639" s="86">
        <f t="shared" si="74"/>
        <v>3</v>
      </c>
      <c r="D639" s="86">
        <f t="shared" si="75"/>
        <v>4</v>
      </c>
      <c r="E639" s="9">
        <f t="shared" si="76"/>
        <v>350</v>
      </c>
      <c r="F639" s="9">
        <f t="shared" si="77"/>
        <v>12</v>
      </c>
      <c r="G639" s="97">
        <f>B549</f>
        <v>5055.5555555555557</v>
      </c>
      <c r="H639" s="84" t="str">
        <f>C552</f>
        <v>BARRA A TRACCIÓN (+)</v>
      </c>
    </row>
    <row r="640" spans="1:8" ht="19.95" customHeight="1" x14ac:dyDescent="0.3">
      <c r="B640" s="43">
        <v>4</v>
      </c>
      <c r="C640" s="86">
        <f t="shared" si="74"/>
        <v>4</v>
      </c>
      <c r="D640" s="86">
        <f t="shared" si="75"/>
        <v>5</v>
      </c>
      <c r="E640" s="9">
        <f t="shared" si="76"/>
        <v>350</v>
      </c>
      <c r="F640" s="9">
        <f t="shared" si="77"/>
        <v>12</v>
      </c>
      <c r="G640" s="97">
        <f>B557</f>
        <v>5055.5555555555584</v>
      </c>
      <c r="H640" s="84" t="str">
        <f>C560</f>
        <v>BARRA A TRACCIÓN (+)</v>
      </c>
    </row>
    <row r="641" spans="2:8" ht="19.95" customHeight="1" x14ac:dyDescent="0.3">
      <c r="B641" s="44">
        <v>5</v>
      </c>
      <c r="C641" s="86">
        <f t="shared" si="74"/>
        <v>1</v>
      </c>
      <c r="D641" s="86">
        <f t="shared" si="75"/>
        <v>6</v>
      </c>
      <c r="E641" s="9">
        <f t="shared" si="76"/>
        <v>570.08771254956901</v>
      </c>
      <c r="F641" s="9">
        <f t="shared" si="77"/>
        <v>12</v>
      </c>
      <c r="G641" s="97">
        <f>B565</f>
        <v>-8234.6002923826672</v>
      </c>
      <c r="H641" s="84" t="str">
        <f>C568</f>
        <v>BARRA A COMPRESIÓN (-)</v>
      </c>
    </row>
    <row r="642" spans="2:8" ht="19.95" customHeight="1" x14ac:dyDescent="0.3">
      <c r="B642" s="51">
        <v>6</v>
      </c>
      <c r="C642" s="86">
        <f t="shared" si="74"/>
        <v>6</v>
      </c>
      <c r="D642" s="86">
        <f t="shared" si="75"/>
        <v>7</v>
      </c>
      <c r="E642" s="9">
        <f t="shared" si="76"/>
        <v>350</v>
      </c>
      <c r="F642" s="9">
        <f t="shared" si="77"/>
        <v>12</v>
      </c>
      <c r="G642" s="97">
        <f>B573</f>
        <v>-5055.5555555555575</v>
      </c>
      <c r="H642" s="84" t="str">
        <f>C576</f>
        <v>BARRA A COMPRESIÓN (-)</v>
      </c>
    </row>
    <row r="643" spans="2:8" ht="19.95" customHeight="1" x14ac:dyDescent="0.3">
      <c r="B643" s="52">
        <v>7</v>
      </c>
      <c r="C643" s="86">
        <f t="shared" si="74"/>
        <v>7</v>
      </c>
      <c r="D643" s="86">
        <f t="shared" si="75"/>
        <v>8</v>
      </c>
      <c r="E643" s="9">
        <f t="shared" si="76"/>
        <v>350</v>
      </c>
      <c r="F643" s="9">
        <f t="shared" si="77"/>
        <v>12</v>
      </c>
      <c r="G643" s="97">
        <f>B581</f>
        <v>-7000.0000000000064</v>
      </c>
      <c r="H643" s="84" t="str">
        <f>C584</f>
        <v>BARRA A COMPRESIÓN (-)</v>
      </c>
    </row>
    <row r="644" spans="2:8" ht="19.95" customHeight="1" x14ac:dyDescent="0.3">
      <c r="B644" s="59">
        <v>8</v>
      </c>
      <c r="C644" s="86">
        <f t="shared" si="74"/>
        <v>8</v>
      </c>
      <c r="D644" s="86">
        <f t="shared" si="75"/>
        <v>5</v>
      </c>
      <c r="E644" s="9">
        <f t="shared" si="76"/>
        <v>570.08771254956901</v>
      </c>
      <c r="F644" s="9">
        <f t="shared" si="77"/>
        <v>12</v>
      </c>
      <c r="G644" s="97">
        <f>B589</f>
        <v>-8234.6002923826709</v>
      </c>
      <c r="H644" s="84" t="str">
        <f>C592</f>
        <v>BARRA A COMPRESIÓN (-)</v>
      </c>
    </row>
    <row r="645" spans="2:8" ht="19.95" customHeight="1" x14ac:dyDescent="0.3">
      <c r="B645" s="60">
        <v>9</v>
      </c>
      <c r="C645" s="86">
        <f t="shared" si="74"/>
        <v>6</v>
      </c>
      <c r="D645" s="86">
        <f t="shared" si="75"/>
        <v>2</v>
      </c>
      <c r="E645" s="9">
        <f t="shared" si="76"/>
        <v>450</v>
      </c>
      <c r="F645" s="9">
        <f t="shared" si="77"/>
        <v>12</v>
      </c>
      <c r="G645" s="97">
        <f>B597</f>
        <v>6500.0000000000018</v>
      </c>
      <c r="H645" s="84" t="str">
        <f>C600</f>
        <v>BARRA A TRACCIÓN (+)</v>
      </c>
    </row>
    <row r="646" spans="2:8" ht="19.95" customHeight="1" x14ac:dyDescent="0.3">
      <c r="B646" s="67">
        <v>10</v>
      </c>
      <c r="C646" s="86">
        <f t="shared" si="74"/>
        <v>2</v>
      </c>
      <c r="D646" s="86">
        <f t="shared" si="75"/>
        <v>7</v>
      </c>
      <c r="E646" s="9">
        <f t="shared" si="76"/>
        <v>570.08771254956901</v>
      </c>
      <c r="F646" s="9">
        <f t="shared" si="77"/>
        <v>12</v>
      </c>
      <c r="G646" s="97">
        <f>B605</f>
        <v>-3167.1539586087197</v>
      </c>
      <c r="H646" s="84" t="str">
        <f>C608</f>
        <v>BARRA A COMPRESIÓN (-)</v>
      </c>
    </row>
    <row r="647" spans="2:8" ht="19.95" customHeight="1" x14ac:dyDescent="0.3">
      <c r="B647" s="68">
        <v>11</v>
      </c>
      <c r="C647" s="86">
        <f t="shared" si="74"/>
        <v>7</v>
      </c>
      <c r="D647" s="86">
        <f t="shared" si="75"/>
        <v>3</v>
      </c>
      <c r="E647" s="9">
        <f t="shared" si="76"/>
        <v>450</v>
      </c>
      <c r="F647" s="9">
        <f t="shared" si="77"/>
        <v>12</v>
      </c>
      <c r="G647" s="97">
        <f>B613</f>
        <v>2500.0000000000036</v>
      </c>
      <c r="H647" s="84" t="str">
        <f>C616</f>
        <v>BARRA A TRACCIÓN (+)</v>
      </c>
    </row>
    <row r="648" spans="2:8" ht="19.95" customHeight="1" x14ac:dyDescent="0.3">
      <c r="B648" s="10">
        <v>12</v>
      </c>
      <c r="C648" s="86">
        <f t="shared" si="74"/>
        <v>3</v>
      </c>
      <c r="D648" s="86">
        <f t="shared" si="75"/>
        <v>8</v>
      </c>
      <c r="E648" s="9">
        <f t="shared" si="76"/>
        <v>570.08771254956901</v>
      </c>
      <c r="F648" s="9">
        <f t="shared" si="77"/>
        <v>12</v>
      </c>
      <c r="G648" s="97">
        <f>B621</f>
        <v>3167.1539586087197</v>
      </c>
      <c r="H648" s="84" t="str">
        <f>C624</f>
        <v>BARRA A TRACCIÓN (+)</v>
      </c>
    </row>
    <row r="649" spans="2:8" ht="19.95" customHeight="1" x14ac:dyDescent="0.3">
      <c r="B649" s="75">
        <v>13</v>
      </c>
      <c r="C649" s="86">
        <f t="shared" si="74"/>
        <v>8</v>
      </c>
      <c r="D649" s="86">
        <f t="shared" si="75"/>
        <v>4</v>
      </c>
      <c r="E649" s="9">
        <f t="shared" si="76"/>
        <v>450</v>
      </c>
      <c r="F649" s="9">
        <f t="shared" si="77"/>
        <v>12</v>
      </c>
      <c r="G649" s="97">
        <f>B629</f>
        <v>3999.9999999999982</v>
      </c>
      <c r="H649" s="84" t="str">
        <f>C632</f>
        <v>BARRA A TRACCIÓN (+)</v>
      </c>
    </row>
  </sheetData>
  <mergeCells count="182">
    <mergeCell ref="J4:J5"/>
    <mergeCell ref="T552:Y552"/>
    <mergeCell ref="L4:L5"/>
    <mergeCell ref="T479:Y479"/>
    <mergeCell ref="T429:Y429"/>
    <mergeCell ref="T463:Y463"/>
    <mergeCell ref="T423:Y423"/>
    <mergeCell ref="T494:Y494"/>
    <mergeCell ref="T438:Y438"/>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 ref="C455:O455"/>
    <mergeCell ref="T488:Y488"/>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529:Y529"/>
    <mergeCell ref="T410:Y410"/>
    <mergeCell ref="T543:Y543"/>
    <mergeCell ref="T481:Y481"/>
    <mergeCell ref="T478:Y478"/>
    <mergeCell ref="T391:Y391"/>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T414:Y414"/>
    <mergeCell ref="T480:Y480"/>
    <mergeCell ref="T455:Y455"/>
    <mergeCell ref="T464:Y464"/>
    <mergeCell ref="T402:Y402"/>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C600:F600"/>
    <mergeCell ref="C584:F584"/>
    <mergeCell ref="T544:Y544"/>
    <mergeCell ref="T400:Y400"/>
    <mergeCell ref="T553:Y553"/>
    <mergeCell ref="T497:Y497"/>
    <mergeCell ref="T435:Y435"/>
    <mergeCell ref="T409:Y409"/>
    <mergeCell ref="T449:Y449"/>
    <mergeCell ref="T540:Y540"/>
    <mergeCell ref="T537:Y537"/>
    <mergeCell ref="T490:Y490"/>
    <mergeCell ref="T417:Y417"/>
    <mergeCell ref="T499:Y499"/>
    <mergeCell ref="T477:Y477"/>
    <mergeCell ref="T465:Y465"/>
    <mergeCell ref="T440:Y440"/>
    <mergeCell ref="T533:Y533"/>
    <mergeCell ref="B635:H635"/>
    <mergeCell ref="T473:Y473"/>
    <mergeCell ref="C568:F568"/>
    <mergeCell ref="C608:F608"/>
    <mergeCell ref="T395:Y395"/>
    <mergeCell ref="T469:Y469"/>
    <mergeCell ref="T450:Y450"/>
    <mergeCell ref="T484:Y484"/>
    <mergeCell ref="T459:Y459"/>
    <mergeCell ref="C560:F560"/>
    <mergeCell ref="T434:Y434"/>
    <mergeCell ref="T550:Y550"/>
    <mergeCell ref="T454:Y454"/>
    <mergeCell ref="T551:Y551"/>
    <mergeCell ref="T498:Y498"/>
    <mergeCell ref="C632:F632"/>
    <mergeCell ref="T487:Y487"/>
    <mergeCell ref="C616:F616"/>
    <mergeCell ref="T403:Y403"/>
    <mergeCell ref="T474:Y474"/>
    <mergeCell ref="C417:D417"/>
    <mergeCell ref="T530:Y530"/>
    <mergeCell ref="T483:Y483"/>
    <mergeCell ref="T447:Y447"/>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B3:D3"/>
    <mergeCell ref="T426:Y426"/>
    <mergeCell ref="M4:M5"/>
    <mergeCell ref="T539:Y539"/>
    <mergeCell ref="T387:Y387"/>
    <mergeCell ref="T489:Y489"/>
    <mergeCell ref="T427:Y427"/>
    <mergeCell ref="T545:Y545"/>
    <mergeCell ref="T396:Y396"/>
    <mergeCell ref="T452:Y452"/>
    <mergeCell ref="T541:Y541"/>
    <mergeCell ref="T451:Y451"/>
    <mergeCell ref="T460:Y460"/>
    <mergeCell ref="C20:D20"/>
    <mergeCell ref="E20:F20"/>
    <mergeCell ref="T393:Y393"/>
    <mergeCell ref="T458:Y458"/>
    <mergeCell ref="T411:Y411"/>
    <mergeCell ref="T467:Y467"/>
    <mergeCell ref="T538:Y538"/>
    <mergeCell ref="B20:B21"/>
    <mergeCell ref="T381:Y381"/>
    <mergeCell ref="T394:Y394"/>
    <mergeCell ref="T425:Y425"/>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613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8</v>
      </c>
      <c r="C6" s="173"/>
      <c r="D6" s="206">
        <f>COUNT(C28:C42)</f>
        <v>13</v>
      </c>
      <c r="E6" s="173"/>
      <c r="F6" s="206">
        <f>SUM(F14:G23)</f>
        <v>3</v>
      </c>
      <c r="G6" s="173"/>
      <c r="H6" s="206">
        <f>D6+F6-2*B6</f>
        <v>0</v>
      </c>
      <c r="I6" s="173"/>
      <c r="J6" s="214" t="str">
        <f>IF(H6=0,"✅ ISOSTÁTICA (Estable y Determinada)",IF(H6&gt;0,"🔷 HIPERESTÁTICA (Grado " &amp; H6 &amp; " - Resoluble por Rigidez)","⚠️ HIPOSTÁTICA (Mecanismo Inestable)"))</f>
        <v>✅ ISOSTÁTICA (Estable y Determinada)</v>
      </c>
      <c r="K6" s="172"/>
      <c r="L6" s="172"/>
      <c r="M6" s="172"/>
      <c r="N6" s="172"/>
      <c r="O6" s="173"/>
      <c r="AA6" s="20">
        <f>IF(G28="","",G28)</f>
        <v>375</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375</v>
      </c>
      <c r="AB8" s="20">
        <f>IF(F29="","",F29)</f>
        <v>0</v>
      </c>
      <c r="AC8" t="s">
        <v>316</v>
      </c>
    </row>
    <row r="9" spans="2:29" x14ac:dyDescent="0.3">
      <c r="AA9" s="20">
        <f>IF(G29="","",G29)</f>
        <v>750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750</v>
      </c>
      <c r="AB11" s="20">
        <f>IF(F30="","",F30)</f>
        <v>0</v>
      </c>
      <c r="AC11" t="s">
        <v>324</v>
      </c>
    </row>
    <row r="12" spans="2:29" x14ac:dyDescent="0.3">
      <c r="AA12" s="20">
        <f>IF(G30="","",G30)</f>
        <v>1125</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1125</v>
      </c>
      <c r="AB14" s="20">
        <f>IF(F31="","",F31)</f>
        <v>0</v>
      </c>
      <c r="AC14" t="s">
        <v>328</v>
      </c>
    </row>
    <row r="15" spans="2:29" ht="19.05" customHeight="1" x14ac:dyDescent="0.3">
      <c r="B15" s="89">
        <v>2</v>
      </c>
      <c r="C15" s="21">
        <v>375</v>
      </c>
      <c r="D15" s="21">
        <v>0</v>
      </c>
      <c r="E15" s="21" t="s">
        <v>326</v>
      </c>
      <c r="F15" s="88">
        <f t="shared" si="0"/>
        <v>0</v>
      </c>
      <c r="G15" s="88">
        <f t="shared" si="1"/>
        <v>0</v>
      </c>
      <c r="H15" s="22">
        <v>0</v>
      </c>
      <c r="I15" s="22">
        <v>-4000</v>
      </c>
      <c r="J15" s="205" t="s">
        <v>573</v>
      </c>
      <c r="K15" s="172"/>
      <c r="L15" s="172"/>
      <c r="M15" s="172"/>
      <c r="N15" s="172"/>
      <c r="O15" s="173"/>
      <c r="AA15" s="20">
        <f>IF(G31="","",G31)</f>
        <v>1500</v>
      </c>
      <c r="AB15" s="20">
        <f>IF(H31="","",H31)</f>
        <v>0</v>
      </c>
      <c r="AC15" t="s">
        <v>331</v>
      </c>
    </row>
    <row r="16" spans="2:29" ht="19.05" customHeight="1" x14ac:dyDescent="0.3">
      <c r="B16" s="89">
        <v>3</v>
      </c>
      <c r="C16" s="21">
        <v>750</v>
      </c>
      <c r="D16" s="21">
        <v>0</v>
      </c>
      <c r="E16" s="21" t="s">
        <v>326</v>
      </c>
      <c r="F16" s="88">
        <f t="shared" si="0"/>
        <v>0</v>
      </c>
      <c r="G16" s="88">
        <f t="shared" si="1"/>
        <v>0</v>
      </c>
      <c r="H16" s="22">
        <v>0</v>
      </c>
      <c r="I16" s="22">
        <v>-5000</v>
      </c>
      <c r="J16" s="205" t="s">
        <v>574</v>
      </c>
      <c r="K16" s="172"/>
      <c r="L16" s="172"/>
      <c r="M16" s="172"/>
      <c r="N16" s="172"/>
      <c r="O16" s="173"/>
    </row>
    <row r="17" spans="2:29" ht="19.05" customHeight="1" x14ac:dyDescent="0.3">
      <c r="B17" s="89">
        <v>4</v>
      </c>
      <c r="C17" s="21">
        <v>1125</v>
      </c>
      <c r="D17" s="21">
        <v>0</v>
      </c>
      <c r="E17" s="21" t="s">
        <v>326</v>
      </c>
      <c r="F17" s="88">
        <f t="shared" si="0"/>
        <v>0</v>
      </c>
      <c r="G17" s="88">
        <f t="shared" si="1"/>
        <v>0</v>
      </c>
      <c r="H17" s="22">
        <v>0</v>
      </c>
      <c r="I17" s="22">
        <v>-4000</v>
      </c>
      <c r="J17" s="205" t="s">
        <v>596</v>
      </c>
      <c r="K17" s="172"/>
      <c r="L17" s="172"/>
      <c r="M17" s="172"/>
      <c r="N17" s="172"/>
      <c r="O17" s="173"/>
      <c r="AA17" s="20">
        <f>IF(E32="","",E32)</f>
        <v>0</v>
      </c>
      <c r="AB17" s="20">
        <f>IF(F32="","",F32)</f>
        <v>0</v>
      </c>
      <c r="AC17" t="s">
        <v>334</v>
      </c>
    </row>
    <row r="18" spans="2:29" ht="19.05" customHeight="1" x14ac:dyDescent="0.3">
      <c r="B18" s="89">
        <v>5</v>
      </c>
      <c r="C18" s="21">
        <v>1500</v>
      </c>
      <c r="D18" s="21">
        <v>0</v>
      </c>
      <c r="E18" s="21" t="s">
        <v>329</v>
      </c>
      <c r="F18" s="88">
        <f t="shared" si="0"/>
        <v>0</v>
      </c>
      <c r="G18" s="88">
        <f t="shared" si="1"/>
        <v>1</v>
      </c>
      <c r="H18" s="22">
        <v>0</v>
      </c>
      <c r="I18" s="22">
        <v>0</v>
      </c>
      <c r="J18" s="205" t="s">
        <v>407</v>
      </c>
      <c r="K18" s="172"/>
      <c r="L18" s="172"/>
      <c r="M18" s="172"/>
      <c r="N18" s="172"/>
      <c r="O18" s="173"/>
      <c r="AA18" s="20">
        <f>IF(G32="","",G32)</f>
        <v>375</v>
      </c>
      <c r="AB18" s="20">
        <f>IF(H32="","",H32)</f>
        <v>500</v>
      </c>
      <c r="AC18" t="s">
        <v>335</v>
      </c>
    </row>
    <row r="19" spans="2:29" ht="19.05" customHeight="1" x14ac:dyDescent="0.3">
      <c r="B19" s="89">
        <v>6</v>
      </c>
      <c r="C19" s="21">
        <v>375</v>
      </c>
      <c r="D19" s="21">
        <v>500</v>
      </c>
      <c r="E19" s="21" t="s">
        <v>326</v>
      </c>
      <c r="F19" s="88">
        <f t="shared" si="0"/>
        <v>0</v>
      </c>
      <c r="G19" s="88">
        <f t="shared" si="1"/>
        <v>0</v>
      </c>
      <c r="H19" s="22">
        <v>0</v>
      </c>
      <c r="I19" s="22">
        <v>0</v>
      </c>
      <c r="J19" s="205" t="s">
        <v>597</v>
      </c>
      <c r="K19" s="172"/>
      <c r="L19" s="172"/>
      <c r="M19" s="172"/>
      <c r="N19" s="172"/>
      <c r="O19" s="173"/>
    </row>
    <row r="20" spans="2:29" ht="19.05" customHeight="1" x14ac:dyDescent="0.3">
      <c r="B20" s="89">
        <v>7</v>
      </c>
      <c r="C20" s="21">
        <v>750</v>
      </c>
      <c r="D20" s="21">
        <v>500</v>
      </c>
      <c r="E20" s="21" t="s">
        <v>326</v>
      </c>
      <c r="F20" s="88">
        <f t="shared" si="0"/>
        <v>0</v>
      </c>
      <c r="G20" s="88">
        <f t="shared" si="1"/>
        <v>0</v>
      </c>
      <c r="H20" s="22">
        <v>0</v>
      </c>
      <c r="I20" s="22">
        <v>0</v>
      </c>
      <c r="J20" s="205" t="s">
        <v>598</v>
      </c>
      <c r="K20" s="172"/>
      <c r="L20" s="172"/>
      <c r="M20" s="172"/>
      <c r="N20" s="172"/>
      <c r="O20" s="173"/>
      <c r="AA20" s="20">
        <f>IF(E33="","",E33)</f>
        <v>375</v>
      </c>
      <c r="AB20" s="20">
        <f>IF(F33="","",F33)</f>
        <v>500</v>
      </c>
      <c r="AC20" t="s">
        <v>336</v>
      </c>
    </row>
    <row r="21" spans="2:29" ht="19.05" customHeight="1" x14ac:dyDescent="0.3">
      <c r="B21" s="89">
        <v>8</v>
      </c>
      <c r="C21" s="21">
        <v>1125</v>
      </c>
      <c r="D21" s="21">
        <v>500</v>
      </c>
      <c r="E21" s="21" t="s">
        <v>326</v>
      </c>
      <c r="F21" s="88">
        <f t="shared" si="0"/>
        <v>0</v>
      </c>
      <c r="G21" s="88">
        <f t="shared" si="1"/>
        <v>0</v>
      </c>
      <c r="H21" s="22">
        <v>0</v>
      </c>
      <c r="I21" s="22">
        <v>0</v>
      </c>
      <c r="J21" s="205" t="s">
        <v>599</v>
      </c>
      <c r="K21" s="172"/>
      <c r="L21" s="172"/>
      <c r="M21" s="172"/>
      <c r="N21" s="172"/>
      <c r="O21" s="173"/>
      <c r="AA21" s="20">
        <f>IF(G33="","",G33)</f>
        <v>750</v>
      </c>
      <c r="AB21" s="20">
        <f>IF(H33="","",H33)</f>
        <v>500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750</v>
      </c>
      <c r="AB23" s="20">
        <f>IF(F34="","",F34)</f>
        <v>500</v>
      </c>
      <c r="AC23" t="s">
        <v>338</v>
      </c>
    </row>
    <row r="24" spans="2:29" x14ac:dyDescent="0.3">
      <c r="AA24" s="20">
        <f>IF(G34="","",G34)</f>
        <v>1125</v>
      </c>
      <c r="AB24" s="20">
        <f>IF(H34="","",H34)</f>
        <v>500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1125</v>
      </c>
      <c r="AB26" s="20">
        <f>IF(F35="","",F35)</f>
        <v>500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1500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375</v>
      </c>
      <c r="H28" s="5">
        <f t="shared" ref="H28:H42" si="5">IF(OR(ISBLANK(D28),D28=""),"",VLOOKUP(D28,$B$14:$D$23,3,FALSE))</f>
        <v>0</v>
      </c>
      <c r="I28" s="9">
        <f t="shared" ref="I28:I42" si="6">IF(G28="","",G28-E28)</f>
        <v>375</v>
      </c>
      <c r="J28" s="9">
        <f t="shared" ref="J28:J42" si="7">IF(H28="","",H28-F28)</f>
        <v>0</v>
      </c>
      <c r="K28" s="9">
        <f t="shared" ref="K28:K42" si="8">IF(I28="","",SQRT(I28^2+J28^2))</f>
        <v>375</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375</v>
      </c>
      <c r="F29" s="5">
        <f t="shared" si="3"/>
        <v>0</v>
      </c>
      <c r="G29" s="5">
        <f t="shared" si="4"/>
        <v>750</v>
      </c>
      <c r="H29" s="5">
        <f t="shared" si="5"/>
        <v>0</v>
      </c>
      <c r="I29" s="9">
        <f t="shared" si="6"/>
        <v>375</v>
      </c>
      <c r="J29" s="9">
        <f t="shared" si="7"/>
        <v>0</v>
      </c>
      <c r="K29" s="9">
        <f t="shared" si="8"/>
        <v>375</v>
      </c>
      <c r="L29" s="92">
        <f t="shared" si="9"/>
        <v>1</v>
      </c>
      <c r="M29" s="92">
        <f t="shared" si="10"/>
        <v>0</v>
      </c>
      <c r="N29" s="22">
        <v>12</v>
      </c>
      <c r="O29" s="24">
        <v>2100000</v>
      </c>
      <c r="AA29" s="20">
        <f>IF(E36="","",E36)</f>
        <v>375</v>
      </c>
      <c r="AB29" s="20">
        <f>IF(F36="","",F36)</f>
        <v>500</v>
      </c>
      <c r="AC29" t="s">
        <v>353</v>
      </c>
    </row>
    <row r="30" spans="2:29" ht="19.05" customHeight="1" x14ac:dyDescent="0.3">
      <c r="B30" s="89">
        <v>3</v>
      </c>
      <c r="C30" s="23">
        <v>3</v>
      </c>
      <c r="D30" s="23">
        <v>4</v>
      </c>
      <c r="E30" s="5">
        <f t="shared" si="2"/>
        <v>750</v>
      </c>
      <c r="F30" s="5">
        <f t="shared" si="3"/>
        <v>0</v>
      </c>
      <c r="G30" s="5">
        <f t="shared" si="4"/>
        <v>1125</v>
      </c>
      <c r="H30" s="5">
        <f t="shared" si="5"/>
        <v>0</v>
      </c>
      <c r="I30" s="9">
        <f t="shared" si="6"/>
        <v>375</v>
      </c>
      <c r="J30" s="9">
        <f t="shared" si="7"/>
        <v>0</v>
      </c>
      <c r="K30" s="9">
        <f t="shared" si="8"/>
        <v>375</v>
      </c>
      <c r="L30" s="92">
        <f t="shared" si="9"/>
        <v>1</v>
      </c>
      <c r="M30" s="92">
        <f t="shared" si="10"/>
        <v>0</v>
      </c>
      <c r="N30" s="22">
        <v>12</v>
      </c>
      <c r="O30" s="24">
        <v>2100000</v>
      </c>
      <c r="AA30" s="20">
        <f>IF(G36="","",G36)</f>
        <v>375</v>
      </c>
      <c r="AB30" s="20">
        <f>IF(H36="","",H36)</f>
        <v>0</v>
      </c>
      <c r="AC30" t="s">
        <v>354</v>
      </c>
    </row>
    <row r="31" spans="2:29" ht="19.05" customHeight="1" x14ac:dyDescent="0.3">
      <c r="B31" s="89">
        <v>4</v>
      </c>
      <c r="C31" s="23">
        <v>4</v>
      </c>
      <c r="D31" s="23">
        <v>5</v>
      </c>
      <c r="E31" s="5">
        <f t="shared" si="2"/>
        <v>1125</v>
      </c>
      <c r="F31" s="5">
        <f t="shared" si="3"/>
        <v>0</v>
      </c>
      <c r="G31" s="5">
        <f t="shared" si="4"/>
        <v>1500</v>
      </c>
      <c r="H31" s="5">
        <f t="shared" si="5"/>
        <v>0</v>
      </c>
      <c r="I31" s="9">
        <f t="shared" si="6"/>
        <v>375</v>
      </c>
      <c r="J31" s="9">
        <f t="shared" si="7"/>
        <v>0</v>
      </c>
      <c r="K31" s="9">
        <f t="shared" si="8"/>
        <v>375</v>
      </c>
      <c r="L31" s="92">
        <f t="shared" si="9"/>
        <v>1</v>
      </c>
      <c r="M31" s="92">
        <f t="shared" si="10"/>
        <v>0</v>
      </c>
      <c r="N31" s="22">
        <v>12</v>
      </c>
      <c r="O31" s="24">
        <v>2100000</v>
      </c>
    </row>
    <row r="32" spans="2:29" ht="19.05" customHeight="1" x14ac:dyDescent="0.3">
      <c r="B32" s="89">
        <v>5</v>
      </c>
      <c r="C32" s="23">
        <v>1</v>
      </c>
      <c r="D32" s="23">
        <v>6</v>
      </c>
      <c r="E32" s="5">
        <f t="shared" si="2"/>
        <v>0</v>
      </c>
      <c r="F32" s="5">
        <f t="shared" si="3"/>
        <v>0</v>
      </c>
      <c r="G32" s="5">
        <f t="shared" si="4"/>
        <v>375</v>
      </c>
      <c r="H32" s="5">
        <f t="shared" si="5"/>
        <v>500</v>
      </c>
      <c r="I32" s="9">
        <f t="shared" si="6"/>
        <v>375</v>
      </c>
      <c r="J32" s="9">
        <f t="shared" si="7"/>
        <v>500</v>
      </c>
      <c r="K32" s="9">
        <f t="shared" si="8"/>
        <v>625</v>
      </c>
      <c r="L32" s="92">
        <f t="shared" si="9"/>
        <v>0.6</v>
      </c>
      <c r="M32" s="92">
        <f t="shared" si="10"/>
        <v>0.8</v>
      </c>
      <c r="N32" s="22">
        <v>12</v>
      </c>
      <c r="O32" s="24">
        <v>2100000</v>
      </c>
      <c r="AA32" s="20">
        <f>IF(E37="","",E37)</f>
        <v>375</v>
      </c>
      <c r="AB32" s="20">
        <f>IF(F37="","",F37)</f>
        <v>0</v>
      </c>
      <c r="AC32" t="s">
        <v>355</v>
      </c>
    </row>
    <row r="33" spans="2:29" ht="19.05" customHeight="1" x14ac:dyDescent="0.3">
      <c r="B33" s="89">
        <v>6</v>
      </c>
      <c r="C33" s="23">
        <v>6</v>
      </c>
      <c r="D33" s="23">
        <v>7</v>
      </c>
      <c r="E33" s="5">
        <f t="shared" si="2"/>
        <v>375</v>
      </c>
      <c r="F33" s="5">
        <f t="shared" si="3"/>
        <v>500</v>
      </c>
      <c r="G33" s="5">
        <f t="shared" si="4"/>
        <v>750</v>
      </c>
      <c r="H33" s="5">
        <f t="shared" si="5"/>
        <v>500</v>
      </c>
      <c r="I33" s="9">
        <f t="shared" si="6"/>
        <v>375</v>
      </c>
      <c r="J33" s="9">
        <f t="shared" si="7"/>
        <v>0</v>
      </c>
      <c r="K33" s="9">
        <f t="shared" si="8"/>
        <v>375</v>
      </c>
      <c r="L33" s="92">
        <f t="shared" si="9"/>
        <v>1</v>
      </c>
      <c r="M33" s="92">
        <f t="shared" si="10"/>
        <v>0</v>
      </c>
      <c r="N33" s="22">
        <v>12</v>
      </c>
      <c r="O33" s="24">
        <v>2100000</v>
      </c>
      <c r="AA33" s="20">
        <f>IF(G37="","",G37)</f>
        <v>750</v>
      </c>
      <c r="AB33" s="20">
        <f>IF(H37="","",H37)</f>
        <v>500</v>
      </c>
      <c r="AC33" t="s">
        <v>356</v>
      </c>
    </row>
    <row r="34" spans="2:29" ht="19.05" customHeight="1" x14ac:dyDescent="0.3">
      <c r="B34" s="89">
        <v>7</v>
      </c>
      <c r="C34" s="23">
        <v>7</v>
      </c>
      <c r="D34" s="23">
        <v>8</v>
      </c>
      <c r="E34" s="5">
        <f t="shared" si="2"/>
        <v>750</v>
      </c>
      <c r="F34" s="5">
        <f t="shared" si="3"/>
        <v>500</v>
      </c>
      <c r="G34" s="5">
        <f t="shared" si="4"/>
        <v>1125</v>
      </c>
      <c r="H34" s="5">
        <f t="shared" si="5"/>
        <v>500</v>
      </c>
      <c r="I34" s="9">
        <f t="shared" si="6"/>
        <v>375</v>
      </c>
      <c r="J34" s="9">
        <f t="shared" si="7"/>
        <v>0</v>
      </c>
      <c r="K34" s="9">
        <f t="shared" si="8"/>
        <v>375</v>
      </c>
      <c r="L34" s="92">
        <f t="shared" si="9"/>
        <v>1</v>
      </c>
      <c r="M34" s="92">
        <f t="shared" si="10"/>
        <v>0</v>
      </c>
      <c r="N34" s="22">
        <v>12</v>
      </c>
      <c r="O34" s="24">
        <v>2100000</v>
      </c>
    </row>
    <row r="35" spans="2:29" ht="19.05" customHeight="1" x14ac:dyDescent="0.3">
      <c r="B35" s="89">
        <v>8</v>
      </c>
      <c r="C35" s="23">
        <v>8</v>
      </c>
      <c r="D35" s="23">
        <v>5</v>
      </c>
      <c r="E35" s="5">
        <f t="shared" si="2"/>
        <v>1125</v>
      </c>
      <c r="F35" s="5">
        <f t="shared" si="3"/>
        <v>500</v>
      </c>
      <c r="G35" s="5">
        <f t="shared" si="4"/>
        <v>1500</v>
      </c>
      <c r="H35" s="5">
        <f t="shared" si="5"/>
        <v>0</v>
      </c>
      <c r="I35" s="9">
        <f t="shared" si="6"/>
        <v>375</v>
      </c>
      <c r="J35" s="9">
        <f t="shared" si="7"/>
        <v>-500</v>
      </c>
      <c r="K35" s="9">
        <f t="shared" si="8"/>
        <v>625</v>
      </c>
      <c r="L35" s="92">
        <f t="shared" si="9"/>
        <v>0.6</v>
      </c>
      <c r="M35" s="92">
        <f t="shared" si="10"/>
        <v>-0.8</v>
      </c>
      <c r="N35" s="22">
        <v>12</v>
      </c>
      <c r="O35" s="24">
        <v>2100000</v>
      </c>
      <c r="AA35" s="20">
        <f>IF(E38="","",E38)</f>
        <v>750</v>
      </c>
      <c r="AB35" s="20">
        <f>IF(F38="","",F38)</f>
        <v>500</v>
      </c>
      <c r="AC35" t="s">
        <v>357</v>
      </c>
    </row>
    <row r="36" spans="2:29" ht="19.05" customHeight="1" x14ac:dyDescent="0.3">
      <c r="B36" s="89">
        <v>9</v>
      </c>
      <c r="C36" s="23">
        <v>6</v>
      </c>
      <c r="D36" s="23">
        <v>2</v>
      </c>
      <c r="E36" s="5">
        <f t="shared" si="2"/>
        <v>375</v>
      </c>
      <c r="F36" s="5">
        <f t="shared" si="3"/>
        <v>500</v>
      </c>
      <c r="G36" s="5">
        <f t="shared" si="4"/>
        <v>375</v>
      </c>
      <c r="H36" s="5">
        <f t="shared" si="5"/>
        <v>0</v>
      </c>
      <c r="I36" s="9">
        <f t="shared" si="6"/>
        <v>0</v>
      </c>
      <c r="J36" s="9">
        <f t="shared" si="7"/>
        <v>-500</v>
      </c>
      <c r="K36" s="9">
        <f t="shared" si="8"/>
        <v>500</v>
      </c>
      <c r="L36" s="92">
        <f t="shared" si="9"/>
        <v>0</v>
      </c>
      <c r="M36" s="92">
        <f t="shared" si="10"/>
        <v>-1</v>
      </c>
      <c r="N36" s="22">
        <v>12</v>
      </c>
      <c r="O36" s="24">
        <v>2100000</v>
      </c>
      <c r="AA36" s="20">
        <f>IF(G38="","",G38)</f>
        <v>750</v>
      </c>
      <c r="AB36" s="20">
        <f>IF(H38="","",H38)</f>
        <v>0</v>
      </c>
      <c r="AC36" t="s">
        <v>358</v>
      </c>
    </row>
    <row r="37" spans="2:29" ht="19.05" customHeight="1" x14ac:dyDescent="0.3">
      <c r="B37" s="89">
        <v>10</v>
      </c>
      <c r="C37" s="23">
        <v>2</v>
      </c>
      <c r="D37" s="23">
        <v>7</v>
      </c>
      <c r="E37" s="5">
        <f t="shared" si="2"/>
        <v>375</v>
      </c>
      <c r="F37" s="5">
        <f t="shared" si="3"/>
        <v>0</v>
      </c>
      <c r="G37" s="5">
        <f t="shared" si="4"/>
        <v>750</v>
      </c>
      <c r="H37" s="5">
        <f t="shared" si="5"/>
        <v>500</v>
      </c>
      <c r="I37" s="9">
        <f t="shared" si="6"/>
        <v>375</v>
      </c>
      <c r="J37" s="9">
        <f t="shared" si="7"/>
        <v>500</v>
      </c>
      <c r="K37" s="9">
        <f t="shared" si="8"/>
        <v>625</v>
      </c>
      <c r="L37" s="92">
        <f t="shared" si="9"/>
        <v>0.6</v>
      </c>
      <c r="M37" s="92">
        <f t="shared" si="10"/>
        <v>0.8</v>
      </c>
      <c r="N37" s="22">
        <v>12</v>
      </c>
      <c r="O37" s="24">
        <v>2100000</v>
      </c>
    </row>
    <row r="38" spans="2:29" ht="19.05" customHeight="1" x14ac:dyDescent="0.3">
      <c r="B38" s="89">
        <v>11</v>
      </c>
      <c r="C38" s="23">
        <v>7</v>
      </c>
      <c r="D38" s="23">
        <v>3</v>
      </c>
      <c r="E38" s="5">
        <f t="shared" si="2"/>
        <v>750</v>
      </c>
      <c r="F38" s="5">
        <f t="shared" si="3"/>
        <v>500</v>
      </c>
      <c r="G38" s="5">
        <f t="shared" si="4"/>
        <v>750</v>
      </c>
      <c r="H38" s="5">
        <f t="shared" si="5"/>
        <v>0</v>
      </c>
      <c r="I38" s="9">
        <f t="shared" si="6"/>
        <v>0</v>
      </c>
      <c r="J38" s="9">
        <f t="shared" si="7"/>
        <v>-500</v>
      </c>
      <c r="K38" s="9">
        <f t="shared" si="8"/>
        <v>500</v>
      </c>
      <c r="L38" s="92">
        <f t="shared" si="9"/>
        <v>0</v>
      </c>
      <c r="M38" s="92">
        <f t="shared" si="10"/>
        <v>-1</v>
      </c>
      <c r="N38" s="22">
        <v>12</v>
      </c>
      <c r="O38" s="24">
        <v>2100000</v>
      </c>
      <c r="AA38" s="20">
        <f>IF(E39="","",E39)</f>
        <v>750</v>
      </c>
      <c r="AB38" s="20">
        <f>IF(F39="","",F39)</f>
        <v>0</v>
      </c>
      <c r="AC38" t="s">
        <v>359</v>
      </c>
    </row>
    <row r="39" spans="2:29" ht="19.05" customHeight="1" x14ac:dyDescent="0.3">
      <c r="B39" s="89">
        <v>12</v>
      </c>
      <c r="C39" s="23">
        <v>3</v>
      </c>
      <c r="D39" s="23">
        <v>8</v>
      </c>
      <c r="E39" s="5">
        <f t="shared" si="2"/>
        <v>750</v>
      </c>
      <c r="F39" s="5">
        <f t="shared" si="3"/>
        <v>0</v>
      </c>
      <c r="G39" s="5">
        <f t="shared" si="4"/>
        <v>1125</v>
      </c>
      <c r="H39" s="5">
        <f t="shared" si="5"/>
        <v>500</v>
      </c>
      <c r="I39" s="9">
        <f t="shared" si="6"/>
        <v>375</v>
      </c>
      <c r="J39" s="9">
        <f t="shared" si="7"/>
        <v>500</v>
      </c>
      <c r="K39" s="9">
        <f t="shared" si="8"/>
        <v>625</v>
      </c>
      <c r="L39" s="92">
        <f t="shared" si="9"/>
        <v>0.6</v>
      </c>
      <c r="M39" s="92">
        <f t="shared" si="10"/>
        <v>0.8</v>
      </c>
      <c r="N39" s="22">
        <v>12</v>
      </c>
      <c r="O39" s="24">
        <v>2100000</v>
      </c>
      <c r="AA39" s="20">
        <f>IF(G39="","",G39)</f>
        <v>1125</v>
      </c>
      <c r="AB39" s="20">
        <f>IF(H39="","",H39)</f>
        <v>500</v>
      </c>
      <c r="AC39" t="s">
        <v>360</v>
      </c>
    </row>
    <row r="40" spans="2:29" ht="19.05" customHeight="1" x14ac:dyDescent="0.3">
      <c r="B40" s="89">
        <v>13</v>
      </c>
      <c r="C40" s="23">
        <v>8</v>
      </c>
      <c r="D40" s="23">
        <v>4</v>
      </c>
      <c r="E40" s="5">
        <f t="shared" si="2"/>
        <v>1125</v>
      </c>
      <c r="F40" s="5">
        <f t="shared" si="3"/>
        <v>500</v>
      </c>
      <c r="G40" s="5">
        <f t="shared" si="4"/>
        <v>1125</v>
      </c>
      <c r="H40" s="5">
        <f t="shared" si="5"/>
        <v>0</v>
      </c>
      <c r="I40" s="9">
        <f t="shared" si="6"/>
        <v>0</v>
      </c>
      <c r="J40" s="9">
        <f t="shared" si="7"/>
        <v>-500</v>
      </c>
      <c r="K40" s="9">
        <f t="shared" si="8"/>
        <v>500</v>
      </c>
      <c r="L40" s="92">
        <f t="shared" si="9"/>
        <v>0</v>
      </c>
      <c r="M40" s="92">
        <f t="shared" si="10"/>
        <v>-1</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f>IF(E40="","",E40)</f>
        <v>1125</v>
      </c>
      <c r="AB41" s="20">
        <f>IF(F40="","",F40)</f>
        <v>500</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f>IF(G40="","",G40)</f>
        <v>1125</v>
      </c>
      <c r="AB42" s="20">
        <f>IF(H40="","",H40)</f>
        <v>0</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100-000000000000}">
      <formula1>"Fijo (articulado),Rodillo Y (despl. X libre),Rodillo X (despl. Y libre),Libre (0 reac.)"</formula1>
    </dataValidation>
  </dataValidations>
  <pageMargins left="0.75" right="0.75" top="1" bottom="1" header="0.5" footer="0.5"/>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Y649"/>
  <sheetViews>
    <sheetView workbookViewId="0"/>
  </sheetViews>
  <sheetFormatPr baseColWidth="10" defaultColWidth="8.88671875" defaultRowHeight="14.4" x14ac:dyDescent="0.3"/>
  <cols>
    <col min="1" max="1" width="11" style="98" customWidth="1"/>
    <col min="2" max="18" width="13" style="98" customWidth="1"/>
    <col min="19" max="19" width="4" style="98" customWidth="1"/>
    <col min="20" max="24" width="16" style="98" customWidth="1"/>
    <col min="25" max="25" width="24" style="98" customWidth="1"/>
  </cols>
  <sheetData>
    <row r="1" spans="2:14" ht="28.05" customHeight="1" x14ac:dyDescent="0.3">
      <c r="B1" s="174" t="s">
        <v>614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GRAFICA_40!E28</f>
        <v>0</v>
      </c>
      <c r="D6" s="22">
        <f>GRAFICA_40!F28</f>
        <v>0</v>
      </c>
      <c r="E6" s="22">
        <f>GRAFICA_40!G28</f>
        <v>375</v>
      </c>
      <c r="F6" s="22">
        <f>GRAFICA_40!H28</f>
        <v>0</v>
      </c>
      <c r="G6" s="9">
        <f t="shared" ref="G6:G18" si="0">E6-C6</f>
        <v>375</v>
      </c>
      <c r="H6" s="9">
        <f t="shared" ref="H6:H18" si="1">F6-D6</f>
        <v>0</v>
      </c>
      <c r="I6" s="9">
        <f t="shared" ref="I6:I18" si="2">SQRT(G6*G6+H6*H6)</f>
        <v>375</v>
      </c>
      <c r="J6" s="92">
        <f t="shared" ref="J6:J18" si="3">G6/I6</f>
        <v>1</v>
      </c>
      <c r="K6" s="92">
        <f t="shared" ref="K6:K18" si="4">H6/I6</f>
        <v>0</v>
      </c>
      <c r="L6" s="22">
        <f>GRAFICA_40!N28</f>
        <v>12</v>
      </c>
      <c r="M6" s="22">
        <f>GRAFICA_40!O28</f>
        <v>2100000</v>
      </c>
      <c r="N6" s="6">
        <f t="shared" ref="N6:N18" si="5">L6*M6/I6</f>
        <v>67200</v>
      </c>
    </row>
    <row r="7" spans="2:14" ht="19.05" customHeight="1" x14ac:dyDescent="0.3">
      <c r="B7" s="25">
        <v>2</v>
      </c>
      <c r="C7" s="22">
        <f>GRAFICA_40!E29</f>
        <v>375</v>
      </c>
      <c r="D7" s="22">
        <f>GRAFICA_40!F29</f>
        <v>0</v>
      </c>
      <c r="E7" s="22">
        <f>GRAFICA_40!G29</f>
        <v>750</v>
      </c>
      <c r="F7" s="22">
        <f>GRAFICA_40!H29</f>
        <v>0</v>
      </c>
      <c r="G7" s="9">
        <f t="shared" si="0"/>
        <v>375</v>
      </c>
      <c r="H7" s="9">
        <f t="shared" si="1"/>
        <v>0</v>
      </c>
      <c r="I7" s="9">
        <f t="shared" si="2"/>
        <v>375</v>
      </c>
      <c r="J7" s="92">
        <f t="shared" si="3"/>
        <v>1</v>
      </c>
      <c r="K7" s="92">
        <f t="shared" si="4"/>
        <v>0</v>
      </c>
      <c r="L7" s="22">
        <f>GRAFICA_40!N29</f>
        <v>12</v>
      </c>
      <c r="M7" s="22">
        <f>GRAFICA_40!O29</f>
        <v>2100000</v>
      </c>
      <c r="N7" s="6">
        <f t="shared" si="5"/>
        <v>67200</v>
      </c>
    </row>
    <row r="8" spans="2:14" ht="19.05" customHeight="1" x14ac:dyDescent="0.3">
      <c r="B8" s="26">
        <v>3</v>
      </c>
      <c r="C8" s="22">
        <f>GRAFICA_40!E30</f>
        <v>750</v>
      </c>
      <c r="D8" s="22">
        <f>GRAFICA_40!F30</f>
        <v>0</v>
      </c>
      <c r="E8" s="22">
        <f>GRAFICA_40!G30</f>
        <v>1125</v>
      </c>
      <c r="F8" s="22">
        <f>GRAFICA_40!H30</f>
        <v>0</v>
      </c>
      <c r="G8" s="9">
        <f t="shared" si="0"/>
        <v>375</v>
      </c>
      <c r="H8" s="9">
        <f t="shared" si="1"/>
        <v>0</v>
      </c>
      <c r="I8" s="9">
        <f t="shared" si="2"/>
        <v>375</v>
      </c>
      <c r="J8" s="92">
        <f t="shared" si="3"/>
        <v>1</v>
      </c>
      <c r="K8" s="92">
        <f t="shared" si="4"/>
        <v>0</v>
      </c>
      <c r="L8" s="22">
        <f>GRAFICA_40!N30</f>
        <v>12</v>
      </c>
      <c r="M8" s="22">
        <f>GRAFICA_40!O30</f>
        <v>2100000</v>
      </c>
      <c r="N8" s="6">
        <f t="shared" si="5"/>
        <v>67200</v>
      </c>
    </row>
    <row r="9" spans="2:14" ht="19.05" customHeight="1" x14ac:dyDescent="0.3">
      <c r="B9" s="43">
        <v>4</v>
      </c>
      <c r="C9" s="22">
        <f>GRAFICA_40!E31</f>
        <v>1125</v>
      </c>
      <c r="D9" s="22">
        <f>GRAFICA_40!F31</f>
        <v>0</v>
      </c>
      <c r="E9" s="22">
        <f>GRAFICA_40!G31</f>
        <v>1500</v>
      </c>
      <c r="F9" s="22">
        <f>GRAFICA_40!H31</f>
        <v>0</v>
      </c>
      <c r="G9" s="9">
        <f t="shared" si="0"/>
        <v>375</v>
      </c>
      <c r="H9" s="9">
        <f t="shared" si="1"/>
        <v>0</v>
      </c>
      <c r="I9" s="9">
        <f t="shared" si="2"/>
        <v>375</v>
      </c>
      <c r="J9" s="92">
        <f t="shared" si="3"/>
        <v>1</v>
      </c>
      <c r="K9" s="92">
        <f t="shared" si="4"/>
        <v>0</v>
      </c>
      <c r="L9" s="22">
        <f>GRAFICA_40!N31</f>
        <v>12</v>
      </c>
      <c r="M9" s="22">
        <f>GRAFICA_40!O31</f>
        <v>2100000</v>
      </c>
      <c r="N9" s="6">
        <f t="shared" si="5"/>
        <v>67200</v>
      </c>
    </row>
    <row r="10" spans="2:14" ht="19.05" customHeight="1" x14ac:dyDescent="0.3">
      <c r="B10" s="44">
        <v>5</v>
      </c>
      <c r="C10" s="22">
        <f>GRAFICA_40!E32</f>
        <v>0</v>
      </c>
      <c r="D10" s="22">
        <f>GRAFICA_40!F32</f>
        <v>0</v>
      </c>
      <c r="E10" s="22">
        <f>GRAFICA_40!G32</f>
        <v>375</v>
      </c>
      <c r="F10" s="22">
        <f>GRAFICA_40!H32</f>
        <v>500</v>
      </c>
      <c r="G10" s="9">
        <f t="shared" si="0"/>
        <v>375</v>
      </c>
      <c r="H10" s="9">
        <f t="shared" si="1"/>
        <v>500</v>
      </c>
      <c r="I10" s="9">
        <f t="shared" si="2"/>
        <v>625</v>
      </c>
      <c r="J10" s="92">
        <f t="shared" si="3"/>
        <v>0.6</v>
      </c>
      <c r="K10" s="92">
        <f t="shared" si="4"/>
        <v>0.8</v>
      </c>
      <c r="L10" s="22">
        <f>GRAFICA_40!N32</f>
        <v>12</v>
      </c>
      <c r="M10" s="22">
        <f>GRAFICA_40!O32</f>
        <v>2100000</v>
      </c>
      <c r="N10" s="6">
        <f t="shared" si="5"/>
        <v>40320</v>
      </c>
    </row>
    <row r="11" spans="2:14" ht="19.05" customHeight="1" x14ac:dyDescent="0.3">
      <c r="B11" s="51">
        <v>6</v>
      </c>
      <c r="C11" s="22">
        <f>GRAFICA_40!E33</f>
        <v>375</v>
      </c>
      <c r="D11" s="22">
        <f>GRAFICA_40!F33</f>
        <v>500</v>
      </c>
      <c r="E11" s="22">
        <f>GRAFICA_40!G33</f>
        <v>750</v>
      </c>
      <c r="F11" s="22">
        <f>GRAFICA_40!H33</f>
        <v>500</v>
      </c>
      <c r="G11" s="9">
        <f t="shared" si="0"/>
        <v>375</v>
      </c>
      <c r="H11" s="9">
        <f t="shared" si="1"/>
        <v>0</v>
      </c>
      <c r="I11" s="9">
        <f t="shared" si="2"/>
        <v>375</v>
      </c>
      <c r="J11" s="92">
        <f t="shared" si="3"/>
        <v>1</v>
      </c>
      <c r="K11" s="92">
        <f t="shared" si="4"/>
        <v>0</v>
      </c>
      <c r="L11" s="22">
        <f>GRAFICA_40!N33</f>
        <v>12</v>
      </c>
      <c r="M11" s="22">
        <f>GRAFICA_40!O33</f>
        <v>2100000</v>
      </c>
      <c r="N11" s="6">
        <f t="shared" si="5"/>
        <v>67200</v>
      </c>
    </row>
    <row r="12" spans="2:14" ht="19.05" customHeight="1" x14ac:dyDescent="0.3">
      <c r="B12" s="52">
        <v>7</v>
      </c>
      <c r="C12" s="22">
        <f>GRAFICA_40!E34</f>
        <v>750</v>
      </c>
      <c r="D12" s="22">
        <f>GRAFICA_40!F34</f>
        <v>500</v>
      </c>
      <c r="E12" s="22">
        <f>GRAFICA_40!G34</f>
        <v>1125</v>
      </c>
      <c r="F12" s="22">
        <f>GRAFICA_40!H34</f>
        <v>500</v>
      </c>
      <c r="G12" s="9">
        <f t="shared" si="0"/>
        <v>375</v>
      </c>
      <c r="H12" s="9">
        <f t="shared" si="1"/>
        <v>0</v>
      </c>
      <c r="I12" s="9">
        <f t="shared" si="2"/>
        <v>375</v>
      </c>
      <c r="J12" s="92">
        <f t="shared" si="3"/>
        <v>1</v>
      </c>
      <c r="K12" s="92">
        <f t="shared" si="4"/>
        <v>0</v>
      </c>
      <c r="L12" s="22">
        <f>GRAFICA_40!N34</f>
        <v>12</v>
      </c>
      <c r="M12" s="22">
        <f>GRAFICA_40!O34</f>
        <v>2100000</v>
      </c>
      <c r="N12" s="6">
        <f t="shared" si="5"/>
        <v>67200</v>
      </c>
    </row>
    <row r="13" spans="2:14" ht="19.05" customHeight="1" x14ac:dyDescent="0.3">
      <c r="B13" s="59">
        <v>8</v>
      </c>
      <c r="C13" s="22">
        <f>GRAFICA_40!E35</f>
        <v>1125</v>
      </c>
      <c r="D13" s="22">
        <f>GRAFICA_40!F35</f>
        <v>500</v>
      </c>
      <c r="E13" s="22">
        <f>GRAFICA_40!G35</f>
        <v>1500</v>
      </c>
      <c r="F13" s="22">
        <f>GRAFICA_40!H35</f>
        <v>0</v>
      </c>
      <c r="G13" s="9">
        <f t="shared" si="0"/>
        <v>375</v>
      </c>
      <c r="H13" s="9">
        <f t="shared" si="1"/>
        <v>-500</v>
      </c>
      <c r="I13" s="9">
        <f t="shared" si="2"/>
        <v>625</v>
      </c>
      <c r="J13" s="92">
        <f t="shared" si="3"/>
        <v>0.6</v>
      </c>
      <c r="K13" s="92">
        <f t="shared" si="4"/>
        <v>-0.8</v>
      </c>
      <c r="L13" s="22">
        <f>GRAFICA_40!N35</f>
        <v>12</v>
      </c>
      <c r="M13" s="22">
        <f>GRAFICA_40!O35</f>
        <v>2100000</v>
      </c>
      <c r="N13" s="6">
        <f t="shared" si="5"/>
        <v>40320</v>
      </c>
    </row>
    <row r="14" spans="2:14" ht="19.05" customHeight="1" x14ac:dyDescent="0.3">
      <c r="B14" s="60">
        <v>9</v>
      </c>
      <c r="C14" s="22">
        <f>GRAFICA_40!E36</f>
        <v>375</v>
      </c>
      <c r="D14" s="22">
        <f>GRAFICA_40!F36</f>
        <v>500</v>
      </c>
      <c r="E14" s="22">
        <f>GRAFICA_40!G36</f>
        <v>375</v>
      </c>
      <c r="F14" s="22">
        <f>GRAFICA_40!H36</f>
        <v>0</v>
      </c>
      <c r="G14" s="9">
        <f t="shared" si="0"/>
        <v>0</v>
      </c>
      <c r="H14" s="9">
        <f t="shared" si="1"/>
        <v>-500</v>
      </c>
      <c r="I14" s="9">
        <f t="shared" si="2"/>
        <v>500</v>
      </c>
      <c r="J14" s="92">
        <f t="shared" si="3"/>
        <v>0</v>
      </c>
      <c r="K14" s="92">
        <f t="shared" si="4"/>
        <v>-1</v>
      </c>
      <c r="L14" s="22">
        <f>GRAFICA_40!N36</f>
        <v>12</v>
      </c>
      <c r="M14" s="22">
        <f>GRAFICA_40!O36</f>
        <v>2100000</v>
      </c>
      <c r="N14" s="6">
        <f t="shared" si="5"/>
        <v>50400</v>
      </c>
    </row>
    <row r="15" spans="2:14" ht="19.05" customHeight="1" x14ac:dyDescent="0.3">
      <c r="B15" s="67">
        <v>10</v>
      </c>
      <c r="C15" s="22">
        <f>GRAFICA_40!E37</f>
        <v>375</v>
      </c>
      <c r="D15" s="22">
        <f>GRAFICA_40!F37</f>
        <v>0</v>
      </c>
      <c r="E15" s="22">
        <f>GRAFICA_40!G37</f>
        <v>750</v>
      </c>
      <c r="F15" s="22">
        <f>GRAFICA_40!H37</f>
        <v>500</v>
      </c>
      <c r="G15" s="9">
        <f t="shared" si="0"/>
        <v>375</v>
      </c>
      <c r="H15" s="9">
        <f t="shared" si="1"/>
        <v>500</v>
      </c>
      <c r="I15" s="9">
        <f t="shared" si="2"/>
        <v>625</v>
      </c>
      <c r="J15" s="92">
        <f t="shared" si="3"/>
        <v>0.6</v>
      </c>
      <c r="K15" s="92">
        <f t="shared" si="4"/>
        <v>0.8</v>
      </c>
      <c r="L15" s="22">
        <f>GRAFICA_40!N37</f>
        <v>12</v>
      </c>
      <c r="M15" s="22">
        <f>GRAFICA_40!O37</f>
        <v>2100000</v>
      </c>
      <c r="N15" s="6">
        <f t="shared" si="5"/>
        <v>40320</v>
      </c>
    </row>
    <row r="16" spans="2:14" ht="19.05" customHeight="1" x14ac:dyDescent="0.3">
      <c r="B16" s="68">
        <v>11</v>
      </c>
      <c r="C16" s="22">
        <f>GRAFICA_40!E38</f>
        <v>750</v>
      </c>
      <c r="D16" s="22">
        <f>GRAFICA_40!F38</f>
        <v>500</v>
      </c>
      <c r="E16" s="22">
        <f>GRAFICA_40!G38</f>
        <v>750</v>
      </c>
      <c r="F16" s="22">
        <f>GRAFICA_40!H38</f>
        <v>0</v>
      </c>
      <c r="G16" s="9">
        <f t="shared" si="0"/>
        <v>0</v>
      </c>
      <c r="H16" s="9">
        <f t="shared" si="1"/>
        <v>-500</v>
      </c>
      <c r="I16" s="9">
        <f t="shared" si="2"/>
        <v>500</v>
      </c>
      <c r="J16" s="92">
        <f t="shared" si="3"/>
        <v>0</v>
      </c>
      <c r="K16" s="92">
        <f t="shared" si="4"/>
        <v>-1</v>
      </c>
      <c r="L16" s="22">
        <f>GRAFICA_40!N38</f>
        <v>12</v>
      </c>
      <c r="M16" s="22">
        <f>GRAFICA_40!O38</f>
        <v>2100000</v>
      </c>
      <c r="N16" s="6">
        <f t="shared" si="5"/>
        <v>50400</v>
      </c>
    </row>
    <row r="17" spans="2:14" ht="19.05" customHeight="1" x14ac:dyDescent="0.3">
      <c r="B17" s="10">
        <v>12</v>
      </c>
      <c r="C17" s="22">
        <f>GRAFICA_40!E39</f>
        <v>750</v>
      </c>
      <c r="D17" s="22">
        <f>GRAFICA_40!F39</f>
        <v>0</v>
      </c>
      <c r="E17" s="22">
        <f>GRAFICA_40!G39</f>
        <v>1125</v>
      </c>
      <c r="F17" s="22">
        <f>GRAFICA_40!H39</f>
        <v>500</v>
      </c>
      <c r="G17" s="9">
        <f t="shared" si="0"/>
        <v>375</v>
      </c>
      <c r="H17" s="9">
        <f t="shared" si="1"/>
        <v>500</v>
      </c>
      <c r="I17" s="9">
        <f t="shared" si="2"/>
        <v>625</v>
      </c>
      <c r="J17" s="92">
        <f t="shared" si="3"/>
        <v>0.6</v>
      </c>
      <c r="K17" s="92">
        <f t="shared" si="4"/>
        <v>0.8</v>
      </c>
      <c r="L17" s="22">
        <f>GRAFICA_40!N39</f>
        <v>12</v>
      </c>
      <c r="M17" s="22">
        <f>GRAFICA_40!O39</f>
        <v>2100000</v>
      </c>
      <c r="N17" s="6">
        <f t="shared" si="5"/>
        <v>40320</v>
      </c>
    </row>
    <row r="18" spans="2:14" ht="19.05" customHeight="1" x14ac:dyDescent="0.3">
      <c r="B18" s="75">
        <v>13</v>
      </c>
      <c r="C18" s="22">
        <f>GRAFICA_40!E40</f>
        <v>1125</v>
      </c>
      <c r="D18" s="22">
        <f>GRAFICA_40!F40</f>
        <v>500</v>
      </c>
      <c r="E18" s="22">
        <f>GRAFICA_40!G40</f>
        <v>1125</v>
      </c>
      <c r="F18" s="22">
        <f>GRAFICA_40!H40</f>
        <v>0</v>
      </c>
      <c r="G18" s="9">
        <f t="shared" si="0"/>
        <v>0</v>
      </c>
      <c r="H18" s="9">
        <f t="shared" si="1"/>
        <v>-500</v>
      </c>
      <c r="I18" s="9">
        <f t="shared" si="2"/>
        <v>500</v>
      </c>
      <c r="J18" s="92">
        <f t="shared" si="3"/>
        <v>0</v>
      </c>
      <c r="K18" s="92">
        <f t="shared" si="4"/>
        <v>-1</v>
      </c>
      <c r="L18" s="22">
        <f>GRAFICA_40!N40</f>
        <v>12</v>
      </c>
      <c r="M18" s="22">
        <f>GRAFICA_40!O40</f>
        <v>2100000</v>
      </c>
      <c r="N18" s="6">
        <f t="shared" si="5"/>
        <v>50400</v>
      </c>
    </row>
    <row r="20" spans="2:14" ht="18" customHeight="1" x14ac:dyDescent="0.3">
      <c r="B20" s="202" t="s">
        <v>145</v>
      </c>
      <c r="C20" s="202" t="s">
        <v>369</v>
      </c>
      <c r="D20" s="173"/>
      <c r="E20" s="202" t="s">
        <v>370</v>
      </c>
      <c r="F20" s="173"/>
    </row>
    <row r="21" spans="2:14" ht="18" customHeight="1" x14ac:dyDescent="0.3">
      <c r="B21" s="203"/>
      <c r="C21" s="81" t="s">
        <v>157</v>
      </c>
      <c r="D21" s="81" t="s">
        <v>158</v>
      </c>
      <c r="E21" s="81" t="s">
        <v>157</v>
      </c>
      <c r="F21" s="81" t="s">
        <v>158</v>
      </c>
    </row>
    <row r="22" spans="2:14" ht="19.05" customHeight="1" x14ac:dyDescent="0.3">
      <c r="B22" s="85">
        <v>1</v>
      </c>
      <c r="C22" s="23">
        <f>GRAFICA_40!C28</f>
        <v>1</v>
      </c>
      <c r="D22" s="23">
        <f>GRAFICA_40!C28</f>
        <v>1</v>
      </c>
      <c r="E22" s="23">
        <f>GRAFICA_40!D28</f>
        <v>2</v>
      </c>
      <c r="F22" s="23">
        <f>GRAFICA_40!D28</f>
        <v>2</v>
      </c>
    </row>
    <row r="23" spans="2:14" ht="19.05" customHeight="1" x14ac:dyDescent="0.3">
      <c r="B23" s="25">
        <v>2</v>
      </c>
      <c r="C23" s="23">
        <f>GRAFICA_40!C29</f>
        <v>2</v>
      </c>
      <c r="D23" s="23">
        <f>GRAFICA_40!C29</f>
        <v>2</v>
      </c>
      <c r="E23" s="23">
        <f>GRAFICA_40!D29</f>
        <v>3</v>
      </c>
      <c r="F23" s="23">
        <f>GRAFICA_40!D29</f>
        <v>3</v>
      </c>
    </row>
    <row r="24" spans="2:14" ht="19.05" customHeight="1" x14ac:dyDescent="0.3">
      <c r="B24" s="26">
        <v>3</v>
      </c>
      <c r="C24" s="23">
        <f>GRAFICA_40!C30</f>
        <v>3</v>
      </c>
      <c r="D24" s="23">
        <f>GRAFICA_40!C30</f>
        <v>3</v>
      </c>
      <c r="E24" s="23">
        <f>GRAFICA_40!D30</f>
        <v>4</v>
      </c>
      <c r="F24" s="23">
        <f>GRAFICA_40!D30</f>
        <v>4</v>
      </c>
    </row>
    <row r="25" spans="2:14" ht="19.05" customHeight="1" x14ac:dyDescent="0.3">
      <c r="B25" s="43">
        <v>4</v>
      </c>
      <c r="C25" s="23">
        <f>GRAFICA_40!C31</f>
        <v>4</v>
      </c>
      <c r="D25" s="23">
        <f>GRAFICA_40!C31</f>
        <v>4</v>
      </c>
      <c r="E25" s="23">
        <f>GRAFICA_40!D31</f>
        <v>5</v>
      </c>
      <c r="F25" s="23">
        <f>GRAFICA_40!D31</f>
        <v>5</v>
      </c>
    </row>
    <row r="26" spans="2:14" ht="19.05" customHeight="1" x14ac:dyDescent="0.3">
      <c r="B26" s="44">
        <v>5</v>
      </c>
      <c r="C26" s="23">
        <f>GRAFICA_40!C32</f>
        <v>1</v>
      </c>
      <c r="D26" s="23">
        <f>GRAFICA_40!C32</f>
        <v>1</v>
      </c>
      <c r="E26" s="23">
        <f>GRAFICA_40!D32</f>
        <v>6</v>
      </c>
      <c r="F26" s="23">
        <f>GRAFICA_40!D32</f>
        <v>6</v>
      </c>
    </row>
    <row r="27" spans="2:14" ht="19.05" customHeight="1" x14ac:dyDescent="0.3">
      <c r="B27" s="51">
        <v>6</v>
      </c>
      <c r="C27" s="23">
        <f>GRAFICA_40!C33</f>
        <v>6</v>
      </c>
      <c r="D27" s="23">
        <f>GRAFICA_40!C33</f>
        <v>6</v>
      </c>
      <c r="E27" s="23">
        <f>GRAFICA_40!D33</f>
        <v>7</v>
      </c>
      <c r="F27" s="23">
        <f>GRAFICA_40!D33</f>
        <v>7</v>
      </c>
    </row>
    <row r="28" spans="2:14" ht="19.05" customHeight="1" x14ac:dyDescent="0.3">
      <c r="B28" s="52">
        <v>7</v>
      </c>
      <c r="C28" s="23">
        <f>GRAFICA_40!C34</f>
        <v>7</v>
      </c>
      <c r="D28" s="23">
        <f>GRAFICA_40!C34</f>
        <v>7</v>
      </c>
      <c r="E28" s="23">
        <f>GRAFICA_40!D34</f>
        <v>8</v>
      </c>
      <c r="F28" s="23">
        <f>GRAFICA_40!D34</f>
        <v>8</v>
      </c>
    </row>
    <row r="29" spans="2:14" ht="19.05" customHeight="1" x14ac:dyDescent="0.3">
      <c r="B29" s="59">
        <v>8</v>
      </c>
      <c r="C29" s="23">
        <f>GRAFICA_40!C35</f>
        <v>8</v>
      </c>
      <c r="D29" s="23">
        <f>GRAFICA_40!C35</f>
        <v>8</v>
      </c>
      <c r="E29" s="23">
        <f>GRAFICA_40!D35</f>
        <v>5</v>
      </c>
      <c r="F29" s="23">
        <f>GRAFICA_40!D35</f>
        <v>5</v>
      </c>
    </row>
    <row r="30" spans="2:14" ht="19.05" customHeight="1" x14ac:dyDescent="0.3">
      <c r="B30" s="60">
        <v>9</v>
      </c>
      <c r="C30" s="23">
        <f>GRAFICA_40!C36</f>
        <v>6</v>
      </c>
      <c r="D30" s="23">
        <f>GRAFICA_40!C36</f>
        <v>6</v>
      </c>
      <c r="E30" s="23">
        <f>GRAFICA_40!D36</f>
        <v>2</v>
      </c>
      <c r="F30" s="23">
        <f>GRAFICA_40!D36</f>
        <v>2</v>
      </c>
    </row>
    <row r="31" spans="2:14" ht="19.05" customHeight="1" x14ac:dyDescent="0.3">
      <c r="B31" s="67">
        <v>10</v>
      </c>
      <c r="C31" s="23">
        <f>GRAFICA_40!C37</f>
        <v>2</v>
      </c>
      <c r="D31" s="23">
        <f>GRAFICA_40!C37</f>
        <v>2</v>
      </c>
      <c r="E31" s="23">
        <f>GRAFICA_40!D37</f>
        <v>7</v>
      </c>
      <c r="F31" s="23">
        <f>GRAFICA_40!D37</f>
        <v>7</v>
      </c>
    </row>
    <row r="32" spans="2:14" ht="19.05" customHeight="1" x14ac:dyDescent="0.3">
      <c r="B32" s="68">
        <v>11</v>
      </c>
      <c r="C32" s="23">
        <f>GRAFICA_40!C38</f>
        <v>7</v>
      </c>
      <c r="D32" s="23">
        <f>GRAFICA_40!C38</f>
        <v>7</v>
      </c>
      <c r="E32" s="23">
        <f>GRAFICA_40!D38</f>
        <v>3</v>
      </c>
      <c r="F32" s="23">
        <f>GRAFICA_40!D38</f>
        <v>3</v>
      </c>
    </row>
    <row r="33" spans="1:18" ht="19.05" customHeight="1" x14ac:dyDescent="0.3">
      <c r="B33" s="10">
        <v>12</v>
      </c>
      <c r="C33" s="23">
        <f>GRAFICA_40!C39</f>
        <v>3</v>
      </c>
      <c r="D33" s="23">
        <f>GRAFICA_40!C39</f>
        <v>3</v>
      </c>
      <c r="E33" s="23">
        <f>GRAFICA_40!D39</f>
        <v>8</v>
      </c>
      <c r="F33" s="23">
        <f>GRAFICA_40!D39</f>
        <v>8</v>
      </c>
    </row>
    <row r="34" spans="1:18" ht="19.05" customHeight="1" x14ac:dyDescent="0.3">
      <c r="B34" s="75">
        <v>13</v>
      </c>
      <c r="C34" s="23">
        <f>GRAFICA_40!C40</f>
        <v>8</v>
      </c>
      <c r="D34" s="23">
        <f>GRAFICA_40!C40</f>
        <v>8</v>
      </c>
      <c r="E34" s="23">
        <f>GRAFICA_40!D40</f>
        <v>4</v>
      </c>
      <c r="F34" s="23">
        <f>GRAFICA_40!D40</f>
        <v>4</v>
      </c>
    </row>
    <row r="37" spans="1:18" ht="18" customHeight="1" x14ac:dyDescent="0.3">
      <c r="B37" s="27" t="str">
        <f>CONCATENATE("U",C22,C$21)</f>
        <v>U1X</v>
      </c>
      <c r="C37" s="27" t="str">
        <f>CONCATENATE("U",D22,D$21)</f>
        <v>U1Y</v>
      </c>
      <c r="D37" s="27" t="str">
        <f>CONCATENATE("U",E22,E$21)</f>
        <v>U2X</v>
      </c>
      <c r="E37" s="27" t="str">
        <f>CONCATENATE("U",F22,F$21)</f>
        <v>U2Y</v>
      </c>
    </row>
    <row r="38" spans="1:18" x14ac:dyDescent="0.3">
      <c r="B38" s="7">
        <f>J6*J6*N6</f>
        <v>67200</v>
      </c>
      <c r="C38" s="7">
        <f>J6*K6*N6</f>
        <v>0</v>
      </c>
      <c r="D38" s="7">
        <f>-B38</f>
        <v>-67200</v>
      </c>
      <c r="E38" s="7">
        <f>-C38</f>
        <v>0</v>
      </c>
      <c r="F38" s="27" t="str">
        <f>B37</f>
        <v>U1X</v>
      </c>
    </row>
    <row r="39" spans="1:18" ht="16.8" customHeight="1" x14ac:dyDescent="0.3">
      <c r="A39" s="28" t="s">
        <v>177</v>
      </c>
      <c r="B39" s="7">
        <f>C38</f>
        <v>0</v>
      </c>
      <c r="C39" s="7">
        <f>K6*K6*N6</f>
        <v>0</v>
      </c>
      <c r="D39" s="7">
        <f>-B39</f>
        <v>0</v>
      </c>
      <c r="E39" s="7">
        <f>-C39</f>
        <v>0</v>
      </c>
      <c r="F39" s="27" t="str">
        <f>C37</f>
        <v>U1Y</v>
      </c>
    </row>
    <row r="40" spans="1:18" x14ac:dyDescent="0.3">
      <c r="B40" s="7">
        <f>D38</f>
        <v>-67200</v>
      </c>
      <c r="C40" s="7">
        <f>E38</f>
        <v>0</v>
      </c>
      <c r="D40" s="7">
        <f>B38</f>
        <v>67200</v>
      </c>
      <c r="E40" s="7">
        <f>C38</f>
        <v>0</v>
      </c>
      <c r="F40" s="27" t="str">
        <f>D37</f>
        <v>U2X</v>
      </c>
    </row>
    <row r="41" spans="1:18" x14ac:dyDescent="0.3">
      <c r="B41" s="7">
        <f>D39</f>
        <v>0</v>
      </c>
      <c r="C41" s="7">
        <f>E39</f>
        <v>0</v>
      </c>
      <c r="D41" s="7">
        <f>B39</f>
        <v>0</v>
      </c>
      <c r="E41" s="7">
        <f>C39</f>
        <v>0</v>
      </c>
      <c r="F41" s="27" t="str">
        <f>E37</f>
        <v>U2Y</v>
      </c>
    </row>
    <row r="43" spans="1:18" ht="18" customHeight="1" x14ac:dyDescent="0.3">
      <c r="B43" s="27" t="s">
        <v>178</v>
      </c>
      <c r="C43" s="27" t="s">
        <v>179</v>
      </c>
      <c r="D43" s="27" t="s">
        <v>180</v>
      </c>
      <c r="E43" s="27" t="s">
        <v>181</v>
      </c>
      <c r="F43" s="27" t="s">
        <v>182</v>
      </c>
      <c r="G43" s="27" t="s">
        <v>183</v>
      </c>
      <c r="H43" s="27" t="s">
        <v>184</v>
      </c>
      <c r="I43" s="27" t="s">
        <v>185</v>
      </c>
      <c r="J43" s="27" t="s">
        <v>186</v>
      </c>
      <c r="K43" s="27" t="s">
        <v>187</v>
      </c>
      <c r="L43" s="27" t="s">
        <v>188</v>
      </c>
      <c r="M43" s="27" t="s">
        <v>189</v>
      </c>
      <c r="N43" s="27" t="s">
        <v>579</v>
      </c>
      <c r="O43" s="27" t="s">
        <v>580</v>
      </c>
      <c r="P43" s="27" t="s">
        <v>601</v>
      </c>
      <c r="Q43" s="27" t="s">
        <v>602</v>
      </c>
    </row>
    <row r="44" spans="1:18" ht="19.05" customHeight="1" x14ac:dyDescent="0.3">
      <c r="B44" s="8">
        <f t="shared" ref="B44:Q53" si="6">IFERROR(INDEX($B$38:$E$41, MATCH($R44, $B$37:$E$37, 0), MATCH(B$43, $B$37:$E$37, 0)), 0)</f>
        <v>67200</v>
      </c>
      <c r="C44" s="8">
        <f t="shared" si="6"/>
        <v>0</v>
      </c>
      <c r="D44" s="8">
        <f t="shared" si="6"/>
        <v>-67200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9">
        <f t="shared" si="6"/>
        <v>0</v>
      </c>
      <c r="Q44" s="9">
        <f t="shared" si="6"/>
        <v>0</v>
      </c>
      <c r="R44" s="27" t="s">
        <v>178</v>
      </c>
    </row>
    <row r="45" spans="1:18"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9">
        <f t="shared" si="6"/>
        <v>0</v>
      </c>
      <c r="Q45" s="9">
        <f t="shared" si="6"/>
        <v>0</v>
      </c>
      <c r="R45" s="27" t="s">
        <v>179</v>
      </c>
    </row>
    <row r="46" spans="1:18" ht="19.05" customHeight="1" x14ac:dyDescent="0.3">
      <c r="B46" s="8">
        <f t="shared" si="6"/>
        <v>-67200</v>
      </c>
      <c r="C46" s="8">
        <f t="shared" si="6"/>
        <v>0</v>
      </c>
      <c r="D46" s="8">
        <f t="shared" si="6"/>
        <v>67200</v>
      </c>
      <c r="E46" s="8">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9">
        <f t="shared" si="6"/>
        <v>0</v>
      </c>
      <c r="Q46" s="9">
        <f t="shared" si="6"/>
        <v>0</v>
      </c>
      <c r="R46" s="27" t="s">
        <v>180</v>
      </c>
    </row>
    <row r="47" spans="1:18" ht="19.05" customHeight="1" x14ac:dyDescent="0.3">
      <c r="B47" s="8">
        <f t="shared" si="6"/>
        <v>0</v>
      </c>
      <c r="C47" s="8">
        <f t="shared" si="6"/>
        <v>0</v>
      </c>
      <c r="D47" s="8">
        <f t="shared" si="6"/>
        <v>0</v>
      </c>
      <c r="E47" s="8">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9">
        <f t="shared" si="6"/>
        <v>0</v>
      </c>
      <c r="Q47" s="9">
        <f t="shared" si="6"/>
        <v>0</v>
      </c>
      <c r="R47" s="27" t="s">
        <v>181</v>
      </c>
    </row>
    <row r="48" spans="1:18"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9">
        <f t="shared" si="6"/>
        <v>0</v>
      </c>
      <c r="Q48" s="9">
        <f t="shared" si="6"/>
        <v>0</v>
      </c>
      <c r="R48" s="27" t="s">
        <v>182</v>
      </c>
    </row>
    <row r="49" spans="1:18"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9">
        <f t="shared" si="6"/>
        <v>0</v>
      </c>
      <c r="Q49" s="9">
        <f t="shared" si="6"/>
        <v>0</v>
      </c>
      <c r="R49" s="27" t="s">
        <v>183</v>
      </c>
    </row>
    <row r="50" spans="1:18"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9">
        <f t="shared" si="6"/>
        <v>0</v>
      </c>
      <c r="Q50" s="9">
        <f t="shared" si="6"/>
        <v>0</v>
      </c>
      <c r="R50" s="27" t="s">
        <v>184</v>
      </c>
    </row>
    <row r="51" spans="1:18" ht="19.05" customHeight="1" x14ac:dyDescent="0.3">
      <c r="A51" s="28" t="s">
        <v>190</v>
      </c>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9">
        <f t="shared" si="6"/>
        <v>0</v>
      </c>
      <c r="Q51" s="9">
        <f t="shared" si="6"/>
        <v>0</v>
      </c>
      <c r="R51" s="27" t="s">
        <v>185</v>
      </c>
    </row>
    <row r="52" spans="1:18"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9">
        <f t="shared" si="6"/>
        <v>0</v>
      </c>
      <c r="Q52" s="9">
        <f t="shared" si="6"/>
        <v>0</v>
      </c>
      <c r="R52" s="27" t="s">
        <v>186</v>
      </c>
    </row>
    <row r="53" spans="1:18"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9">
        <f t="shared" si="6"/>
        <v>0</v>
      </c>
      <c r="Q53" s="9">
        <f t="shared" si="6"/>
        <v>0</v>
      </c>
      <c r="R53" s="27" t="s">
        <v>187</v>
      </c>
    </row>
    <row r="54" spans="1:18" ht="19.05" customHeight="1" x14ac:dyDescent="0.3">
      <c r="B54" s="9">
        <f t="shared" ref="B54:Q59" si="7">IFERROR(INDEX($B$38:$E$41, MATCH($R54, $B$37:$E$37, 0), MATCH(B$43, $B$37:$E$37, 0)), 0)</f>
        <v>0</v>
      </c>
      <c r="C54" s="9">
        <f t="shared" si="7"/>
        <v>0</v>
      </c>
      <c r="D54" s="9">
        <f t="shared" si="7"/>
        <v>0</v>
      </c>
      <c r="E54" s="9">
        <f t="shared" si="7"/>
        <v>0</v>
      </c>
      <c r="F54" s="9">
        <f t="shared" si="7"/>
        <v>0</v>
      </c>
      <c r="G54" s="9">
        <f t="shared" si="7"/>
        <v>0</v>
      </c>
      <c r="H54" s="9">
        <f t="shared" si="7"/>
        <v>0</v>
      </c>
      <c r="I54" s="9">
        <f t="shared" si="7"/>
        <v>0</v>
      </c>
      <c r="J54" s="9">
        <f t="shared" si="7"/>
        <v>0</v>
      </c>
      <c r="K54" s="9">
        <f t="shared" si="7"/>
        <v>0</v>
      </c>
      <c r="L54" s="9">
        <f t="shared" si="7"/>
        <v>0</v>
      </c>
      <c r="M54" s="9">
        <f t="shared" si="7"/>
        <v>0</v>
      </c>
      <c r="N54" s="9">
        <f t="shared" si="7"/>
        <v>0</v>
      </c>
      <c r="O54" s="9">
        <f t="shared" si="7"/>
        <v>0</v>
      </c>
      <c r="P54" s="9">
        <f t="shared" si="7"/>
        <v>0</v>
      </c>
      <c r="Q54" s="9">
        <f t="shared" si="7"/>
        <v>0</v>
      </c>
      <c r="R54" s="27" t="s">
        <v>188</v>
      </c>
    </row>
    <row r="55" spans="1:18" ht="19.05" customHeight="1" x14ac:dyDescent="0.3">
      <c r="B55" s="9">
        <f t="shared" si="7"/>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9">
        <f t="shared" si="7"/>
        <v>0</v>
      </c>
      <c r="M55" s="9">
        <f t="shared" si="7"/>
        <v>0</v>
      </c>
      <c r="N55" s="9">
        <f t="shared" si="7"/>
        <v>0</v>
      </c>
      <c r="O55" s="9">
        <f t="shared" si="7"/>
        <v>0</v>
      </c>
      <c r="P55" s="9">
        <f t="shared" si="7"/>
        <v>0</v>
      </c>
      <c r="Q55" s="9">
        <f t="shared" si="7"/>
        <v>0</v>
      </c>
      <c r="R55" s="27" t="s">
        <v>189</v>
      </c>
    </row>
    <row r="56" spans="1:18"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9">
        <f t="shared" si="7"/>
        <v>0</v>
      </c>
      <c r="M56" s="9">
        <f t="shared" si="7"/>
        <v>0</v>
      </c>
      <c r="N56" s="9">
        <f t="shared" si="7"/>
        <v>0</v>
      </c>
      <c r="O56" s="9">
        <f t="shared" si="7"/>
        <v>0</v>
      </c>
      <c r="P56" s="9">
        <f t="shared" si="7"/>
        <v>0</v>
      </c>
      <c r="Q56" s="9">
        <f t="shared" si="7"/>
        <v>0</v>
      </c>
      <c r="R56" s="27" t="s">
        <v>579</v>
      </c>
    </row>
    <row r="57" spans="1:18" ht="19.05" customHeight="1" x14ac:dyDescent="0.3">
      <c r="B57" s="9">
        <f t="shared" si="7"/>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9">
        <f t="shared" si="7"/>
        <v>0</v>
      </c>
      <c r="O57" s="9">
        <f t="shared" si="7"/>
        <v>0</v>
      </c>
      <c r="P57" s="9">
        <f t="shared" si="7"/>
        <v>0</v>
      </c>
      <c r="Q57" s="9">
        <f t="shared" si="7"/>
        <v>0</v>
      </c>
      <c r="R57" s="27" t="s">
        <v>580</v>
      </c>
    </row>
    <row r="58" spans="1:18"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9">
        <f t="shared" si="7"/>
        <v>0</v>
      </c>
      <c r="O58" s="9">
        <f t="shared" si="7"/>
        <v>0</v>
      </c>
      <c r="P58" s="9">
        <f t="shared" si="7"/>
        <v>0</v>
      </c>
      <c r="Q58" s="9">
        <f t="shared" si="7"/>
        <v>0</v>
      </c>
      <c r="R58" s="27" t="s">
        <v>601</v>
      </c>
    </row>
    <row r="59" spans="1:18"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9">
        <f t="shared" si="7"/>
        <v>0</v>
      </c>
      <c r="O59" s="9">
        <f t="shared" si="7"/>
        <v>0</v>
      </c>
      <c r="P59" s="9">
        <f t="shared" si="7"/>
        <v>0</v>
      </c>
      <c r="Q59" s="9">
        <f t="shared" si="7"/>
        <v>0</v>
      </c>
      <c r="R59" s="27" t="s">
        <v>602</v>
      </c>
    </row>
    <row r="62" spans="1:18" ht="18" customHeight="1" x14ac:dyDescent="0.3">
      <c r="B62" s="29" t="str">
        <f>CONCATENATE("U",C23,C$21)</f>
        <v>U2X</v>
      </c>
      <c r="C62" s="29" t="str">
        <f>CONCATENATE("U",D23,D$21)</f>
        <v>U2Y</v>
      </c>
      <c r="D62" s="29" t="str">
        <f>CONCATENATE("U",E23,E$21)</f>
        <v>U3X</v>
      </c>
      <c r="E62" s="29" t="str">
        <f>CONCATENATE("U",F23,F$21)</f>
        <v>U3Y</v>
      </c>
    </row>
    <row r="63" spans="1:18" x14ac:dyDescent="0.3">
      <c r="B63" s="30">
        <f>J7*J7*N7</f>
        <v>67200</v>
      </c>
      <c r="C63" s="30">
        <f>J7*K7*N7</f>
        <v>0</v>
      </c>
      <c r="D63" s="30">
        <f>-B63</f>
        <v>-67200</v>
      </c>
      <c r="E63" s="30">
        <f>-C63</f>
        <v>0</v>
      </c>
      <c r="F63" s="29" t="str">
        <f>B62</f>
        <v>U2X</v>
      </c>
    </row>
    <row r="64" spans="1:18" ht="16.8" customHeight="1" x14ac:dyDescent="0.3">
      <c r="A64" s="28" t="s">
        <v>191</v>
      </c>
      <c r="B64" s="30">
        <f>C63</f>
        <v>0</v>
      </c>
      <c r="C64" s="30">
        <f>K7*K7*N7</f>
        <v>0</v>
      </c>
      <c r="D64" s="30">
        <f>-B64</f>
        <v>0</v>
      </c>
      <c r="E64" s="30">
        <f>-C64</f>
        <v>0</v>
      </c>
      <c r="F64" s="29" t="str">
        <f>C62</f>
        <v>U2Y</v>
      </c>
    </row>
    <row r="65" spans="1:18" x14ac:dyDescent="0.3">
      <c r="B65" s="30">
        <f>D63</f>
        <v>-67200</v>
      </c>
      <c r="C65" s="30">
        <f>E63</f>
        <v>0</v>
      </c>
      <c r="D65" s="30">
        <f>B63</f>
        <v>67200</v>
      </c>
      <c r="E65" s="30">
        <f>C63</f>
        <v>0</v>
      </c>
      <c r="F65" s="29" t="str">
        <f>D62</f>
        <v>U3X</v>
      </c>
    </row>
    <row r="66" spans="1:18" x14ac:dyDescent="0.3">
      <c r="B66" s="30">
        <f>D64</f>
        <v>0</v>
      </c>
      <c r="C66" s="30">
        <f>E64</f>
        <v>0</v>
      </c>
      <c r="D66" s="30">
        <f>B64</f>
        <v>0</v>
      </c>
      <c r="E66" s="30">
        <f>C64</f>
        <v>0</v>
      </c>
      <c r="F66" s="29" t="str">
        <f>E62</f>
        <v>U3Y</v>
      </c>
    </row>
    <row r="68" spans="1:18" ht="18" customHeight="1" x14ac:dyDescent="0.3">
      <c r="B68" s="29" t="s">
        <v>178</v>
      </c>
      <c r="C68" s="29" t="s">
        <v>179</v>
      </c>
      <c r="D68" s="29" t="s">
        <v>180</v>
      </c>
      <c r="E68" s="29" t="s">
        <v>181</v>
      </c>
      <c r="F68" s="29" t="s">
        <v>182</v>
      </c>
      <c r="G68" s="29" t="s">
        <v>183</v>
      </c>
      <c r="H68" s="29" t="s">
        <v>184</v>
      </c>
      <c r="I68" s="29" t="s">
        <v>185</v>
      </c>
      <c r="J68" s="29" t="s">
        <v>186</v>
      </c>
      <c r="K68" s="29" t="s">
        <v>187</v>
      </c>
      <c r="L68" s="29" t="s">
        <v>188</v>
      </c>
      <c r="M68" s="29" t="s">
        <v>189</v>
      </c>
      <c r="N68" s="29" t="s">
        <v>579</v>
      </c>
      <c r="O68" s="29" t="s">
        <v>580</v>
      </c>
      <c r="P68" s="29" t="s">
        <v>601</v>
      </c>
      <c r="Q68" s="29" t="s">
        <v>602</v>
      </c>
    </row>
    <row r="69" spans="1:18" ht="19.05" customHeight="1" x14ac:dyDescent="0.3">
      <c r="B69" s="9">
        <f t="shared" ref="B69:Q78" si="8">IFERROR(INDEX($B$63:$E$66, MATCH($R69, $B$62:$E$62, 0), MATCH(B$68, $B$62:$E$62, 0)), 0)</f>
        <v>0</v>
      </c>
      <c r="C69" s="9">
        <f t="shared" si="8"/>
        <v>0</v>
      </c>
      <c r="D69" s="9">
        <f t="shared" si="8"/>
        <v>0</v>
      </c>
      <c r="E69" s="9">
        <f t="shared" si="8"/>
        <v>0</v>
      </c>
      <c r="F69" s="9">
        <f t="shared" si="8"/>
        <v>0</v>
      </c>
      <c r="G69" s="9">
        <f t="shared" si="8"/>
        <v>0</v>
      </c>
      <c r="H69" s="9">
        <f t="shared" si="8"/>
        <v>0</v>
      </c>
      <c r="I69" s="9">
        <f t="shared" si="8"/>
        <v>0</v>
      </c>
      <c r="J69" s="9">
        <f t="shared" si="8"/>
        <v>0</v>
      </c>
      <c r="K69" s="9">
        <f t="shared" si="8"/>
        <v>0</v>
      </c>
      <c r="L69" s="9">
        <f t="shared" si="8"/>
        <v>0</v>
      </c>
      <c r="M69" s="9">
        <f t="shared" si="8"/>
        <v>0</v>
      </c>
      <c r="N69" s="9">
        <f t="shared" si="8"/>
        <v>0</v>
      </c>
      <c r="O69" s="9">
        <f t="shared" si="8"/>
        <v>0</v>
      </c>
      <c r="P69" s="9">
        <f t="shared" si="8"/>
        <v>0</v>
      </c>
      <c r="Q69" s="9">
        <f t="shared" si="8"/>
        <v>0</v>
      </c>
      <c r="R69" s="29" t="s">
        <v>178</v>
      </c>
    </row>
    <row r="70" spans="1:18" ht="19.05" customHeight="1" x14ac:dyDescent="0.3">
      <c r="B70" s="9">
        <f t="shared" si="8"/>
        <v>0</v>
      </c>
      <c r="C70" s="9">
        <f t="shared" si="8"/>
        <v>0</v>
      </c>
      <c r="D70" s="9">
        <f t="shared" si="8"/>
        <v>0</v>
      </c>
      <c r="E70" s="9">
        <f t="shared" si="8"/>
        <v>0</v>
      </c>
      <c r="F70" s="9">
        <f t="shared" si="8"/>
        <v>0</v>
      </c>
      <c r="G70" s="9">
        <f t="shared" si="8"/>
        <v>0</v>
      </c>
      <c r="H70" s="9">
        <f t="shared" si="8"/>
        <v>0</v>
      </c>
      <c r="I70" s="9">
        <f t="shared" si="8"/>
        <v>0</v>
      </c>
      <c r="J70" s="9">
        <f t="shared" si="8"/>
        <v>0</v>
      </c>
      <c r="K70" s="9">
        <f t="shared" si="8"/>
        <v>0</v>
      </c>
      <c r="L70" s="9">
        <f t="shared" si="8"/>
        <v>0</v>
      </c>
      <c r="M70" s="9">
        <f t="shared" si="8"/>
        <v>0</v>
      </c>
      <c r="N70" s="9">
        <f t="shared" si="8"/>
        <v>0</v>
      </c>
      <c r="O70" s="9">
        <f t="shared" si="8"/>
        <v>0</v>
      </c>
      <c r="P70" s="9">
        <f t="shared" si="8"/>
        <v>0</v>
      </c>
      <c r="Q70" s="9">
        <f t="shared" si="8"/>
        <v>0</v>
      </c>
      <c r="R70" s="29" t="s">
        <v>179</v>
      </c>
    </row>
    <row r="71" spans="1:18" ht="19.05" customHeight="1" x14ac:dyDescent="0.3">
      <c r="B71" s="9">
        <f t="shared" si="8"/>
        <v>0</v>
      </c>
      <c r="C71" s="9">
        <f t="shared" si="8"/>
        <v>0</v>
      </c>
      <c r="D71" s="31">
        <f t="shared" si="8"/>
        <v>67200</v>
      </c>
      <c r="E71" s="31">
        <f t="shared" si="8"/>
        <v>0</v>
      </c>
      <c r="F71" s="31">
        <f t="shared" si="8"/>
        <v>-67200</v>
      </c>
      <c r="G71" s="31">
        <f t="shared" si="8"/>
        <v>0</v>
      </c>
      <c r="H71" s="9">
        <f t="shared" si="8"/>
        <v>0</v>
      </c>
      <c r="I71" s="9">
        <f t="shared" si="8"/>
        <v>0</v>
      </c>
      <c r="J71" s="9">
        <f t="shared" si="8"/>
        <v>0</v>
      </c>
      <c r="K71" s="9">
        <f t="shared" si="8"/>
        <v>0</v>
      </c>
      <c r="L71" s="9">
        <f t="shared" si="8"/>
        <v>0</v>
      </c>
      <c r="M71" s="9">
        <f t="shared" si="8"/>
        <v>0</v>
      </c>
      <c r="N71" s="9">
        <f t="shared" si="8"/>
        <v>0</v>
      </c>
      <c r="O71" s="9">
        <f t="shared" si="8"/>
        <v>0</v>
      </c>
      <c r="P71" s="9">
        <f t="shared" si="8"/>
        <v>0</v>
      </c>
      <c r="Q71" s="9">
        <f t="shared" si="8"/>
        <v>0</v>
      </c>
      <c r="R71" s="29" t="s">
        <v>180</v>
      </c>
    </row>
    <row r="72" spans="1:18" ht="19.05" customHeight="1" x14ac:dyDescent="0.3">
      <c r="B72" s="9">
        <f t="shared" si="8"/>
        <v>0</v>
      </c>
      <c r="C72" s="9">
        <f t="shared" si="8"/>
        <v>0</v>
      </c>
      <c r="D72" s="31">
        <f t="shared" si="8"/>
        <v>0</v>
      </c>
      <c r="E72" s="31">
        <f t="shared" si="8"/>
        <v>0</v>
      </c>
      <c r="F72" s="31">
        <f t="shared" si="8"/>
        <v>0</v>
      </c>
      <c r="G72" s="31">
        <f t="shared" si="8"/>
        <v>0</v>
      </c>
      <c r="H72" s="9">
        <f t="shared" si="8"/>
        <v>0</v>
      </c>
      <c r="I72" s="9">
        <f t="shared" si="8"/>
        <v>0</v>
      </c>
      <c r="J72" s="9">
        <f t="shared" si="8"/>
        <v>0</v>
      </c>
      <c r="K72" s="9">
        <f t="shared" si="8"/>
        <v>0</v>
      </c>
      <c r="L72" s="9">
        <f t="shared" si="8"/>
        <v>0</v>
      </c>
      <c r="M72" s="9">
        <f t="shared" si="8"/>
        <v>0</v>
      </c>
      <c r="N72" s="9">
        <f t="shared" si="8"/>
        <v>0</v>
      </c>
      <c r="O72" s="9">
        <f t="shared" si="8"/>
        <v>0</v>
      </c>
      <c r="P72" s="9">
        <f t="shared" si="8"/>
        <v>0</v>
      </c>
      <c r="Q72" s="9">
        <f t="shared" si="8"/>
        <v>0</v>
      </c>
      <c r="R72" s="29" t="s">
        <v>181</v>
      </c>
    </row>
    <row r="73" spans="1:18" ht="19.05" customHeight="1" x14ac:dyDescent="0.3">
      <c r="B73" s="9">
        <f t="shared" si="8"/>
        <v>0</v>
      </c>
      <c r="C73" s="9">
        <f t="shared" si="8"/>
        <v>0</v>
      </c>
      <c r="D73" s="31">
        <f t="shared" si="8"/>
        <v>-67200</v>
      </c>
      <c r="E73" s="31">
        <f t="shared" si="8"/>
        <v>0</v>
      </c>
      <c r="F73" s="31">
        <f t="shared" si="8"/>
        <v>67200</v>
      </c>
      <c r="G73" s="31">
        <f t="shared" si="8"/>
        <v>0</v>
      </c>
      <c r="H73" s="9">
        <f t="shared" si="8"/>
        <v>0</v>
      </c>
      <c r="I73" s="9">
        <f t="shared" si="8"/>
        <v>0</v>
      </c>
      <c r="J73" s="9">
        <f t="shared" si="8"/>
        <v>0</v>
      </c>
      <c r="K73" s="9">
        <f t="shared" si="8"/>
        <v>0</v>
      </c>
      <c r="L73" s="9">
        <f t="shared" si="8"/>
        <v>0</v>
      </c>
      <c r="M73" s="9">
        <f t="shared" si="8"/>
        <v>0</v>
      </c>
      <c r="N73" s="9">
        <f t="shared" si="8"/>
        <v>0</v>
      </c>
      <c r="O73" s="9">
        <f t="shared" si="8"/>
        <v>0</v>
      </c>
      <c r="P73" s="9">
        <f t="shared" si="8"/>
        <v>0</v>
      </c>
      <c r="Q73" s="9">
        <f t="shared" si="8"/>
        <v>0</v>
      </c>
      <c r="R73" s="29" t="s">
        <v>182</v>
      </c>
    </row>
    <row r="74" spans="1:18" ht="19.05" customHeight="1" x14ac:dyDescent="0.3">
      <c r="B74" s="9">
        <f t="shared" si="8"/>
        <v>0</v>
      </c>
      <c r="C74" s="9">
        <f t="shared" si="8"/>
        <v>0</v>
      </c>
      <c r="D74" s="31">
        <f t="shared" si="8"/>
        <v>0</v>
      </c>
      <c r="E74" s="31">
        <f t="shared" si="8"/>
        <v>0</v>
      </c>
      <c r="F74" s="31">
        <f t="shared" si="8"/>
        <v>0</v>
      </c>
      <c r="G74" s="31">
        <f t="shared" si="8"/>
        <v>0</v>
      </c>
      <c r="H74" s="9">
        <f t="shared" si="8"/>
        <v>0</v>
      </c>
      <c r="I74" s="9">
        <f t="shared" si="8"/>
        <v>0</v>
      </c>
      <c r="J74" s="9">
        <f t="shared" si="8"/>
        <v>0</v>
      </c>
      <c r="K74" s="9">
        <f t="shared" si="8"/>
        <v>0</v>
      </c>
      <c r="L74" s="9">
        <f t="shared" si="8"/>
        <v>0</v>
      </c>
      <c r="M74" s="9">
        <f t="shared" si="8"/>
        <v>0</v>
      </c>
      <c r="N74" s="9">
        <f t="shared" si="8"/>
        <v>0</v>
      </c>
      <c r="O74" s="9">
        <f t="shared" si="8"/>
        <v>0</v>
      </c>
      <c r="P74" s="9">
        <f t="shared" si="8"/>
        <v>0</v>
      </c>
      <c r="Q74" s="9">
        <f t="shared" si="8"/>
        <v>0</v>
      </c>
      <c r="R74" s="29" t="s">
        <v>183</v>
      </c>
    </row>
    <row r="75" spans="1:18"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9">
        <f t="shared" si="8"/>
        <v>0</v>
      </c>
      <c r="M75" s="9">
        <f t="shared" si="8"/>
        <v>0</v>
      </c>
      <c r="N75" s="9">
        <f t="shared" si="8"/>
        <v>0</v>
      </c>
      <c r="O75" s="9">
        <f t="shared" si="8"/>
        <v>0</v>
      </c>
      <c r="P75" s="9">
        <f t="shared" si="8"/>
        <v>0</v>
      </c>
      <c r="Q75" s="9">
        <f t="shared" si="8"/>
        <v>0</v>
      </c>
      <c r="R75" s="29" t="s">
        <v>184</v>
      </c>
    </row>
    <row r="76" spans="1:18" ht="19.05" customHeight="1" x14ac:dyDescent="0.3">
      <c r="A76" s="28" t="s">
        <v>192</v>
      </c>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9">
        <f t="shared" si="8"/>
        <v>0</v>
      </c>
      <c r="M76" s="9">
        <f t="shared" si="8"/>
        <v>0</v>
      </c>
      <c r="N76" s="9">
        <f t="shared" si="8"/>
        <v>0</v>
      </c>
      <c r="O76" s="9">
        <f t="shared" si="8"/>
        <v>0</v>
      </c>
      <c r="P76" s="9">
        <f t="shared" si="8"/>
        <v>0</v>
      </c>
      <c r="Q76" s="9">
        <f t="shared" si="8"/>
        <v>0</v>
      </c>
      <c r="R76" s="29" t="s">
        <v>185</v>
      </c>
    </row>
    <row r="77" spans="1:18"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9">
        <f t="shared" si="8"/>
        <v>0</v>
      </c>
      <c r="M77" s="9">
        <f t="shared" si="8"/>
        <v>0</v>
      </c>
      <c r="N77" s="9">
        <f t="shared" si="8"/>
        <v>0</v>
      </c>
      <c r="O77" s="9">
        <f t="shared" si="8"/>
        <v>0</v>
      </c>
      <c r="P77" s="9">
        <f t="shared" si="8"/>
        <v>0</v>
      </c>
      <c r="Q77" s="9">
        <f t="shared" si="8"/>
        <v>0</v>
      </c>
      <c r="R77" s="29" t="s">
        <v>186</v>
      </c>
    </row>
    <row r="78" spans="1:18" ht="19.05" customHeight="1" x14ac:dyDescent="0.3">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9">
        <f t="shared" si="8"/>
        <v>0</v>
      </c>
      <c r="O78" s="9">
        <f t="shared" si="8"/>
        <v>0</v>
      </c>
      <c r="P78" s="9">
        <f t="shared" si="8"/>
        <v>0</v>
      </c>
      <c r="Q78" s="9">
        <f t="shared" si="8"/>
        <v>0</v>
      </c>
      <c r="R78" s="29" t="s">
        <v>187</v>
      </c>
    </row>
    <row r="79" spans="1:18" ht="19.05" customHeight="1" x14ac:dyDescent="0.3">
      <c r="B79" s="9">
        <f t="shared" ref="B79:Q84" si="9">IFERROR(INDEX($B$63:$E$66, MATCH($R79, $B$62:$E$62, 0), MATCH(B$68, $B$62:$E$62, 0)), 0)</f>
        <v>0</v>
      </c>
      <c r="C79" s="9">
        <f t="shared" si="9"/>
        <v>0</v>
      </c>
      <c r="D79" s="9">
        <f t="shared" si="9"/>
        <v>0</v>
      </c>
      <c r="E79" s="9">
        <f t="shared" si="9"/>
        <v>0</v>
      </c>
      <c r="F79" s="9">
        <f t="shared" si="9"/>
        <v>0</v>
      </c>
      <c r="G79" s="9">
        <f t="shared" si="9"/>
        <v>0</v>
      </c>
      <c r="H79" s="9">
        <f t="shared" si="9"/>
        <v>0</v>
      </c>
      <c r="I79" s="9">
        <f t="shared" si="9"/>
        <v>0</v>
      </c>
      <c r="J79" s="9">
        <f t="shared" si="9"/>
        <v>0</v>
      </c>
      <c r="K79" s="9">
        <f t="shared" si="9"/>
        <v>0</v>
      </c>
      <c r="L79" s="9">
        <f t="shared" si="9"/>
        <v>0</v>
      </c>
      <c r="M79" s="9">
        <f t="shared" si="9"/>
        <v>0</v>
      </c>
      <c r="N79" s="9">
        <f t="shared" si="9"/>
        <v>0</v>
      </c>
      <c r="O79" s="9">
        <f t="shared" si="9"/>
        <v>0</v>
      </c>
      <c r="P79" s="9">
        <f t="shared" si="9"/>
        <v>0</v>
      </c>
      <c r="Q79" s="9">
        <f t="shared" si="9"/>
        <v>0</v>
      </c>
      <c r="R79" s="29" t="s">
        <v>188</v>
      </c>
    </row>
    <row r="80" spans="1:18" ht="19.05" customHeight="1" x14ac:dyDescent="0.3">
      <c r="B80" s="9">
        <f t="shared" si="9"/>
        <v>0</v>
      </c>
      <c r="C80" s="9">
        <f t="shared" si="9"/>
        <v>0</v>
      </c>
      <c r="D80" s="9">
        <f t="shared" si="9"/>
        <v>0</v>
      </c>
      <c r="E80" s="9">
        <f t="shared" si="9"/>
        <v>0</v>
      </c>
      <c r="F80" s="9">
        <f t="shared" si="9"/>
        <v>0</v>
      </c>
      <c r="G80" s="9">
        <f t="shared" si="9"/>
        <v>0</v>
      </c>
      <c r="H80" s="9">
        <f t="shared" si="9"/>
        <v>0</v>
      </c>
      <c r="I80" s="9">
        <f t="shared" si="9"/>
        <v>0</v>
      </c>
      <c r="J80" s="9">
        <f t="shared" si="9"/>
        <v>0</v>
      </c>
      <c r="K80" s="9">
        <f t="shared" si="9"/>
        <v>0</v>
      </c>
      <c r="L80" s="9">
        <f t="shared" si="9"/>
        <v>0</v>
      </c>
      <c r="M80" s="9">
        <f t="shared" si="9"/>
        <v>0</v>
      </c>
      <c r="N80" s="9">
        <f t="shared" si="9"/>
        <v>0</v>
      </c>
      <c r="O80" s="9">
        <f t="shared" si="9"/>
        <v>0</v>
      </c>
      <c r="P80" s="9">
        <f t="shared" si="9"/>
        <v>0</v>
      </c>
      <c r="Q80" s="9">
        <f t="shared" si="9"/>
        <v>0</v>
      </c>
      <c r="R80" s="29" t="s">
        <v>189</v>
      </c>
    </row>
    <row r="81" spans="1:18" ht="19.05" customHeight="1" x14ac:dyDescent="0.3">
      <c r="B81" s="9">
        <f t="shared" si="9"/>
        <v>0</v>
      </c>
      <c r="C81" s="9">
        <f t="shared" si="9"/>
        <v>0</v>
      </c>
      <c r="D81" s="9">
        <f t="shared" si="9"/>
        <v>0</v>
      </c>
      <c r="E81" s="9">
        <f t="shared" si="9"/>
        <v>0</v>
      </c>
      <c r="F81" s="9">
        <f t="shared" si="9"/>
        <v>0</v>
      </c>
      <c r="G81" s="9">
        <f t="shared" si="9"/>
        <v>0</v>
      </c>
      <c r="H81" s="9">
        <f t="shared" si="9"/>
        <v>0</v>
      </c>
      <c r="I81" s="9">
        <f t="shared" si="9"/>
        <v>0</v>
      </c>
      <c r="J81" s="9">
        <f t="shared" si="9"/>
        <v>0</v>
      </c>
      <c r="K81" s="9">
        <f t="shared" si="9"/>
        <v>0</v>
      </c>
      <c r="L81" s="9">
        <f t="shared" si="9"/>
        <v>0</v>
      </c>
      <c r="M81" s="9">
        <f t="shared" si="9"/>
        <v>0</v>
      </c>
      <c r="N81" s="9">
        <f t="shared" si="9"/>
        <v>0</v>
      </c>
      <c r="O81" s="9">
        <f t="shared" si="9"/>
        <v>0</v>
      </c>
      <c r="P81" s="9">
        <f t="shared" si="9"/>
        <v>0</v>
      </c>
      <c r="Q81" s="9">
        <f t="shared" si="9"/>
        <v>0</v>
      </c>
      <c r="R81" s="29" t="s">
        <v>579</v>
      </c>
    </row>
    <row r="82" spans="1:18" ht="19.05" customHeight="1" x14ac:dyDescent="0.3">
      <c r="B82" s="9">
        <f t="shared" si="9"/>
        <v>0</v>
      </c>
      <c r="C82" s="9">
        <f t="shared" si="9"/>
        <v>0</v>
      </c>
      <c r="D82" s="9">
        <f t="shared" si="9"/>
        <v>0</v>
      </c>
      <c r="E82" s="9">
        <f t="shared" si="9"/>
        <v>0</v>
      </c>
      <c r="F82" s="9">
        <f t="shared" si="9"/>
        <v>0</v>
      </c>
      <c r="G82" s="9">
        <f t="shared" si="9"/>
        <v>0</v>
      </c>
      <c r="H82" s="9">
        <f t="shared" si="9"/>
        <v>0</v>
      </c>
      <c r="I82" s="9">
        <f t="shared" si="9"/>
        <v>0</v>
      </c>
      <c r="J82" s="9">
        <f t="shared" si="9"/>
        <v>0</v>
      </c>
      <c r="K82" s="9">
        <f t="shared" si="9"/>
        <v>0</v>
      </c>
      <c r="L82" s="9">
        <f t="shared" si="9"/>
        <v>0</v>
      </c>
      <c r="M82" s="9">
        <f t="shared" si="9"/>
        <v>0</v>
      </c>
      <c r="N82" s="9">
        <f t="shared" si="9"/>
        <v>0</v>
      </c>
      <c r="O82" s="9">
        <f t="shared" si="9"/>
        <v>0</v>
      </c>
      <c r="P82" s="9">
        <f t="shared" si="9"/>
        <v>0</v>
      </c>
      <c r="Q82" s="9">
        <f t="shared" si="9"/>
        <v>0</v>
      </c>
      <c r="R82" s="29" t="s">
        <v>580</v>
      </c>
    </row>
    <row r="83" spans="1:18" ht="19.05" customHeight="1" x14ac:dyDescent="0.3">
      <c r="B83" s="9">
        <f t="shared" si="9"/>
        <v>0</v>
      </c>
      <c r="C83" s="9">
        <f t="shared" si="9"/>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0</v>
      </c>
      <c r="P83" s="9">
        <f t="shared" si="9"/>
        <v>0</v>
      </c>
      <c r="Q83" s="9">
        <f t="shared" si="9"/>
        <v>0</v>
      </c>
      <c r="R83" s="29" t="s">
        <v>601</v>
      </c>
    </row>
    <row r="84" spans="1:18" ht="19.05" customHeight="1" x14ac:dyDescent="0.3">
      <c r="B84" s="9">
        <f t="shared" si="9"/>
        <v>0</v>
      </c>
      <c r="C84" s="9">
        <f t="shared" si="9"/>
        <v>0</v>
      </c>
      <c r="D84" s="9">
        <f t="shared" si="9"/>
        <v>0</v>
      </c>
      <c r="E84" s="9">
        <f t="shared" si="9"/>
        <v>0</v>
      </c>
      <c r="F84" s="9">
        <f t="shared" si="9"/>
        <v>0</v>
      </c>
      <c r="G84" s="9">
        <f t="shared" si="9"/>
        <v>0</v>
      </c>
      <c r="H84" s="9">
        <f t="shared" si="9"/>
        <v>0</v>
      </c>
      <c r="I84" s="9">
        <f t="shared" si="9"/>
        <v>0</v>
      </c>
      <c r="J84" s="9">
        <f t="shared" si="9"/>
        <v>0</v>
      </c>
      <c r="K84" s="9">
        <f t="shared" si="9"/>
        <v>0</v>
      </c>
      <c r="L84" s="9">
        <f t="shared" si="9"/>
        <v>0</v>
      </c>
      <c r="M84" s="9">
        <f t="shared" si="9"/>
        <v>0</v>
      </c>
      <c r="N84" s="9">
        <f t="shared" si="9"/>
        <v>0</v>
      </c>
      <c r="O84" s="9">
        <f t="shared" si="9"/>
        <v>0</v>
      </c>
      <c r="P84" s="9">
        <f t="shared" si="9"/>
        <v>0</v>
      </c>
      <c r="Q84" s="9">
        <f t="shared" si="9"/>
        <v>0</v>
      </c>
      <c r="R84" s="29" t="s">
        <v>602</v>
      </c>
    </row>
    <row r="87" spans="1:18" ht="18" customHeight="1" x14ac:dyDescent="0.3">
      <c r="B87" s="32" t="str">
        <f>CONCATENATE("U",C24,C$21)</f>
        <v>U3X</v>
      </c>
      <c r="C87" s="32" t="str">
        <f>CONCATENATE("U",D24,D$21)</f>
        <v>U3Y</v>
      </c>
      <c r="D87" s="32" t="str">
        <f>CONCATENATE("U",E24,E$21)</f>
        <v>U4X</v>
      </c>
      <c r="E87" s="32" t="str">
        <f>CONCATENATE("U",F24,F$21)</f>
        <v>U4Y</v>
      </c>
    </row>
    <row r="88" spans="1:18" x14ac:dyDescent="0.3">
      <c r="B88" s="33">
        <f>J8*J8*N8</f>
        <v>67200</v>
      </c>
      <c r="C88" s="33">
        <f>J8*K8*N8</f>
        <v>0</v>
      </c>
      <c r="D88" s="33">
        <f>-B88</f>
        <v>-67200</v>
      </c>
      <c r="E88" s="33">
        <f>-C88</f>
        <v>0</v>
      </c>
      <c r="F88" s="32" t="str">
        <f>B87</f>
        <v>U3X</v>
      </c>
    </row>
    <row r="89" spans="1:18" ht="16.8" customHeight="1" x14ac:dyDescent="0.3">
      <c r="A89" s="28" t="s">
        <v>193</v>
      </c>
      <c r="B89" s="33">
        <f>C88</f>
        <v>0</v>
      </c>
      <c r="C89" s="33">
        <f>K8*K8*N8</f>
        <v>0</v>
      </c>
      <c r="D89" s="33">
        <f>-B89</f>
        <v>0</v>
      </c>
      <c r="E89" s="33">
        <f>-C89</f>
        <v>0</v>
      </c>
      <c r="F89" s="32" t="str">
        <f>C87</f>
        <v>U3Y</v>
      </c>
    </row>
    <row r="90" spans="1:18" x14ac:dyDescent="0.3">
      <c r="B90" s="33">
        <f>D88</f>
        <v>-67200</v>
      </c>
      <c r="C90" s="33">
        <f>E88</f>
        <v>0</v>
      </c>
      <c r="D90" s="33">
        <f>B88</f>
        <v>67200</v>
      </c>
      <c r="E90" s="33">
        <f>C88</f>
        <v>0</v>
      </c>
      <c r="F90" s="32" t="str">
        <f>D87</f>
        <v>U4X</v>
      </c>
    </row>
    <row r="91" spans="1:18" x14ac:dyDescent="0.3">
      <c r="B91" s="33">
        <f>D89</f>
        <v>0</v>
      </c>
      <c r="C91" s="33">
        <f>E89</f>
        <v>0</v>
      </c>
      <c r="D91" s="33">
        <f>B89</f>
        <v>0</v>
      </c>
      <c r="E91" s="33">
        <f>C89</f>
        <v>0</v>
      </c>
      <c r="F91" s="32" t="str">
        <f>E87</f>
        <v>U4Y</v>
      </c>
    </row>
    <row r="93" spans="1:18" ht="18" customHeight="1" x14ac:dyDescent="0.3">
      <c r="B93" s="32" t="s">
        <v>178</v>
      </c>
      <c r="C93" s="32" t="s">
        <v>179</v>
      </c>
      <c r="D93" s="32" t="s">
        <v>180</v>
      </c>
      <c r="E93" s="32" t="s">
        <v>181</v>
      </c>
      <c r="F93" s="32" t="s">
        <v>182</v>
      </c>
      <c r="G93" s="32" t="s">
        <v>183</v>
      </c>
      <c r="H93" s="32" t="s">
        <v>184</v>
      </c>
      <c r="I93" s="32" t="s">
        <v>185</v>
      </c>
      <c r="J93" s="32" t="s">
        <v>186</v>
      </c>
      <c r="K93" s="32" t="s">
        <v>187</v>
      </c>
      <c r="L93" s="32" t="s">
        <v>188</v>
      </c>
      <c r="M93" s="32" t="s">
        <v>189</v>
      </c>
      <c r="N93" s="32" t="s">
        <v>579</v>
      </c>
      <c r="O93" s="32" t="s">
        <v>580</v>
      </c>
      <c r="P93" s="32" t="s">
        <v>601</v>
      </c>
      <c r="Q93" s="32" t="s">
        <v>602</v>
      </c>
    </row>
    <row r="94" spans="1:18" ht="19.05" customHeight="1" x14ac:dyDescent="0.3">
      <c r="B94" s="9">
        <f t="shared" ref="B94:Q103" si="10">IFERROR(INDEX($B$88:$E$91, MATCH($R94, $B$87:$E$87, 0), MATCH(B$93, $B$87:$E$87, 0)), 0)</f>
        <v>0</v>
      </c>
      <c r="C94" s="9">
        <f t="shared" si="10"/>
        <v>0</v>
      </c>
      <c r="D94" s="9">
        <f t="shared" si="10"/>
        <v>0</v>
      </c>
      <c r="E94" s="9">
        <f t="shared" si="10"/>
        <v>0</v>
      </c>
      <c r="F94" s="9">
        <f t="shared" si="10"/>
        <v>0</v>
      </c>
      <c r="G94" s="9">
        <f t="shared" si="10"/>
        <v>0</v>
      </c>
      <c r="H94" s="9">
        <f t="shared" si="10"/>
        <v>0</v>
      </c>
      <c r="I94" s="9">
        <f t="shared" si="10"/>
        <v>0</v>
      </c>
      <c r="J94" s="9">
        <f t="shared" si="10"/>
        <v>0</v>
      </c>
      <c r="K94" s="9">
        <f t="shared" si="10"/>
        <v>0</v>
      </c>
      <c r="L94" s="9">
        <f t="shared" si="10"/>
        <v>0</v>
      </c>
      <c r="M94" s="9">
        <f t="shared" si="10"/>
        <v>0</v>
      </c>
      <c r="N94" s="9">
        <f t="shared" si="10"/>
        <v>0</v>
      </c>
      <c r="O94" s="9">
        <f t="shared" si="10"/>
        <v>0</v>
      </c>
      <c r="P94" s="9">
        <f t="shared" si="10"/>
        <v>0</v>
      </c>
      <c r="Q94" s="9">
        <f t="shared" si="10"/>
        <v>0</v>
      </c>
      <c r="R94" s="32" t="s">
        <v>178</v>
      </c>
    </row>
    <row r="95" spans="1:18" ht="19.05" customHeight="1" x14ac:dyDescent="0.3">
      <c r="B95" s="9">
        <f t="shared" si="10"/>
        <v>0</v>
      </c>
      <c r="C95" s="9">
        <f t="shared" si="10"/>
        <v>0</v>
      </c>
      <c r="D95" s="9">
        <f t="shared" si="10"/>
        <v>0</v>
      </c>
      <c r="E95" s="9">
        <f t="shared" si="10"/>
        <v>0</v>
      </c>
      <c r="F95" s="9">
        <f t="shared" si="10"/>
        <v>0</v>
      </c>
      <c r="G95" s="9">
        <f t="shared" si="10"/>
        <v>0</v>
      </c>
      <c r="H95" s="9">
        <f t="shared" si="10"/>
        <v>0</v>
      </c>
      <c r="I95" s="9">
        <f t="shared" si="10"/>
        <v>0</v>
      </c>
      <c r="J95" s="9">
        <f t="shared" si="10"/>
        <v>0</v>
      </c>
      <c r="K95" s="9">
        <f t="shared" si="10"/>
        <v>0</v>
      </c>
      <c r="L95" s="9">
        <f t="shared" si="10"/>
        <v>0</v>
      </c>
      <c r="M95" s="9">
        <f t="shared" si="10"/>
        <v>0</v>
      </c>
      <c r="N95" s="9">
        <f t="shared" si="10"/>
        <v>0</v>
      </c>
      <c r="O95" s="9">
        <f t="shared" si="10"/>
        <v>0</v>
      </c>
      <c r="P95" s="9">
        <f t="shared" si="10"/>
        <v>0</v>
      </c>
      <c r="Q95" s="9">
        <f t="shared" si="10"/>
        <v>0</v>
      </c>
      <c r="R95" s="32" t="s">
        <v>179</v>
      </c>
    </row>
    <row r="96" spans="1:18" ht="19.05" customHeight="1" x14ac:dyDescent="0.3">
      <c r="B96" s="9">
        <f t="shared" si="10"/>
        <v>0</v>
      </c>
      <c r="C96" s="9">
        <f t="shared" si="10"/>
        <v>0</v>
      </c>
      <c r="D96" s="9">
        <f t="shared" si="10"/>
        <v>0</v>
      </c>
      <c r="E96" s="9">
        <f t="shared" si="10"/>
        <v>0</v>
      </c>
      <c r="F96" s="9">
        <f t="shared" si="10"/>
        <v>0</v>
      </c>
      <c r="G96" s="9">
        <f t="shared" si="10"/>
        <v>0</v>
      </c>
      <c r="H96" s="9">
        <f t="shared" si="10"/>
        <v>0</v>
      </c>
      <c r="I96" s="9">
        <f t="shared" si="10"/>
        <v>0</v>
      </c>
      <c r="J96" s="9">
        <f t="shared" si="10"/>
        <v>0</v>
      </c>
      <c r="K96" s="9">
        <f t="shared" si="10"/>
        <v>0</v>
      </c>
      <c r="L96" s="9">
        <f t="shared" si="10"/>
        <v>0</v>
      </c>
      <c r="M96" s="9">
        <f t="shared" si="10"/>
        <v>0</v>
      </c>
      <c r="N96" s="9">
        <f t="shared" si="10"/>
        <v>0</v>
      </c>
      <c r="O96" s="9">
        <f t="shared" si="10"/>
        <v>0</v>
      </c>
      <c r="P96" s="9">
        <f t="shared" si="10"/>
        <v>0</v>
      </c>
      <c r="Q96" s="9">
        <f t="shared" si="10"/>
        <v>0</v>
      </c>
      <c r="R96" s="32" t="s">
        <v>180</v>
      </c>
    </row>
    <row r="97" spans="1:18" ht="19.05" customHeight="1" x14ac:dyDescent="0.3">
      <c r="B97" s="9">
        <f t="shared" si="10"/>
        <v>0</v>
      </c>
      <c r="C97" s="9">
        <f t="shared" si="10"/>
        <v>0</v>
      </c>
      <c r="D97" s="9">
        <f t="shared" si="10"/>
        <v>0</v>
      </c>
      <c r="E97" s="9">
        <f t="shared" si="10"/>
        <v>0</v>
      </c>
      <c r="F97" s="9">
        <f t="shared" si="10"/>
        <v>0</v>
      </c>
      <c r="G97" s="9">
        <f t="shared" si="10"/>
        <v>0</v>
      </c>
      <c r="H97" s="9">
        <f t="shared" si="10"/>
        <v>0</v>
      </c>
      <c r="I97" s="9">
        <f t="shared" si="10"/>
        <v>0</v>
      </c>
      <c r="J97" s="9">
        <f t="shared" si="10"/>
        <v>0</v>
      </c>
      <c r="K97" s="9">
        <f t="shared" si="10"/>
        <v>0</v>
      </c>
      <c r="L97" s="9">
        <f t="shared" si="10"/>
        <v>0</v>
      </c>
      <c r="M97" s="9">
        <f t="shared" si="10"/>
        <v>0</v>
      </c>
      <c r="N97" s="9">
        <f t="shared" si="10"/>
        <v>0</v>
      </c>
      <c r="O97" s="9">
        <f t="shared" si="10"/>
        <v>0</v>
      </c>
      <c r="P97" s="9">
        <f t="shared" si="10"/>
        <v>0</v>
      </c>
      <c r="Q97" s="9">
        <f t="shared" si="10"/>
        <v>0</v>
      </c>
      <c r="R97" s="32" t="s">
        <v>181</v>
      </c>
    </row>
    <row r="98" spans="1:18" ht="19.05" customHeight="1" x14ac:dyDescent="0.3">
      <c r="B98" s="9">
        <f t="shared" si="10"/>
        <v>0</v>
      </c>
      <c r="C98" s="9">
        <f t="shared" si="10"/>
        <v>0</v>
      </c>
      <c r="D98" s="9">
        <f t="shared" si="10"/>
        <v>0</v>
      </c>
      <c r="E98" s="9">
        <f t="shared" si="10"/>
        <v>0</v>
      </c>
      <c r="F98" s="34">
        <f t="shared" si="10"/>
        <v>67200</v>
      </c>
      <c r="G98" s="34">
        <f t="shared" si="10"/>
        <v>0</v>
      </c>
      <c r="H98" s="34">
        <f t="shared" si="10"/>
        <v>-67200</v>
      </c>
      <c r="I98" s="34">
        <f t="shared" si="10"/>
        <v>0</v>
      </c>
      <c r="J98" s="9">
        <f t="shared" si="10"/>
        <v>0</v>
      </c>
      <c r="K98" s="9">
        <f t="shared" si="10"/>
        <v>0</v>
      </c>
      <c r="L98" s="9">
        <f t="shared" si="10"/>
        <v>0</v>
      </c>
      <c r="M98" s="9">
        <f t="shared" si="10"/>
        <v>0</v>
      </c>
      <c r="N98" s="9">
        <f t="shared" si="10"/>
        <v>0</v>
      </c>
      <c r="O98" s="9">
        <f t="shared" si="10"/>
        <v>0</v>
      </c>
      <c r="P98" s="9">
        <f t="shared" si="10"/>
        <v>0</v>
      </c>
      <c r="Q98" s="9">
        <f t="shared" si="10"/>
        <v>0</v>
      </c>
      <c r="R98" s="32" t="s">
        <v>182</v>
      </c>
    </row>
    <row r="99" spans="1:18" ht="19.05" customHeight="1" x14ac:dyDescent="0.3">
      <c r="B99" s="9">
        <f t="shared" si="10"/>
        <v>0</v>
      </c>
      <c r="C99" s="9">
        <f t="shared" si="10"/>
        <v>0</v>
      </c>
      <c r="D99" s="9">
        <f t="shared" si="10"/>
        <v>0</v>
      </c>
      <c r="E99" s="9">
        <f t="shared" si="10"/>
        <v>0</v>
      </c>
      <c r="F99" s="34">
        <f t="shared" si="10"/>
        <v>0</v>
      </c>
      <c r="G99" s="34">
        <f t="shared" si="10"/>
        <v>0</v>
      </c>
      <c r="H99" s="34">
        <f t="shared" si="10"/>
        <v>0</v>
      </c>
      <c r="I99" s="34">
        <f t="shared" si="10"/>
        <v>0</v>
      </c>
      <c r="J99" s="9">
        <f t="shared" si="10"/>
        <v>0</v>
      </c>
      <c r="K99" s="9">
        <f t="shared" si="10"/>
        <v>0</v>
      </c>
      <c r="L99" s="9">
        <f t="shared" si="10"/>
        <v>0</v>
      </c>
      <c r="M99" s="9">
        <f t="shared" si="10"/>
        <v>0</v>
      </c>
      <c r="N99" s="9">
        <f t="shared" si="10"/>
        <v>0</v>
      </c>
      <c r="O99" s="9">
        <f t="shared" si="10"/>
        <v>0</v>
      </c>
      <c r="P99" s="9">
        <f t="shared" si="10"/>
        <v>0</v>
      </c>
      <c r="Q99" s="9">
        <f t="shared" si="10"/>
        <v>0</v>
      </c>
      <c r="R99" s="32" t="s">
        <v>183</v>
      </c>
    </row>
    <row r="100" spans="1:18" ht="19.05" customHeight="1" x14ac:dyDescent="0.3">
      <c r="B100" s="9">
        <f t="shared" si="10"/>
        <v>0</v>
      </c>
      <c r="C100" s="9">
        <f t="shared" si="10"/>
        <v>0</v>
      </c>
      <c r="D100" s="9">
        <f t="shared" si="10"/>
        <v>0</v>
      </c>
      <c r="E100" s="9">
        <f t="shared" si="10"/>
        <v>0</v>
      </c>
      <c r="F100" s="34">
        <f t="shared" si="10"/>
        <v>-67200</v>
      </c>
      <c r="G100" s="34">
        <f t="shared" si="10"/>
        <v>0</v>
      </c>
      <c r="H100" s="34">
        <f t="shared" si="10"/>
        <v>67200</v>
      </c>
      <c r="I100" s="34">
        <f t="shared" si="10"/>
        <v>0</v>
      </c>
      <c r="J100" s="9">
        <f t="shared" si="10"/>
        <v>0</v>
      </c>
      <c r="K100" s="9">
        <f t="shared" si="10"/>
        <v>0</v>
      </c>
      <c r="L100" s="9">
        <f t="shared" si="10"/>
        <v>0</v>
      </c>
      <c r="M100" s="9">
        <f t="shared" si="10"/>
        <v>0</v>
      </c>
      <c r="N100" s="9">
        <f t="shared" si="10"/>
        <v>0</v>
      </c>
      <c r="O100" s="9">
        <f t="shared" si="10"/>
        <v>0</v>
      </c>
      <c r="P100" s="9">
        <f t="shared" si="10"/>
        <v>0</v>
      </c>
      <c r="Q100" s="9">
        <f t="shared" si="10"/>
        <v>0</v>
      </c>
      <c r="R100" s="32" t="s">
        <v>184</v>
      </c>
    </row>
    <row r="101" spans="1:18" ht="19.05" customHeight="1" x14ac:dyDescent="0.3">
      <c r="A101" s="28" t="s">
        <v>194</v>
      </c>
      <c r="B101" s="9">
        <f t="shared" si="10"/>
        <v>0</v>
      </c>
      <c r="C101" s="9">
        <f t="shared" si="10"/>
        <v>0</v>
      </c>
      <c r="D101" s="9">
        <f t="shared" si="10"/>
        <v>0</v>
      </c>
      <c r="E101" s="9">
        <f t="shared" si="10"/>
        <v>0</v>
      </c>
      <c r="F101" s="34">
        <f t="shared" si="10"/>
        <v>0</v>
      </c>
      <c r="G101" s="34">
        <f t="shared" si="10"/>
        <v>0</v>
      </c>
      <c r="H101" s="34">
        <f t="shared" si="10"/>
        <v>0</v>
      </c>
      <c r="I101" s="34">
        <f t="shared" si="10"/>
        <v>0</v>
      </c>
      <c r="J101" s="9">
        <f t="shared" si="10"/>
        <v>0</v>
      </c>
      <c r="K101" s="9">
        <f t="shared" si="10"/>
        <v>0</v>
      </c>
      <c r="L101" s="9">
        <f t="shared" si="10"/>
        <v>0</v>
      </c>
      <c r="M101" s="9">
        <f t="shared" si="10"/>
        <v>0</v>
      </c>
      <c r="N101" s="9">
        <f t="shared" si="10"/>
        <v>0</v>
      </c>
      <c r="O101" s="9">
        <f t="shared" si="10"/>
        <v>0</v>
      </c>
      <c r="P101" s="9">
        <f t="shared" si="10"/>
        <v>0</v>
      </c>
      <c r="Q101" s="9">
        <f t="shared" si="10"/>
        <v>0</v>
      </c>
      <c r="R101" s="32" t="s">
        <v>185</v>
      </c>
    </row>
    <row r="102" spans="1:18" ht="19.05" customHeight="1" x14ac:dyDescent="0.3">
      <c r="B102" s="9">
        <f t="shared" si="10"/>
        <v>0</v>
      </c>
      <c r="C102" s="9">
        <f t="shared" si="10"/>
        <v>0</v>
      </c>
      <c r="D102" s="9">
        <f t="shared" si="10"/>
        <v>0</v>
      </c>
      <c r="E102" s="9">
        <f t="shared" si="10"/>
        <v>0</v>
      </c>
      <c r="F102" s="9">
        <f t="shared" si="10"/>
        <v>0</v>
      </c>
      <c r="G102" s="9">
        <f t="shared" si="10"/>
        <v>0</v>
      </c>
      <c r="H102" s="9">
        <f t="shared" si="10"/>
        <v>0</v>
      </c>
      <c r="I102" s="9">
        <f t="shared" si="10"/>
        <v>0</v>
      </c>
      <c r="J102" s="9">
        <f t="shared" si="10"/>
        <v>0</v>
      </c>
      <c r="K102" s="9">
        <f t="shared" si="10"/>
        <v>0</v>
      </c>
      <c r="L102" s="9">
        <f t="shared" si="10"/>
        <v>0</v>
      </c>
      <c r="M102" s="9">
        <f t="shared" si="10"/>
        <v>0</v>
      </c>
      <c r="N102" s="9">
        <f t="shared" si="10"/>
        <v>0</v>
      </c>
      <c r="O102" s="9">
        <f t="shared" si="10"/>
        <v>0</v>
      </c>
      <c r="P102" s="9">
        <f t="shared" si="10"/>
        <v>0</v>
      </c>
      <c r="Q102" s="9">
        <f t="shared" si="10"/>
        <v>0</v>
      </c>
      <c r="R102" s="32" t="s">
        <v>186</v>
      </c>
    </row>
    <row r="103" spans="1:18" ht="19.05" customHeight="1" x14ac:dyDescent="0.3">
      <c r="B103" s="9">
        <f t="shared" si="10"/>
        <v>0</v>
      </c>
      <c r="C103" s="9">
        <f t="shared" si="10"/>
        <v>0</v>
      </c>
      <c r="D103" s="9">
        <f t="shared" si="10"/>
        <v>0</v>
      </c>
      <c r="E103" s="9">
        <f t="shared" si="10"/>
        <v>0</v>
      </c>
      <c r="F103" s="9">
        <f t="shared" si="10"/>
        <v>0</v>
      </c>
      <c r="G103" s="9">
        <f t="shared" si="10"/>
        <v>0</v>
      </c>
      <c r="H103" s="9">
        <f t="shared" si="10"/>
        <v>0</v>
      </c>
      <c r="I103" s="9">
        <f t="shared" si="10"/>
        <v>0</v>
      </c>
      <c r="J103" s="9">
        <f t="shared" si="10"/>
        <v>0</v>
      </c>
      <c r="K103" s="9">
        <f t="shared" si="10"/>
        <v>0</v>
      </c>
      <c r="L103" s="9">
        <f t="shared" si="10"/>
        <v>0</v>
      </c>
      <c r="M103" s="9">
        <f t="shared" si="10"/>
        <v>0</v>
      </c>
      <c r="N103" s="9">
        <f t="shared" si="10"/>
        <v>0</v>
      </c>
      <c r="O103" s="9">
        <f t="shared" si="10"/>
        <v>0</v>
      </c>
      <c r="P103" s="9">
        <f t="shared" si="10"/>
        <v>0</v>
      </c>
      <c r="Q103" s="9">
        <f t="shared" si="10"/>
        <v>0</v>
      </c>
      <c r="R103" s="32" t="s">
        <v>187</v>
      </c>
    </row>
    <row r="104" spans="1:18" ht="19.05" customHeight="1" x14ac:dyDescent="0.3">
      <c r="B104" s="9">
        <f t="shared" ref="B104:Q109" si="11">IFERROR(INDEX($B$88:$E$91, MATCH($R104, $B$87:$E$87, 0), MATCH(B$93, $B$87:$E$87, 0)), 0)</f>
        <v>0</v>
      </c>
      <c r="C104" s="9">
        <f t="shared" si="11"/>
        <v>0</v>
      </c>
      <c r="D104" s="9">
        <f t="shared" si="11"/>
        <v>0</v>
      </c>
      <c r="E104" s="9">
        <f t="shared" si="11"/>
        <v>0</v>
      </c>
      <c r="F104" s="9">
        <f t="shared" si="11"/>
        <v>0</v>
      </c>
      <c r="G104" s="9">
        <f t="shared" si="11"/>
        <v>0</v>
      </c>
      <c r="H104" s="9">
        <f t="shared" si="11"/>
        <v>0</v>
      </c>
      <c r="I104" s="9">
        <f t="shared" si="11"/>
        <v>0</v>
      </c>
      <c r="J104" s="9">
        <f t="shared" si="11"/>
        <v>0</v>
      </c>
      <c r="K104" s="9">
        <f t="shared" si="11"/>
        <v>0</v>
      </c>
      <c r="L104" s="9">
        <f t="shared" si="11"/>
        <v>0</v>
      </c>
      <c r="M104" s="9">
        <f t="shared" si="11"/>
        <v>0</v>
      </c>
      <c r="N104" s="9">
        <f t="shared" si="11"/>
        <v>0</v>
      </c>
      <c r="O104" s="9">
        <f t="shared" si="11"/>
        <v>0</v>
      </c>
      <c r="P104" s="9">
        <f t="shared" si="11"/>
        <v>0</v>
      </c>
      <c r="Q104" s="9">
        <f t="shared" si="11"/>
        <v>0</v>
      </c>
      <c r="R104" s="32" t="s">
        <v>188</v>
      </c>
    </row>
    <row r="105" spans="1:18" ht="19.05" customHeight="1" x14ac:dyDescent="0.3">
      <c r="B105" s="9">
        <f t="shared" si="11"/>
        <v>0</v>
      </c>
      <c r="C105" s="9">
        <f t="shared" si="11"/>
        <v>0</v>
      </c>
      <c r="D105" s="9">
        <f t="shared" si="11"/>
        <v>0</v>
      </c>
      <c r="E105" s="9">
        <f t="shared" si="11"/>
        <v>0</v>
      </c>
      <c r="F105" s="9">
        <f t="shared" si="11"/>
        <v>0</v>
      </c>
      <c r="G105" s="9">
        <f t="shared" si="11"/>
        <v>0</v>
      </c>
      <c r="H105" s="9">
        <f t="shared" si="11"/>
        <v>0</v>
      </c>
      <c r="I105" s="9">
        <f t="shared" si="11"/>
        <v>0</v>
      </c>
      <c r="J105" s="9">
        <f t="shared" si="11"/>
        <v>0</v>
      </c>
      <c r="K105" s="9">
        <f t="shared" si="11"/>
        <v>0</v>
      </c>
      <c r="L105" s="9">
        <f t="shared" si="11"/>
        <v>0</v>
      </c>
      <c r="M105" s="9">
        <f t="shared" si="11"/>
        <v>0</v>
      </c>
      <c r="N105" s="9">
        <f t="shared" si="11"/>
        <v>0</v>
      </c>
      <c r="O105" s="9">
        <f t="shared" si="11"/>
        <v>0</v>
      </c>
      <c r="P105" s="9">
        <f t="shared" si="11"/>
        <v>0</v>
      </c>
      <c r="Q105" s="9">
        <f t="shared" si="11"/>
        <v>0</v>
      </c>
      <c r="R105" s="32" t="s">
        <v>189</v>
      </c>
    </row>
    <row r="106" spans="1:18" ht="19.05" customHeight="1" x14ac:dyDescent="0.3">
      <c r="B106" s="9">
        <f t="shared" si="11"/>
        <v>0</v>
      </c>
      <c r="C106" s="9">
        <f t="shared" si="11"/>
        <v>0</v>
      </c>
      <c r="D106" s="9">
        <f t="shared" si="11"/>
        <v>0</v>
      </c>
      <c r="E106" s="9">
        <f t="shared" si="11"/>
        <v>0</v>
      </c>
      <c r="F106" s="9">
        <f t="shared" si="11"/>
        <v>0</v>
      </c>
      <c r="G106" s="9">
        <f t="shared" si="11"/>
        <v>0</v>
      </c>
      <c r="H106" s="9">
        <f t="shared" si="11"/>
        <v>0</v>
      </c>
      <c r="I106" s="9">
        <f t="shared" si="11"/>
        <v>0</v>
      </c>
      <c r="J106" s="9">
        <f t="shared" si="11"/>
        <v>0</v>
      </c>
      <c r="K106" s="9">
        <f t="shared" si="11"/>
        <v>0</v>
      </c>
      <c r="L106" s="9">
        <f t="shared" si="11"/>
        <v>0</v>
      </c>
      <c r="M106" s="9">
        <f t="shared" si="11"/>
        <v>0</v>
      </c>
      <c r="N106" s="9">
        <f t="shared" si="11"/>
        <v>0</v>
      </c>
      <c r="O106" s="9">
        <f t="shared" si="11"/>
        <v>0</v>
      </c>
      <c r="P106" s="9">
        <f t="shared" si="11"/>
        <v>0</v>
      </c>
      <c r="Q106" s="9">
        <f t="shared" si="11"/>
        <v>0</v>
      </c>
      <c r="R106" s="32" t="s">
        <v>579</v>
      </c>
    </row>
    <row r="107" spans="1:18" ht="19.05" customHeight="1" x14ac:dyDescent="0.3">
      <c r="B107" s="9">
        <f t="shared" si="11"/>
        <v>0</v>
      </c>
      <c r="C107" s="9">
        <f t="shared" si="11"/>
        <v>0</v>
      </c>
      <c r="D107" s="9">
        <f t="shared" si="11"/>
        <v>0</v>
      </c>
      <c r="E107" s="9">
        <f t="shared" si="11"/>
        <v>0</v>
      </c>
      <c r="F107" s="9">
        <f t="shared" si="11"/>
        <v>0</v>
      </c>
      <c r="G107" s="9">
        <f t="shared" si="11"/>
        <v>0</v>
      </c>
      <c r="H107" s="9">
        <f t="shared" si="11"/>
        <v>0</v>
      </c>
      <c r="I107" s="9">
        <f t="shared" si="11"/>
        <v>0</v>
      </c>
      <c r="J107" s="9">
        <f t="shared" si="11"/>
        <v>0</v>
      </c>
      <c r="K107" s="9">
        <f t="shared" si="11"/>
        <v>0</v>
      </c>
      <c r="L107" s="9">
        <f t="shared" si="11"/>
        <v>0</v>
      </c>
      <c r="M107" s="9">
        <f t="shared" si="11"/>
        <v>0</v>
      </c>
      <c r="N107" s="9">
        <f t="shared" si="11"/>
        <v>0</v>
      </c>
      <c r="O107" s="9">
        <f t="shared" si="11"/>
        <v>0</v>
      </c>
      <c r="P107" s="9">
        <f t="shared" si="11"/>
        <v>0</v>
      </c>
      <c r="Q107" s="9">
        <f t="shared" si="11"/>
        <v>0</v>
      </c>
      <c r="R107" s="32" t="s">
        <v>580</v>
      </c>
    </row>
    <row r="108" spans="1:18" ht="19.05" customHeight="1" x14ac:dyDescent="0.3">
      <c r="B108" s="9">
        <f t="shared" si="11"/>
        <v>0</v>
      </c>
      <c r="C108" s="9">
        <f t="shared" si="11"/>
        <v>0</v>
      </c>
      <c r="D108" s="9">
        <f t="shared" si="11"/>
        <v>0</v>
      </c>
      <c r="E108" s="9">
        <f t="shared" si="11"/>
        <v>0</v>
      </c>
      <c r="F108" s="9">
        <f t="shared" si="11"/>
        <v>0</v>
      </c>
      <c r="G108" s="9">
        <f t="shared" si="11"/>
        <v>0</v>
      </c>
      <c r="H108" s="9">
        <f t="shared" si="11"/>
        <v>0</v>
      </c>
      <c r="I108" s="9">
        <f t="shared" si="11"/>
        <v>0</v>
      </c>
      <c r="J108" s="9">
        <f t="shared" si="11"/>
        <v>0</v>
      </c>
      <c r="K108" s="9">
        <f t="shared" si="11"/>
        <v>0</v>
      </c>
      <c r="L108" s="9">
        <f t="shared" si="11"/>
        <v>0</v>
      </c>
      <c r="M108" s="9">
        <f t="shared" si="11"/>
        <v>0</v>
      </c>
      <c r="N108" s="9">
        <f t="shared" si="11"/>
        <v>0</v>
      </c>
      <c r="O108" s="9">
        <f t="shared" si="11"/>
        <v>0</v>
      </c>
      <c r="P108" s="9">
        <f t="shared" si="11"/>
        <v>0</v>
      </c>
      <c r="Q108" s="9">
        <f t="shared" si="11"/>
        <v>0</v>
      </c>
      <c r="R108" s="32" t="s">
        <v>601</v>
      </c>
    </row>
    <row r="109" spans="1:18" ht="19.05" customHeight="1" x14ac:dyDescent="0.3">
      <c r="B109" s="9">
        <f t="shared" si="11"/>
        <v>0</v>
      </c>
      <c r="C109" s="9">
        <f t="shared" si="11"/>
        <v>0</v>
      </c>
      <c r="D109" s="9">
        <f t="shared" si="11"/>
        <v>0</v>
      </c>
      <c r="E109" s="9">
        <f t="shared" si="11"/>
        <v>0</v>
      </c>
      <c r="F109" s="9">
        <f t="shared" si="11"/>
        <v>0</v>
      </c>
      <c r="G109" s="9">
        <f t="shared" si="11"/>
        <v>0</v>
      </c>
      <c r="H109" s="9">
        <f t="shared" si="11"/>
        <v>0</v>
      </c>
      <c r="I109" s="9">
        <f t="shared" si="11"/>
        <v>0</v>
      </c>
      <c r="J109" s="9">
        <f t="shared" si="11"/>
        <v>0</v>
      </c>
      <c r="K109" s="9">
        <f t="shared" si="11"/>
        <v>0</v>
      </c>
      <c r="L109" s="9">
        <f t="shared" si="11"/>
        <v>0</v>
      </c>
      <c r="M109" s="9">
        <f t="shared" si="11"/>
        <v>0</v>
      </c>
      <c r="N109" s="9">
        <f t="shared" si="11"/>
        <v>0</v>
      </c>
      <c r="O109" s="9">
        <f t="shared" si="11"/>
        <v>0</v>
      </c>
      <c r="P109" s="9">
        <f t="shared" si="11"/>
        <v>0</v>
      </c>
      <c r="Q109" s="9">
        <f t="shared" si="11"/>
        <v>0</v>
      </c>
      <c r="R109" s="32" t="s">
        <v>602</v>
      </c>
    </row>
    <row r="112" spans="1:18" ht="18" customHeight="1" x14ac:dyDescent="0.3">
      <c r="B112" s="45" t="str">
        <f>CONCATENATE("U",C25,C$21)</f>
        <v>U4X</v>
      </c>
      <c r="C112" s="45" t="str">
        <f>CONCATENATE("U",D25,D$21)</f>
        <v>U4Y</v>
      </c>
      <c r="D112" s="45" t="str">
        <f>CONCATENATE("U",E25,E$21)</f>
        <v>U5X</v>
      </c>
      <c r="E112" s="45" t="str">
        <f>CONCATENATE("U",F25,F$21)</f>
        <v>U5Y</v>
      </c>
    </row>
    <row r="113" spans="1:18" x14ac:dyDescent="0.3">
      <c r="B113" s="46">
        <f>J9*J9*N9</f>
        <v>67200</v>
      </c>
      <c r="C113" s="46">
        <f>J9*K9*N9</f>
        <v>0</v>
      </c>
      <c r="D113" s="46">
        <f>-B113</f>
        <v>-67200</v>
      </c>
      <c r="E113" s="46">
        <f>-C113</f>
        <v>0</v>
      </c>
      <c r="F113" s="45" t="str">
        <f>B112</f>
        <v>U4X</v>
      </c>
    </row>
    <row r="114" spans="1:18" ht="16.8" customHeight="1" x14ac:dyDescent="0.3">
      <c r="A114" s="28" t="s">
        <v>195</v>
      </c>
      <c r="B114" s="46">
        <f>C113</f>
        <v>0</v>
      </c>
      <c r="C114" s="46">
        <f>K9*K9*N9</f>
        <v>0</v>
      </c>
      <c r="D114" s="46">
        <f>-B114</f>
        <v>0</v>
      </c>
      <c r="E114" s="46">
        <f>-C114</f>
        <v>0</v>
      </c>
      <c r="F114" s="45" t="str">
        <f>C112</f>
        <v>U4Y</v>
      </c>
    </row>
    <row r="115" spans="1:18" x14ac:dyDescent="0.3">
      <c r="B115" s="46">
        <f>D113</f>
        <v>-67200</v>
      </c>
      <c r="C115" s="46">
        <f>E113</f>
        <v>0</v>
      </c>
      <c r="D115" s="46">
        <f>B113</f>
        <v>67200</v>
      </c>
      <c r="E115" s="46">
        <f>C113</f>
        <v>0</v>
      </c>
      <c r="F115" s="45" t="str">
        <f>D112</f>
        <v>U5X</v>
      </c>
    </row>
    <row r="116" spans="1:18" x14ac:dyDescent="0.3">
      <c r="B116" s="46">
        <f>D114</f>
        <v>0</v>
      </c>
      <c r="C116" s="46">
        <f>E114</f>
        <v>0</v>
      </c>
      <c r="D116" s="46">
        <f>B114</f>
        <v>0</v>
      </c>
      <c r="E116" s="46">
        <f>C114</f>
        <v>0</v>
      </c>
      <c r="F116" s="45" t="str">
        <f>E112</f>
        <v>U5Y</v>
      </c>
    </row>
    <row r="118" spans="1:18" ht="18" customHeight="1" x14ac:dyDescent="0.3">
      <c r="B118" s="45" t="s">
        <v>178</v>
      </c>
      <c r="C118" s="45" t="s">
        <v>179</v>
      </c>
      <c r="D118" s="45" t="s">
        <v>180</v>
      </c>
      <c r="E118" s="45" t="s">
        <v>181</v>
      </c>
      <c r="F118" s="45" t="s">
        <v>182</v>
      </c>
      <c r="G118" s="45" t="s">
        <v>183</v>
      </c>
      <c r="H118" s="45" t="s">
        <v>184</v>
      </c>
      <c r="I118" s="45" t="s">
        <v>185</v>
      </c>
      <c r="J118" s="45" t="s">
        <v>186</v>
      </c>
      <c r="K118" s="45" t="s">
        <v>187</v>
      </c>
      <c r="L118" s="45" t="s">
        <v>188</v>
      </c>
      <c r="M118" s="45" t="s">
        <v>189</v>
      </c>
      <c r="N118" s="45" t="s">
        <v>579</v>
      </c>
      <c r="O118" s="45" t="s">
        <v>580</v>
      </c>
      <c r="P118" s="45" t="s">
        <v>601</v>
      </c>
      <c r="Q118" s="45" t="s">
        <v>602</v>
      </c>
    </row>
    <row r="119" spans="1:18" ht="19.05" customHeight="1" x14ac:dyDescent="0.3">
      <c r="B119" s="9">
        <f t="shared" ref="B119:Q128" si="12">IFERROR(INDEX($B$113:$E$116, MATCH($R119, $B$112:$E$112, 0), MATCH(B$118, $B$112:$E$112, 0)), 0)</f>
        <v>0</v>
      </c>
      <c r="C119" s="9">
        <f t="shared" si="12"/>
        <v>0</v>
      </c>
      <c r="D119" s="9">
        <f t="shared" si="12"/>
        <v>0</v>
      </c>
      <c r="E119" s="9">
        <f t="shared" si="12"/>
        <v>0</v>
      </c>
      <c r="F119" s="9">
        <f t="shared" si="12"/>
        <v>0</v>
      </c>
      <c r="G119" s="9">
        <f t="shared" si="12"/>
        <v>0</v>
      </c>
      <c r="H119" s="9">
        <f t="shared" si="12"/>
        <v>0</v>
      </c>
      <c r="I119" s="9">
        <f t="shared" si="12"/>
        <v>0</v>
      </c>
      <c r="J119" s="9">
        <f t="shared" si="12"/>
        <v>0</v>
      </c>
      <c r="K119" s="9">
        <f t="shared" si="12"/>
        <v>0</v>
      </c>
      <c r="L119" s="9">
        <f t="shared" si="12"/>
        <v>0</v>
      </c>
      <c r="M119" s="9">
        <f t="shared" si="12"/>
        <v>0</v>
      </c>
      <c r="N119" s="9">
        <f t="shared" si="12"/>
        <v>0</v>
      </c>
      <c r="O119" s="9">
        <f t="shared" si="12"/>
        <v>0</v>
      </c>
      <c r="P119" s="9">
        <f t="shared" si="12"/>
        <v>0</v>
      </c>
      <c r="Q119" s="9">
        <f t="shared" si="12"/>
        <v>0</v>
      </c>
      <c r="R119" s="45" t="s">
        <v>178</v>
      </c>
    </row>
    <row r="120" spans="1:18" ht="19.05" customHeight="1" x14ac:dyDescent="0.3">
      <c r="B120" s="9">
        <f t="shared" si="12"/>
        <v>0</v>
      </c>
      <c r="C120" s="9">
        <f t="shared" si="12"/>
        <v>0</v>
      </c>
      <c r="D120" s="9">
        <f t="shared" si="12"/>
        <v>0</v>
      </c>
      <c r="E120" s="9">
        <f t="shared" si="12"/>
        <v>0</v>
      </c>
      <c r="F120" s="9">
        <f t="shared" si="12"/>
        <v>0</v>
      </c>
      <c r="G120" s="9">
        <f t="shared" si="12"/>
        <v>0</v>
      </c>
      <c r="H120" s="9">
        <f t="shared" si="12"/>
        <v>0</v>
      </c>
      <c r="I120" s="9">
        <f t="shared" si="12"/>
        <v>0</v>
      </c>
      <c r="J120" s="9">
        <f t="shared" si="12"/>
        <v>0</v>
      </c>
      <c r="K120" s="9">
        <f t="shared" si="12"/>
        <v>0</v>
      </c>
      <c r="L120" s="9">
        <f t="shared" si="12"/>
        <v>0</v>
      </c>
      <c r="M120" s="9">
        <f t="shared" si="12"/>
        <v>0</v>
      </c>
      <c r="N120" s="9">
        <f t="shared" si="12"/>
        <v>0</v>
      </c>
      <c r="O120" s="9">
        <f t="shared" si="12"/>
        <v>0</v>
      </c>
      <c r="P120" s="9">
        <f t="shared" si="12"/>
        <v>0</v>
      </c>
      <c r="Q120" s="9">
        <f t="shared" si="12"/>
        <v>0</v>
      </c>
      <c r="R120" s="45" t="s">
        <v>179</v>
      </c>
    </row>
    <row r="121" spans="1:18" ht="19.05" customHeight="1" x14ac:dyDescent="0.3">
      <c r="B121" s="9">
        <f t="shared" si="12"/>
        <v>0</v>
      </c>
      <c r="C121" s="9">
        <f t="shared" si="12"/>
        <v>0</v>
      </c>
      <c r="D121" s="9">
        <f t="shared" si="12"/>
        <v>0</v>
      </c>
      <c r="E121" s="9">
        <f t="shared" si="12"/>
        <v>0</v>
      </c>
      <c r="F121" s="9">
        <f t="shared" si="12"/>
        <v>0</v>
      </c>
      <c r="G121" s="9">
        <f t="shared" si="12"/>
        <v>0</v>
      </c>
      <c r="H121" s="9">
        <f t="shared" si="12"/>
        <v>0</v>
      </c>
      <c r="I121" s="9">
        <f t="shared" si="12"/>
        <v>0</v>
      </c>
      <c r="J121" s="9">
        <f t="shared" si="12"/>
        <v>0</v>
      </c>
      <c r="K121" s="9">
        <f t="shared" si="12"/>
        <v>0</v>
      </c>
      <c r="L121" s="9">
        <f t="shared" si="12"/>
        <v>0</v>
      </c>
      <c r="M121" s="9">
        <f t="shared" si="12"/>
        <v>0</v>
      </c>
      <c r="N121" s="9">
        <f t="shared" si="12"/>
        <v>0</v>
      </c>
      <c r="O121" s="9">
        <f t="shared" si="12"/>
        <v>0</v>
      </c>
      <c r="P121" s="9">
        <f t="shared" si="12"/>
        <v>0</v>
      </c>
      <c r="Q121" s="9">
        <f t="shared" si="12"/>
        <v>0</v>
      </c>
      <c r="R121" s="45" t="s">
        <v>180</v>
      </c>
    </row>
    <row r="122" spans="1:18" ht="19.05" customHeight="1" x14ac:dyDescent="0.3">
      <c r="B122" s="9">
        <f t="shared" si="12"/>
        <v>0</v>
      </c>
      <c r="C122" s="9">
        <f t="shared" si="12"/>
        <v>0</v>
      </c>
      <c r="D122" s="9">
        <f t="shared" si="12"/>
        <v>0</v>
      </c>
      <c r="E122" s="9">
        <f t="shared" si="12"/>
        <v>0</v>
      </c>
      <c r="F122" s="9">
        <f t="shared" si="12"/>
        <v>0</v>
      </c>
      <c r="G122" s="9">
        <f t="shared" si="12"/>
        <v>0</v>
      </c>
      <c r="H122" s="9">
        <f t="shared" si="12"/>
        <v>0</v>
      </c>
      <c r="I122" s="9">
        <f t="shared" si="12"/>
        <v>0</v>
      </c>
      <c r="J122" s="9">
        <f t="shared" si="12"/>
        <v>0</v>
      </c>
      <c r="K122" s="9">
        <f t="shared" si="12"/>
        <v>0</v>
      </c>
      <c r="L122" s="9">
        <f t="shared" si="12"/>
        <v>0</v>
      </c>
      <c r="M122" s="9">
        <f t="shared" si="12"/>
        <v>0</v>
      </c>
      <c r="N122" s="9">
        <f t="shared" si="12"/>
        <v>0</v>
      </c>
      <c r="O122" s="9">
        <f t="shared" si="12"/>
        <v>0</v>
      </c>
      <c r="P122" s="9">
        <f t="shared" si="12"/>
        <v>0</v>
      </c>
      <c r="Q122" s="9">
        <f t="shared" si="12"/>
        <v>0</v>
      </c>
      <c r="R122" s="45" t="s">
        <v>181</v>
      </c>
    </row>
    <row r="123" spans="1:18" ht="19.05" customHeight="1" x14ac:dyDescent="0.3">
      <c r="B123" s="9">
        <f t="shared" si="12"/>
        <v>0</v>
      </c>
      <c r="C123" s="9">
        <f t="shared" si="12"/>
        <v>0</v>
      </c>
      <c r="D123" s="9">
        <f t="shared" si="12"/>
        <v>0</v>
      </c>
      <c r="E123" s="9">
        <f t="shared" si="12"/>
        <v>0</v>
      </c>
      <c r="F123" s="9">
        <f t="shared" si="12"/>
        <v>0</v>
      </c>
      <c r="G123" s="9">
        <f t="shared" si="12"/>
        <v>0</v>
      </c>
      <c r="H123" s="9">
        <f t="shared" si="12"/>
        <v>0</v>
      </c>
      <c r="I123" s="9">
        <f t="shared" si="12"/>
        <v>0</v>
      </c>
      <c r="J123" s="9">
        <f t="shared" si="12"/>
        <v>0</v>
      </c>
      <c r="K123" s="9">
        <f t="shared" si="12"/>
        <v>0</v>
      </c>
      <c r="L123" s="9">
        <f t="shared" si="12"/>
        <v>0</v>
      </c>
      <c r="M123" s="9">
        <f t="shared" si="12"/>
        <v>0</v>
      </c>
      <c r="N123" s="9">
        <f t="shared" si="12"/>
        <v>0</v>
      </c>
      <c r="O123" s="9">
        <f t="shared" si="12"/>
        <v>0</v>
      </c>
      <c r="P123" s="9">
        <f t="shared" si="12"/>
        <v>0</v>
      </c>
      <c r="Q123" s="9">
        <f t="shared" si="12"/>
        <v>0</v>
      </c>
      <c r="R123" s="45" t="s">
        <v>182</v>
      </c>
    </row>
    <row r="124" spans="1:18" ht="19.05" customHeight="1" x14ac:dyDescent="0.3">
      <c r="B124" s="9">
        <f t="shared" si="12"/>
        <v>0</v>
      </c>
      <c r="C124" s="9">
        <f t="shared" si="12"/>
        <v>0</v>
      </c>
      <c r="D124" s="9">
        <f t="shared" si="12"/>
        <v>0</v>
      </c>
      <c r="E124" s="9">
        <f t="shared" si="12"/>
        <v>0</v>
      </c>
      <c r="F124" s="9">
        <f t="shared" si="12"/>
        <v>0</v>
      </c>
      <c r="G124" s="9">
        <f t="shared" si="12"/>
        <v>0</v>
      </c>
      <c r="H124" s="9">
        <f t="shared" si="12"/>
        <v>0</v>
      </c>
      <c r="I124" s="9">
        <f t="shared" si="12"/>
        <v>0</v>
      </c>
      <c r="J124" s="9">
        <f t="shared" si="12"/>
        <v>0</v>
      </c>
      <c r="K124" s="9">
        <f t="shared" si="12"/>
        <v>0</v>
      </c>
      <c r="L124" s="9">
        <f t="shared" si="12"/>
        <v>0</v>
      </c>
      <c r="M124" s="9">
        <f t="shared" si="12"/>
        <v>0</v>
      </c>
      <c r="N124" s="9">
        <f t="shared" si="12"/>
        <v>0</v>
      </c>
      <c r="O124" s="9">
        <f t="shared" si="12"/>
        <v>0</v>
      </c>
      <c r="P124" s="9">
        <f t="shared" si="12"/>
        <v>0</v>
      </c>
      <c r="Q124" s="9">
        <f t="shared" si="12"/>
        <v>0</v>
      </c>
      <c r="R124" s="45" t="s">
        <v>183</v>
      </c>
    </row>
    <row r="125" spans="1:18" ht="19.05" customHeight="1" x14ac:dyDescent="0.3">
      <c r="B125" s="9">
        <f t="shared" si="12"/>
        <v>0</v>
      </c>
      <c r="C125" s="9">
        <f t="shared" si="12"/>
        <v>0</v>
      </c>
      <c r="D125" s="9">
        <f t="shared" si="12"/>
        <v>0</v>
      </c>
      <c r="E125" s="9">
        <f t="shared" si="12"/>
        <v>0</v>
      </c>
      <c r="F125" s="9">
        <f t="shared" si="12"/>
        <v>0</v>
      </c>
      <c r="G125" s="9">
        <f t="shared" si="12"/>
        <v>0</v>
      </c>
      <c r="H125" s="47">
        <f t="shared" si="12"/>
        <v>67200</v>
      </c>
      <c r="I125" s="47">
        <f t="shared" si="12"/>
        <v>0</v>
      </c>
      <c r="J125" s="47">
        <f t="shared" si="12"/>
        <v>-67200</v>
      </c>
      <c r="K125" s="47">
        <f t="shared" si="12"/>
        <v>0</v>
      </c>
      <c r="L125" s="9">
        <f t="shared" si="12"/>
        <v>0</v>
      </c>
      <c r="M125" s="9">
        <f t="shared" si="12"/>
        <v>0</v>
      </c>
      <c r="N125" s="9">
        <f t="shared" si="12"/>
        <v>0</v>
      </c>
      <c r="O125" s="9">
        <f t="shared" si="12"/>
        <v>0</v>
      </c>
      <c r="P125" s="9">
        <f t="shared" si="12"/>
        <v>0</v>
      </c>
      <c r="Q125" s="9">
        <f t="shared" si="12"/>
        <v>0</v>
      </c>
      <c r="R125" s="45" t="s">
        <v>184</v>
      </c>
    </row>
    <row r="126" spans="1:18" ht="19.05" customHeight="1" x14ac:dyDescent="0.3">
      <c r="A126" s="28" t="s">
        <v>196</v>
      </c>
      <c r="B126" s="9">
        <f t="shared" si="12"/>
        <v>0</v>
      </c>
      <c r="C126" s="9">
        <f t="shared" si="12"/>
        <v>0</v>
      </c>
      <c r="D126" s="9">
        <f t="shared" si="12"/>
        <v>0</v>
      </c>
      <c r="E126" s="9">
        <f t="shared" si="12"/>
        <v>0</v>
      </c>
      <c r="F126" s="9">
        <f t="shared" si="12"/>
        <v>0</v>
      </c>
      <c r="G126" s="9">
        <f t="shared" si="12"/>
        <v>0</v>
      </c>
      <c r="H126" s="47">
        <f t="shared" si="12"/>
        <v>0</v>
      </c>
      <c r="I126" s="47">
        <f t="shared" si="12"/>
        <v>0</v>
      </c>
      <c r="J126" s="47">
        <f t="shared" si="12"/>
        <v>0</v>
      </c>
      <c r="K126" s="47">
        <f t="shared" si="12"/>
        <v>0</v>
      </c>
      <c r="L126" s="9">
        <f t="shared" si="12"/>
        <v>0</v>
      </c>
      <c r="M126" s="9">
        <f t="shared" si="12"/>
        <v>0</v>
      </c>
      <c r="N126" s="9">
        <f t="shared" si="12"/>
        <v>0</v>
      </c>
      <c r="O126" s="9">
        <f t="shared" si="12"/>
        <v>0</v>
      </c>
      <c r="P126" s="9">
        <f t="shared" si="12"/>
        <v>0</v>
      </c>
      <c r="Q126" s="9">
        <f t="shared" si="12"/>
        <v>0</v>
      </c>
      <c r="R126" s="45" t="s">
        <v>185</v>
      </c>
    </row>
    <row r="127" spans="1:18" ht="19.05" customHeight="1" x14ac:dyDescent="0.3">
      <c r="B127" s="9">
        <f t="shared" si="12"/>
        <v>0</v>
      </c>
      <c r="C127" s="9">
        <f t="shared" si="12"/>
        <v>0</v>
      </c>
      <c r="D127" s="9">
        <f t="shared" si="12"/>
        <v>0</v>
      </c>
      <c r="E127" s="9">
        <f t="shared" si="12"/>
        <v>0</v>
      </c>
      <c r="F127" s="9">
        <f t="shared" si="12"/>
        <v>0</v>
      </c>
      <c r="G127" s="9">
        <f t="shared" si="12"/>
        <v>0</v>
      </c>
      <c r="H127" s="47">
        <f t="shared" si="12"/>
        <v>-67200</v>
      </c>
      <c r="I127" s="47">
        <f t="shared" si="12"/>
        <v>0</v>
      </c>
      <c r="J127" s="47">
        <f t="shared" si="12"/>
        <v>67200</v>
      </c>
      <c r="K127" s="47">
        <f t="shared" si="12"/>
        <v>0</v>
      </c>
      <c r="L127" s="9">
        <f t="shared" si="12"/>
        <v>0</v>
      </c>
      <c r="M127" s="9">
        <f t="shared" si="12"/>
        <v>0</v>
      </c>
      <c r="N127" s="9">
        <f t="shared" si="12"/>
        <v>0</v>
      </c>
      <c r="O127" s="9">
        <f t="shared" si="12"/>
        <v>0</v>
      </c>
      <c r="P127" s="9">
        <f t="shared" si="12"/>
        <v>0</v>
      </c>
      <c r="Q127" s="9">
        <f t="shared" si="12"/>
        <v>0</v>
      </c>
      <c r="R127" s="45" t="s">
        <v>186</v>
      </c>
    </row>
    <row r="128" spans="1:18" ht="19.05" customHeight="1" x14ac:dyDescent="0.3">
      <c r="B128" s="9">
        <f t="shared" si="12"/>
        <v>0</v>
      </c>
      <c r="C128" s="9">
        <f t="shared" si="12"/>
        <v>0</v>
      </c>
      <c r="D128" s="9">
        <f t="shared" si="12"/>
        <v>0</v>
      </c>
      <c r="E128" s="9">
        <f t="shared" si="12"/>
        <v>0</v>
      </c>
      <c r="F128" s="9">
        <f t="shared" si="12"/>
        <v>0</v>
      </c>
      <c r="G128" s="9">
        <f t="shared" si="12"/>
        <v>0</v>
      </c>
      <c r="H128" s="47">
        <f t="shared" si="12"/>
        <v>0</v>
      </c>
      <c r="I128" s="47">
        <f t="shared" si="12"/>
        <v>0</v>
      </c>
      <c r="J128" s="47">
        <f t="shared" si="12"/>
        <v>0</v>
      </c>
      <c r="K128" s="47">
        <f t="shared" si="12"/>
        <v>0</v>
      </c>
      <c r="L128" s="9">
        <f t="shared" si="12"/>
        <v>0</v>
      </c>
      <c r="M128" s="9">
        <f t="shared" si="12"/>
        <v>0</v>
      </c>
      <c r="N128" s="9">
        <f t="shared" si="12"/>
        <v>0</v>
      </c>
      <c r="O128" s="9">
        <f t="shared" si="12"/>
        <v>0</v>
      </c>
      <c r="P128" s="9">
        <f t="shared" si="12"/>
        <v>0</v>
      </c>
      <c r="Q128" s="9">
        <f t="shared" si="12"/>
        <v>0</v>
      </c>
      <c r="R128" s="45" t="s">
        <v>187</v>
      </c>
    </row>
    <row r="129" spans="1:18" ht="19.05" customHeight="1" x14ac:dyDescent="0.3">
      <c r="B129" s="9">
        <f t="shared" ref="B129:Q134" si="13">IFERROR(INDEX($B$113:$E$116, MATCH($R129, $B$112:$E$112, 0), MATCH(B$118, $B$112:$E$112, 0)), 0)</f>
        <v>0</v>
      </c>
      <c r="C129" s="9">
        <f t="shared" si="13"/>
        <v>0</v>
      </c>
      <c r="D129" s="9">
        <f t="shared" si="13"/>
        <v>0</v>
      </c>
      <c r="E129" s="9">
        <f t="shared" si="13"/>
        <v>0</v>
      </c>
      <c r="F129" s="9">
        <f t="shared" si="13"/>
        <v>0</v>
      </c>
      <c r="G129" s="9">
        <f t="shared" si="13"/>
        <v>0</v>
      </c>
      <c r="H129" s="9">
        <f t="shared" si="13"/>
        <v>0</v>
      </c>
      <c r="I129" s="9">
        <f t="shared" si="13"/>
        <v>0</v>
      </c>
      <c r="J129" s="9">
        <f t="shared" si="13"/>
        <v>0</v>
      </c>
      <c r="K129" s="9">
        <f t="shared" si="13"/>
        <v>0</v>
      </c>
      <c r="L129" s="9">
        <f t="shared" si="13"/>
        <v>0</v>
      </c>
      <c r="M129" s="9">
        <f t="shared" si="13"/>
        <v>0</v>
      </c>
      <c r="N129" s="9">
        <f t="shared" si="13"/>
        <v>0</v>
      </c>
      <c r="O129" s="9">
        <f t="shared" si="13"/>
        <v>0</v>
      </c>
      <c r="P129" s="9">
        <f t="shared" si="13"/>
        <v>0</v>
      </c>
      <c r="Q129" s="9">
        <f t="shared" si="13"/>
        <v>0</v>
      </c>
      <c r="R129" s="45" t="s">
        <v>188</v>
      </c>
    </row>
    <row r="130" spans="1:18" ht="19.05" customHeight="1" x14ac:dyDescent="0.3">
      <c r="B130" s="9">
        <f t="shared" si="13"/>
        <v>0</v>
      </c>
      <c r="C130" s="9">
        <f t="shared" si="13"/>
        <v>0</v>
      </c>
      <c r="D130" s="9">
        <f t="shared" si="13"/>
        <v>0</v>
      </c>
      <c r="E130" s="9">
        <f t="shared" si="13"/>
        <v>0</v>
      </c>
      <c r="F130" s="9">
        <f t="shared" si="13"/>
        <v>0</v>
      </c>
      <c r="G130" s="9">
        <f t="shared" si="13"/>
        <v>0</v>
      </c>
      <c r="H130" s="9">
        <f t="shared" si="13"/>
        <v>0</v>
      </c>
      <c r="I130" s="9">
        <f t="shared" si="13"/>
        <v>0</v>
      </c>
      <c r="J130" s="9">
        <f t="shared" si="13"/>
        <v>0</v>
      </c>
      <c r="K130" s="9">
        <f t="shared" si="13"/>
        <v>0</v>
      </c>
      <c r="L130" s="9">
        <f t="shared" si="13"/>
        <v>0</v>
      </c>
      <c r="M130" s="9">
        <f t="shared" si="13"/>
        <v>0</v>
      </c>
      <c r="N130" s="9">
        <f t="shared" si="13"/>
        <v>0</v>
      </c>
      <c r="O130" s="9">
        <f t="shared" si="13"/>
        <v>0</v>
      </c>
      <c r="P130" s="9">
        <f t="shared" si="13"/>
        <v>0</v>
      </c>
      <c r="Q130" s="9">
        <f t="shared" si="13"/>
        <v>0</v>
      </c>
      <c r="R130" s="45" t="s">
        <v>189</v>
      </c>
    </row>
    <row r="131" spans="1:18" ht="19.05" customHeight="1" x14ac:dyDescent="0.3">
      <c r="B131" s="9">
        <f t="shared" si="13"/>
        <v>0</v>
      </c>
      <c r="C131" s="9">
        <f t="shared" si="13"/>
        <v>0</v>
      </c>
      <c r="D131" s="9">
        <f t="shared" si="13"/>
        <v>0</v>
      </c>
      <c r="E131" s="9">
        <f t="shared" si="13"/>
        <v>0</v>
      </c>
      <c r="F131" s="9">
        <f t="shared" si="13"/>
        <v>0</v>
      </c>
      <c r="G131" s="9">
        <f t="shared" si="13"/>
        <v>0</v>
      </c>
      <c r="H131" s="9">
        <f t="shared" si="13"/>
        <v>0</v>
      </c>
      <c r="I131" s="9">
        <f t="shared" si="13"/>
        <v>0</v>
      </c>
      <c r="J131" s="9">
        <f t="shared" si="13"/>
        <v>0</v>
      </c>
      <c r="K131" s="9">
        <f t="shared" si="13"/>
        <v>0</v>
      </c>
      <c r="L131" s="9">
        <f t="shared" si="13"/>
        <v>0</v>
      </c>
      <c r="M131" s="9">
        <f t="shared" si="13"/>
        <v>0</v>
      </c>
      <c r="N131" s="9">
        <f t="shared" si="13"/>
        <v>0</v>
      </c>
      <c r="O131" s="9">
        <f t="shared" si="13"/>
        <v>0</v>
      </c>
      <c r="P131" s="9">
        <f t="shared" si="13"/>
        <v>0</v>
      </c>
      <c r="Q131" s="9">
        <f t="shared" si="13"/>
        <v>0</v>
      </c>
      <c r="R131" s="45" t="s">
        <v>579</v>
      </c>
    </row>
    <row r="132" spans="1:18" ht="19.05" customHeight="1" x14ac:dyDescent="0.3">
      <c r="B132" s="9">
        <f t="shared" si="13"/>
        <v>0</v>
      </c>
      <c r="C132" s="9">
        <f t="shared" si="13"/>
        <v>0</v>
      </c>
      <c r="D132" s="9">
        <f t="shared" si="13"/>
        <v>0</v>
      </c>
      <c r="E132" s="9">
        <f t="shared" si="13"/>
        <v>0</v>
      </c>
      <c r="F132" s="9">
        <f t="shared" si="13"/>
        <v>0</v>
      </c>
      <c r="G132" s="9">
        <f t="shared" si="13"/>
        <v>0</v>
      </c>
      <c r="H132" s="9">
        <f t="shared" si="13"/>
        <v>0</v>
      </c>
      <c r="I132" s="9">
        <f t="shared" si="13"/>
        <v>0</v>
      </c>
      <c r="J132" s="9">
        <f t="shared" si="13"/>
        <v>0</v>
      </c>
      <c r="K132" s="9">
        <f t="shared" si="13"/>
        <v>0</v>
      </c>
      <c r="L132" s="9">
        <f t="shared" si="13"/>
        <v>0</v>
      </c>
      <c r="M132" s="9">
        <f t="shared" si="13"/>
        <v>0</v>
      </c>
      <c r="N132" s="9">
        <f t="shared" si="13"/>
        <v>0</v>
      </c>
      <c r="O132" s="9">
        <f t="shared" si="13"/>
        <v>0</v>
      </c>
      <c r="P132" s="9">
        <f t="shared" si="13"/>
        <v>0</v>
      </c>
      <c r="Q132" s="9">
        <f t="shared" si="13"/>
        <v>0</v>
      </c>
      <c r="R132" s="45" t="s">
        <v>580</v>
      </c>
    </row>
    <row r="133" spans="1:18" ht="19.05" customHeight="1" x14ac:dyDescent="0.3">
      <c r="B133" s="9">
        <f t="shared" si="13"/>
        <v>0</v>
      </c>
      <c r="C133" s="9">
        <f t="shared" si="13"/>
        <v>0</v>
      </c>
      <c r="D133" s="9">
        <f t="shared" si="13"/>
        <v>0</v>
      </c>
      <c r="E133" s="9">
        <f t="shared" si="13"/>
        <v>0</v>
      </c>
      <c r="F133" s="9">
        <f t="shared" si="13"/>
        <v>0</v>
      </c>
      <c r="G133" s="9">
        <f t="shared" si="13"/>
        <v>0</v>
      </c>
      <c r="H133" s="9">
        <f t="shared" si="13"/>
        <v>0</v>
      </c>
      <c r="I133" s="9">
        <f t="shared" si="13"/>
        <v>0</v>
      </c>
      <c r="J133" s="9">
        <f t="shared" si="13"/>
        <v>0</v>
      </c>
      <c r="K133" s="9">
        <f t="shared" si="13"/>
        <v>0</v>
      </c>
      <c r="L133" s="9">
        <f t="shared" si="13"/>
        <v>0</v>
      </c>
      <c r="M133" s="9">
        <f t="shared" si="13"/>
        <v>0</v>
      </c>
      <c r="N133" s="9">
        <f t="shared" si="13"/>
        <v>0</v>
      </c>
      <c r="O133" s="9">
        <f t="shared" si="13"/>
        <v>0</v>
      </c>
      <c r="P133" s="9">
        <f t="shared" si="13"/>
        <v>0</v>
      </c>
      <c r="Q133" s="9">
        <f t="shared" si="13"/>
        <v>0</v>
      </c>
      <c r="R133" s="45" t="s">
        <v>601</v>
      </c>
    </row>
    <row r="134" spans="1:18" ht="19.05" customHeight="1" x14ac:dyDescent="0.3">
      <c r="B134" s="9">
        <f t="shared" si="13"/>
        <v>0</v>
      </c>
      <c r="C134" s="9">
        <f t="shared" si="13"/>
        <v>0</v>
      </c>
      <c r="D134" s="9">
        <f t="shared" si="13"/>
        <v>0</v>
      </c>
      <c r="E134" s="9">
        <f t="shared" si="13"/>
        <v>0</v>
      </c>
      <c r="F134" s="9">
        <f t="shared" si="13"/>
        <v>0</v>
      </c>
      <c r="G134" s="9">
        <f t="shared" si="13"/>
        <v>0</v>
      </c>
      <c r="H134" s="9">
        <f t="shared" si="13"/>
        <v>0</v>
      </c>
      <c r="I134" s="9">
        <f t="shared" si="13"/>
        <v>0</v>
      </c>
      <c r="J134" s="9">
        <f t="shared" si="13"/>
        <v>0</v>
      </c>
      <c r="K134" s="9">
        <f t="shared" si="13"/>
        <v>0</v>
      </c>
      <c r="L134" s="9">
        <f t="shared" si="13"/>
        <v>0</v>
      </c>
      <c r="M134" s="9">
        <f t="shared" si="13"/>
        <v>0</v>
      </c>
      <c r="N134" s="9">
        <f t="shared" si="13"/>
        <v>0</v>
      </c>
      <c r="O134" s="9">
        <f t="shared" si="13"/>
        <v>0</v>
      </c>
      <c r="P134" s="9">
        <f t="shared" si="13"/>
        <v>0</v>
      </c>
      <c r="Q134" s="9">
        <f t="shared" si="13"/>
        <v>0</v>
      </c>
      <c r="R134" s="45" t="s">
        <v>602</v>
      </c>
    </row>
    <row r="137" spans="1:18" ht="18" customHeight="1" x14ac:dyDescent="0.3">
      <c r="B137" s="48" t="str">
        <f>CONCATENATE("U",C26,C$21)</f>
        <v>U1X</v>
      </c>
      <c r="C137" s="48" t="str">
        <f>CONCATENATE("U",D26,D$21)</f>
        <v>U1Y</v>
      </c>
      <c r="D137" s="48" t="str">
        <f>CONCATENATE("U",E26,E$21)</f>
        <v>U6X</v>
      </c>
      <c r="E137" s="48" t="str">
        <f>CONCATENATE("U",F26,F$21)</f>
        <v>U6Y</v>
      </c>
    </row>
    <row r="138" spans="1:18" x14ac:dyDescent="0.3">
      <c r="B138" s="49">
        <f>J10*J10*N10</f>
        <v>14515.199999999999</v>
      </c>
      <c r="C138" s="49">
        <f>J10*K10*N10</f>
        <v>19353.599999999999</v>
      </c>
      <c r="D138" s="49">
        <f>-B138</f>
        <v>-14515.199999999999</v>
      </c>
      <c r="E138" s="49">
        <f>-C138</f>
        <v>-19353.599999999999</v>
      </c>
      <c r="F138" s="48" t="str">
        <f>B137</f>
        <v>U1X</v>
      </c>
    </row>
    <row r="139" spans="1:18" ht="16.8" customHeight="1" x14ac:dyDescent="0.3">
      <c r="A139" s="28" t="s">
        <v>197</v>
      </c>
      <c r="B139" s="49">
        <f>C138</f>
        <v>19353.599999999999</v>
      </c>
      <c r="C139" s="49">
        <f>K10*K10*N10</f>
        <v>25804.800000000007</v>
      </c>
      <c r="D139" s="49">
        <f>-B139</f>
        <v>-19353.599999999999</v>
      </c>
      <c r="E139" s="49">
        <f>-C139</f>
        <v>-25804.800000000007</v>
      </c>
      <c r="F139" s="48" t="str">
        <f>C137</f>
        <v>U1Y</v>
      </c>
    </row>
    <row r="140" spans="1:18" x14ac:dyDescent="0.3">
      <c r="B140" s="49">
        <f>D138</f>
        <v>-14515.199999999999</v>
      </c>
      <c r="C140" s="49">
        <f>E138</f>
        <v>-19353.599999999999</v>
      </c>
      <c r="D140" s="49">
        <f>B138</f>
        <v>14515.199999999999</v>
      </c>
      <c r="E140" s="49">
        <f>C138</f>
        <v>19353.599999999999</v>
      </c>
      <c r="F140" s="48" t="str">
        <f>D137</f>
        <v>U6X</v>
      </c>
    </row>
    <row r="141" spans="1:18" x14ac:dyDescent="0.3">
      <c r="B141" s="49">
        <f>D139</f>
        <v>-19353.599999999999</v>
      </c>
      <c r="C141" s="49">
        <f>E139</f>
        <v>-25804.800000000007</v>
      </c>
      <c r="D141" s="49">
        <f>B139</f>
        <v>19353.599999999999</v>
      </c>
      <c r="E141" s="49">
        <f>C139</f>
        <v>25804.800000000007</v>
      </c>
      <c r="F141" s="48" t="str">
        <f>E137</f>
        <v>U6Y</v>
      </c>
    </row>
    <row r="143" spans="1:18" ht="18" customHeight="1" x14ac:dyDescent="0.3">
      <c r="B143" s="48" t="s">
        <v>178</v>
      </c>
      <c r="C143" s="48" t="s">
        <v>179</v>
      </c>
      <c r="D143" s="48" t="s">
        <v>180</v>
      </c>
      <c r="E143" s="48" t="s">
        <v>181</v>
      </c>
      <c r="F143" s="48" t="s">
        <v>182</v>
      </c>
      <c r="G143" s="48" t="s">
        <v>183</v>
      </c>
      <c r="H143" s="48" t="s">
        <v>184</v>
      </c>
      <c r="I143" s="48" t="s">
        <v>185</v>
      </c>
      <c r="J143" s="48" t="s">
        <v>186</v>
      </c>
      <c r="K143" s="48" t="s">
        <v>187</v>
      </c>
      <c r="L143" s="48" t="s">
        <v>188</v>
      </c>
      <c r="M143" s="48" t="s">
        <v>189</v>
      </c>
      <c r="N143" s="48" t="s">
        <v>579</v>
      </c>
      <c r="O143" s="48" t="s">
        <v>580</v>
      </c>
      <c r="P143" s="48" t="s">
        <v>601</v>
      </c>
      <c r="Q143" s="48" t="s">
        <v>602</v>
      </c>
    </row>
    <row r="144" spans="1:18" ht="19.05" customHeight="1" x14ac:dyDescent="0.3">
      <c r="B144" s="50">
        <f t="shared" ref="B144:Q153" si="14">IFERROR(INDEX($B$138:$E$141, MATCH($R144, $B$137:$E$137, 0), MATCH(B$143, $B$137:$E$137, 0)), 0)</f>
        <v>14515.199999999999</v>
      </c>
      <c r="C144" s="50">
        <f t="shared" si="14"/>
        <v>19353.599999999999</v>
      </c>
      <c r="D144" s="9">
        <f t="shared" si="14"/>
        <v>0</v>
      </c>
      <c r="E144" s="9">
        <f t="shared" si="14"/>
        <v>0</v>
      </c>
      <c r="F144" s="9">
        <f t="shared" si="14"/>
        <v>0</v>
      </c>
      <c r="G144" s="9">
        <f t="shared" si="14"/>
        <v>0</v>
      </c>
      <c r="H144" s="9">
        <f t="shared" si="14"/>
        <v>0</v>
      </c>
      <c r="I144" s="9">
        <f t="shared" si="14"/>
        <v>0</v>
      </c>
      <c r="J144" s="9">
        <f t="shared" si="14"/>
        <v>0</v>
      </c>
      <c r="K144" s="9">
        <f t="shared" si="14"/>
        <v>0</v>
      </c>
      <c r="L144" s="50">
        <f t="shared" si="14"/>
        <v>-14515.199999999999</v>
      </c>
      <c r="M144" s="50">
        <f t="shared" si="14"/>
        <v>-19353.599999999999</v>
      </c>
      <c r="N144" s="9">
        <f t="shared" si="14"/>
        <v>0</v>
      </c>
      <c r="O144" s="9">
        <f t="shared" si="14"/>
        <v>0</v>
      </c>
      <c r="P144" s="9">
        <f t="shared" si="14"/>
        <v>0</v>
      </c>
      <c r="Q144" s="9">
        <f t="shared" si="14"/>
        <v>0</v>
      </c>
      <c r="R144" s="48" t="s">
        <v>178</v>
      </c>
    </row>
    <row r="145" spans="1:18" ht="19.05" customHeight="1" x14ac:dyDescent="0.3">
      <c r="B145" s="50">
        <f t="shared" si="14"/>
        <v>19353.599999999999</v>
      </c>
      <c r="C145" s="50">
        <f t="shared" si="14"/>
        <v>25804.800000000007</v>
      </c>
      <c r="D145" s="9">
        <f t="shared" si="14"/>
        <v>0</v>
      </c>
      <c r="E145" s="9">
        <f t="shared" si="14"/>
        <v>0</v>
      </c>
      <c r="F145" s="9">
        <f t="shared" si="14"/>
        <v>0</v>
      </c>
      <c r="G145" s="9">
        <f t="shared" si="14"/>
        <v>0</v>
      </c>
      <c r="H145" s="9">
        <f t="shared" si="14"/>
        <v>0</v>
      </c>
      <c r="I145" s="9">
        <f t="shared" si="14"/>
        <v>0</v>
      </c>
      <c r="J145" s="9">
        <f t="shared" si="14"/>
        <v>0</v>
      </c>
      <c r="K145" s="9">
        <f t="shared" si="14"/>
        <v>0</v>
      </c>
      <c r="L145" s="50">
        <f t="shared" si="14"/>
        <v>-19353.599999999999</v>
      </c>
      <c r="M145" s="50">
        <f t="shared" si="14"/>
        <v>-25804.800000000007</v>
      </c>
      <c r="N145" s="9">
        <f t="shared" si="14"/>
        <v>0</v>
      </c>
      <c r="O145" s="9">
        <f t="shared" si="14"/>
        <v>0</v>
      </c>
      <c r="P145" s="9">
        <f t="shared" si="14"/>
        <v>0</v>
      </c>
      <c r="Q145" s="9">
        <f t="shared" si="14"/>
        <v>0</v>
      </c>
      <c r="R145" s="48" t="s">
        <v>179</v>
      </c>
    </row>
    <row r="146" spans="1:18" ht="19.05" customHeight="1" x14ac:dyDescent="0.3">
      <c r="B146" s="9">
        <f t="shared" si="14"/>
        <v>0</v>
      </c>
      <c r="C146" s="9">
        <f t="shared" si="14"/>
        <v>0</v>
      </c>
      <c r="D146" s="9">
        <f t="shared" si="14"/>
        <v>0</v>
      </c>
      <c r="E146" s="9">
        <f t="shared" si="14"/>
        <v>0</v>
      </c>
      <c r="F146" s="9">
        <f t="shared" si="14"/>
        <v>0</v>
      </c>
      <c r="G146" s="9">
        <f t="shared" si="14"/>
        <v>0</v>
      </c>
      <c r="H146" s="9">
        <f t="shared" si="14"/>
        <v>0</v>
      </c>
      <c r="I146" s="9">
        <f t="shared" si="14"/>
        <v>0</v>
      </c>
      <c r="J146" s="9">
        <f t="shared" si="14"/>
        <v>0</v>
      </c>
      <c r="K146" s="9">
        <f t="shared" si="14"/>
        <v>0</v>
      </c>
      <c r="L146" s="9">
        <f t="shared" si="14"/>
        <v>0</v>
      </c>
      <c r="M146" s="9">
        <f t="shared" si="14"/>
        <v>0</v>
      </c>
      <c r="N146" s="9">
        <f t="shared" si="14"/>
        <v>0</v>
      </c>
      <c r="O146" s="9">
        <f t="shared" si="14"/>
        <v>0</v>
      </c>
      <c r="P146" s="9">
        <f t="shared" si="14"/>
        <v>0</v>
      </c>
      <c r="Q146" s="9">
        <f t="shared" si="14"/>
        <v>0</v>
      </c>
      <c r="R146" s="48" t="s">
        <v>180</v>
      </c>
    </row>
    <row r="147" spans="1:18" ht="19.05" customHeight="1" x14ac:dyDescent="0.3">
      <c r="B147" s="9">
        <f t="shared" si="14"/>
        <v>0</v>
      </c>
      <c r="C147" s="9">
        <f t="shared" si="14"/>
        <v>0</v>
      </c>
      <c r="D147" s="9">
        <f t="shared" si="14"/>
        <v>0</v>
      </c>
      <c r="E147" s="9">
        <f t="shared" si="14"/>
        <v>0</v>
      </c>
      <c r="F147" s="9">
        <f t="shared" si="14"/>
        <v>0</v>
      </c>
      <c r="G147" s="9">
        <f t="shared" si="14"/>
        <v>0</v>
      </c>
      <c r="H147" s="9">
        <f t="shared" si="14"/>
        <v>0</v>
      </c>
      <c r="I147" s="9">
        <f t="shared" si="14"/>
        <v>0</v>
      </c>
      <c r="J147" s="9">
        <f t="shared" si="14"/>
        <v>0</v>
      </c>
      <c r="K147" s="9">
        <f t="shared" si="14"/>
        <v>0</v>
      </c>
      <c r="L147" s="9">
        <f t="shared" si="14"/>
        <v>0</v>
      </c>
      <c r="M147" s="9">
        <f t="shared" si="14"/>
        <v>0</v>
      </c>
      <c r="N147" s="9">
        <f t="shared" si="14"/>
        <v>0</v>
      </c>
      <c r="O147" s="9">
        <f t="shared" si="14"/>
        <v>0</v>
      </c>
      <c r="P147" s="9">
        <f t="shared" si="14"/>
        <v>0</v>
      </c>
      <c r="Q147" s="9">
        <f t="shared" si="14"/>
        <v>0</v>
      </c>
      <c r="R147" s="48" t="s">
        <v>181</v>
      </c>
    </row>
    <row r="148" spans="1:18" ht="19.05" customHeight="1" x14ac:dyDescent="0.3">
      <c r="B148" s="9">
        <f t="shared" si="14"/>
        <v>0</v>
      </c>
      <c r="C148" s="9">
        <f t="shared" si="14"/>
        <v>0</v>
      </c>
      <c r="D148" s="9">
        <f t="shared" si="14"/>
        <v>0</v>
      </c>
      <c r="E148" s="9">
        <f t="shared" si="14"/>
        <v>0</v>
      </c>
      <c r="F148" s="9">
        <f t="shared" si="14"/>
        <v>0</v>
      </c>
      <c r="G148" s="9">
        <f t="shared" si="14"/>
        <v>0</v>
      </c>
      <c r="H148" s="9">
        <f t="shared" si="14"/>
        <v>0</v>
      </c>
      <c r="I148" s="9">
        <f t="shared" si="14"/>
        <v>0</v>
      </c>
      <c r="J148" s="9">
        <f t="shared" si="14"/>
        <v>0</v>
      </c>
      <c r="K148" s="9">
        <f t="shared" si="14"/>
        <v>0</v>
      </c>
      <c r="L148" s="9">
        <f t="shared" si="14"/>
        <v>0</v>
      </c>
      <c r="M148" s="9">
        <f t="shared" si="14"/>
        <v>0</v>
      </c>
      <c r="N148" s="9">
        <f t="shared" si="14"/>
        <v>0</v>
      </c>
      <c r="O148" s="9">
        <f t="shared" si="14"/>
        <v>0</v>
      </c>
      <c r="P148" s="9">
        <f t="shared" si="14"/>
        <v>0</v>
      </c>
      <c r="Q148" s="9">
        <f t="shared" si="14"/>
        <v>0</v>
      </c>
      <c r="R148" s="48" t="s">
        <v>182</v>
      </c>
    </row>
    <row r="149" spans="1:18" ht="19.05" customHeight="1" x14ac:dyDescent="0.3">
      <c r="B149" s="9">
        <f t="shared" si="14"/>
        <v>0</v>
      </c>
      <c r="C149" s="9">
        <f t="shared" si="14"/>
        <v>0</v>
      </c>
      <c r="D149" s="9">
        <f t="shared" si="14"/>
        <v>0</v>
      </c>
      <c r="E149" s="9">
        <f t="shared" si="14"/>
        <v>0</v>
      </c>
      <c r="F149" s="9">
        <f t="shared" si="14"/>
        <v>0</v>
      </c>
      <c r="G149" s="9">
        <f t="shared" si="14"/>
        <v>0</v>
      </c>
      <c r="H149" s="9">
        <f t="shared" si="14"/>
        <v>0</v>
      </c>
      <c r="I149" s="9">
        <f t="shared" si="14"/>
        <v>0</v>
      </c>
      <c r="J149" s="9">
        <f t="shared" si="14"/>
        <v>0</v>
      </c>
      <c r="K149" s="9">
        <f t="shared" si="14"/>
        <v>0</v>
      </c>
      <c r="L149" s="9">
        <f t="shared" si="14"/>
        <v>0</v>
      </c>
      <c r="M149" s="9">
        <f t="shared" si="14"/>
        <v>0</v>
      </c>
      <c r="N149" s="9">
        <f t="shared" si="14"/>
        <v>0</v>
      </c>
      <c r="O149" s="9">
        <f t="shared" si="14"/>
        <v>0</v>
      </c>
      <c r="P149" s="9">
        <f t="shared" si="14"/>
        <v>0</v>
      </c>
      <c r="Q149" s="9">
        <f t="shared" si="14"/>
        <v>0</v>
      </c>
      <c r="R149" s="48" t="s">
        <v>183</v>
      </c>
    </row>
    <row r="150" spans="1:18" ht="19.05" customHeight="1" x14ac:dyDescent="0.3">
      <c r="B150" s="9">
        <f t="shared" si="14"/>
        <v>0</v>
      </c>
      <c r="C150" s="9">
        <f t="shared" si="14"/>
        <v>0</v>
      </c>
      <c r="D150" s="9">
        <f t="shared" si="14"/>
        <v>0</v>
      </c>
      <c r="E150" s="9">
        <f t="shared" si="14"/>
        <v>0</v>
      </c>
      <c r="F150" s="9">
        <f t="shared" si="14"/>
        <v>0</v>
      </c>
      <c r="G150" s="9">
        <f t="shared" si="14"/>
        <v>0</v>
      </c>
      <c r="H150" s="9">
        <f t="shared" si="14"/>
        <v>0</v>
      </c>
      <c r="I150" s="9">
        <f t="shared" si="14"/>
        <v>0</v>
      </c>
      <c r="J150" s="9">
        <f t="shared" si="14"/>
        <v>0</v>
      </c>
      <c r="K150" s="9">
        <f t="shared" si="14"/>
        <v>0</v>
      </c>
      <c r="L150" s="9">
        <f t="shared" si="14"/>
        <v>0</v>
      </c>
      <c r="M150" s="9">
        <f t="shared" si="14"/>
        <v>0</v>
      </c>
      <c r="N150" s="9">
        <f t="shared" si="14"/>
        <v>0</v>
      </c>
      <c r="O150" s="9">
        <f t="shared" si="14"/>
        <v>0</v>
      </c>
      <c r="P150" s="9">
        <f t="shared" si="14"/>
        <v>0</v>
      </c>
      <c r="Q150" s="9">
        <f t="shared" si="14"/>
        <v>0</v>
      </c>
      <c r="R150" s="48" t="s">
        <v>184</v>
      </c>
    </row>
    <row r="151" spans="1:18" ht="19.05" customHeight="1" x14ac:dyDescent="0.3">
      <c r="A151" s="28" t="s">
        <v>198</v>
      </c>
      <c r="B151" s="9">
        <f t="shared" si="14"/>
        <v>0</v>
      </c>
      <c r="C151" s="9">
        <f t="shared" si="14"/>
        <v>0</v>
      </c>
      <c r="D151" s="9">
        <f t="shared" si="14"/>
        <v>0</v>
      </c>
      <c r="E151" s="9">
        <f t="shared" si="14"/>
        <v>0</v>
      </c>
      <c r="F151" s="9">
        <f t="shared" si="14"/>
        <v>0</v>
      </c>
      <c r="G151" s="9">
        <f t="shared" si="14"/>
        <v>0</v>
      </c>
      <c r="H151" s="9">
        <f t="shared" si="14"/>
        <v>0</v>
      </c>
      <c r="I151" s="9">
        <f t="shared" si="14"/>
        <v>0</v>
      </c>
      <c r="J151" s="9">
        <f t="shared" si="14"/>
        <v>0</v>
      </c>
      <c r="K151" s="9">
        <f t="shared" si="14"/>
        <v>0</v>
      </c>
      <c r="L151" s="9">
        <f t="shared" si="14"/>
        <v>0</v>
      </c>
      <c r="M151" s="9">
        <f t="shared" si="14"/>
        <v>0</v>
      </c>
      <c r="N151" s="9">
        <f t="shared" si="14"/>
        <v>0</v>
      </c>
      <c r="O151" s="9">
        <f t="shared" si="14"/>
        <v>0</v>
      </c>
      <c r="P151" s="9">
        <f t="shared" si="14"/>
        <v>0</v>
      </c>
      <c r="Q151" s="9">
        <f t="shared" si="14"/>
        <v>0</v>
      </c>
      <c r="R151" s="48" t="s">
        <v>185</v>
      </c>
    </row>
    <row r="152" spans="1:18" ht="19.05" customHeight="1" x14ac:dyDescent="0.3">
      <c r="B152" s="9">
        <f t="shared" si="14"/>
        <v>0</v>
      </c>
      <c r="C152" s="9">
        <f t="shared" si="14"/>
        <v>0</v>
      </c>
      <c r="D152" s="9">
        <f t="shared" si="14"/>
        <v>0</v>
      </c>
      <c r="E152" s="9">
        <f t="shared" si="14"/>
        <v>0</v>
      </c>
      <c r="F152" s="9">
        <f t="shared" si="14"/>
        <v>0</v>
      </c>
      <c r="G152" s="9">
        <f t="shared" si="14"/>
        <v>0</v>
      </c>
      <c r="H152" s="9">
        <f t="shared" si="14"/>
        <v>0</v>
      </c>
      <c r="I152" s="9">
        <f t="shared" si="14"/>
        <v>0</v>
      </c>
      <c r="J152" s="9">
        <f t="shared" si="14"/>
        <v>0</v>
      </c>
      <c r="K152" s="9">
        <f t="shared" si="14"/>
        <v>0</v>
      </c>
      <c r="L152" s="9">
        <f t="shared" si="14"/>
        <v>0</v>
      </c>
      <c r="M152" s="9">
        <f t="shared" si="14"/>
        <v>0</v>
      </c>
      <c r="N152" s="9">
        <f t="shared" si="14"/>
        <v>0</v>
      </c>
      <c r="O152" s="9">
        <f t="shared" si="14"/>
        <v>0</v>
      </c>
      <c r="P152" s="9">
        <f t="shared" si="14"/>
        <v>0</v>
      </c>
      <c r="Q152" s="9">
        <f t="shared" si="14"/>
        <v>0</v>
      </c>
      <c r="R152" s="48" t="s">
        <v>186</v>
      </c>
    </row>
    <row r="153" spans="1:18" ht="19.05" customHeight="1" x14ac:dyDescent="0.3">
      <c r="B153" s="9">
        <f t="shared" si="14"/>
        <v>0</v>
      </c>
      <c r="C153" s="9">
        <f t="shared" si="14"/>
        <v>0</v>
      </c>
      <c r="D153" s="9">
        <f t="shared" si="14"/>
        <v>0</v>
      </c>
      <c r="E153" s="9">
        <f t="shared" si="14"/>
        <v>0</v>
      </c>
      <c r="F153" s="9">
        <f t="shared" si="14"/>
        <v>0</v>
      </c>
      <c r="G153" s="9">
        <f t="shared" si="14"/>
        <v>0</v>
      </c>
      <c r="H153" s="9">
        <f t="shared" si="14"/>
        <v>0</v>
      </c>
      <c r="I153" s="9">
        <f t="shared" si="14"/>
        <v>0</v>
      </c>
      <c r="J153" s="9">
        <f t="shared" si="14"/>
        <v>0</v>
      </c>
      <c r="K153" s="9">
        <f t="shared" si="14"/>
        <v>0</v>
      </c>
      <c r="L153" s="9">
        <f t="shared" si="14"/>
        <v>0</v>
      </c>
      <c r="M153" s="9">
        <f t="shared" si="14"/>
        <v>0</v>
      </c>
      <c r="N153" s="9">
        <f t="shared" si="14"/>
        <v>0</v>
      </c>
      <c r="O153" s="9">
        <f t="shared" si="14"/>
        <v>0</v>
      </c>
      <c r="P153" s="9">
        <f t="shared" si="14"/>
        <v>0</v>
      </c>
      <c r="Q153" s="9">
        <f t="shared" si="14"/>
        <v>0</v>
      </c>
      <c r="R153" s="48" t="s">
        <v>187</v>
      </c>
    </row>
    <row r="154" spans="1:18" ht="19.05" customHeight="1" x14ac:dyDescent="0.3">
      <c r="B154" s="50">
        <f t="shared" ref="B154:Q159" si="15">IFERROR(INDEX($B$138:$E$141, MATCH($R154, $B$137:$E$137, 0), MATCH(B$143, $B$137:$E$137, 0)), 0)</f>
        <v>-14515.199999999999</v>
      </c>
      <c r="C154" s="50">
        <f t="shared" si="15"/>
        <v>-19353.599999999999</v>
      </c>
      <c r="D154" s="9">
        <f t="shared" si="15"/>
        <v>0</v>
      </c>
      <c r="E154" s="9">
        <f t="shared" si="15"/>
        <v>0</v>
      </c>
      <c r="F154" s="9">
        <f t="shared" si="15"/>
        <v>0</v>
      </c>
      <c r="G154" s="9">
        <f t="shared" si="15"/>
        <v>0</v>
      </c>
      <c r="H154" s="9">
        <f t="shared" si="15"/>
        <v>0</v>
      </c>
      <c r="I154" s="9">
        <f t="shared" si="15"/>
        <v>0</v>
      </c>
      <c r="J154" s="9">
        <f t="shared" si="15"/>
        <v>0</v>
      </c>
      <c r="K154" s="9">
        <f t="shared" si="15"/>
        <v>0</v>
      </c>
      <c r="L154" s="50">
        <f t="shared" si="15"/>
        <v>14515.199999999999</v>
      </c>
      <c r="M154" s="50">
        <f t="shared" si="15"/>
        <v>19353.599999999999</v>
      </c>
      <c r="N154" s="9">
        <f t="shared" si="15"/>
        <v>0</v>
      </c>
      <c r="O154" s="9">
        <f t="shared" si="15"/>
        <v>0</v>
      </c>
      <c r="P154" s="9">
        <f t="shared" si="15"/>
        <v>0</v>
      </c>
      <c r="Q154" s="9">
        <f t="shared" si="15"/>
        <v>0</v>
      </c>
      <c r="R154" s="48" t="s">
        <v>188</v>
      </c>
    </row>
    <row r="155" spans="1:18" ht="19.05" customHeight="1" x14ac:dyDescent="0.3">
      <c r="B155" s="50">
        <f t="shared" si="15"/>
        <v>-19353.599999999999</v>
      </c>
      <c r="C155" s="50">
        <f t="shared" si="15"/>
        <v>-25804.800000000007</v>
      </c>
      <c r="D155" s="9">
        <f t="shared" si="15"/>
        <v>0</v>
      </c>
      <c r="E155" s="9">
        <f t="shared" si="15"/>
        <v>0</v>
      </c>
      <c r="F155" s="9">
        <f t="shared" si="15"/>
        <v>0</v>
      </c>
      <c r="G155" s="9">
        <f t="shared" si="15"/>
        <v>0</v>
      </c>
      <c r="H155" s="9">
        <f t="shared" si="15"/>
        <v>0</v>
      </c>
      <c r="I155" s="9">
        <f t="shared" si="15"/>
        <v>0</v>
      </c>
      <c r="J155" s="9">
        <f t="shared" si="15"/>
        <v>0</v>
      </c>
      <c r="K155" s="9">
        <f t="shared" si="15"/>
        <v>0</v>
      </c>
      <c r="L155" s="50">
        <f t="shared" si="15"/>
        <v>19353.599999999999</v>
      </c>
      <c r="M155" s="50">
        <f t="shared" si="15"/>
        <v>25804.800000000007</v>
      </c>
      <c r="N155" s="9">
        <f t="shared" si="15"/>
        <v>0</v>
      </c>
      <c r="O155" s="9">
        <f t="shared" si="15"/>
        <v>0</v>
      </c>
      <c r="P155" s="9">
        <f t="shared" si="15"/>
        <v>0</v>
      </c>
      <c r="Q155" s="9">
        <f t="shared" si="15"/>
        <v>0</v>
      </c>
      <c r="R155" s="48" t="s">
        <v>189</v>
      </c>
    </row>
    <row r="156" spans="1:18" ht="19.05" customHeight="1" x14ac:dyDescent="0.3">
      <c r="B156" s="9">
        <f t="shared" si="15"/>
        <v>0</v>
      </c>
      <c r="C156" s="9">
        <f t="shared" si="15"/>
        <v>0</v>
      </c>
      <c r="D156" s="9">
        <f t="shared" si="15"/>
        <v>0</v>
      </c>
      <c r="E156" s="9">
        <f t="shared" si="15"/>
        <v>0</v>
      </c>
      <c r="F156" s="9">
        <f t="shared" si="15"/>
        <v>0</v>
      </c>
      <c r="G156" s="9">
        <f t="shared" si="15"/>
        <v>0</v>
      </c>
      <c r="H156" s="9">
        <f t="shared" si="15"/>
        <v>0</v>
      </c>
      <c r="I156" s="9">
        <f t="shared" si="15"/>
        <v>0</v>
      </c>
      <c r="J156" s="9">
        <f t="shared" si="15"/>
        <v>0</v>
      </c>
      <c r="K156" s="9">
        <f t="shared" si="15"/>
        <v>0</v>
      </c>
      <c r="L156" s="9">
        <f t="shared" si="15"/>
        <v>0</v>
      </c>
      <c r="M156" s="9">
        <f t="shared" si="15"/>
        <v>0</v>
      </c>
      <c r="N156" s="9">
        <f t="shared" si="15"/>
        <v>0</v>
      </c>
      <c r="O156" s="9">
        <f t="shared" si="15"/>
        <v>0</v>
      </c>
      <c r="P156" s="9">
        <f t="shared" si="15"/>
        <v>0</v>
      </c>
      <c r="Q156" s="9">
        <f t="shared" si="15"/>
        <v>0</v>
      </c>
      <c r="R156" s="48" t="s">
        <v>579</v>
      </c>
    </row>
    <row r="157" spans="1:18" ht="19.05" customHeight="1" x14ac:dyDescent="0.3">
      <c r="B157" s="9">
        <f t="shared" si="15"/>
        <v>0</v>
      </c>
      <c r="C157" s="9">
        <f t="shared" si="15"/>
        <v>0</v>
      </c>
      <c r="D157" s="9">
        <f t="shared" si="15"/>
        <v>0</v>
      </c>
      <c r="E157" s="9">
        <f t="shared" si="15"/>
        <v>0</v>
      </c>
      <c r="F157" s="9">
        <f t="shared" si="15"/>
        <v>0</v>
      </c>
      <c r="G157" s="9">
        <f t="shared" si="15"/>
        <v>0</v>
      </c>
      <c r="H157" s="9">
        <f t="shared" si="15"/>
        <v>0</v>
      </c>
      <c r="I157" s="9">
        <f t="shared" si="15"/>
        <v>0</v>
      </c>
      <c r="J157" s="9">
        <f t="shared" si="15"/>
        <v>0</v>
      </c>
      <c r="K157" s="9">
        <f t="shared" si="15"/>
        <v>0</v>
      </c>
      <c r="L157" s="9">
        <f t="shared" si="15"/>
        <v>0</v>
      </c>
      <c r="M157" s="9">
        <f t="shared" si="15"/>
        <v>0</v>
      </c>
      <c r="N157" s="9">
        <f t="shared" si="15"/>
        <v>0</v>
      </c>
      <c r="O157" s="9">
        <f t="shared" si="15"/>
        <v>0</v>
      </c>
      <c r="P157" s="9">
        <f t="shared" si="15"/>
        <v>0</v>
      </c>
      <c r="Q157" s="9">
        <f t="shared" si="15"/>
        <v>0</v>
      </c>
      <c r="R157" s="48" t="s">
        <v>580</v>
      </c>
    </row>
    <row r="158" spans="1:18" ht="19.05" customHeight="1" x14ac:dyDescent="0.3">
      <c r="B158" s="9">
        <f t="shared" si="15"/>
        <v>0</v>
      </c>
      <c r="C158" s="9">
        <f t="shared" si="15"/>
        <v>0</v>
      </c>
      <c r="D158" s="9">
        <f t="shared" si="15"/>
        <v>0</v>
      </c>
      <c r="E158" s="9">
        <f t="shared" si="15"/>
        <v>0</v>
      </c>
      <c r="F158" s="9">
        <f t="shared" si="15"/>
        <v>0</v>
      </c>
      <c r="G158" s="9">
        <f t="shared" si="15"/>
        <v>0</v>
      </c>
      <c r="H158" s="9">
        <f t="shared" si="15"/>
        <v>0</v>
      </c>
      <c r="I158" s="9">
        <f t="shared" si="15"/>
        <v>0</v>
      </c>
      <c r="J158" s="9">
        <f t="shared" si="15"/>
        <v>0</v>
      </c>
      <c r="K158" s="9">
        <f t="shared" si="15"/>
        <v>0</v>
      </c>
      <c r="L158" s="9">
        <f t="shared" si="15"/>
        <v>0</v>
      </c>
      <c r="M158" s="9">
        <f t="shared" si="15"/>
        <v>0</v>
      </c>
      <c r="N158" s="9">
        <f t="shared" si="15"/>
        <v>0</v>
      </c>
      <c r="O158" s="9">
        <f t="shared" si="15"/>
        <v>0</v>
      </c>
      <c r="P158" s="9">
        <f t="shared" si="15"/>
        <v>0</v>
      </c>
      <c r="Q158" s="9">
        <f t="shared" si="15"/>
        <v>0</v>
      </c>
      <c r="R158" s="48" t="s">
        <v>601</v>
      </c>
    </row>
    <row r="159" spans="1:18" ht="19.05" customHeight="1" x14ac:dyDescent="0.3">
      <c r="B159" s="9">
        <f t="shared" si="15"/>
        <v>0</v>
      </c>
      <c r="C159" s="9">
        <f t="shared" si="15"/>
        <v>0</v>
      </c>
      <c r="D159" s="9">
        <f t="shared" si="15"/>
        <v>0</v>
      </c>
      <c r="E159" s="9">
        <f t="shared" si="15"/>
        <v>0</v>
      </c>
      <c r="F159" s="9">
        <f t="shared" si="15"/>
        <v>0</v>
      </c>
      <c r="G159" s="9">
        <f t="shared" si="15"/>
        <v>0</v>
      </c>
      <c r="H159" s="9">
        <f t="shared" si="15"/>
        <v>0</v>
      </c>
      <c r="I159" s="9">
        <f t="shared" si="15"/>
        <v>0</v>
      </c>
      <c r="J159" s="9">
        <f t="shared" si="15"/>
        <v>0</v>
      </c>
      <c r="K159" s="9">
        <f t="shared" si="15"/>
        <v>0</v>
      </c>
      <c r="L159" s="9">
        <f t="shared" si="15"/>
        <v>0</v>
      </c>
      <c r="M159" s="9">
        <f t="shared" si="15"/>
        <v>0</v>
      </c>
      <c r="N159" s="9">
        <f t="shared" si="15"/>
        <v>0</v>
      </c>
      <c r="O159" s="9">
        <f t="shared" si="15"/>
        <v>0</v>
      </c>
      <c r="P159" s="9">
        <f t="shared" si="15"/>
        <v>0</v>
      </c>
      <c r="Q159" s="9">
        <f t="shared" si="15"/>
        <v>0</v>
      </c>
      <c r="R159" s="48" t="s">
        <v>602</v>
      </c>
    </row>
    <row r="162" spans="1:18" ht="18" customHeight="1" x14ac:dyDescent="0.3">
      <c r="B162" s="53" t="str">
        <f>CONCATENATE("U",C27,C$21)</f>
        <v>U6X</v>
      </c>
      <c r="C162" s="53" t="str">
        <f>CONCATENATE("U",D27,D$21)</f>
        <v>U6Y</v>
      </c>
      <c r="D162" s="53" t="str">
        <f>CONCATENATE("U",E27,E$21)</f>
        <v>U7X</v>
      </c>
      <c r="E162" s="53" t="str">
        <f>CONCATENATE("U",F27,F$21)</f>
        <v>U7Y</v>
      </c>
    </row>
    <row r="163" spans="1:18" x14ac:dyDescent="0.3">
      <c r="B163" s="54">
        <f>J11*J11*N11</f>
        <v>67200</v>
      </c>
      <c r="C163" s="54">
        <f>J11*K11*N11</f>
        <v>0</v>
      </c>
      <c r="D163" s="54">
        <f>-B163</f>
        <v>-67200</v>
      </c>
      <c r="E163" s="54">
        <f>-C163</f>
        <v>0</v>
      </c>
      <c r="F163" s="53" t="str">
        <f>B162</f>
        <v>U6X</v>
      </c>
    </row>
    <row r="164" spans="1:18" ht="16.8" customHeight="1" x14ac:dyDescent="0.3">
      <c r="A164" s="28" t="s">
        <v>199</v>
      </c>
      <c r="B164" s="54">
        <f>C163</f>
        <v>0</v>
      </c>
      <c r="C164" s="54">
        <f>K11*K11*N11</f>
        <v>0</v>
      </c>
      <c r="D164" s="54">
        <f>-B164</f>
        <v>0</v>
      </c>
      <c r="E164" s="54">
        <f>-C164</f>
        <v>0</v>
      </c>
      <c r="F164" s="53" t="str">
        <f>C162</f>
        <v>U6Y</v>
      </c>
    </row>
    <row r="165" spans="1:18" x14ac:dyDescent="0.3">
      <c r="B165" s="54">
        <f>D163</f>
        <v>-67200</v>
      </c>
      <c r="C165" s="54">
        <f>E163</f>
        <v>0</v>
      </c>
      <c r="D165" s="54">
        <f>B163</f>
        <v>67200</v>
      </c>
      <c r="E165" s="54">
        <f>C163</f>
        <v>0</v>
      </c>
      <c r="F165" s="53" t="str">
        <f>D162</f>
        <v>U7X</v>
      </c>
    </row>
    <row r="166" spans="1:18" x14ac:dyDescent="0.3">
      <c r="B166" s="54">
        <f>D164</f>
        <v>0</v>
      </c>
      <c r="C166" s="54">
        <f>E164</f>
        <v>0</v>
      </c>
      <c r="D166" s="54">
        <f>B164</f>
        <v>0</v>
      </c>
      <c r="E166" s="54">
        <f>C164</f>
        <v>0</v>
      </c>
      <c r="F166" s="53" t="str">
        <f>E162</f>
        <v>U7Y</v>
      </c>
    </row>
    <row r="168" spans="1:18" ht="18" customHeight="1" x14ac:dyDescent="0.3">
      <c r="B168" s="53" t="s">
        <v>178</v>
      </c>
      <c r="C168" s="53" t="s">
        <v>179</v>
      </c>
      <c r="D168" s="53" t="s">
        <v>180</v>
      </c>
      <c r="E168" s="53" t="s">
        <v>181</v>
      </c>
      <c r="F168" s="53" t="s">
        <v>182</v>
      </c>
      <c r="G168" s="53" t="s">
        <v>183</v>
      </c>
      <c r="H168" s="53" t="s">
        <v>184</v>
      </c>
      <c r="I168" s="53" t="s">
        <v>185</v>
      </c>
      <c r="J168" s="53" t="s">
        <v>186</v>
      </c>
      <c r="K168" s="53" t="s">
        <v>187</v>
      </c>
      <c r="L168" s="53" t="s">
        <v>188</v>
      </c>
      <c r="M168" s="53" t="s">
        <v>189</v>
      </c>
      <c r="N168" s="53" t="s">
        <v>579</v>
      </c>
      <c r="O168" s="53" t="s">
        <v>580</v>
      </c>
      <c r="P168" s="53" t="s">
        <v>601</v>
      </c>
      <c r="Q168" s="53" t="s">
        <v>602</v>
      </c>
    </row>
    <row r="169" spans="1:18" ht="19.05" customHeight="1" x14ac:dyDescent="0.3">
      <c r="B169" s="9">
        <f t="shared" ref="B169:Q178" si="16">IFERROR(INDEX($B$163:$E$166, MATCH($R169, $B$162:$E$162, 0), MATCH(B$168, $B$162:$E$162, 0)), 0)</f>
        <v>0</v>
      </c>
      <c r="C169" s="9">
        <f t="shared" si="16"/>
        <v>0</v>
      </c>
      <c r="D169" s="9">
        <f t="shared" si="16"/>
        <v>0</v>
      </c>
      <c r="E169" s="9">
        <f t="shared" si="16"/>
        <v>0</v>
      </c>
      <c r="F169" s="9">
        <f t="shared" si="16"/>
        <v>0</v>
      </c>
      <c r="G169" s="9">
        <f t="shared" si="16"/>
        <v>0</v>
      </c>
      <c r="H169" s="9">
        <f t="shared" si="16"/>
        <v>0</v>
      </c>
      <c r="I169" s="9">
        <f t="shared" si="16"/>
        <v>0</v>
      </c>
      <c r="J169" s="9">
        <f t="shared" si="16"/>
        <v>0</v>
      </c>
      <c r="K169" s="9">
        <f t="shared" si="16"/>
        <v>0</v>
      </c>
      <c r="L169" s="9">
        <f t="shared" si="16"/>
        <v>0</v>
      </c>
      <c r="M169" s="9">
        <f t="shared" si="16"/>
        <v>0</v>
      </c>
      <c r="N169" s="9">
        <f t="shared" si="16"/>
        <v>0</v>
      </c>
      <c r="O169" s="9">
        <f t="shared" si="16"/>
        <v>0</v>
      </c>
      <c r="P169" s="9">
        <f t="shared" si="16"/>
        <v>0</v>
      </c>
      <c r="Q169" s="9">
        <f t="shared" si="16"/>
        <v>0</v>
      </c>
      <c r="R169" s="53" t="s">
        <v>178</v>
      </c>
    </row>
    <row r="170" spans="1:18" ht="19.05" customHeight="1" x14ac:dyDescent="0.3">
      <c r="B170" s="9">
        <f t="shared" si="16"/>
        <v>0</v>
      </c>
      <c r="C170" s="9">
        <f t="shared" si="16"/>
        <v>0</v>
      </c>
      <c r="D170" s="9">
        <f t="shared" si="16"/>
        <v>0</v>
      </c>
      <c r="E170" s="9">
        <f t="shared" si="16"/>
        <v>0</v>
      </c>
      <c r="F170" s="9">
        <f t="shared" si="16"/>
        <v>0</v>
      </c>
      <c r="G170" s="9">
        <f t="shared" si="16"/>
        <v>0</v>
      </c>
      <c r="H170" s="9">
        <f t="shared" si="16"/>
        <v>0</v>
      </c>
      <c r="I170" s="9">
        <f t="shared" si="16"/>
        <v>0</v>
      </c>
      <c r="J170" s="9">
        <f t="shared" si="16"/>
        <v>0</v>
      </c>
      <c r="K170" s="9">
        <f t="shared" si="16"/>
        <v>0</v>
      </c>
      <c r="L170" s="9">
        <f t="shared" si="16"/>
        <v>0</v>
      </c>
      <c r="M170" s="9">
        <f t="shared" si="16"/>
        <v>0</v>
      </c>
      <c r="N170" s="9">
        <f t="shared" si="16"/>
        <v>0</v>
      </c>
      <c r="O170" s="9">
        <f t="shared" si="16"/>
        <v>0</v>
      </c>
      <c r="P170" s="9">
        <f t="shared" si="16"/>
        <v>0</v>
      </c>
      <c r="Q170" s="9">
        <f t="shared" si="16"/>
        <v>0</v>
      </c>
      <c r="R170" s="53" t="s">
        <v>179</v>
      </c>
    </row>
    <row r="171" spans="1:18" ht="19.05" customHeight="1" x14ac:dyDescent="0.3">
      <c r="B171" s="9">
        <f t="shared" si="16"/>
        <v>0</v>
      </c>
      <c r="C171" s="9">
        <f t="shared" si="16"/>
        <v>0</v>
      </c>
      <c r="D171" s="9">
        <f t="shared" si="16"/>
        <v>0</v>
      </c>
      <c r="E171" s="9">
        <f t="shared" si="16"/>
        <v>0</v>
      </c>
      <c r="F171" s="9">
        <f t="shared" si="16"/>
        <v>0</v>
      </c>
      <c r="G171" s="9">
        <f t="shared" si="16"/>
        <v>0</v>
      </c>
      <c r="H171" s="9">
        <f t="shared" si="16"/>
        <v>0</v>
      </c>
      <c r="I171" s="9">
        <f t="shared" si="16"/>
        <v>0</v>
      </c>
      <c r="J171" s="9">
        <f t="shared" si="16"/>
        <v>0</v>
      </c>
      <c r="K171" s="9">
        <f t="shared" si="16"/>
        <v>0</v>
      </c>
      <c r="L171" s="9">
        <f t="shared" si="16"/>
        <v>0</v>
      </c>
      <c r="M171" s="9">
        <f t="shared" si="16"/>
        <v>0</v>
      </c>
      <c r="N171" s="9">
        <f t="shared" si="16"/>
        <v>0</v>
      </c>
      <c r="O171" s="9">
        <f t="shared" si="16"/>
        <v>0</v>
      </c>
      <c r="P171" s="9">
        <f t="shared" si="16"/>
        <v>0</v>
      </c>
      <c r="Q171" s="9">
        <f t="shared" si="16"/>
        <v>0</v>
      </c>
      <c r="R171" s="53" t="s">
        <v>180</v>
      </c>
    </row>
    <row r="172" spans="1:18" ht="19.05" customHeight="1" x14ac:dyDescent="0.3">
      <c r="B172" s="9">
        <f t="shared" si="16"/>
        <v>0</v>
      </c>
      <c r="C172" s="9">
        <f t="shared" si="16"/>
        <v>0</v>
      </c>
      <c r="D172" s="9">
        <f t="shared" si="16"/>
        <v>0</v>
      </c>
      <c r="E172" s="9">
        <f t="shared" si="16"/>
        <v>0</v>
      </c>
      <c r="F172" s="9">
        <f t="shared" si="16"/>
        <v>0</v>
      </c>
      <c r="G172" s="9">
        <f t="shared" si="16"/>
        <v>0</v>
      </c>
      <c r="H172" s="9">
        <f t="shared" si="16"/>
        <v>0</v>
      </c>
      <c r="I172" s="9">
        <f t="shared" si="16"/>
        <v>0</v>
      </c>
      <c r="J172" s="9">
        <f t="shared" si="16"/>
        <v>0</v>
      </c>
      <c r="K172" s="9">
        <f t="shared" si="16"/>
        <v>0</v>
      </c>
      <c r="L172" s="9">
        <f t="shared" si="16"/>
        <v>0</v>
      </c>
      <c r="M172" s="9">
        <f t="shared" si="16"/>
        <v>0</v>
      </c>
      <c r="N172" s="9">
        <f t="shared" si="16"/>
        <v>0</v>
      </c>
      <c r="O172" s="9">
        <f t="shared" si="16"/>
        <v>0</v>
      </c>
      <c r="P172" s="9">
        <f t="shared" si="16"/>
        <v>0</v>
      </c>
      <c r="Q172" s="9">
        <f t="shared" si="16"/>
        <v>0</v>
      </c>
      <c r="R172" s="53" t="s">
        <v>181</v>
      </c>
    </row>
    <row r="173" spans="1:18" ht="19.05" customHeight="1" x14ac:dyDescent="0.3">
      <c r="B173" s="9">
        <f t="shared" si="16"/>
        <v>0</v>
      </c>
      <c r="C173" s="9">
        <f t="shared" si="16"/>
        <v>0</v>
      </c>
      <c r="D173" s="9">
        <f t="shared" si="16"/>
        <v>0</v>
      </c>
      <c r="E173" s="9">
        <f t="shared" si="16"/>
        <v>0</v>
      </c>
      <c r="F173" s="9">
        <f t="shared" si="16"/>
        <v>0</v>
      </c>
      <c r="G173" s="9">
        <f t="shared" si="16"/>
        <v>0</v>
      </c>
      <c r="H173" s="9">
        <f t="shared" si="16"/>
        <v>0</v>
      </c>
      <c r="I173" s="9">
        <f t="shared" si="16"/>
        <v>0</v>
      </c>
      <c r="J173" s="9">
        <f t="shared" si="16"/>
        <v>0</v>
      </c>
      <c r="K173" s="9">
        <f t="shared" si="16"/>
        <v>0</v>
      </c>
      <c r="L173" s="9">
        <f t="shared" si="16"/>
        <v>0</v>
      </c>
      <c r="M173" s="9">
        <f t="shared" si="16"/>
        <v>0</v>
      </c>
      <c r="N173" s="9">
        <f t="shared" si="16"/>
        <v>0</v>
      </c>
      <c r="O173" s="9">
        <f t="shared" si="16"/>
        <v>0</v>
      </c>
      <c r="P173" s="9">
        <f t="shared" si="16"/>
        <v>0</v>
      </c>
      <c r="Q173" s="9">
        <f t="shared" si="16"/>
        <v>0</v>
      </c>
      <c r="R173" s="53" t="s">
        <v>182</v>
      </c>
    </row>
    <row r="174" spans="1:18" ht="19.05" customHeight="1" x14ac:dyDescent="0.3">
      <c r="B174" s="9">
        <f t="shared" si="16"/>
        <v>0</v>
      </c>
      <c r="C174" s="9">
        <f t="shared" si="16"/>
        <v>0</v>
      </c>
      <c r="D174" s="9">
        <f t="shared" si="16"/>
        <v>0</v>
      </c>
      <c r="E174" s="9">
        <f t="shared" si="16"/>
        <v>0</v>
      </c>
      <c r="F174" s="9">
        <f t="shared" si="16"/>
        <v>0</v>
      </c>
      <c r="G174" s="9">
        <f t="shared" si="16"/>
        <v>0</v>
      </c>
      <c r="H174" s="9">
        <f t="shared" si="16"/>
        <v>0</v>
      </c>
      <c r="I174" s="9">
        <f t="shared" si="16"/>
        <v>0</v>
      </c>
      <c r="J174" s="9">
        <f t="shared" si="16"/>
        <v>0</v>
      </c>
      <c r="K174" s="9">
        <f t="shared" si="16"/>
        <v>0</v>
      </c>
      <c r="L174" s="9">
        <f t="shared" si="16"/>
        <v>0</v>
      </c>
      <c r="M174" s="9">
        <f t="shared" si="16"/>
        <v>0</v>
      </c>
      <c r="N174" s="9">
        <f t="shared" si="16"/>
        <v>0</v>
      </c>
      <c r="O174" s="9">
        <f t="shared" si="16"/>
        <v>0</v>
      </c>
      <c r="P174" s="9">
        <f t="shared" si="16"/>
        <v>0</v>
      </c>
      <c r="Q174" s="9">
        <f t="shared" si="16"/>
        <v>0</v>
      </c>
      <c r="R174" s="53" t="s">
        <v>183</v>
      </c>
    </row>
    <row r="175" spans="1:18" ht="19.05" customHeight="1" x14ac:dyDescent="0.3">
      <c r="B175" s="9">
        <f t="shared" si="16"/>
        <v>0</v>
      </c>
      <c r="C175" s="9">
        <f t="shared" si="16"/>
        <v>0</v>
      </c>
      <c r="D175" s="9">
        <f t="shared" si="16"/>
        <v>0</v>
      </c>
      <c r="E175" s="9">
        <f t="shared" si="16"/>
        <v>0</v>
      </c>
      <c r="F175" s="9">
        <f t="shared" si="16"/>
        <v>0</v>
      </c>
      <c r="G175" s="9">
        <f t="shared" si="16"/>
        <v>0</v>
      </c>
      <c r="H175" s="9">
        <f t="shared" si="16"/>
        <v>0</v>
      </c>
      <c r="I175" s="9">
        <f t="shared" si="16"/>
        <v>0</v>
      </c>
      <c r="J175" s="9">
        <f t="shared" si="16"/>
        <v>0</v>
      </c>
      <c r="K175" s="9">
        <f t="shared" si="16"/>
        <v>0</v>
      </c>
      <c r="L175" s="9">
        <f t="shared" si="16"/>
        <v>0</v>
      </c>
      <c r="M175" s="9">
        <f t="shared" si="16"/>
        <v>0</v>
      </c>
      <c r="N175" s="9">
        <f t="shared" si="16"/>
        <v>0</v>
      </c>
      <c r="O175" s="9">
        <f t="shared" si="16"/>
        <v>0</v>
      </c>
      <c r="P175" s="9">
        <f t="shared" si="16"/>
        <v>0</v>
      </c>
      <c r="Q175" s="9">
        <f t="shared" si="16"/>
        <v>0</v>
      </c>
      <c r="R175" s="53" t="s">
        <v>184</v>
      </c>
    </row>
    <row r="176" spans="1:18" ht="19.05" customHeight="1" x14ac:dyDescent="0.3">
      <c r="A176" s="28" t="s">
        <v>200</v>
      </c>
      <c r="B176" s="9">
        <f t="shared" si="16"/>
        <v>0</v>
      </c>
      <c r="C176" s="9">
        <f t="shared" si="16"/>
        <v>0</v>
      </c>
      <c r="D176" s="9">
        <f t="shared" si="16"/>
        <v>0</v>
      </c>
      <c r="E176" s="9">
        <f t="shared" si="16"/>
        <v>0</v>
      </c>
      <c r="F176" s="9">
        <f t="shared" si="16"/>
        <v>0</v>
      </c>
      <c r="G176" s="9">
        <f t="shared" si="16"/>
        <v>0</v>
      </c>
      <c r="H176" s="9">
        <f t="shared" si="16"/>
        <v>0</v>
      </c>
      <c r="I176" s="9">
        <f t="shared" si="16"/>
        <v>0</v>
      </c>
      <c r="J176" s="9">
        <f t="shared" si="16"/>
        <v>0</v>
      </c>
      <c r="K176" s="9">
        <f t="shared" si="16"/>
        <v>0</v>
      </c>
      <c r="L176" s="9">
        <f t="shared" si="16"/>
        <v>0</v>
      </c>
      <c r="M176" s="9">
        <f t="shared" si="16"/>
        <v>0</v>
      </c>
      <c r="N176" s="9">
        <f t="shared" si="16"/>
        <v>0</v>
      </c>
      <c r="O176" s="9">
        <f t="shared" si="16"/>
        <v>0</v>
      </c>
      <c r="P176" s="9">
        <f t="shared" si="16"/>
        <v>0</v>
      </c>
      <c r="Q176" s="9">
        <f t="shared" si="16"/>
        <v>0</v>
      </c>
      <c r="R176" s="53" t="s">
        <v>185</v>
      </c>
    </row>
    <row r="177" spans="1:18" ht="19.05" customHeight="1" x14ac:dyDescent="0.3">
      <c r="B177" s="9">
        <f t="shared" si="16"/>
        <v>0</v>
      </c>
      <c r="C177" s="9">
        <f t="shared" si="16"/>
        <v>0</v>
      </c>
      <c r="D177" s="9">
        <f t="shared" si="16"/>
        <v>0</v>
      </c>
      <c r="E177" s="9">
        <f t="shared" si="16"/>
        <v>0</v>
      </c>
      <c r="F177" s="9">
        <f t="shared" si="16"/>
        <v>0</v>
      </c>
      <c r="G177" s="9">
        <f t="shared" si="16"/>
        <v>0</v>
      </c>
      <c r="H177" s="9">
        <f t="shared" si="16"/>
        <v>0</v>
      </c>
      <c r="I177" s="9">
        <f t="shared" si="16"/>
        <v>0</v>
      </c>
      <c r="J177" s="9">
        <f t="shared" si="16"/>
        <v>0</v>
      </c>
      <c r="K177" s="9">
        <f t="shared" si="16"/>
        <v>0</v>
      </c>
      <c r="L177" s="9">
        <f t="shared" si="16"/>
        <v>0</v>
      </c>
      <c r="M177" s="9">
        <f t="shared" si="16"/>
        <v>0</v>
      </c>
      <c r="N177" s="9">
        <f t="shared" si="16"/>
        <v>0</v>
      </c>
      <c r="O177" s="9">
        <f t="shared" si="16"/>
        <v>0</v>
      </c>
      <c r="P177" s="9">
        <f t="shared" si="16"/>
        <v>0</v>
      </c>
      <c r="Q177" s="9">
        <f t="shared" si="16"/>
        <v>0</v>
      </c>
      <c r="R177" s="53" t="s">
        <v>186</v>
      </c>
    </row>
    <row r="178" spans="1:18" ht="19.05" customHeight="1" x14ac:dyDescent="0.3">
      <c r="B178" s="9">
        <f t="shared" si="16"/>
        <v>0</v>
      </c>
      <c r="C178" s="9">
        <f t="shared" si="16"/>
        <v>0</v>
      </c>
      <c r="D178" s="9">
        <f t="shared" si="16"/>
        <v>0</v>
      </c>
      <c r="E178" s="9">
        <f t="shared" si="16"/>
        <v>0</v>
      </c>
      <c r="F178" s="9">
        <f t="shared" si="16"/>
        <v>0</v>
      </c>
      <c r="G178" s="9">
        <f t="shared" si="16"/>
        <v>0</v>
      </c>
      <c r="H178" s="9">
        <f t="shared" si="16"/>
        <v>0</v>
      </c>
      <c r="I178" s="9">
        <f t="shared" si="16"/>
        <v>0</v>
      </c>
      <c r="J178" s="9">
        <f t="shared" si="16"/>
        <v>0</v>
      </c>
      <c r="K178" s="9">
        <f t="shared" si="16"/>
        <v>0</v>
      </c>
      <c r="L178" s="9">
        <f t="shared" si="16"/>
        <v>0</v>
      </c>
      <c r="M178" s="9">
        <f t="shared" si="16"/>
        <v>0</v>
      </c>
      <c r="N178" s="9">
        <f t="shared" si="16"/>
        <v>0</v>
      </c>
      <c r="O178" s="9">
        <f t="shared" si="16"/>
        <v>0</v>
      </c>
      <c r="P178" s="9">
        <f t="shared" si="16"/>
        <v>0</v>
      </c>
      <c r="Q178" s="9">
        <f t="shared" si="16"/>
        <v>0</v>
      </c>
      <c r="R178" s="53" t="s">
        <v>187</v>
      </c>
    </row>
    <row r="179" spans="1:18" ht="19.05" customHeight="1" x14ac:dyDescent="0.3">
      <c r="B179" s="9">
        <f t="shared" ref="B179:Q184" si="17">IFERROR(INDEX($B$163:$E$166, MATCH($R179, $B$162:$E$162, 0), MATCH(B$168, $B$162:$E$162, 0)), 0)</f>
        <v>0</v>
      </c>
      <c r="C179" s="9">
        <f t="shared" si="17"/>
        <v>0</v>
      </c>
      <c r="D179" s="9">
        <f t="shared" si="17"/>
        <v>0</v>
      </c>
      <c r="E179" s="9">
        <f t="shared" si="17"/>
        <v>0</v>
      </c>
      <c r="F179" s="9">
        <f t="shared" si="17"/>
        <v>0</v>
      </c>
      <c r="G179" s="9">
        <f t="shared" si="17"/>
        <v>0</v>
      </c>
      <c r="H179" s="9">
        <f t="shared" si="17"/>
        <v>0</v>
      </c>
      <c r="I179" s="9">
        <f t="shared" si="17"/>
        <v>0</v>
      </c>
      <c r="J179" s="9">
        <f t="shared" si="17"/>
        <v>0</v>
      </c>
      <c r="K179" s="9">
        <f t="shared" si="17"/>
        <v>0</v>
      </c>
      <c r="L179" s="55">
        <f t="shared" si="17"/>
        <v>67200</v>
      </c>
      <c r="M179" s="55">
        <f t="shared" si="17"/>
        <v>0</v>
      </c>
      <c r="N179" s="55">
        <f t="shared" si="17"/>
        <v>-67200</v>
      </c>
      <c r="O179" s="55">
        <f t="shared" si="17"/>
        <v>0</v>
      </c>
      <c r="P179" s="9">
        <f t="shared" si="17"/>
        <v>0</v>
      </c>
      <c r="Q179" s="9">
        <f t="shared" si="17"/>
        <v>0</v>
      </c>
      <c r="R179" s="53" t="s">
        <v>188</v>
      </c>
    </row>
    <row r="180" spans="1:18" ht="19.05" customHeight="1" x14ac:dyDescent="0.3">
      <c r="B180" s="9">
        <f t="shared" si="17"/>
        <v>0</v>
      </c>
      <c r="C180" s="9">
        <f t="shared" si="17"/>
        <v>0</v>
      </c>
      <c r="D180" s="9">
        <f t="shared" si="17"/>
        <v>0</v>
      </c>
      <c r="E180" s="9">
        <f t="shared" si="17"/>
        <v>0</v>
      </c>
      <c r="F180" s="9">
        <f t="shared" si="17"/>
        <v>0</v>
      </c>
      <c r="G180" s="9">
        <f t="shared" si="17"/>
        <v>0</v>
      </c>
      <c r="H180" s="9">
        <f t="shared" si="17"/>
        <v>0</v>
      </c>
      <c r="I180" s="9">
        <f t="shared" si="17"/>
        <v>0</v>
      </c>
      <c r="J180" s="9">
        <f t="shared" si="17"/>
        <v>0</v>
      </c>
      <c r="K180" s="9">
        <f t="shared" si="17"/>
        <v>0</v>
      </c>
      <c r="L180" s="55">
        <f t="shared" si="17"/>
        <v>0</v>
      </c>
      <c r="M180" s="55">
        <f t="shared" si="17"/>
        <v>0</v>
      </c>
      <c r="N180" s="55">
        <f t="shared" si="17"/>
        <v>0</v>
      </c>
      <c r="O180" s="55">
        <f t="shared" si="17"/>
        <v>0</v>
      </c>
      <c r="P180" s="9">
        <f t="shared" si="17"/>
        <v>0</v>
      </c>
      <c r="Q180" s="9">
        <f t="shared" si="17"/>
        <v>0</v>
      </c>
      <c r="R180" s="53" t="s">
        <v>189</v>
      </c>
    </row>
    <row r="181" spans="1:18" ht="19.05" customHeight="1" x14ac:dyDescent="0.3">
      <c r="B181" s="9">
        <f t="shared" si="17"/>
        <v>0</v>
      </c>
      <c r="C181" s="9">
        <f t="shared" si="17"/>
        <v>0</v>
      </c>
      <c r="D181" s="9">
        <f t="shared" si="17"/>
        <v>0</v>
      </c>
      <c r="E181" s="9">
        <f t="shared" si="17"/>
        <v>0</v>
      </c>
      <c r="F181" s="9">
        <f t="shared" si="17"/>
        <v>0</v>
      </c>
      <c r="G181" s="9">
        <f t="shared" si="17"/>
        <v>0</v>
      </c>
      <c r="H181" s="9">
        <f t="shared" si="17"/>
        <v>0</v>
      </c>
      <c r="I181" s="9">
        <f t="shared" si="17"/>
        <v>0</v>
      </c>
      <c r="J181" s="9">
        <f t="shared" si="17"/>
        <v>0</v>
      </c>
      <c r="K181" s="9">
        <f t="shared" si="17"/>
        <v>0</v>
      </c>
      <c r="L181" s="55">
        <f t="shared" si="17"/>
        <v>-67200</v>
      </c>
      <c r="M181" s="55">
        <f t="shared" si="17"/>
        <v>0</v>
      </c>
      <c r="N181" s="55">
        <f t="shared" si="17"/>
        <v>67200</v>
      </c>
      <c r="O181" s="55">
        <f t="shared" si="17"/>
        <v>0</v>
      </c>
      <c r="P181" s="9">
        <f t="shared" si="17"/>
        <v>0</v>
      </c>
      <c r="Q181" s="9">
        <f t="shared" si="17"/>
        <v>0</v>
      </c>
      <c r="R181" s="53" t="s">
        <v>579</v>
      </c>
    </row>
    <row r="182" spans="1:18" ht="19.05" customHeight="1" x14ac:dyDescent="0.3">
      <c r="B182" s="9">
        <f t="shared" si="17"/>
        <v>0</v>
      </c>
      <c r="C182" s="9">
        <f t="shared" si="17"/>
        <v>0</v>
      </c>
      <c r="D182" s="9">
        <f t="shared" si="17"/>
        <v>0</v>
      </c>
      <c r="E182" s="9">
        <f t="shared" si="17"/>
        <v>0</v>
      </c>
      <c r="F182" s="9">
        <f t="shared" si="17"/>
        <v>0</v>
      </c>
      <c r="G182" s="9">
        <f t="shared" si="17"/>
        <v>0</v>
      </c>
      <c r="H182" s="9">
        <f t="shared" si="17"/>
        <v>0</v>
      </c>
      <c r="I182" s="9">
        <f t="shared" si="17"/>
        <v>0</v>
      </c>
      <c r="J182" s="9">
        <f t="shared" si="17"/>
        <v>0</v>
      </c>
      <c r="K182" s="9">
        <f t="shared" si="17"/>
        <v>0</v>
      </c>
      <c r="L182" s="55">
        <f t="shared" si="17"/>
        <v>0</v>
      </c>
      <c r="M182" s="55">
        <f t="shared" si="17"/>
        <v>0</v>
      </c>
      <c r="N182" s="55">
        <f t="shared" si="17"/>
        <v>0</v>
      </c>
      <c r="O182" s="55">
        <f t="shared" si="17"/>
        <v>0</v>
      </c>
      <c r="P182" s="9">
        <f t="shared" si="17"/>
        <v>0</v>
      </c>
      <c r="Q182" s="9">
        <f t="shared" si="17"/>
        <v>0</v>
      </c>
      <c r="R182" s="53" t="s">
        <v>580</v>
      </c>
    </row>
    <row r="183" spans="1:18" ht="19.05" customHeight="1" x14ac:dyDescent="0.3">
      <c r="B183" s="9">
        <f t="shared" si="17"/>
        <v>0</v>
      </c>
      <c r="C183" s="9">
        <f t="shared" si="17"/>
        <v>0</v>
      </c>
      <c r="D183" s="9">
        <f t="shared" si="17"/>
        <v>0</v>
      </c>
      <c r="E183" s="9">
        <f t="shared" si="17"/>
        <v>0</v>
      </c>
      <c r="F183" s="9">
        <f t="shared" si="17"/>
        <v>0</v>
      </c>
      <c r="G183" s="9">
        <f t="shared" si="17"/>
        <v>0</v>
      </c>
      <c r="H183" s="9">
        <f t="shared" si="17"/>
        <v>0</v>
      </c>
      <c r="I183" s="9">
        <f t="shared" si="17"/>
        <v>0</v>
      </c>
      <c r="J183" s="9">
        <f t="shared" si="17"/>
        <v>0</v>
      </c>
      <c r="K183" s="9">
        <f t="shared" si="17"/>
        <v>0</v>
      </c>
      <c r="L183" s="9">
        <f t="shared" si="17"/>
        <v>0</v>
      </c>
      <c r="M183" s="9">
        <f t="shared" si="17"/>
        <v>0</v>
      </c>
      <c r="N183" s="9">
        <f t="shared" si="17"/>
        <v>0</v>
      </c>
      <c r="O183" s="9">
        <f t="shared" si="17"/>
        <v>0</v>
      </c>
      <c r="P183" s="9">
        <f t="shared" si="17"/>
        <v>0</v>
      </c>
      <c r="Q183" s="9">
        <f t="shared" si="17"/>
        <v>0</v>
      </c>
      <c r="R183" s="53" t="s">
        <v>601</v>
      </c>
    </row>
    <row r="184" spans="1:18" ht="19.05" customHeight="1" x14ac:dyDescent="0.3">
      <c r="B184" s="9">
        <f t="shared" si="17"/>
        <v>0</v>
      </c>
      <c r="C184" s="9">
        <f t="shared" si="17"/>
        <v>0</v>
      </c>
      <c r="D184" s="9">
        <f t="shared" si="17"/>
        <v>0</v>
      </c>
      <c r="E184" s="9">
        <f t="shared" si="17"/>
        <v>0</v>
      </c>
      <c r="F184" s="9">
        <f t="shared" si="17"/>
        <v>0</v>
      </c>
      <c r="G184" s="9">
        <f t="shared" si="17"/>
        <v>0</v>
      </c>
      <c r="H184" s="9">
        <f t="shared" si="17"/>
        <v>0</v>
      </c>
      <c r="I184" s="9">
        <f t="shared" si="17"/>
        <v>0</v>
      </c>
      <c r="J184" s="9">
        <f t="shared" si="17"/>
        <v>0</v>
      </c>
      <c r="K184" s="9">
        <f t="shared" si="17"/>
        <v>0</v>
      </c>
      <c r="L184" s="9">
        <f t="shared" si="17"/>
        <v>0</v>
      </c>
      <c r="M184" s="9">
        <f t="shared" si="17"/>
        <v>0</v>
      </c>
      <c r="N184" s="9">
        <f t="shared" si="17"/>
        <v>0</v>
      </c>
      <c r="O184" s="9">
        <f t="shared" si="17"/>
        <v>0</v>
      </c>
      <c r="P184" s="9">
        <f t="shared" si="17"/>
        <v>0</v>
      </c>
      <c r="Q184" s="9">
        <f t="shared" si="17"/>
        <v>0</v>
      </c>
      <c r="R184" s="53" t="s">
        <v>602</v>
      </c>
    </row>
    <row r="187" spans="1:18" ht="18" customHeight="1" x14ac:dyDescent="0.3">
      <c r="B187" s="56" t="str">
        <f>CONCATENATE("U",C28,C$21)</f>
        <v>U7X</v>
      </c>
      <c r="C187" s="56" t="str">
        <f>CONCATENATE("U",D28,D$21)</f>
        <v>U7Y</v>
      </c>
      <c r="D187" s="56" t="str">
        <f>CONCATENATE("U",E28,E$21)</f>
        <v>U8X</v>
      </c>
      <c r="E187" s="56" t="str">
        <f>CONCATENATE("U",F28,F$21)</f>
        <v>U8Y</v>
      </c>
    </row>
    <row r="188" spans="1:18" x14ac:dyDescent="0.3">
      <c r="B188" s="57">
        <f>J12*J12*N12</f>
        <v>67200</v>
      </c>
      <c r="C188" s="57">
        <f>J12*K12*N12</f>
        <v>0</v>
      </c>
      <c r="D188" s="57">
        <f>-B188</f>
        <v>-67200</v>
      </c>
      <c r="E188" s="57">
        <f>-C188</f>
        <v>0</v>
      </c>
      <c r="F188" s="56" t="str">
        <f>B187</f>
        <v>U7X</v>
      </c>
    </row>
    <row r="189" spans="1:18" ht="16.8" customHeight="1" x14ac:dyDescent="0.3">
      <c r="A189" s="28" t="s">
        <v>201</v>
      </c>
      <c r="B189" s="57">
        <f>C188</f>
        <v>0</v>
      </c>
      <c r="C189" s="57">
        <f>K12*K12*N12</f>
        <v>0</v>
      </c>
      <c r="D189" s="57">
        <f>-B189</f>
        <v>0</v>
      </c>
      <c r="E189" s="57">
        <f>-C189</f>
        <v>0</v>
      </c>
      <c r="F189" s="56" t="str">
        <f>C187</f>
        <v>U7Y</v>
      </c>
    </row>
    <row r="190" spans="1:18" x14ac:dyDescent="0.3">
      <c r="B190" s="57">
        <f>D188</f>
        <v>-67200</v>
      </c>
      <c r="C190" s="57">
        <f>E188</f>
        <v>0</v>
      </c>
      <c r="D190" s="57">
        <f>B188</f>
        <v>67200</v>
      </c>
      <c r="E190" s="57">
        <f>C188</f>
        <v>0</v>
      </c>
      <c r="F190" s="56" t="str">
        <f>D187</f>
        <v>U8X</v>
      </c>
    </row>
    <row r="191" spans="1:18" x14ac:dyDescent="0.3">
      <c r="B191" s="57">
        <f>D189</f>
        <v>0</v>
      </c>
      <c r="C191" s="57">
        <f>E189</f>
        <v>0</v>
      </c>
      <c r="D191" s="57">
        <f>B189</f>
        <v>0</v>
      </c>
      <c r="E191" s="57">
        <f>C189</f>
        <v>0</v>
      </c>
      <c r="F191" s="56" t="str">
        <f>E187</f>
        <v>U8Y</v>
      </c>
    </row>
    <row r="193" spans="1:18" ht="18" customHeight="1" x14ac:dyDescent="0.3">
      <c r="B193" s="56" t="s">
        <v>178</v>
      </c>
      <c r="C193" s="56" t="s">
        <v>179</v>
      </c>
      <c r="D193" s="56" t="s">
        <v>180</v>
      </c>
      <c r="E193" s="56" t="s">
        <v>181</v>
      </c>
      <c r="F193" s="56" t="s">
        <v>182</v>
      </c>
      <c r="G193" s="56" t="s">
        <v>183</v>
      </c>
      <c r="H193" s="56" t="s">
        <v>184</v>
      </c>
      <c r="I193" s="56" t="s">
        <v>185</v>
      </c>
      <c r="J193" s="56" t="s">
        <v>186</v>
      </c>
      <c r="K193" s="56" t="s">
        <v>187</v>
      </c>
      <c r="L193" s="56" t="s">
        <v>188</v>
      </c>
      <c r="M193" s="56" t="s">
        <v>189</v>
      </c>
      <c r="N193" s="56" t="s">
        <v>579</v>
      </c>
      <c r="O193" s="56" t="s">
        <v>580</v>
      </c>
      <c r="P193" s="56" t="s">
        <v>601</v>
      </c>
      <c r="Q193" s="56" t="s">
        <v>602</v>
      </c>
    </row>
    <row r="194" spans="1:18" ht="19.05" customHeight="1" x14ac:dyDescent="0.3">
      <c r="B194" s="9">
        <f t="shared" ref="B194:Q203" si="18">IFERROR(INDEX($B$188:$E$191, MATCH($R194, $B$187:$E$187, 0), MATCH(B$193, $B$187:$E$187, 0)), 0)</f>
        <v>0</v>
      </c>
      <c r="C194" s="9">
        <f t="shared" si="18"/>
        <v>0</v>
      </c>
      <c r="D194" s="9">
        <f t="shared" si="18"/>
        <v>0</v>
      </c>
      <c r="E194" s="9">
        <f t="shared" si="18"/>
        <v>0</v>
      </c>
      <c r="F194" s="9">
        <f t="shared" si="18"/>
        <v>0</v>
      </c>
      <c r="G194" s="9">
        <f t="shared" si="18"/>
        <v>0</v>
      </c>
      <c r="H194" s="9">
        <f t="shared" si="18"/>
        <v>0</v>
      </c>
      <c r="I194" s="9">
        <f t="shared" si="18"/>
        <v>0</v>
      </c>
      <c r="J194" s="9">
        <f t="shared" si="18"/>
        <v>0</v>
      </c>
      <c r="K194" s="9">
        <f t="shared" si="18"/>
        <v>0</v>
      </c>
      <c r="L194" s="9">
        <f t="shared" si="18"/>
        <v>0</v>
      </c>
      <c r="M194" s="9">
        <f t="shared" si="18"/>
        <v>0</v>
      </c>
      <c r="N194" s="9">
        <f t="shared" si="18"/>
        <v>0</v>
      </c>
      <c r="O194" s="9">
        <f t="shared" si="18"/>
        <v>0</v>
      </c>
      <c r="P194" s="9">
        <f t="shared" si="18"/>
        <v>0</v>
      </c>
      <c r="Q194" s="9">
        <f t="shared" si="18"/>
        <v>0</v>
      </c>
      <c r="R194" s="56" t="s">
        <v>178</v>
      </c>
    </row>
    <row r="195" spans="1:18" ht="19.05" customHeight="1" x14ac:dyDescent="0.3">
      <c r="B195" s="9">
        <f t="shared" si="18"/>
        <v>0</v>
      </c>
      <c r="C195" s="9">
        <f t="shared" si="18"/>
        <v>0</v>
      </c>
      <c r="D195" s="9">
        <f t="shared" si="18"/>
        <v>0</v>
      </c>
      <c r="E195" s="9">
        <f t="shared" si="18"/>
        <v>0</v>
      </c>
      <c r="F195" s="9">
        <f t="shared" si="18"/>
        <v>0</v>
      </c>
      <c r="G195" s="9">
        <f t="shared" si="18"/>
        <v>0</v>
      </c>
      <c r="H195" s="9">
        <f t="shared" si="18"/>
        <v>0</v>
      </c>
      <c r="I195" s="9">
        <f t="shared" si="18"/>
        <v>0</v>
      </c>
      <c r="J195" s="9">
        <f t="shared" si="18"/>
        <v>0</v>
      </c>
      <c r="K195" s="9">
        <f t="shared" si="18"/>
        <v>0</v>
      </c>
      <c r="L195" s="9">
        <f t="shared" si="18"/>
        <v>0</v>
      </c>
      <c r="M195" s="9">
        <f t="shared" si="18"/>
        <v>0</v>
      </c>
      <c r="N195" s="9">
        <f t="shared" si="18"/>
        <v>0</v>
      </c>
      <c r="O195" s="9">
        <f t="shared" si="18"/>
        <v>0</v>
      </c>
      <c r="P195" s="9">
        <f t="shared" si="18"/>
        <v>0</v>
      </c>
      <c r="Q195" s="9">
        <f t="shared" si="18"/>
        <v>0</v>
      </c>
      <c r="R195" s="56" t="s">
        <v>179</v>
      </c>
    </row>
    <row r="196" spans="1:18" ht="19.05" customHeight="1" x14ac:dyDescent="0.3">
      <c r="B196" s="9">
        <f t="shared" si="18"/>
        <v>0</v>
      </c>
      <c r="C196" s="9">
        <f t="shared" si="18"/>
        <v>0</v>
      </c>
      <c r="D196" s="9">
        <f t="shared" si="18"/>
        <v>0</v>
      </c>
      <c r="E196" s="9">
        <f t="shared" si="18"/>
        <v>0</v>
      </c>
      <c r="F196" s="9">
        <f t="shared" si="18"/>
        <v>0</v>
      </c>
      <c r="G196" s="9">
        <f t="shared" si="18"/>
        <v>0</v>
      </c>
      <c r="H196" s="9">
        <f t="shared" si="18"/>
        <v>0</v>
      </c>
      <c r="I196" s="9">
        <f t="shared" si="18"/>
        <v>0</v>
      </c>
      <c r="J196" s="9">
        <f t="shared" si="18"/>
        <v>0</v>
      </c>
      <c r="K196" s="9">
        <f t="shared" si="18"/>
        <v>0</v>
      </c>
      <c r="L196" s="9">
        <f t="shared" si="18"/>
        <v>0</v>
      </c>
      <c r="M196" s="9">
        <f t="shared" si="18"/>
        <v>0</v>
      </c>
      <c r="N196" s="9">
        <f t="shared" si="18"/>
        <v>0</v>
      </c>
      <c r="O196" s="9">
        <f t="shared" si="18"/>
        <v>0</v>
      </c>
      <c r="P196" s="9">
        <f t="shared" si="18"/>
        <v>0</v>
      </c>
      <c r="Q196" s="9">
        <f t="shared" si="18"/>
        <v>0</v>
      </c>
      <c r="R196" s="56" t="s">
        <v>180</v>
      </c>
    </row>
    <row r="197" spans="1:18" ht="19.05" customHeight="1" x14ac:dyDescent="0.3">
      <c r="B197" s="9">
        <f t="shared" si="18"/>
        <v>0</v>
      </c>
      <c r="C197" s="9">
        <f t="shared" si="18"/>
        <v>0</v>
      </c>
      <c r="D197" s="9">
        <f t="shared" si="18"/>
        <v>0</v>
      </c>
      <c r="E197" s="9">
        <f t="shared" si="18"/>
        <v>0</v>
      </c>
      <c r="F197" s="9">
        <f t="shared" si="18"/>
        <v>0</v>
      </c>
      <c r="G197" s="9">
        <f t="shared" si="18"/>
        <v>0</v>
      </c>
      <c r="H197" s="9">
        <f t="shared" si="18"/>
        <v>0</v>
      </c>
      <c r="I197" s="9">
        <f t="shared" si="18"/>
        <v>0</v>
      </c>
      <c r="J197" s="9">
        <f t="shared" si="18"/>
        <v>0</v>
      </c>
      <c r="K197" s="9">
        <f t="shared" si="18"/>
        <v>0</v>
      </c>
      <c r="L197" s="9">
        <f t="shared" si="18"/>
        <v>0</v>
      </c>
      <c r="M197" s="9">
        <f t="shared" si="18"/>
        <v>0</v>
      </c>
      <c r="N197" s="9">
        <f t="shared" si="18"/>
        <v>0</v>
      </c>
      <c r="O197" s="9">
        <f t="shared" si="18"/>
        <v>0</v>
      </c>
      <c r="P197" s="9">
        <f t="shared" si="18"/>
        <v>0</v>
      </c>
      <c r="Q197" s="9">
        <f t="shared" si="18"/>
        <v>0</v>
      </c>
      <c r="R197" s="56" t="s">
        <v>181</v>
      </c>
    </row>
    <row r="198" spans="1:18" ht="19.05" customHeight="1" x14ac:dyDescent="0.3">
      <c r="B198" s="9">
        <f t="shared" si="18"/>
        <v>0</v>
      </c>
      <c r="C198" s="9">
        <f t="shared" si="18"/>
        <v>0</v>
      </c>
      <c r="D198" s="9">
        <f t="shared" si="18"/>
        <v>0</v>
      </c>
      <c r="E198" s="9">
        <f t="shared" si="18"/>
        <v>0</v>
      </c>
      <c r="F198" s="9">
        <f t="shared" si="18"/>
        <v>0</v>
      </c>
      <c r="G198" s="9">
        <f t="shared" si="18"/>
        <v>0</v>
      </c>
      <c r="H198" s="9">
        <f t="shared" si="18"/>
        <v>0</v>
      </c>
      <c r="I198" s="9">
        <f t="shared" si="18"/>
        <v>0</v>
      </c>
      <c r="J198" s="9">
        <f t="shared" si="18"/>
        <v>0</v>
      </c>
      <c r="K198" s="9">
        <f t="shared" si="18"/>
        <v>0</v>
      </c>
      <c r="L198" s="9">
        <f t="shared" si="18"/>
        <v>0</v>
      </c>
      <c r="M198" s="9">
        <f t="shared" si="18"/>
        <v>0</v>
      </c>
      <c r="N198" s="9">
        <f t="shared" si="18"/>
        <v>0</v>
      </c>
      <c r="O198" s="9">
        <f t="shared" si="18"/>
        <v>0</v>
      </c>
      <c r="P198" s="9">
        <f t="shared" si="18"/>
        <v>0</v>
      </c>
      <c r="Q198" s="9">
        <f t="shared" si="18"/>
        <v>0</v>
      </c>
      <c r="R198" s="56" t="s">
        <v>182</v>
      </c>
    </row>
    <row r="199" spans="1:18" ht="19.05" customHeight="1" x14ac:dyDescent="0.3">
      <c r="B199" s="9">
        <f t="shared" si="18"/>
        <v>0</v>
      </c>
      <c r="C199" s="9">
        <f t="shared" si="18"/>
        <v>0</v>
      </c>
      <c r="D199" s="9">
        <f t="shared" si="18"/>
        <v>0</v>
      </c>
      <c r="E199" s="9">
        <f t="shared" si="18"/>
        <v>0</v>
      </c>
      <c r="F199" s="9">
        <f t="shared" si="18"/>
        <v>0</v>
      </c>
      <c r="G199" s="9">
        <f t="shared" si="18"/>
        <v>0</v>
      </c>
      <c r="H199" s="9">
        <f t="shared" si="18"/>
        <v>0</v>
      </c>
      <c r="I199" s="9">
        <f t="shared" si="18"/>
        <v>0</v>
      </c>
      <c r="J199" s="9">
        <f t="shared" si="18"/>
        <v>0</v>
      </c>
      <c r="K199" s="9">
        <f t="shared" si="18"/>
        <v>0</v>
      </c>
      <c r="L199" s="9">
        <f t="shared" si="18"/>
        <v>0</v>
      </c>
      <c r="M199" s="9">
        <f t="shared" si="18"/>
        <v>0</v>
      </c>
      <c r="N199" s="9">
        <f t="shared" si="18"/>
        <v>0</v>
      </c>
      <c r="O199" s="9">
        <f t="shared" si="18"/>
        <v>0</v>
      </c>
      <c r="P199" s="9">
        <f t="shared" si="18"/>
        <v>0</v>
      </c>
      <c r="Q199" s="9">
        <f t="shared" si="18"/>
        <v>0</v>
      </c>
      <c r="R199" s="56" t="s">
        <v>183</v>
      </c>
    </row>
    <row r="200" spans="1:18" ht="19.05" customHeight="1" x14ac:dyDescent="0.3">
      <c r="B200" s="9">
        <f t="shared" si="18"/>
        <v>0</v>
      </c>
      <c r="C200" s="9">
        <f t="shared" si="18"/>
        <v>0</v>
      </c>
      <c r="D200" s="9">
        <f t="shared" si="18"/>
        <v>0</v>
      </c>
      <c r="E200" s="9">
        <f t="shared" si="18"/>
        <v>0</v>
      </c>
      <c r="F200" s="9">
        <f t="shared" si="18"/>
        <v>0</v>
      </c>
      <c r="G200" s="9">
        <f t="shared" si="18"/>
        <v>0</v>
      </c>
      <c r="H200" s="9">
        <f t="shared" si="18"/>
        <v>0</v>
      </c>
      <c r="I200" s="9">
        <f t="shared" si="18"/>
        <v>0</v>
      </c>
      <c r="J200" s="9">
        <f t="shared" si="18"/>
        <v>0</v>
      </c>
      <c r="K200" s="9">
        <f t="shared" si="18"/>
        <v>0</v>
      </c>
      <c r="L200" s="9">
        <f t="shared" si="18"/>
        <v>0</v>
      </c>
      <c r="M200" s="9">
        <f t="shared" si="18"/>
        <v>0</v>
      </c>
      <c r="N200" s="9">
        <f t="shared" si="18"/>
        <v>0</v>
      </c>
      <c r="O200" s="9">
        <f t="shared" si="18"/>
        <v>0</v>
      </c>
      <c r="P200" s="9">
        <f t="shared" si="18"/>
        <v>0</v>
      </c>
      <c r="Q200" s="9">
        <f t="shared" si="18"/>
        <v>0</v>
      </c>
      <c r="R200" s="56" t="s">
        <v>184</v>
      </c>
    </row>
    <row r="201" spans="1:18" ht="19.05" customHeight="1" x14ac:dyDescent="0.3">
      <c r="A201" s="28" t="s">
        <v>202</v>
      </c>
      <c r="B201" s="9">
        <f t="shared" si="18"/>
        <v>0</v>
      </c>
      <c r="C201" s="9">
        <f t="shared" si="18"/>
        <v>0</v>
      </c>
      <c r="D201" s="9">
        <f t="shared" si="18"/>
        <v>0</v>
      </c>
      <c r="E201" s="9">
        <f t="shared" si="18"/>
        <v>0</v>
      </c>
      <c r="F201" s="9">
        <f t="shared" si="18"/>
        <v>0</v>
      </c>
      <c r="G201" s="9">
        <f t="shared" si="18"/>
        <v>0</v>
      </c>
      <c r="H201" s="9">
        <f t="shared" si="18"/>
        <v>0</v>
      </c>
      <c r="I201" s="9">
        <f t="shared" si="18"/>
        <v>0</v>
      </c>
      <c r="J201" s="9">
        <f t="shared" si="18"/>
        <v>0</v>
      </c>
      <c r="K201" s="9">
        <f t="shared" si="18"/>
        <v>0</v>
      </c>
      <c r="L201" s="9">
        <f t="shared" si="18"/>
        <v>0</v>
      </c>
      <c r="M201" s="9">
        <f t="shared" si="18"/>
        <v>0</v>
      </c>
      <c r="N201" s="9">
        <f t="shared" si="18"/>
        <v>0</v>
      </c>
      <c r="O201" s="9">
        <f t="shared" si="18"/>
        <v>0</v>
      </c>
      <c r="P201" s="9">
        <f t="shared" si="18"/>
        <v>0</v>
      </c>
      <c r="Q201" s="9">
        <f t="shared" si="18"/>
        <v>0</v>
      </c>
      <c r="R201" s="56" t="s">
        <v>185</v>
      </c>
    </row>
    <row r="202" spans="1:18" ht="19.05" customHeight="1" x14ac:dyDescent="0.3">
      <c r="B202" s="9">
        <f t="shared" si="18"/>
        <v>0</v>
      </c>
      <c r="C202" s="9">
        <f t="shared" si="18"/>
        <v>0</v>
      </c>
      <c r="D202" s="9">
        <f t="shared" si="18"/>
        <v>0</v>
      </c>
      <c r="E202" s="9">
        <f t="shared" si="18"/>
        <v>0</v>
      </c>
      <c r="F202" s="9">
        <f t="shared" si="18"/>
        <v>0</v>
      </c>
      <c r="G202" s="9">
        <f t="shared" si="18"/>
        <v>0</v>
      </c>
      <c r="H202" s="9">
        <f t="shared" si="18"/>
        <v>0</v>
      </c>
      <c r="I202" s="9">
        <f t="shared" si="18"/>
        <v>0</v>
      </c>
      <c r="J202" s="9">
        <f t="shared" si="18"/>
        <v>0</v>
      </c>
      <c r="K202" s="9">
        <f t="shared" si="18"/>
        <v>0</v>
      </c>
      <c r="L202" s="9">
        <f t="shared" si="18"/>
        <v>0</v>
      </c>
      <c r="M202" s="9">
        <f t="shared" si="18"/>
        <v>0</v>
      </c>
      <c r="N202" s="9">
        <f t="shared" si="18"/>
        <v>0</v>
      </c>
      <c r="O202" s="9">
        <f t="shared" si="18"/>
        <v>0</v>
      </c>
      <c r="P202" s="9">
        <f t="shared" si="18"/>
        <v>0</v>
      </c>
      <c r="Q202" s="9">
        <f t="shared" si="18"/>
        <v>0</v>
      </c>
      <c r="R202" s="56" t="s">
        <v>186</v>
      </c>
    </row>
    <row r="203" spans="1:18" ht="19.05" customHeight="1" x14ac:dyDescent="0.3">
      <c r="B203" s="9">
        <f t="shared" si="18"/>
        <v>0</v>
      </c>
      <c r="C203" s="9">
        <f t="shared" si="18"/>
        <v>0</v>
      </c>
      <c r="D203" s="9">
        <f t="shared" si="18"/>
        <v>0</v>
      </c>
      <c r="E203" s="9">
        <f t="shared" si="18"/>
        <v>0</v>
      </c>
      <c r="F203" s="9">
        <f t="shared" si="18"/>
        <v>0</v>
      </c>
      <c r="G203" s="9">
        <f t="shared" si="18"/>
        <v>0</v>
      </c>
      <c r="H203" s="9">
        <f t="shared" si="18"/>
        <v>0</v>
      </c>
      <c r="I203" s="9">
        <f t="shared" si="18"/>
        <v>0</v>
      </c>
      <c r="J203" s="9">
        <f t="shared" si="18"/>
        <v>0</v>
      </c>
      <c r="K203" s="9">
        <f t="shared" si="18"/>
        <v>0</v>
      </c>
      <c r="L203" s="9">
        <f t="shared" si="18"/>
        <v>0</v>
      </c>
      <c r="M203" s="9">
        <f t="shared" si="18"/>
        <v>0</v>
      </c>
      <c r="N203" s="9">
        <f t="shared" si="18"/>
        <v>0</v>
      </c>
      <c r="O203" s="9">
        <f t="shared" si="18"/>
        <v>0</v>
      </c>
      <c r="P203" s="9">
        <f t="shared" si="18"/>
        <v>0</v>
      </c>
      <c r="Q203" s="9">
        <f t="shared" si="18"/>
        <v>0</v>
      </c>
      <c r="R203" s="56" t="s">
        <v>187</v>
      </c>
    </row>
    <row r="204" spans="1:18" ht="19.05" customHeight="1" x14ac:dyDescent="0.3">
      <c r="B204" s="9">
        <f t="shared" ref="B204:Q209" si="19">IFERROR(INDEX($B$188:$E$191, MATCH($R204, $B$187:$E$187, 0), MATCH(B$193, $B$187:$E$187, 0)), 0)</f>
        <v>0</v>
      </c>
      <c r="C204" s="9">
        <f t="shared" si="19"/>
        <v>0</v>
      </c>
      <c r="D204" s="9">
        <f t="shared" si="19"/>
        <v>0</v>
      </c>
      <c r="E204" s="9">
        <f t="shared" si="19"/>
        <v>0</v>
      </c>
      <c r="F204" s="9">
        <f t="shared" si="19"/>
        <v>0</v>
      </c>
      <c r="G204" s="9">
        <f t="shared" si="19"/>
        <v>0</v>
      </c>
      <c r="H204" s="9">
        <f t="shared" si="19"/>
        <v>0</v>
      </c>
      <c r="I204" s="9">
        <f t="shared" si="19"/>
        <v>0</v>
      </c>
      <c r="J204" s="9">
        <f t="shared" si="19"/>
        <v>0</v>
      </c>
      <c r="K204" s="9">
        <f t="shared" si="19"/>
        <v>0</v>
      </c>
      <c r="L204" s="9">
        <f t="shared" si="19"/>
        <v>0</v>
      </c>
      <c r="M204" s="9">
        <f t="shared" si="19"/>
        <v>0</v>
      </c>
      <c r="N204" s="9">
        <f t="shared" si="19"/>
        <v>0</v>
      </c>
      <c r="O204" s="9">
        <f t="shared" si="19"/>
        <v>0</v>
      </c>
      <c r="P204" s="9">
        <f t="shared" si="19"/>
        <v>0</v>
      </c>
      <c r="Q204" s="9">
        <f t="shared" si="19"/>
        <v>0</v>
      </c>
      <c r="R204" s="56" t="s">
        <v>188</v>
      </c>
    </row>
    <row r="205" spans="1:18" ht="19.05" customHeight="1" x14ac:dyDescent="0.3">
      <c r="B205" s="9">
        <f t="shared" si="19"/>
        <v>0</v>
      </c>
      <c r="C205" s="9">
        <f t="shared" si="19"/>
        <v>0</v>
      </c>
      <c r="D205" s="9">
        <f t="shared" si="19"/>
        <v>0</v>
      </c>
      <c r="E205" s="9">
        <f t="shared" si="19"/>
        <v>0</v>
      </c>
      <c r="F205" s="9">
        <f t="shared" si="19"/>
        <v>0</v>
      </c>
      <c r="G205" s="9">
        <f t="shared" si="19"/>
        <v>0</v>
      </c>
      <c r="H205" s="9">
        <f t="shared" si="19"/>
        <v>0</v>
      </c>
      <c r="I205" s="9">
        <f t="shared" si="19"/>
        <v>0</v>
      </c>
      <c r="J205" s="9">
        <f t="shared" si="19"/>
        <v>0</v>
      </c>
      <c r="K205" s="9">
        <f t="shared" si="19"/>
        <v>0</v>
      </c>
      <c r="L205" s="9">
        <f t="shared" si="19"/>
        <v>0</v>
      </c>
      <c r="M205" s="9">
        <f t="shared" si="19"/>
        <v>0</v>
      </c>
      <c r="N205" s="9">
        <f t="shared" si="19"/>
        <v>0</v>
      </c>
      <c r="O205" s="9">
        <f t="shared" si="19"/>
        <v>0</v>
      </c>
      <c r="P205" s="9">
        <f t="shared" si="19"/>
        <v>0</v>
      </c>
      <c r="Q205" s="9">
        <f t="shared" si="19"/>
        <v>0</v>
      </c>
      <c r="R205" s="56" t="s">
        <v>189</v>
      </c>
    </row>
    <row r="206" spans="1:18" ht="19.05" customHeight="1" x14ac:dyDescent="0.3">
      <c r="B206" s="9">
        <f t="shared" si="19"/>
        <v>0</v>
      </c>
      <c r="C206" s="9">
        <f t="shared" si="19"/>
        <v>0</v>
      </c>
      <c r="D206" s="9">
        <f t="shared" si="19"/>
        <v>0</v>
      </c>
      <c r="E206" s="9">
        <f t="shared" si="19"/>
        <v>0</v>
      </c>
      <c r="F206" s="9">
        <f t="shared" si="19"/>
        <v>0</v>
      </c>
      <c r="G206" s="9">
        <f t="shared" si="19"/>
        <v>0</v>
      </c>
      <c r="H206" s="9">
        <f t="shared" si="19"/>
        <v>0</v>
      </c>
      <c r="I206" s="9">
        <f t="shared" si="19"/>
        <v>0</v>
      </c>
      <c r="J206" s="9">
        <f t="shared" si="19"/>
        <v>0</v>
      </c>
      <c r="K206" s="9">
        <f t="shared" si="19"/>
        <v>0</v>
      </c>
      <c r="L206" s="9">
        <f t="shared" si="19"/>
        <v>0</v>
      </c>
      <c r="M206" s="9">
        <f t="shared" si="19"/>
        <v>0</v>
      </c>
      <c r="N206" s="58">
        <f t="shared" si="19"/>
        <v>67200</v>
      </c>
      <c r="O206" s="58">
        <f t="shared" si="19"/>
        <v>0</v>
      </c>
      <c r="P206" s="58">
        <f t="shared" si="19"/>
        <v>-67200</v>
      </c>
      <c r="Q206" s="58">
        <f t="shared" si="19"/>
        <v>0</v>
      </c>
      <c r="R206" s="56" t="s">
        <v>579</v>
      </c>
    </row>
    <row r="207" spans="1:18" ht="19.05" customHeight="1" x14ac:dyDescent="0.3">
      <c r="B207" s="9">
        <f t="shared" si="19"/>
        <v>0</v>
      </c>
      <c r="C207" s="9">
        <f t="shared" si="19"/>
        <v>0</v>
      </c>
      <c r="D207" s="9">
        <f t="shared" si="19"/>
        <v>0</v>
      </c>
      <c r="E207" s="9">
        <f t="shared" si="19"/>
        <v>0</v>
      </c>
      <c r="F207" s="9">
        <f t="shared" si="19"/>
        <v>0</v>
      </c>
      <c r="G207" s="9">
        <f t="shared" si="19"/>
        <v>0</v>
      </c>
      <c r="H207" s="9">
        <f t="shared" si="19"/>
        <v>0</v>
      </c>
      <c r="I207" s="9">
        <f t="shared" si="19"/>
        <v>0</v>
      </c>
      <c r="J207" s="9">
        <f t="shared" si="19"/>
        <v>0</v>
      </c>
      <c r="K207" s="9">
        <f t="shared" si="19"/>
        <v>0</v>
      </c>
      <c r="L207" s="9">
        <f t="shared" si="19"/>
        <v>0</v>
      </c>
      <c r="M207" s="9">
        <f t="shared" si="19"/>
        <v>0</v>
      </c>
      <c r="N207" s="58">
        <f t="shared" si="19"/>
        <v>0</v>
      </c>
      <c r="O207" s="58">
        <f t="shared" si="19"/>
        <v>0</v>
      </c>
      <c r="P207" s="58">
        <f t="shared" si="19"/>
        <v>0</v>
      </c>
      <c r="Q207" s="58">
        <f t="shared" si="19"/>
        <v>0</v>
      </c>
      <c r="R207" s="56" t="s">
        <v>580</v>
      </c>
    </row>
    <row r="208" spans="1:18" ht="19.05" customHeight="1" x14ac:dyDescent="0.3">
      <c r="B208" s="9">
        <f t="shared" si="19"/>
        <v>0</v>
      </c>
      <c r="C208" s="9">
        <f t="shared" si="19"/>
        <v>0</v>
      </c>
      <c r="D208" s="9">
        <f t="shared" si="19"/>
        <v>0</v>
      </c>
      <c r="E208" s="9">
        <f t="shared" si="19"/>
        <v>0</v>
      </c>
      <c r="F208" s="9">
        <f t="shared" si="19"/>
        <v>0</v>
      </c>
      <c r="G208" s="9">
        <f t="shared" si="19"/>
        <v>0</v>
      </c>
      <c r="H208" s="9">
        <f t="shared" si="19"/>
        <v>0</v>
      </c>
      <c r="I208" s="9">
        <f t="shared" si="19"/>
        <v>0</v>
      </c>
      <c r="J208" s="9">
        <f t="shared" si="19"/>
        <v>0</v>
      </c>
      <c r="K208" s="9">
        <f t="shared" si="19"/>
        <v>0</v>
      </c>
      <c r="L208" s="9">
        <f t="shared" si="19"/>
        <v>0</v>
      </c>
      <c r="M208" s="9">
        <f t="shared" si="19"/>
        <v>0</v>
      </c>
      <c r="N208" s="58">
        <f t="shared" si="19"/>
        <v>-67200</v>
      </c>
      <c r="O208" s="58">
        <f t="shared" si="19"/>
        <v>0</v>
      </c>
      <c r="P208" s="58">
        <f t="shared" si="19"/>
        <v>67200</v>
      </c>
      <c r="Q208" s="58">
        <f t="shared" si="19"/>
        <v>0</v>
      </c>
      <c r="R208" s="56" t="s">
        <v>601</v>
      </c>
    </row>
    <row r="209" spans="1:18" ht="19.05" customHeight="1" x14ac:dyDescent="0.3">
      <c r="B209" s="9">
        <f t="shared" si="19"/>
        <v>0</v>
      </c>
      <c r="C209" s="9">
        <f t="shared" si="19"/>
        <v>0</v>
      </c>
      <c r="D209" s="9">
        <f t="shared" si="19"/>
        <v>0</v>
      </c>
      <c r="E209" s="9">
        <f t="shared" si="19"/>
        <v>0</v>
      </c>
      <c r="F209" s="9">
        <f t="shared" si="19"/>
        <v>0</v>
      </c>
      <c r="G209" s="9">
        <f t="shared" si="19"/>
        <v>0</v>
      </c>
      <c r="H209" s="9">
        <f t="shared" si="19"/>
        <v>0</v>
      </c>
      <c r="I209" s="9">
        <f t="shared" si="19"/>
        <v>0</v>
      </c>
      <c r="J209" s="9">
        <f t="shared" si="19"/>
        <v>0</v>
      </c>
      <c r="K209" s="9">
        <f t="shared" si="19"/>
        <v>0</v>
      </c>
      <c r="L209" s="9">
        <f t="shared" si="19"/>
        <v>0</v>
      </c>
      <c r="M209" s="9">
        <f t="shared" si="19"/>
        <v>0</v>
      </c>
      <c r="N209" s="58">
        <f t="shared" si="19"/>
        <v>0</v>
      </c>
      <c r="O209" s="58">
        <f t="shared" si="19"/>
        <v>0</v>
      </c>
      <c r="P209" s="58">
        <f t="shared" si="19"/>
        <v>0</v>
      </c>
      <c r="Q209" s="58">
        <f t="shared" si="19"/>
        <v>0</v>
      </c>
      <c r="R209" s="56" t="s">
        <v>602</v>
      </c>
    </row>
    <row r="212" spans="1:18" ht="18" customHeight="1" x14ac:dyDescent="0.3">
      <c r="B212" s="61" t="str">
        <f>CONCATENATE("U",C29,C$21)</f>
        <v>U8X</v>
      </c>
      <c r="C212" s="61" t="str">
        <f>CONCATENATE("U",D29,D$21)</f>
        <v>U8Y</v>
      </c>
      <c r="D212" s="61" t="str">
        <f>CONCATENATE("U",E29,E$21)</f>
        <v>U5X</v>
      </c>
      <c r="E212" s="61" t="str">
        <f>CONCATENATE("U",F29,F$21)</f>
        <v>U5Y</v>
      </c>
    </row>
    <row r="213" spans="1:18" x14ac:dyDescent="0.3">
      <c r="B213" s="62">
        <f>J13*J13*N13</f>
        <v>14515.199999999999</v>
      </c>
      <c r="C213" s="62">
        <f>J13*K13*N13</f>
        <v>-19353.599999999999</v>
      </c>
      <c r="D213" s="62">
        <f>-B213</f>
        <v>-14515.199999999999</v>
      </c>
      <c r="E213" s="62">
        <f>-C213</f>
        <v>19353.599999999999</v>
      </c>
      <c r="F213" s="61" t="str">
        <f>B212</f>
        <v>U8X</v>
      </c>
    </row>
    <row r="214" spans="1:18" ht="16.8" customHeight="1" x14ac:dyDescent="0.3">
      <c r="A214" s="28" t="s">
        <v>203</v>
      </c>
      <c r="B214" s="62">
        <f>C213</f>
        <v>-19353.599999999999</v>
      </c>
      <c r="C214" s="62">
        <f>K13*K13*N13</f>
        <v>25804.800000000007</v>
      </c>
      <c r="D214" s="62">
        <f>-B214</f>
        <v>19353.599999999999</v>
      </c>
      <c r="E214" s="62">
        <f>-C214</f>
        <v>-25804.800000000007</v>
      </c>
      <c r="F214" s="61" t="str">
        <f>C212</f>
        <v>U8Y</v>
      </c>
    </row>
    <row r="215" spans="1:18" x14ac:dyDescent="0.3">
      <c r="B215" s="62">
        <f>D213</f>
        <v>-14515.199999999999</v>
      </c>
      <c r="C215" s="62">
        <f>E213</f>
        <v>19353.599999999999</v>
      </c>
      <c r="D215" s="62">
        <f>B213</f>
        <v>14515.199999999999</v>
      </c>
      <c r="E215" s="62">
        <f>C213</f>
        <v>-19353.599999999999</v>
      </c>
      <c r="F215" s="61" t="str">
        <f>D212</f>
        <v>U5X</v>
      </c>
    </row>
    <row r="216" spans="1:18" x14ac:dyDescent="0.3">
      <c r="B216" s="62">
        <f>D214</f>
        <v>19353.599999999999</v>
      </c>
      <c r="C216" s="62">
        <f>E214</f>
        <v>-25804.800000000007</v>
      </c>
      <c r="D216" s="62">
        <f>B214</f>
        <v>-19353.599999999999</v>
      </c>
      <c r="E216" s="62">
        <f>C214</f>
        <v>25804.800000000007</v>
      </c>
      <c r="F216" s="61" t="str">
        <f>E212</f>
        <v>U5Y</v>
      </c>
    </row>
    <row r="218" spans="1:18" ht="18" customHeight="1" x14ac:dyDescent="0.3">
      <c r="B218" s="61" t="s">
        <v>178</v>
      </c>
      <c r="C218" s="61" t="s">
        <v>179</v>
      </c>
      <c r="D218" s="61" t="s">
        <v>180</v>
      </c>
      <c r="E218" s="61" t="s">
        <v>181</v>
      </c>
      <c r="F218" s="61" t="s">
        <v>182</v>
      </c>
      <c r="G218" s="61" t="s">
        <v>183</v>
      </c>
      <c r="H218" s="61" t="s">
        <v>184</v>
      </c>
      <c r="I218" s="61" t="s">
        <v>185</v>
      </c>
      <c r="J218" s="61" t="s">
        <v>186</v>
      </c>
      <c r="K218" s="61" t="s">
        <v>187</v>
      </c>
      <c r="L218" s="61" t="s">
        <v>188</v>
      </c>
      <c r="M218" s="61" t="s">
        <v>189</v>
      </c>
      <c r="N218" s="61" t="s">
        <v>579</v>
      </c>
      <c r="O218" s="61" t="s">
        <v>580</v>
      </c>
      <c r="P218" s="61" t="s">
        <v>601</v>
      </c>
      <c r="Q218" s="61" t="s">
        <v>602</v>
      </c>
    </row>
    <row r="219" spans="1:18" ht="19.05" customHeight="1" x14ac:dyDescent="0.3">
      <c r="B219" s="9">
        <f t="shared" ref="B219:Q228" si="20">IFERROR(INDEX($B$213:$E$216, MATCH($R219, $B$212:$E$212, 0), MATCH(B$218, $B$212:$E$212, 0)), 0)</f>
        <v>0</v>
      </c>
      <c r="C219" s="9">
        <f t="shared" si="20"/>
        <v>0</v>
      </c>
      <c r="D219" s="9">
        <f t="shared" si="20"/>
        <v>0</v>
      </c>
      <c r="E219" s="9">
        <f t="shared" si="20"/>
        <v>0</v>
      </c>
      <c r="F219" s="9">
        <f t="shared" si="20"/>
        <v>0</v>
      </c>
      <c r="G219" s="9">
        <f t="shared" si="20"/>
        <v>0</v>
      </c>
      <c r="H219" s="9">
        <f t="shared" si="20"/>
        <v>0</v>
      </c>
      <c r="I219" s="9">
        <f t="shared" si="20"/>
        <v>0</v>
      </c>
      <c r="J219" s="9">
        <f t="shared" si="20"/>
        <v>0</v>
      </c>
      <c r="K219" s="9">
        <f t="shared" si="20"/>
        <v>0</v>
      </c>
      <c r="L219" s="9">
        <f t="shared" si="20"/>
        <v>0</v>
      </c>
      <c r="M219" s="9">
        <f t="shared" si="20"/>
        <v>0</v>
      </c>
      <c r="N219" s="9">
        <f t="shared" si="20"/>
        <v>0</v>
      </c>
      <c r="O219" s="9">
        <f t="shared" si="20"/>
        <v>0</v>
      </c>
      <c r="P219" s="9">
        <f t="shared" si="20"/>
        <v>0</v>
      </c>
      <c r="Q219" s="9">
        <f t="shared" si="20"/>
        <v>0</v>
      </c>
      <c r="R219" s="61" t="s">
        <v>178</v>
      </c>
    </row>
    <row r="220" spans="1:18" ht="19.05" customHeight="1" x14ac:dyDescent="0.3">
      <c r="B220" s="9">
        <f t="shared" si="20"/>
        <v>0</v>
      </c>
      <c r="C220" s="9">
        <f t="shared" si="20"/>
        <v>0</v>
      </c>
      <c r="D220" s="9">
        <f t="shared" si="20"/>
        <v>0</v>
      </c>
      <c r="E220" s="9">
        <f t="shared" si="20"/>
        <v>0</v>
      </c>
      <c r="F220" s="9">
        <f t="shared" si="20"/>
        <v>0</v>
      </c>
      <c r="G220" s="9">
        <f t="shared" si="20"/>
        <v>0</v>
      </c>
      <c r="H220" s="9">
        <f t="shared" si="20"/>
        <v>0</v>
      </c>
      <c r="I220" s="9">
        <f t="shared" si="20"/>
        <v>0</v>
      </c>
      <c r="J220" s="9">
        <f t="shared" si="20"/>
        <v>0</v>
      </c>
      <c r="K220" s="9">
        <f t="shared" si="20"/>
        <v>0</v>
      </c>
      <c r="L220" s="9">
        <f t="shared" si="20"/>
        <v>0</v>
      </c>
      <c r="M220" s="9">
        <f t="shared" si="20"/>
        <v>0</v>
      </c>
      <c r="N220" s="9">
        <f t="shared" si="20"/>
        <v>0</v>
      </c>
      <c r="O220" s="9">
        <f t="shared" si="20"/>
        <v>0</v>
      </c>
      <c r="P220" s="9">
        <f t="shared" si="20"/>
        <v>0</v>
      </c>
      <c r="Q220" s="9">
        <f t="shared" si="20"/>
        <v>0</v>
      </c>
      <c r="R220" s="61" t="s">
        <v>179</v>
      </c>
    </row>
    <row r="221" spans="1:18" ht="19.05" customHeight="1" x14ac:dyDescent="0.3">
      <c r="B221" s="9">
        <f t="shared" si="20"/>
        <v>0</v>
      </c>
      <c r="C221" s="9">
        <f t="shared" si="20"/>
        <v>0</v>
      </c>
      <c r="D221" s="9">
        <f t="shared" si="20"/>
        <v>0</v>
      </c>
      <c r="E221" s="9">
        <f t="shared" si="20"/>
        <v>0</v>
      </c>
      <c r="F221" s="9">
        <f t="shared" si="20"/>
        <v>0</v>
      </c>
      <c r="G221" s="9">
        <f t="shared" si="20"/>
        <v>0</v>
      </c>
      <c r="H221" s="9">
        <f t="shared" si="20"/>
        <v>0</v>
      </c>
      <c r="I221" s="9">
        <f t="shared" si="20"/>
        <v>0</v>
      </c>
      <c r="J221" s="9">
        <f t="shared" si="20"/>
        <v>0</v>
      </c>
      <c r="K221" s="9">
        <f t="shared" si="20"/>
        <v>0</v>
      </c>
      <c r="L221" s="9">
        <f t="shared" si="20"/>
        <v>0</v>
      </c>
      <c r="M221" s="9">
        <f t="shared" si="20"/>
        <v>0</v>
      </c>
      <c r="N221" s="9">
        <f t="shared" si="20"/>
        <v>0</v>
      </c>
      <c r="O221" s="9">
        <f t="shared" si="20"/>
        <v>0</v>
      </c>
      <c r="P221" s="9">
        <f t="shared" si="20"/>
        <v>0</v>
      </c>
      <c r="Q221" s="9">
        <f t="shared" si="20"/>
        <v>0</v>
      </c>
      <c r="R221" s="61" t="s">
        <v>180</v>
      </c>
    </row>
    <row r="222" spans="1:18" ht="19.05" customHeight="1" x14ac:dyDescent="0.3">
      <c r="B222" s="9">
        <f t="shared" si="20"/>
        <v>0</v>
      </c>
      <c r="C222" s="9">
        <f t="shared" si="20"/>
        <v>0</v>
      </c>
      <c r="D222" s="9">
        <f t="shared" si="20"/>
        <v>0</v>
      </c>
      <c r="E222" s="9">
        <f t="shared" si="20"/>
        <v>0</v>
      </c>
      <c r="F222" s="9">
        <f t="shared" si="20"/>
        <v>0</v>
      </c>
      <c r="G222" s="9">
        <f t="shared" si="20"/>
        <v>0</v>
      </c>
      <c r="H222" s="9">
        <f t="shared" si="20"/>
        <v>0</v>
      </c>
      <c r="I222" s="9">
        <f t="shared" si="20"/>
        <v>0</v>
      </c>
      <c r="J222" s="9">
        <f t="shared" si="20"/>
        <v>0</v>
      </c>
      <c r="K222" s="9">
        <f t="shared" si="20"/>
        <v>0</v>
      </c>
      <c r="L222" s="9">
        <f t="shared" si="20"/>
        <v>0</v>
      </c>
      <c r="M222" s="9">
        <f t="shared" si="20"/>
        <v>0</v>
      </c>
      <c r="N222" s="9">
        <f t="shared" si="20"/>
        <v>0</v>
      </c>
      <c r="O222" s="9">
        <f t="shared" si="20"/>
        <v>0</v>
      </c>
      <c r="P222" s="9">
        <f t="shared" si="20"/>
        <v>0</v>
      </c>
      <c r="Q222" s="9">
        <f t="shared" si="20"/>
        <v>0</v>
      </c>
      <c r="R222" s="61" t="s">
        <v>181</v>
      </c>
    </row>
    <row r="223" spans="1:18" ht="19.05" customHeight="1" x14ac:dyDescent="0.3">
      <c r="B223" s="9">
        <f t="shared" si="20"/>
        <v>0</v>
      </c>
      <c r="C223" s="9">
        <f t="shared" si="20"/>
        <v>0</v>
      </c>
      <c r="D223" s="9">
        <f t="shared" si="20"/>
        <v>0</v>
      </c>
      <c r="E223" s="9">
        <f t="shared" si="20"/>
        <v>0</v>
      </c>
      <c r="F223" s="9">
        <f t="shared" si="20"/>
        <v>0</v>
      </c>
      <c r="G223" s="9">
        <f t="shared" si="20"/>
        <v>0</v>
      </c>
      <c r="H223" s="9">
        <f t="shared" si="20"/>
        <v>0</v>
      </c>
      <c r="I223" s="9">
        <f t="shared" si="20"/>
        <v>0</v>
      </c>
      <c r="J223" s="9">
        <f t="shared" si="20"/>
        <v>0</v>
      </c>
      <c r="K223" s="9">
        <f t="shared" si="20"/>
        <v>0</v>
      </c>
      <c r="L223" s="9">
        <f t="shared" si="20"/>
        <v>0</v>
      </c>
      <c r="M223" s="9">
        <f t="shared" si="20"/>
        <v>0</v>
      </c>
      <c r="N223" s="9">
        <f t="shared" si="20"/>
        <v>0</v>
      </c>
      <c r="O223" s="9">
        <f t="shared" si="20"/>
        <v>0</v>
      </c>
      <c r="P223" s="9">
        <f t="shared" si="20"/>
        <v>0</v>
      </c>
      <c r="Q223" s="9">
        <f t="shared" si="20"/>
        <v>0</v>
      </c>
      <c r="R223" s="61" t="s">
        <v>182</v>
      </c>
    </row>
    <row r="224" spans="1:18" ht="19.05" customHeight="1" x14ac:dyDescent="0.3">
      <c r="B224" s="9">
        <f t="shared" si="20"/>
        <v>0</v>
      </c>
      <c r="C224" s="9">
        <f t="shared" si="20"/>
        <v>0</v>
      </c>
      <c r="D224" s="9">
        <f t="shared" si="20"/>
        <v>0</v>
      </c>
      <c r="E224" s="9">
        <f t="shared" si="20"/>
        <v>0</v>
      </c>
      <c r="F224" s="9">
        <f t="shared" si="20"/>
        <v>0</v>
      </c>
      <c r="G224" s="9">
        <f t="shared" si="20"/>
        <v>0</v>
      </c>
      <c r="H224" s="9">
        <f t="shared" si="20"/>
        <v>0</v>
      </c>
      <c r="I224" s="9">
        <f t="shared" si="20"/>
        <v>0</v>
      </c>
      <c r="J224" s="9">
        <f t="shared" si="20"/>
        <v>0</v>
      </c>
      <c r="K224" s="9">
        <f t="shared" si="20"/>
        <v>0</v>
      </c>
      <c r="L224" s="9">
        <f t="shared" si="20"/>
        <v>0</v>
      </c>
      <c r="M224" s="9">
        <f t="shared" si="20"/>
        <v>0</v>
      </c>
      <c r="N224" s="9">
        <f t="shared" si="20"/>
        <v>0</v>
      </c>
      <c r="O224" s="9">
        <f t="shared" si="20"/>
        <v>0</v>
      </c>
      <c r="P224" s="9">
        <f t="shared" si="20"/>
        <v>0</v>
      </c>
      <c r="Q224" s="9">
        <f t="shared" si="20"/>
        <v>0</v>
      </c>
      <c r="R224" s="61" t="s">
        <v>183</v>
      </c>
    </row>
    <row r="225" spans="1:18" ht="19.05" customHeight="1" x14ac:dyDescent="0.3">
      <c r="B225" s="9">
        <f t="shared" si="20"/>
        <v>0</v>
      </c>
      <c r="C225" s="9">
        <f t="shared" si="20"/>
        <v>0</v>
      </c>
      <c r="D225" s="9">
        <f t="shared" si="20"/>
        <v>0</v>
      </c>
      <c r="E225" s="9">
        <f t="shared" si="20"/>
        <v>0</v>
      </c>
      <c r="F225" s="9">
        <f t="shared" si="20"/>
        <v>0</v>
      </c>
      <c r="G225" s="9">
        <f t="shared" si="20"/>
        <v>0</v>
      </c>
      <c r="H225" s="9">
        <f t="shared" si="20"/>
        <v>0</v>
      </c>
      <c r="I225" s="9">
        <f t="shared" si="20"/>
        <v>0</v>
      </c>
      <c r="J225" s="9">
        <f t="shared" si="20"/>
        <v>0</v>
      </c>
      <c r="K225" s="9">
        <f t="shared" si="20"/>
        <v>0</v>
      </c>
      <c r="L225" s="9">
        <f t="shared" si="20"/>
        <v>0</v>
      </c>
      <c r="M225" s="9">
        <f t="shared" si="20"/>
        <v>0</v>
      </c>
      <c r="N225" s="9">
        <f t="shared" si="20"/>
        <v>0</v>
      </c>
      <c r="O225" s="9">
        <f t="shared" si="20"/>
        <v>0</v>
      </c>
      <c r="P225" s="9">
        <f t="shared" si="20"/>
        <v>0</v>
      </c>
      <c r="Q225" s="9">
        <f t="shared" si="20"/>
        <v>0</v>
      </c>
      <c r="R225" s="61" t="s">
        <v>184</v>
      </c>
    </row>
    <row r="226" spans="1:18" ht="19.05" customHeight="1" x14ac:dyDescent="0.3">
      <c r="A226" s="28" t="s">
        <v>204</v>
      </c>
      <c r="B226" s="9">
        <f t="shared" si="20"/>
        <v>0</v>
      </c>
      <c r="C226" s="9">
        <f t="shared" si="20"/>
        <v>0</v>
      </c>
      <c r="D226" s="9">
        <f t="shared" si="20"/>
        <v>0</v>
      </c>
      <c r="E226" s="9">
        <f t="shared" si="20"/>
        <v>0</v>
      </c>
      <c r="F226" s="9">
        <f t="shared" si="20"/>
        <v>0</v>
      </c>
      <c r="G226" s="9">
        <f t="shared" si="20"/>
        <v>0</v>
      </c>
      <c r="H226" s="9">
        <f t="shared" si="20"/>
        <v>0</v>
      </c>
      <c r="I226" s="9">
        <f t="shared" si="20"/>
        <v>0</v>
      </c>
      <c r="J226" s="9">
        <f t="shared" si="20"/>
        <v>0</v>
      </c>
      <c r="K226" s="9">
        <f t="shared" si="20"/>
        <v>0</v>
      </c>
      <c r="L226" s="9">
        <f t="shared" si="20"/>
        <v>0</v>
      </c>
      <c r="M226" s="9">
        <f t="shared" si="20"/>
        <v>0</v>
      </c>
      <c r="N226" s="9">
        <f t="shared" si="20"/>
        <v>0</v>
      </c>
      <c r="O226" s="9">
        <f t="shared" si="20"/>
        <v>0</v>
      </c>
      <c r="P226" s="9">
        <f t="shared" si="20"/>
        <v>0</v>
      </c>
      <c r="Q226" s="9">
        <f t="shared" si="20"/>
        <v>0</v>
      </c>
      <c r="R226" s="61" t="s">
        <v>185</v>
      </c>
    </row>
    <row r="227" spans="1:18" ht="19.05" customHeight="1" x14ac:dyDescent="0.3">
      <c r="B227" s="9">
        <f t="shared" si="20"/>
        <v>0</v>
      </c>
      <c r="C227" s="9">
        <f t="shared" si="20"/>
        <v>0</v>
      </c>
      <c r="D227" s="9">
        <f t="shared" si="20"/>
        <v>0</v>
      </c>
      <c r="E227" s="9">
        <f t="shared" si="20"/>
        <v>0</v>
      </c>
      <c r="F227" s="9">
        <f t="shared" si="20"/>
        <v>0</v>
      </c>
      <c r="G227" s="9">
        <f t="shared" si="20"/>
        <v>0</v>
      </c>
      <c r="H227" s="9">
        <f t="shared" si="20"/>
        <v>0</v>
      </c>
      <c r="I227" s="9">
        <f t="shared" si="20"/>
        <v>0</v>
      </c>
      <c r="J227" s="63">
        <f t="shared" si="20"/>
        <v>14515.199999999999</v>
      </c>
      <c r="K227" s="63">
        <f t="shared" si="20"/>
        <v>-19353.599999999999</v>
      </c>
      <c r="L227" s="9">
        <f t="shared" si="20"/>
        <v>0</v>
      </c>
      <c r="M227" s="9">
        <f t="shared" si="20"/>
        <v>0</v>
      </c>
      <c r="N227" s="9">
        <f t="shared" si="20"/>
        <v>0</v>
      </c>
      <c r="O227" s="9">
        <f t="shared" si="20"/>
        <v>0</v>
      </c>
      <c r="P227" s="63">
        <f t="shared" si="20"/>
        <v>-14515.199999999999</v>
      </c>
      <c r="Q227" s="63">
        <f t="shared" si="20"/>
        <v>19353.599999999999</v>
      </c>
      <c r="R227" s="61" t="s">
        <v>186</v>
      </c>
    </row>
    <row r="228" spans="1:18" ht="19.05" customHeight="1" x14ac:dyDescent="0.3">
      <c r="B228" s="9">
        <f t="shared" si="20"/>
        <v>0</v>
      </c>
      <c r="C228" s="9">
        <f t="shared" si="20"/>
        <v>0</v>
      </c>
      <c r="D228" s="9">
        <f t="shared" si="20"/>
        <v>0</v>
      </c>
      <c r="E228" s="9">
        <f t="shared" si="20"/>
        <v>0</v>
      </c>
      <c r="F228" s="9">
        <f t="shared" si="20"/>
        <v>0</v>
      </c>
      <c r="G228" s="9">
        <f t="shared" si="20"/>
        <v>0</v>
      </c>
      <c r="H228" s="9">
        <f t="shared" si="20"/>
        <v>0</v>
      </c>
      <c r="I228" s="9">
        <f t="shared" si="20"/>
        <v>0</v>
      </c>
      <c r="J228" s="63">
        <f t="shared" si="20"/>
        <v>-19353.599999999999</v>
      </c>
      <c r="K228" s="63">
        <f t="shared" si="20"/>
        <v>25804.800000000007</v>
      </c>
      <c r="L228" s="9">
        <f t="shared" si="20"/>
        <v>0</v>
      </c>
      <c r="M228" s="9">
        <f t="shared" si="20"/>
        <v>0</v>
      </c>
      <c r="N228" s="9">
        <f t="shared" si="20"/>
        <v>0</v>
      </c>
      <c r="O228" s="9">
        <f t="shared" si="20"/>
        <v>0</v>
      </c>
      <c r="P228" s="63">
        <f t="shared" si="20"/>
        <v>19353.599999999999</v>
      </c>
      <c r="Q228" s="63">
        <f t="shared" si="20"/>
        <v>-25804.800000000007</v>
      </c>
      <c r="R228" s="61" t="s">
        <v>187</v>
      </c>
    </row>
    <row r="229" spans="1:18" ht="19.05" customHeight="1" x14ac:dyDescent="0.3">
      <c r="B229" s="9">
        <f t="shared" ref="B229:Q234" si="21">IFERROR(INDEX($B$213:$E$216, MATCH($R229, $B$212:$E$212, 0), MATCH(B$218, $B$212:$E$212, 0)), 0)</f>
        <v>0</v>
      </c>
      <c r="C229" s="9">
        <f t="shared" si="21"/>
        <v>0</v>
      </c>
      <c r="D229" s="9">
        <f t="shared" si="21"/>
        <v>0</v>
      </c>
      <c r="E229" s="9">
        <f t="shared" si="21"/>
        <v>0</v>
      </c>
      <c r="F229" s="9">
        <f t="shared" si="21"/>
        <v>0</v>
      </c>
      <c r="G229" s="9">
        <f t="shared" si="21"/>
        <v>0</v>
      </c>
      <c r="H229" s="9">
        <f t="shared" si="21"/>
        <v>0</v>
      </c>
      <c r="I229" s="9">
        <f t="shared" si="21"/>
        <v>0</v>
      </c>
      <c r="J229" s="9">
        <f t="shared" si="21"/>
        <v>0</v>
      </c>
      <c r="K229" s="9">
        <f t="shared" si="21"/>
        <v>0</v>
      </c>
      <c r="L229" s="9">
        <f t="shared" si="21"/>
        <v>0</v>
      </c>
      <c r="M229" s="9">
        <f t="shared" si="21"/>
        <v>0</v>
      </c>
      <c r="N229" s="9">
        <f t="shared" si="21"/>
        <v>0</v>
      </c>
      <c r="O229" s="9">
        <f t="shared" si="21"/>
        <v>0</v>
      </c>
      <c r="P229" s="9">
        <f t="shared" si="21"/>
        <v>0</v>
      </c>
      <c r="Q229" s="9">
        <f t="shared" si="21"/>
        <v>0</v>
      </c>
      <c r="R229" s="61" t="s">
        <v>188</v>
      </c>
    </row>
    <row r="230" spans="1:18" ht="19.05" customHeight="1" x14ac:dyDescent="0.3">
      <c r="B230" s="9">
        <f t="shared" si="21"/>
        <v>0</v>
      </c>
      <c r="C230" s="9">
        <f t="shared" si="21"/>
        <v>0</v>
      </c>
      <c r="D230" s="9">
        <f t="shared" si="21"/>
        <v>0</v>
      </c>
      <c r="E230" s="9">
        <f t="shared" si="21"/>
        <v>0</v>
      </c>
      <c r="F230" s="9">
        <f t="shared" si="21"/>
        <v>0</v>
      </c>
      <c r="G230" s="9">
        <f t="shared" si="21"/>
        <v>0</v>
      </c>
      <c r="H230" s="9">
        <f t="shared" si="21"/>
        <v>0</v>
      </c>
      <c r="I230" s="9">
        <f t="shared" si="21"/>
        <v>0</v>
      </c>
      <c r="J230" s="9">
        <f t="shared" si="21"/>
        <v>0</v>
      </c>
      <c r="K230" s="9">
        <f t="shared" si="21"/>
        <v>0</v>
      </c>
      <c r="L230" s="9">
        <f t="shared" si="21"/>
        <v>0</v>
      </c>
      <c r="M230" s="9">
        <f t="shared" si="21"/>
        <v>0</v>
      </c>
      <c r="N230" s="9">
        <f t="shared" si="21"/>
        <v>0</v>
      </c>
      <c r="O230" s="9">
        <f t="shared" si="21"/>
        <v>0</v>
      </c>
      <c r="P230" s="9">
        <f t="shared" si="21"/>
        <v>0</v>
      </c>
      <c r="Q230" s="9">
        <f t="shared" si="21"/>
        <v>0</v>
      </c>
      <c r="R230" s="61" t="s">
        <v>189</v>
      </c>
    </row>
    <row r="231" spans="1:18" ht="19.05" customHeight="1" x14ac:dyDescent="0.3">
      <c r="B231" s="9">
        <f t="shared" si="21"/>
        <v>0</v>
      </c>
      <c r="C231" s="9">
        <f t="shared" si="21"/>
        <v>0</v>
      </c>
      <c r="D231" s="9">
        <f t="shared" si="21"/>
        <v>0</v>
      </c>
      <c r="E231" s="9">
        <f t="shared" si="21"/>
        <v>0</v>
      </c>
      <c r="F231" s="9">
        <f t="shared" si="21"/>
        <v>0</v>
      </c>
      <c r="G231" s="9">
        <f t="shared" si="21"/>
        <v>0</v>
      </c>
      <c r="H231" s="9">
        <f t="shared" si="21"/>
        <v>0</v>
      </c>
      <c r="I231" s="9">
        <f t="shared" si="21"/>
        <v>0</v>
      </c>
      <c r="J231" s="9">
        <f t="shared" si="21"/>
        <v>0</v>
      </c>
      <c r="K231" s="9">
        <f t="shared" si="21"/>
        <v>0</v>
      </c>
      <c r="L231" s="9">
        <f t="shared" si="21"/>
        <v>0</v>
      </c>
      <c r="M231" s="9">
        <f t="shared" si="21"/>
        <v>0</v>
      </c>
      <c r="N231" s="9">
        <f t="shared" si="21"/>
        <v>0</v>
      </c>
      <c r="O231" s="9">
        <f t="shared" si="21"/>
        <v>0</v>
      </c>
      <c r="P231" s="9">
        <f t="shared" si="21"/>
        <v>0</v>
      </c>
      <c r="Q231" s="9">
        <f t="shared" si="21"/>
        <v>0</v>
      </c>
      <c r="R231" s="61" t="s">
        <v>579</v>
      </c>
    </row>
    <row r="232" spans="1:18" ht="19.05" customHeight="1" x14ac:dyDescent="0.3">
      <c r="B232" s="9">
        <f t="shared" si="21"/>
        <v>0</v>
      </c>
      <c r="C232" s="9">
        <f t="shared" si="21"/>
        <v>0</v>
      </c>
      <c r="D232" s="9">
        <f t="shared" si="21"/>
        <v>0</v>
      </c>
      <c r="E232" s="9">
        <f t="shared" si="21"/>
        <v>0</v>
      </c>
      <c r="F232" s="9">
        <f t="shared" si="21"/>
        <v>0</v>
      </c>
      <c r="G232" s="9">
        <f t="shared" si="21"/>
        <v>0</v>
      </c>
      <c r="H232" s="9">
        <f t="shared" si="21"/>
        <v>0</v>
      </c>
      <c r="I232" s="9">
        <f t="shared" si="21"/>
        <v>0</v>
      </c>
      <c r="J232" s="9">
        <f t="shared" si="21"/>
        <v>0</v>
      </c>
      <c r="K232" s="9">
        <f t="shared" si="21"/>
        <v>0</v>
      </c>
      <c r="L232" s="9">
        <f t="shared" si="21"/>
        <v>0</v>
      </c>
      <c r="M232" s="9">
        <f t="shared" si="21"/>
        <v>0</v>
      </c>
      <c r="N232" s="9">
        <f t="shared" si="21"/>
        <v>0</v>
      </c>
      <c r="O232" s="9">
        <f t="shared" si="21"/>
        <v>0</v>
      </c>
      <c r="P232" s="9">
        <f t="shared" si="21"/>
        <v>0</v>
      </c>
      <c r="Q232" s="9">
        <f t="shared" si="21"/>
        <v>0</v>
      </c>
      <c r="R232" s="61" t="s">
        <v>580</v>
      </c>
    </row>
    <row r="233" spans="1:18" ht="19.05" customHeight="1" x14ac:dyDescent="0.3">
      <c r="B233" s="9">
        <f t="shared" si="21"/>
        <v>0</v>
      </c>
      <c r="C233" s="9">
        <f t="shared" si="21"/>
        <v>0</v>
      </c>
      <c r="D233" s="9">
        <f t="shared" si="21"/>
        <v>0</v>
      </c>
      <c r="E233" s="9">
        <f t="shared" si="21"/>
        <v>0</v>
      </c>
      <c r="F233" s="9">
        <f t="shared" si="21"/>
        <v>0</v>
      </c>
      <c r="G233" s="9">
        <f t="shared" si="21"/>
        <v>0</v>
      </c>
      <c r="H233" s="9">
        <f t="shared" si="21"/>
        <v>0</v>
      </c>
      <c r="I233" s="9">
        <f t="shared" si="21"/>
        <v>0</v>
      </c>
      <c r="J233" s="63">
        <f t="shared" si="21"/>
        <v>-14515.199999999999</v>
      </c>
      <c r="K233" s="63">
        <f t="shared" si="21"/>
        <v>19353.599999999999</v>
      </c>
      <c r="L233" s="9">
        <f t="shared" si="21"/>
        <v>0</v>
      </c>
      <c r="M233" s="9">
        <f t="shared" si="21"/>
        <v>0</v>
      </c>
      <c r="N233" s="9">
        <f t="shared" si="21"/>
        <v>0</v>
      </c>
      <c r="O233" s="9">
        <f t="shared" si="21"/>
        <v>0</v>
      </c>
      <c r="P233" s="63">
        <f t="shared" si="21"/>
        <v>14515.199999999999</v>
      </c>
      <c r="Q233" s="63">
        <f t="shared" si="21"/>
        <v>-19353.599999999999</v>
      </c>
      <c r="R233" s="61" t="s">
        <v>601</v>
      </c>
    </row>
    <row r="234" spans="1:18" ht="19.05" customHeight="1" x14ac:dyDescent="0.3">
      <c r="B234" s="9">
        <f t="shared" si="21"/>
        <v>0</v>
      </c>
      <c r="C234" s="9">
        <f t="shared" si="21"/>
        <v>0</v>
      </c>
      <c r="D234" s="9">
        <f t="shared" si="21"/>
        <v>0</v>
      </c>
      <c r="E234" s="9">
        <f t="shared" si="21"/>
        <v>0</v>
      </c>
      <c r="F234" s="9">
        <f t="shared" si="21"/>
        <v>0</v>
      </c>
      <c r="G234" s="9">
        <f t="shared" si="21"/>
        <v>0</v>
      </c>
      <c r="H234" s="9">
        <f t="shared" si="21"/>
        <v>0</v>
      </c>
      <c r="I234" s="9">
        <f t="shared" si="21"/>
        <v>0</v>
      </c>
      <c r="J234" s="63">
        <f t="shared" si="21"/>
        <v>19353.599999999999</v>
      </c>
      <c r="K234" s="63">
        <f t="shared" si="21"/>
        <v>-25804.800000000007</v>
      </c>
      <c r="L234" s="9">
        <f t="shared" si="21"/>
        <v>0</v>
      </c>
      <c r="M234" s="9">
        <f t="shared" si="21"/>
        <v>0</v>
      </c>
      <c r="N234" s="9">
        <f t="shared" si="21"/>
        <v>0</v>
      </c>
      <c r="O234" s="9">
        <f t="shared" si="21"/>
        <v>0</v>
      </c>
      <c r="P234" s="63">
        <f t="shared" si="21"/>
        <v>-19353.599999999999</v>
      </c>
      <c r="Q234" s="63">
        <f t="shared" si="21"/>
        <v>25804.800000000007</v>
      </c>
      <c r="R234" s="61" t="s">
        <v>602</v>
      </c>
    </row>
    <row r="237" spans="1:18" ht="18" customHeight="1" x14ac:dyDescent="0.3">
      <c r="B237" s="64" t="str">
        <f>CONCATENATE("U",C30,C$21)</f>
        <v>U6X</v>
      </c>
      <c r="C237" s="64" t="str">
        <f>CONCATENATE("U",D30,D$21)</f>
        <v>U6Y</v>
      </c>
      <c r="D237" s="64" t="str">
        <f>CONCATENATE("U",E30,E$21)</f>
        <v>U2X</v>
      </c>
      <c r="E237" s="64" t="str">
        <f>CONCATENATE("U",F30,F$21)</f>
        <v>U2Y</v>
      </c>
    </row>
    <row r="238" spans="1:18" x14ac:dyDescent="0.3">
      <c r="B238" s="65">
        <f>J14*J14*N14</f>
        <v>0</v>
      </c>
      <c r="C238" s="65">
        <f>J14*K14*N14</f>
        <v>0</v>
      </c>
      <c r="D238" s="65">
        <f>-B238</f>
        <v>0</v>
      </c>
      <c r="E238" s="65">
        <f>-C238</f>
        <v>0</v>
      </c>
      <c r="F238" s="64" t="str">
        <f>B237</f>
        <v>U6X</v>
      </c>
    </row>
    <row r="239" spans="1:18" ht="16.8" customHeight="1" x14ac:dyDescent="0.3">
      <c r="A239" s="28" t="s">
        <v>528</v>
      </c>
      <c r="B239" s="65">
        <f>C238</f>
        <v>0</v>
      </c>
      <c r="C239" s="65">
        <f>K14*K14*N14</f>
        <v>50400</v>
      </c>
      <c r="D239" s="65">
        <f>-B239</f>
        <v>0</v>
      </c>
      <c r="E239" s="65">
        <f>-C239</f>
        <v>-50400</v>
      </c>
      <c r="F239" s="64" t="str">
        <f>C237</f>
        <v>U6Y</v>
      </c>
    </row>
    <row r="240" spans="1:18" x14ac:dyDescent="0.3">
      <c r="B240" s="65">
        <f>D238</f>
        <v>0</v>
      </c>
      <c r="C240" s="65">
        <f>E238</f>
        <v>0</v>
      </c>
      <c r="D240" s="65">
        <f>B238</f>
        <v>0</v>
      </c>
      <c r="E240" s="65">
        <f>C238</f>
        <v>0</v>
      </c>
      <c r="F240" s="64" t="str">
        <f>D237</f>
        <v>U2X</v>
      </c>
    </row>
    <row r="241" spans="1:18" x14ac:dyDescent="0.3">
      <c r="B241" s="65">
        <f>D239</f>
        <v>0</v>
      </c>
      <c r="C241" s="65">
        <f>E239</f>
        <v>-50400</v>
      </c>
      <c r="D241" s="65">
        <f>B239</f>
        <v>0</v>
      </c>
      <c r="E241" s="65">
        <f>C239</f>
        <v>50400</v>
      </c>
      <c r="F241" s="64" t="str">
        <f>E237</f>
        <v>U2Y</v>
      </c>
    </row>
    <row r="243" spans="1:18" ht="18" customHeight="1" x14ac:dyDescent="0.3">
      <c r="B243" s="64" t="s">
        <v>178</v>
      </c>
      <c r="C243" s="64" t="s">
        <v>179</v>
      </c>
      <c r="D243" s="64" t="s">
        <v>180</v>
      </c>
      <c r="E243" s="64" t="s">
        <v>181</v>
      </c>
      <c r="F243" s="64" t="s">
        <v>182</v>
      </c>
      <c r="G243" s="64" t="s">
        <v>183</v>
      </c>
      <c r="H243" s="64" t="s">
        <v>184</v>
      </c>
      <c r="I243" s="64" t="s">
        <v>185</v>
      </c>
      <c r="J243" s="64" t="s">
        <v>186</v>
      </c>
      <c r="K243" s="64" t="s">
        <v>187</v>
      </c>
      <c r="L243" s="64" t="s">
        <v>188</v>
      </c>
      <c r="M243" s="64" t="s">
        <v>189</v>
      </c>
      <c r="N243" s="64" t="s">
        <v>579</v>
      </c>
      <c r="O243" s="64" t="s">
        <v>580</v>
      </c>
      <c r="P243" s="64" t="s">
        <v>601</v>
      </c>
      <c r="Q243" s="64" t="s">
        <v>602</v>
      </c>
    </row>
    <row r="244" spans="1:18" ht="19.05" customHeight="1" x14ac:dyDescent="0.3">
      <c r="B244" s="9">
        <f t="shared" ref="B244:Q253" si="22">IFERROR(INDEX($B$238:$E$241, MATCH($R244, $B$237:$E$237, 0), MATCH(B$243, $B$237:$E$237, 0)), 0)</f>
        <v>0</v>
      </c>
      <c r="C244" s="9">
        <f t="shared" si="22"/>
        <v>0</v>
      </c>
      <c r="D244" s="9">
        <f t="shared" si="22"/>
        <v>0</v>
      </c>
      <c r="E244" s="9">
        <f t="shared" si="22"/>
        <v>0</v>
      </c>
      <c r="F244" s="9">
        <f t="shared" si="22"/>
        <v>0</v>
      </c>
      <c r="G244" s="9">
        <f t="shared" si="22"/>
        <v>0</v>
      </c>
      <c r="H244" s="9">
        <f t="shared" si="22"/>
        <v>0</v>
      </c>
      <c r="I244" s="9">
        <f t="shared" si="22"/>
        <v>0</v>
      </c>
      <c r="J244" s="9">
        <f t="shared" si="22"/>
        <v>0</v>
      </c>
      <c r="K244" s="9">
        <f t="shared" si="22"/>
        <v>0</v>
      </c>
      <c r="L244" s="9">
        <f t="shared" si="22"/>
        <v>0</v>
      </c>
      <c r="M244" s="9">
        <f t="shared" si="22"/>
        <v>0</v>
      </c>
      <c r="N244" s="9">
        <f t="shared" si="22"/>
        <v>0</v>
      </c>
      <c r="O244" s="9">
        <f t="shared" si="22"/>
        <v>0</v>
      </c>
      <c r="P244" s="9">
        <f t="shared" si="22"/>
        <v>0</v>
      </c>
      <c r="Q244" s="9">
        <f t="shared" si="22"/>
        <v>0</v>
      </c>
      <c r="R244" s="64" t="s">
        <v>178</v>
      </c>
    </row>
    <row r="245" spans="1:18" ht="19.05" customHeight="1" x14ac:dyDescent="0.3">
      <c r="B245" s="9">
        <f t="shared" si="22"/>
        <v>0</v>
      </c>
      <c r="C245" s="9">
        <f t="shared" si="22"/>
        <v>0</v>
      </c>
      <c r="D245" s="9">
        <f t="shared" si="22"/>
        <v>0</v>
      </c>
      <c r="E245" s="9">
        <f t="shared" si="22"/>
        <v>0</v>
      </c>
      <c r="F245" s="9">
        <f t="shared" si="22"/>
        <v>0</v>
      </c>
      <c r="G245" s="9">
        <f t="shared" si="22"/>
        <v>0</v>
      </c>
      <c r="H245" s="9">
        <f t="shared" si="22"/>
        <v>0</v>
      </c>
      <c r="I245" s="9">
        <f t="shared" si="22"/>
        <v>0</v>
      </c>
      <c r="J245" s="9">
        <f t="shared" si="22"/>
        <v>0</v>
      </c>
      <c r="K245" s="9">
        <f t="shared" si="22"/>
        <v>0</v>
      </c>
      <c r="L245" s="9">
        <f t="shared" si="22"/>
        <v>0</v>
      </c>
      <c r="M245" s="9">
        <f t="shared" si="22"/>
        <v>0</v>
      </c>
      <c r="N245" s="9">
        <f t="shared" si="22"/>
        <v>0</v>
      </c>
      <c r="O245" s="9">
        <f t="shared" si="22"/>
        <v>0</v>
      </c>
      <c r="P245" s="9">
        <f t="shared" si="22"/>
        <v>0</v>
      </c>
      <c r="Q245" s="9">
        <f t="shared" si="22"/>
        <v>0</v>
      </c>
      <c r="R245" s="64" t="s">
        <v>179</v>
      </c>
    </row>
    <row r="246" spans="1:18" ht="19.05" customHeight="1" x14ac:dyDescent="0.3">
      <c r="B246" s="9">
        <f t="shared" si="22"/>
        <v>0</v>
      </c>
      <c r="C246" s="9">
        <f t="shared" si="22"/>
        <v>0</v>
      </c>
      <c r="D246" s="66">
        <f t="shared" si="22"/>
        <v>0</v>
      </c>
      <c r="E246" s="66">
        <f t="shared" si="22"/>
        <v>0</v>
      </c>
      <c r="F246" s="9">
        <f t="shared" si="22"/>
        <v>0</v>
      </c>
      <c r="G246" s="9">
        <f t="shared" si="22"/>
        <v>0</v>
      </c>
      <c r="H246" s="9">
        <f t="shared" si="22"/>
        <v>0</v>
      </c>
      <c r="I246" s="9">
        <f t="shared" si="22"/>
        <v>0</v>
      </c>
      <c r="J246" s="9">
        <f t="shared" si="22"/>
        <v>0</v>
      </c>
      <c r="K246" s="9">
        <f t="shared" si="22"/>
        <v>0</v>
      </c>
      <c r="L246" s="66">
        <f t="shared" si="22"/>
        <v>0</v>
      </c>
      <c r="M246" s="66">
        <f t="shared" si="22"/>
        <v>0</v>
      </c>
      <c r="N246" s="9">
        <f t="shared" si="22"/>
        <v>0</v>
      </c>
      <c r="O246" s="9">
        <f t="shared" si="22"/>
        <v>0</v>
      </c>
      <c r="P246" s="9">
        <f t="shared" si="22"/>
        <v>0</v>
      </c>
      <c r="Q246" s="9">
        <f t="shared" si="22"/>
        <v>0</v>
      </c>
      <c r="R246" s="64" t="s">
        <v>180</v>
      </c>
    </row>
    <row r="247" spans="1:18" ht="19.05" customHeight="1" x14ac:dyDescent="0.3">
      <c r="B247" s="9">
        <f t="shared" si="22"/>
        <v>0</v>
      </c>
      <c r="C247" s="9">
        <f t="shared" si="22"/>
        <v>0</v>
      </c>
      <c r="D247" s="66">
        <f t="shared" si="22"/>
        <v>0</v>
      </c>
      <c r="E247" s="66">
        <f t="shared" si="22"/>
        <v>50400</v>
      </c>
      <c r="F247" s="9">
        <f t="shared" si="22"/>
        <v>0</v>
      </c>
      <c r="G247" s="9">
        <f t="shared" si="22"/>
        <v>0</v>
      </c>
      <c r="H247" s="9">
        <f t="shared" si="22"/>
        <v>0</v>
      </c>
      <c r="I247" s="9">
        <f t="shared" si="22"/>
        <v>0</v>
      </c>
      <c r="J247" s="9">
        <f t="shared" si="22"/>
        <v>0</v>
      </c>
      <c r="K247" s="9">
        <f t="shared" si="22"/>
        <v>0</v>
      </c>
      <c r="L247" s="66">
        <f t="shared" si="22"/>
        <v>0</v>
      </c>
      <c r="M247" s="66">
        <f t="shared" si="22"/>
        <v>-50400</v>
      </c>
      <c r="N247" s="9">
        <f t="shared" si="22"/>
        <v>0</v>
      </c>
      <c r="O247" s="9">
        <f t="shared" si="22"/>
        <v>0</v>
      </c>
      <c r="P247" s="9">
        <f t="shared" si="22"/>
        <v>0</v>
      </c>
      <c r="Q247" s="9">
        <f t="shared" si="22"/>
        <v>0</v>
      </c>
      <c r="R247" s="64" t="s">
        <v>181</v>
      </c>
    </row>
    <row r="248" spans="1:18" ht="19.05" customHeight="1" x14ac:dyDescent="0.3">
      <c r="B248" s="9">
        <f t="shared" si="22"/>
        <v>0</v>
      </c>
      <c r="C248" s="9">
        <f t="shared" si="22"/>
        <v>0</v>
      </c>
      <c r="D248" s="9">
        <f t="shared" si="22"/>
        <v>0</v>
      </c>
      <c r="E248" s="9">
        <f t="shared" si="22"/>
        <v>0</v>
      </c>
      <c r="F248" s="9">
        <f t="shared" si="22"/>
        <v>0</v>
      </c>
      <c r="G248" s="9">
        <f t="shared" si="22"/>
        <v>0</v>
      </c>
      <c r="H248" s="9">
        <f t="shared" si="22"/>
        <v>0</v>
      </c>
      <c r="I248" s="9">
        <f t="shared" si="22"/>
        <v>0</v>
      </c>
      <c r="J248" s="9">
        <f t="shared" si="22"/>
        <v>0</v>
      </c>
      <c r="K248" s="9">
        <f t="shared" si="22"/>
        <v>0</v>
      </c>
      <c r="L248" s="9">
        <f t="shared" si="22"/>
        <v>0</v>
      </c>
      <c r="M248" s="9">
        <f t="shared" si="22"/>
        <v>0</v>
      </c>
      <c r="N248" s="9">
        <f t="shared" si="22"/>
        <v>0</v>
      </c>
      <c r="O248" s="9">
        <f t="shared" si="22"/>
        <v>0</v>
      </c>
      <c r="P248" s="9">
        <f t="shared" si="22"/>
        <v>0</v>
      </c>
      <c r="Q248" s="9">
        <f t="shared" si="22"/>
        <v>0</v>
      </c>
      <c r="R248" s="64" t="s">
        <v>182</v>
      </c>
    </row>
    <row r="249" spans="1:18" ht="19.05" customHeight="1" x14ac:dyDescent="0.3">
      <c r="B249" s="9">
        <f t="shared" si="22"/>
        <v>0</v>
      </c>
      <c r="C249" s="9">
        <f t="shared" si="22"/>
        <v>0</v>
      </c>
      <c r="D249" s="9">
        <f t="shared" si="22"/>
        <v>0</v>
      </c>
      <c r="E249" s="9">
        <f t="shared" si="22"/>
        <v>0</v>
      </c>
      <c r="F249" s="9">
        <f t="shared" si="22"/>
        <v>0</v>
      </c>
      <c r="G249" s="9">
        <f t="shared" si="22"/>
        <v>0</v>
      </c>
      <c r="H249" s="9">
        <f t="shared" si="22"/>
        <v>0</v>
      </c>
      <c r="I249" s="9">
        <f t="shared" si="22"/>
        <v>0</v>
      </c>
      <c r="J249" s="9">
        <f t="shared" si="22"/>
        <v>0</v>
      </c>
      <c r="K249" s="9">
        <f t="shared" si="22"/>
        <v>0</v>
      </c>
      <c r="L249" s="9">
        <f t="shared" si="22"/>
        <v>0</v>
      </c>
      <c r="M249" s="9">
        <f t="shared" si="22"/>
        <v>0</v>
      </c>
      <c r="N249" s="9">
        <f t="shared" si="22"/>
        <v>0</v>
      </c>
      <c r="O249" s="9">
        <f t="shared" si="22"/>
        <v>0</v>
      </c>
      <c r="P249" s="9">
        <f t="shared" si="22"/>
        <v>0</v>
      </c>
      <c r="Q249" s="9">
        <f t="shared" si="22"/>
        <v>0</v>
      </c>
      <c r="R249" s="64" t="s">
        <v>183</v>
      </c>
    </row>
    <row r="250" spans="1:18" ht="19.05" customHeight="1" x14ac:dyDescent="0.3">
      <c r="B250" s="9">
        <f t="shared" si="22"/>
        <v>0</v>
      </c>
      <c r="C250" s="9">
        <f t="shared" si="22"/>
        <v>0</v>
      </c>
      <c r="D250" s="9">
        <f t="shared" si="22"/>
        <v>0</v>
      </c>
      <c r="E250" s="9">
        <f t="shared" si="22"/>
        <v>0</v>
      </c>
      <c r="F250" s="9">
        <f t="shared" si="22"/>
        <v>0</v>
      </c>
      <c r="G250" s="9">
        <f t="shared" si="22"/>
        <v>0</v>
      </c>
      <c r="H250" s="9">
        <f t="shared" si="22"/>
        <v>0</v>
      </c>
      <c r="I250" s="9">
        <f t="shared" si="22"/>
        <v>0</v>
      </c>
      <c r="J250" s="9">
        <f t="shared" si="22"/>
        <v>0</v>
      </c>
      <c r="K250" s="9">
        <f t="shared" si="22"/>
        <v>0</v>
      </c>
      <c r="L250" s="9">
        <f t="shared" si="22"/>
        <v>0</v>
      </c>
      <c r="M250" s="9">
        <f t="shared" si="22"/>
        <v>0</v>
      </c>
      <c r="N250" s="9">
        <f t="shared" si="22"/>
        <v>0</v>
      </c>
      <c r="O250" s="9">
        <f t="shared" si="22"/>
        <v>0</v>
      </c>
      <c r="P250" s="9">
        <f t="shared" si="22"/>
        <v>0</v>
      </c>
      <c r="Q250" s="9">
        <f t="shared" si="22"/>
        <v>0</v>
      </c>
      <c r="R250" s="64" t="s">
        <v>184</v>
      </c>
    </row>
    <row r="251" spans="1:18" ht="19.05" customHeight="1" x14ac:dyDescent="0.3">
      <c r="A251" s="28" t="s">
        <v>529</v>
      </c>
      <c r="B251" s="9">
        <f t="shared" si="22"/>
        <v>0</v>
      </c>
      <c r="C251" s="9">
        <f t="shared" si="22"/>
        <v>0</v>
      </c>
      <c r="D251" s="9">
        <f t="shared" si="22"/>
        <v>0</v>
      </c>
      <c r="E251" s="9">
        <f t="shared" si="22"/>
        <v>0</v>
      </c>
      <c r="F251" s="9">
        <f t="shared" si="22"/>
        <v>0</v>
      </c>
      <c r="G251" s="9">
        <f t="shared" si="22"/>
        <v>0</v>
      </c>
      <c r="H251" s="9">
        <f t="shared" si="22"/>
        <v>0</v>
      </c>
      <c r="I251" s="9">
        <f t="shared" si="22"/>
        <v>0</v>
      </c>
      <c r="J251" s="9">
        <f t="shared" si="22"/>
        <v>0</v>
      </c>
      <c r="K251" s="9">
        <f t="shared" si="22"/>
        <v>0</v>
      </c>
      <c r="L251" s="9">
        <f t="shared" si="22"/>
        <v>0</v>
      </c>
      <c r="M251" s="9">
        <f t="shared" si="22"/>
        <v>0</v>
      </c>
      <c r="N251" s="9">
        <f t="shared" si="22"/>
        <v>0</v>
      </c>
      <c r="O251" s="9">
        <f t="shared" si="22"/>
        <v>0</v>
      </c>
      <c r="P251" s="9">
        <f t="shared" si="22"/>
        <v>0</v>
      </c>
      <c r="Q251" s="9">
        <f t="shared" si="22"/>
        <v>0</v>
      </c>
      <c r="R251" s="64" t="s">
        <v>185</v>
      </c>
    </row>
    <row r="252" spans="1:18" ht="19.05" customHeight="1" x14ac:dyDescent="0.3">
      <c r="B252" s="9">
        <f t="shared" si="22"/>
        <v>0</v>
      </c>
      <c r="C252" s="9">
        <f t="shared" si="22"/>
        <v>0</v>
      </c>
      <c r="D252" s="9">
        <f t="shared" si="22"/>
        <v>0</v>
      </c>
      <c r="E252" s="9">
        <f t="shared" si="22"/>
        <v>0</v>
      </c>
      <c r="F252" s="9">
        <f t="shared" si="22"/>
        <v>0</v>
      </c>
      <c r="G252" s="9">
        <f t="shared" si="22"/>
        <v>0</v>
      </c>
      <c r="H252" s="9">
        <f t="shared" si="22"/>
        <v>0</v>
      </c>
      <c r="I252" s="9">
        <f t="shared" si="22"/>
        <v>0</v>
      </c>
      <c r="J252" s="9">
        <f t="shared" si="22"/>
        <v>0</v>
      </c>
      <c r="K252" s="9">
        <f t="shared" si="22"/>
        <v>0</v>
      </c>
      <c r="L252" s="9">
        <f t="shared" si="22"/>
        <v>0</v>
      </c>
      <c r="M252" s="9">
        <f t="shared" si="22"/>
        <v>0</v>
      </c>
      <c r="N252" s="9">
        <f t="shared" si="22"/>
        <v>0</v>
      </c>
      <c r="O252" s="9">
        <f t="shared" si="22"/>
        <v>0</v>
      </c>
      <c r="P252" s="9">
        <f t="shared" si="22"/>
        <v>0</v>
      </c>
      <c r="Q252" s="9">
        <f t="shared" si="22"/>
        <v>0</v>
      </c>
      <c r="R252" s="64" t="s">
        <v>186</v>
      </c>
    </row>
    <row r="253" spans="1:18" ht="19.05" customHeight="1" x14ac:dyDescent="0.3">
      <c r="B253" s="9">
        <f t="shared" si="22"/>
        <v>0</v>
      </c>
      <c r="C253" s="9">
        <f t="shared" si="22"/>
        <v>0</v>
      </c>
      <c r="D253" s="9">
        <f t="shared" si="22"/>
        <v>0</v>
      </c>
      <c r="E253" s="9">
        <f t="shared" si="22"/>
        <v>0</v>
      </c>
      <c r="F253" s="9">
        <f t="shared" si="22"/>
        <v>0</v>
      </c>
      <c r="G253" s="9">
        <f t="shared" si="22"/>
        <v>0</v>
      </c>
      <c r="H253" s="9">
        <f t="shared" si="22"/>
        <v>0</v>
      </c>
      <c r="I253" s="9">
        <f t="shared" si="22"/>
        <v>0</v>
      </c>
      <c r="J253" s="9">
        <f t="shared" si="22"/>
        <v>0</v>
      </c>
      <c r="K253" s="9">
        <f t="shared" si="22"/>
        <v>0</v>
      </c>
      <c r="L253" s="9">
        <f t="shared" si="22"/>
        <v>0</v>
      </c>
      <c r="M253" s="9">
        <f t="shared" si="22"/>
        <v>0</v>
      </c>
      <c r="N253" s="9">
        <f t="shared" si="22"/>
        <v>0</v>
      </c>
      <c r="O253" s="9">
        <f t="shared" si="22"/>
        <v>0</v>
      </c>
      <c r="P253" s="9">
        <f t="shared" si="22"/>
        <v>0</v>
      </c>
      <c r="Q253" s="9">
        <f t="shared" si="22"/>
        <v>0</v>
      </c>
      <c r="R253" s="64" t="s">
        <v>187</v>
      </c>
    </row>
    <row r="254" spans="1:18" ht="19.05" customHeight="1" x14ac:dyDescent="0.3">
      <c r="B254" s="9">
        <f t="shared" ref="B254:Q259" si="23">IFERROR(INDEX($B$238:$E$241, MATCH($R254, $B$237:$E$237, 0), MATCH(B$243, $B$237:$E$237, 0)), 0)</f>
        <v>0</v>
      </c>
      <c r="C254" s="9">
        <f t="shared" si="23"/>
        <v>0</v>
      </c>
      <c r="D254" s="66">
        <f t="shared" si="23"/>
        <v>0</v>
      </c>
      <c r="E254" s="66">
        <f t="shared" si="23"/>
        <v>0</v>
      </c>
      <c r="F254" s="9">
        <f t="shared" si="23"/>
        <v>0</v>
      </c>
      <c r="G254" s="9">
        <f t="shared" si="23"/>
        <v>0</v>
      </c>
      <c r="H254" s="9">
        <f t="shared" si="23"/>
        <v>0</v>
      </c>
      <c r="I254" s="9">
        <f t="shared" si="23"/>
        <v>0</v>
      </c>
      <c r="J254" s="9">
        <f t="shared" si="23"/>
        <v>0</v>
      </c>
      <c r="K254" s="9">
        <f t="shared" si="23"/>
        <v>0</v>
      </c>
      <c r="L254" s="66">
        <f t="shared" si="23"/>
        <v>0</v>
      </c>
      <c r="M254" s="66">
        <f t="shared" si="23"/>
        <v>0</v>
      </c>
      <c r="N254" s="9">
        <f t="shared" si="23"/>
        <v>0</v>
      </c>
      <c r="O254" s="9">
        <f t="shared" si="23"/>
        <v>0</v>
      </c>
      <c r="P254" s="9">
        <f t="shared" si="23"/>
        <v>0</v>
      </c>
      <c r="Q254" s="9">
        <f t="shared" si="23"/>
        <v>0</v>
      </c>
      <c r="R254" s="64" t="s">
        <v>188</v>
      </c>
    </row>
    <row r="255" spans="1:18" ht="19.05" customHeight="1" x14ac:dyDescent="0.3">
      <c r="B255" s="9">
        <f t="shared" si="23"/>
        <v>0</v>
      </c>
      <c r="C255" s="9">
        <f t="shared" si="23"/>
        <v>0</v>
      </c>
      <c r="D255" s="66">
        <f t="shared" si="23"/>
        <v>0</v>
      </c>
      <c r="E255" s="66">
        <f t="shared" si="23"/>
        <v>-50400</v>
      </c>
      <c r="F255" s="9">
        <f t="shared" si="23"/>
        <v>0</v>
      </c>
      <c r="G255" s="9">
        <f t="shared" si="23"/>
        <v>0</v>
      </c>
      <c r="H255" s="9">
        <f t="shared" si="23"/>
        <v>0</v>
      </c>
      <c r="I255" s="9">
        <f t="shared" si="23"/>
        <v>0</v>
      </c>
      <c r="J255" s="9">
        <f t="shared" si="23"/>
        <v>0</v>
      </c>
      <c r="K255" s="9">
        <f t="shared" si="23"/>
        <v>0</v>
      </c>
      <c r="L255" s="66">
        <f t="shared" si="23"/>
        <v>0</v>
      </c>
      <c r="M255" s="66">
        <f t="shared" si="23"/>
        <v>50400</v>
      </c>
      <c r="N255" s="9">
        <f t="shared" si="23"/>
        <v>0</v>
      </c>
      <c r="O255" s="9">
        <f t="shared" si="23"/>
        <v>0</v>
      </c>
      <c r="P255" s="9">
        <f t="shared" si="23"/>
        <v>0</v>
      </c>
      <c r="Q255" s="9">
        <f t="shared" si="23"/>
        <v>0</v>
      </c>
      <c r="R255" s="64" t="s">
        <v>189</v>
      </c>
    </row>
    <row r="256" spans="1:18" ht="19.05" customHeight="1" x14ac:dyDescent="0.3">
      <c r="B256" s="9">
        <f t="shared" si="23"/>
        <v>0</v>
      </c>
      <c r="C256" s="9">
        <f t="shared" si="23"/>
        <v>0</v>
      </c>
      <c r="D256" s="9">
        <f t="shared" si="23"/>
        <v>0</v>
      </c>
      <c r="E256" s="9">
        <f t="shared" si="23"/>
        <v>0</v>
      </c>
      <c r="F256" s="9">
        <f t="shared" si="23"/>
        <v>0</v>
      </c>
      <c r="G256" s="9">
        <f t="shared" si="23"/>
        <v>0</v>
      </c>
      <c r="H256" s="9">
        <f t="shared" si="23"/>
        <v>0</v>
      </c>
      <c r="I256" s="9">
        <f t="shared" si="23"/>
        <v>0</v>
      </c>
      <c r="J256" s="9">
        <f t="shared" si="23"/>
        <v>0</v>
      </c>
      <c r="K256" s="9">
        <f t="shared" si="23"/>
        <v>0</v>
      </c>
      <c r="L256" s="9">
        <f t="shared" si="23"/>
        <v>0</v>
      </c>
      <c r="M256" s="9">
        <f t="shared" si="23"/>
        <v>0</v>
      </c>
      <c r="N256" s="9">
        <f t="shared" si="23"/>
        <v>0</v>
      </c>
      <c r="O256" s="9">
        <f t="shared" si="23"/>
        <v>0</v>
      </c>
      <c r="P256" s="9">
        <f t="shared" si="23"/>
        <v>0</v>
      </c>
      <c r="Q256" s="9">
        <f t="shared" si="23"/>
        <v>0</v>
      </c>
      <c r="R256" s="64" t="s">
        <v>579</v>
      </c>
    </row>
    <row r="257" spans="1:18" ht="19.05" customHeight="1" x14ac:dyDescent="0.3">
      <c r="B257" s="9">
        <f t="shared" si="23"/>
        <v>0</v>
      </c>
      <c r="C257" s="9">
        <f t="shared" si="23"/>
        <v>0</v>
      </c>
      <c r="D257" s="9">
        <f t="shared" si="23"/>
        <v>0</v>
      </c>
      <c r="E257" s="9">
        <f t="shared" si="23"/>
        <v>0</v>
      </c>
      <c r="F257" s="9">
        <f t="shared" si="23"/>
        <v>0</v>
      </c>
      <c r="G257" s="9">
        <f t="shared" si="23"/>
        <v>0</v>
      </c>
      <c r="H257" s="9">
        <f t="shared" si="23"/>
        <v>0</v>
      </c>
      <c r="I257" s="9">
        <f t="shared" si="23"/>
        <v>0</v>
      </c>
      <c r="J257" s="9">
        <f t="shared" si="23"/>
        <v>0</v>
      </c>
      <c r="K257" s="9">
        <f t="shared" si="23"/>
        <v>0</v>
      </c>
      <c r="L257" s="9">
        <f t="shared" si="23"/>
        <v>0</v>
      </c>
      <c r="M257" s="9">
        <f t="shared" si="23"/>
        <v>0</v>
      </c>
      <c r="N257" s="9">
        <f t="shared" si="23"/>
        <v>0</v>
      </c>
      <c r="O257" s="9">
        <f t="shared" si="23"/>
        <v>0</v>
      </c>
      <c r="P257" s="9">
        <f t="shared" si="23"/>
        <v>0</v>
      </c>
      <c r="Q257" s="9">
        <f t="shared" si="23"/>
        <v>0</v>
      </c>
      <c r="R257" s="64" t="s">
        <v>580</v>
      </c>
    </row>
    <row r="258" spans="1:18" ht="19.05" customHeight="1" x14ac:dyDescent="0.3">
      <c r="B258" s="9">
        <f t="shared" si="23"/>
        <v>0</v>
      </c>
      <c r="C258" s="9">
        <f t="shared" si="23"/>
        <v>0</v>
      </c>
      <c r="D258" s="9">
        <f t="shared" si="23"/>
        <v>0</v>
      </c>
      <c r="E258" s="9">
        <f t="shared" si="23"/>
        <v>0</v>
      </c>
      <c r="F258" s="9">
        <f t="shared" si="23"/>
        <v>0</v>
      </c>
      <c r="G258" s="9">
        <f t="shared" si="23"/>
        <v>0</v>
      </c>
      <c r="H258" s="9">
        <f t="shared" si="23"/>
        <v>0</v>
      </c>
      <c r="I258" s="9">
        <f t="shared" si="23"/>
        <v>0</v>
      </c>
      <c r="J258" s="9">
        <f t="shared" si="23"/>
        <v>0</v>
      </c>
      <c r="K258" s="9">
        <f t="shared" si="23"/>
        <v>0</v>
      </c>
      <c r="L258" s="9">
        <f t="shared" si="23"/>
        <v>0</v>
      </c>
      <c r="M258" s="9">
        <f t="shared" si="23"/>
        <v>0</v>
      </c>
      <c r="N258" s="9">
        <f t="shared" si="23"/>
        <v>0</v>
      </c>
      <c r="O258" s="9">
        <f t="shared" si="23"/>
        <v>0</v>
      </c>
      <c r="P258" s="9">
        <f t="shared" si="23"/>
        <v>0</v>
      </c>
      <c r="Q258" s="9">
        <f t="shared" si="23"/>
        <v>0</v>
      </c>
      <c r="R258" s="64" t="s">
        <v>601</v>
      </c>
    </row>
    <row r="259" spans="1:18" ht="19.05" customHeight="1" x14ac:dyDescent="0.3">
      <c r="B259" s="9">
        <f t="shared" si="23"/>
        <v>0</v>
      </c>
      <c r="C259" s="9">
        <f t="shared" si="23"/>
        <v>0</v>
      </c>
      <c r="D259" s="9">
        <f t="shared" si="23"/>
        <v>0</v>
      </c>
      <c r="E259" s="9">
        <f t="shared" si="23"/>
        <v>0</v>
      </c>
      <c r="F259" s="9">
        <f t="shared" si="23"/>
        <v>0</v>
      </c>
      <c r="G259" s="9">
        <f t="shared" si="23"/>
        <v>0</v>
      </c>
      <c r="H259" s="9">
        <f t="shared" si="23"/>
        <v>0</v>
      </c>
      <c r="I259" s="9">
        <f t="shared" si="23"/>
        <v>0</v>
      </c>
      <c r="J259" s="9">
        <f t="shared" si="23"/>
        <v>0</v>
      </c>
      <c r="K259" s="9">
        <f t="shared" si="23"/>
        <v>0</v>
      </c>
      <c r="L259" s="9">
        <f t="shared" si="23"/>
        <v>0</v>
      </c>
      <c r="M259" s="9">
        <f t="shared" si="23"/>
        <v>0</v>
      </c>
      <c r="N259" s="9">
        <f t="shared" si="23"/>
        <v>0</v>
      </c>
      <c r="O259" s="9">
        <f t="shared" si="23"/>
        <v>0</v>
      </c>
      <c r="P259" s="9">
        <f t="shared" si="23"/>
        <v>0</v>
      </c>
      <c r="Q259" s="9">
        <f t="shared" si="23"/>
        <v>0</v>
      </c>
      <c r="R259" s="64" t="s">
        <v>602</v>
      </c>
    </row>
    <row r="262" spans="1:18" ht="18" customHeight="1" x14ac:dyDescent="0.3">
      <c r="B262" s="69" t="str">
        <f>CONCATENATE("U",C31,C$21)</f>
        <v>U2X</v>
      </c>
      <c r="C262" s="69" t="str">
        <f>CONCATENATE("U",D31,D$21)</f>
        <v>U2Y</v>
      </c>
      <c r="D262" s="69" t="str">
        <f>CONCATENATE("U",E31,E$21)</f>
        <v>U7X</v>
      </c>
      <c r="E262" s="69" t="str">
        <f>CONCATENATE("U",F31,F$21)</f>
        <v>U7Y</v>
      </c>
    </row>
    <row r="263" spans="1:18" x14ac:dyDescent="0.3">
      <c r="B263" s="70">
        <f>J15*J15*N15</f>
        <v>14515.199999999999</v>
      </c>
      <c r="C263" s="70">
        <f>J15*K15*N15</f>
        <v>19353.599999999999</v>
      </c>
      <c r="D263" s="70">
        <f>-B263</f>
        <v>-14515.199999999999</v>
      </c>
      <c r="E263" s="70">
        <f>-C263</f>
        <v>-19353.599999999999</v>
      </c>
      <c r="F263" s="69" t="str">
        <f>B262</f>
        <v>U2X</v>
      </c>
    </row>
    <row r="264" spans="1:18" ht="16.8" customHeight="1" x14ac:dyDescent="0.3">
      <c r="A264" s="28" t="s">
        <v>581</v>
      </c>
      <c r="B264" s="70">
        <f>C263</f>
        <v>19353.599999999999</v>
      </c>
      <c r="C264" s="70">
        <f>K15*K15*N15</f>
        <v>25804.800000000007</v>
      </c>
      <c r="D264" s="70">
        <f>-B264</f>
        <v>-19353.599999999999</v>
      </c>
      <c r="E264" s="70">
        <f>-C264</f>
        <v>-25804.800000000007</v>
      </c>
      <c r="F264" s="69" t="str">
        <f>C262</f>
        <v>U2Y</v>
      </c>
    </row>
    <row r="265" spans="1:18" x14ac:dyDescent="0.3">
      <c r="B265" s="70">
        <f>D263</f>
        <v>-14515.199999999999</v>
      </c>
      <c r="C265" s="70">
        <f>E263</f>
        <v>-19353.599999999999</v>
      </c>
      <c r="D265" s="70">
        <f>B263</f>
        <v>14515.199999999999</v>
      </c>
      <c r="E265" s="70">
        <f>C263</f>
        <v>19353.599999999999</v>
      </c>
      <c r="F265" s="69" t="str">
        <f>D262</f>
        <v>U7X</v>
      </c>
    </row>
    <row r="266" spans="1:18" x14ac:dyDescent="0.3">
      <c r="B266" s="70">
        <f>D264</f>
        <v>-19353.599999999999</v>
      </c>
      <c r="C266" s="70">
        <f>E264</f>
        <v>-25804.800000000007</v>
      </c>
      <c r="D266" s="70">
        <f>B264</f>
        <v>19353.599999999999</v>
      </c>
      <c r="E266" s="70">
        <f>C264</f>
        <v>25804.800000000007</v>
      </c>
      <c r="F266" s="69" t="str">
        <f>E262</f>
        <v>U7Y</v>
      </c>
    </row>
    <row r="268" spans="1:18" ht="18" customHeight="1" x14ac:dyDescent="0.3">
      <c r="B268" s="69" t="s">
        <v>178</v>
      </c>
      <c r="C268" s="69" t="s">
        <v>179</v>
      </c>
      <c r="D268" s="69" t="s">
        <v>180</v>
      </c>
      <c r="E268" s="69" t="s">
        <v>181</v>
      </c>
      <c r="F268" s="69" t="s">
        <v>182</v>
      </c>
      <c r="G268" s="69" t="s">
        <v>183</v>
      </c>
      <c r="H268" s="69" t="s">
        <v>184</v>
      </c>
      <c r="I268" s="69" t="s">
        <v>185</v>
      </c>
      <c r="J268" s="69" t="s">
        <v>186</v>
      </c>
      <c r="K268" s="69" t="s">
        <v>187</v>
      </c>
      <c r="L268" s="69" t="s">
        <v>188</v>
      </c>
      <c r="M268" s="69" t="s">
        <v>189</v>
      </c>
      <c r="N268" s="69" t="s">
        <v>579</v>
      </c>
      <c r="O268" s="69" t="s">
        <v>580</v>
      </c>
      <c r="P268" s="69" t="s">
        <v>601</v>
      </c>
      <c r="Q268" s="69" t="s">
        <v>602</v>
      </c>
    </row>
    <row r="269" spans="1:18" ht="19.05" customHeight="1" x14ac:dyDescent="0.3">
      <c r="B269" s="9">
        <f t="shared" ref="B269:Q278" si="24">IFERROR(INDEX($B$263:$E$266, MATCH($R269, $B$262:$E$262, 0), MATCH(B$268, $B$262:$E$262, 0)), 0)</f>
        <v>0</v>
      </c>
      <c r="C269" s="9">
        <f t="shared" si="24"/>
        <v>0</v>
      </c>
      <c r="D269" s="9">
        <f t="shared" si="24"/>
        <v>0</v>
      </c>
      <c r="E269" s="9">
        <f t="shared" si="24"/>
        <v>0</v>
      </c>
      <c r="F269" s="9">
        <f t="shared" si="24"/>
        <v>0</v>
      </c>
      <c r="G269" s="9">
        <f t="shared" si="24"/>
        <v>0</v>
      </c>
      <c r="H269" s="9">
        <f t="shared" si="24"/>
        <v>0</v>
      </c>
      <c r="I269" s="9">
        <f t="shared" si="24"/>
        <v>0</v>
      </c>
      <c r="J269" s="9">
        <f t="shared" si="24"/>
        <v>0</v>
      </c>
      <c r="K269" s="9">
        <f t="shared" si="24"/>
        <v>0</v>
      </c>
      <c r="L269" s="9">
        <f t="shared" si="24"/>
        <v>0</v>
      </c>
      <c r="M269" s="9">
        <f t="shared" si="24"/>
        <v>0</v>
      </c>
      <c r="N269" s="9">
        <f t="shared" si="24"/>
        <v>0</v>
      </c>
      <c r="O269" s="9">
        <f t="shared" si="24"/>
        <v>0</v>
      </c>
      <c r="P269" s="9">
        <f t="shared" si="24"/>
        <v>0</v>
      </c>
      <c r="Q269" s="9">
        <f t="shared" si="24"/>
        <v>0</v>
      </c>
      <c r="R269" s="69" t="s">
        <v>178</v>
      </c>
    </row>
    <row r="270" spans="1:18" ht="19.05" customHeight="1" x14ac:dyDescent="0.3">
      <c r="B270" s="9">
        <f t="shared" si="24"/>
        <v>0</v>
      </c>
      <c r="C270" s="9">
        <f t="shared" si="24"/>
        <v>0</v>
      </c>
      <c r="D270" s="9">
        <f t="shared" si="24"/>
        <v>0</v>
      </c>
      <c r="E270" s="9">
        <f t="shared" si="24"/>
        <v>0</v>
      </c>
      <c r="F270" s="9">
        <f t="shared" si="24"/>
        <v>0</v>
      </c>
      <c r="G270" s="9">
        <f t="shared" si="24"/>
        <v>0</v>
      </c>
      <c r="H270" s="9">
        <f t="shared" si="24"/>
        <v>0</v>
      </c>
      <c r="I270" s="9">
        <f t="shared" si="24"/>
        <v>0</v>
      </c>
      <c r="J270" s="9">
        <f t="shared" si="24"/>
        <v>0</v>
      </c>
      <c r="K270" s="9">
        <f t="shared" si="24"/>
        <v>0</v>
      </c>
      <c r="L270" s="9">
        <f t="shared" si="24"/>
        <v>0</v>
      </c>
      <c r="M270" s="9">
        <f t="shared" si="24"/>
        <v>0</v>
      </c>
      <c r="N270" s="9">
        <f t="shared" si="24"/>
        <v>0</v>
      </c>
      <c r="O270" s="9">
        <f t="shared" si="24"/>
        <v>0</v>
      </c>
      <c r="P270" s="9">
        <f t="shared" si="24"/>
        <v>0</v>
      </c>
      <c r="Q270" s="9">
        <f t="shared" si="24"/>
        <v>0</v>
      </c>
      <c r="R270" s="69" t="s">
        <v>179</v>
      </c>
    </row>
    <row r="271" spans="1:18" ht="19.05" customHeight="1" x14ac:dyDescent="0.3">
      <c r="B271" s="9">
        <f t="shared" si="24"/>
        <v>0</v>
      </c>
      <c r="C271" s="9">
        <f t="shared" si="24"/>
        <v>0</v>
      </c>
      <c r="D271" s="71">
        <f t="shared" si="24"/>
        <v>14515.199999999999</v>
      </c>
      <c r="E271" s="71">
        <f t="shared" si="24"/>
        <v>19353.599999999999</v>
      </c>
      <c r="F271" s="9">
        <f t="shared" si="24"/>
        <v>0</v>
      </c>
      <c r="G271" s="9">
        <f t="shared" si="24"/>
        <v>0</v>
      </c>
      <c r="H271" s="9">
        <f t="shared" si="24"/>
        <v>0</v>
      </c>
      <c r="I271" s="9">
        <f t="shared" si="24"/>
        <v>0</v>
      </c>
      <c r="J271" s="9">
        <f t="shared" si="24"/>
        <v>0</v>
      </c>
      <c r="K271" s="9">
        <f t="shared" si="24"/>
        <v>0</v>
      </c>
      <c r="L271" s="9">
        <f t="shared" si="24"/>
        <v>0</v>
      </c>
      <c r="M271" s="9">
        <f t="shared" si="24"/>
        <v>0</v>
      </c>
      <c r="N271" s="71">
        <f t="shared" si="24"/>
        <v>-14515.199999999999</v>
      </c>
      <c r="O271" s="71">
        <f t="shared" si="24"/>
        <v>-19353.599999999999</v>
      </c>
      <c r="P271" s="9">
        <f t="shared" si="24"/>
        <v>0</v>
      </c>
      <c r="Q271" s="9">
        <f t="shared" si="24"/>
        <v>0</v>
      </c>
      <c r="R271" s="69" t="s">
        <v>180</v>
      </c>
    </row>
    <row r="272" spans="1:18" ht="19.05" customHeight="1" x14ac:dyDescent="0.3">
      <c r="B272" s="9">
        <f t="shared" si="24"/>
        <v>0</v>
      </c>
      <c r="C272" s="9">
        <f t="shared" si="24"/>
        <v>0</v>
      </c>
      <c r="D272" s="71">
        <f t="shared" si="24"/>
        <v>19353.599999999999</v>
      </c>
      <c r="E272" s="71">
        <f t="shared" si="24"/>
        <v>25804.800000000007</v>
      </c>
      <c r="F272" s="9">
        <f t="shared" si="24"/>
        <v>0</v>
      </c>
      <c r="G272" s="9">
        <f t="shared" si="24"/>
        <v>0</v>
      </c>
      <c r="H272" s="9">
        <f t="shared" si="24"/>
        <v>0</v>
      </c>
      <c r="I272" s="9">
        <f t="shared" si="24"/>
        <v>0</v>
      </c>
      <c r="J272" s="9">
        <f t="shared" si="24"/>
        <v>0</v>
      </c>
      <c r="K272" s="9">
        <f t="shared" si="24"/>
        <v>0</v>
      </c>
      <c r="L272" s="9">
        <f t="shared" si="24"/>
        <v>0</v>
      </c>
      <c r="M272" s="9">
        <f t="shared" si="24"/>
        <v>0</v>
      </c>
      <c r="N272" s="71">
        <f t="shared" si="24"/>
        <v>-19353.599999999999</v>
      </c>
      <c r="O272" s="71">
        <f t="shared" si="24"/>
        <v>-25804.800000000007</v>
      </c>
      <c r="P272" s="9">
        <f t="shared" si="24"/>
        <v>0</v>
      </c>
      <c r="Q272" s="9">
        <f t="shared" si="24"/>
        <v>0</v>
      </c>
      <c r="R272" s="69" t="s">
        <v>181</v>
      </c>
    </row>
    <row r="273" spans="1:18" ht="19.05" customHeight="1" x14ac:dyDescent="0.3">
      <c r="B273" s="9">
        <f t="shared" si="24"/>
        <v>0</v>
      </c>
      <c r="C273" s="9">
        <f t="shared" si="24"/>
        <v>0</v>
      </c>
      <c r="D273" s="9">
        <f t="shared" si="24"/>
        <v>0</v>
      </c>
      <c r="E273" s="9">
        <f t="shared" si="24"/>
        <v>0</v>
      </c>
      <c r="F273" s="9">
        <f t="shared" si="24"/>
        <v>0</v>
      </c>
      <c r="G273" s="9">
        <f t="shared" si="24"/>
        <v>0</v>
      </c>
      <c r="H273" s="9">
        <f t="shared" si="24"/>
        <v>0</v>
      </c>
      <c r="I273" s="9">
        <f t="shared" si="24"/>
        <v>0</v>
      </c>
      <c r="J273" s="9">
        <f t="shared" si="24"/>
        <v>0</v>
      </c>
      <c r="K273" s="9">
        <f t="shared" si="24"/>
        <v>0</v>
      </c>
      <c r="L273" s="9">
        <f t="shared" si="24"/>
        <v>0</v>
      </c>
      <c r="M273" s="9">
        <f t="shared" si="24"/>
        <v>0</v>
      </c>
      <c r="N273" s="9">
        <f t="shared" si="24"/>
        <v>0</v>
      </c>
      <c r="O273" s="9">
        <f t="shared" si="24"/>
        <v>0</v>
      </c>
      <c r="P273" s="9">
        <f t="shared" si="24"/>
        <v>0</v>
      </c>
      <c r="Q273" s="9">
        <f t="shared" si="24"/>
        <v>0</v>
      </c>
      <c r="R273" s="69" t="s">
        <v>182</v>
      </c>
    </row>
    <row r="274" spans="1:18" ht="19.05" customHeight="1" x14ac:dyDescent="0.3">
      <c r="B274" s="9">
        <f t="shared" si="24"/>
        <v>0</v>
      </c>
      <c r="C274" s="9">
        <f t="shared" si="24"/>
        <v>0</v>
      </c>
      <c r="D274" s="9">
        <f t="shared" si="24"/>
        <v>0</v>
      </c>
      <c r="E274" s="9">
        <f t="shared" si="24"/>
        <v>0</v>
      </c>
      <c r="F274" s="9">
        <f t="shared" si="24"/>
        <v>0</v>
      </c>
      <c r="G274" s="9">
        <f t="shared" si="24"/>
        <v>0</v>
      </c>
      <c r="H274" s="9">
        <f t="shared" si="24"/>
        <v>0</v>
      </c>
      <c r="I274" s="9">
        <f t="shared" si="24"/>
        <v>0</v>
      </c>
      <c r="J274" s="9">
        <f t="shared" si="24"/>
        <v>0</v>
      </c>
      <c r="K274" s="9">
        <f t="shared" si="24"/>
        <v>0</v>
      </c>
      <c r="L274" s="9">
        <f t="shared" si="24"/>
        <v>0</v>
      </c>
      <c r="M274" s="9">
        <f t="shared" si="24"/>
        <v>0</v>
      </c>
      <c r="N274" s="9">
        <f t="shared" si="24"/>
        <v>0</v>
      </c>
      <c r="O274" s="9">
        <f t="shared" si="24"/>
        <v>0</v>
      </c>
      <c r="P274" s="9">
        <f t="shared" si="24"/>
        <v>0</v>
      </c>
      <c r="Q274" s="9">
        <f t="shared" si="24"/>
        <v>0</v>
      </c>
      <c r="R274" s="69" t="s">
        <v>183</v>
      </c>
    </row>
    <row r="275" spans="1:18" ht="19.05" customHeight="1" x14ac:dyDescent="0.3">
      <c r="B275" s="9">
        <f t="shared" si="24"/>
        <v>0</v>
      </c>
      <c r="C275" s="9">
        <f t="shared" si="24"/>
        <v>0</v>
      </c>
      <c r="D275" s="9">
        <f t="shared" si="24"/>
        <v>0</v>
      </c>
      <c r="E275" s="9">
        <f t="shared" si="24"/>
        <v>0</v>
      </c>
      <c r="F275" s="9">
        <f t="shared" si="24"/>
        <v>0</v>
      </c>
      <c r="G275" s="9">
        <f t="shared" si="24"/>
        <v>0</v>
      </c>
      <c r="H275" s="9">
        <f t="shared" si="24"/>
        <v>0</v>
      </c>
      <c r="I275" s="9">
        <f t="shared" si="24"/>
        <v>0</v>
      </c>
      <c r="J275" s="9">
        <f t="shared" si="24"/>
        <v>0</v>
      </c>
      <c r="K275" s="9">
        <f t="shared" si="24"/>
        <v>0</v>
      </c>
      <c r="L275" s="9">
        <f t="shared" si="24"/>
        <v>0</v>
      </c>
      <c r="M275" s="9">
        <f t="shared" si="24"/>
        <v>0</v>
      </c>
      <c r="N275" s="9">
        <f t="shared" si="24"/>
        <v>0</v>
      </c>
      <c r="O275" s="9">
        <f t="shared" si="24"/>
        <v>0</v>
      </c>
      <c r="P275" s="9">
        <f t="shared" si="24"/>
        <v>0</v>
      </c>
      <c r="Q275" s="9">
        <f t="shared" si="24"/>
        <v>0</v>
      </c>
      <c r="R275" s="69" t="s">
        <v>184</v>
      </c>
    </row>
    <row r="276" spans="1:18" ht="19.05" customHeight="1" x14ac:dyDescent="0.3">
      <c r="A276" s="28" t="s">
        <v>582</v>
      </c>
      <c r="B276" s="9">
        <f t="shared" si="24"/>
        <v>0</v>
      </c>
      <c r="C276" s="9">
        <f t="shared" si="24"/>
        <v>0</v>
      </c>
      <c r="D276" s="9">
        <f t="shared" si="24"/>
        <v>0</v>
      </c>
      <c r="E276" s="9">
        <f t="shared" si="24"/>
        <v>0</v>
      </c>
      <c r="F276" s="9">
        <f t="shared" si="24"/>
        <v>0</v>
      </c>
      <c r="G276" s="9">
        <f t="shared" si="24"/>
        <v>0</v>
      </c>
      <c r="H276" s="9">
        <f t="shared" si="24"/>
        <v>0</v>
      </c>
      <c r="I276" s="9">
        <f t="shared" si="24"/>
        <v>0</v>
      </c>
      <c r="J276" s="9">
        <f t="shared" si="24"/>
        <v>0</v>
      </c>
      <c r="K276" s="9">
        <f t="shared" si="24"/>
        <v>0</v>
      </c>
      <c r="L276" s="9">
        <f t="shared" si="24"/>
        <v>0</v>
      </c>
      <c r="M276" s="9">
        <f t="shared" si="24"/>
        <v>0</v>
      </c>
      <c r="N276" s="9">
        <f t="shared" si="24"/>
        <v>0</v>
      </c>
      <c r="O276" s="9">
        <f t="shared" si="24"/>
        <v>0</v>
      </c>
      <c r="P276" s="9">
        <f t="shared" si="24"/>
        <v>0</v>
      </c>
      <c r="Q276" s="9">
        <f t="shared" si="24"/>
        <v>0</v>
      </c>
      <c r="R276" s="69" t="s">
        <v>185</v>
      </c>
    </row>
    <row r="277" spans="1:18" ht="19.05" customHeight="1" x14ac:dyDescent="0.3">
      <c r="B277" s="9">
        <f t="shared" si="24"/>
        <v>0</v>
      </c>
      <c r="C277" s="9">
        <f t="shared" si="24"/>
        <v>0</v>
      </c>
      <c r="D277" s="9">
        <f t="shared" si="24"/>
        <v>0</v>
      </c>
      <c r="E277" s="9">
        <f t="shared" si="24"/>
        <v>0</v>
      </c>
      <c r="F277" s="9">
        <f t="shared" si="24"/>
        <v>0</v>
      </c>
      <c r="G277" s="9">
        <f t="shared" si="24"/>
        <v>0</v>
      </c>
      <c r="H277" s="9">
        <f t="shared" si="24"/>
        <v>0</v>
      </c>
      <c r="I277" s="9">
        <f t="shared" si="24"/>
        <v>0</v>
      </c>
      <c r="J277" s="9">
        <f t="shared" si="24"/>
        <v>0</v>
      </c>
      <c r="K277" s="9">
        <f t="shared" si="24"/>
        <v>0</v>
      </c>
      <c r="L277" s="9">
        <f t="shared" si="24"/>
        <v>0</v>
      </c>
      <c r="M277" s="9">
        <f t="shared" si="24"/>
        <v>0</v>
      </c>
      <c r="N277" s="9">
        <f t="shared" si="24"/>
        <v>0</v>
      </c>
      <c r="O277" s="9">
        <f t="shared" si="24"/>
        <v>0</v>
      </c>
      <c r="P277" s="9">
        <f t="shared" si="24"/>
        <v>0</v>
      </c>
      <c r="Q277" s="9">
        <f t="shared" si="24"/>
        <v>0</v>
      </c>
      <c r="R277" s="69" t="s">
        <v>186</v>
      </c>
    </row>
    <row r="278" spans="1:18" ht="19.05" customHeight="1" x14ac:dyDescent="0.3">
      <c r="B278" s="9">
        <f t="shared" si="24"/>
        <v>0</v>
      </c>
      <c r="C278" s="9">
        <f t="shared" si="24"/>
        <v>0</v>
      </c>
      <c r="D278" s="9">
        <f t="shared" si="24"/>
        <v>0</v>
      </c>
      <c r="E278" s="9">
        <f t="shared" si="24"/>
        <v>0</v>
      </c>
      <c r="F278" s="9">
        <f t="shared" si="24"/>
        <v>0</v>
      </c>
      <c r="G278" s="9">
        <f t="shared" si="24"/>
        <v>0</v>
      </c>
      <c r="H278" s="9">
        <f t="shared" si="24"/>
        <v>0</v>
      </c>
      <c r="I278" s="9">
        <f t="shared" si="24"/>
        <v>0</v>
      </c>
      <c r="J278" s="9">
        <f t="shared" si="24"/>
        <v>0</v>
      </c>
      <c r="K278" s="9">
        <f t="shared" si="24"/>
        <v>0</v>
      </c>
      <c r="L278" s="9">
        <f t="shared" si="24"/>
        <v>0</v>
      </c>
      <c r="M278" s="9">
        <f t="shared" si="24"/>
        <v>0</v>
      </c>
      <c r="N278" s="9">
        <f t="shared" si="24"/>
        <v>0</v>
      </c>
      <c r="O278" s="9">
        <f t="shared" si="24"/>
        <v>0</v>
      </c>
      <c r="P278" s="9">
        <f t="shared" si="24"/>
        <v>0</v>
      </c>
      <c r="Q278" s="9">
        <f t="shared" si="24"/>
        <v>0</v>
      </c>
      <c r="R278" s="69" t="s">
        <v>187</v>
      </c>
    </row>
    <row r="279" spans="1:18" ht="19.05" customHeight="1" x14ac:dyDescent="0.3">
      <c r="B279" s="9">
        <f t="shared" ref="B279:Q284" si="25">IFERROR(INDEX($B$263:$E$266, MATCH($R279, $B$262:$E$262, 0), MATCH(B$268, $B$262:$E$262, 0)), 0)</f>
        <v>0</v>
      </c>
      <c r="C279" s="9">
        <f t="shared" si="25"/>
        <v>0</v>
      </c>
      <c r="D279" s="9">
        <f t="shared" si="25"/>
        <v>0</v>
      </c>
      <c r="E279" s="9">
        <f t="shared" si="25"/>
        <v>0</v>
      </c>
      <c r="F279" s="9">
        <f t="shared" si="25"/>
        <v>0</v>
      </c>
      <c r="G279" s="9">
        <f t="shared" si="25"/>
        <v>0</v>
      </c>
      <c r="H279" s="9">
        <f t="shared" si="25"/>
        <v>0</v>
      </c>
      <c r="I279" s="9">
        <f t="shared" si="25"/>
        <v>0</v>
      </c>
      <c r="J279" s="9">
        <f t="shared" si="25"/>
        <v>0</v>
      </c>
      <c r="K279" s="9">
        <f t="shared" si="25"/>
        <v>0</v>
      </c>
      <c r="L279" s="9">
        <f t="shared" si="25"/>
        <v>0</v>
      </c>
      <c r="M279" s="9">
        <f t="shared" si="25"/>
        <v>0</v>
      </c>
      <c r="N279" s="9">
        <f t="shared" si="25"/>
        <v>0</v>
      </c>
      <c r="O279" s="9">
        <f t="shared" si="25"/>
        <v>0</v>
      </c>
      <c r="P279" s="9">
        <f t="shared" si="25"/>
        <v>0</v>
      </c>
      <c r="Q279" s="9">
        <f t="shared" si="25"/>
        <v>0</v>
      </c>
      <c r="R279" s="69" t="s">
        <v>188</v>
      </c>
    </row>
    <row r="280" spans="1:18" ht="19.05" customHeight="1" x14ac:dyDescent="0.3">
      <c r="B280" s="9">
        <f t="shared" si="25"/>
        <v>0</v>
      </c>
      <c r="C280" s="9">
        <f t="shared" si="25"/>
        <v>0</v>
      </c>
      <c r="D280" s="9">
        <f t="shared" si="25"/>
        <v>0</v>
      </c>
      <c r="E280" s="9">
        <f t="shared" si="25"/>
        <v>0</v>
      </c>
      <c r="F280" s="9">
        <f t="shared" si="25"/>
        <v>0</v>
      </c>
      <c r="G280" s="9">
        <f t="shared" si="25"/>
        <v>0</v>
      </c>
      <c r="H280" s="9">
        <f t="shared" si="25"/>
        <v>0</v>
      </c>
      <c r="I280" s="9">
        <f t="shared" si="25"/>
        <v>0</v>
      </c>
      <c r="J280" s="9">
        <f t="shared" si="25"/>
        <v>0</v>
      </c>
      <c r="K280" s="9">
        <f t="shared" si="25"/>
        <v>0</v>
      </c>
      <c r="L280" s="9">
        <f t="shared" si="25"/>
        <v>0</v>
      </c>
      <c r="M280" s="9">
        <f t="shared" si="25"/>
        <v>0</v>
      </c>
      <c r="N280" s="9">
        <f t="shared" si="25"/>
        <v>0</v>
      </c>
      <c r="O280" s="9">
        <f t="shared" si="25"/>
        <v>0</v>
      </c>
      <c r="P280" s="9">
        <f t="shared" si="25"/>
        <v>0</v>
      </c>
      <c r="Q280" s="9">
        <f t="shared" si="25"/>
        <v>0</v>
      </c>
      <c r="R280" s="69" t="s">
        <v>189</v>
      </c>
    </row>
    <row r="281" spans="1:18" ht="19.05" customHeight="1" x14ac:dyDescent="0.3">
      <c r="B281" s="9">
        <f t="shared" si="25"/>
        <v>0</v>
      </c>
      <c r="C281" s="9">
        <f t="shared" si="25"/>
        <v>0</v>
      </c>
      <c r="D281" s="71">
        <f t="shared" si="25"/>
        <v>-14515.199999999999</v>
      </c>
      <c r="E281" s="71">
        <f t="shared" si="25"/>
        <v>-19353.599999999999</v>
      </c>
      <c r="F281" s="9">
        <f t="shared" si="25"/>
        <v>0</v>
      </c>
      <c r="G281" s="9">
        <f t="shared" si="25"/>
        <v>0</v>
      </c>
      <c r="H281" s="9">
        <f t="shared" si="25"/>
        <v>0</v>
      </c>
      <c r="I281" s="9">
        <f t="shared" si="25"/>
        <v>0</v>
      </c>
      <c r="J281" s="9">
        <f t="shared" si="25"/>
        <v>0</v>
      </c>
      <c r="K281" s="9">
        <f t="shared" si="25"/>
        <v>0</v>
      </c>
      <c r="L281" s="9">
        <f t="shared" si="25"/>
        <v>0</v>
      </c>
      <c r="M281" s="9">
        <f t="shared" si="25"/>
        <v>0</v>
      </c>
      <c r="N281" s="71">
        <f t="shared" si="25"/>
        <v>14515.199999999999</v>
      </c>
      <c r="O281" s="71">
        <f t="shared" si="25"/>
        <v>19353.599999999999</v>
      </c>
      <c r="P281" s="9">
        <f t="shared" si="25"/>
        <v>0</v>
      </c>
      <c r="Q281" s="9">
        <f t="shared" si="25"/>
        <v>0</v>
      </c>
      <c r="R281" s="69" t="s">
        <v>579</v>
      </c>
    </row>
    <row r="282" spans="1:18" ht="19.05" customHeight="1" x14ac:dyDescent="0.3">
      <c r="B282" s="9">
        <f t="shared" si="25"/>
        <v>0</v>
      </c>
      <c r="C282" s="9">
        <f t="shared" si="25"/>
        <v>0</v>
      </c>
      <c r="D282" s="71">
        <f t="shared" si="25"/>
        <v>-19353.599999999999</v>
      </c>
      <c r="E282" s="71">
        <f t="shared" si="25"/>
        <v>-25804.800000000007</v>
      </c>
      <c r="F282" s="9">
        <f t="shared" si="25"/>
        <v>0</v>
      </c>
      <c r="G282" s="9">
        <f t="shared" si="25"/>
        <v>0</v>
      </c>
      <c r="H282" s="9">
        <f t="shared" si="25"/>
        <v>0</v>
      </c>
      <c r="I282" s="9">
        <f t="shared" si="25"/>
        <v>0</v>
      </c>
      <c r="J282" s="9">
        <f t="shared" si="25"/>
        <v>0</v>
      </c>
      <c r="K282" s="9">
        <f t="shared" si="25"/>
        <v>0</v>
      </c>
      <c r="L282" s="9">
        <f t="shared" si="25"/>
        <v>0</v>
      </c>
      <c r="M282" s="9">
        <f t="shared" si="25"/>
        <v>0</v>
      </c>
      <c r="N282" s="71">
        <f t="shared" si="25"/>
        <v>19353.599999999999</v>
      </c>
      <c r="O282" s="71">
        <f t="shared" si="25"/>
        <v>25804.800000000007</v>
      </c>
      <c r="P282" s="9">
        <f t="shared" si="25"/>
        <v>0</v>
      </c>
      <c r="Q282" s="9">
        <f t="shared" si="25"/>
        <v>0</v>
      </c>
      <c r="R282" s="69" t="s">
        <v>580</v>
      </c>
    </row>
    <row r="283" spans="1:18" ht="19.05" customHeight="1" x14ac:dyDescent="0.3">
      <c r="B283" s="9">
        <f t="shared" si="25"/>
        <v>0</v>
      </c>
      <c r="C283" s="9">
        <f t="shared" si="25"/>
        <v>0</v>
      </c>
      <c r="D283" s="9">
        <f t="shared" si="25"/>
        <v>0</v>
      </c>
      <c r="E283" s="9">
        <f t="shared" si="25"/>
        <v>0</v>
      </c>
      <c r="F283" s="9">
        <f t="shared" si="25"/>
        <v>0</v>
      </c>
      <c r="G283" s="9">
        <f t="shared" si="25"/>
        <v>0</v>
      </c>
      <c r="H283" s="9">
        <f t="shared" si="25"/>
        <v>0</v>
      </c>
      <c r="I283" s="9">
        <f t="shared" si="25"/>
        <v>0</v>
      </c>
      <c r="J283" s="9">
        <f t="shared" si="25"/>
        <v>0</v>
      </c>
      <c r="K283" s="9">
        <f t="shared" si="25"/>
        <v>0</v>
      </c>
      <c r="L283" s="9">
        <f t="shared" si="25"/>
        <v>0</v>
      </c>
      <c r="M283" s="9">
        <f t="shared" si="25"/>
        <v>0</v>
      </c>
      <c r="N283" s="9">
        <f t="shared" si="25"/>
        <v>0</v>
      </c>
      <c r="O283" s="9">
        <f t="shared" si="25"/>
        <v>0</v>
      </c>
      <c r="P283" s="9">
        <f t="shared" si="25"/>
        <v>0</v>
      </c>
      <c r="Q283" s="9">
        <f t="shared" si="25"/>
        <v>0</v>
      </c>
      <c r="R283" s="69" t="s">
        <v>601</v>
      </c>
    </row>
    <row r="284" spans="1:18" ht="19.05" customHeight="1" x14ac:dyDescent="0.3">
      <c r="B284" s="9">
        <f t="shared" si="25"/>
        <v>0</v>
      </c>
      <c r="C284" s="9">
        <f t="shared" si="25"/>
        <v>0</v>
      </c>
      <c r="D284" s="9">
        <f t="shared" si="25"/>
        <v>0</v>
      </c>
      <c r="E284" s="9">
        <f t="shared" si="25"/>
        <v>0</v>
      </c>
      <c r="F284" s="9">
        <f t="shared" si="25"/>
        <v>0</v>
      </c>
      <c r="G284" s="9">
        <f t="shared" si="25"/>
        <v>0</v>
      </c>
      <c r="H284" s="9">
        <f t="shared" si="25"/>
        <v>0</v>
      </c>
      <c r="I284" s="9">
        <f t="shared" si="25"/>
        <v>0</v>
      </c>
      <c r="J284" s="9">
        <f t="shared" si="25"/>
        <v>0</v>
      </c>
      <c r="K284" s="9">
        <f t="shared" si="25"/>
        <v>0</v>
      </c>
      <c r="L284" s="9">
        <f t="shared" si="25"/>
        <v>0</v>
      </c>
      <c r="M284" s="9">
        <f t="shared" si="25"/>
        <v>0</v>
      </c>
      <c r="N284" s="9">
        <f t="shared" si="25"/>
        <v>0</v>
      </c>
      <c r="O284" s="9">
        <f t="shared" si="25"/>
        <v>0</v>
      </c>
      <c r="P284" s="9">
        <f t="shared" si="25"/>
        <v>0</v>
      </c>
      <c r="Q284" s="9">
        <f t="shared" si="25"/>
        <v>0</v>
      </c>
      <c r="R284" s="69" t="s">
        <v>602</v>
      </c>
    </row>
    <row r="287" spans="1:18" ht="18" customHeight="1" x14ac:dyDescent="0.3">
      <c r="B287" s="72" t="str">
        <f>CONCATENATE("U",C32,C$21)</f>
        <v>U7X</v>
      </c>
      <c r="C287" s="72" t="str">
        <f>CONCATENATE("U",D32,D$21)</f>
        <v>U7Y</v>
      </c>
      <c r="D287" s="72" t="str">
        <f>CONCATENATE("U",E32,E$21)</f>
        <v>U3X</v>
      </c>
      <c r="E287" s="72" t="str">
        <f>CONCATENATE("U",F32,F$21)</f>
        <v>U3Y</v>
      </c>
    </row>
    <row r="288" spans="1:18" x14ac:dyDescent="0.3">
      <c r="B288" s="73">
        <f>J16*J16*N16</f>
        <v>0</v>
      </c>
      <c r="C288" s="73">
        <f>J16*K16*N16</f>
        <v>0</v>
      </c>
      <c r="D288" s="73">
        <f>-B288</f>
        <v>0</v>
      </c>
      <c r="E288" s="73">
        <f>-C288</f>
        <v>0</v>
      </c>
      <c r="F288" s="72" t="str">
        <f>B287</f>
        <v>U7X</v>
      </c>
    </row>
    <row r="289" spans="1:18" ht="16.8" customHeight="1" x14ac:dyDescent="0.3">
      <c r="A289" s="28" t="s">
        <v>583</v>
      </c>
      <c r="B289" s="73">
        <f>C288</f>
        <v>0</v>
      </c>
      <c r="C289" s="73">
        <f>K16*K16*N16</f>
        <v>50400</v>
      </c>
      <c r="D289" s="73">
        <f>-B289</f>
        <v>0</v>
      </c>
      <c r="E289" s="73">
        <f>-C289</f>
        <v>-50400</v>
      </c>
      <c r="F289" s="72" t="str">
        <f>C287</f>
        <v>U7Y</v>
      </c>
    </row>
    <row r="290" spans="1:18" x14ac:dyDescent="0.3">
      <c r="B290" s="73">
        <f>D288</f>
        <v>0</v>
      </c>
      <c r="C290" s="73">
        <f>E288</f>
        <v>0</v>
      </c>
      <c r="D290" s="73">
        <f>B288</f>
        <v>0</v>
      </c>
      <c r="E290" s="73">
        <f>C288</f>
        <v>0</v>
      </c>
      <c r="F290" s="72" t="str">
        <f>D287</f>
        <v>U3X</v>
      </c>
    </row>
    <row r="291" spans="1:18" x14ac:dyDescent="0.3">
      <c r="B291" s="73">
        <f>D289</f>
        <v>0</v>
      </c>
      <c r="C291" s="73">
        <f>E289</f>
        <v>-50400</v>
      </c>
      <c r="D291" s="73">
        <f>B289</f>
        <v>0</v>
      </c>
      <c r="E291" s="73">
        <f>C289</f>
        <v>50400</v>
      </c>
      <c r="F291" s="72" t="str">
        <f>E287</f>
        <v>U3Y</v>
      </c>
    </row>
    <row r="293" spans="1:18" ht="18" customHeight="1" x14ac:dyDescent="0.3">
      <c r="B293" s="72" t="s">
        <v>178</v>
      </c>
      <c r="C293" s="72" t="s">
        <v>179</v>
      </c>
      <c r="D293" s="72" t="s">
        <v>180</v>
      </c>
      <c r="E293" s="72" t="s">
        <v>181</v>
      </c>
      <c r="F293" s="72" t="s">
        <v>182</v>
      </c>
      <c r="G293" s="72" t="s">
        <v>183</v>
      </c>
      <c r="H293" s="72" t="s">
        <v>184</v>
      </c>
      <c r="I293" s="72" t="s">
        <v>185</v>
      </c>
      <c r="J293" s="72" t="s">
        <v>186</v>
      </c>
      <c r="K293" s="72" t="s">
        <v>187</v>
      </c>
      <c r="L293" s="72" t="s">
        <v>188</v>
      </c>
      <c r="M293" s="72" t="s">
        <v>189</v>
      </c>
      <c r="N293" s="72" t="s">
        <v>579</v>
      </c>
      <c r="O293" s="72" t="s">
        <v>580</v>
      </c>
      <c r="P293" s="72" t="s">
        <v>601</v>
      </c>
      <c r="Q293" s="72" t="s">
        <v>602</v>
      </c>
    </row>
    <row r="294" spans="1:18" ht="19.05" customHeight="1" x14ac:dyDescent="0.3">
      <c r="B294" s="9">
        <f t="shared" ref="B294:Q303" si="26">IFERROR(INDEX($B$288:$E$291, MATCH($R294, $B$287:$E$287, 0), MATCH(B$293, $B$287:$E$287, 0)), 0)</f>
        <v>0</v>
      </c>
      <c r="C294" s="9">
        <f t="shared" si="26"/>
        <v>0</v>
      </c>
      <c r="D294" s="9">
        <f t="shared" si="26"/>
        <v>0</v>
      </c>
      <c r="E294" s="9">
        <f t="shared" si="26"/>
        <v>0</v>
      </c>
      <c r="F294" s="9">
        <f t="shared" si="26"/>
        <v>0</v>
      </c>
      <c r="G294" s="9">
        <f t="shared" si="26"/>
        <v>0</v>
      </c>
      <c r="H294" s="9">
        <f t="shared" si="26"/>
        <v>0</v>
      </c>
      <c r="I294" s="9">
        <f t="shared" si="26"/>
        <v>0</v>
      </c>
      <c r="J294" s="9">
        <f t="shared" si="26"/>
        <v>0</v>
      </c>
      <c r="K294" s="9">
        <f t="shared" si="26"/>
        <v>0</v>
      </c>
      <c r="L294" s="9">
        <f t="shared" si="26"/>
        <v>0</v>
      </c>
      <c r="M294" s="9">
        <f t="shared" si="26"/>
        <v>0</v>
      </c>
      <c r="N294" s="9">
        <f t="shared" si="26"/>
        <v>0</v>
      </c>
      <c r="O294" s="9">
        <f t="shared" si="26"/>
        <v>0</v>
      </c>
      <c r="P294" s="9">
        <f t="shared" si="26"/>
        <v>0</v>
      </c>
      <c r="Q294" s="9">
        <f t="shared" si="26"/>
        <v>0</v>
      </c>
      <c r="R294" s="72" t="s">
        <v>178</v>
      </c>
    </row>
    <row r="295" spans="1:18" ht="19.05" customHeight="1" x14ac:dyDescent="0.3">
      <c r="B295" s="9">
        <f t="shared" si="26"/>
        <v>0</v>
      </c>
      <c r="C295" s="9">
        <f t="shared" si="26"/>
        <v>0</v>
      </c>
      <c r="D295" s="9">
        <f t="shared" si="26"/>
        <v>0</v>
      </c>
      <c r="E295" s="9">
        <f t="shared" si="26"/>
        <v>0</v>
      </c>
      <c r="F295" s="9">
        <f t="shared" si="26"/>
        <v>0</v>
      </c>
      <c r="G295" s="9">
        <f t="shared" si="26"/>
        <v>0</v>
      </c>
      <c r="H295" s="9">
        <f t="shared" si="26"/>
        <v>0</v>
      </c>
      <c r="I295" s="9">
        <f t="shared" si="26"/>
        <v>0</v>
      </c>
      <c r="J295" s="9">
        <f t="shared" si="26"/>
        <v>0</v>
      </c>
      <c r="K295" s="9">
        <f t="shared" si="26"/>
        <v>0</v>
      </c>
      <c r="L295" s="9">
        <f t="shared" si="26"/>
        <v>0</v>
      </c>
      <c r="M295" s="9">
        <f t="shared" si="26"/>
        <v>0</v>
      </c>
      <c r="N295" s="9">
        <f t="shared" si="26"/>
        <v>0</v>
      </c>
      <c r="O295" s="9">
        <f t="shared" si="26"/>
        <v>0</v>
      </c>
      <c r="P295" s="9">
        <f t="shared" si="26"/>
        <v>0</v>
      </c>
      <c r="Q295" s="9">
        <f t="shared" si="26"/>
        <v>0</v>
      </c>
      <c r="R295" s="72" t="s">
        <v>179</v>
      </c>
    </row>
    <row r="296" spans="1:18" ht="19.05" customHeight="1" x14ac:dyDescent="0.3">
      <c r="B296" s="9">
        <f t="shared" si="26"/>
        <v>0</v>
      </c>
      <c r="C296" s="9">
        <f t="shared" si="26"/>
        <v>0</v>
      </c>
      <c r="D296" s="9">
        <f t="shared" si="26"/>
        <v>0</v>
      </c>
      <c r="E296" s="9">
        <f t="shared" si="26"/>
        <v>0</v>
      </c>
      <c r="F296" s="9">
        <f t="shared" si="26"/>
        <v>0</v>
      </c>
      <c r="G296" s="9">
        <f t="shared" si="26"/>
        <v>0</v>
      </c>
      <c r="H296" s="9">
        <f t="shared" si="26"/>
        <v>0</v>
      </c>
      <c r="I296" s="9">
        <f t="shared" si="26"/>
        <v>0</v>
      </c>
      <c r="J296" s="9">
        <f t="shared" si="26"/>
        <v>0</v>
      </c>
      <c r="K296" s="9">
        <f t="shared" si="26"/>
        <v>0</v>
      </c>
      <c r="L296" s="9">
        <f t="shared" si="26"/>
        <v>0</v>
      </c>
      <c r="M296" s="9">
        <f t="shared" si="26"/>
        <v>0</v>
      </c>
      <c r="N296" s="9">
        <f t="shared" si="26"/>
        <v>0</v>
      </c>
      <c r="O296" s="9">
        <f t="shared" si="26"/>
        <v>0</v>
      </c>
      <c r="P296" s="9">
        <f t="shared" si="26"/>
        <v>0</v>
      </c>
      <c r="Q296" s="9">
        <f t="shared" si="26"/>
        <v>0</v>
      </c>
      <c r="R296" s="72" t="s">
        <v>180</v>
      </c>
    </row>
    <row r="297" spans="1:18" ht="19.05" customHeight="1" x14ac:dyDescent="0.3">
      <c r="B297" s="9">
        <f t="shared" si="26"/>
        <v>0</v>
      </c>
      <c r="C297" s="9">
        <f t="shared" si="26"/>
        <v>0</v>
      </c>
      <c r="D297" s="9">
        <f t="shared" si="26"/>
        <v>0</v>
      </c>
      <c r="E297" s="9">
        <f t="shared" si="26"/>
        <v>0</v>
      </c>
      <c r="F297" s="9">
        <f t="shared" si="26"/>
        <v>0</v>
      </c>
      <c r="G297" s="9">
        <f t="shared" si="26"/>
        <v>0</v>
      </c>
      <c r="H297" s="9">
        <f t="shared" si="26"/>
        <v>0</v>
      </c>
      <c r="I297" s="9">
        <f t="shared" si="26"/>
        <v>0</v>
      </c>
      <c r="J297" s="9">
        <f t="shared" si="26"/>
        <v>0</v>
      </c>
      <c r="K297" s="9">
        <f t="shared" si="26"/>
        <v>0</v>
      </c>
      <c r="L297" s="9">
        <f t="shared" si="26"/>
        <v>0</v>
      </c>
      <c r="M297" s="9">
        <f t="shared" si="26"/>
        <v>0</v>
      </c>
      <c r="N297" s="9">
        <f t="shared" si="26"/>
        <v>0</v>
      </c>
      <c r="O297" s="9">
        <f t="shared" si="26"/>
        <v>0</v>
      </c>
      <c r="P297" s="9">
        <f t="shared" si="26"/>
        <v>0</v>
      </c>
      <c r="Q297" s="9">
        <f t="shared" si="26"/>
        <v>0</v>
      </c>
      <c r="R297" s="72" t="s">
        <v>181</v>
      </c>
    </row>
    <row r="298" spans="1:18" ht="19.05" customHeight="1" x14ac:dyDescent="0.3">
      <c r="B298" s="9">
        <f t="shared" si="26"/>
        <v>0</v>
      </c>
      <c r="C298" s="9">
        <f t="shared" si="26"/>
        <v>0</v>
      </c>
      <c r="D298" s="9">
        <f t="shared" si="26"/>
        <v>0</v>
      </c>
      <c r="E298" s="9">
        <f t="shared" si="26"/>
        <v>0</v>
      </c>
      <c r="F298" s="74">
        <f t="shared" si="26"/>
        <v>0</v>
      </c>
      <c r="G298" s="74">
        <f t="shared" si="26"/>
        <v>0</v>
      </c>
      <c r="H298" s="9">
        <f t="shared" si="26"/>
        <v>0</v>
      </c>
      <c r="I298" s="9">
        <f t="shared" si="26"/>
        <v>0</v>
      </c>
      <c r="J298" s="9">
        <f t="shared" si="26"/>
        <v>0</v>
      </c>
      <c r="K298" s="9">
        <f t="shared" si="26"/>
        <v>0</v>
      </c>
      <c r="L298" s="9">
        <f t="shared" si="26"/>
        <v>0</v>
      </c>
      <c r="M298" s="9">
        <f t="shared" si="26"/>
        <v>0</v>
      </c>
      <c r="N298" s="74">
        <f t="shared" si="26"/>
        <v>0</v>
      </c>
      <c r="O298" s="74">
        <f t="shared" si="26"/>
        <v>0</v>
      </c>
      <c r="P298" s="9">
        <f t="shared" si="26"/>
        <v>0</v>
      </c>
      <c r="Q298" s="9">
        <f t="shared" si="26"/>
        <v>0</v>
      </c>
      <c r="R298" s="72" t="s">
        <v>182</v>
      </c>
    </row>
    <row r="299" spans="1:18" ht="19.05" customHeight="1" x14ac:dyDescent="0.3">
      <c r="B299" s="9">
        <f t="shared" si="26"/>
        <v>0</v>
      </c>
      <c r="C299" s="9">
        <f t="shared" si="26"/>
        <v>0</v>
      </c>
      <c r="D299" s="9">
        <f t="shared" si="26"/>
        <v>0</v>
      </c>
      <c r="E299" s="9">
        <f t="shared" si="26"/>
        <v>0</v>
      </c>
      <c r="F299" s="74">
        <f t="shared" si="26"/>
        <v>0</v>
      </c>
      <c r="G299" s="74">
        <f t="shared" si="26"/>
        <v>50400</v>
      </c>
      <c r="H299" s="9">
        <f t="shared" si="26"/>
        <v>0</v>
      </c>
      <c r="I299" s="9">
        <f t="shared" si="26"/>
        <v>0</v>
      </c>
      <c r="J299" s="9">
        <f t="shared" si="26"/>
        <v>0</v>
      </c>
      <c r="K299" s="9">
        <f t="shared" si="26"/>
        <v>0</v>
      </c>
      <c r="L299" s="9">
        <f t="shared" si="26"/>
        <v>0</v>
      </c>
      <c r="M299" s="9">
        <f t="shared" si="26"/>
        <v>0</v>
      </c>
      <c r="N299" s="74">
        <f t="shared" si="26"/>
        <v>0</v>
      </c>
      <c r="O299" s="74">
        <f t="shared" si="26"/>
        <v>-50400</v>
      </c>
      <c r="P299" s="9">
        <f t="shared" si="26"/>
        <v>0</v>
      </c>
      <c r="Q299" s="9">
        <f t="shared" si="26"/>
        <v>0</v>
      </c>
      <c r="R299" s="72" t="s">
        <v>183</v>
      </c>
    </row>
    <row r="300" spans="1:18" ht="19.05" customHeight="1" x14ac:dyDescent="0.3">
      <c r="B300" s="9">
        <f t="shared" si="26"/>
        <v>0</v>
      </c>
      <c r="C300" s="9">
        <f t="shared" si="26"/>
        <v>0</v>
      </c>
      <c r="D300" s="9">
        <f t="shared" si="26"/>
        <v>0</v>
      </c>
      <c r="E300" s="9">
        <f t="shared" si="26"/>
        <v>0</v>
      </c>
      <c r="F300" s="9">
        <f t="shared" si="26"/>
        <v>0</v>
      </c>
      <c r="G300" s="9">
        <f t="shared" si="26"/>
        <v>0</v>
      </c>
      <c r="H300" s="9">
        <f t="shared" si="26"/>
        <v>0</v>
      </c>
      <c r="I300" s="9">
        <f t="shared" si="26"/>
        <v>0</v>
      </c>
      <c r="J300" s="9">
        <f t="shared" si="26"/>
        <v>0</v>
      </c>
      <c r="K300" s="9">
        <f t="shared" si="26"/>
        <v>0</v>
      </c>
      <c r="L300" s="9">
        <f t="shared" si="26"/>
        <v>0</v>
      </c>
      <c r="M300" s="9">
        <f t="shared" si="26"/>
        <v>0</v>
      </c>
      <c r="N300" s="9">
        <f t="shared" si="26"/>
        <v>0</v>
      </c>
      <c r="O300" s="9">
        <f t="shared" si="26"/>
        <v>0</v>
      </c>
      <c r="P300" s="9">
        <f t="shared" si="26"/>
        <v>0</v>
      </c>
      <c r="Q300" s="9">
        <f t="shared" si="26"/>
        <v>0</v>
      </c>
      <c r="R300" s="72" t="s">
        <v>184</v>
      </c>
    </row>
    <row r="301" spans="1:18" ht="19.05" customHeight="1" x14ac:dyDescent="0.3">
      <c r="A301" s="28" t="s">
        <v>584</v>
      </c>
      <c r="B301" s="9">
        <f t="shared" si="26"/>
        <v>0</v>
      </c>
      <c r="C301" s="9">
        <f t="shared" si="26"/>
        <v>0</v>
      </c>
      <c r="D301" s="9">
        <f t="shared" si="26"/>
        <v>0</v>
      </c>
      <c r="E301" s="9">
        <f t="shared" si="26"/>
        <v>0</v>
      </c>
      <c r="F301" s="9">
        <f t="shared" si="26"/>
        <v>0</v>
      </c>
      <c r="G301" s="9">
        <f t="shared" si="26"/>
        <v>0</v>
      </c>
      <c r="H301" s="9">
        <f t="shared" si="26"/>
        <v>0</v>
      </c>
      <c r="I301" s="9">
        <f t="shared" si="26"/>
        <v>0</v>
      </c>
      <c r="J301" s="9">
        <f t="shared" si="26"/>
        <v>0</v>
      </c>
      <c r="K301" s="9">
        <f t="shared" si="26"/>
        <v>0</v>
      </c>
      <c r="L301" s="9">
        <f t="shared" si="26"/>
        <v>0</v>
      </c>
      <c r="M301" s="9">
        <f t="shared" si="26"/>
        <v>0</v>
      </c>
      <c r="N301" s="9">
        <f t="shared" si="26"/>
        <v>0</v>
      </c>
      <c r="O301" s="9">
        <f t="shared" si="26"/>
        <v>0</v>
      </c>
      <c r="P301" s="9">
        <f t="shared" si="26"/>
        <v>0</v>
      </c>
      <c r="Q301" s="9">
        <f t="shared" si="26"/>
        <v>0</v>
      </c>
      <c r="R301" s="72" t="s">
        <v>185</v>
      </c>
    </row>
    <row r="302" spans="1:18" ht="19.05" customHeight="1" x14ac:dyDescent="0.3">
      <c r="B302" s="9">
        <f t="shared" si="26"/>
        <v>0</v>
      </c>
      <c r="C302" s="9">
        <f t="shared" si="26"/>
        <v>0</v>
      </c>
      <c r="D302" s="9">
        <f t="shared" si="26"/>
        <v>0</v>
      </c>
      <c r="E302" s="9">
        <f t="shared" si="26"/>
        <v>0</v>
      </c>
      <c r="F302" s="9">
        <f t="shared" si="26"/>
        <v>0</v>
      </c>
      <c r="G302" s="9">
        <f t="shared" si="26"/>
        <v>0</v>
      </c>
      <c r="H302" s="9">
        <f t="shared" si="26"/>
        <v>0</v>
      </c>
      <c r="I302" s="9">
        <f t="shared" si="26"/>
        <v>0</v>
      </c>
      <c r="J302" s="9">
        <f t="shared" si="26"/>
        <v>0</v>
      </c>
      <c r="K302" s="9">
        <f t="shared" si="26"/>
        <v>0</v>
      </c>
      <c r="L302" s="9">
        <f t="shared" si="26"/>
        <v>0</v>
      </c>
      <c r="M302" s="9">
        <f t="shared" si="26"/>
        <v>0</v>
      </c>
      <c r="N302" s="9">
        <f t="shared" si="26"/>
        <v>0</v>
      </c>
      <c r="O302" s="9">
        <f t="shared" si="26"/>
        <v>0</v>
      </c>
      <c r="P302" s="9">
        <f t="shared" si="26"/>
        <v>0</v>
      </c>
      <c r="Q302" s="9">
        <f t="shared" si="26"/>
        <v>0</v>
      </c>
      <c r="R302" s="72" t="s">
        <v>186</v>
      </c>
    </row>
    <row r="303" spans="1:18" ht="19.05" customHeight="1" x14ac:dyDescent="0.3">
      <c r="B303" s="9">
        <f t="shared" si="26"/>
        <v>0</v>
      </c>
      <c r="C303" s="9">
        <f t="shared" si="26"/>
        <v>0</v>
      </c>
      <c r="D303" s="9">
        <f t="shared" si="26"/>
        <v>0</v>
      </c>
      <c r="E303" s="9">
        <f t="shared" si="26"/>
        <v>0</v>
      </c>
      <c r="F303" s="9">
        <f t="shared" si="26"/>
        <v>0</v>
      </c>
      <c r="G303" s="9">
        <f t="shared" si="26"/>
        <v>0</v>
      </c>
      <c r="H303" s="9">
        <f t="shared" si="26"/>
        <v>0</v>
      </c>
      <c r="I303" s="9">
        <f t="shared" si="26"/>
        <v>0</v>
      </c>
      <c r="J303" s="9">
        <f t="shared" si="26"/>
        <v>0</v>
      </c>
      <c r="K303" s="9">
        <f t="shared" si="26"/>
        <v>0</v>
      </c>
      <c r="L303" s="9">
        <f t="shared" si="26"/>
        <v>0</v>
      </c>
      <c r="M303" s="9">
        <f t="shared" si="26"/>
        <v>0</v>
      </c>
      <c r="N303" s="9">
        <f t="shared" si="26"/>
        <v>0</v>
      </c>
      <c r="O303" s="9">
        <f t="shared" si="26"/>
        <v>0</v>
      </c>
      <c r="P303" s="9">
        <f t="shared" si="26"/>
        <v>0</v>
      </c>
      <c r="Q303" s="9">
        <f t="shared" si="26"/>
        <v>0</v>
      </c>
      <c r="R303" s="72" t="s">
        <v>187</v>
      </c>
    </row>
    <row r="304" spans="1:18" ht="19.05" customHeight="1" x14ac:dyDescent="0.3">
      <c r="B304" s="9">
        <f t="shared" ref="B304:Q309" si="27">IFERROR(INDEX($B$288:$E$291, MATCH($R304, $B$287:$E$287, 0), MATCH(B$293, $B$287:$E$287, 0)), 0)</f>
        <v>0</v>
      </c>
      <c r="C304" s="9">
        <f t="shared" si="27"/>
        <v>0</v>
      </c>
      <c r="D304" s="9">
        <f t="shared" si="27"/>
        <v>0</v>
      </c>
      <c r="E304" s="9">
        <f t="shared" si="27"/>
        <v>0</v>
      </c>
      <c r="F304" s="9">
        <f t="shared" si="27"/>
        <v>0</v>
      </c>
      <c r="G304" s="9">
        <f t="shared" si="27"/>
        <v>0</v>
      </c>
      <c r="H304" s="9">
        <f t="shared" si="27"/>
        <v>0</v>
      </c>
      <c r="I304" s="9">
        <f t="shared" si="27"/>
        <v>0</v>
      </c>
      <c r="J304" s="9">
        <f t="shared" si="27"/>
        <v>0</v>
      </c>
      <c r="K304" s="9">
        <f t="shared" si="27"/>
        <v>0</v>
      </c>
      <c r="L304" s="9">
        <f t="shared" si="27"/>
        <v>0</v>
      </c>
      <c r="M304" s="9">
        <f t="shared" si="27"/>
        <v>0</v>
      </c>
      <c r="N304" s="9">
        <f t="shared" si="27"/>
        <v>0</v>
      </c>
      <c r="O304" s="9">
        <f t="shared" si="27"/>
        <v>0</v>
      </c>
      <c r="P304" s="9">
        <f t="shared" si="27"/>
        <v>0</v>
      </c>
      <c r="Q304" s="9">
        <f t="shared" si="27"/>
        <v>0</v>
      </c>
      <c r="R304" s="72" t="s">
        <v>188</v>
      </c>
    </row>
    <row r="305" spans="1:18" ht="19.05" customHeight="1" x14ac:dyDescent="0.3">
      <c r="B305" s="9">
        <f t="shared" si="27"/>
        <v>0</v>
      </c>
      <c r="C305" s="9">
        <f t="shared" si="27"/>
        <v>0</v>
      </c>
      <c r="D305" s="9">
        <f t="shared" si="27"/>
        <v>0</v>
      </c>
      <c r="E305" s="9">
        <f t="shared" si="27"/>
        <v>0</v>
      </c>
      <c r="F305" s="9">
        <f t="shared" si="27"/>
        <v>0</v>
      </c>
      <c r="G305" s="9">
        <f t="shared" si="27"/>
        <v>0</v>
      </c>
      <c r="H305" s="9">
        <f t="shared" si="27"/>
        <v>0</v>
      </c>
      <c r="I305" s="9">
        <f t="shared" si="27"/>
        <v>0</v>
      </c>
      <c r="J305" s="9">
        <f t="shared" si="27"/>
        <v>0</v>
      </c>
      <c r="K305" s="9">
        <f t="shared" si="27"/>
        <v>0</v>
      </c>
      <c r="L305" s="9">
        <f t="shared" si="27"/>
        <v>0</v>
      </c>
      <c r="M305" s="9">
        <f t="shared" si="27"/>
        <v>0</v>
      </c>
      <c r="N305" s="9">
        <f t="shared" si="27"/>
        <v>0</v>
      </c>
      <c r="O305" s="9">
        <f t="shared" si="27"/>
        <v>0</v>
      </c>
      <c r="P305" s="9">
        <f t="shared" si="27"/>
        <v>0</v>
      </c>
      <c r="Q305" s="9">
        <f t="shared" si="27"/>
        <v>0</v>
      </c>
      <c r="R305" s="72" t="s">
        <v>189</v>
      </c>
    </row>
    <row r="306" spans="1:18" ht="19.05" customHeight="1" x14ac:dyDescent="0.3">
      <c r="B306" s="9">
        <f t="shared" si="27"/>
        <v>0</v>
      </c>
      <c r="C306" s="9">
        <f t="shared" si="27"/>
        <v>0</v>
      </c>
      <c r="D306" s="9">
        <f t="shared" si="27"/>
        <v>0</v>
      </c>
      <c r="E306" s="9">
        <f t="shared" si="27"/>
        <v>0</v>
      </c>
      <c r="F306" s="74">
        <f t="shared" si="27"/>
        <v>0</v>
      </c>
      <c r="G306" s="74">
        <f t="shared" si="27"/>
        <v>0</v>
      </c>
      <c r="H306" s="9">
        <f t="shared" si="27"/>
        <v>0</v>
      </c>
      <c r="I306" s="9">
        <f t="shared" si="27"/>
        <v>0</v>
      </c>
      <c r="J306" s="9">
        <f t="shared" si="27"/>
        <v>0</v>
      </c>
      <c r="K306" s="9">
        <f t="shared" si="27"/>
        <v>0</v>
      </c>
      <c r="L306" s="9">
        <f t="shared" si="27"/>
        <v>0</v>
      </c>
      <c r="M306" s="9">
        <f t="shared" si="27"/>
        <v>0</v>
      </c>
      <c r="N306" s="74">
        <f t="shared" si="27"/>
        <v>0</v>
      </c>
      <c r="O306" s="74">
        <f t="shared" si="27"/>
        <v>0</v>
      </c>
      <c r="P306" s="9">
        <f t="shared" si="27"/>
        <v>0</v>
      </c>
      <c r="Q306" s="9">
        <f t="shared" si="27"/>
        <v>0</v>
      </c>
      <c r="R306" s="72" t="s">
        <v>579</v>
      </c>
    </row>
    <row r="307" spans="1:18" ht="19.05" customHeight="1" x14ac:dyDescent="0.3">
      <c r="B307" s="9">
        <f t="shared" si="27"/>
        <v>0</v>
      </c>
      <c r="C307" s="9">
        <f t="shared" si="27"/>
        <v>0</v>
      </c>
      <c r="D307" s="9">
        <f t="shared" si="27"/>
        <v>0</v>
      </c>
      <c r="E307" s="9">
        <f t="shared" si="27"/>
        <v>0</v>
      </c>
      <c r="F307" s="74">
        <f t="shared" si="27"/>
        <v>0</v>
      </c>
      <c r="G307" s="74">
        <f t="shared" si="27"/>
        <v>-50400</v>
      </c>
      <c r="H307" s="9">
        <f t="shared" si="27"/>
        <v>0</v>
      </c>
      <c r="I307" s="9">
        <f t="shared" si="27"/>
        <v>0</v>
      </c>
      <c r="J307" s="9">
        <f t="shared" si="27"/>
        <v>0</v>
      </c>
      <c r="K307" s="9">
        <f t="shared" si="27"/>
        <v>0</v>
      </c>
      <c r="L307" s="9">
        <f t="shared" si="27"/>
        <v>0</v>
      </c>
      <c r="M307" s="9">
        <f t="shared" si="27"/>
        <v>0</v>
      </c>
      <c r="N307" s="74">
        <f t="shared" si="27"/>
        <v>0</v>
      </c>
      <c r="O307" s="74">
        <f t="shared" si="27"/>
        <v>50400</v>
      </c>
      <c r="P307" s="9">
        <f t="shared" si="27"/>
        <v>0</v>
      </c>
      <c r="Q307" s="9">
        <f t="shared" si="27"/>
        <v>0</v>
      </c>
      <c r="R307" s="72" t="s">
        <v>580</v>
      </c>
    </row>
    <row r="308" spans="1:18" ht="19.05" customHeight="1" x14ac:dyDescent="0.3">
      <c r="B308" s="9">
        <f t="shared" si="27"/>
        <v>0</v>
      </c>
      <c r="C308" s="9">
        <f t="shared" si="27"/>
        <v>0</v>
      </c>
      <c r="D308" s="9">
        <f t="shared" si="27"/>
        <v>0</v>
      </c>
      <c r="E308" s="9">
        <f t="shared" si="27"/>
        <v>0</v>
      </c>
      <c r="F308" s="9">
        <f t="shared" si="27"/>
        <v>0</v>
      </c>
      <c r="G308" s="9">
        <f t="shared" si="27"/>
        <v>0</v>
      </c>
      <c r="H308" s="9">
        <f t="shared" si="27"/>
        <v>0</v>
      </c>
      <c r="I308" s="9">
        <f t="shared" si="27"/>
        <v>0</v>
      </c>
      <c r="J308" s="9">
        <f t="shared" si="27"/>
        <v>0</v>
      </c>
      <c r="K308" s="9">
        <f t="shared" si="27"/>
        <v>0</v>
      </c>
      <c r="L308" s="9">
        <f t="shared" si="27"/>
        <v>0</v>
      </c>
      <c r="M308" s="9">
        <f t="shared" si="27"/>
        <v>0</v>
      </c>
      <c r="N308" s="9">
        <f t="shared" si="27"/>
        <v>0</v>
      </c>
      <c r="O308" s="9">
        <f t="shared" si="27"/>
        <v>0</v>
      </c>
      <c r="P308" s="9">
        <f t="shared" si="27"/>
        <v>0</v>
      </c>
      <c r="Q308" s="9">
        <f t="shared" si="27"/>
        <v>0</v>
      </c>
      <c r="R308" s="72" t="s">
        <v>601</v>
      </c>
    </row>
    <row r="309" spans="1:18" ht="19.05" customHeight="1" x14ac:dyDescent="0.3">
      <c r="B309" s="9">
        <f t="shared" si="27"/>
        <v>0</v>
      </c>
      <c r="C309" s="9">
        <f t="shared" si="27"/>
        <v>0</v>
      </c>
      <c r="D309" s="9">
        <f t="shared" si="27"/>
        <v>0</v>
      </c>
      <c r="E309" s="9">
        <f t="shared" si="27"/>
        <v>0</v>
      </c>
      <c r="F309" s="9">
        <f t="shared" si="27"/>
        <v>0</v>
      </c>
      <c r="G309" s="9">
        <f t="shared" si="27"/>
        <v>0</v>
      </c>
      <c r="H309" s="9">
        <f t="shared" si="27"/>
        <v>0</v>
      </c>
      <c r="I309" s="9">
        <f t="shared" si="27"/>
        <v>0</v>
      </c>
      <c r="J309" s="9">
        <f t="shared" si="27"/>
        <v>0</v>
      </c>
      <c r="K309" s="9">
        <f t="shared" si="27"/>
        <v>0</v>
      </c>
      <c r="L309" s="9">
        <f t="shared" si="27"/>
        <v>0</v>
      </c>
      <c r="M309" s="9">
        <f t="shared" si="27"/>
        <v>0</v>
      </c>
      <c r="N309" s="9">
        <f t="shared" si="27"/>
        <v>0</v>
      </c>
      <c r="O309" s="9">
        <f t="shared" si="27"/>
        <v>0</v>
      </c>
      <c r="P309" s="9">
        <f t="shared" si="27"/>
        <v>0</v>
      </c>
      <c r="Q309" s="9">
        <f t="shared" si="27"/>
        <v>0</v>
      </c>
      <c r="R309" s="72" t="s">
        <v>602</v>
      </c>
    </row>
    <row r="312" spans="1:18" ht="18" customHeight="1" x14ac:dyDescent="0.3">
      <c r="B312" s="89" t="str">
        <f>CONCATENATE("U",C33,C$21)</f>
        <v>U3X</v>
      </c>
      <c r="C312" s="89" t="str">
        <f>CONCATENATE("U",D33,D$21)</f>
        <v>U3Y</v>
      </c>
      <c r="D312" s="89" t="str">
        <f>CONCATENATE("U",E33,E$21)</f>
        <v>U8X</v>
      </c>
      <c r="E312" s="89" t="str">
        <f>CONCATENATE("U",F33,F$21)</f>
        <v>U8Y</v>
      </c>
    </row>
    <row r="313" spans="1:18" x14ac:dyDescent="0.3">
      <c r="B313" s="76">
        <f>J17*J17*N17</f>
        <v>14515.199999999999</v>
      </c>
      <c r="C313" s="76">
        <f>J17*K17*N17</f>
        <v>19353.599999999999</v>
      </c>
      <c r="D313" s="76">
        <f>-B313</f>
        <v>-14515.199999999999</v>
      </c>
      <c r="E313" s="76">
        <f>-C313</f>
        <v>-19353.599999999999</v>
      </c>
      <c r="F313" s="89" t="str">
        <f>B312</f>
        <v>U3X</v>
      </c>
    </row>
    <row r="314" spans="1:18" ht="16.8" customHeight="1" x14ac:dyDescent="0.3">
      <c r="A314" s="28" t="s">
        <v>603</v>
      </c>
      <c r="B314" s="76">
        <f>C313</f>
        <v>19353.599999999999</v>
      </c>
      <c r="C314" s="76">
        <f>K17*K17*N17</f>
        <v>25804.800000000007</v>
      </c>
      <c r="D314" s="76">
        <f>-B314</f>
        <v>-19353.599999999999</v>
      </c>
      <c r="E314" s="76">
        <f>-C314</f>
        <v>-25804.800000000007</v>
      </c>
      <c r="F314" s="89" t="str">
        <f>C312</f>
        <v>U3Y</v>
      </c>
    </row>
    <row r="315" spans="1:18" x14ac:dyDescent="0.3">
      <c r="B315" s="76">
        <f>D313</f>
        <v>-14515.199999999999</v>
      </c>
      <c r="C315" s="76">
        <f>E313</f>
        <v>-19353.599999999999</v>
      </c>
      <c r="D315" s="76">
        <f>B313</f>
        <v>14515.199999999999</v>
      </c>
      <c r="E315" s="76">
        <f>C313</f>
        <v>19353.599999999999</v>
      </c>
      <c r="F315" s="89" t="str">
        <f>D312</f>
        <v>U8X</v>
      </c>
    </row>
    <row r="316" spans="1:18" x14ac:dyDescent="0.3">
      <c r="B316" s="76">
        <f>D314</f>
        <v>-19353.599999999999</v>
      </c>
      <c r="C316" s="76">
        <f>E314</f>
        <v>-25804.800000000007</v>
      </c>
      <c r="D316" s="76">
        <f>B314</f>
        <v>19353.599999999999</v>
      </c>
      <c r="E316" s="76">
        <f>C314</f>
        <v>25804.800000000007</v>
      </c>
      <c r="F316" s="89" t="str">
        <f>E312</f>
        <v>U8Y</v>
      </c>
    </row>
    <row r="318" spans="1:18" ht="18" customHeight="1" x14ac:dyDescent="0.3">
      <c r="B318" s="89" t="s">
        <v>178</v>
      </c>
      <c r="C318" s="89" t="s">
        <v>179</v>
      </c>
      <c r="D318" s="89" t="s">
        <v>180</v>
      </c>
      <c r="E318" s="89" t="s">
        <v>181</v>
      </c>
      <c r="F318" s="89" t="s">
        <v>182</v>
      </c>
      <c r="G318" s="89" t="s">
        <v>183</v>
      </c>
      <c r="H318" s="89" t="s">
        <v>184</v>
      </c>
      <c r="I318" s="89" t="s">
        <v>185</v>
      </c>
      <c r="J318" s="89" t="s">
        <v>186</v>
      </c>
      <c r="K318" s="89" t="s">
        <v>187</v>
      </c>
      <c r="L318" s="89" t="s">
        <v>188</v>
      </c>
      <c r="M318" s="89" t="s">
        <v>189</v>
      </c>
      <c r="N318" s="89" t="s">
        <v>579</v>
      </c>
      <c r="O318" s="89" t="s">
        <v>580</v>
      </c>
      <c r="P318" s="89" t="s">
        <v>601</v>
      </c>
      <c r="Q318" s="89" t="s">
        <v>602</v>
      </c>
    </row>
    <row r="319" spans="1:18" ht="19.05" customHeight="1" x14ac:dyDescent="0.3">
      <c r="B319" s="9">
        <f t="shared" ref="B319:Q328" si="28">IFERROR(INDEX($B$313:$E$316, MATCH($R319, $B$312:$E$312, 0), MATCH(B$318, $B$312:$E$312, 0)), 0)</f>
        <v>0</v>
      </c>
      <c r="C319" s="9">
        <f t="shared" si="28"/>
        <v>0</v>
      </c>
      <c r="D319" s="9">
        <f t="shared" si="28"/>
        <v>0</v>
      </c>
      <c r="E319" s="9">
        <f t="shared" si="28"/>
        <v>0</v>
      </c>
      <c r="F319" s="9">
        <f t="shared" si="28"/>
        <v>0</v>
      </c>
      <c r="G319" s="9">
        <f t="shared" si="28"/>
        <v>0</v>
      </c>
      <c r="H319" s="9">
        <f t="shared" si="28"/>
        <v>0</v>
      </c>
      <c r="I319" s="9">
        <f t="shared" si="28"/>
        <v>0</v>
      </c>
      <c r="J319" s="9">
        <f t="shared" si="28"/>
        <v>0</v>
      </c>
      <c r="K319" s="9">
        <f t="shared" si="28"/>
        <v>0</v>
      </c>
      <c r="L319" s="9">
        <f t="shared" si="28"/>
        <v>0</v>
      </c>
      <c r="M319" s="9">
        <f t="shared" si="28"/>
        <v>0</v>
      </c>
      <c r="N319" s="9">
        <f t="shared" si="28"/>
        <v>0</v>
      </c>
      <c r="O319" s="9">
        <f t="shared" si="28"/>
        <v>0</v>
      </c>
      <c r="P319" s="9">
        <f t="shared" si="28"/>
        <v>0</v>
      </c>
      <c r="Q319" s="9">
        <f t="shared" si="28"/>
        <v>0</v>
      </c>
      <c r="R319" s="89" t="s">
        <v>178</v>
      </c>
    </row>
    <row r="320" spans="1:18" ht="19.05" customHeight="1" x14ac:dyDescent="0.3">
      <c r="B320" s="9">
        <f t="shared" si="28"/>
        <v>0</v>
      </c>
      <c r="C320" s="9">
        <f t="shared" si="28"/>
        <v>0</v>
      </c>
      <c r="D320" s="9">
        <f t="shared" si="28"/>
        <v>0</v>
      </c>
      <c r="E320" s="9">
        <f t="shared" si="28"/>
        <v>0</v>
      </c>
      <c r="F320" s="9">
        <f t="shared" si="28"/>
        <v>0</v>
      </c>
      <c r="G320" s="9">
        <f t="shared" si="28"/>
        <v>0</v>
      </c>
      <c r="H320" s="9">
        <f t="shared" si="28"/>
        <v>0</v>
      </c>
      <c r="I320" s="9">
        <f t="shared" si="28"/>
        <v>0</v>
      </c>
      <c r="J320" s="9">
        <f t="shared" si="28"/>
        <v>0</v>
      </c>
      <c r="K320" s="9">
        <f t="shared" si="28"/>
        <v>0</v>
      </c>
      <c r="L320" s="9">
        <f t="shared" si="28"/>
        <v>0</v>
      </c>
      <c r="M320" s="9">
        <f t="shared" si="28"/>
        <v>0</v>
      </c>
      <c r="N320" s="9">
        <f t="shared" si="28"/>
        <v>0</v>
      </c>
      <c r="O320" s="9">
        <f t="shared" si="28"/>
        <v>0</v>
      </c>
      <c r="P320" s="9">
        <f t="shared" si="28"/>
        <v>0</v>
      </c>
      <c r="Q320" s="9">
        <f t="shared" si="28"/>
        <v>0</v>
      </c>
      <c r="R320" s="89" t="s">
        <v>179</v>
      </c>
    </row>
    <row r="321" spans="1:18" ht="19.05" customHeight="1" x14ac:dyDescent="0.3">
      <c r="B321" s="9">
        <f t="shared" si="28"/>
        <v>0</v>
      </c>
      <c r="C321" s="9">
        <f t="shared" si="28"/>
        <v>0</v>
      </c>
      <c r="D321" s="9">
        <f t="shared" si="28"/>
        <v>0</v>
      </c>
      <c r="E321" s="9">
        <f t="shared" si="28"/>
        <v>0</v>
      </c>
      <c r="F321" s="9">
        <f t="shared" si="28"/>
        <v>0</v>
      </c>
      <c r="G321" s="9">
        <f t="shared" si="28"/>
        <v>0</v>
      </c>
      <c r="H321" s="9">
        <f t="shared" si="28"/>
        <v>0</v>
      </c>
      <c r="I321" s="9">
        <f t="shared" si="28"/>
        <v>0</v>
      </c>
      <c r="J321" s="9">
        <f t="shared" si="28"/>
        <v>0</v>
      </c>
      <c r="K321" s="9">
        <f t="shared" si="28"/>
        <v>0</v>
      </c>
      <c r="L321" s="9">
        <f t="shared" si="28"/>
        <v>0</v>
      </c>
      <c r="M321" s="9">
        <f t="shared" si="28"/>
        <v>0</v>
      </c>
      <c r="N321" s="9">
        <f t="shared" si="28"/>
        <v>0</v>
      </c>
      <c r="O321" s="9">
        <f t="shared" si="28"/>
        <v>0</v>
      </c>
      <c r="P321" s="9">
        <f t="shared" si="28"/>
        <v>0</v>
      </c>
      <c r="Q321" s="9">
        <f t="shared" si="28"/>
        <v>0</v>
      </c>
      <c r="R321" s="89" t="s">
        <v>180</v>
      </c>
    </row>
    <row r="322" spans="1:18" ht="19.05" customHeight="1" x14ac:dyDescent="0.3">
      <c r="B322" s="9">
        <f t="shared" si="28"/>
        <v>0</v>
      </c>
      <c r="C322" s="9">
        <f t="shared" si="28"/>
        <v>0</v>
      </c>
      <c r="D322" s="9">
        <f t="shared" si="28"/>
        <v>0</v>
      </c>
      <c r="E322" s="9">
        <f t="shared" si="28"/>
        <v>0</v>
      </c>
      <c r="F322" s="9">
        <f t="shared" si="28"/>
        <v>0</v>
      </c>
      <c r="G322" s="9">
        <f t="shared" si="28"/>
        <v>0</v>
      </c>
      <c r="H322" s="9">
        <f t="shared" si="28"/>
        <v>0</v>
      </c>
      <c r="I322" s="9">
        <f t="shared" si="28"/>
        <v>0</v>
      </c>
      <c r="J322" s="9">
        <f t="shared" si="28"/>
        <v>0</v>
      </c>
      <c r="K322" s="9">
        <f t="shared" si="28"/>
        <v>0</v>
      </c>
      <c r="L322" s="9">
        <f t="shared" si="28"/>
        <v>0</v>
      </c>
      <c r="M322" s="9">
        <f t="shared" si="28"/>
        <v>0</v>
      </c>
      <c r="N322" s="9">
        <f t="shared" si="28"/>
        <v>0</v>
      </c>
      <c r="O322" s="9">
        <f t="shared" si="28"/>
        <v>0</v>
      </c>
      <c r="P322" s="9">
        <f t="shared" si="28"/>
        <v>0</v>
      </c>
      <c r="Q322" s="9">
        <f t="shared" si="28"/>
        <v>0</v>
      </c>
      <c r="R322" s="89" t="s">
        <v>181</v>
      </c>
    </row>
    <row r="323" spans="1:18" ht="19.05" customHeight="1" x14ac:dyDescent="0.3">
      <c r="B323" s="9">
        <f t="shared" si="28"/>
        <v>0</v>
      </c>
      <c r="C323" s="9">
        <f t="shared" si="28"/>
        <v>0</v>
      </c>
      <c r="D323" s="9">
        <f t="shared" si="28"/>
        <v>0</v>
      </c>
      <c r="E323" s="9">
        <f t="shared" si="28"/>
        <v>0</v>
      </c>
      <c r="F323" s="77">
        <f t="shared" si="28"/>
        <v>14515.199999999999</v>
      </c>
      <c r="G323" s="77">
        <f t="shared" si="28"/>
        <v>19353.599999999999</v>
      </c>
      <c r="H323" s="9">
        <f t="shared" si="28"/>
        <v>0</v>
      </c>
      <c r="I323" s="9">
        <f t="shared" si="28"/>
        <v>0</v>
      </c>
      <c r="J323" s="9">
        <f t="shared" si="28"/>
        <v>0</v>
      </c>
      <c r="K323" s="9">
        <f t="shared" si="28"/>
        <v>0</v>
      </c>
      <c r="L323" s="9">
        <f t="shared" si="28"/>
        <v>0</v>
      </c>
      <c r="M323" s="9">
        <f t="shared" si="28"/>
        <v>0</v>
      </c>
      <c r="N323" s="9">
        <f t="shared" si="28"/>
        <v>0</v>
      </c>
      <c r="O323" s="9">
        <f t="shared" si="28"/>
        <v>0</v>
      </c>
      <c r="P323" s="77">
        <f t="shared" si="28"/>
        <v>-14515.199999999999</v>
      </c>
      <c r="Q323" s="77">
        <f t="shared" si="28"/>
        <v>-19353.599999999999</v>
      </c>
      <c r="R323" s="89" t="s">
        <v>182</v>
      </c>
    </row>
    <row r="324" spans="1:18" ht="19.05" customHeight="1" x14ac:dyDescent="0.3">
      <c r="B324" s="9">
        <f t="shared" si="28"/>
        <v>0</v>
      </c>
      <c r="C324" s="9">
        <f t="shared" si="28"/>
        <v>0</v>
      </c>
      <c r="D324" s="9">
        <f t="shared" si="28"/>
        <v>0</v>
      </c>
      <c r="E324" s="9">
        <f t="shared" si="28"/>
        <v>0</v>
      </c>
      <c r="F324" s="77">
        <f t="shared" si="28"/>
        <v>19353.599999999999</v>
      </c>
      <c r="G324" s="77">
        <f t="shared" si="28"/>
        <v>25804.800000000007</v>
      </c>
      <c r="H324" s="9">
        <f t="shared" si="28"/>
        <v>0</v>
      </c>
      <c r="I324" s="9">
        <f t="shared" si="28"/>
        <v>0</v>
      </c>
      <c r="J324" s="9">
        <f t="shared" si="28"/>
        <v>0</v>
      </c>
      <c r="K324" s="9">
        <f t="shared" si="28"/>
        <v>0</v>
      </c>
      <c r="L324" s="9">
        <f t="shared" si="28"/>
        <v>0</v>
      </c>
      <c r="M324" s="9">
        <f t="shared" si="28"/>
        <v>0</v>
      </c>
      <c r="N324" s="9">
        <f t="shared" si="28"/>
        <v>0</v>
      </c>
      <c r="O324" s="9">
        <f t="shared" si="28"/>
        <v>0</v>
      </c>
      <c r="P324" s="77">
        <f t="shared" si="28"/>
        <v>-19353.599999999999</v>
      </c>
      <c r="Q324" s="77">
        <f t="shared" si="28"/>
        <v>-25804.800000000007</v>
      </c>
      <c r="R324" s="89" t="s">
        <v>183</v>
      </c>
    </row>
    <row r="325" spans="1:18" ht="19.05" customHeight="1" x14ac:dyDescent="0.3">
      <c r="B325" s="9">
        <f t="shared" si="28"/>
        <v>0</v>
      </c>
      <c r="C325" s="9">
        <f t="shared" si="28"/>
        <v>0</v>
      </c>
      <c r="D325" s="9">
        <f t="shared" si="28"/>
        <v>0</v>
      </c>
      <c r="E325" s="9">
        <f t="shared" si="28"/>
        <v>0</v>
      </c>
      <c r="F325" s="9">
        <f t="shared" si="28"/>
        <v>0</v>
      </c>
      <c r="G325" s="9">
        <f t="shared" si="28"/>
        <v>0</v>
      </c>
      <c r="H325" s="9">
        <f t="shared" si="28"/>
        <v>0</v>
      </c>
      <c r="I325" s="9">
        <f t="shared" si="28"/>
        <v>0</v>
      </c>
      <c r="J325" s="9">
        <f t="shared" si="28"/>
        <v>0</v>
      </c>
      <c r="K325" s="9">
        <f t="shared" si="28"/>
        <v>0</v>
      </c>
      <c r="L325" s="9">
        <f t="shared" si="28"/>
        <v>0</v>
      </c>
      <c r="M325" s="9">
        <f t="shared" si="28"/>
        <v>0</v>
      </c>
      <c r="N325" s="9">
        <f t="shared" si="28"/>
        <v>0</v>
      </c>
      <c r="O325" s="9">
        <f t="shared" si="28"/>
        <v>0</v>
      </c>
      <c r="P325" s="9">
        <f t="shared" si="28"/>
        <v>0</v>
      </c>
      <c r="Q325" s="9">
        <f t="shared" si="28"/>
        <v>0</v>
      </c>
      <c r="R325" s="89" t="s">
        <v>184</v>
      </c>
    </row>
    <row r="326" spans="1:18" ht="19.05" customHeight="1" x14ac:dyDescent="0.3">
      <c r="A326" s="28" t="s">
        <v>604</v>
      </c>
      <c r="B326" s="9">
        <f t="shared" si="28"/>
        <v>0</v>
      </c>
      <c r="C326" s="9">
        <f t="shared" si="28"/>
        <v>0</v>
      </c>
      <c r="D326" s="9">
        <f t="shared" si="28"/>
        <v>0</v>
      </c>
      <c r="E326" s="9">
        <f t="shared" si="28"/>
        <v>0</v>
      </c>
      <c r="F326" s="9">
        <f t="shared" si="28"/>
        <v>0</v>
      </c>
      <c r="G326" s="9">
        <f t="shared" si="28"/>
        <v>0</v>
      </c>
      <c r="H326" s="9">
        <f t="shared" si="28"/>
        <v>0</v>
      </c>
      <c r="I326" s="9">
        <f t="shared" si="28"/>
        <v>0</v>
      </c>
      <c r="J326" s="9">
        <f t="shared" si="28"/>
        <v>0</v>
      </c>
      <c r="K326" s="9">
        <f t="shared" si="28"/>
        <v>0</v>
      </c>
      <c r="L326" s="9">
        <f t="shared" si="28"/>
        <v>0</v>
      </c>
      <c r="M326" s="9">
        <f t="shared" si="28"/>
        <v>0</v>
      </c>
      <c r="N326" s="9">
        <f t="shared" si="28"/>
        <v>0</v>
      </c>
      <c r="O326" s="9">
        <f t="shared" si="28"/>
        <v>0</v>
      </c>
      <c r="P326" s="9">
        <f t="shared" si="28"/>
        <v>0</v>
      </c>
      <c r="Q326" s="9">
        <f t="shared" si="28"/>
        <v>0</v>
      </c>
      <c r="R326" s="89" t="s">
        <v>185</v>
      </c>
    </row>
    <row r="327" spans="1:18" ht="19.05" customHeight="1" x14ac:dyDescent="0.3">
      <c r="B327" s="9">
        <f t="shared" si="28"/>
        <v>0</v>
      </c>
      <c r="C327" s="9">
        <f t="shared" si="28"/>
        <v>0</v>
      </c>
      <c r="D327" s="9">
        <f t="shared" si="28"/>
        <v>0</v>
      </c>
      <c r="E327" s="9">
        <f t="shared" si="28"/>
        <v>0</v>
      </c>
      <c r="F327" s="9">
        <f t="shared" si="28"/>
        <v>0</v>
      </c>
      <c r="G327" s="9">
        <f t="shared" si="28"/>
        <v>0</v>
      </c>
      <c r="H327" s="9">
        <f t="shared" si="28"/>
        <v>0</v>
      </c>
      <c r="I327" s="9">
        <f t="shared" si="28"/>
        <v>0</v>
      </c>
      <c r="J327" s="9">
        <f t="shared" si="28"/>
        <v>0</v>
      </c>
      <c r="K327" s="9">
        <f t="shared" si="28"/>
        <v>0</v>
      </c>
      <c r="L327" s="9">
        <f t="shared" si="28"/>
        <v>0</v>
      </c>
      <c r="M327" s="9">
        <f t="shared" si="28"/>
        <v>0</v>
      </c>
      <c r="N327" s="9">
        <f t="shared" si="28"/>
        <v>0</v>
      </c>
      <c r="O327" s="9">
        <f t="shared" si="28"/>
        <v>0</v>
      </c>
      <c r="P327" s="9">
        <f t="shared" si="28"/>
        <v>0</v>
      </c>
      <c r="Q327" s="9">
        <f t="shared" si="28"/>
        <v>0</v>
      </c>
      <c r="R327" s="89" t="s">
        <v>186</v>
      </c>
    </row>
    <row r="328" spans="1:18" ht="19.05" customHeight="1" x14ac:dyDescent="0.3">
      <c r="B328" s="9">
        <f t="shared" si="28"/>
        <v>0</v>
      </c>
      <c r="C328" s="9">
        <f t="shared" si="28"/>
        <v>0</v>
      </c>
      <c r="D328" s="9">
        <f t="shared" si="28"/>
        <v>0</v>
      </c>
      <c r="E328" s="9">
        <f t="shared" si="28"/>
        <v>0</v>
      </c>
      <c r="F328" s="9">
        <f t="shared" si="28"/>
        <v>0</v>
      </c>
      <c r="G328" s="9">
        <f t="shared" si="28"/>
        <v>0</v>
      </c>
      <c r="H328" s="9">
        <f t="shared" si="28"/>
        <v>0</v>
      </c>
      <c r="I328" s="9">
        <f t="shared" si="28"/>
        <v>0</v>
      </c>
      <c r="J328" s="9">
        <f t="shared" si="28"/>
        <v>0</v>
      </c>
      <c r="K328" s="9">
        <f t="shared" si="28"/>
        <v>0</v>
      </c>
      <c r="L328" s="9">
        <f t="shared" si="28"/>
        <v>0</v>
      </c>
      <c r="M328" s="9">
        <f t="shared" si="28"/>
        <v>0</v>
      </c>
      <c r="N328" s="9">
        <f t="shared" si="28"/>
        <v>0</v>
      </c>
      <c r="O328" s="9">
        <f t="shared" si="28"/>
        <v>0</v>
      </c>
      <c r="P328" s="9">
        <f t="shared" si="28"/>
        <v>0</v>
      </c>
      <c r="Q328" s="9">
        <f t="shared" si="28"/>
        <v>0</v>
      </c>
      <c r="R328" s="89" t="s">
        <v>187</v>
      </c>
    </row>
    <row r="329" spans="1:18" ht="19.05" customHeight="1" x14ac:dyDescent="0.3">
      <c r="B329" s="9">
        <f t="shared" ref="B329:Q334" si="29">IFERROR(INDEX($B$313:$E$316, MATCH($R329, $B$312:$E$312, 0), MATCH(B$318, $B$312:$E$312, 0)), 0)</f>
        <v>0</v>
      </c>
      <c r="C329" s="9">
        <f t="shared" si="29"/>
        <v>0</v>
      </c>
      <c r="D329" s="9">
        <f t="shared" si="29"/>
        <v>0</v>
      </c>
      <c r="E329" s="9">
        <f t="shared" si="29"/>
        <v>0</v>
      </c>
      <c r="F329" s="9">
        <f t="shared" si="29"/>
        <v>0</v>
      </c>
      <c r="G329" s="9">
        <f t="shared" si="29"/>
        <v>0</v>
      </c>
      <c r="H329" s="9">
        <f t="shared" si="29"/>
        <v>0</v>
      </c>
      <c r="I329" s="9">
        <f t="shared" si="29"/>
        <v>0</v>
      </c>
      <c r="J329" s="9">
        <f t="shared" si="29"/>
        <v>0</v>
      </c>
      <c r="K329" s="9">
        <f t="shared" si="29"/>
        <v>0</v>
      </c>
      <c r="L329" s="9">
        <f t="shared" si="29"/>
        <v>0</v>
      </c>
      <c r="M329" s="9">
        <f t="shared" si="29"/>
        <v>0</v>
      </c>
      <c r="N329" s="9">
        <f t="shared" si="29"/>
        <v>0</v>
      </c>
      <c r="O329" s="9">
        <f t="shared" si="29"/>
        <v>0</v>
      </c>
      <c r="P329" s="9">
        <f t="shared" si="29"/>
        <v>0</v>
      </c>
      <c r="Q329" s="9">
        <f t="shared" si="29"/>
        <v>0</v>
      </c>
      <c r="R329" s="89" t="s">
        <v>188</v>
      </c>
    </row>
    <row r="330" spans="1:18" ht="19.05" customHeight="1" x14ac:dyDescent="0.3">
      <c r="B330" s="9">
        <f t="shared" si="29"/>
        <v>0</v>
      </c>
      <c r="C330" s="9">
        <f t="shared" si="29"/>
        <v>0</v>
      </c>
      <c r="D330" s="9">
        <f t="shared" si="29"/>
        <v>0</v>
      </c>
      <c r="E330" s="9">
        <f t="shared" si="29"/>
        <v>0</v>
      </c>
      <c r="F330" s="9">
        <f t="shared" si="29"/>
        <v>0</v>
      </c>
      <c r="G330" s="9">
        <f t="shared" si="29"/>
        <v>0</v>
      </c>
      <c r="H330" s="9">
        <f t="shared" si="29"/>
        <v>0</v>
      </c>
      <c r="I330" s="9">
        <f t="shared" si="29"/>
        <v>0</v>
      </c>
      <c r="J330" s="9">
        <f t="shared" si="29"/>
        <v>0</v>
      </c>
      <c r="K330" s="9">
        <f t="shared" si="29"/>
        <v>0</v>
      </c>
      <c r="L330" s="9">
        <f t="shared" si="29"/>
        <v>0</v>
      </c>
      <c r="M330" s="9">
        <f t="shared" si="29"/>
        <v>0</v>
      </c>
      <c r="N330" s="9">
        <f t="shared" si="29"/>
        <v>0</v>
      </c>
      <c r="O330" s="9">
        <f t="shared" si="29"/>
        <v>0</v>
      </c>
      <c r="P330" s="9">
        <f t="shared" si="29"/>
        <v>0</v>
      </c>
      <c r="Q330" s="9">
        <f t="shared" si="29"/>
        <v>0</v>
      </c>
      <c r="R330" s="89" t="s">
        <v>189</v>
      </c>
    </row>
    <row r="331" spans="1:18" ht="19.05" customHeight="1" x14ac:dyDescent="0.3">
      <c r="B331" s="9">
        <f t="shared" si="29"/>
        <v>0</v>
      </c>
      <c r="C331" s="9">
        <f t="shared" si="29"/>
        <v>0</v>
      </c>
      <c r="D331" s="9">
        <f t="shared" si="29"/>
        <v>0</v>
      </c>
      <c r="E331" s="9">
        <f t="shared" si="29"/>
        <v>0</v>
      </c>
      <c r="F331" s="9">
        <f t="shared" si="29"/>
        <v>0</v>
      </c>
      <c r="G331" s="9">
        <f t="shared" si="29"/>
        <v>0</v>
      </c>
      <c r="H331" s="9">
        <f t="shared" si="29"/>
        <v>0</v>
      </c>
      <c r="I331" s="9">
        <f t="shared" si="29"/>
        <v>0</v>
      </c>
      <c r="J331" s="9">
        <f t="shared" si="29"/>
        <v>0</v>
      </c>
      <c r="K331" s="9">
        <f t="shared" si="29"/>
        <v>0</v>
      </c>
      <c r="L331" s="9">
        <f t="shared" si="29"/>
        <v>0</v>
      </c>
      <c r="M331" s="9">
        <f t="shared" si="29"/>
        <v>0</v>
      </c>
      <c r="N331" s="9">
        <f t="shared" si="29"/>
        <v>0</v>
      </c>
      <c r="O331" s="9">
        <f t="shared" si="29"/>
        <v>0</v>
      </c>
      <c r="P331" s="9">
        <f t="shared" si="29"/>
        <v>0</v>
      </c>
      <c r="Q331" s="9">
        <f t="shared" si="29"/>
        <v>0</v>
      </c>
      <c r="R331" s="89" t="s">
        <v>579</v>
      </c>
    </row>
    <row r="332" spans="1:18" ht="19.05" customHeight="1" x14ac:dyDescent="0.3">
      <c r="B332" s="9">
        <f t="shared" si="29"/>
        <v>0</v>
      </c>
      <c r="C332" s="9">
        <f t="shared" si="29"/>
        <v>0</v>
      </c>
      <c r="D332" s="9">
        <f t="shared" si="29"/>
        <v>0</v>
      </c>
      <c r="E332" s="9">
        <f t="shared" si="29"/>
        <v>0</v>
      </c>
      <c r="F332" s="9">
        <f t="shared" si="29"/>
        <v>0</v>
      </c>
      <c r="G332" s="9">
        <f t="shared" si="29"/>
        <v>0</v>
      </c>
      <c r="H332" s="9">
        <f t="shared" si="29"/>
        <v>0</v>
      </c>
      <c r="I332" s="9">
        <f t="shared" si="29"/>
        <v>0</v>
      </c>
      <c r="J332" s="9">
        <f t="shared" si="29"/>
        <v>0</v>
      </c>
      <c r="K332" s="9">
        <f t="shared" si="29"/>
        <v>0</v>
      </c>
      <c r="L332" s="9">
        <f t="shared" si="29"/>
        <v>0</v>
      </c>
      <c r="M332" s="9">
        <f t="shared" si="29"/>
        <v>0</v>
      </c>
      <c r="N332" s="9">
        <f t="shared" si="29"/>
        <v>0</v>
      </c>
      <c r="O332" s="9">
        <f t="shared" si="29"/>
        <v>0</v>
      </c>
      <c r="P332" s="9">
        <f t="shared" si="29"/>
        <v>0</v>
      </c>
      <c r="Q332" s="9">
        <f t="shared" si="29"/>
        <v>0</v>
      </c>
      <c r="R332" s="89" t="s">
        <v>580</v>
      </c>
    </row>
    <row r="333" spans="1:18" ht="19.05" customHeight="1" x14ac:dyDescent="0.3">
      <c r="B333" s="9">
        <f t="shared" si="29"/>
        <v>0</v>
      </c>
      <c r="C333" s="9">
        <f t="shared" si="29"/>
        <v>0</v>
      </c>
      <c r="D333" s="9">
        <f t="shared" si="29"/>
        <v>0</v>
      </c>
      <c r="E333" s="9">
        <f t="shared" si="29"/>
        <v>0</v>
      </c>
      <c r="F333" s="77">
        <f t="shared" si="29"/>
        <v>-14515.199999999999</v>
      </c>
      <c r="G333" s="77">
        <f t="shared" si="29"/>
        <v>-19353.599999999999</v>
      </c>
      <c r="H333" s="9">
        <f t="shared" si="29"/>
        <v>0</v>
      </c>
      <c r="I333" s="9">
        <f t="shared" si="29"/>
        <v>0</v>
      </c>
      <c r="J333" s="9">
        <f t="shared" si="29"/>
        <v>0</v>
      </c>
      <c r="K333" s="9">
        <f t="shared" si="29"/>
        <v>0</v>
      </c>
      <c r="L333" s="9">
        <f t="shared" si="29"/>
        <v>0</v>
      </c>
      <c r="M333" s="9">
        <f t="shared" si="29"/>
        <v>0</v>
      </c>
      <c r="N333" s="9">
        <f t="shared" si="29"/>
        <v>0</v>
      </c>
      <c r="O333" s="9">
        <f t="shared" si="29"/>
        <v>0</v>
      </c>
      <c r="P333" s="77">
        <f t="shared" si="29"/>
        <v>14515.199999999999</v>
      </c>
      <c r="Q333" s="77">
        <f t="shared" si="29"/>
        <v>19353.599999999999</v>
      </c>
      <c r="R333" s="89" t="s">
        <v>601</v>
      </c>
    </row>
    <row r="334" spans="1:18" ht="19.05" customHeight="1" x14ac:dyDescent="0.3">
      <c r="B334" s="9">
        <f t="shared" si="29"/>
        <v>0</v>
      </c>
      <c r="C334" s="9">
        <f t="shared" si="29"/>
        <v>0</v>
      </c>
      <c r="D334" s="9">
        <f t="shared" si="29"/>
        <v>0</v>
      </c>
      <c r="E334" s="9">
        <f t="shared" si="29"/>
        <v>0</v>
      </c>
      <c r="F334" s="77">
        <f t="shared" si="29"/>
        <v>-19353.599999999999</v>
      </c>
      <c r="G334" s="77">
        <f t="shared" si="29"/>
        <v>-25804.800000000007</v>
      </c>
      <c r="H334" s="9">
        <f t="shared" si="29"/>
        <v>0</v>
      </c>
      <c r="I334" s="9">
        <f t="shared" si="29"/>
        <v>0</v>
      </c>
      <c r="J334" s="9">
        <f t="shared" si="29"/>
        <v>0</v>
      </c>
      <c r="K334" s="9">
        <f t="shared" si="29"/>
        <v>0</v>
      </c>
      <c r="L334" s="9">
        <f t="shared" si="29"/>
        <v>0</v>
      </c>
      <c r="M334" s="9">
        <f t="shared" si="29"/>
        <v>0</v>
      </c>
      <c r="N334" s="9">
        <f t="shared" si="29"/>
        <v>0</v>
      </c>
      <c r="O334" s="9">
        <f t="shared" si="29"/>
        <v>0</v>
      </c>
      <c r="P334" s="77">
        <f t="shared" si="29"/>
        <v>19353.599999999999</v>
      </c>
      <c r="Q334" s="77">
        <f t="shared" si="29"/>
        <v>25804.800000000007</v>
      </c>
      <c r="R334" s="89" t="s">
        <v>602</v>
      </c>
    </row>
    <row r="337" spans="1:18" ht="18" customHeight="1" x14ac:dyDescent="0.3">
      <c r="B337" s="78" t="str">
        <f>CONCATENATE("U",C34,C$21)</f>
        <v>U8X</v>
      </c>
      <c r="C337" s="78" t="str">
        <f>CONCATENATE("U",D34,D$21)</f>
        <v>U8Y</v>
      </c>
      <c r="D337" s="78" t="str">
        <f>CONCATENATE("U",E34,E$21)</f>
        <v>U4X</v>
      </c>
      <c r="E337" s="78" t="str">
        <f>CONCATENATE("U",F34,F$21)</f>
        <v>U4Y</v>
      </c>
    </row>
    <row r="338" spans="1:18" x14ac:dyDescent="0.3">
      <c r="B338" s="79">
        <f>J18*J18*N18</f>
        <v>0</v>
      </c>
      <c r="C338" s="79">
        <f>J18*K18*N18</f>
        <v>0</v>
      </c>
      <c r="D338" s="79">
        <f>-B338</f>
        <v>0</v>
      </c>
      <c r="E338" s="79">
        <f>-C338</f>
        <v>0</v>
      </c>
      <c r="F338" s="78" t="str">
        <f>B337</f>
        <v>U8X</v>
      </c>
    </row>
    <row r="339" spans="1:18" ht="16.8" customHeight="1" x14ac:dyDescent="0.3">
      <c r="A339" s="28" t="s">
        <v>605</v>
      </c>
      <c r="B339" s="79">
        <f>C338</f>
        <v>0</v>
      </c>
      <c r="C339" s="79">
        <f>K18*K18*N18</f>
        <v>50400</v>
      </c>
      <c r="D339" s="79">
        <f>-B339</f>
        <v>0</v>
      </c>
      <c r="E339" s="79">
        <f>-C339</f>
        <v>-50400</v>
      </c>
      <c r="F339" s="78" t="str">
        <f>C337</f>
        <v>U8Y</v>
      </c>
    </row>
    <row r="340" spans="1:18" x14ac:dyDescent="0.3">
      <c r="B340" s="79">
        <f>D338</f>
        <v>0</v>
      </c>
      <c r="C340" s="79">
        <f>E338</f>
        <v>0</v>
      </c>
      <c r="D340" s="79">
        <f>B338</f>
        <v>0</v>
      </c>
      <c r="E340" s="79">
        <f>C338</f>
        <v>0</v>
      </c>
      <c r="F340" s="78" t="str">
        <f>D337</f>
        <v>U4X</v>
      </c>
    </row>
    <row r="341" spans="1:18" x14ac:dyDescent="0.3">
      <c r="B341" s="79">
        <f>D339</f>
        <v>0</v>
      </c>
      <c r="C341" s="79">
        <f>E339</f>
        <v>-50400</v>
      </c>
      <c r="D341" s="79">
        <f>B339</f>
        <v>0</v>
      </c>
      <c r="E341" s="79">
        <f>C339</f>
        <v>50400</v>
      </c>
      <c r="F341" s="78" t="str">
        <f>E337</f>
        <v>U4Y</v>
      </c>
    </row>
    <row r="343" spans="1:18" ht="18" customHeight="1" x14ac:dyDescent="0.3">
      <c r="B343" s="78" t="s">
        <v>178</v>
      </c>
      <c r="C343" s="78" t="s">
        <v>179</v>
      </c>
      <c r="D343" s="78" t="s">
        <v>180</v>
      </c>
      <c r="E343" s="78" t="s">
        <v>181</v>
      </c>
      <c r="F343" s="78" t="s">
        <v>182</v>
      </c>
      <c r="G343" s="78" t="s">
        <v>183</v>
      </c>
      <c r="H343" s="78" t="s">
        <v>184</v>
      </c>
      <c r="I343" s="78" t="s">
        <v>185</v>
      </c>
      <c r="J343" s="78" t="s">
        <v>186</v>
      </c>
      <c r="K343" s="78" t="s">
        <v>187</v>
      </c>
      <c r="L343" s="78" t="s">
        <v>188</v>
      </c>
      <c r="M343" s="78" t="s">
        <v>189</v>
      </c>
      <c r="N343" s="78" t="s">
        <v>579</v>
      </c>
      <c r="O343" s="78" t="s">
        <v>580</v>
      </c>
      <c r="P343" s="78" t="s">
        <v>601</v>
      </c>
      <c r="Q343" s="78" t="s">
        <v>602</v>
      </c>
    </row>
    <row r="344" spans="1:18" ht="19.05" customHeight="1" x14ac:dyDescent="0.3">
      <c r="B344" s="9">
        <f t="shared" ref="B344:Q353" si="30">IFERROR(INDEX($B$338:$E$341, MATCH($R344, $B$337:$E$337, 0), MATCH(B$343, $B$337:$E$337, 0)), 0)</f>
        <v>0</v>
      </c>
      <c r="C344" s="9">
        <f t="shared" si="30"/>
        <v>0</v>
      </c>
      <c r="D344" s="9">
        <f t="shared" si="30"/>
        <v>0</v>
      </c>
      <c r="E344" s="9">
        <f t="shared" si="30"/>
        <v>0</v>
      </c>
      <c r="F344" s="9">
        <f t="shared" si="30"/>
        <v>0</v>
      </c>
      <c r="G344" s="9">
        <f t="shared" si="30"/>
        <v>0</v>
      </c>
      <c r="H344" s="9">
        <f t="shared" si="30"/>
        <v>0</v>
      </c>
      <c r="I344" s="9">
        <f t="shared" si="30"/>
        <v>0</v>
      </c>
      <c r="J344" s="9">
        <f t="shared" si="30"/>
        <v>0</v>
      </c>
      <c r="K344" s="9">
        <f t="shared" si="30"/>
        <v>0</v>
      </c>
      <c r="L344" s="9">
        <f t="shared" si="30"/>
        <v>0</v>
      </c>
      <c r="M344" s="9">
        <f t="shared" si="30"/>
        <v>0</v>
      </c>
      <c r="N344" s="9">
        <f t="shared" si="30"/>
        <v>0</v>
      </c>
      <c r="O344" s="9">
        <f t="shared" si="30"/>
        <v>0</v>
      </c>
      <c r="P344" s="9">
        <f t="shared" si="30"/>
        <v>0</v>
      </c>
      <c r="Q344" s="9">
        <f t="shared" si="30"/>
        <v>0</v>
      </c>
      <c r="R344" s="78" t="s">
        <v>178</v>
      </c>
    </row>
    <row r="345" spans="1:18" ht="19.05" customHeight="1" x14ac:dyDescent="0.3">
      <c r="B345" s="9">
        <f t="shared" si="30"/>
        <v>0</v>
      </c>
      <c r="C345" s="9">
        <f t="shared" si="30"/>
        <v>0</v>
      </c>
      <c r="D345" s="9">
        <f t="shared" si="30"/>
        <v>0</v>
      </c>
      <c r="E345" s="9">
        <f t="shared" si="30"/>
        <v>0</v>
      </c>
      <c r="F345" s="9">
        <f t="shared" si="30"/>
        <v>0</v>
      </c>
      <c r="G345" s="9">
        <f t="shared" si="30"/>
        <v>0</v>
      </c>
      <c r="H345" s="9">
        <f t="shared" si="30"/>
        <v>0</v>
      </c>
      <c r="I345" s="9">
        <f t="shared" si="30"/>
        <v>0</v>
      </c>
      <c r="J345" s="9">
        <f t="shared" si="30"/>
        <v>0</v>
      </c>
      <c r="K345" s="9">
        <f t="shared" si="30"/>
        <v>0</v>
      </c>
      <c r="L345" s="9">
        <f t="shared" si="30"/>
        <v>0</v>
      </c>
      <c r="M345" s="9">
        <f t="shared" si="30"/>
        <v>0</v>
      </c>
      <c r="N345" s="9">
        <f t="shared" si="30"/>
        <v>0</v>
      </c>
      <c r="O345" s="9">
        <f t="shared" si="30"/>
        <v>0</v>
      </c>
      <c r="P345" s="9">
        <f t="shared" si="30"/>
        <v>0</v>
      </c>
      <c r="Q345" s="9">
        <f t="shared" si="30"/>
        <v>0</v>
      </c>
      <c r="R345" s="78" t="s">
        <v>179</v>
      </c>
    </row>
    <row r="346" spans="1:18" ht="19.05" customHeight="1" x14ac:dyDescent="0.3">
      <c r="B346" s="9">
        <f t="shared" si="30"/>
        <v>0</v>
      </c>
      <c r="C346" s="9">
        <f t="shared" si="30"/>
        <v>0</v>
      </c>
      <c r="D346" s="9">
        <f t="shared" si="30"/>
        <v>0</v>
      </c>
      <c r="E346" s="9">
        <f t="shared" si="30"/>
        <v>0</v>
      </c>
      <c r="F346" s="9">
        <f t="shared" si="30"/>
        <v>0</v>
      </c>
      <c r="G346" s="9">
        <f t="shared" si="30"/>
        <v>0</v>
      </c>
      <c r="H346" s="9">
        <f t="shared" si="30"/>
        <v>0</v>
      </c>
      <c r="I346" s="9">
        <f t="shared" si="30"/>
        <v>0</v>
      </c>
      <c r="J346" s="9">
        <f t="shared" si="30"/>
        <v>0</v>
      </c>
      <c r="K346" s="9">
        <f t="shared" si="30"/>
        <v>0</v>
      </c>
      <c r="L346" s="9">
        <f t="shared" si="30"/>
        <v>0</v>
      </c>
      <c r="M346" s="9">
        <f t="shared" si="30"/>
        <v>0</v>
      </c>
      <c r="N346" s="9">
        <f t="shared" si="30"/>
        <v>0</v>
      </c>
      <c r="O346" s="9">
        <f t="shared" si="30"/>
        <v>0</v>
      </c>
      <c r="P346" s="9">
        <f t="shared" si="30"/>
        <v>0</v>
      </c>
      <c r="Q346" s="9">
        <f t="shared" si="30"/>
        <v>0</v>
      </c>
      <c r="R346" s="78" t="s">
        <v>180</v>
      </c>
    </row>
    <row r="347" spans="1:18" ht="19.05" customHeight="1" x14ac:dyDescent="0.3">
      <c r="B347" s="9">
        <f t="shared" si="30"/>
        <v>0</v>
      </c>
      <c r="C347" s="9">
        <f t="shared" si="30"/>
        <v>0</v>
      </c>
      <c r="D347" s="9">
        <f t="shared" si="30"/>
        <v>0</v>
      </c>
      <c r="E347" s="9">
        <f t="shared" si="30"/>
        <v>0</v>
      </c>
      <c r="F347" s="9">
        <f t="shared" si="30"/>
        <v>0</v>
      </c>
      <c r="G347" s="9">
        <f t="shared" si="30"/>
        <v>0</v>
      </c>
      <c r="H347" s="9">
        <f t="shared" si="30"/>
        <v>0</v>
      </c>
      <c r="I347" s="9">
        <f t="shared" si="30"/>
        <v>0</v>
      </c>
      <c r="J347" s="9">
        <f t="shared" si="30"/>
        <v>0</v>
      </c>
      <c r="K347" s="9">
        <f t="shared" si="30"/>
        <v>0</v>
      </c>
      <c r="L347" s="9">
        <f t="shared" si="30"/>
        <v>0</v>
      </c>
      <c r="M347" s="9">
        <f t="shared" si="30"/>
        <v>0</v>
      </c>
      <c r="N347" s="9">
        <f t="shared" si="30"/>
        <v>0</v>
      </c>
      <c r="O347" s="9">
        <f t="shared" si="30"/>
        <v>0</v>
      </c>
      <c r="P347" s="9">
        <f t="shared" si="30"/>
        <v>0</v>
      </c>
      <c r="Q347" s="9">
        <f t="shared" si="30"/>
        <v>0</v>
      </c>
      <c r="R347" s="78" t="s">
        <v>181</v>
      </c>
    </row>
    <row r="348" spans="1:18" ht="19.05" customHeight="1" x14ac:dyDescent="0.3">
      <c r="B348" s="9">
        <f t="shared" si="30"/>
        <v>0</v>
      </c>
      <c r="C348" s="9">
        <f t="shared" si="30"/>
        <v>0</v>
      </c>
      <c r="D348" s="9">
        <f t="shared" si="30"/>
        <v>0</v>
      </c>
      <c r="E348" s="9">
        <f t="shared" si="30"/>
        <v>0</v>
      </c>
      <c r="F348" s="9">
        <f t="shared" si="30"/>
        <v>0</v>
      </c>
      <c r="G348" s="9">
        <f t="shared" si="30"/>
        <v>0</v>
      </c>
      <c r="H348" s="9">
        <f t="shared" si="30"/>
        <v>0</v>
      </c>
      <c r="I348" s="9">
        <f t="shared" si="30"/>
        <v>0</v>
      </c>
      <c r="J348" s="9">
        <f t="shared" si="30"/>
        <v>0</v>
      </c>
      <c r="K348" s="9">
        <f t="shared" si="30"/>
        <v>0</v>
      </c>
      <c r="L348" s="9">
        <f t="shared" si="30"/>
        <v>0</v>
      </c>
      <c r="M348" s="9">
        <f t="shared" si="30"/>
        <v>0</v>
      </c>
      <c r="N348" s="9">
        <f t="shared" si="30"/>
        <v>0</v>
      </c>
      <c r="O348" s="9">
        <f t="shared" si="30"/>
        <v>0</v>
      </c>
      <c r="P348" s="9">
        <f t="shared" si="30"/>
        <v>0</v>
      </c>
      <c r="Q348" s="9">
        <f t="shared" si="30"/>
        <v>0</v>
      </c>
      <c r="R348" s="78" t="s">
        <v>182</v>
      </c>
    </row>
    <row r="349" spans="1:18" ht="19.05" customHeight="1" x14ac:dyDescent="0.3">
      <c r="B349" s="9">
        <f t="shared" si="30"/>
        <v>0</v>
      </c>
      <c r="C349" s="9">
        <f t="shared" si="30"/>
        <v>0</v>
      </c>
      <c r="D349" s="9">
        <f t="shared" si="30"/>
        <v>0</v>
      </c>
      <c r="E349" s="9">
        <f t="shared" si="30"/>
        <v>0</v>
      </c>
      <c r="F349" s="9">
        <f t="shared" si="30"/>
        <v>0</v>
      </c>
      <c r="G349" s="9">
        <f t="shared" si="30"/>
        <v>0</v>
      </c>
      <c r="H349" s="9">
        <f t="shared" si="30"/>
        <v>0</v>
      </c>
      <c r="I349" s="9">
        <f t="shared" si="30"/>
        <v>0</v>
      </c>
      <c r="J349" s="9">
        <f t="shared" si="30"/>
        <v>0</v>
      </c>
      <c r="K349" s="9">
        <f t="shared" si="30"/>
        <v>0</v>
      </c>
      <c r="L349" s="9">
        <f t="shared" si="30"/>
        <v>0</v>
      </c>
      <c r="M349" s="9">
        <f t="shared" si="30"/>
        <v>0</v>
      </c>
      <c r="N349" s="9">
        <f t="shared" si="30"/>
        <v>0</v>
      </c>
      <c r="O349" s="9">
        <f t="shared" si="30"/>
        <v>0</v>
      </c>
      <c r="P349" s="9">
        <f t="shared" si="30"/>
        <v>0</v>
      </c>
      <c r="Q349" s="9">
        <f t="shared" si="30"/>
        <v>0</v>
      </c>
      <c r="R349" s="78" t="s">
        <v>183</v>
      </c>
    </row>
    <row r="350" spans="1:18" ht="19.05" customHeight="1" x14ac:dyDescent="0.3">
      <c r="B350" s="9">
        <f t="shared" si="30"/>
        <v>0</v>
      </c>
      <c r="C350" s="9">
        <f t="shared" si="30"/>
        <v>0</v>
      </c>
      <c r="D350" s="9">
        <f t="shared" si="30"/>
        <v>0</v>
      </c>
      <c r="E350" s="9">
        <f t="shared" si="30"/>
        <v>0</v>
      </c>
      <c r="F350" s="9">
        <f t="shared" si="30"/>
        <v>0</v>
      </c>
      <c r="G350" s="9">
        <f t="shared" si="30"/>
        <v>0</v>
      </c>
      <c r="H350" s="80">
        <f t="shared" si="30"/>
        <v>0</v>
      </c>
      <c r="I350" s="80">
        <f t="shared" si="30"/>
        <v>0</v>
      </c>
      <c r="J350" s="9">
        <f t="shared" si="30"/>
        <v>0</v>
      </c>
      <c r="K350" s="9">
        <f t="shared" si="30"/>
        <v>0</v>
      </c>
      <c r="L350" s="9">
        <f t="shared" si="30"/>
        <v>0</v>
      </c>
      <c r="M350" s="9">
        <f t="shared" si="30"/>
        <v>0</v>
      </c>
      <c r="N350" s="9">
        <f t="shared" si="30"/>
        <v>0</v>
      </c>
      <c r="O350" s="9">
        <f t="shared" si="30"/>
        <v>0</v>
      </c>
      <c r="P350" s="80">
        <f t="shared" si="30"/>
        <v>0</v>
      </c>
      <c r="Q350" s="80">
        <f t="shared" si="30"/>
        <v>0</v>
      </c>
      <c r="R350" s="78" t="s">
        <v>184</v>
      </c>
    </row>
    <row r="351" spans="1:18" ht="19.05" customHeight="1" x14ac:dyDescent="0.3">
      <c r="A351" s="28" t="s">
        <v>606</v>
      </c>
      <c r="B351" s="9">
        <f t="shared" si="30"/>
        <v>0</v>
      </c>
      <c r="C351" s="9">
        <f t="shared" si="30"/>
        <v>0</v>
      </c>
      <c r="D351" s="9">
        <f t="shared" si="30"/>
        <v>0</v>
      </c>
      <c r="E351" s="9">
        <f t="shared" si="30"/>
        <v>0</v>
      </c>
      <c r="F351" s="9">
        <f t="shared" si="30"/>
        <v>0</v>
      </c>
      <c r="G351" s="9">
        <f t="shared" si="30"/>
        <v>0</v>
      </c>
      <c r="H351" s="80">
        <f t="shared" si="30"/>
        <v>0</v>
      </c>
      <c r="I351" s="80">
        <f t="shared" si="30"/>
        <v>50400</v>
      </c>
      <c r="J351" s="9">
        <f t="shared" si="30"/>
        <v>0</v>
      </c>
      <c r="K351" s="9">
        <f t="shared" si="30"/>
        <v>0</v>
      </c>
      <c r="L351" s="9">
        <f t="shared" si="30"/>
        <v>0</v>
      </c>
      <c r="M351" s="9">
        <f t="shared" si="30"/>
        <v>0</v>
      </c>
      <c r="N351" s="9">
        <f t="shared" si="30"/>
        <v>0</v>
      </c>
      <c r="O351" s="9">
        <f t="shared" si="30"/>
        <v>0</v>
      </c>
      <c r="P351" s="80">
        <f t="shared" si="30"/>
        <v>0</v>
      </c>
      <c r="Q351" s="80">
        <f t="shared" si="30"/>
        <v>-50400</v>
      </c>
      <c r="R351" s="78" t="s">
        <v>185</v>
      </c>
    </row>
    <row r="352" spans="1:18" ht="19.05" customHeight="1" x14ac:dyDescent="0.3">
      <c r="B352" s="9">
        <f t="shared" si="30"/>
        <v>0</v>
      </c>
      <c r="C352" s="9">
        <f t="shared" si="30"/>
        <v>0</v>
      </c>
      <c r="D352" s="9">
        <f t="shared" si="30"/>
        <v>0</v>
      </c>
      <c r="E352" s="9">
        <f t="shared" si="30"/>
        <v>0</v>
      </c>
      <c r="F352" s="9">
        <f t="shared" si="30"/>
        <v>0</v>
      </c>
      <c r="G352" s="9">
        <f t="shared" si="30"/>
        <v>0</v>
      </c>
      <c r="H352" s="9">
        <f t="shared" si="30"/>
        <v>0</v>
      </c>
      <c r="I352" s="9">
        <f t="shared" si="30"/>
        <v>0</v>
      </c>
      <c r="J352" s="9">
        <f t="shared" si="30"/>
        <v>0</v>
      </c>
      <c r="K352" s="9">
        <f t="shared" si="30"/>
        <v>0</v>
      </c>
      <c r="L352" s="9">
        <f t="shared" si="30"/>
        <v>0</v>
      </c>
      <c r="M352" s="9">
        <f t="shared" si="30"/>
        <v>0</v>
      </c>
      <c r="N352" s="9">
        <f t="shared" si="30"/>
        <v>0</v>
      </c>
      <c r="O352" s="9">
        <f t="shared" si="30"/>
        <v>0</v>
      </c>
      <c r="P352" s="9">
        <f t="shared" si="30"/>
        <v>0</v>
      </c>
      <c r="Q352" s="9">
        <f t="shared" si="30"/>
        <v>0</v>
      </c>
      <c r="R352" s="78" t="s">
        <v>186</v>
      </c>
    </row>
    <row r="353" spans="2:18" ht="19.05" customHeight="1" x14ac:dyDescent="0.3">
      <c r="B353" s="9">
        <f t="shared" si="30"/>
        <v>0</v>
      </c>
      <c r="C353" s="9">
        <f t="shared" si="30"/>
        <v>0</v>
      </c>
      <c r="D353" s="9">
        <f t="shared" si="30"/>
        <v>0</v>
      </c>
      <c r="E353" s="9">
        <f t="shared" si="30"/>
        <v>0</v>
      </c>
      <c r="F353" s="9">
        <f t="shared" si="30"/>
        <v>0</v>
      </c>
      <c r="G353" s="9">
        <f t="shared" si="30"/>
        <v>0</v>
      </c>
      <c r="H353" s="9">
        <f t="shared" si="30"/>
        <v>0</v>
      </c>
      <c r="I353" s="9">
        <f t="shared" si="30"/>
        <v>0</v>
      </c>
      <c r="J353" s="9">
        <f t="shared" si="30"/>
        <v>0</v>
      </c>
      <c r="K353" s="9">
        <f t="shared" si="30"/>
        <v>0</v>
      </c>
      <c r="L353" s="9">
        <f t="shared" si="30"/>
        <v>0</v>
      </c>
      <c r="M353" s="9">
        <f t="shared" si="30"/>
        <v>0</v>
      </c>
      <c r="N353" s="9">
        <f t="shared" si="30"/>
        <v>0</v>
      </c>
      <c r="O353" s="9">
        <f t="shared" si="30"/>
        <v>0</v>
      </c>
      <c r="P353" s="9">
        <f t="shared" si="30"/>
        <v>0</v>
      </c>
      <c r="Q353" s="9">
        <f t="shared" si="30"/>
        <v>0</v>
      </c>
      <c r="R353" s="78" t="s">
        <v>187</v>
      </c>
    </row>
    <row r="354" spans="2:18" ht="19.05" customHeight="1" x14ac:dyDescent="0.3">
      <c r="B354" s="9">
        <f t="shared" ref="B354:Q359" si="31">IFERROR(INDEX($B$338:$E$341, MATCH($R354, $B$337:$E$337, 0), MATCH(B$343, $B$337:$E$337, 0)), 0)</f>
        <v>0</v>
      </c>
      <c r="C354" s="9">
        <f t="shared" si="31"/>
        <v>0</v>
      </c>
      <c r="D354" s="9">
        <f t="shared" si="31"/>
        <v>0</v>
      </c>
      <c r="E354" s="9">
        <f t="shared" si="31"/>
        <v>0</v>
      </c>
      <c r="F354" s="9">
        <f t="shared" si="31"/>
        <v>0</v>
      </c>
      <c r="G354" s="9">
        <f t="shared" si="31"/>
        <v>0</v>
      </c>
      <c r="H354" s="9">
        <f t="shared" si="31"/>
        <v>0</v>
      </c>
      <c r="I354" s="9">
        <f t="shared" si="31"/>
        <v>0</v>
      </c>
      <c r="J354" s="9">
        <f t="shared" si="31"/>
        <v>0</v>
      </c>
      <c r="K354" s="9">
        <f t="shared" si="31"/>
        <v>0</v>
      </c>
      <c r="L354" s="9">
        <f t="shared" si="31"/>
        <v>0</v>
      </c>
      <c r="M354" s="9">
        <f t="shared" si="31"/>
        <v>0</v>
      </c>
      <c r="N354" s="9">
        <f t="shared" si="31"/>
        <v>0</v>
      </c>
      <c r="O354" s="9">
        <f t="shared" si="31"/>
        <v>0</v>
      </c>
      <c r="P354" s="9">
        <f t="shared" si="31"/>
        <v>0</v>
      </c>
      <c r="Q354" s="9">
        <f t="shared" si="31"/>
        <v>0</v>
      </c>
      <c r="R354" s="78" t="s">
        <v>188</v>
      </c>
    </row>
    <row r="355" spans="2:18" ht="19.05" customHeight="1" x14ac:dyDescent="0.3">
      <c r="B355" s="9">
        <f t="shared" si="31"/>
        <v>0</v>
      </c>
      <c r="C355" s="9">
        <f t="shared" si="31"/>
        <v>0</v>
      </c>
      <c r="D355" s="9">
        <f t="shared" si="31"/>
        <v>0</v>
      </c>
      <c r="E355" s="9">
        <f t="shared" si="31"/>
        <v>0</v>
      </c>
      <c r="F355" s="9">
        <f t="shared" si="31"/>
        <v>0</v>
      </c>
      <c r="G355" s="9">
        <f t="shared" si="31"/>
        <v>0</v>
      </c>
      <c r="H355" s="9">
        <f t="shared" si="31"/>
        <v>0</v>
      </c>
      <c r="I355" s="9">
        <f t="shared" si="31"/>
        <v>0</v>
      </c>
      <c r="J355" s="9">
        <f t="shared" si="31"/>
        <v>0</v>
      </c>
      <c r="K355" s="9">
        <f t="shared" si="31"/>
        <v>0</v>
      </c>
      <c r="L355" s="9">
        <f t="shared" si="31"/>
        <v>0</v>
      </c>
      <c r="M355" s="9">
        <f t="shared" si="31"/>
        <v>0</v>
      </c>
      <c r="N355" s="9">
        <f t="shared" si="31"/>
        <v>0</v>
      </c>
      <c r="O355" s="9">
        <f t="shared" si="31"/>
        <v>0</v>
      </c>
      <c r="P355" s="9">
        <f t="shared" si="31"/>
        <v>0</v>
      </c>
      <c r="Q355" s="9">
        <f t="shared" si="31"/>
        <v>0</v>
      </c>
      <c r="R355" s="78" t="s">
        <v>189</v>
      </c>
    </row>
    <row r="356" spans="2:18" ht="19.05" customHeight="1" x14ac:dyDescent="0.3">
      <c r="B356" s="9">
        <f t="shared" si="31"/>
        <v>0</v>
      </c>
      <c r="C356" s="9">
        <f t="shared" si="31"/>
        <v>0</v>
      </c>
      <c r="D356" s="9">
        <f t="shared" si="31"/>
        <v>0</v>
      </c>
      <c r="E356" s="9">
        <f t="shared" si="31"/>
        <v>0</v>
      </c>
      <c r="F356" s="9">
        <f t="shared" si="31"/>
        <v>0</v>
      </c>
      <c r="G356" s="9">
        <f t="shared" si="31"/>
        <v>0</v>
      </c>
      <c r="H356" s="9">
        <f t="shared" si="31"/>
        <v>0</v>
      </c>
      <c r="I356" s="9">
        <f t="shared" si="31"/>
        <v>0</v>
      </c>
      <c r="J356" s="9">
        <f t="shared" si="31"/>
        <v>0</v>
      </c>
      <c r="K356" s="9">
        <f t="shared" si="31"/>
        <v>0</v>
      </c>
      <c r="L356" s="9">
        <f t="shared" si="31"/>
        <v>0</v>
      </c>
      <c r="M356" s="9">
        <f t="shared" si="31"/>
        <v>0</v>
      </c>
      <c r="N356" s="9">
        <f t="shared" si="31"/>
        <v>0</v>
      </c>
      <c r="O356" s="9">
        <f t="shared" si="31"/>
        <v>0</v>
      </c>
      <c r="P356" s="9">
        <f t="shared" si="31"/>
        <v>0</v>
      </c>
      <c r="Q356" s="9">
        <f t="shared" si="31"/>
        <v>0</v>
      </c>
      <c r="R356" s="78" t="s">
        <v>579</v>
      </c>
    </row>
    <row r="357" spans="2:18" ht="19.05" customHeight="1" x14ac:dyDescent="0.3">
      <c r="B357" s="9">
        <f t="shared" si="31"/>
        <v>0</v>
      </c>
      <c r="C357" s="9">
        <f t="shared" si="31"/>
        <v>0</v>
      </c>
      <c r="D357" s="9">
        <f t="shared" si="31"/>
        <v>0</v>
      </c>
      <c r="E357" s="9">
        <f t="shared" si="31"/>
        <v>0</v>
      </c>
      <c r="F357" s="9">
        <f t="shared" si="31"/>
        <v>0</v>
      </c>
      <c r="G357" s="9">
        <f t="shared" si="31"/>
        <v>0</v>
      </c>
      <c r="H357" s="9">
        <f t="shared" si="31"/>
        <v>0</v>
      </c>
      <c r="I357" s="9">
        <f t="shared" si="31"/>
        <v>0</v>
      </c>
      <c r="J357" s="9">
        <f t="shared" si="31"/>
        <v>0</v>
      </c>
      <c r="K357" s="9">
        <f t="shared" si="31"/>
        <v>0</v>
      </c>
      <c r="L357" s="9">
        <f t="shared" si="31"/>
        <v>0</v>
      </c>
      <c r="M357" s="9">
        <f t="shared" si="31"/>
        <v>0</v>
      </c>
      <c r="N357" s="9">
        <f t="shared" si="31"/>
        <v>0</v>
      </c>
      <c r="O357" s="9">
        <f t="shared" si="31"/>
        <v>0</v>
      </c>
      <c r="P357" s="9">
        <f t="shared" si="31"/>
        <v>0</v>
      </c>
      <c r="Q357" s="9">
        <f t="shared" si="31"/>
        <v>0</v>
      </c>
      <c r="R357" s="78" t="s">
        <v>580</v>
      </c>
    </row>
    <row r="358" spans="2:18" ht="19.05" customHeight="1" x14ac:dyDescent="0.3">
      <c r="B358" s="9">
        <f t="shared" si="31"/>
        <v>0</v>
      </c>
      <c r="C358" s="9">
        <f t="shared" si="31"/>
        <v>0</v>
      </c>
      <c r="D358" s="9">
        <f t="shared" si="31"/>
        <v>0</v>
      </c>
      <c r="E358" s="9">
        <f t="shared" si="31"/>
        <v>0</v>
      </c>
      <c r="F358" s="9">
        <f t="shared" si="31"/>
        <v>0</v>
      </c>
      <c r="G358" s="9">
        <f t="shared" si="31"/>
        <v>0</v>
      </c>
      <c r="H358" s="80">
        <f t="shared" si="31"/>
        <v>0</v>
      </c>
      <c r="I358" s="80">
        <f t="shared" si="31"/>
        <v>0</v>
      </c>
      <c r="J358" s="9">
        <f t="shared" si="31"/>
        <v>0</v>
      </c>
      <c r="K358" s="9">
        <f t="shared" si="31"/>
        <v>0</v>
      </c>
      <c r="L358" s="9">
        <f t="shared" si="31"/>
        <v>0</v>
      </c>
      <c r="M358" s="9">
        <f t="shared" si="31"/>
        <v>0</v>
      </c>
      <c r="N358" s="9">
        <f t="shared" si="31"/>
        <v>0</v>
      </c>
      <c r="O358" s="9">
        <f t="shared" si="31"/>
        <v>0</v>
      </c>
      <c r="P358" s="80">
        <f t="shared" si="31"/>
        <v>0</v>
      </c>
      <c r="Q358" s="80">
        <f t="shared" si="31"/>
        <v>0</v>
      </c>
      <c r="R358" s="78" t="s">
        <v>601</v>
      </c>
    </row>
    <row r="359" spans="2:18" ht="19.05" customHeight="1" x14ac:dyDescent="0.3">
      <c r="B359" s="9">
        <f t="shared" si="31"/>
        <v>0</v>
      </c>
      <c r="C359" s="9">
        <f t="shared" si="31"/>
        <v>0</v>
      </c>
      <c r="D359" s="9">
        <f t="shared" si="31"/>
        <v>0</v>
      </c>
      <c r="E359" s="9">
        <f t="shared" si="31"/>
        <v>0</v>
      </c>
      <c r="F359" s="9">
        <f t="shared" si="31"/>
        <v>0</v>
      </c>
      <c r="G359" s="9">
        <f t="shared" si="31"/>
        <v>0</v>
      </c>
      <c r="H359" s="80">
        <f t="shared" si="31"/>
        <v>0</v>
      </c>
      <c r="I359" s="80">
        <f t="shared" si="31"/>
        <v>-50400</v>
      </c>
      <c r="J359" s="9">
        <f t="shared" si="31"/>
        <v>0</v>
      </c>
      <c r="K359" s="9">
        <f t="shared" si="31"/>
        <v>0</v>
      </c>
      <c r="L359" s="9">
        <f t="shared" si="31"/>
        <v>0</v>
      </c>
      <c r="M359" s="9">
        <f t="shared" si="31"/>
        <v>0</v>
      </c>
      <c r="N359" s="9">
        <f t="shared" si="31"/>
        <v>0</v>
      </c>
      <c r="O359" s="9">
        <f t="shared" si="31"/>
        <v>0</v>
      </c>
      <c r="P359" s="80">
        <f t="shared" si="31"/>
        <v>0</v>
      </c>
      <c r="Q359" s="80">
        <f t="shared" si="31"/>
        <v>50400</v>
      </c>
      <c r="R359" s="78" t="s">
        <v>602</v>
      </c>
    </row>
    <row r="362" spans="2:18" ht="19.95" customHeight="1" x14ac:dyDescent="0.3">
      <c r="B362" s="87" t="s">
        <v>178</v>
      </c>
      <c r="C362" s="87" t="s">
        <v>179</v>
      </c>
      <c r="D362" s="87" t="s">
        <v>180</v>
      </c>
      <c r="E362" s="87" t="s">
        <v>181</v>
      </c>
      <c r="F362" s="87" t="s">
        <v>182</v>
      </c>
      <c r="G362" s="87" t="s">
        <v>183</v>
      </c>
      <c r="H362" s="87" t="s">
        <v>184</v>
      </c>
      <c r="I362" s="87" t="s">
        <v>185</v>
      </c>
      <c r="J362" s="87" t="s">
        <v>186</v>
      </c>
      <c r="K362" s="87" t="s">
        <v>187</v>
      </c>
      <c r="L362" s="87" t="s">
        <v>188</v>
      </c>
      <c r="M362" s="87" t="s">
        <v>189</v>
      </c>
      <c r="N362" s="87" t="s">
        <v>579</v>
      </c>
      <c r="O362" s="87" t="s">
        <v>580</v>
      </c>
      <c r="P362" s="87" t="s">
        <v>601</v>
      </c>
      <c r="Q362" s="87" t="s">
        <v>602</v>
      </c>
    </row>
    <row r="363" spans="2:18" ht="19.95" customHeight="1" x14ac:dyDescent="0.3">
      <c r="B363" s="35">
        <f t="shared" ref="B363:Q363" si="32">B44+B69+B94+B119+B144+B169+B194+B219+B244+B269+B294+B319+B344</f>
        <v>81715.199999999997</v>
      </c>
      <c r="C363" s="36">
        <f t="shared" si="32"/>
        <v>19353.599999999999</v>
      </c>
      <c r="D363" s="9">
        <f t="shared" si="32"/>
        <v>-67200</v>
      </c>
      <c r="E363" s="9">
        <f t="shared" si="32"/>
        <v>0</v>
      </c>
      <c r="F363" s="9">
        <f t="shared" si="32"/>
        <v>0</v>
      </c>
      <c r="G363" s="9">
        <f t="shared" si="32"/>
        <v>0</v>
      </c>
      <c r="H363" s="9">
        <f t="shared" si="32"/>
        <v>0</v>
      </c>
      <c r="I363" s="9">
        <f t="shared" si="32"/>
        <v>0</v>
      </c>
      <c r="J363" s="9">
        <f t="shared" si="32"/>
        <v>0</v>
      </c>
      <c r="K363" s="9">
        <f t="shared" si="32"/>
        <v>0</v>
      </c>
      <c r="L363" s="9">
        <f t="shared" si="32"/>
        <v>-14515.199999999999</v>
      </c>
      <c r="M363" s="9">
        <f t="shared" si="32"/>
        <v>-19353.599999999999</v>
      </c>
      <c r="N363" s="9">
        <f t="shared" si="32"/>
        <v>0</v>
      </c>
      <c r="O363" s="9">
        <f t="shared" si="32"/>
        <v>0</v>
      </c>
      <c r="P363" s="9">
        <f t="shared" si="32"/>
        <v>0</v>
      </c>
      <c r="Q363" s="9">
        <f t="shared" si="32"/>
        <v>0</v>
      </c>
      <c r="R363" s="89" t="s">
        <v>178</v>
      </c>
    </row>
    <row r="364" spans="2:18" ht="19.95" customHeight="1" x14ac:dyDescent="0.3">
      <c r="B364" s="36">
        <f t="shared" ref="B364:Q364" si="33">B45+B70+B95+B120+B145+B170+B195+B220+B245+B270+B295+B320+B345</f>
        <v>19353.599999999999</v>
      </c>
      <c r="C364" s="35">
        <f t="shared" si="33"/>
        <v>25804.800000000007</v>
      </c>
      <c r="D364" s="9">
        <f t="shared" si="33"/>
        <v>0</v>
      </c>
      <c r="E364" s="9">
        <f t="shared" si="33"/>
        <v>0</v>
      </c>
      <c r="F364" s="9">
        <f t="shared" si="33"/>
        <v>0</v>
      </c>
      <c r="G364" s="9">
        <f t="shared" si="33"/>
        <v>0</v>
      </c>
      <c r="H364" s="9">
        <f t="shared" si="33"/>
        <v>0</v>
      </c>
      <c r="I364" s="9">
        <f t="shared" si="33"/>
        <v>0</v>
      </c>
      <c r="J364" s="9">
        <f t="shared" si="33"/>
        <v>0</v>
      </c>
      <c r="K364" s="9">
        <f t="shared" si="33"/>
        <v>0</v>
      </c>
      <c r="L364" s="9">
        <f t="shared" si="33"/>
        <v>-19353.599999999999</v>
      </c>
      <c r="M364" s="9">
        <f t="shared" si="33"/>
        <v>-25804.800000000007</v>
      </c>
      <c r="N364" s="9">
        <f t="shared" si="33"/>
        <v>0</v>
      </c>
      <c r="O364" s="9">
        <f t="shared" si="33"/>
        <v>0</v>
      </c>
      <c r="P364" s="9">
        <f t="shared" si="33"/>
        <v>0</v>
      </c>
      <c r="Q364" s="9">
        <f t="shared" si="33"/>
        <v>0</v>
      </c>
      <c r="R364" s="89" t="s">
        <v>179</v>
      </c>
    </row>
    <row r="365" spans="2:18" ht="19.95" customHeight="1" x14ac:dyDescent="0.3">
      <c r="B365" s="9">
        <f t="shared" ref="B365:Q365" si="34">B46+B71+B96+B121+B146+B171+B196+B221+B246+B271+B296+B321+B346</f>
        <v>-67200</v>
      </c>
      <c r="C365" s="9">
        <f t="shared" si="34"/>
        <v>0</v>
      </c>
      <c r="D365" s="35">
        <f t="shared" si="34"/>
        <v>148915.20000000001</v>
      </c>
      <c r="E365" s="36">
        <f t="shared" si="34"/>
        <v>19353.599999999999</v>
      </c>
      <c r="F365" s="9">
        <f t="shared" si="34"/>
        <v>-67200</v>
      </c>
      <c r="G365" s="9">
        <f t="shared" si="34"/>
        <v>0</v>
      </c>
      <c r="H365" s="9">
        <f t="shared" si="34"/>
        <v>0</v>
      </c>
      <c r="I365" s="9">
        <f t="shared" si="34"/>
        <v>0</v>
      </c>
      <c r="J365" s="9">
        <f t="shared" si="34"/>
        <v>0</v>
      </c>
      <c r="K365" s="9">
        <f t="shared" si="34"/>
        <v>0</v>
      </c>
      <c r="L365" s="9">
        <f t="shared" si="34"/>
        <v>0</v>
      </c>
      <c r="M365" s="9">
        <f t="shared" si="34"/>
        <v>0</v>
      </c>
      <c r="N365" s="9">
        <f t="shared" si="34"/>
        <v>-14515.199999999999</v>
      </c>
      <c r="O365" s="9">
        <f t="shared" si="34"/>
        <v>-19353.599999999999</v>
      </c>
      <c r="P365" s="9">
        <f t="shared" si="34"/>
        <v>0</v>
      </c>
      <c r="Q365" s="9">
        <f t="shared" si="34"/>
        <v>0</v>
      </c>
      <c r="R365" s="89" t="s">
        <v>180</v>
      </c>
    </row>
    <row r="366" spans="2:18" ht="19.95" customHeight="1" x14ac:dyDescent="0.3">
      <c r="B366" s="9">
        <f t="shared" ref="B366:Q366" si="35">B47+B72+B97+B122+B147+B172+B197+B222+B247+B272+B297+B322+B347</f>
        <v>0</v>
      </c>
      <c r="C366" s="9">
        <f t="shared" si="35"/>
        <v>0</v>
      </c>
      <c r="D366" s="36">
        <f t="shared" si="35"/>
        <v>19353.599999999999</v>
      </c>
      <c r="E366" s="35">
        <f t="shared" si="35"/>
        <v>76204.800000000003</v>
      </c>
      <c r="F366" s="9">
        <f t="shared" si="35"/>
        <v>0</v>
      </c>
      <c r="G366" s="9">
        <f t="shared" si="35"/>
        <v>0</v>
      </c>
      <c r="H366" s="9">
        <f t="shared" si="35"/>
        <v>0</v>
      </c>
      <c r="I366" s="9">
        <f t="shared" si="35"/>
        <v>0</v>
      </c>
      <c r="J366" s="9">
        <f t="shared" si="35"/>
        <v>0</v>
      </c>
      <c r="K366" s="9">
        <f t="shared" si="35"/>
        <v>0</v>
      </c>
      <c r="L366" s="9">
        <f t="shared" si="35"/>
        <v>0</v>
      </c>
      <c r="M366" s="9">
        <f t="shared" si="35"/>
        <v>-50400</v>
      </c>
      <c r="N366" s="9">
        <f t="shared" si="35"/>
        <v>-19353.599999999999</v>
      </c>
      <c r="O366" s="9">
        <f t="shared" si="35"/>
        <v>-25804.800000000007</v>
      </c>
      <c r="P366" s="9">
        <f t="shared" si="35"/>
        <v>0</v>
      </c>
      <c r="Q366" s="9">
        <f t="shared" si="35"/>
        <v>0</v>
      </c>
      <c r="R366" s="89" t="s">
        <v>181</v>
      </c>
    </row>
    <row r="367" spans="2:18" ht="19.95" customHeight="1" x14ac:dyDescent="0.3">
      <c r="B367" s="9">
        <f t="shared" ref="B367:Q367" si="36">B48+B73+B98+B123+B148+B173+B198+B223+B248+B273+B298+B323+B348</f>
        <v>0</v>
      </c>
      <c r="C367" s="9">
        <f t="shared" si="36"/>
        <v>0</v>
      </c>
      <c r="D367" s="9">
        <f t="shared" si="36"/>
        <v>-67200</v>
      </c>
      <c r="E367" s="9">
        <f t="shared" si="36"/>
        <v>0</v>
      </c>
      <c r="F367" s="35">
        <f t="shared" si="36"/>
        <v>148915.20000000001</v>
      </c>
      <c r="G367" s="36">
        <f t="shared" si="36"/>
        <v>19353.599999999999</v>
      </c>
      <c r="H367" s="9">
        <f t="shared" si="36"/>
        <v>-67200</v>
      </c>
      <c r="I367" s="9">
        <f t="shared" si="36"/>
        <v>0</v>
      </c>
      <c r="J367" s="9">
        <f t="shared" si="36"/>
        <v>0</v>
      </c>
      <c r="K367" s="9">
        <f t="shared" si="36"/>
        <v>0</v>
      </c>
      <c r="L367" s="9">
        <f t="shared" si="36"/>
        <v>0</v>
      </c>
      <c r="M367" s="9">
        <f t="shared" si="36"/>
        <v>0</v>
      </c>
      <c r="N367" s="9">
        <f t="shared" si="36"/>
        <v>0</v>
      </c>
      <c r="O367" s="9">
        <f t="shared" si="36"/>
        <v>0</v>
      </c>
      <c r="P367" s="9">
        <f t="shared" si="36"/>
        <v>-14515.199999999999</v>
      </c>
      <c r="Q367" s="9">
        <f t="shared" si="36"/>
        <v>-19353.599999999999</v>
      </c>
      <c r="R367" s="89" t="s">
        <v>182</v>
      </c>
    </row>
    <row r="368" spans="2:18" ht="19.95" customHeight="1" x14ac:dyDescent="0.3">
      <c r="B368" s="9">
        <f t="shared" ref="B368:Q368" si="37">B49+B74+B99+B124+B149+B174+B199+B224+B249+B274+B299+B324+B349</f>
        <v>0</v>
      </c>
      <c r="C368" s="9">
        <f t="shared" si="37"/>
        <v>0</v>
      </c>
      <c r="D368" s="9">
        <f t="shared" si="37"/>
        <v>0</v>
      </c>
      <c r="E368" s="9">
        <f t="shared" si="37"/>
        <v>0</v>
      </c>
      <c r="F368" s="36">
        <f t="shared" si="37"/>
        <v>19353.599999999999</v>
      </c>
      <c r="G368" s="35">
        <f t="shared" si="37"/>
        <v>76204.800000000003</v>
      </c>
      <c r="H368" s="9">
        <f t="shared" si="37"/>
        <v>0</v>
      </c>
      <c r="I368" s="9">
        <f t="shared" si="37"/>
        <v>0</v>
      </c>
      <c r="J368" s="9">
        <f t="shared" si="37"/>
        <v>0</v>
      </c>
      <c r="K368" s="9">
        <f t="shared" si="37"/>
        <v>0</v>
      </c>
      <c r="L368" s="9">
        <f t="shared" si="37"/>
        <v>0</v>
      </c>
      <c r="M368" s="9">
        <f t="shared" si="37"/>
        <v>0</v>
      </c>
      <c r="N368" s="9">
        <f t="shared" si="37"/>
        <v>0</v>
      </c>
      <c r="O368" s="9">
        <f t="shared" si="37"/>
        <v>-50400</v>
      </c>
      <c r="P368" s="9">
        <f t="shared" si="37"/>
        <v>-19353.599999999999</v>
      </c>
      <c r="Q368" s="9">
        <f t="shared" si="37"/>
        <v>-25804.800000000007</v>
      </c>
      <c r="R368" s="89" t="s">
        <v>183</v>
      </c>
    </row>
    <row r="369" spans="1:25" ht="19.95" customHeight="1" x14ac:dyDescent="0.3">
      <c r="B369" s="9">
        <f t="shared" ref="B369:Q369" si="38">B50+B75+B100+B125+B150+B175+B200+B225+B250+B275+B300+B325+B350</f>
        <v>0</v>
      </c>
      <c r="C369" s="9">
        <f t="shared" si="38"/>
        <v>0</v>
      </c>
      <c r="D369" s="9">
        <f t="shared" si="38"/>
        <v>0</v>
      </c>
      <c r="E369" s="9">
        <f t="shared" si="38"/>
        <v>0</v>
      </c>
      <c r="F369" s="9">
        <f t="shared" si="38"/>
        <v>-67200</v>
      </c>
      <c r="G369" s="9">
        <f t="shared" si="38"/>
        <v>0</v>
      </c>
      <c r="H369" s="35">
        <f t="shared" si="38"/>
        <v>134400</v>
      </c>
      <c r="I369" s="36">
        <f t="shared" si="38"/>
        <v>0</v>
      </c>
      <c r="J369" s="9">
        <f t="shared" si="38"/>
        <v>-67200</v>
      </c>
      <c r="K369" s="9">
        <f t="shared" si="38"/>
        <v>0</v>
      </c>
      <c r="L369" s="9">
        <f t="shared" si="38"/>
        <v>0</v>
      </c>
      <c r="M369" s="9">
        <f t="shared" si="38"/>
        <v>0</v>
      </c>
      <c r="N369" s="9">
        <f t="shared" si="38"/>
        <v>0</v>
      </c>
      <c r="O369" s="9">
        <f t="shared" si="38"/>
        <v>0</v>
      </c>
      <c r="P369" s="9">
        <f t="shared" si="38"/>
        <v>0</v>
      </c>
      <c r="Q369" s="9">
        <f t="shared" si="38"/>
        <v>0</v>
      </c>
      <c r="R369" s="89" t="s">
        <v>184</v>
      </c>
    </row>
    <row r="370" spans="1:25" ht="19.95" customHeight="1" x14ac:dyDescent="0.3">
      <c r="A370" s="28" t="s">
        <v>205</v>
      </c>
      <c r="B370" s="9">
        <f t="shared" ref="B370:Q370" si="39">B51+B76+B101+B126+B151+B176+B201+B226+B251+B276+B301+B326+B351</f>
        <v>0</v>
      </c>
      <c r="C370" s="9">
        <f t="shared" si="39"/>
        <v>0</v>
      </c>
      <c r="D370" s="9">
        <f t="shared" si="39"/>
        <v>0</v>
      </c>
      <c r="E370" s="9">
        <f t="shared" si="39"/>
        <v>0</v>
      </c>
      <c r="F370" s="9">
        <f t="shared" si="39"/>
        <v>0</v>
      </c>
      <c r="G370" s="9">
        <f t="shared" si="39"/>
        <v>0</v>
      </c>
      <c r="H370" s="36">
        <f t="shared" si="39"/>
        <v>0</v>
      </c>
      <c r="I370" s="35">
        <f t="shared" si="39"/>
        <v>50400</v>
      </c>
      <c r="J370" s="9">
        <f t="shared" si="39"/>
        <v>0</v>
      </c>
      <c r="K370" s="9">
        <f t="shared" si="39"/>
        <v>0</v>
      </c>
      <c r="L370" s="9">
        <f t="shared" si="39"/>
        <v>0</v>
      </c>
      <c r="M370" s="9">
        <f t="shared" si="39"/>
        <v>0</v>
      </c>
      <c r="N370" s="9">
        <f t="shared" si="39"/>
        <v>0</v>
      </c>
      <c r="O370" s="9">
        <f t="shared" si="39"/>
        <v>0</v>
      </c>
      <c r="P370" s="9">
        <f t="shared" si="39"/>
        <v>0</v>
      </c>
      <c r="Q370" s="9">
        <f t="shared" si="39"/>
        <v>-50400</v>
      </c>
      <c r="R370" s="89" t="s">
        <v>185</v>
      </c>
    </row>
    <row r="371" spans="1:25" ht="19.95" customHeight="1" x14ac:dyDescent="0.3">
      <c r="B371" s="9">
        <f t="shared" ref="B371:Q371" si="40">B52+B77+B102+B127+B152+B177+B202+B227+B252+B277+B302+B327+B352</f>
        <v>0</v>
      </c>
      <c r="C371" s="9">
        <f t="shared" si="40"/>
        <v>0</v>
      </c>
      <c r="D371" s="9">
        <f t="shared" si="40"/>
        <v>0</v>
      </c>
      <c r="E371" s="9">
        <f t="shared" si="40"/>
        <v>0</v>
      </c>
      <c r="F371" s="9">
        <f t="shared" si="40"/>
        <v>0</v>
      </c>
      <c r="G371" s="9">
        <f t="shared" si="40"/>
        <v>0</v>
      </c>
      <c r="H371" s="9">
        <f t="shared" si="40"/>
        <v>-67200</v>
      </c>
      <c r="I371" s="9">
        <f t="shared" si="40"/>
        <v>0</v>
      </c>
      <c r="J371" s="35">
        <f t="shared" si="40"/>
        <v>81715.199999999997</v>
      </c>
      <c r="K371" s="36">
        <f t="shared" si="40"/>
        <v>-19353.599999999999</v>
      </c>
      <c r="L371" s="9">
        <f t="shared" si="40"/>
        <v>0</v>
      </c>
      <c r="M371" s="9">
        <f t="shared" si="40"/>
        <v>0</v>
      </c>
      <c r="N371" s="9">
        <f t="shared" si="40"/>
        <v>0</v>
      </c>
      <c r="O371" s="9">
        <f t="shared" si="40"/>
        <v>0</v>
      </c>
      <c r="P371" s="9">
        <f t="shared" si="40"/>
        <v>-14515.199999999999</v>
      </c>
      <c r="Q371" s="9">
        <f t="shared" si="40"/>
        <v>19353.599999999999</v>
      </c>
      <c r="R371" s="89" t="s">
        <v>186</v>
      </c>
    </row>
    <row r="372" spans="1:25" ht="19.95" customHeight="1" x14ac:dyDescent="0.3">
      <c r="B372" s="9">
        <f t="shared" ref="B372:Q372" si="41">B53+B78+B103+B128+B153+B178+B203+B228+B253+B278+B303+B328+B353</f>
        <v>0</v>
      </c>
      <c r="C372" s="9">
        <f t="shared" si="41"/>
        <v>0</v>
      </c>
      <c r="D372" s="9">
        <f t="shared" si="41"/>
        <v>0</v>
      </c>
      <c r="E372" s="9">
        <f t="shared" si="41"/>
        <v>0</v>
      </c>
      <c r="F372" s="9">
        <f t="shared" si="41"/>
        <v>0</v>
      </c>
      <c r="G372" s="9">
        <f t="shared" si="41"/>
        <v>0</v>
      </c>
      <c r="H372" s="9">
        <f t="shared" si="41"/>
        <v>0</v>
      </c>
      <c r="I372" s="9">
        <f t="shared" si="41"/>
        <v>0</v>
      </c>
      <c r="J372" s="36">
        <f t="shared" si="41"/>
        <v>-19353.599999999999</v>
      </c>
      <c r="K372" s="35">
        <f t="shared" si="41"/>
        <v>25804.800000000007</v>
      </c>
      <c r="L372" s="9">
        <f t="shared" si="41"/>
        <v>0</v>
      </c>
      <c r="M372" s="9">
        <f t="shared" si="41"/>
        <v>0</v>
      </c>
      <c r="N372" s="9">
        <f t="shared" si="41"/>
        <v>0</v>
      </c>
      <c r="O372" s="9">
        <f t="shared" si="41"/>
        <v>0</v>
      </c>
      <c r="P372" s="9">
        <f t="shared" si="41"/>
        <v>19353.599999999999</v>
      </c>
      <c r="Q372" s="9">
        <f t="shared" si="41"/>
        <v>-25804.800000000007</v>
      </c>
      <c r="R372" s="89" t="s">
        <v>187</v>
      </c>
    </row>
    <row r="373" spans="1:25" ht="19.95" customHeight="1" x14ac:dyDescent="0.3">
      <c r="B373" s="9">
        <f t="shared" ref="B373:Q373" si="42">B54+B79+B104+B129+B154+B179+B204+B229+B254+B279+B304+B329+B354</f>
        <v>-14515.199999999999</v>
      </c>
      <c r="C373" s="9">
        <f t="shared" si="42"/>
        <v>-19353.599999999999</v>
      </c>
      <c r="D373" s="9">
        <f t="shared" si="42"/>
        <v>0</v>
      </c>
      <c r="E373" s="9">
        <f t="shared" si="42"/>
        <v>0</v>
      </c>
      <c r="F373" s="9">
        <f t="shared" si="42"/>
        <v>0</v>
      </c>
      <c r="G373" s="9">
        <f t="shared" si="42"/>
        <v>0</v>
      </c>
      <c r="H373" s="9">
        <f t="shared" si="42"/>
        <v>0</v>
      </c>
      <c r="I373" s="9">
        <f t="shared" si="42"/>
        <v>0</v>
      </c>
      <c r="J373" s="9">
        <f t="shared" si="42"/>
        <v>0</v>
      </c>
      <c r="K373" s="9">
        <f t="shared" si="42"/>
        <v>0</v>
      </c>
      <c r="L373" s="35">
        <f t="shared" si="42"/>
        <v>81715.199999999997</v>
      </c>
      <c r="M373" s="36">
        <f t="shared" si="42"/>
        <v>19353.599999999999</v>
      </c>
      <c r="N373" s="9">
        <f t="shared" si="42"/>
        <v>-67200</v>
      </c>
      <c r="O373" s="9">
        <f t="shared" si="42"/>
        <v>0</v>
      </c>
      <c r="P373" s="9">
        <f t="shared" si="42"/>
        <v>0</v>
      </c>
      <c r="Q373" s="9">
        <f t="shared" si="42"/>
        <v>0</v>
      </c>
      <c r="R373" s="89" t="s">
        <v>188</v>
      </c>
    </row>
    <row r="374" spans="1:25" ht="19.95" customHeight="1" x14ac:dyDescent="0.3">
      <c r="B374" s="9">
        <f t="shared" ref="B374:Q374" si="43">B55+B80+B105+B130+B155+B180+B205+B230+B255+B280+B305+B330+B355</f>
        <v>-19353.599999999999</v>
      </c>
      <c r="C374" s="9">
        <f t="shared" si="43"/>
        <v>-25804.800000000007</v>
      </c>
      <c r="D374" s="9">
        <f t="shared" si="43"/>
        <v>0</v>
      </c>
      <c r="E374" s="9">
        <f t="shared" si="43"/>
        <v>-50400</v>
      </c>
      <c r="F374" s="9">
        <f t="shared" si="43"/>
        <v>0</v>
      </c>
      <c r="G374" s="9">
        <f t="shared" si="43"/>
        <v>0</v>
      </c>
      <c r="H374" s="9">
        <f t="shared" si="43"/>
        <v>0</v>
      </c>
      <c r="I374" s="9">
        <f t="shared" si="43"/>
        <v>0</v>
      </c>
      <c r="J374" s="9">
        <f t="shared" si="43"/>
        <v>0</v>
      </c>
      <c r="K374" s="9">
        <f t="shared" si="43"/>
        <v>0</v>
      </c>
      <c r="L374" s="36">
        <f t="shared" si="43"/>
        <v>19353.599999999999</v>
      </c>
      <c r="M374" s="35">
        <f t="shared" si="43"/>
        <v>76204.800000000003</v>
      </c>
      <c r="N374" s="9">
        <f t="shared" si="43"/>
        <v>0</v>
      </c>
      <c r="O374" s="9">
        <f t="shared" si="43"/>
        <v>0</v>
      </c>
      <c r="P374" s="9">
        <f t="shared" si="43"/>
        <v>0</v>
      </c>
      <c r="Q374" s="9">
        <f t="shared" si="43"/>
        <v>0</v>
      </c>
      <c r="R374" s="89" t="s">
        <v>189</v>
      </c>
    </row>
    <row r="375" spans="1:25" ht="19.95" customHeight="1" x14ac:dyDescent="0.3">
      <c r="B375" s="9">
        <f t="shared" ref="B375:Q375" si="44">B56+B81+B106+B131+B156+B181+B206+B231+B256+B281+B306+B331+B356</f>
        <v>0</v>
      </c>
      <c r="C375" s="9">
        <f t="shared" si="44"/>
        <v>0</v>
      </c>
      <c r="D375" s="9">
        <f t="shared" si="44"/>
        <v>-14515.199999999999</v>
      </c>
      <c r="E375" s="9">
        <f t="shared" si="44"/>
        <v>-19353.599999999999</v>
      </c>
      <c r="F375" s="9">
        <f t="shared" si="44"/>
        <v>0</v>
      </c>
      <c r="G375" s="9">
        <f t="shared" si="44"/>
        <v>0</v>
      </c>
      <c r="H375" s="9">
        <f t="shared" si="44"/>
        <v>0</v>
      </c>
      <c r="I375" s="9">
        <f t="shared" si="44"/>
        <v>0</v>
      </c>
      <c r="J375" s="9">
        <f t="shared" si="44"/>
        <v>0</v>
      </c>
      <c r="K375" s="9">
        <f t="shared" si="44"/>
        <v>0</v>
      </c>
      <c r="L375" s="9">
        <f t="shared" si="44"/>
        <v>-67200</v>
      </c>
      <c r="M375" s="9">
        <f t="shared" si="44"/>
        <v>0</v>
      </c>
      <c r="N375" s="35">
        <f t="shared" si="44"/>
        <v>148915.20000000001</v>
      </c>
      <c r="O375" s="36">
        <f t="shared" si="44"/>
        <v>19353.599999999999</v>
      </c>
      <c r="P375" s="9">
        <f t="shared" si="44"/>
        <v>-67200</v>
      </c>
      <c r="Q375" s="9">
        <f t="shared" si="44"/>
        <v>0</v>
      </c>
      <c r="R375" s="89" t="s">
        <v>579</v>
      </c>
    </row>
    <row r="376" spans="1:25" ht="19.95" customHeight="1" x14ac:dyDescent="0.3">
      <c r="B376" s="9">
        <f t="shared" ref="B376:Q376" si="45">B57+B82+B107+B132+B157+B182+B207+B232+B257+B282+B307+B332+B357</f>
        <v>0</v>
      </c>
      <c r="C376" s="9">
        <f t="shared" si="45"/>
        <v>0</v>
      </c>
      <c r="D376" s="9">
        <f t="shared" si="45"/>
        <v>-19353.599999999999</v>
      </c>
      <c r="E376" s="9">
        <f t="shared" si="45"/>
        <v>-25804.800000000007</v>
      </c>
      <c r="F376" s="9">
        <f t="shared" si="45"/>
        <v>0</v>
      </c>
      <c r="G376" s="9">
        <f t="shared" si="45"/>
        <v>-50400</v>
      </c>
      <c r="H376" s="9">
        <f t="shared" si="45"/>
        <v>0</v>
      </c>
      <c r="I376" s="9">
        <f t="shared" si="45"/>
        <v>0</v>
      </c>
      <c r="J376" s="9">
        <f t="shared" si="45"/>
        <v>0</v>
      </c>
      <c r="K376" s="9">
        <f t="shared" si="45"/>
        <v>0</v>
      </c>
      <c r="L376" s="9">
        <f t="shared" si="45"/>
        <v>0</v>
      </c>
      <c r="M376" s="9">
        <f t="shared" si="45"/>
        <v>0</v>
      </c>
      <c r="N376" s="36">
        <f t="shared" si="45"/>
        <v>19353.599999999999</v>
      </c>
      <c r="O376" s="35">
        <f t="shared" si="45"/>
        <v>76204.800000000003</v>
      </c>
      <c r="P376" s="9">
        <f t="shared" si="45"/>
        <v>0</v>
      </c>
      <c r="Q376" s="9">
        <f t="shared" si="45"/>
        <v>0</v>
      </c>
      <c r="R376" s="89" t="s">
        <v>580</v>
      </c>
    </row>
    <row r="377" spans="1:25" ht="19.95" customHeight="1" x14ac:dyDescent="0.3">
      <c r="B377" s="9">
        <f t="shared" ref="B377:Q377" si="46">B58+B83+B108+B133+B158+B183+B208+B233+B258+B283+B308+B333+B358</f>
        <v>0</v>
      </c>
      <c r="C377" s="9">
        <f t="shared" si="46"/>
        <v>0</v>
      </c>
      <c r="D377" s="9">
        <f t="shared" si="46"/>
        <v>0</v>
      </c>
      <c r="E377" s="9">
        <f t="shared" si="46"/>
        <v>0</v>
      </c>
      <c r="F377" s="9">
        <f t="shared" si="46"/>
        <v>-14515.199999999999</v>
      </c>
      <c r="G377" s="9">
        <f t="shared" si="46"/>
        <v>-19353.599999999999</v>
      </c>
      <c r="H377" s="9">
        <f t="shared" si="46"/>
        <v>0</v>
      </c>
      <c r="I377" s="9">
        <f t="shared" si="46"/>
        <v>0</v>
      </c>
      <c r="J377" s="9">
        <f t="shared" si="46"/>
        <v>-14515.199999999999</v>
      </c>
      <c r="K377" s="9">
        <f t="shared" si="46"/>
        <v>19353.599999999999</v>
      </c>
      <c r="L377" s="9">
        <f t="shared" si="46"/>
        <v>0</v>
      </c>
      <c r="M377" s="9">
        <f t="shared" si="46"/>
        <v>0</v>
      </c>
      <c r="N377" s="9">
        <f t="shared" si="46"/>
        <v>-67200</v>
      </c>
      <c r="O377" s="9">
        <f t="shared" si="46"/>
        <v>0</v>
      </c>
      <c r="P377" s="35">
        <f t="shared" si="46"/>
        <v>96230.399999999994</v>
      </c>
      <c r="Q377" s="36">
        <f t="shared" si="46"/>
        <v>0</v>
      </c>
      <c r="R377" s="89" t="s">
        <v>601</v>
      </c>
    </row>
    <row r="378" spans="1:25" ht="19.95" customHeight="1" x14ac:dyDescent="0.3">
      <c r="B378" s="9">
        <f t="shared" ref="B378:Q378" si="47">B59+B84+B109+B134+B159+B184+B209+B234+B259+B284+B309+B334+B359</f>
        <v>0</v>
      </c>
      <c r="C378" s="9">
        <f t="shared" si="47"/>
        <v>0</v>
      </c>
      <c r="D378" s="9">
        <f t="shared" si="47"/>
        <v>0</v>
      </c>
      <c r="E378" s="9">
        <f t="shared" si="47"/>
        <v>0</v>
      </c>
      <c r="F378" s="9">
        <f t="shared" si="47"/>
        <v>-19353.599999999999</v>
      </c>
      <c r="G378" s="9">
        <f t="shared" si="47"/>
        <v>-25804.800000000007</v>
      </c>
      <c r="H378" s="9">
        <f t="shared" si="47"/>
        <v>0</v>
      </c>
      <c r="I378" s="9">
        <f t="shared" si="47"/>
        <v>-50400</v>
      </c>
      <c r="J378" s="9">
        <f t="shared" si="47"/>
        <v>19353.599999999999</v>
      </c>
      <c r="K378" s="9">
        <f t="shared" si="47"/>
        <v>-25804.800000000007</v>
      </c>
      <c r="L378" s="9">
        <f t="shared" si="47"/>
        <v>0</v>
      </c>
      <c r="M378" s="9">
        <f t="shared" si="47"/>
        <v>0</v>
      </c>
      <c r="N378" s="9">
        <f t="shared" si="47"/>
        <v>0</v>
      </c>
      <c r="O378" s="9">
        <f t="shared" si="47"/>
        <v>0</v>
      </c>
      <c r="P378" s="36">
        <f t="shared" si="47"/>
        <v>0</v>
      </c>
      <c r="Q378" s="35">
        <f t="shared" si="47"/>
        <v>102009.60000000001</v>
      </c>
      <c r="R378" s="89" t="s">
        <v>602</v>
      </c>
    </row>
    <row r="381" spans="1:25" ht="19.95" customHeight="1" x14ac:dyDescent="0.35">
      <c r="A381" s="11" t="s">
        <v>206</v>
      </c>
      <c r="T381" s="216" t="s">
        <v>207</v>
      </c>
      <c r="U381" s="172"/>
      <c r="V381" s="172"/>
      <c r="W381" s="172"/>
      <c r="X381" s="172"/>
      <c r="Y381" s="173"/>
    </row>
    <row r="382" spans="1:25" ht="16.95" customHeight="1" x14ac:dyDescent="0.3">
      <c r="B382" s="12" t="s">
        <v>208</v>
      </c>
      <c r="C382" s="12" t="s">
        <v>178</v>
      </c>
      <c r="E382" s="37" t="str">
        <f>IF(GRAFICA_40!F14=1, B382, GRAFICA_40!H14)</f>
        <v>C1X</v>
      </c>
      <c r="T382" s="215" t="s">
        <v>376</v>
      </c>
      <c r="U382" s="172"/>
      <c r="V382" s="172"/>
      <c r="W382" s="172"/>
      <c r="X382" s="172"/>
      <c r="Y382" s="173"/>
    </row>
    <row r="383" spans="1:25" ht="16.95" customHeight="1" x14ac:dyDescent="0.3">
      <c r="B383" s="12" t="s">
        <v>210</v>
      </c>
      <c r="C383" s="12" t="s">
        <v>179</v>
      </c>
      <c r="E383" s="37" t="str">
        <f>IF(GRAFICA_40!G14=1, B383, GRAFICA_40!I14)</f>
        <v>C1Y</v>
      </c>
      <c r="T383" s="215" t="s">
        <v>211</v>
      </c>
      <c r="U383" s="172"/>
      <c r="V383" s="172"/>
      <c r="W383" s="172"/>
      <c r="X383" s="172"/>
      <c r="Y383" s="173"/>
    </row>
    <row r="384" spans="1:25" ht="16.95" customHeight="1" x14ac:dyDescent="0.3">
      <c r="B384" s="12" t="s">
        <v>212</v>
      </c>
      <c r="C384" s="12" t="s">
        <v>180</v>
      </c>
      <c r="E384" s="37">
        <f>IF(GRAFICA_40!F15=1, B384, GRAFICA_40!H15)</f>
        <v>0</v>
      </c>
      <c r="T384" s="215" t="s">
        <v>377</v>
      </c>
      <c r="U384" s="172"/>
      <c r="V384" s="172"/>
      <c r="W384" s="172"/>
      <c r="X384" s="172"/>
      <c r="Y384" s="173"/>
    </row>
    <row r="385" spans="1:25" ht="16.95" customHeight="1" x14ac:dyDescent="0.3">
      <c r="B385" s="12" t="s">
        <v>214</v>
      </c>
      <c r="C385" s="12" t="s">
        <v>181</v>
      </c>
      <c r="E385" s="37">
        <f>IF(GRAFICA_40!G15=1, B385, GRAFICA_40!I15)</f>
        <v>-4000</v>
      </c>
      <c r="T385" s="215" t="s">
        <v>215</v>
      </c>
      <c r="U385" s="172"/>
      <c r="V385" s="172"/>
      <c r="W385" s="172"/>
      <c r="X385" s="172"/>
      <c r="Y385" s="173"/>
    </row>
    <row r="386" spans="1:25" ht="16.95" customHeight="1" x14ac:dyDescent="0.3">
      <c r="B386" s="12" t="s">
        <v>216</v>
      </c>
      <c r="C386" s="12" t="s">
        <v>182</v>
      </c>
      <c r="E386" s="37">
        <f>IF(GRAFICA_40!F16=1, B386, GRAFICA_40!H16)</f>
        <v>0</v>
      </c>
      <c r="T386" s="215" t="s">
        <v>378</v>
      </c>
      <c r="U386" s="172"/>
      <c r="V386" s="172"/>
      <c r="W386" s="172"/>
      <c r="X386" s="172"/>
      <c r="Y386" s="173"/>
    </row>
    <row r="387" spans="1:25" ht="16.95" customHeight="1" x14ac:dyDescent="0.3">
      <c r="B387" s="12" t="s">
        <v>219</v>
      </c>
      <c r="C387" s="12" t="s">
        <v>183</v>
      </c>
      <c r="E387" s="37">
        <f>IF(GRAFICA_40!G16=1, B387, GRAFICA_40!I16)</f>
        <v>-5000</v>
      </c>
      <c r="T387" s="215" t="s">
        <v>379</v>
      </c>
      <c r="U387" s="172"/>
      <c r="V387" s="172"/>
      <c r="W387" s="172"/>
      <c r="X387" s="172"/>
      <c r="Y387" s="173"/>
    </row>
    <row r="388" spans="1:25" ht="16.95" customHeight="1" x14ac:dyDescent="0.3">
      <c r="B388" s="12" t="s">
        <v>221</v>
      </c>
      <c r="C388" s="12" t="s">
        <v>184</v>
      </c>
      <c r="E388" s="37">
        <f>IF(GRAFICA_40!F17=1, B388, GRAFICA_40!H17)</f>
        <v>0</v>
      </c>
      <c r="T388" s="215"/>
      <c r="U388" s="172"/>
      <c r="V388" s="172"/>
      <c r="W388" s="172"/>
      <c r="X388" s="172"/>
      <c r="Y388" s="173"/>
    </row>
    <row r="389" spans="1:25" ht="16.95" customHeight="1" x14ac:dyDescent="0.3">
      <c r="A389" s="38" t="s">
        <v>218</v>
      </c>
      <c r="B389" s="12" t="s">
        <v>222</v>
      </c>
      <c r="C389" s="12" t="s">
        <v>185</v>
      </c>
      <c r="D389" s="13" t="s">
        <v>220</v>
      </c>
      <c r="E389" s="37">
        <f>IF(GRAFICA_40!G17=1, B389, GRAFICA_40!I17)</f>
        <v>-4000</v>
      </c>
      <c r="T389" s="215"/>
      <c r="U389" s="172"/>
      <c r="V389" s="172"/>
      <c r="W389" s="172"/>
      <c r="X389" s="172"/>
      <c r="Y389" s="173"/>
    </row>
    <row r="390" spans="1:25" ht="16.95" customHeight="1" x14ac:dyDescent="0.3">
      <c r="B390" s="12" t="s">
        <v>223</v>
      </c>
      <c r="C390" s="12" t="s">
        <v>186</v>
      </c>
      <c r="E390" s="37">
        <f>IF(GRAFICA_40!F18=1, B390, GRAFICA_40!H18)</f>
        <v>0</v>
      </c>
      <c r="T390" s="215"/>
      <c r="U390" s="172"/>
      <c r="V390" s="172"/>
      <c r="W390" s="172"/>
      <c r="X390" s="172"/>
      <c r="Y390" s="173"/>
    </row>
    <row r="391" spans="1:25" ht="16.95" customHeight="1" x14ac:dyDescent="0.3">
      <c r="B391" s="12" t="s">
        <v>224</v>
      </c>
      <c r="C391" s="12" t="s">
        <v>187</v>
      </c>
      <c r="E391" s="37" t="str">
        <f>IF(GRAFICA_40!G18=1, B391, GRAFICA_40!I18)</f>
        <v>C5Y</v>
      </c>
      <c r="T391" s="215"/>
      <c r="U391" s="172"/>
      <c r="V391" s="172"/>
      <c r="W391" s="172"/>
      <c r="X391" s="172"/>
      <c r="Y391" s="173"/>
    </row>
    <row r="392" spans="1:25" ht="16.95" customHeight="1" x14ac:dyDescent="0.3">
      <c r="B392" s="12" t="s">
        <v>225</v>
      </c>
      <c r="C392" s="12" t="s">
        <v>188</v>
      </c>
      <c r="E392" s="37">
        <f>IF(GRAFICA_40!F19=1, B392, GRAFICA_40!H19)</f>
        <v>0</v>
      </c>
      <c r="T392" s="215"/>
      <c r="U392" s="172"/>
      <c r="V392" s="172"/>
      <c r="W392" s="172"/>
      <c r="X392" s="172"/>
      <c r="Y392" s="173"/>
    </row>
    <row r="393" spans="1:25" ht="16.95" customHeight="1" x14ac:dyDescent="0.3">
      <c r="B393" s="12" t="s">
        <v>226</v>
      </c>
      <c r="C393" s="12" t="s">
        <v>189</v>
      </c>
      <c r="E393" s="37">
        <f>IF(GRAFICA_40!G19=1, B393, GRAFICA_40!I19)</f>
        <v>0</v>
      </c>
      <c r="T393" s="215"/>
      <c r="U393" s="172"/>
      <c r="V393" s="172"/>
      <c r="W393" s="172"/>
      <c r="X393" s="172"/>
      <c r="Y393" s="173"/>
    </row>
    <row r="394" spans="1:25" ht="16.95" customHeight="1" x14ac:dyDescent="0.3">
      <c r="B394" s="12" t="s">
        <v>585</v>
      </c>
      <c r="C394" s="12" t="s">
        <v>579</v>
      </c>
      <c r="E394" s="37">
        <f>IF(GRAFICA_40!F20=1, B394, GRAFICA_40!H20)</f>
        <v>0</v>
      </c>
      <c r="T394" s="215"/>
      <c r="U394" s="172"/>
      <c r="V394" s="172"/>
      <c r="W394" s="172"/>
      <c r="X394" s="172"/>
      <c r="Y394" s="173"/>
    </row>
    <row r="395" spans="1:25" ht="16.95" customHeight="1" x14ac:dyDescent="0.3">
      <c r="B395" s="12" t="s">
        <v>586</v>
      </c>
      <c r="C395" s="12" t="s">
        <v>580</v>
      </c>
      <c r="E395" s="37">
        <f>IF(GRAFICA_40!G20=1, B395, GRAFICA_40!I20)</f>
        <v>0</v>
      </c>
      <c r="T395" s="215"/>
      <c r="U395" s="172"/>
      <c r="V395" s="172"/>
      <c r="W395" s="172"/>
      <c r="X395" s="172"/>
      <c r="Y395" s="173"/>
    </row>
    <row r="396" spans="1:25" ht="16.95" customHeight="1" x14ac:dyDescent="0.3">
      <c r="B396" s="12" t="s">
        <v>607</v>
      </c>
      <c r="C396" s="12" t="s">
        <v>601</v>
      </c>
      <c r="E396" s="37">
        <f>IF(GRAFICA_40!F21=1, B396, GRAFICA_40!H21)</f>
        <v>0</v>
      </c>
      <c r="T396" s="215"/>
      <c r="U396" s="172"/>
      <c r="V396" s="172"/>
      <c r="W396" s="172"/>
      <c r="X396" s="172"/>
      <c r="Y396" s="173"/>
    </row>
    <row r="397" spans="1:25" ht="16.95" customHeight="1" x14ac:dyDescent="0.3">
      <c r="B397" s="12" t="s">
        <v>608</v>
      </c>
      <c r="C397" s="12" t="s">
        <v>602</v>
      </c>
      <c r="E397" s="37">
        <f>IF(GRAFICA_40!G21=1, B397, GRAFICA_40!I21)</f>
        <v>0</v>
      </c>
      <c r="T397" s="215"/>
      <c r="U397" s="172"/>
      <c r="V397" s="172"/>
      <c r="W397" s="172"/>
      <c r="X397" s="172"/>
      <c r="Y397" s="173"/>
    </row>
    <row r="398" spans="1:25" ht="16.95" customHeight="1" x14ac:dyDescent="0.3">
      <c r="T398" s="215"/>
      <c r="U398" s="172"/>
      <c r="V398" s="172"/>
      <c r="W398" s="172"/>
      <c r="X398" s="172"/>
      <c r="Y398" s="173"/>
    </row>
    <row r="399" spans="1:25" ht="16.95" customHeight="1" x14ac:dyDescent="0.35">
      <c r="A399" s="11" t="s">
        <v>227</v>
      </c>
      <c r="T399" s="215"/>
      <c r="U399" s="172"/>
      <c r="V399" s="172"/>
      <c r="W399" s="172"/>
      <c r="X399" s="172"/>
      <c r="Y399" s="173"/>
    </row>
    <row r="400" spans="1:25" ht="16.95" customHeight="1" x14ac:dyDescent="0.3">
      <c r="B400" s="12" t="s">
        <v>228</v>
      </c>
      <c r="C400" s="12" t="s">
        <v>178</v>
      </c>
      <c r="E400" s="39">
        <f>IF(GRAFICA_40!F14=1, 0, B400)</f>
        <v>0</v>
      </c>
      <c r="F400" s="14" t="str">
        <f>IF(E400&lt;&gt;0, COUNTIF(E$400:E400, "&lt;&gt;0"), "")</f>
        <v/>
      </c>
      <c r="G400" s="14">
        <f>IF(E400=0, COUNTIF(E$400:E400, 0), "")</f>
        <v>1</v>
      </c>
      <c r="T400" s="215"/>
      <c r="U400" s="172"/>
      <c r="V400" s="172"/>
      <c r="W400" s="172"/>
      <c r="X400" s="172"/>
      <c r="Y400" s="173"/>
    </row>
    <row r="401" spans="1:25" ht="16.95" customHeight="1" x14ac:dyDescent="0.3">
      <c r="B401" s="12" t="s">
        <v>229</v>
      </c>
      <c r="C401" s="12" t="s">
        <v>179</v>
      </c>
      <c r="E401" s="39">
        <f>IF(GRAFICA_40!G14=1, 0, B401)</f>
        <v>0</v>
      </c>
      <c r="F401" s="14" t="str">
        <f>IF(E401&lt;&gt;0, COUNTIF(E$400:E401, "&lt;&gt;0"), "")</f>
        <v/>
      </c>
      <c r="G401" s="14">
        <f>IF(E401=0, COUNTIF(E$400:E401, 0), "")</f>
        <v>2</v>
      </c>
      <c r="T401" s="215"/>
      <c r="U401" s="172"/>
      <c r="V401" s="172"/>
      <c r="W401" s="172"/>
      <c r="X401" s="172"/>
      <c r="Y401" s="173"/>
    </row>
    <row r="402" spans="1:25" ht="16.95" customHeight="1" x14ac:dyDescent="0.3">
      <c r="B402" s="12" t="s">
        <v>230</v>
      </c>
      <c r="C402" s="12" t="s">
        <v>180</v>
      </c>
      <c r="E402" s="39" t="str">
        <f>IF(GRAFICA_40!F15=1, 0, B402)</f>
        <v>D2X</v>
      </c>
      <c r="F402" s="14">
        <f>IF(E402&lt;&gt;0, COUNTIF(E$400:E402, "&lt;&gt;0"), "")</f>
        <v>1</v>
      </c>
      <c r="G402" s="14" t="str">
        <f>IF(E402=0, COUNTIF(E$400:E402, 0), "")</f>
        <v/>
      </c>
      <c r="T402" s="215"/>
      <c r="U402" s="172"/>
      <c r="V402" s="172"/>
      <c r="W402" s="172"/>
      <c r="X402" s="172"/>
      <c r="Y402" s="173"/>
    </row>
    <row r="403" spans="1:25" ht="16.95" customHeight="1" x14ac:dyDescent="0.3">
      <c r="B403" s="12" t="s">
        <v>231</v>
      </c>
      <c r="C403" s="12" t="s">
        <v>181</v>
      </c>
      <c r="E403" s="39" t="str">
        <f>IF(GRAFICA_40!G15=1, 0, B403)</f>
        <v>D2Y</v>
      </c>
      <c r="F403" s="14">
        <f>IF(E403&lt;&gt;0, COUNTIF(E$400:E403, "&lt;&gt;0"), "")</f>
        <v>2</v>
      </c>
      <c r="G403" s="14" t="str">
        <f>IF(E403=0, COUNTIF(E$400:E403, 0), "")</f>
        <v/>
      </c>
      <c r="T403" s="215"/>
      <c r="U403" s="172"/>
      <c r="V403" s="172"/>
      <c r="W403" s="172"/>
      <c r="X403" s="172"/>
      <c r="Y403" s="173"/>
    </row>
    <row r="404" spans="1:25" ht="16.95" customHeight="1" x14ac:dyDescent="0.3">
      <c r="B404" s="12" t="s">
        <v>232</v>
      </c>
      <c r="C404" s="12" t="s">
        <v>182</v>
      </c>
      <c r="E404" s="39" t="str">
        <f>IF(GRAFICA_40!F16=1, 0, B404)</f>
        <v>D3X</v>
      </c>
      <c r="F404" s="14">
        <f>IF(E404&lt;&gt;0, COUNTIF(E$400:E404, "&lt;&gt;0"), "")</f>
        <v>3</v>
      </c>
      <c r="G404" s="14" t="str">
        <f>IF(E404=0, COUNTIF(E$400:E404, 0), "")</f>
        <v/>
      </c>
      <c r="T404" s="215"/>
      <c r="U404" s="172"/>
      <c r="V404" s="172"/>
      <c r="W404" s="172"/>
      <c r="X404" s="172"/>
      <c r="Y404" s="173"/>
    </row>
    <row r="405" spans="1:25" ht="16.95" customHeight="1" x14ac:dyDescent="0.3">
      <c r="B405" s="12" t="s">
        <v>234</v>
      </c>
      <c r="C405" s="12" t="s">
        <v>183</v>
      </c>
      <c r="E405" s="39" t="str">
        <f>IF(GRAFICA_40!G16=1, 0, B405)</f>
        <v>D3Y</v>
      </c>
      <c r="F405" s="14">
        <f>IF(E405&lt;&gt;0, COUNTIF(E$400:E405, "&lt;&gt;0"), "")</f>
        <v>4</v>
      </c>
      <c r="G405" s="14" t="str">
        <f>IF(E405=0, COUNTIF(E$400:E405, 0), "")</f>
        <v/>
      </c>
      <c r="T405" s="215"/>
      <c r="U405" s="172"/>
      <c r="V405" s="172"/>
      <c r="W405" s="172"/>
      <c r="X405" s="172"/>
      <c r="Y405" s="173"/>
    </row>
    <row r="406" spans="1:25" ht="16.95" customHeight="1" x14ac:dyDescent="0.3">
      <c r="B406" s="12" t="s">
        <v>235</v>
      </c>
      <c r="C406" s="12" t="s">
        <v>184</v>
      </c>
      <c r="E406" s="39" t="str">
        <f>IF(GRAFICA_40!F17=1, 0, B406)</f>
        <v>D4X</v>
      </c>
      <c r="F406" s="14">
        <f>IF(E406&lt;&gt;0, COUNTIF(E$400:E406, "&lt;&gt;0"), "")</f>
        <v>5</v>
      </c>
      <c r="G406" s="14" t="str">
        <f>IF(E406=0, COUNTIF(E$400:E406, 0), "")</f>
        <v/>
      </c>
      <c r="T406" s="215"/>
      <c r="U406" s="172"/>
      <c r="V406" s="172"/>
      <c r="W406" s="172"/>
      <c r="X406" s="172"/>
      <c r="Y406" s="173"/>
    </row>
    <row r="407" spans="1:25" ht="16.95" customHeight="1" x14ac:dyDescent="0.3">
      <c r="A407" s="38" t="s">
        <v>233</v>
      </c>
      <c r="B407" s="12" t="s">
        <v>236</v>
      </c>
      <c r="C407" s="12" t="s">
        <v>185</v>
      </c>
      <c r="D407" s="13" t="s">
        <v>220</v>
      </c>
      <c r="E407" s="39" t="str">
        <f>IF(GRAFICA_40!G17=1, 0, B407)</f>
        <v>D4Y</v>
      </c>
      <c r="F407" s="14">
        <f>IF(E407&lt;&gt;0, COUNTIF(E$400:E407, "&lt;&gt;0"), "")</f>
        <v>6</v>
      </c>
      <c r="G407" s="14" t="str">
        <f>IF(E407=0, COUNTIF(E$400:E407, 0), "")</f>
        <v/>
      </c>
      <c r="T407" s="215"/>
      <c r="U407" s="172"/>
      <c r="V407" s="172"/>
      <c r="W407" s="172"/>
      <c r="X407" s="172"/>
      <c r="Y407" s="173"/>
    </row>
    <row r="408" spans="1:25" ht="16.95" customHeight="1" x14ac:dyDescent="0.3">
      <c r="B408" s="12" t="s">
        <v>237</v>
      </c>
      <c r="C408" s="12" t="s">
        <v>186</v>
      </c>
      <c r="E408" s="39" t="str">
        <f>IF(GRAFICA_40!F18=1, 0, B408)</f>
        <v>D5X</v>
      </c>
      <c r="F408" s="14">
        <f>IF(E408&lt;&gt;0, COUNTIF(E$400:E408, "&lt;&gt;0"), "")</f>
        <v>7</v>
      </c>
      <c r="G408" s="14" t="str">
        <f>IF(E408=0, COUNTIF(E$400:E408, 0), "")</f>
        <v/>
      </c>
      <c r="T408" s="215"/>
      <c r="U408" s="172"/>
      <c r="V408" s="172"/>
      <c r="W408" s="172"/>
      <c r="X408" s="172"/>
      <c r="Y408" s="173"/>
    </row>
    <row r="409" spans="1:25" ht="16.95" customHeight="1" x14ac:dyDescent="0.3">
      <c r="B409" s="12" t="s">
        <v>238</v>
      </c>
      <c r="C409" s="12" t="s">
        <v>187</v>
      </c>
      <c r="E409" s="39">
        <f>IF(GRAFICA_40!G18=1, 0, B409)</f>
        <v>0</v>
      </c>
      <c r="F409" s="14" t="str">
        <f>IF(E409&lt;&gt;0, COUNTIF(E$400:E409, "&lt;&gt;0"), "")</f>
        <v/>
      </c>
      <c r="G409" s="14">
        <f>IF(E409=0, COUNTIF(E$400:E409, 0), "")</f>
        <v>3</v>
      </c>
      <c r="T409" s="215"/>
      <c r="U409" s="172"/>
      <c r="V409" s="172"/>
      <c r="W409" s="172"/>
      <c r="X409" s="172"/>
      <c r="Y409" s="173"/>
    </row>
    <row r="410" spans="1:25" ht="16.95" customHeight="1" x14ac:dyDescent="0.3">
      <c r="B410" s="12" t="s">
        <v>239</v>
      </c>
      <c r="C410" s="12" t="s">
        <v>188</v>
      </c>
      <c r="E410" s="39" t="str">
        <f>IF(GRAFICA_40!F19=1, 0, B410)</f>
        <v>D6X</v>
      </c>
      <c r="F410" s="14">
        <f>IF(E410&lt;&gt;0, COUNTIF(E$400:E410, "&lt;&gt;0"), "")</f>
        <v>8</v>
      </c>
      <c r="G410" s="14" t="str">
        <f>IF(E410=0, COUNTIF(E$400:E410, 0), "")</f>
        <v/>
      </c>
      <c r="T410" s="215"/>
      <c r="U410" s="172"/>
      <c r="V410" s="172"/>
      <c r="W410" s="172"/>
      <c r="X410" s="172"/>
      <c r="Y410" s="173"/>
    </row>
    <row r="411" spans="1:25" ht="16.95" customHeight="1" x14ac:dyDescent="0.3">
      <c r="B411" s="12" t="s">
        <v>240</v>
      </c>
      <c r="C411" s="12" t="s">
        <v>189</v>
      </c>
      <c r="E411" s="39" t="str">
        <f>IF(GRAFICA_40!G19=1, 0, B411)</f>
        <v>D6Y</v>
      </c>
      <c r="F411" s="14">
        <f>IF(E411&lt;&gt;0, COUNTIF(E$400:E411, "&lt;&gt;0"), "")</f>
        <v>9</v>
      </c>
      <c r="G411" s="14" t="str">
        <f>IF(E411=0, COUNTIF(E$400:E411, 0), "")</f>
        <v/>
      </c>
      <c r="T411" s="215"/>
      <c r="U411" s="172"/>
      <c r="V411" s="172"/>
      <c r="W411" s="172"/>
      <c r="X411" s="172"/>
      <c r="Y411" s="173"/>
    </row>
    <row r="412" spans="1:25" ht="16.95" customHeight="1" x14ac:dyDescent="0.3">
      <c r="B412" s="12" t="s">
        <v>587</v>
      </c>
      <c r="C412" s="12" t="s">
        <v>579</v>
      </c>
      <c r="E412" s="39" t="str">
        <f>IF(GRAFICA_40!F20=1, 0, B412)</f>
        <v>D7X</v>
      </c>
      <c r="F412" s="14">
        <f>IF(E412&lt;&gt;0, COUNTIF(E$400:E412, "&lt;&gt;0"), "")</f>
        <v>10</v>
      </c>
      <c r="G412" s="14" t="str">
        <f>IF(E412=0, COUNTIF(E$400:E412, 0), "")</f>
        <v/>
      </c>
      <c r="T412" s="215"/>
      <c r="U412" s="172"/>
      <c r="V412" s="172"/>
      <c r="W412" s="172"/>
      <c r="X412" s="172"/>
      <c r="Y412" s="173"/>
    </row>
    <row r="413" spans="1:25" ht="16.95" customHeight="1" x14ac:dyDescent="0.3">
      <c r="B413" s="12" t="s">
        <v>588</v>
      </c>
      <c r="C413" s="12" t="s">
        <v>580</v>
      </c>
      <c r="E413" s="39" t="str">
        <f>IF(GRAFICA_40!G20=1, 0, B413)</f>
        <v>D7Y</v>
      </c>
      <c r="F413" s="14">
        <f>IF(E413&lt;&gt;0, COUNTIF(E$400:E413, "&lt;&gt;0"), "")</f>
        <v>11</v>
      </c>
      <c r="G413" s="14" t="str">
        <f>IF(E413=0, COUNTIF(E$400:E413, 0), "")</f>
        <v/>
      </c>
      <c r="T413" s="215"/>
      <c r="U413" s="172"/>
      <c r="V413" s="172"/>
      <c r="W413" s="172"/>
      <c r="X413" s="172"/>
      <c r="Y413" s="173"/>
    </row>
    <row r="414" spans="1:25" ht="16.95" customHeight="1" x14ac:dyDescent="0.3">
      <c r="B414" s="12" t="s">
        <v>609</v>
      </c>
      <c r="C414" s="12" t="s">
        <v>601</v>
      </c>
      <c r="E414" s="39" t="str">
        <f>IF(GRAFICA_40!F21=1, 0, B414)</f>
        <v>D8X</v>
      </c>
      <c r="F414" s="14">
        <f>IF(E414&lt;&gt;0, COUNTIF(E$400:E414, "&lt;&gt;0"), "")</f>
        <v>12</v>
      </c>
      <c r="G414" s="14" t="str">
        <f>IF(E414=0, COUNTIF(E$400:E414, 0), "")</f>
        <v/>
      </c>
      <c r="T414" s="215"/>
      <c r="U414" s="172"/>
      <c r="V414" s="172"/>
      <c r="W414" s="172"/>
      <c r="X414" s="172"/>
      <c r="Y414" s="173"/>
    </row>
    <row r="415" spans="1:25" ht="16.95" customHeight="1" x14ac:dyDescent="0.3">
      <c r="B415" s="12" t="s">
        <v>610</v>
      </c>
      <c r="C415" s="12" t="s">
        <v>602</v>
      </c>
      <c r="E415" s="39" t="str">
        <f>IF(GRAFICA_40!G21=1, 0, B415)</f>
        <v>D8Y</v>
      </c>
      <c r="F415" s="14">
        <f>IF(E415&lt;&gt;0, COUNTIF(E$400:E415, "&lt;&gt;0"), "")</f>
        <v>13</v>
      </c>
      <c r="G415" s="14" t="str">
        <f>IF(E415=0, COUNTIF(E$400:E415, 0), "")</f>
        <v/>
      </c>
      <c r="T415" s="215"/>
      <c r="U415" s="172"/>
      <c r="V415" s="172"/>
      <c r="W415" s="172"/>
      <c r="X415" s="172"/>
      <c r="Y415" s="173"/>
    </row>
    <row r="417" spans="1:25" ht="19.95" customHeight="1" x14ac:dyDescent="0.35">
      <c r="A417" s="15" t="s">
        <v>241</v>
      </c>
      <c r="C417" s="218" t="s">
        <v>242</v>
      </c>
      <c r="D417" s="173"/>
      <c r="E417" s="40" t="s">
        <v>243</v>
      </c>
      <c r="T417" s="216" t="s">
        <v>244</v>
      </c>
      <c r="U417" s="172"/>
      <c r="V417" s="172"/>
      <c r="W417" s="172"/>
      <c r="X417" s="172"/>
      <c r="Y417" s="173"/>
    </row>
    <row r="418" spans="1:25" ht="16.95" customHeight="1" x14ac:dyDescent="0.3">
      <c r="E418" s="40" t="s">
        <v>245</v>
      </c>
      <c r="T418" s="215" t="s">
        <v>246</v>
      </c>
      <c r="U418" s="172"/>
      <c r="V418" s="172"/>
      <c r="W418" s="172"/>
      <c r="X418" s="172"/>
      <c r="Y418" s="173"/>
    </row>
    <row r="419" spans="1:25" ht="16.95" customHeight="1" x14ac:dyDescent="0.3">
      <c r="A419" s="99" t="s">
        <v>247</v>
      </c>
      <c r="C419" s="99" t="s">
        <v>248</v>
      </c>
      <c r="T419" s="215" t="s">
        <v>250</v>
      </c>
      <c r="U419" s="172"/>
      <c r="V419" s="172"/>
      <c r="W419" s="172"/>
      <c r="X419" s="172"/>
      <c r="Y419" s="173"/>
    </row>
    <row r="420" spans="1:25" ht="16.95" customHeight="1" x14ac:dyDescent="0.3">
      <c r="A420" s="12" t="str">
        <f t="shared" ref="A420:A435" si="48">E382</f>
        <v>C1X</v>
      </c>
      <c r="C420" s="9">
        <f t="shared" ref="C420:R420" si="49">B363</f>
        <v>81715.199999999997</v>
      </c>
      <c r="D420" s="9">
        <f t="shared" si="49"/>
        <v>19353.599999999999</v>
      </c>
      <c r="E420" s="9">
        <f t="shared" si="49"/>
        <v>-67200</v>
      </c>
      <c r="F420" s="9">
        <f t="shared" si="49"/>
        <v>0</v>
      </c>
      <c r="G420" s="9">
        <f t="shared" si="49"/>
        <v>0</v>
      </c>
      <c r="H420" s="9">
        <f t="shared" si="49"/>
        <v>0</v>
      </c>
      <c r="I420" s="9">
        <f t="shared" si="49"/>
        <v>0</v>
      </c>
      <c r="J420" s="9">
        <f t="shared" si="49"/>
        <v>0</v>
      </c>
      <c r="K420" s="9">
        <f t="shared" si="49"/>
        <v>0</v>
      </c>
      <c r="L420" s="9">
        <f t="shared" si="49"/>
        <v>0</v>
      </c>
      <c r="M420" s="9">
        <f t="shared" si="49"/>
        <v>-14515.199999999999</v>
      </c>
      <c r="N420" s="9">
        <f t="shared" si="49"/>
        <v>-19353.599999999999</v>
      </c>
      <c r="O420" s="9">
        <f t="shared" si="49"/>
        <v>0</v>
      </c>
      <c r="P420" s="9">
        <f t="shared" si="49"/>
        <v>0</v>
      </c>
      <c r="Q420" s="9">
        <f t="shared" si="49"/>
        <v>0</v>
      </c>
      <c r="R420" s="9">
        <f t="shared" si="49"/>
        <v>0</v>
      </c>
      <c r="S420" s="13" t="s">
        <v>251</v>
      </c>
      <c r="T420" s="219" t="s">
        <v>380</v>
      </c>
      <c r="U420" s="172"/>
      <c r="V420" s="172"/>
      <c r="W420" s="172"/>
      <c r="X420" s="172"/>
      <c r="Y420" s="173"/>
    </row>
    <row r="421" spans="1:25" ht="16.95" customHeight="1" x14ac:dyDescent="0.3">
      <c r="A421" s="12" t="str">
        <f t="shared" si="48"/>
        <v>C1Y</v>
      </c>
      <c r="C421" s="9">
        <f t="shared" ref="C421:R421" si="50">B364</f>
        <v>19353.599999999999</v>
      </c>
      <c r="D421" s="9">
        <f t="shared" si="50"/>
        <v>25804.800000000007</v>
      </c>
      <c r="E421" s="9">
        <f t="shared" si="50"/>
        <v>0</v>
      </c>
      <c r="F421" s="9">
        <f t="shared" si="50"/>
        <v>0</v>
      </c>
      <c r="G421" s="9">
        <f t="shared" si="50"/>
        <v>0</v>
      </c>
      <c r="H421" s="9">
        <f t="shared" si="50"/>
        <v>0</v>
      </c>
      <c r="I421" s="9">
        <f t="shared" si="50"/>
        <v>0</v>
      </c>
      <c r="J421" s="9">
        <f t="shared" si="50"/>
        <v>0</v>
      </c>
      <c r="K421" s="9">
        <f t="shared" si="50"/>
        <v>0</v>
      </c>
      <c r="L421" s="9">
        <f t="shared" si="50"/>
        <v>0</v>
      </c>
      <c r="M421" s="9">
        <f t="shared" si="50"/>
        <v>-19353.599999999999</v>
      </c>
      <c r="N421" s="9">
        <f t="shared" si="50"/>
        <v>-25804.800000000007</v>
      </c>
      <c r="O421" s="9">
        <f t="shared" si="50"/>
        <v>0</v>
      </c>
      <c r="P421" s="9">
        <f t="shared" si="50"/>
        <v>0</v>
      </c>
      <c r="Q421" s="9">
        <f t="shared" si="50"/>
        <v>0</v>
      </c>
      <c r="R421" s="9">
        <f t="shared" si="50"/>
        <v>0</v>
      </c>
      <c r="S421" s="13" t="s">
        <v>251</v>
      </c>
      <c r="T421" s="219" t="s">
        <v>253</v>
      </c>
      <c r="U421" s="172"/>
      <c r="V421" s="172"/>
      <c r="W421" s="172"/>
      <c r="X421" s="172"/>
      <c r="Y421" s="173"/>
    </row>
    <row r="422" spans="1:25" ht="16.95" customHeight="1" x14ac:dyDescent="0.3">
      <c r="A422" s="41">
        <f t="shared" si="48"/>
        <v>0</v>
      </c>
      <c r="C422" s="9">
        <f t="shared" ref="C422:R422" si="51">B365</f>
        <v>-67200</v>
      </c>
      <c r="D422" s="9">
        <f t="shared" si="51"/>
        <v>0</v>
      </c>
      <c r="E422" s="41">
        <f t="shared" si="51"/>
        <v>148915.20000000001</v>
      </c>
      <c r="F422" s="41">
        <f t="shared" si="51"/>
        <v>19353.599999999999</v>
      </c>
      <c r="G422" s="41">
        <f t="shared" si="51"/>
        <v>-67200</v>
      </c>
      <c r="H422" s="41">
        <f t="shared" si="51"/>
        <v>0</v>
      </c>
      <c r="I422" s="41">
        <f t="shared" si="51"/>
        <v>0</v>
      </c>
      <c r="J422" s="41">
        <f t="shared" si="51"/>
        <v>0</v>
      </c>
      <c r="K422" s="41">
        <f t="shared" si="51"/>
        <v>0</v>
      </c>
      <c r="L422" s="9">
        <f t="shared" si="51"/>
        <v>0</v>
      </c>
      <c r="M422" s="41">
        <f t="shared" si="51"/>
        <v>0</v>
      </c>
      <c r="N422" s="41">
        <f t="shared" si="51"/>
        <v>0</v>
      </c>
      <c r="O422" s="41">
        <f t="shared" si="51"/>
        <v>-14515.199999999999</v>
      </c>
      <c r="P422" s="41">
        <f t="shared" si="51"/>
        <v>-19353.599999999999</v>
      </c>
      <c r="Q422" s="41">
        <f t="shared" si="51"/>
        <v>0</v>
      </c>
      <c r="R422" s="41">
        <f t="shared" si="51"/>
        <v>0</v>
      </c>
      <c r="S422" s="13" t="s">
        <v>251</v>
      </c>
      <c r="T422" s="215" t="s">
        <v>254</v>
      </c>
      <c r="U422" s="172"/>
      <c r="V422" s="172"/>
      <c r="W422" s="172"/>
      <c r="X422" s="172"/>
      <c r="Y422" s="173"/>
    </row>
    <row r="423" spans="1:25" ht="16.95" customHeight="1" x14ac:dyDescent="0.3">
      <c r="A423" s="41">
        <f t="shared" si="48"/>
        <v>-4000</v>
      </c>
      <c r="C423" s="9">
        <f t="shared" ref="C423:R423" si="52">B366</f>
        <v>0</v>
      </c>
      <c r="D423" s="9">
        <f t="shared" si="52"/>
        <v>0</v>
      </c>
      <c r="E423" s="41">
        <f t="shared" si="52"/>
        <v>19353.599999999999</v>
      </c>
      <c r="F423" s="41">
        <f t="shared" si="52"/>
        <v>76204.800000000003</v>
      </c>
      <c r="G423" s="41">
        <f t="shared" si="52"/>
        <v>0</v>
      </c>
      <c r="H423" s="41">
        <f t="shared" si="52"/>
        <v>0</v>
      </c>
      <c r="I423" s="41">
        <f t="shared" si="52"/>
        <v>0</v>
      </c>
      <c r="J423" s="41">
        <f t="shared" si="52"/>
        <v>0</v>
      </c>
      <c r="K423" s="41">
        <f t="shared" si="52"/>
        <v>0</v>
      </c>
      <c r="L423" s="9">
        <f t="shared" si="52"/>
        <v>0</v>
      </c>
      <c r="M423" s="41">
        <f t="shared" si="52"/>
        <v>0</v>
      </c>
      <c r="N423" s="41">
        <f t="shared" si="52"/>
        <v>-50400</v>
      </c>
      <c r="O423" s="41">
        <f t="shared" si="52"/>
        <v>-19353.599999999999</v>
      </c>
      <c r="P423" s="41">
        <f t="shared" si="52"/>
        <v>-25804.800000000007</v>
      </c>
      <c r="Q423" s="41">
        <f t="shared" si="52"/>
        <v>0</v>
      </c>
      <c r="R423" s="41">
        <f t="shared" si="52"/>
        <v>0</v>
      </c>
      <c r="S423" s="13" t="s">
        <v>251</v>
      </c>
      <c r="T423" s="215" t="s">
        <v>381</v>
      </c>
      <c r="U423" s="172"/>
      <c r="V423" s="172"/>
      <c r="W423" s="172"/>
      <c r="X423" s="172"/>
      <c r="Y423" s="173"/>
    </row>
    <row r="424" spans="1:25" ht="16.95" customHeight="1" x14ac:dyDescent="0.3">
      <c r="A424" s="41">
        <f t="shared" si="48"/>
        <v>0</v>
      </c>
      <c r="C424" s="9">
        <f t="shared" ref="C424:R424" si="53">B367</f>
        <v>0</v>
      </c>
      <c r="D424" s="9">
        <f t="shared" si="53"/>
        <v>0</v>
      </c>
      <c r="E424" s="41">
        <f t="shared" si="53"/>
        <v>-67200</v>
      </c>
      <c r="F424" s="41">
        <f t="shared" si="53"/>
        <v>0</v>
      </c>
      <c r="G424" s="41">
        <f t="shared" si="53"/>
        <v>148915.20000000001</v>
      </c>
      <c r="H424" s="41">
        <f t="shared" si="53"/>
        <v>19353.599999999999</v>
      </c>
      <c r="I424" s="41">
        <f t="shared" si="53"/>
        <v>-67200</v>
      </c>
      <c r="J424" s="41">
        <f t="shared" si="53"/>
        <v>0</v>
      </c>
      <c r="K424" s="41">
        <f t="shared" si="53"/>
        <v>0</v>
      </c>
      <c r="L424" s="9">
        <f t="shared" si="53"/>
        <v>0</v>
      </c>
      <c r="M424" s="41">
        <f t="shared" si="53"/>
        <v>0</v>
      </c>
      <c r="N424" s="41">
        <f t="shared" si="53"/>
        <v>0</v>
      </c>
      <c r="O424" s="41">
        <f t="shared" si="53"/>
        <v>0</v>
      </c>
      <c r="P424" s="41">
        <f t="shared" si="53"/>
        <v>0</v>
      </c>
      <c r="Q424" s="41">
        <f t="shared" si="53"/>
        <v>-14515.199999999999</v>
      </c>
      <c r="R424" s="41">
        <f t="shared" si="53"/>
        <v>-19353.599999999999</v>
      </c>
      <c r="S424" s="13" t="s">
        <v>251</v>
      </c>
      <c r="T424" s="215" t="s">
        <v>382</v>
      </c>
      <c r="U424" s="172"/>
      <c r="V424" s="172"/>
      <c r="W424" s="172"/>
      <c r="X424" s="172"/>
      <c r="Y424" s="173"/>
    </row>
    <row r="425" spans="1:25" ht="16.95" customHeight="1" x14ac:dyDescent="0.3">
      <c r="A425" s="41">
        <f t="shared" si="48"/>
        <v>-5000</v>
      </c>
      <c r="C425" s="9">
        <f t="shared" ref="C425:R425" si="54">B368</f>
        <v>0</v>
      </c>
      <c r="D425" s="9">
        <f t="shared" si="54"/>
        <v>0</v>
      </c>
      <c r="E425" s="41">
        <f t="shared" si="54"/>
        <v>0</v>
      </c>
      <c r="F425" s="41">
        <f t="shared" si="54"/>
        <v>0</v>
      </c>
      <c r="G425" s="41">
        <f t="shared" si="54"/>
        <v>19353.599999999999</v>
      </c>
      <c r="H425" s="41">
        <f t="shared" si="54"/>
        <v>76204.800000000003</v>
      </c>
      <c r="I425" s="41">
        <f t="shared" si="54"/>
        <v>0</v>
      </c>
      <c r="J425" s="41">
        <f t="shared" si="54"/>
        <v>0</v>
      </c>
      <c r="K425" s="41">
        <f t="shared" si="54"/>
        <v>0</v>
      </c>
      <c r="L425" s="9">
        <f t="shared" si="54"/>
        <v>0</v>
      </c>
      <c r="M425" s="41">
        <f t="shared" si="54"/>
        <v>0</v>
      </c>
      <c r="N425" s="41">
        <f t="shared" si="54"/>
        <v>0</v>
      </c>
      <c r="O425" s="41">
        <f t="shared" si="54"/>
        <v>0</v>
      </c>
      <c r="P425" s="41">
        <f t="shared" si="54"/>
        <v>-50400</v>
      </c>
      <c r="Q425" s="41">
        <f t="shared" si="54"/>
        <v>-19353.599999999999</v>
      </c>
      <c r="R425" s="41">
        <f t="shared" si="54"/>
        <v>-25804.800000000007</v>
      </c>
      <c r="S425" s="13" t="s">
        <v>251</v>
      </c>
      <c r="T425" s="215" t="str">
        <f t="shared" ref="T425:T435" si="55">E405</f>
        <v>D3Y</v>
      </c>
      <c r="U425" s="172"/>
      <c r="V425" s="172"/>
      <c r="W425" s="172"/>
      <c r="X425" s="172"/>
      <c r="Y425" s="173"/>
    </row>
    <row r="426" spans="1:25" ht="16.95" customHeight="1" x14ac:dyDescent="0.3">
      <c r="A426" s="41">
        <f t="shared" si="48"/>
        <v>0</v>
      </c>
      <c r="C426" s="9">
        <f t="shared" ref="C426:R426" si="56">B369</f>
        <v>0</v>
      </c>
      <c r="D426" s="9">
        <f t="shared" si="56"/>
        <v>0</v>
      </c>
      <c r="E426" s="41">
        <f t="shared" si="56"/>
        <v>0</v>
      </c>
      <c r="F426" s="41">
        <f t="shared" si="56"/>
        <v>0</v>
      </c>
      <c r="G426" s="41">
        <f t="shared" si="56"/>
        <v>-67200</v>
      </c>
      <c r="H426" s="41">
        <f t="shared" si="56"/>
        <v>0</v>
      </c>
      <c r="I426" s="41">
        <f t="shared" si="56"/>
        <v>134400</v>
      </c>
      <c r="J426" s="41">
        <f t="shared" si="56"/>
        <v>0</v>
      </c>
      <c r="K426" s="41">
        <f t="shared" si="56"/>
        <v>-67200</v>
      </c>
      <c r="L426" s="9">
        <f t="shared" si="56"/>
        <v>0</v>
      </c>
      <c r="M426" s="41">
        <f t="shared" si="56"/>
        <v>0</v>
      </c>
      <c r="N426" s="41">
        <f t="shared" si="56"/>
        <v>0</v>
      </c>
      <c r="O426" s="41">
        <f t="shared" si="56"/>
        <v>0</v>
      </c>
      <c r="P426" s="41">
        <f t="shared" si="56"/>
        <v>0</v>
      </c>
      <c r="Q426" s="41">
        <f t="shared" si="56"/>
        <v>0</v>
      </c>
      <c r="R426" s="41">
        <f t="shared" si="56"/>
        <v>0</v>
      </c>
      <c r="S426" s="13" t="s">
        <v>251</v>
      </c>
      <c r="T426" s="215" t="str">
        <f t="shared" si="55"/>
        <v>D4X</v>
      </c>
      <c r="U426" s="172"/>
      <c r="V426" s="172"/>
      <c r="W426" s="172"/>
      <c r="X426" s="172"/>
      <c r="Y426" s="173"/>
    </row>
    <row r="427" spans="1:25" ht="16.95" customHeight="1" x14ac:dyDescent="0.3">
      <c r="A427" s="41">
        <f t="shared" si="48"/>
        <v>-4000</v>
      </c>
      <c r="C427" s="9">
        <f t="shared" ref="C427:R427" si="57">B370</f>
        <v>0</v>
      </c>
      <c r="D427" s="9">
        <f t="shared" si="57"/>
        <v>0</v>
      </c>
      <c r="E427" s="41">
        <f t="shared" si="57"/>
        <v>0</v>
      </c>
      <c r="F427" s="41">
        <f t="shared" si="57"/>
        <v>0</v>
      </c>
      <c r="G427" s="41">
        <f t="shared" si="57"/>
        <v>0</v>
      </c>
      <c r="H427" s="41">
        <f t="shared" si="57"/>
        <v>0</v>
      </c>
      <c r="I427" s="41">
        <f t="shared" si="57"/>
        <v>0</v>
      </c>
      <c r="J427" s="41">
        <f t="shared" si="57"/>
        <v>50400</v>
      </c>
      <c r="K427" s="41">
        <f t="shared" si="57"/>
        <v>0</v>
      </c>
      <c r="L427" s="9">
        <f t="shared" si="57"/>
        <v>0</v>
      </c>
      <c r="M427" s="41">
        <f t="shared" si="57"/>
        <v>0</v>
      </c>
      <c r="N427" s="41">
        <f t="shared" si="57"/>
        <v>0</v>
      </c>
      <c r="O427" s="41">
        <f t="shared" si="57"/>
        <v>0</v>
      </c>
      <c r="P427" s="41">
        <f t="shared" si="57"/>
        <v>0</v>
      </c>
      <c r="Q427" s="41">
        <f t="shared" si="57"/>
        <v>0</v>
      </c>
      <c r="R427" s="41">
        <f t="shared" si="57"/>
        <v>-50400</v>
      </c>
      <c r="S427" s="13" t="s">
        <v>251</v>
      </c>
      <c r="T427" s="215" t="str">
        <f t="shared" si="55"/>
        <v>D4Y</v>
      </c>
      <c r="U427" s="172"/>
      <c r="V427" s="172"/>
      <c r="W427" s="172"/>
      <c r="X427" s="172"/>
      <c r="Y427" s="173"/>
    </row>
    <row r="428" spans="1:25" ht="16.95" customHeight="1" x14ac:dyDescent="0.3">
      <c r="A428" s="41">
        <f t="shared" si="48"/>
        <v>0</v>
      </c>
      <c r="B428" s="13" t="s">
        <v>220</v>
      </c>
      <c r="C428" s="9">
        <f t="shared" ref="C428:R428" si="58">B371</f>
        <v>0</v>
      </c>
      <c r="D428" s="9">
        <f t="shared" si="58"/>
        <v>0</v>
      </c>
      <c r="E428" s="41">
        <f t="shared" si="58"/>
        <v>0</v>
      </c>
      <c r="F428" s="41">
        <f t="shared" si="58"/>
        <v>0</v>
      </c>
      <c r="G428" s="41">
        <f t="shared" si="58"/>
        <v>0</v>
      </c>
      <c r="H428" s="41">
        <f t="shared" si="58"/>
        <v>0</v>
      </c>
      <c r="I428" s="41">
        <f t="shared" si="58"/>
        <v>-67200</v>
      </c>
      <c r="J428" s="41">
        <f t="shared" si="58"/>
        <v>0</v>
      </c>
      <c r="K428" s="41">
        <f t="shared" si="58"/>
        <v>81715.199999999997</v>
      </c>
      <c r="L428" s="9">
        <f t="shared" si="58"/>
        <v>-19353.599999999999</v>
      </c>
      <c r="M428" s="41">
        <f t="shared" si="58"/>
        <v>0</v>
      </c>
      <c r="N428" s="41">
        <f t="shared" si="58"/>
        <v>0</v>
      </c>
      <c r="O428" s="41">
        <f t="shared" si="58"/>
        <v>0</v>
      </c>
      <c r="P428" s="41">
        <f t="shared" si="58"/>
        <v>0</v>
      </c>
      <c r="Q428" s="41">
        <f t="shared" si="58"/>
        <v>-14515.199999999999</v>
      </c>
      <c r="R428" s="41">
        <f t="shared" si="58"/>
        <v>19353.599999999999</v>
      </c>
      <c r="S428" s="13" t="s">
        <v>251</v>
      </c>
      <c r="T428" s="215" t="str">
        <f t="shared" si="55"/>
        <v>D5X</v>
      </c>
      <c r="U428" s="172"/>
      <c r="V428" s="172"/>
      <c r="W428" s="172"/>
      <c r="X428" s="172"/>
      <c r="Y428" s="173"/>
    </row>
    <row r="429" spans="1:25" ht="16.95" customHeight="1" x14ac:dyDescent="0.3">
      <c r="A429" s="12" t="str">
        <f t="shared" si="48"/>
        <v>C5Y</v>
      </c>
      <c r="C429" s="9">
        <f t="shared" ref="C429:R429" si="59">B372</f>
        <v>0</v>
      </c>
      <c r="D429" s="9">
        <f t="shared" si="59"/>
        <v>0</v>
      </c>
      <c r="E429" s="9">
        <f t="shared" si="59"/>
        <v>0</v>
      </c>
      <c r="F429" s="9">
        <f t="shared" si="59"/>
        <v>0</v>
      </c>
      <c r="G429" s="9">
        <f t="shared" si="59"/>
        <v>0</v>
      </c>
      <c r="H429" s="9">
        <f t="shared" si="59"/>
        <v>0</v>
      </c>
      <c r="I429" s="9">
        <f t="shared" si="59"/>
        <v>0</v>
      </c>
      <c r="J429" s="9">
        <f t="shared" si="59"/>
        <v>0</v>
      </c>
      <c r="K429" s="9">
        <f t="shared" si="59"/>
        <v>-19353.599999999999</v>
      </c>
      <c r="L429" s="9">
        <f t="shared" si="59"/>
        <v>25804.800000000007</v>
      </c>
      <c r="M429" s="9">
        <f t="shared" si="59"/>
        <v>0</v>
      </c>
      <c r="N429" s="9">
        <f t="shared" si="59"/>
        <v>0</v>
      </c>
      <c r="O429" s="9">
        <f t="shared" si="59"/>
        <v>0</v>
      </c>
      <c r="P429" s="9">
        <f t="shared" si="59"/>
        <v>0</v>
      </c>
      <c r="Q429" s="9">
        <f t="shared" si="59"/>
        <v>19353.599999999999</v>
      </c>
      <c r="R429" s="9">
        <f t="shared" si="59"/>
        <v>-25804.800000000007</v>
      </c>
      <c r="S429" s="13" t="s">
        <v>251</v>
      </c>
      <c r="T429" s="219">
        <f t="shared" si="55"/>
        <v>0</v>
      </c>
      <c r="U429" s="172"/>
      <c r="V429" s="172"/>
      <c r="W429" s="172"/>
      <c r="X429" s="172"/>
      <c r="Y429" s="173"/>
    </row>
    <row r="430" spans="1:25" ht="16.95" customHeight="1" x14ac:dyDescent="0.3">
      <c r="A430" s="41">
        <f t="shared" si="48"/>
        <v>0</v>
      </c>
      <c r="C430" s="9">
        <f t="shared" ref="C430:R430" si="60">B373</f>
        <v>-14515.199999999999</v>
      </c>
      <c r="D430" s="9">
        <f t="shared" si="60"/>
        <v>-19353.599999999999</v>
      </c>
      <c r="E430" s="41">
        <f t="shared" si="60"/>
        <v>0</v>
      </c>
      <c r="F430" s="41">
        <f t="shared" si="60"/>
        <v>0</v>
      </c>
      <c r="G430" s="41">
        <f t="shared" si="60"/>
        <v>0</v>
      </c>
      <c r="H430" s="41">
        <f t="shared" si="60"/>
        <v>0</v>
      </c>
      <c r="I430" s="41">
        <f t="shared" si="60"/>
        <v>0</v>
      </c>
      <c r="J430" s="41">
        <f t="shared" si="60"/>
        <v>0</v>
      </c>
      <c r="K430" s="41">
        <f t="shared" si="60"/>
        <v>0</v>
      </c>
      <c r="L430" s="9">
        <f t="shared" si="60"/>
        <v>0</v>
      </c>
      <c r="M430" s="41">
        <f t="shared" si="60"/>
        <v>81715.199999999997</v>
      </c>
      <c r="N430" s="41">
        <f t="shared" si="60"/>
        <v>19353.599999999999</v>
      </c>
      <c r="O430" s="41">
        <f t="shared" si="60"/>
        <v>-67200</v>
      </c>
      <c r="P430" s="41">
        <f t="shared" si="60"/>
        <v>0</v>
      </c>
      <c r="Q430" s="41">
        <f t="shared" si="60"/>
        <v>0</v>
      </c>
      <c r="R430" s="41">
        <f t="shared" si="60"/>
        <v>0</v>
      </c>
      <c r="S430" s="13" t="s">
        <v>251</v>
      </c>
      <c r="T430" s="215" t="str">
        <f t="shared" si="55"/>
        <v>D6X</v>
      </c>
      <c r="U430" s="172"/>
      <c r="V430" s="172"/>
      <c r="W430" s="172"/>
      <c r="X430" s="172"/>
      <c r="Y430" s="173"/>
    </row>
    <row r="431" spans="1:25" ht="16.95" customHeight="1" x14ac:dyDescent="0.3">
      <c r="A431" s="41">
        <f t="shared" si="48"/>
        <v>0</v>
      </c>
      <c r="C431" s="9">
        <f t="shared" ref="C431:R431" si="61">B374</f>
        <v>-19353.599999999999</v>
      </c>
      <c r="D431" s="9">
        <f t="shared" si="61"/>
        <v>-25804.800000000007</v>
      </c>
      <c r="E431" s="41">
        <f t="shared" si="61"/>
        <v>0</v>
      </c>
      <c r="F431" s="41">
        <f t="shared" si="61"/>
        <v>-50400</v>
      </c>
      <c r="G431" s="41">
        <f t="shared" si="61"/>
        <v>0</v>
      </c>
      <c r="H431" s="41">
        <f t="shared" si="61"/>
        <v>0</v>
      </c>
      <c r="I431" s="41">
        <f t="shared" si="61"/>
        <v>0</v>
      </c>
      <c r="J431" s="41">
        <f t="shared" si="61"/>
        <v>0</v>
      </c>
      <c r="K431" s="41">
        <f t="shared" si="61"/>
        <v>0</v>
      </c>
      <c r="L431" s="9">
        <f t="shared" si="61"/>
        <v>0</v>
      </c>
      <c r="M431" s="41">
        <f t="shared" si="61"/>
        <v>19353.599999999999</v>
      </c>
      <c r="N431" s="41">
        <f t="shared" si="61"/>
        <v>76204.800000000003</v>
      </c>
      <c r="O431" s="41">
        <f t="shared" si="61"/>
        <v>0</v>
      </c>
      <c r="P431" s="41">
        <f t="shared" si="61"/>
        <v>0</v>
      </c>
      <c r="Q431" s="41">
        <f t="shared" si="61"/>
        <v>0</v>
      </c>
      <c r="R431" s="41">
        <f t="shared" si="61"/>
        <v>0</v>
      </c>
      <c r="S431" s="13" t="s">
        <v>251</v>
      </c>
      <c r="T431" s="215" t="str">
        <f t="shared" si="55"/>
        <v>D6Y</v>
      </c>
      <c r="U431" s="172"/>
      <c r="V431" s="172"/>
      <c r="W431" s="172"/>
      <c r="X431" s="172"/>
      <c r="Y431" s="173"/>
    </row>
    <row r="432" spans="1:25" ht="16.95" customHeight="1" x14ac:dyDescent="0.3">
      <c r="A432" s="41">
        <f t="shared" si="48"/>
        <v>0</v>
      </c>
      <c r="C432" s="9">
        <f t="shared" ref="C432:R432" si="62">B375</f>
        <v>0</v>
      </c>
      <c r="D432" s="9">
        <f t="shared" si="62"/>
        <v>0</v>
      </c>
      <c r="E432" s="41">
        <f t="shared" si="62"/>
        <v>-14515.199999999999</v>
      </c>
      <c r="F432" s="41">
        <f t="shared" si="62"/>
        <v>-19353.599999999999</v>
      </c>
      <c r="G432" s="41">
        <f t="shared" si="62"/>
        <v>0</v>
      </c>
      <c r="H432" s="41">
        <f t="shared" si="62"/>
        <v>0</v>
      </c>
      <c r="I432" s="41">
        <f t="shared" si="62"/>
        <v>0</v>
      </c>
      <c r="J432" s="41">
        <f t="shared" si="62"/>
        <v>0</v>
      </c>
      <c r="K432" s="41">
        <f t="shared" si="62"/>
        <v>0</v>
      </c>
      <c r="L432" s="9">
        <f t="shared" si="62"/>
        <v>0</v>
      </c>
      <c r="M432" s="41">
        <f t="shared" si="62"/>
        <v>-67200</v>
      </c>
      <c r="N432" s="41">
        <f t="shared" si="62"/>
        <v>0</v>
      </c>
      <c r="O432" s="41">
        <f t="shared" si="62"/>
        <v>148915.20000000001</v>
      </c>
      <c r="P432" s="41">
        <f t="shared" si="62"/>
        <v>19353.599999999999</v>
      </c>
      <c r="Q432" s="41">
        <f t="shared" si="62"/>
        <v>-67200</v>
      </c>
      <c r="R432" s="41">
        <f t="shared" si="62"/>
        <v>0</v>
      </c>
      <c r="S432" s="13" t="s">
        <v>251</v>
      </c>
      <c r="T432" s="215" t="str">
        <f t="shared" si="55"/>
        <v>D7X</v>
      </c>
      <c r="U432" s="172"/>
      <c r="V432" s="172"/>
      <c r="W432" s="172"/>
      <c r="X432" s="172"/>
      <c r="Y432" s="173"/>
    </row>
    <row r="433" spans="1:25" ht="16.95" customHeight="1" x14ac:dyDescent="0.3">
      <c r="A433" s="41">
        <f t="shared" si="48"/>
        <v>0</v>
      </c>
      <c r="C433" s="9">
        <f t="shared" ref="C433:R433" si="63">B376</f>
        <v>0</v>
      </c>
      <c r="D433" s="9">
        <f t="shared" si="63"/>
        <v>0</v>
      </c>
      <c r="E433" s="41">
        <f t="shared" si="63"/>
        <v>-19353.599999999999</v>
      </c>
      <c r="F433" s="41">
        <f t="shared" si="63"/>
        <v>-25804.800000000007</v>
      </c>
      <c r="G433" s="41">
        <f t="shared" si="63"/>
        <v>0</v>
      </c>
      <c r="H433" s="41">
        <f t="shared" si="63"/>
        <v>-50400</v>
      </c>
      <c r="I433" s="41">
        <f t="shared" si="63"/>
        <v>0</v>
      </c>
      <c r="J433" s="41">
        <f t="shared" si="63"/>
        <v>0</v>
      </c>
      <c r="K433" s="41">
        <f t="shared" si="63"/>
        <v>0</v>
      </c>
      <c r="L433" s="9">
        <f t="shared" si="63"/>
        <v>0</v>
      </c>
      <c r="M433" s="41">
        <f t="shared" si="63"/>
        <v>0</v>
      </c>
      <c r="N433" s="41">
        <f t="shared" si="63"/>
        <v>0</v>
      </c>
      <c r="O433" s="41">
        <f t="shared" si="63"/>
        <v>19353.599999999999</v>
      </c>
      <c r="P433" s="41">
        <f t="shared" si="63"/>
        <v>76204.800000000003</v>
      </c>
      <c r="Q433" s="41">
        <f t="shared" si="63"/>
        <v>0</v>
      </c>
      <c r="R433" s="41">
        <f t="shared" si="63"/>
        <v>0</v>
      </c>
      <c r="S433" s="13" t="s">
        <v>251</v>
      </c>
      <c r="T433" s="215" t="str">
        <f t="shared" si="55"/>
        <v>D7Y</v>
      </c>
      <c r="U433" s="172"/>
      <c r="V433" s="172"/>
      <c r="W433" s="172"/>
      <c r="X433" s="172"/>
      <c r="Y433" s="173"/>
    </row>
    <row r="434" spans="1:25" ht="16.95" customHeight="1" x14ac:dyDescent="0.3">
      <c r="A434" s="41">
        <f t="shared" si="48"/>
        <v>0</v>
      </c>
      <c r="C434" s="9">
        <f t="shared" ref="C434:R434" si="64">B377</f>
        <v>0</v>
      </c>
      <c r="D434" s="9">
        <f t="shared" si="64"/>
        <v>0</v>
      </c>
      <c r="E434" s="41">
        <f t="shared" si="64"/>
        <v>0</v>
      </c>
      <c r="F434" s="41">
        <f t="shared" si="64"/>
        <v>0</v>
      </c>
      <c r="G434" s="41">
        <f t="shared" si="64"/>
        <v>-14515.199999999999</v>
      </c>
      <c r="H434" s="41">
        <f t="shared" si="64"/>
        <v>-19353.599999999999</v>
      </c>
      <c r="I434" s="41">
        <f t="shared" si="64"/>
        <v>0</v>
      </c>
      <c r="J434" s="41">
        <f t="shared" si="64"/>
        <v>0</v>
      </c>
      <c r="K434" s="41">
        <f t="shared" si="64"/>
        <v>-14515.199999999999</v>
      </c>
      <c r="L434" s="9">
        <f t="shared" si="64"/>
        <v>19353.599999999999</v>
      </c>
      <c r="M434" s="41">
        <f t="shared" si="64"/>
        <v>0</v>
      </c>
      <c r="N434" s="41">
        <f t="shared" si="64"/>
        <v>0</v>
      </c>
      <c r="O434" s="41">
        <f t="shared" si="64"/>
        <v>-67200</v>
      </c>
      <c r="P434" s="41">
        <f t="shared" si="64"/>
        <v>0</v>
      </c>
      <c r="Q434" s="41">
        <f t="shared" si="64"/>
        <v>96230.399999999994</v>
      </c>
      <c r="R434" s="41">
        <f t="shared" si="64"/>
        <v>0</v>
      </c>
      <c r="S434" s="13" t="s">
        <v>251</v>
      </c>
      <c r="T434" s="215" t="str">
        <f t="shared" si="55"/>
        <v>D8X</v>
      </c>
      <c r="U434" s="172"/>
      <c r="V434" s="172"/>
      <c r="W434" s="172"/>
      <c r="X434" s="172"/>
      <c r="Y434" s="173"/>
    </row>
    <row r="435" spans="1:25" ht="16.95" customHeight="1" x14ac:dyDescent="0.3">
      <c r="A435" s="41">
        <f t="shared" si="48"/>
        <v>0</v>
      </c>
      <c r="C435" s="9">
        <f t="shared" ref="C435:R435" si="65">B378</f>
        <v>0</v>
      </c>
      <c r="D435" s="9">
        <f t="shared" si="65"/>
        <v>0</v>
      </c>
      <c r="E435" s="41">
        <f t="shared" si="65"/>
        <v>0</v>
      </c>
      <c r="F435" s="41">
        <f t="shared" si="65"/>
        <v>0</v>
      </c>
      <c r="G435" s="41">
        <f t="shared" si="65"/>
        <v>-19353.599999999999</v>
      </c>
      <c r="H435" s="41">
        <f t="shared" si="65"/>
        <v>-25804.800000000007</v>
      </c>
      <c r="I435" s="41">
        <f t="shared" si="65"/>
        <v>0</v>
      </c>
      <c r="J435" s="41">
        <f t="shared" si="65"/>
        <v>-50400</v>
      </c>
      <c r="K435" s="41">
        <f t="shared" si="65"/>
        <v>19353.599999999999</v>
      </c>
      <c r="L435" s="9">
        <f t="shared" si="65"/>
        <v>-25804.800000000007</v>
      </c>
      <c r="M435" s="41">
        <f t="shared" si="65"/>
        <v>0</v>
      </c>
      <c r="N435" s="41">
        <f t="shared" si="65"/>
        <v>0</v>
      </c>
      <c r="O435" s="41">
        <f t="shared" si="65"/>
        <v>0</v>
      </c>
      <c r="P435" s="41">
        <f t="shared" si="65"/>
        <v>0</v>
      </c>
      <c r="Q435" s="41">
        <f t="shared" si="65"/>
        <v>0</v>
      </c>
      <c r="R435" s="41">
        <f t="shared" si="65"/>
        <v>102009.60000000001</v>
      </c>
      <c r="S435" s="13" t="s">
        <v>251</v>
      </c>
      <c r="T435" s="215" t="str">
        <f t="shared" si="55"/>
        <v>D8Y</v>
      </c>
      <c r="U435" s="172"/>
      <c r="V435" s="172"/>
      <c r="W435" s="172"/>
      <c r="X435" s="172"/>
      <c r="Y435" s="173"/>
    </row>
    <row r="438" spans="1:25" ht="19.95" customHeight="1" x14ac:dyDescent="0.35">
      <c r="A438" s="15" t="s">
        <v>257</v>
      </c>
      <c r="T438" s="216" t="s">
        <v>258</v>
      </c>
      <c r="U438" s="172"/>
      <c r="V438" s="172"/>
      <c r="W438" s="172"/>
      <c r="X438" s="172"/>
      <c r="Y438" s="173"/>
    </row>
    <row r="439" spans="1:25" ht="16.95" customHeight="1" x14ac:dyDescent="0.3">
      <c r="C439" s="38" t="str">
        <f>INDEX(C$400:C$415, MATCH(1, F$400:F$415, 0))</f>
        <v>U2X</v>
      </c>
      <c r="D439" s="38" t="str">
        <f>INDEX(C$400:C$415, MATCH(2, F$400:F$415, 0))</f>
        <v>U2Y</v>
      </c>
      <c r="E439" s="38" t="str">
        <f>INDEX(C$400:C$415, MATCH(3, F$400:F$415, 0))</f>
        <v>U3X</v>
      </c>
      <c r="F439" s="38" t="str">
        <f>INDEX(C$400:C$415, MATCH(4, F$400:F$415, 0))</f>
        <v>U3Y</v>
      </c>
      <c r="G439" s="38" t="str">
        <f>INDEX(C$400:C$415, MATCH(5, F$400:F$415, 0))</f>
        <v>U4X</v>
      </c>
      <c r="H439" s="38" t="str">
        <f>INDEX(C$400:C$415, MATCH(6, F$400:F$415, 0))</f>
        <v>U4Y</v>
      </c>
      <c r="I439" s="38" t="str">
        <f>INDEX(C$400:C$415, MATCH(7, F$400:F$415, 0))</f>
        <v>U5X</v>
      </c>
      <c r="J439" s="38" t="str">
        <f>INDEX(C$400:C$415, MATCH(8, F$400:F$415, 0))</f>
        <v>U6X</v>
      </c>
      <c r="K439" s="38" t="str">
        <f>INDEX(C$400:C$415, MATCH(9, F$400:F$415, 0))</f>
        <v>U6Y</v>
      </c>
      <c r="L439" s="38" t="str">
        <f>INDEX(C$400:C$415, MATCH(10, F$400:F$415, 0))</f>
        <v>U7X</v>
      </c>
      <c r="M439" s="38" t="str">
        <f>INDEX(C$400:C$415, MATCH(11, F$400:F$415, 0))</f>
        <v>U7Y</v>
      </c>
      <c r="N439" s="38" t="str">
        <f>INDEX(C$400:C$415, MATCH(12, F$400:F$415, 0))</f>
        <v>U8X</v>
      </c>
      <c r="O439" s="38" t="str">
        <f>INDEX(C$400:C$415, MATCH(13, F$400:F$415, 0))</f>
        <v>U8Y</v>
      </c>
      <c r="T439" s="215" t="s">
        <v>383</v>
      </c>
      <c r="U439" s="172"/>
      <c r="V439" s="172"/>
      <c r="W439" s="172"/>
      <c r="X439" s="172"/>
      <c r="Y439" s="173"/>
    </row>
    <row r="440" spans="1:25" ht="16.95" customHeight="1" x14ac:dyDescent="0.3">
      <c r="A440" s="41">
        <f t="shared" ref="A440:A452" si="66">INDEX(E$382:E$397, MATCH(R440, C$382:C$397, 0))</f>
        <v>0</v>
      </c>
      <c r="C440" s="41">
        <f t="shared" ref="C440:O452" si="67">INDEX($B$363:$Q$378, MATCH($R440, $R$363:$R$378, 0), MATCH(C$439, $B$362:$Q$362, 0))</f>
        <v>148915.20000000001</v>
      </c>
      <c r="D440" s="41">
        <f t="shared" si="67"/>
        <v>19353.599999999999</v>
      </c>
      <c r="E440" s="41">
        <f t="shared" si="67"/>
        <v>-67200</v>
      </c>
      <c r="F440" s="41">
        <f t="shared" si="67"/>
        <v>0</v>
      </c>
      <c r="G440" s="41">
        <f t="shared" si="67"/>
        <v>0</v>
      </c>
      <c r="H440" s="41">
        <f t="shared" si="67"/>
        <v>0</v>
      </c>
      <c r="I440" s="41">
        <f t="shared" si="67"/>
        <v>0</v>
      </c>
      <c r="J440" s="41">
        <f t="shared" si="67"/>
        <v>0</v>
      </c>
      <c r="K440" s="41">
        <f t="shared" si="67"/>
        <v>0</v>
      </c>
      <c r="L440" s="41">
        <f t="shared" si="67"/>
        <v>-14515.199999999999</v>
      </c>
      <c r="M440" s="41">
        <f t="shared" si="67"/>
        <v>-19353.599999999999</v>
      </c>
      <c r="N440" s="41">
        <f t="shared" si="67"/>
        <v>0</v>
      </c>
      <c r="O440" s="41">
        <f t="shared" si="67"/>
        <v>0</v>
      </c>
      <c r="P440" s="13" t="s">
        <v>251</v>
      </c>
      <c r="Q440" s="38" t="str">
        <f>INDEX(B$400:B$415, MATCH(1, F$400:F$415, 0))</f>
        <v>D2X</v>
      </c>
      <c r="R440" s="14" t="str">
        <f>INDEX(C$400:C$415, MATCH(1, F$400:F$415, 0))</f>
        <v>U2X</v>
      </c>
      <c r="T440" s="215" t="s">
        <v>384</v>
      </c>
      <c r="U440" s="172"/>
      <c r="V440" s="172"/>
      <c r="W440" s="172"/>
      <c r="X440" s="172"/>
      <c r="Y440" s="173"/>
    </row>
    <row r="441" spans="1:25" ht="16.95" customHeight="1" x14ac:dyDescent="0.3">
      <c r="A441" s="41">
        <f t="shared" si="66"/>
        <v>-4000</v>
      </c>
      <c r="C441" s="41">
        <f t="shared" si="67"/>
        <v>19353.599999999999</v>
      </c>
      <c r="D441" s="41">
        <f t="shared" si="67"/>
        <v>76204.800000000003</v>
      </c>
      <c r="E441" s="41">
        <f t="shared" si="67"/>
        <v>0</v>
      </c>
      <c r="F441" s="41">
        <f t="shared" si="67"/>
        <v>0</v>
      </c>
      <c r="G441" s="41">
        <f t="shared" si="67"/>
        <v>0</v>
      </c>
      <c r="H441" s="41">
        <f t="shared" si="67"/>
        <v>0</v>
      </c>
      <c r="I441" s="41">
        <f t="shared" si="67"/>
        <v>0</v>
      </c>
      <c r="J441" s="41">
        <f t="shared" si="67"/>
        <v>0</v>
      </c>
      <c r="K441" s="41">
        <f t="shared" si="67"/>
        <v>-50400</v>
      </c>
      <c r="L441" s="41">
        <f t="shared" si="67"/>
        <v>-19353.599999999999</v>
      </c>
      <c r="M441" s="41">
        <f t="shared" si="67"/>
        <v>-25804.800000000007</v>
      </c>
      <c r="N441" s="41">
        <f t="shared" si="67"/>
        <v>0</v>
      </c>
      <c r="O441" s="41">
        <f t="shared" si="67"/>
        <v>0</v>
      </c>
      <c r="P441" s="13" t="s">
        <v>251</v>
      </c>
      <c r="Q441" s="38" t="str">
        <f>INDEX(B$400:B$415, MATCH(2, F$400:F$415, 0))</f>
        <v>D2Y</v>
      </c>
      <c r="R441" s="14" t="str">
        <f>INDEX(C$400:C$415, MATCH(2, F$400:F$415, 0))</f>
        <v>U2Y</v>
      </c>
      <c r="T441" s="215" t="s">
        <v>385</v>
      </c>
      <c r="U441" s="172"/>
      <c r="V441" s="172"/>
      <c r="W441" s="172"/>
      <c r="X441" s="172"/>
      <c r="Y441" s="173"/>
    </row>
    <row r="442" spans="1:25" ht="16.95" customHeight="1" x14ac:dyDescent="0.3">
      <c r="A442" s="41">
        <f t="shared" si="66"/>
        <v>0</v>
      </c>
      <c r="C442" s="41">
        <f t="shared" si="67"/>
        <v>-67200</v>
      </c>
      <c r="D442" s="41">
        <f t="shared" si="67"/>
        <v>0</v>
      </c>
      <c r="E442" s="41">
        <f t="shared" si="67"/>
        <v>148915.20000000001</v>
      </c>
      <c r="F442" s="41">
        <f t="shared" si="67"/>
        <v>19353.599999999999</v>
      </c>
      <c r="G442" s="41">
        <f t="shared" si="67"/>
        <v>-67200</v>
      </c>
      <c r="H442" s="41">
        <f t="shared" si="67"/>
        <v>0</v>
      </c>
      <c r="I442" s="41">
        <f t="shared" si="67"/>
        <v>0</v>
      </c>
      <c r="J442" s="41">
        <f t="shared" si="67"/>
        <v>0</v>
      </c>
      <c r="K442" s="41">
        <f t="shared" si="67"/>
        <v>0</v>
      </c>
      <c r="L442" s="41">
        <f t="shared" si="67"/>
        <v>0</v>
      </c>
      <c r="M442" s="41">
        <f t="shared" si="67"/>
        <v>0</v>
      </c>
      <c r="N442" s="41">
        <f t="shared" si="67"/>
        <v>-14515.199999999999</v>
      </c>
      <c r="O442" s="41">
        <f t="shared" si="67"/>
        <v>-19353.599999999999</v>
      </c>
      <c r="P442" s="13" t="s">
        <v>251</v>
      </c>
      <c r="Q442" s="38" t="str">
        <f>INDEX(B$400:B$415, MATCH(3, F$400:F$415, 0))</f>
        <v>D3X</v>
      </c>
      <c r="R442" s="14" t="str">
        <f>INDEX(C$400:C$415, MATCH(3, F$400:F$415, 0))</f>
        <v>U3X</v>
      </c>
      <c r="T442" s="215" t="s">
        <v>386</v>
      </c>
      <c r="U442" s="172"/>
      <c r="V442" s="172"/>
      <c r="W442" s="172"/>
      <c r="X442" s="172"/>
      <c r="Y442" s="173"/>
    </row>
    <row r="443" spans="1:25" ht="16.95" customHeight="1" x14ac:dyDescent="0.3">
      <c r="A443" s="41">
        <f t="shared" si="66"/>
        <v>-5000</v>
      </c>
      <c r="C443" s="41">
        <f t="shared" si="67"/>
        <v>0</v>
      </c>
      <c r="D443" s="41">
        <f t="shared" si="67"/>
        <v>0</v>
      </c>
      <c r="E443" s="41">
        <f t="shared" si="67"/>
        <v>19353.599999999999</v>
      </c>
      <c r="F443" s="41">
        <f t="shared" si="67"/>
        <v>76204.800000000003</v>
      </c>
      <c r="G443" s="41">
        <f t="shared" si="67"/>
        <v>0</v>
      </c>
      <c r="H443" s="41">
        <f t="shared" si="67"/>
        <v>0</v>
      </c>
      <c r="I443" s="41">
        <f t="shared" si="67"/>
        <v>0</v>
      </c>
      <c r="J443" s="41">
        <f t="shared" si="67"/>
        <v>0</v>
      </c>
      <c r="K443" s="41">
        <f t="shared" si="67"/>
        <v>0</v>
      </c>
      <c r="L443" s="41">
        <f t="shared" si="67"/>
        <v>0</v>
      </c>
      <c r="M443" s="41">
        <f t="shared" si="67"/>
        <v>-50400</v>
      </c>
      <c r="N443" s="41">
        <f t="shared" si="67"/>
        <v>-19353.599999999999</v>
      </c>
      <c r="O443" s="41">
        <f t="shared" si="67"/>
        <v>-25804.800000000007</v>
      </c>
      <c r="P443" s="13" t="s">
        <v>251</v>
      </c>
      <c r="Q443" s="38" t="str">
        <f>INDEX(B$400:B$415, MATCH(4, F$400:F$415, 0))</f>
        <v>D3Y</v>
      </c>
      <c r="R443" s="14" t="str">
        <f>INDEX(C$400:C$415, MATCH(4, F$400:F$415, 0))</f>
        <v>U3Y</v>
      </c>
      <c r="T443" s="215" t="s">
        <v>387</v>
      </c>
      <c r="U443" s="172"/>
      <c r="V443" s="172"/>
      <c r="W443" s="172"/>
      <c r="X443" s="172"/>
      <c r="Y443" s="173"/>
    </row>
    <row r="444" spans="1:25" ht="16.95" customHeight="1" x14ac:dyDescent="0.3">
      <c r="A444" s="41">
        <f t="shared" si="66"/>
        <v>0</v>
      </c>
      <c r="C444" s="41">
        <f t="shared" si="67"/>
        <v>0</v>
      </c>
      <c r="D444" s="41">
        <f t="shared" si="67"/>
        <v>0</v>
      </c>
      <c r="E444" s="41">
        <f t="shared" si="67"/>
        <v>-67200</v>
      </c>
      <c r="F444" s="41">
        <f t="shared" si="67"/>
        <v>0</v>
      </c>
      <c r="G444" s="41">
        <f t="shared" si="67"/>
        <v>134400</v>
      </c>
      <c r="H444" s="41">
        <f t="shared" si="67"/>
        <v>0</v>
      </c>
      <c r="I444" s="41">
        <f t="shared" si="67"/>
        <v>-67200</v>
      </c>
      <c r="J444" s="41">
        <f t="shared" si="67"/>
        <v>0</v>
      </c>
      <c r="K444" s="41">
        <f t="shared" si="67"/>
        <v>0</v>
      </c>
      <c r="L444" s="41">
        <f t="shared" si="67"/>
        <v>0</v>
      </c>
      <c r="M444" s="41">
        <f t="shared" si="67"/>
        <v>0</v>
      </c>
      <c r="N444" s="41">
        <f t="shared" si="67"/>
        <v>0</v>
      </c>
      <c r="O444" s="41">
        <f t="shared" si="67"/>
        <v>0</v>
      </c>
      <c r="P444" s="13" t="s">
        <v>251</v>
      </c>
      <c r="Q444" s="38" t="str">
        <f>INDEX(B$400:B$415, MATCH(5, F$400:F$415, 0))</f>
        <v>D4X</v>
      </c>
      <c r="R444" s="14" t="str">
        <f>INDEX(C$400:C$415, MATCH(5, F$400:F$415, 0))</f>
        <v>U4X</v>
      </c>
      <c r="T444" s="215" t="s">
        <v>388</v>
      </c>
      <c r="U444" s="172"/>
      <c r="V444" s="172"/>
      <c r="W444" s="172"/>
      <c r="X444" s="172"/>
      <c r="Y444" s="173"/>
    </row>
    <row r="445" spans="1:25" ht="16.95" customHeight="1" x14ac:dyDescent="0.3">
      <c r="A445" s="41">
        <f t="shared" si="66"/>
        <v>-4000</v>
      </c>
      <c r="C445" s="41">
        <f t="shared" si="67"/>
        <v>0</v>
      </c>
      <c r="D445" s="41">
        <f t="shared" si="67"/>
        <v>0</v>
      </c>
      <c r="E445" s="41">
        <f t="shared" si="67"/>
        <v>0</v>
      </c>
      <c r="F445" s="41">
        <f t="shared" si="67"/>
        <v>0</v>
      </c>
      <c r="G445" s="41">
        <f t="shared" si="67"/>
        <v>0</v>
      </c>
      <c r="H445" s="41">
        <f t="shared" si="67"/>
        <v>50400</v>
      </c>
      <c r="I445" s="41">
        <f t="shared" si="67"/>
        <v>0</v>
      </c>
      <c r="J445" s="41">
        <f t="shared" si="67"/>
        <v>0</v>
      </c>
      <c r="K445" s="41">
        <f t="shared" si="67"/>
        <v>0</v>
      </c>
      <c r="L445" s="41">
        <f t="shared" si="67"/>
        <v>0</v>
      </c>
      <c r="M445" s="41">
        <f t="shared" si="67"/>
        <v>0</v>
      </c>
      <c r="N445" s="41">
        <f t="shared" si="67"/>
        <v>0</v>
      </c>
      <c r="O445" s="41">
        <f t="shared" si="67"/>
        <v>-50400</v>
      </c>
      <c r="P445" s="13" t="s">
        <v>251</v>
      </c>
      <c r="Q445" s="38" t="str">
        <f>INDEX(B$400:B$415, MATCH(6, F$400:F$415, 0))</f>
        <v>D4Y</v>
      </c>
      <c r="R445" s="14" t="str">
        <f>INDEX(C$400:C$415, MATCH(6, F$400:F$415, 0))</f>
        <v>U4Y</v>
      </c>
      <c r="T445" s="215"/>
      <c r="U445" s="172"/>
      <c r="V445" s="172"/>
      <c r="W445" s="172"/>
      <c r="X445" s="172"/>
      <c r="Y445" s="173"/>
    </row>
    <row r="446" spans="1:25" ht="16.95" customHeight="1" x14ac:dyDescent="0.3">
      <c r="A446" s="41">
        <f t="shared" si="66"/>
        <v>0</v>
      </c>
      <c r="B446" s="13" t="s">
        <v>220</v>
      </c>
      <c r="C446" s="41">
        <f t="shared" si="67"/>
        <v>0</v>
      </c>
      <c r="D446" s="41">
        <f t="shared" si="67"/>
        <v>0</v>
      </c>
      <c r="E446" s="41">
        <f t="shared" si="67"/>
        <v>0</v>
      </c>
      <c r="F446" s="41">
        <f t="shared" si="67"/>
        <v>0</v>
      </c>
      <c r="G446" s="41">
        <f t="shared" si="67"/>
        <v>-67200</v>
      </c>
      <c r="H446" s="41">
        <f t="shared" si="67"/>
        <v>0</v>
      </c>
      <c r="I446" s="41">
        <f t="shared" si="67"/>
        <v>81715.199999999997</v>
      </c>
      <c r="J446" s="41">
        <f t="shared" si="67"/>
        <v>0</v>
      </c>
      <c r="K446" s="41">
        <f t="shared" si="67"/>
        <v>0</v>
      </c>
      <c r="L446" s="41">
        <f t="shared" si="67"/>
        <v>0</v>
      </c>
      <c r="M446" s="41">
        <f t="shared" si="67"/>
        <v>0</v>
      </c>
      <c r="N446" s="41">
        <f t="shared" si="67"/>
        <v>-14515.199999999999</v>
      </c>
      <c r="O446" s="41">
        <f t="shared" si="67"/>
        <v>19353.599999999999</v>
      </c>
      <c r="P446" s="13" t="s">
        <v>251</v>
      </c>
      <c r="Q446" s="38" t="str">
        <f>INDEX(B$400:B$415, MATCH(7, F$400:F$415, 0))</f>
        <v>D5X</v>
      </c>
      <c r="R446" s="14" t="str">
        <f>INDEX(C$400:C$415, MATCH(7, F$400:F$415, 0))</f>
        <v>U5X</v>
      </c>
      <c r="T446" s="215"/>
      <c r="U446" s="172"/>
      <c r="V446" s="172"/>
      <c r="W446" s="172"/>
      <c r="X446" s="172"/>
      <c r="Y446" s="173"/>
    </row>
    <row r="447" spans="1:25" ht="16.95" customHeight="1" x14ac:dyDescent="0.3">
      <c r="A447" s="41">
        <f t="shared" si="66"/>
        <v>0</v>
      </c>
      <c r="C447" s="41">
        <f t="shared" si="67"/>
        <v>0</v>
      </c>
      <c r="D447" s="41">
        <f t="shared" si="67"/>
        <v>0</v>
      </c>
      <c r="E447" s="41">
        <f t="shared" si="67"/>
        <v>0</v>
      </c>
      <c r="F447" s="41">
        <f t="shared" si="67"/>
        <v>0</v>
      </c>
      <c r="G447" s="41">
        <f t="shared" si="67"/>
        <v>0</v>
      </c>
      <c r="H447" s="41">
        <f t="shared" si="67"/>
        <v>0</v>
      </c>
      <c r="I447" s="41">
        <f t="shared" si="67"/>
        <v>0</v>
      </c>
      <c r="J447" s="41">
        <f t="shared" si="67"/>
        <v>81715.199999999997</v>
      </c>
      <c r="K447" s="41">
        <f t="shared" si="67"/>
        <v>19353.599999999999</v>
      </c>
      <c r="L447" s="41">
        <f t="shared" si="67"/>
        <v>-67200</v>
      </c>
      <c r="M447" s="41">
        <f t="shared" si="67"/>
        <v>0</v>
      </c>
      <c r="N447" s="41">
        <f t="shared" si="67"/>
        <v>0</v>
      </c>
      <c r="O447" s="41">
        <f t="shared" si="67"/>
        <v>0</v>
      </c>
      <c r="P447" s="13" t="s">
        <v>251</v>
      </c>
      <c r="Q447" s="38" t="str">
        <f>INDEX(B$400:B$415, MATCH(8, F$400:F$415, 0))</f>
        <v>D6X</v>
      </c>
      <c r="R447" s="14" t="str">
        <f>INDEX(C$400:C$415, MATCH(8, F$400:F$415, 0))</f>
        <v>U6X</v>
      </c>
      <c r="T447" s="215"/>
      <c r="U447" s="172"/>
      <c r="V447" s="172"/>
      <c r="W447" s="172"/>
      <c r="X447" s="172"/>
      <c r="Y447" s="173"/>
    </row>
    <row r="448" spans="1:25" ht="16.95" customHeight="1" x14ac:dyDescent="0.3">
      <c r="A448" s="41">
        <f t="shared" si="66"/>
        <v>0</v>
      </c>
      <c r="C448" s="41">
        <f t="shared" si="67"/>
        <v>0</v>
      </c>
      <c r="D448" s="41">
        <f t="shared" si="67"/>
        <v>-50400</v>
      </c>
      <c r="E448" s="41">
        <f t="shared" si="67"/>
        <v>0</v>
      </c>
      <c r="F448" s="41">
        <f t="shared" si="67"/>
        <v>0</v>
      </c>
      <c r="G448" s="41">
        <f t="shared" si="67"/>
        <v>0</v>
      </c>
      <c r="H448" s="41">
        <f t="shared" si="67"/>
        <v>0</v>
      </c>
      <c r="I448" s="41">
        <f t="shared" si="67"/>
        <v>0</v>
      </c>
      <c r="J448" s="41">
        <f t="shared" si="67"/>
        <v>19353.599999999999</v>
      </c>
      <c r="K448" s="41">
        <f t="shared" si="67"/>
        <v>76204.800000000003</v>
      </c>
      <c r="L448" s="41">
        <f t="shared" si="67"/>
        <v>0</v>
      </c>
      <c r="M448" s="41">
        <f t="shared" si="67"/>
        <v>0</v>
      </c>
      <c r="N448" s="41">
        <f t="shared" si="67"/>
        <v>0</v>
      </c>
      <c r="O448" s="41">
        <f t="shared" si="67"/>
        <v>0</v>
      </c>
      <c r="P448" s="13" t="s">
        <v>251</v>
      </c>
      <c r="Q448" s="38" t="str">
        <f>INDEX(B$400:B$415, MATCH(9, F$400:F$415, 0))</f>
        <v>D6Y</v>
      </c>
      <c r="R448" s="14" t="str">
        <f>INDEX(C$400:C$415, MATCH(9, F$400:F$415, 0))</f>
        <v>U6Y</v>
      </c>
      <c r="T448" s="215"/>
      <c r="U448" s="172"/>
      <c r="V448" s="172"/>
      <c r="W448" s="172"/>
      <c r="X448" s="172"/>
      <c r="Y448" s="173"/>
    </row>
    <row r="449" spans="1:25" ht="16.95" customHeight="1" x14ac:dyDescent="0.3">
      <c r="A449" s="41">
        <f t="shared" si="66"/>
        <v>0</v>
      </c>
      <c r="C449" s="41">
        <f t="shared" si="67"/>
        <v>-14515.199999999999</v>
      </c>
      <c r="D449" s="41">
        <f t="shared" si="67"/>
        <v>-19353.599999999999</v>
      </c>
      <c r="E449" s="41">
        <f t="shared" si="67"/>
        <v>0</v>
      </c>
      <c r="F449" s="41">
        <f t="shared" si="67"/>
        <v>0</v>
      </c>
      <c r="G449" s="41">
        <f t="shared" si="67"/>
        <v>0</v>
      </c>
      <c r="H449" s="41">
        <f t="shared" si="67"/>
        <v>0</v>
      </c>
      <c r="I449" s="41">
        <f t="shared" si="67"/>
        <v>0</v>
      </c>
      <c r="J449" s="41">
        <f t="shared" si="67"/>
        <v>-67200</v>
      </c>
      <c r="K449" s="41">
        <f t="shared" si="67"/>
        <v>0</v>
      </c>
      <c r="L449" s="41">
        <f t="shared" si="67"/>
        <v>148915.20000000001</v>
      </c>
      <c r="M449" s="41">
        <f t="shared" si="67"/>
        <v>19353.599999999999</v>
      </c>
      <c r="N449" s="41">
        <f t="shared" si="67"/>
        <v>-67200</v>
      </c>
      <c r="O449" s="41">
        <f t="shared" si="67"/>
        <v>0</v>
      </c>
      <c r="P449" s="13" t="s">
        <v>251</v>
      </c>
      <c r="Q449" s="38" t="str">
        <f>INDEX(B$400:B$415, MATCH(10, F$400:F$415, 0))</f>
        <v>D7X</v>
      </c>
      <c r="R449" s="14" t="str">
        <f>INDEX(C$400:C$415, MATCH(10, F$400:F$415, 0))</f>
        <v>U7X</v>
      </c>
      <c r="T449" s="215"/>
      <c r="U449" s="172"/>
      <c r="V449" s="172"/>
      <c r="W449" s="172"/>
      <c r="X449" s="172"/>
      <c r="Y449" s="173"/>
    </row>
    <row r="450" spans="1:25" ht="16.95" customHeight="1" x14ac:dyDescent="0.3">
      <c r="A450" s="41">
        <f t="shared" si="66"/>
        <v>0</v>
      </c>
      <c r="C450" s="41">
        <f t="shared" si="67"/>
        <v>-19353.599999999999</v>
      </c>
      <c r="D450" s="41">
        <f t="shared" si="67"/>
        <v>-25804.800000000007</v>
      </c>
      <c r="E450" s="41">
        <f t="shared" si="67"/>
        <v>0</v>
      </c>
      <c r="F450" s="41">
        <f t="shared" si="67"/>
        <v>-50400</v>
      </c>
      <c r="G450" s="41">
        <f t="shared" si="67"/>
        <v>0</v>
      </c>
      <c r="H450" s="41">
        <f t="shared" si="67"/>
        <v>0</v>
      </c>
      <c r="I450" s="41">
        <f t="shared" si="67"/>
        <v>0</v>
      </c>
      <c r="J450" s="41">
        <f t="shared" si="67"/>
        <v>0</v>
      </c>
      <c r="K450" s="41">
        <f t="shared" si="67"/>
        <v>0</v>
      </c>
      <c r="L450" s="41">
        <f t="shared" si="67"/>
        <v>19353.599999999999</v>
      </c>
      <c r="M450" s="41">
        <f t="shared" si="67"/>
        <v>76204.800000000003</v>
      </c>
      <c r="N450" s="41">
        <f t="shared" si="67"/>
        <v>0</v>
      </c>
      <c r="O450" s="41">
        <f t="shared" si="67"/>
        <v>0</v>
      </c>
      <c r="P450" s="13" t="s">
        <v>251</v>
      </c>
      <c r="Q450" s="38" t="str">
        <f>INDEX(B$400:B$415, MATCH(11, F$400:F$415, 0))</f>
        <v>D7Y</v>
      </c>
      <c r="R450" s="14" t="str">
        <f>INDEX(C$400:C$415, MATCH(11, F$400:F$415, 0))</f>
        <v>U7Y</v>
      </c>
      <c r="T450" s="215"/>
      <c r="U450" s="172"/>
      <c r="V450" s="172"/>
      <c r="W450" s="172"/>
      <c r="X450" s="172"/>
      <c r="Y450" s="173"/>
    </row>
    <row r="451" spans="1:25" ht="16.95" customHeight="1" x14ac:dyDescent="0.3">
      <c r="A451" s="41">
        <f t="shared" si="66"/>
        <v>0</v>
      </c>
      <c r="C451" s="41">
        <f t="shared" si="67"/>
        <v>0</v>
      </c>
      <c r="D451" s="41">
        <f t="shared" si="67"/>
        <v>0</v>
      </c>
      <c r="E451" s="41">
        <f t="shared" si="67"/>
        <v>-14515.199999999999</v>
      </c>
      <c r="F451" s="41">
        <f t="shared" si="67"/>
        <v>-19353.599999999999</v>
      </c>
      <c r="G451" s="41">
        <f t="shared" si="67"/>
        <v>0</v>
      </c>
      <c r="H451" s="41">
        <f t="shared" si="67"/>
        <v>0</v>
      </c>
      <c r="I451" s="41">
        <f t="shared" si="67"/>
        <v>-14515.199999999999</v>
      </c>
      <c r="J451" s="41">
        <f t="shared" si="67"/>
        <v>0</v>
      </c>
      <c r="K451" s="41">
        <f t="shared" si="67"/>
        <v>0</v>
      </c>
      <c r="L451" s="41">
        <f t="shared" si="67"/>
        <v>-67200</v>
      </c>
      <c r="M451" s="41">
        <f t="shared" si="67"/>
        <v>0</v>
      </c>
      <c r="N451" s="41">
        <f t="shared" si="67"/>
        <v>96230.399999999994</v>
      </c>
      <c r="O451" s="41">
        <f t="shared" si="67"/>
        <v>0</v>
      </c>
      <c r="P451" s="13" t="s">
        <v>251</v>
      </c>
      <c r="Q451" s="38" t="str">
        <f>INDEX(B$400:B$415, MATCH(12, F$400:F$415, 0))</f>
        <v>D8X</v>
      </c>
      <c r="R451" s="14" t="str">
        <f>INDEX(C$400:C$415, MATCH(12, F$400:F$415, 0))</f>
        <v>U8X</v>
      </c>
      <c r="T451" s="215"/>
      <c r="U451" s="172"/>
      <c r="V451" s="172"/>
      <c r="W451" s="172"/>
      <c r="X451" s="172"/>
      <c r="Y451" s="173"/>
    </row>
    <row r="452" spans="1:25" ht="16.95" customHeight="1" x14ac:dyDescent="0.3">
      <c r="A452" s="41">
        <f t="shared" si="66"/>
        <v>0</v>
      </c>
      <c r="C452" s="41">
        <f t="shared" si="67"/>
        <v>0</v>
      </c>
      <c r="D452" s="41">
        <f t="shared" si="67"/>
        <v>0</v>
      </c>
      <c r="E452" s="41">
        <f t="shared" si="67"/>
        <v>-19353.599999999999</v>
      </c>
      <c r="F452" s="41">
        <f t="shared" si="67"/>
        <v>-25804.800000000007</v>
      </c>
      <c r="G452" s="41">
        <f t="shared" si="67"/>
        <v>0</v>
      </c>
      <c r="H452" s="41">
        <f t="shared" si="67"/>
        <v>-50400</v>
      </c>
      <c r="I452" s="41">
        <f t="shared" si="67"/>
        <v>19353.599999999999</v>
      </c>
      <c r="J452" s="41">
        <f t="shared" si="67"/>
        <v>0</v>
      </c>
      <c r="K452" s="41">
        <f t="shared" si="67"/>
        <v>0</v>
      </c>
      <c r="L452" s="41">
        <f t="shared" si="67"/>
        <v>0</v>
      </c>
      <c r="M452" s="41">
        <f t="shared" si="67"/>
        <v>0</v>
      </c>
      <c r="N452" s="41">
        <f t="shared" si="67"/>
        <v>0</v>
      </c>
      <c r="O452" s="41">
        <f t="shared" si="67"/>
        <v>102009.60000000001</v>
      </c>
      <c r="P452" s="13" t="s">
        <v>251</v>
      </c>
      <c r="Q452" s="38" t="str">
        <f>INDEX(B$400:B$415, MATCH(13, F$400:F$415, 0))</f>
        <v>D8Y</v>
      </c>
      <c r="R452" s="14" t="str">
        <f>INDEX(C$400:C$415, MATCH(13, F$400:F$415, 0))</f>
        <v>U8Y</v>
      </c>
      <c r="T452" s="215"/>
      <c r="U452" s="172"/>
      <c r="V452" s="172"/>
      <c r="W452" s="172"/>
      <c r="X452" s="172"/>
      <c r="Y452" s="173"/>
    </row>
    <row r="453" spans="1:25" ht="16.95" customHeight="1" x14ac:dyDescent="0.3">
      <c r="T453" s="215"/>
      <c r="U453" s="172"/>
      <c r="V453" s="172"/>
      <c r="W453" s="172"/>
      <c r="X453" s="172"/>
      <c r="Y453" s="173"/>
    </row>
    <row r="454" spans="1:25" ht="16.95" customHeight="1" x14ac:dyDescent="0.3">
      <c r="C454" s="218" t="s">
        <v>263</v>
      </c>
      <c r="D454" s="172"/>
      <c r="E454" s="172"/>
      <c r="F454" s="172"/>
      <c r="G454" s="172"/>
      <c r="H454" s="172"/>
      <c r="I454" s="172"/>
      <c r="J454" s="172"/>
      <c r="K454" s="172"/>
      <c r="L454" s="172"/>
      <c r="M454" s="172"/>
      <c r="N454" s="172"/>
      <c r="O454" s="173"/>
      <c r="T454" s="215"/>
      <c r="U454" s="172"/>
      <c r="V454" s="172"/>
      <c r="W454" s="172"/>
      <c r="X454" s="172"/>
      <c r="Y454" s="173"/>
    </row>
    <row r="455" spans="1:25" ht="16.95" customHeight="1" x14ac:dyDescent="0.3">
      <c r="A455" s="99" t="s">
        <v>249</v>
      </c>
      <c r="C455" s="193" t="s">
        <v>264</v>
      </c>
      <c r="D455" s="175"/>
      <c r="E455" s="175"/>
      <c r="F455" s="175"/>
      <c r="G455" s="175"/>
      <c r="H455" s="175"/>
      <c r="I455" s="175"/>
      <c r="J455" s="175"/>
      <c r="K455" s="175"/>
      <c r="L455" s="175"/>
      <c r="M455" s="175"/>
      <c r="N455" s="175"/>
      <c r="O455" s="175"/>
      <c r="Q455" s="99" t="s">
        <v>247</v>
      </c>
      <c r="T455" s="215"/>
      <c r="U455" s="172"/>
      <c r="V455" s="172"/>
      <c r="W455" s="172"/>
      <c r="X455" s="172"/>
      <c r="Y455" s="173"/>
    </row>
    <row r="456" spans="1:25" ht="16.95" customHeight="1" x14ac:dyDescent="0.3">
      <c r="A456" s="12" t="str">
        <f t="shared" ref="A456:A468" si="68">Q440</f>
        <v>D2X</v>
      </c>
      <c r="C456" s="93">
        <f t="array" ref="C456:O468">MINVERSE(C440:O452)</f>
        <v>1.4880952380952376E-5</v>
      </c>
      <c r="D456" s="93">
        <v>-8.3705357142857079E-6</v>
      </c>
      <c r="E456" s="93">
        <v>1.4880952380952369E-5</v>
      </c>
      <c r="F456" s="93">
        <v>-5.5803571428571454E-6</v>
      </c>
      <c r="G456" s="93">
        <v>1.4880952380952372E-5</v>
      </c>
      <c r="H456" s="93">
        <v>-2.7901785714285702E-6</v>
      </c>
      <c r="I456" s="93">
        <v>1.4880952380952376E-5</v>
      </c>
      <c r="J456" s="93">
        <v>1.1160714285714281E-5</v>
      </c>
      <c r="K456" s="93">
        <v>-8.3705357142857113E-6</v>
      </c>
      <c r="L456" s="93">
        <v>1.1160714285714282E-5</v>
      </c>
      <c r="M456" s="93">
        <v>-5.5803571428571361E-6</v>
      </c>
      <c r="N456" s="93">
        <v>1.1160714285714281E-5</v>
      </c>
      <c r="O456" s="93">
        <v>-2.7901785714285702E-6</v>
      </c>
      <c r="Q456" s="17">
        <f t="shared" ref="Q456:Q468" si="69">A440</f>
        <v>0</v>
      </c>
      <c r="T456" s="215"/>
      <c r="U456" s="172"/>
      <c r="V456" s="172"/>
      <c r="W456" s="172"/>
      <c r="X456" s="172"/>
      <c r="Y456" s="173"/>
    </row>
    <row r="457" spans="1:25" ht="16.95" customHeight="1" x14ac:dyDescent="0.3">
      <c r="A457" s="12" t="str">
        <f t="shared" si="68"/>
        <v>D2Y</v>
      </c>
      <c r="C457" s="93">
        <v>-8.3705357142857096E-6</v>
      </c>
      <c r="D457" s="93">
        <v>5.6113591269841271E-5</v>
      </c>
      <c r="E457" s="93">
        <v>-1.3950892857142848E-5</v>
      </c>
      <c r="F457" s="93">
        <v>4.1077628968253985E-5</v>
      </c>
      <c r="G457" s="93">
        <v>-1.6741071428571423E-5</v>
      </c>
      <c r="H457" s="93">
        <v>2.2631448412698419E-5</v>
      </c>
      <c r="I457" s="93">
        <v>-1.9531249999999997E-5</v>
      </c>
      <c r="J457" s="93">
        <v>-1.6224371693121695E-5</v>
      </c>
      <c r="K457" s="93">
        <v>4.123263888888889E-5</v>
      </c>
      <c r="L457" s="93">
        <v>-7.8538359788359783E-6</v>
      </c>
      <c r="M457" s="93">
        <v>4.6037946428571432E-5</v>
      </c>
      <c r="N457" s="93">
        <v>-2.2734788359788308E-6</v>
      </c>
      <c r="O457" s="93">
        <v>2.2631448412698419E-5</v>
      </c>
      <c r="Q457" s="17">
        <f t="shared" si="69"/>
        <v>-4000</v>
      </c>
      <c r="T457" s="215"/>
      <c r="U457" s="172"/>
      <c r="V457" s="172"/>
      <c r="W457" s="172"/>
      <c r="X457" s="172"/>
      <c r="Y457" s="173"/>
    </row>
    <row r="458" spans="1:25" ht="16.95" customHeight="1" x14ac:dyDescent="0.3">
      <c r="A458" s="12" t="str">
        <f t="shared" si="68"/>
        <v>D3X</v>
      </c>
      <c r="C458" s="93">
        <v>1.4880952380952376E-5</v>
      </c>
      <c r="D458" s="93">
        <v>-1.3950892857142852E-5</v>
      </c>
      <c r="E458" s="93">
        <v>2.9761904761904745E-5</v>
      </c>
      <c r="F458" s="93">
        <v>-1.6741071428571429E-5</v>
      </c>
      <c r="G458" s="93">
        <v>2.9761904761904752E-5</v>
      </c>
      <c r="H458" s="93">
        <v>-8.3705357142857113E-6</v>
      </c>
      <c r="I458" s="93">
        <v>2.9761904761904752E-5</v>
      </c>
      <c r="J458" s="93">
        <v>1.8601190476190471E-5</v>
      </c>
      <c r="K458" s="93">
        <v>-1.3950892857142852E-5</v>
      </c>
      <c r="L458" s="93">
        <v>1.8601190476190471E-5</v>
      </c>
      <c r="M458" s="93">
        <v>-1.6741071428571419E-5</v>
      </c>
      <c r="N458" s="93">
        <v>1.8601190476190471E-5</v>
      </c>
      <c r="O458" s="93">
        <v>-8.3705357142857113E-6</v>
      </c>
      <c r="Q458" s="17">
        <f t="shared" si="69"/>
        <v>0</v>
      </c>
      <c r="T458" s="215"/>
      <c r="U458" s="172"/>
      <c r="V458" s="172"/>
      <c r="W458" s="172"/>
      <c r="X458" s="172"/>
      <c r="Y458" s="173"/>
    </row>
    <row r="459" spans="1:25" ht="16.95" customHeight="1" x14ac:dyDescent="0.3">
      <c r="A459" s="12" t="str">
        <f t="shared" si="68"/>
        <v>D3Y</v>
      </c>
      <c r="C459" s="93">
        <v>-5.5803571428571369E-6</v>
      </c>
      <c r="D459" s="93">
        <v>4.1077628968253971E-5</v>
      </c>
      <c r="E459" s="93">
        <v>-1.6741071428571416E-5</v>
      </c>
      <c r="F459" s="93">
        <v>7.3784722222222237E-5</v>
      </c>
      <c r="G459" s="93">
        <v>-2.2321428571428565E-5</v>
      </c>
      <c r="H459" s="93">
        <v>4.1077628968253978E-5</v>
      </c>
      <c r="I459" s="93">
        <v>-2.790178571428571E-5</v>
      </c>
      <c r="J459" s="93">
        <v>-1.5707671957671953E-5</v>
      </c>
      <c r="K459" s="93">
        <v>3.1156994047619058E-5</v>
      </c>
      <c r="L459" s="93">
        <v>-1.0127314814814811E-5</v>
      </c>
      <c r="M459" s="93">
        <v>6.3864087301587289E-5</v>
      </c>
      <c r="N459" s="93">
        <v>1.0333994708994797E-6</v>
      </c>
      <c r="O459" s="93">
        <v>4.1077628968253978E-5</v>
      </c>
      <c r="Q459" s="17">
        <f t="shared" si="69"/>
        <v>-5000</v>
      </c>
      <c r="T459" s="215"/>
      <c r="U459" s="172"/>
      <c r="V459" s="172"/>
      <c r="W459" s="172"/>
      <c r="X459" s="172"/>
      <c r="Y459" s="173"/>
    </row>
    <row r="460" spans="1:25" ht="16.95" customHeight="1" x14ac:dyDescent="0.3">
      <c r="A460" s="12" t="str">
        <f t="shared" si="68"/>
        <v>D4X</v>
      </c>
      <c r="C460" s="93">
        <v>1.4880952380952372E-5</v>
      </c>
      <c r="D460" s="93">
        <v>-1.6741071428571423E-5</v>
      </c>
      <c r="E460" s="93">
        <v>2.9761904761904742E-5</v>
      </c>
      <c r="F460" s="93">
        <v>-2.2321428571428568E-5</v>
      </c>
      <c r="G460" s="93">
        <v>4.4642857142857129E-5</v>
      </c>
      <c r="H460" s="93">
        <v>-1.6741071428571426E-5</v>
      </c>
      <c r="I460" s="93">
        <v>4.4642857142857129E-5</v>
      </c>
      <c r="J460" s="93">
        <v>2.2321428571428561E-5</v>
      </c>
      <c r="K460" s="93">
        <v>-1.6741071428571423E-5</v>
      </c>
      <c r="L460" s="93">
        <v>2.2321428571428565E-5</v>
      </c>
      <c r="M460" s="93">
        <v>-2.2321428571428565E-5</v>
      </c>
      <c r="N460" s="93">
        <v>2.2321428571428561E-5</v>
      </c>
      <c r="O460" s="93">
        <v>-1.6741071428571426E-5</v>
      </c>
      <c r="Q460" s="17">
        <f t="shared" si="69"/>
        <v>0</v>
      </c>
      <c r="T460" s="215"/>
      <c r="U460" s="172"/>
      <c r="V460" s="172"/>
      <c r="W460" s="172"/>
      <c r="X460" s="172"/>
      <c r="Y460" s="173"/>
    </row>
    <row r="461" spans="1:25" ht="16.95" customHeight="1" x14ac:dyDescent="0.3">
      <c r="A461" s="12" t="str">
        <f t="shared" si="68"/>
        <v>D4Y</v>
      </c>
      <c r="C461" s="93">
        <v>-2.7901785714285689E-6</v>
      </c>
      <c r="D461" s="93">
        <v>2.2631448412698416E-5</v>
      </c>
      <c r="E461" s="93">
        <v>-8.3705357142857062E-6</v>
      </c>
      <c r="F461" s="93">
        <v>4.1077628968253978E-5</v>
      </c>
      <c r="G461" s="93">
        <v>-1.6741071428571423E-5</v>
      </c>
      <c r="H461" s="93">
        <v>6.6034226190476205E-5</v>
      </c>
      <c r="I461" s="93">
        <v>-2.5111607142857136E-5</v>
      </c>
      <c r="J461" s="93">
        <v>-1.0644014550264549E-5</v>
      </c>
      <c r="K461" s="93">
        <v>1.7671130952380955E-5</v>
      </c>
      <c r="L461" s="93">
        <v>-7.8538359788359766E-6</v>
      </c>
      <c r="M461" s="93">
        <v>3.6117311507936518E-5</v>
      </c>
      <c r="N461" s="93">
        <v>-2.2734788359788291E-6</v>
      </c>
      <c r="O461" s="93">
        <v>4.6192956349206357E-5</v>
      </c>
      <c r="Q461" s="17">
        <f t="shared" si="69"/>
        <v>-4000</v>
      </c>
      <c r="T461" s="215"/>
      <c r="U461" s="172"/>
      <c r="V461" s="172"/>
      <c r="W461" s="172"/>
      <c r="X461" s="172"/>
      <c r="Y461" s="173"/>
    </row>
    <row r="462" spans="1:25" ht="16.95" customHeight="1" x14ac:dyDescent="0.3">
      <c r="A462" s="12" t="str">
        <f t="shared" si="68"/>
        <v>D5X</v>
      </c>
      <c r="B462" s="13" t="s">
        <v>220</v>
      </c>
      <c r="C462" s="93">
        <v>1.4880952380952371E-5</v>
      </c>
      <c r="D462" s="93">
        <v>-1.9531249999999994E-5</v>
      </c>
      <c r="E462" s="93">
        <v>2.9761904761904742E-5</v>
      </c>
      <c r="F462" s="93">
        <v>-2.7901785714285713E-5</v>
      </c>
      <c r="G462" s="93">
        <v>4.4642857142857122E-5</v>
      </c>
      <c r="H462" s="93">
        <v>-2.5111607142857142E-5</v>
      </c>
      <c r="I462" s="93">
        <v>5.952380952380951E-5</v>
      </c>
      <c r="J462" s="93">
        <v>2.6041666666666658E-5</v>
      </c>
      <c r="K462" s="93">
        <v>-1.9531249999999997E-5</v>
      </c>
      <c r="L462" s="93">
        <v>2.6041666666666662E-5</v>
      </c>
      <c r="M462" s="93">
        <v>-2.790178571428571E-5</v>
      </c>
      <c r="N462" s="93">
        <v>2.6041666666666655E-5</v>
      </c>
      <c r="O462" s="93">
        <v>-2.5111607142857142E-5</v>
      </c>
      <c r="Q462" s="17">
        <f t="shared" si="69"/>
        <v>0</v>
      </c>
      <c r="T462" s="215"/>
      <c r="U462" s="172"/>
      <c r="V462" s="172"/>
      <c r="W462" s="172"/>
      <c r="X462" s="172"/>
      <c r="Y462" s="173"/>
    </row>
    <row r="463" spans="1:25" ht="16.95" customHeight="1" x14ac:dyDescent="0.3">
      <c r="A463" s="12" t="str">
        <f t="shared" si="68"/>
        <v>D6X</v>
      </c>
      <c r="C463" s="93">
        <v>1.1160714285714282E-5</v>
      </c>
      <c r="D463" s="93">
        <v>-1.6224371693121688E-5</v>
      </c>
      <c r="E463" s="93">
        <v>1.8601190476190464E-5</v>
      </c>
      <c r="F463" s="93">
        <v>-1.5707671957671967E-5</v>
      </c>
      <c r="G463" s="93">
        <v>2.2321428571428561E-5</v>
      </c>
      <c r="H463" s="93">
        <v>-1.0644014550264553E-5</v>
      </c>
      <c r="I463" s="93">
        <v>2.6041666666666658E-5</v>
      </c>
      <c r="J463" s="93">
        <v>4.7674162257495598E-5</v>
      </c>
      <c r="K463" s="93">
        <v>-2.2838128306878306E-5</v>
      </c>
      <c r="L463" s="93">
        <v>3.6513447971781314E-5</v>
      </c>
      <c r="M463" s="93">
        <v>-2.2321428571428575E-5</v>
      </c>
      <c r="N463" s="93">
        <v>2.9072971781305113E-5</v>
      </c>
      <c r="O463" s="93">
        <v>-1.0644014550264553E-5</v>
      </c>
      <c r="Q463" s="17">
        <f t="shared" si="69"/>
        <v>0</v>
      </c>
      <c r="T463" s="215"/>
      <c r="U463" s="172"/>
      <c r="V463" s="172"/>
      <c r="W463" s="172"/>
      <c r="X463" s="172"/>
      <c r="Y463" s="173"/>
    </row>
    <row r="464" spans="1:25" ht="16.95" customHeight="1" x14ac:dyDescent="0.3">
      <c r="A464" s="12" t="str">
        <f t="shared" si="68"/>
        <v>D6Y</v>
      </c>
      <c r="C464" s="93">
        <v>-8.3705357142857096E-6</v>
      </c>
      <c r="D464" s="93">
        <v>4.123263888888889E-5</v>
      </c>
      <c r="E464" s="93">
        <v>-1.3950892857142848E-5</v>
      </c>
      <c r="F464" s="93">
        <v>3.1156994047619064E-5</v>
      </c>
      <c r="G464" s="93">
        <v>-1.6741071428571426E-5</v>
      </c>
      <c r="H464" s="93">
        <v>1.7671130952380959E-5</v>
      </c>
      <c r="I464" s="93">
        <v>-1.9531249999999997E-5</v>
      </c>
      <c r="J464" s="93">
        <v>-2.2838128306878313E-5</v>
      </c>
      <c r="K464" s="93">
        <v>4.619295634920635E-5</v>
      </c>
      <c r="L464" s="93">
        <v>-1.4467592592592595E-5</v>
      </c>
      <c r="M464" s="93">
        <v>3.6117311507936511E-5</v>
      </c>
      <c r="N464" s="93">
        <v>-8.8872354497354461E-6</v>
      </c>
      <c r="O464" s="93">
        <v>1.7671130952380959E-5</v>
      </c>
      <c r="Q464" s="17">
        <f t="shared" si="69"/>
        <v>0</v>
      </c>
      <c r="T464" s="215"/>
      <c r="U464" s="172"/>
      <c r="V464" s="172"/>
      <c r="W464" s="172"/>
      <c r="X464" s="172"/>
      <c r="Y464" s="173"/>
    </row>
    <row r="465" spans="1:25" ht="16.95" customHeight="1" x14ac:dyDescent="0.3">
      <c r="A465" s="12" t="str">
        <f t="shared" si="68"/>
        <v>D7X</v>
      </c>
      <c r="C465" s="93">
        <v>1.1160714285714282E-5</v>
      </c>
      <c r="D465" s="93">
        <v>-7.8538359788359749E-6</v>
      </c>
      <c r="E465" s="93">
        <v>1.8601190476190464E-5</v>
      </c>
      <c r="F465" s="93">
        <v>-1.012731481481482E-5</v>
      </c>
      <c r="G465" s="93">
        <v>2.2321428571428561E-5</v>
      </c>
      <c r="H465" s="93">
        <v>-7.85383597883598E-6</v>
      </c>
      <c r="I465" s="93">
        <v>2.6041666666666662E-5</v>
      </c>
      <c r="J465" s="93">
        <v>3.6513447971781307E-5</v>
      </c>
      <c r="K465" s="93">
        <v>-1.4467592592592595E-5</v>
      </c>
      <c r="L465" s="93">
        <v>4.0233686067019411E-5</v>
      </c>
      <c r="M465" s="93">
        <v>-1.6741071428571433E-5</v>
      </c>
      <c r="N465" s="93">
        <v>3.279320987654321E-5</v>
      </c>
      <c r="O465" s="93">
        <v>-7.85383597883598E-6</v>
      </c>
      <c r="Q465" s="17">
        <f t="shared" si="69"/>
        <v>0</v>
      </c>
      <c r="T465" s="215"/>
      <c r="U465" s="172"/>
      <c r="V465" s="172"/>
      <c r="W465" s="172"/>
      <c r="X465" s="172"/>
      <c r="Y465" s="173"/>
    </row>
    <row r="466" spans="1:25" ht="16.95" customHeight="1" x14ac:dyDescent="0.3">
      <c r="A466" s="12" t="str">
        <f t="shared" si="68"/>
        <v>D7Y</v>
      </c>
      <c r="C466" s="93">
        <v>-5.5803571428571378E-6</v>
      </c>
      <c r="D466" s="93">
        <v>4.6037946428571432E-5</v>
      </c>
      <c r="E466" s="93">
        <v>-1.6741071428571416E-5</v>
      </c>
      <c r="F466" s="93">
        <v>6.3864087301587316E-5</v>
      </c>
      <c r="G466" s="93">
        <v>-2.2321428571428561E-5</v>
      </c>
      <c r="H466" s="93">
        <v>3.6117311507936518E-5</v>
      </c>
      <c r="I466" s="93">
        <v>-2.790178571428571E-5</v>
      </c>
      <c r="J466" s="93">
        <v>-2.2321428571428571E-5</v>
      </c>
      <c r="K466" s="93">
        <v>3.6117311507936511E-5</v>
      </c>
      <c r="L466" s="93">
        <v>-1.6741071428571426E-5</v>
      </c>
      <c r="M466" s="93">
        <v>7.3784722222222223E-5</v>
      </c>
      <c r="N466" s="93">
        <v>-5.5803571428571352E-6</v>
      </c>
      <c r="O466" s="93">
        <v>3.6117311507936518E-5</v>
      </c>
      <c r="Q466" s="17">
        <f t="shared" si="69"/>
        <v>0</v>
      </c>
      <c r="T466" s="215"/>
      <c r="U466" s="172"/>
      <c r="V466" s="172"/>
      <c r="W466" s="172"/>
      <c r="X466" s="172"/>
      <c r="Y466" s="173"/>
    </row>
    <row r="467" spans="1:25" ht="16.95" customHeight="1" x14ac:dyDescent="0.3">
      <c r="A467" s="12" t="str">
        <f t="shared" si="68"/>
        <v>D8X</v>
      </c>
      <c r="C467" s="93">
        <v>1.1160714285714281E-5</v>
      </c>
      <c r="D467" s="93">
        <v>-2.2734788359788308E-6</v>
      </c>
      <c r="E467" s="93">
        <v>1.8601190476190464E-5</v>
      </c>
      <c r="F467" s="93">
        <v>1.0333994708994737E-6</v>
      </c>
      <c r="G467" s="93">
        <v>2.2321428571428554E-5</v>
      </c>
      <c r="H467" s="93">
        <v>-2.2734788359788337E-6</v>
      </c>
      <c r="I467" s="93">
        <v>2.6041666666666658E-5</v>
      </c>
      <c r="J467" s="93">
        <v>2.9072971781305113E-5</v>
      </c>
      <c r="K467" s="93">
        <v>-8.8872354497354461E-6</v>
      </c>
      <c r="L467" s="93">
        <v>3.279320987654321E-5</v>
      </c>
      <c r="M467" s="93">
        <v>-5.5803571428571412E-6</v>
      </c>
      <c r="N467" s="93">
        <v>4.0233686067019397E-5</v>
      </c>
      <c r="O467" s="93">
        <v>-2.2734788359788337E-6</v>
      </c>
      <c r="Q467" s="17">
        <f t="shared" si="69"/>
        <v>0</v>
      </c>
      <c r="T467" s="215"/>
      <c r="U467" s="172"/>
      <c r="V467" s="172"/>
      <c r="W467" s="172"/>
      <c r="X467" s="172"/>
      <c r="Y467" s="173"/>
    </row>
    <row r="468" spans="1:25" ht="16.95" customHeight="1" x14ac:dyDescent="0.3">
      <c r="A468" s="12" t="str">
        <f t="shared" si="68"/>
        <v>D8Y</v>
      </c>
      <c r="C468" s="93">
        <v>-2.7901785714285685E-6</v>
      </c>
      <c r="D468" s="93">
        <v>2.2631448412698416E-5</v>
      </c>
      <c r="E468" s="93">
        <v>-8.3705357142857062E-6</v>
      </c>
      <c r="F468" s="93">
        <v>4.1077628968253978E-5</v>
      </c>
      <c r="G468" s="93">
        <v>-1.6741071428571423E-5</v>
      </c>
      <c r="H468" s="93">
        <v>4.6192956349206357E-5</v>
      </c>
      <c r="I468" s="93">
        <v>-2.5111607142857136E-5</v>
      </c>
      <c r="J468" s="93">
        <v>-1.0644014550264549E-5</v>
      </c>
      <c r="K468" s="93">
        <v>1.7671130952380955E-5</v>
      </c>
      <c r="L468" s="93">
        <v>-7.8538359788359766E-6</v>
      </c>
      <c r="M468" s="93">
        <v>3.6117311507936518E-5</v>
      </c>
      <c r="N468" s="93">
        <v>-2.2734788359788291E-6</v>
      </c>
      <c r="O468" s="93">
        <v>4.6192956349206357E-5</v>
      </c>
      <c r="Q468" s="17">
        <f t="shared" si="69"/>
        <v>0</v>
      </c>
      <c r="T468" s="215"/>
      <c r="U468" s="172"/>
      <c r="V468" s="172"/>
      <c r="W468" s="172"/>
      <c r="X468" s="172"/>
      <c r="Y468" s="173"/>
    </row>
    <row r="469" spans="1:25" ht="16.95" customHeight="1" x14ac:dyDescent="0.3">
      <c r="T469" s="215"/>
      <c r="U469" s="172"/>
      <c r="V469" s="172"/>
      <c r="W469" s="172"/>
      <c r="X469" s="172"/>
      <c r="Y469" s="173"/>
    </row>
    <row r="470" spans="1:25" ht="16.95" customHeight="1" x14ac:dyDescent="0.3">
      <c r="C470" s="218" t="s">
        <v>265</v>
      </c>
      <c r="D470" s="173"/>
      <c r="T470" s="215"/>
      <c r="U470" s="172"/>
      <c r="V470" s="172"/>
      <c r="W470" s="172"/>
      <c r="X470" s="172"/>
      <c r="Y470" s="173"/>
    </row>
    <row r="471" spans="1:25" ht="16.95" customHeight="1" x14ac:dyDescent="0.3">
      <c r="A471" s="99" t="s">
        <v>249</v>
      </c>
      <c r="C471" s="99" t="s">
        <v>266</v>
      </c>
      <c r="T471" s="215"/>
      <c r="U471" s="172"/>
      <c r="V471" s="172"/>
      <c r="W471" s="172"/>
      <c r="X471" s="172"/>
      <c r="Y471" s="173"/>
    </row>
    <row r="472" spans="1:25" ht="16.95" customHeight="1" x14ac:dyDescent="0.3">
      <c r="A472" s="12" t="str">
        <f t="shared" ref="A472:A484" si="70">A456</f>
        <v>D2X</v>
      </c>
      <c r="C472" s="94">
        <f t="array" ref="C472:C484">MMULT(C456:O468, Q456:Q468)</f>
        <v>7.2544642857142835E-2</v>
      </c>
      <c r="D472" s="12" t="s">
        <v>267</v>
      </c>
      <c r="T472" s="215"/>
      <c r="U472" s="172"/>
      <c r="V472" s="172"/>
      <c r="W472" s="172"/>
      <c r="X472" s="172"/>
      <c r="Y472" s="173"/>
    </row>
    <row r="473" spans="1:25" ht="16.95" customHeight="1" x14ac:dyDescent="0.3">
      <c r="A473" s="12" t="str">
        <f t="shared" si="70"/>
        <v>D2Y</v>
      </c>
      <c r="C473" s="94">
        <v>-0.52036830357142871</v>
      </c>
      <c r="D473" s="12" t="s">
        <v>267</v>
      </c>
      <c r="T473" s="215"/>
      <c r="U473" s="172"/>
      <c r="V473" s="172"/>
      <c r="W473" s="172"/>
      <c r="X473" s="172"/>
      <c r="Y473" s="173"/>
    </row>
    <row r="474" spans="1:25" ht="16.95" customHeight="1" x14ac:dyDescent="0.3">
      <c r="A474" s="12" t="str">
        <f t="shared" si="70"/>
        <v>D3X</v>
      </c>
      <c r="C474" s="94">
        <v>0.1729910714285714</v>
      </c>
      <c r="D474" s="12" t="s">
        <v>267</v>
      </c>
      <c r="T474" s="215"/>
      <c r="U474" s="172"/>
      <c r="V474" s="172"/>
      <c r="W474" s="172"/>
      <c r="X474" s="172"/>
      <c r="Y474" s="173"/>
    </row>
    <row r="475" spans="1:25" ht="16.95" customHeight="1" x14ac:dyDescent="0.3">
      <c r="A475" s="12" t="str">
        <f t="shared" si="70"/>
        <v>D3Y</v>
      </c>
      <c r="C475" s="94">
        <v>-0.6975446428571429</v>
      </c>
      <c r="D475" s="12" t="s">
        <v>267</v>
      </c>
      <c r="T475" s="215"/>
      <c r="U475" s="172"/>
      <c r="V475" s="172"/>
      <c r="W475" s="172"/>
      <c r="X475" s="172"/>
      <c r="Y475" s="173"/>
    </row>
    <row r="476" spans="1:25" ht="16.95" customHeight="1" x14ac:dyDescent="0.3">
      <c r="A476" s="12" t="str">
        <f t="shared" si="70"/>
        <v>D4X</v>
      </c>
      <c r="C476" s="94">
        <v>0.24553571428571422</v>
      </c>
      <c r="D476" s="12" t="s">
        <v>267</v>
      </c>
      <c r="T476" s="215"/>
      <c r="U476" s="172"/>
      <c r="V476" s="172"/>
      <c r="W476" s="172"/>
      <c r="X476" s="172"/>
      <c r="Y476" s="173"/>
    </row>
    <row r="477" spans="1:25" ht="16.95" customHeight="1" x14ac:dyDescent="0.3">
      <c r="A477" s="12" t="str">
        <f t="shared" si="70"/>
        <v>D4Y</v>
      </c>
      <c r="C477" s="94">
        <v>-0.56005084325396837</v>
      </c>
      <c r="D477" s="12" t="s">
        <v>267</v>
      </c>
      <c r="T477" s="215"/>
      <c r="U477" s="172"/>
      <c r="V477" s="172"/>
      <c r="W477" s="172"/>
      <c r="X477" s="172"/>
      <c r="Y477" s="173"/>
    </row>
    <row r="478" spans="1:25" ht="16.95" customHeight="1" x14ac:dyDescent="0.3">
      <c r="A478" s="12" t="str">
        <f t="shared" si="70"/>
        <v>D5X</v>
      </c>
      <c r="B478" s="13" t="s">
        <v>220</v>
      </c>
      <c r="C478" s="94">
        <v>0.3180803571428571</v>
      </c>
      <c r="D478" s="12" t="s">
        <v>267</v>
      </c>
      <c r="T478" s="215"/>
      <c r="U478" s="172"/>
      <c r="V478" s="172"/>
      <c r="W478" s="172"/>
      <c r="X478" s="172"/>
      <c r="Y478" s="173"/>
    </row>
    <row r="479" spans="1:25" ht="16.95" customHeight="1" x14ac:dyDescent="0.3">
      <c r="A479" s="12" t="str">
        <f t="shared" si="70"/>
        <v>D6X</v>
      </c>
      <c r="C479" s="94">
        <v>0.18601190476190477</v>
      </c>
      <c r="D479" s="12" t="s">
        <v>267</v>
      </c>
      <c r="T479" s="215"/>
      <c r="U479" s="172"/>
      <c r="V479" s="172"/>
      <c r="W479" s="172"/>
      <c r="X479" s="172"/>
      <c r="Y479" s="173"/>
    </row>
    <row r="480" spans="1:25" ht="16.95" customHeight="1" x14ac:dyDescent="0.3">
      <c r="A480" s="12" t="str">
        <f t="shared" si="70"/>
        <v>D6Y</v>
      </c>
      <c r="C480" s="94">
        <v>-0.3914000496031747</v>
      </c>
      <c r="D480" s="12" t="s">
        <v>267</v>
      </c>
      <c r="T480" s="215"/>
      <c r="U480" s="172"/>
      <c r="V480" s="172"/>
      <c r="W480" s="172"/>
      <c r="X480" s="172"/>
      <c r="Y480" s="173"/>
    </row>
    <row r="481" spans="1:25" ht="16.95" customHeight="1" x14ac:dyDescent="0.3">
      <c r="A481" s="12" t="str">
        <f t="shared" si="70"/>
        <v>D7X</v>
      </c>
      <c r="C481" s="94">
        <v>0.11346726190476192</v>
      </c>
      <c r="D481" s="12" t="s">
        <v>267</v>
      </c>
      <c r="T481" s="215"/>
      <c r="U481" s="172"/>
      <c r="V481" s="172"/>
      <c r="W481" s="172"/>
      <c r="X481" s="172"/>
      <c r="Y481" s="173"/>
    </row>
    <row r="482" spans="1:25" ht="16.95" customHeight="1" x14ac:dyDescent="0.3">
      <c r="A482" s="12" t="str">
        <f t="shared" si="70"/>
        <v>D7Y</v>
      </c>
      <c r="C482" s="94">
        <v>-0.64794146825396837</v>
      </c>
      <c r="D482" s="12" t="s">
        <v>267</v>
      </c>
      <c r="T482" s="215"/>
      <c r="U482" s="172"/>
      <c r="V482" s="172"/>
      <c r="W482" s="172"/>
      <c r="X482" s="172"/>
      <c r="Y482" s="173"/>
    </row>
    <row r="483" spans="1:25" ht="16.95" customHeight="1" x14ac:dyDescent="0.3">
      <c r="A483" s="12" t="str">
        <f t="shared" si="70"/>
        <v>D8X</v>
      </c>
      <c r="C483" s="94">
        <v>1.3020833333333289E-2</v>
      </c>
      <c r="D483" s="12" t="s">
        <v>267</v>
      </c>
      <c r="T483" s="215"/>
      <c r="U483" s="172"/>
      <c r="V483" s="172"/>
      <c r="W483" s="172"/>
      <c r="X483" s="172"/>
      <c r="Y483" s="173"/>
    </row>
    <row r="484" spans="1:25" ht="16.95" customHeight="1" x14ac:dyDescent="0.3">
      <c r="A484" s="12" t="str">
        <f t="shared" si="70"/>
        <v>D8Y</v>
      </c>
      <c r="C484" s="94">
        <v>-0.48068576388888895</v>
      </c>
      <c r="D484" s="12" t="s">
        <v>267</v>
      </c>
      <c r="T484" s="215"/>
      <c r="U484" s="172"/>
      <c r="V484" s="172"/>
      <c r="W484" s="172"/>
      <c r="X484" s="172"/>
      <c r="Y484" s="173"/>
    </row>
    <row r="487" spans="1:25" ht="19.95" customHeight="1" x14ac:dyDescent="0.35">
      <c r="A487" s="11" t="s">
        <v>268</v>
      </c>
      <c r="T487" s="216" t="s">
        <v>269</v>
      </c>
      <c r="U487" s="172"/>
      <c r="V487" s="172"/>
      <c r="W487" s="172"/>
      <c r="X487" s="172"/>
      <c r="Y487" s="173"/>
    </row>
    <row r="488" spans="1:25" ht="16.95" customHeight="1" x14ac:dyDescent="0.3">
      <c r="A488" s="99" t="s">
        <v>247</v>
      </c>
      <c r="Q488" s="99" t="s">
        <v>249</v>
      </c>
      <c r="T488" s="215" t="s">
        <v>389</v>
      </c>
      <c r="U488" s="172"/>
      <c r="V488" s="172"/>
      <c r="W488" s="172"/>
      <c r="X488" s="172"/>
      <c r="Y488" s="173"/>
    </row>
    <row r="489" spans="1:25" ht="16.95" customHeight="1" x14ac:dyDescent="0.3">
      <c r="A489" s="18" t="str">
        <f>INDEX(B$382:B$397, MATCH(R489, C$382:C$397, 0))</f>
        <v>C1X</v>
      </c>
      <c r="C489" s="9">
        <f t="shared" ref="C489:O491" si="71">INDEX($B$363:$Q$378, MATCH($R489, $R$363:$R$378, 0), MATCH(C$439, $B$362:$Q$362, 0))</f>
        <v>-67200</v>
      </c>
      <c r="D489" s="9">
        <f t="shared" si="71"/>
        <v>0</v>
      </c>
      <c r="E489" s="9">
        <f t="shared" si="71"/>
        <v>0</v>
      </c>
      <c r="F489" s="9">
        <f t="shared" si="71"/>
        <v>0</v>
      </c>
      <c r="G489" s="9">
        <f t="shared" si="71"/>
        <v>0</v>
      </c>
      <c r="H489" s="9">
        <f t="shared" si="71"/>
        <v>0</v>
      </c>
      <c r="I489" s="9">
        <f t="shared" si="71"/>
        <v>0</v>
      </c>
      <c r="J489" s="9">
        <f t="shared" si="71"/>
        <v>-14515.199999999999</v>
      </c>
      <c r="K489" s="9">
        <f t="shared" si="71"/>
        <v>-19353.599999999999</v>
      </c>
      <c r="L489" s="9">
        <f t="shared" si="71"/>
        <v>0</v>
      </c>
      <c r="M489" s="9">
        <f t="shared" si="71"/>
        <v>0</v>
      </c>
      <c r="N489" s="9">
        <f t="shared" si="71"/>
        <v>0</v>
      </c>
      <c r="O489" s="9">
        <f t="shared" si="71"/>
        <v>0</v>
      </c>
      <c r="Q489" s="95">
        <f t="shared" ref="Q489:Q501" si="72">C472</f>
        <v>7.2544642857142835E-2</v>
      </c>
      <c r="R489" s="14" t="str">
        <f>INDEX(C$400:C$415, MATCH(1, G$400:G$415, 0))</f>
        <v>U1X</v>
      </c>
      <c r="T489" s="215" t="s">
        <v>390</v>
      </c>
      <c r="U489" s="172"/>
      <c r="V489" s="172"/>
      <c r="W489" s="172"/>
      <c r="X489" s="172"/>
      <c r="Y489" s="173"/>
    </row>
    <row r="490" spans="1:25" ht="16.95" customHeight="1" x14ac:dyDescent="0.3">
      <c r="A490" s="18" t="str">
        <f>INDEX(B$382:B$397, MATCH(R490, C$382:C$397, 0))</f>
        <v>C1Y</v>
      </c>
      <c r="B490" s="13" t="s">
        <v>220</v>
      </c>
      <c r="C490" s="9">
        <f t="shared" si="71"/>
        <v>0</v>
      </c>
      <c r="D490" s="9">
        <f t="shared" si="71"/>
        <v>0</v>
      </c>
      <c r="E490" s="9">
        <f t="shared" si="71"/>
        <v>0</v>
      </c>
      <c r="F490" s="9">
        <f t="shared" si="71"/>
        <v>0</v>
      </c>
      <c r="G490" s="9">
        <f t="shared" si="71"/>
        <v>0</v>
      </c>
      <c r="H490" s="9">
        <f t="shared" si="71"/>
        <v>0</v>
      </c>
      <c r="I490" s="9">
        <f t="shared" si="71"/>
        <v>0</v>
      </c>
      <c r="J490" s="9">
        <f t="shared" si="71"/>
        <v>-19353.599999999999</v>
      </c>
      <c r="K490" s="9">
        <f t="shared" si="71"/>
        <v>-25804.800000000007</v>
      </c>
      <c r="L490" s="9">
        <f t="shared" si="71"/>
        <v>0</v>
      </c>
      <c r="M490" s="9">
        <f t="shared" si="71"/>
        <v>0</v>
      </c>
      <c r="N490" s="9">
        <f t="shared" si="71"/>
        <v>0</v>
      </c>
      <c r="O490" s="9">
        <f t="shared" si="71"/>
        <v>0</v>
      </c>
      <c r="Q490" s="95">
        <f t="shared" si="72"/>
        <v>-0.52036830357142871</v>
      </c>
      <c r="R490" s="14" t="str">
        <f>INDEX(C$400:C$415, MATCH(2, G$400:G$415, 0))</f>
        <v>U1Y</v>
      </c>
      <c r="T490" s="215" t="s">
        <v>391</v>
      </c>
      <c r="U490" s="172"/>
      <c r="V490" s="172"/>
      <c r="W490" s="172"/>
      <c r="X490" s="172"/>
      <c r="Y490" s="173"/>
    </row>
    <row r="491" spans="1:25" ht="16.95" customHeight="1" x14ac:dyDescent="0.3">
      <c r="A491" s="18" t="str">
        <f>INDEX(B$382:B$397, MATCH(R491, C$382:C$397, 0))</f>
        <v>C5Y</v>
      </c>
      <c r="C491" s="9">
        <f t="shared" si="71"/>
        <v>0</v>
      </c>
      <c r="D491" s="9">
        <f t="shared" si="71"/>
        <v>0</v>
      </c>
      <c r="E491" s="9">
        <f t="shared" si="71"/>
        <v>0</v>
      </c>
      <c r="F491" s="9">
        <f t="shared" si="71"/>
        <v>0</v>
      </c>
      <c r="G491" s="9">
        <f t="shared" si="71"/>
        <v>0</v>
      </c>
      <c r="H491" s="9">
        <f t="shared" si="71"/>
        <v>0</v>
      </c>
      <c r="I491" s="9">
        <f t="shared" si="71"/>
        <v>-19353.599999999999</v>
      </c>
      <c r="J491" s="9">
        <f t="shared" si="71"/>
        <v>0</v>
      </c>
      <c r="K491" s="9">
        <f t="shared" si="71"/>
        <v>0</v>
      </c>
      <c r="L491" s="9">
        <f t="shared" si="71"/>
        <v>0</v>
      </c>
      <c r="M491" s="9">
        <f t="shared" si="71"/>
        <v>0</v>
      </c>
      <c r="N491" s="9">
        <f t="shared" si="71"/>
        <v>19353.599999999999</v>
      </c>
      <c r="O491" s="9">
        <f t="shared" si="71"/>
        <v>-25804.800000000007</v>
      </c>
      <c r="Q491" s="95">
        <f t="shared" si="72"/>
        <v>0.1729910714285714</v>
      </c>
      <c r="R491" s="14" t="str">
        <f>INDEX(C$400:C$415, MATCH(3, G$400:G$415, 0))</f>
        <v>U5Y</v>
      </c>
      <c r="T491" s="215" t="s">
        <v>392</v>
      </c>
      <c r="U491" s="172"/>
      <c r="V491" s="172"/>
      <c r="W491" s="172"/>
      <c r="X491" s="172"/>
      <c r="Y491" s="173"/>
    </row>
    <row r="492" spans="1:25" ht="16.95" customHeight="1" x14ac:dyDescent="0.3">
      <c r="Q492" s="95">
        <f t="shared" si="72"/>
        <v>-0.6975446428571429</v>
      </c>
      <c r="T492" s="215" t="s">
        <v>393</v>
      </c>
      <c r="U492" s="172"/>
      <c r="V492" s="172"/>
      <c r="W492" s="172"/>
      <c r="X492" s="172"/>
      <c r="Y492" s="173"/>
    </row>
    <row r="493" spans="1:25" ht="16.95" customHeight="1" x14ac:dyDescent="0.3">
      <c r="Q493" s="95">
        <f t="shared" si="72"/>
        <v>0.24553571428571422</v>
      </c>
      <c r="T493" s="215" t="s">
        <v>394</v>
      </c>
      <c r="U493" s="172"/>
      <c r="V493" s="172"/>
      <c r="W493" s="172"/>
      <c r="X493" s="172"/>
      <c r="Y493" s="173"/>
    </row>
    <row r="494" spans="1:25" ht="16.95" customHeight="1" x14ac:dyDescent="0.3">
      <c r="Q494" s="95">
        <f t="shared" si="72"/>
        <v>-0.56005084325396837</v>
      </c>
      <c r="T494" s="215"/>
      <c r="U494" s="172"/>
      <c r="V494" s="172"/>
      <c r="W494" s="172"/>
      <c r="X494" s="172"/>
      <c r="Y494" s="173"/>
    </row>
    <row r="495" spans="1:25" ht="16.95" customHeight="1" x14ac:dyDescent="0.3">
      <c r="Q495" s="95">
        <f t="shared" si="72"/>
        <v>0.3180803571428571</v>
      </c>
      <c r="T495" s="215"/>
      <c r="U495" s="172"/>
      <c r="V495" s="172"/>
      <c r="W495" s="172"/>
      <c r="X495" s="172"/>
      <c r="Y495" s="173"/>
    </row>
    <row r="496" spans="1:25" ht="16.95" customHeight="1" x14ac:dyDescent="0.3">
      <c r="Q496" s="95">
        <f t="shared" si="72"/>
        <v>0.18601190476190477</v>
      </c>
      <c r="T496" s="215"/>
      <c r="U496" s="172"/>
      <c r="V496" s="172"/>
      <c r="W496" s="172"/>
      <c r="X496" s="172"/>
      <c r="Y496" s="173"/>
    </row>
    <row r="497" spans="1:25" ht="16.95" customHeight="1" x14ac:dyDescent="0.3">
      <c r="Q497" s="95">
        <f t="shared" si="72"/>
        <v>-0.3914000496031747</v>
      </c>
      <c r="T497" s="215"/>
      <c r="U497" s="172"/>
      <c r="V497" s="172"/>
      <c r="W497" s="172"/>
      <c r="X497" s="172"/>
      <c r="Y497" s="173"/>
    </row>
    <row r="498" spans="1:25" ht="16.95" customHeight="1" x14ac:dyDescent="0.3">
      <c r="Q498" s="95">
        <f t="shared" si="72"/>
        <v>0.11346726190476192</v>
      </c>
      <c r="T498" s="215"/>
      <c r="U498" s="172"/>
      <c r="V498" s="172"/>
      <c r="W498" s="172"/>
      <c r="X498" s="172"/>
      <c r="Y498" s="173"/>
    </row>
    <row r="499" spans="1:25" ht="16.95" customHeight="1" x14ac:dyDescent="0.3">
      <c r="Q499" s="95">
        <f t="shared" si="72"/>
        <v>-0.64794146825396837</v>
      </c>
      <c r="T499" s="215"/>
      <c r="U499" s="172"/>
      <c r="V499" s="172"/>
      <c r="W499" s="172"/>
      <c r="X499" s="172"/>
      <c r="Y499" s="173"/>
    </row>
    <row r="500" spans="1:25" ht="16.95" customHeight="1" x14ac:dyDescent="0.3">
      <c r="Q500" s="95">
        <f t="shared" si="72"/>
        <v>1.3020833333333289E-2</v>
      </c>
      <c r="T500" s="215"/>
      <c r="U500" s="172"/>
      <c r="V500" s="172"/>
      <c r="W500" s="172"/>
      <c r="X500" s="172"/>
      <c r="Y500" s="173"/>
    </row>
    <row r="501" spans="1:25" ht="16.95" customHeight="1" x14ac:dyDescent="0.3">
      <c r="Q501" s="95">
        <f t="shared" si="72"/>
        <v>-0.48068576388888895</v>
      </c>
      <c r="T501" s="215"/>
      <c r="U501" s="172"/>
      <c r="V501" s="172"/>
      <c r="W501" s="172"/>
      <c r="X501" s="172"/>
      <c r="Y501" s="173"/>
    </row>
    <row r="502" spans="1:25" ht="16.95" customHeight="1" x14ac:dyDescent="0.3">
      <c r="T502" s="215"/>
      <c r="U502" s="172"/>
      <c r="V502" s="172"/>
      <c r="W502" s="172"/>
      <c r="X502" s="172"/>
      <c r="Y502" s="173"/>
    </row>
    <row r="503" spans="1:25" ht="16.95" customHeight="1" x14ac:dyDescent="0.3">
      <c r="A503" s="12" t="str">
        <f>A489</f>
        <v>C1X</v>
      </c>
      <c r="C503" s="17">
        <f t="array" ref="C503:C505">MMULT(C489:O491, Q489:Q501)</f>
        <v>3.637978807091713E-12</v>
      </c>
      <c r="D503" s="12" t="s">
        <v>273</v>
      </c>
      <c r="T503" s="215"/>
      <c r="U503" s="172"/>
      <c r="V503" s="172"/>
      <c r="W503" s="172"/>
      <c r="X503" s="172"/>
      <c r="Y503" s="173"/>
    </row>
    <row r="504" spans="1:25" ht="16.95" customHeight="1" x14ac:dyDescent="0.3">
      <c r="A504" s="12" t="str">
        <f>A490</f>
        <v>C1Y</v>
      </c>
      <c r="B504" s="13" t="s">
        <v>220</v>
      </c>
      <c r="C504" s="17">
        <v>6500.0000000000055</v>
      </c>
      <c r="D504" s="12" t="s">
        <v>273</v>
      </c>
      <c r="T504" s="215"/>
      <c r="U504" s="172"/>
      <c r="V504" s="172"/>
      <c r="W504" s="172"/>
      <c r="X504" s="172"/>
      <c r="Y504" s="173"/>
    </row>
    <row r="505" spans="1:25" ht="16.95" customHeight="1" x14ac:dyDescent="0.3">
      <c r="A505" s="12" t="str">
        <f>A491</f>
        <v>C5Y</v>
      </c>
      <c r="C505" s="17">
        <v>6500.0000000000064</v>
      </c>
      <c r="D505" s="12" t="s">
        <v>273</v>
      </c>
      <c r="T505" s="215"/>
      <c r="U505" s="172"/>
      <c r="V505" s="172"/>
      <c r="W505" s="172"/>
      <c r="X505" s="172"/>
      <c r="Y505" s="173"/>
    </row>
    <row r="508" spans="1:25" ht="19.95" customHeight="1" x14ac:dyDescent="0.35">
      <c r="A508" s="11" t="s">
        <v>274</v>
      </c>
    </row>
    <row r="510" spans="1:25" ht="19.05" customHeight="1" x14ac:dyDescent="0.3">
      <c r="A510" s="12" t="s">
        <v>228</v>
      </c>
      <c r="B510" s="12" t="s">
        <v>178</v>
      </c>
      <c r="D510" s="94">
        <f t="shared" ref="D510:D525" si="73">IFERROR(INDEX(C$472:C$484, MATCH(A510, A$472:A$484, 0)), 0)</f>
        <v>0</v>
      </c>
    </row>
    <row r="511" spans="1:25" ht="19.05" customHeight="1" x14ac:dyDescent="0.3">
      <c r="A511" s="12" t="s">
        <v>229</v>
      </c>
      <c r="B511" s="12" t="s">
        <v>179</v>
      </c>
      <c r="D511" s="94">
        <f t="shared" si="73"/>
        <v>0</v>
      </c>
    </row>
    <row r="512" spans="1:25" ht="19.05" customHeight="1" x14ac:dyDescent="0.3">
      <c r="A512" s="12" t="s">
        <v>230</v>
      </c>
      <c r="B512" s="12" t="s">
        <v>180</v>
      </c>
      <c r="D512" s="94">
        <f t="shared" si="73"/>
        <v>7.2544642857142835E-2</v>
      </c>
    </row>
    <row r="513" spans="1:25" ht="19.05" customHeight="1" x14ac:dyDescent="0.3">
      <c r="A513" s="12" t="s">
        <v>231</v>
      </c>
      <c r="B513" s="12" t="s">
        <v>181</v>
      </c>
      <c r="D513" s="94">
        <f t="shared" si="73"/>
        <v>-0.52036830357142871</v>
      </c>
    </row>
    <row r="514" spans="1:25" ht="19.05" customHeight="1" x14ac:dyDescent="0.3">
      <c r="A514" s="12" t="s">
        <v>232</v>
      </c>
      <c r="B514" s="12" t="s">
        <v>182</v>
      </c>
      <c r="D514" s="94">
        <f t="shared" si="73"/>
        <v>0.1729910714285714</v>
      </c>
    </row>
    <row r="515" spans="1:25" ht="19.05" customHeight="1" x14ac:dyDescent="0.3">
      <c r="A515" s="12" t="s">
        <v>234</v>
      </c>
      <c r="B515" s="12" t="s">
        <v>183</v>
      </c>
      <c r="D515" s="94">
        <f t="shared" si="73"/>
        <v>-0.6975446428571429</v>
      </c>
    </row>
    <row r="516" spans="1:25" ht="19.05" customHeight="1" x14ac:dyDescent="0.3">
      <c r="A516" s="12" t="s">
        <v>235</v>
      </c>
      <c r="B516" s="12" t="s">
        <v>184</v>
      </c>
      <c r="D516" s="94">
        <f t="shared" si="73"/>
        <v>0.24553571428571422</v>
      </c>
    </row>
    <row r="517" spans="1:25" ht="19.05" customHeight="1" x14ac:dyDescent="0.3">
      <c r="A517" s="12" t="s">
        <v>236</v>
      </c>
      <c r="B517" s="12" t="s">
        <v>185</v>
      </c>
      <c r="D517" s="94">
        <f t="shared" si="73"/>
        <v>-0.56005084325396837</v>
      </c>
    </row>
    <row r="518" spans="1:25" ht="19.05" customHeight="1" x14ac:dyDescent="0.3">
      <c r="A518" s="12" t="s">
        <v>237</v>
      </c>
      <c r="B518" s="12" t="s">
        <v>186</v>
      </c>
      <c r="D518" s="94">
        <f t="shared" si="73"/>
        <v>0.3180803571428571</v>
      </c>
    </row>
    <row r="519" spans="1:25" ht="19.05" customHeight="1" x14ac:dyDescent="0.3">
      <c r="A519" s="12" t="s">
        <v>238</v>
      </c>
      <c r="B519" s="12" t="s">
        <v>187</v>
      </c>
      <c r="D519" s="94">
        <f t="shared" si="73"/>
        <v>0</v>
      </c>
    </row>
    <row r="520" spans="1:25" ht="19.05" customHeight="1" x14ac:dyDescent="0.3">
      <c r="A520" s="12" t="s">
        <v>239</v>
      </c>
      <c r="B520" s="12" t="s">
        <v>188</v>
      </c>
      <c r="D520" s="94">
        <f t="shared" si="73"/>
        <v>0.18601190476190477</v>
      </c>
    </row>
    <row r="521" spans="1:25" ht="19.05" customHeight="1" x14ac:dyDescent="0.3">
      <c r="A521" s="12" t="s">
        <v>240</v>
      </c>
      <c r="B521" s="12" t="s">
        <v>189</v>
      </c>
      <c r="D521" s="94">
        <f t="shared" si="73"/>
        <v>-0.3914000496031747</v>
      </c>
    </row>
    <row r="522" spans="1:25" ht="19.05" customHeight="1" x14ac:dyDescent="0.3">
      <c r="A522" s="12" t="s">
        <v>587</v>
      </c>
      <c r="B522" s="12" t="s">
        <v>579</v>
      </c>
      <c r="D522" s="94">
        <f t="shared" si="73"/>
        <v>0.11346726190476192</v>
      </c>
    </row>
    <row r="523" spans="1:25" ht="19.05" customHeight="1" x14ac:dyDescent="0.3">
      <c r="A523" s="12" t="s">
        <v>588</v>
      </c>
      <c r="B523" s="12" t="s">
        <v>580</v>
      </c>
      <c r="D523" s="94">
        <f t="shared" si="73"/>
        <v>-0.64794146825396837</v>
      </c>
    </row>
    <row r="524" spans="1:25" ht="19.05" customHeight="1" x14ac:dyDescent="0.3">
      <c r="A524" s="12" t="s">
        <v>609</v>
      </c>
      <c r="B524" s="12" t="s">
        <v>601</v>
      </c>
      <c r="D524" s="94">
        <f t="shared" si="73"/>
        <v>1.3020833333333289E-2</v>
      </c>
    </row>
    <row r="525" spans="1:25" ht="19.05" customHeight="1" x14ac:dyDescent="0.3">
      <c r="A525" s="12" t="s">
        <v>610</v>
      </c>
      <c r="B525" s="12" t="s">
        <v>602</v>
      </c>
      <c r="D525" s="94">
        <f t="shared" si="73"/>
        <v>-0.48068576388888895</v>
      </c>
    </row>
    <row r="528" spans="1:25" ht="19.95" customHeight="1" x14ac:dyDescent="0.35">
      <c r="A528" s="11" t="s">
        <v>275</v>
      </c>
      <c r="T528" s="216" t="s">
        <v>276</v>
      </c>
      <c r="U528" s="172"/>
      <c r="V528" s="172"/>
      <c r="W528" s="172"/>
      <c r="X528" s="172"/>
      <c r="Y528" s="173"/>
    </row>
    <row r="529" spans="1:25" ht="16.95" customHeight="1" x14ac:dyDescent="0.3">
      <c r="T529" s="215" t="s">
        <v>395</v>
      </c>
      <c r="U529" s="172"/>
      <c r="V529" s="172"/>
      <c r="W529" s="172"/>
      <c r="X529" s="172"/>
      <c r="Y529" s="173"/>
    </row>
    <row r="530" spans="1:25" ht="16.95" customHeight="1" x14ac:dyDescent="0.3">
      <c r="A530" s="19" t="s">
        <v>278</v>
      </c>
      <c r="C530" s="19" t="s">
        <v>279</v>
      </c>
      <c r="D530" s="19" t="s">
        <v>280</v>
      </c>
      <c r="E530" s="19" t="s">
        <v>279</v>
      </c>
      <c r="F530" s="19" t="s">
        <v>280</v>
      </c>
      <c r="G530" s="19" t="s">
        <v>249</v>
      </c>
      <c r="T530" s="215" t="s">
        <v>396</v>
      </c>
      <c r="U530" s="172"/>
      <c r="V530" s="172"/>
      <c r="W530" s="172"/>
      <c r="X530" s="172"/>
      <c r="Y530" s="173"/>
    </row>
    <row r="531" spans="1:25" ht="16.95" customHeight="1" x14ac:dyDescent="0.3">
      <c r="C531" s="19" t="s">
        <v>282</v>
      </c>
      <c r="D531" s="19" t="s">
        <v>282</v>
      </c>
      <c r="E531" s="19" t="s">
        <v>283</v>
      </c>
      <c r="F531" s="19" t="s">
        <v>283</v>
      </c>
      <c r="T531" s="215" t="s">
        <v>397</v>
      </c>
      <c r="U531" s="172"/>
      <c r="V531" s="172"/>
      <c r="W531" s="172"/>
      <c r="X531" s="172"/>
      <c r="Y531" s="173"/>
    </row>
    <row r="532" spans="1:25" ht="16.95" customHeight="1" x14ac:dyDescent="0.3">
      <c r="A532" s="17">
        <f>N6</f>
        <v>67200</v>
      </c>
      <c r="C532" s="92">
        <f>-J6</f>
        <v>-1</v>
      </c>
      <c r="D532" s="92">
        <f>-K6</f>
        <v>0</v>
      </c>
      <c r="E532" s="92">
        <f>J6</f>
        <v>1</v>
      </c>
      <c r="F532" s="92">
        <f>K6</f>
        <v>0</v>
      </c>
      <c r="G532" s="96">
        <f>IFERROR(VLOOKUP(H532, A$510:D$525, 4, FALSE), 0)</f>
        <v>0</v>
      </c>
      <c r="H532" s="12" t="str">
        <f>"D" &amp; C22 &amp; "X"</f>
        <v>D1X</v>
      </c>
      <c r="T532" s="215" t="s">
        <v>398</v>
      </c>
      <c r="U532" s="172"/>
      <c r="V532" s="172"/>
      <c r="W532" s="172"/>
      <c r="X532" s="172"/>
      <c r="Y532" s="173"/>
    </row>
    <row r="533" spans="1:25" ht="16.95" customHeight="1" x14ac:dyDescent="0.3">
      <c r="A533" s="99" t="s">
        <v>285</v>
      </c>
      <c r="B533" s="97">
        <f>(MMULT(C532:F532, G532:G535)*A532)</f>
        <v>4874.9999999999982</v>
      </c>
      <c r="G533" s="96">
        <f>IFERROR(VLOOKUP(H533, A$510:D$525, 4, FALSE), 0)</f>
        <v>0</v>
      </c>
      <c r="H533" s="12" t="str">
        <f>"D" &amp; D22 &amp; "Y"</f>
        <v>D1Y</v>
      </c>
      <c r="T533" s="215" t="s">
        <v>399</v>
      </c>
      <c r="U533" s="172"/>
      <c r="V533" s="172"/>
      <c r="W533" s="172"/>
      <c r="X533" s="172"/>
      <c r="Y533" s="173"/>
    </row>
    <row r="534" spans="1:25" ht="16.95" customHeight="1" x14ac:dyDescent="0.3">
      <c r="G534" s="96">
        <f>IFERROR(VLOOKUP(H534, A$510:D$525, 4, FALSE), 0)</f>
        <v>7.2544642857142835E-2</v>
      </c>
      <c r="H534" s="12" t="str">
        <f>"D" &amp; E22 &amp; "X"</f>
        <v>D2X</v>
      </c>
      <c r="T534" s="215" t="s">
        <v>400</v>
      </c>
      <c r="U534" s="172"/>
      <c r="V534" s="172"/>
      <c r="W534" s="172"/>
      <c r="X534" s="172"/>
      <c r="Y534" s="173"/>
    </row>
    <row r="535" spans="1:25" ht="16.95" customHeight="1" x14ac:dyDescent="0.3">
      <c r="G535" s="96">
        <f>IFERROR(VLOOKUP(H535, A$510:D$525, 4, FALSE), 0)</f>
        <v>-0.52036830357142871</v>
      </c>
      <c r="H535" s="12" t="str">
        <f>"D" &amp; F22 &amp; "Y"</f>
        <v>D2Y</v>
      </c>
      <c r="T535" s="215" t="s">
        <v>401</v>
      </c>
      <c r="U535" s="172"/>
      <c r="V535" s="172"/>
      <c r="W535" s="172"/>
      <c r="X535" s="172"/>
      <c r="Y535" s="173"/>
    </row>
    <row r="536" spans="1:25" ht="16.95" customHeight="1" x14ac:dyDescent="0.3">
      <c r="B536" s="99" t="s">
        <v>273</v>
      </c>
      <c r="C536" s="178" t="str">
        <f>IF(B533&gt;0.001,"BARRA A TRACCIÓN (+)",IF(B533&lt;-0.001,"BARRA A COMPRESIÓN (-)","BARRA DE FUERZA NULA"))</f>
        <v>BARRA A TRACCIÓN (+)</v>
      </c>
      <c r="D536" s="172"/>
      <c r="E536" s="172"/>
      <c r="F536" s="173"/>
      <c r="T536" s="215" t="s">
        <v>402</v>
      </c>
      <c r="U536" s="172"/>
      <c r="V536" s="172"/>
      <c r="W536" s="172"/>
      <c r="X536" s="172"/>
      <c r="Y536" s="173"/>
    </row>
    <row r="537" spans="1:25" ht="16.95" customHeight="1" x14ac:dyDescent="0.3">
      <c r="T537" s="215" t="s">
        <v>403</v>
      </c>
      <c r="U537" s="172"/>
      <c r="V537" s="172"/>
      <c r="W537" s="172"/>
      <c r="X537" s="172"/>
      <c r="Y537" s="173"/>
    </row>
    <row r="538" spans="1:25" ht="16.95" customHeight="1" x14ac:dyDescent="0.3">
      <c r="A538" s="19" t="s">
        <v>278</v>
      </c>
      <c r="C538" s="19" t="s">
        <v>279</v>
      </c>
      <c r="D538" s="19" t="s">
        <v>280</v>
      </c>
      <c r="E538" s="19" t="s">
        <v>279</v>
      </c>
      <c r="F538" s="19" t="s">
        <v>280</v>
      </c>
      <c r="G538" s="19" t="s">
        <v>249</v>
      </c>
      <c r="T538" s="215"/>
      <c r="U538" s="172"/>
      <c r="V538" s="172"/>
      <c r="W538" s="172"/>
      <c r="X538" s="172"/>
      <c r="Y538" s="173"/>
    </row>
    <row r="539" spans="1:25" ht="16.95" customHeight="1" x14ac:dyDescent="0.3">
      <c r="C539" s="19" t="s">
        <v>282</v>
      </c>
      <c r="D539" s="19" t="s">
        <v>282</v>
      </c>
      <c r="E539" s="19" t="s">
        <v>283</v>
      </c>
      <c r="F539" s="19" t="s">
        <v>283</v>
      </c>
      <c r="T539" s="215"/>
      <c r="U539" s="172"/>
      <c r="V539" s="172"/>
      <c r="W539" s="172"/>
      <c r="X539" s="172"/>
      <c r="Y539" s="173"/>
    </row>
    <row r="540" spans="1:25" ht="16.95" customHeight="1" x14ac:dyDescent="0.3">
      <c r="A540" s="17">
        <f>N7</f>
        <v>67200</v>
      </c>
      <c r="C540" s="92">
        <f>-J7</f>
        <v>-1</v>
      </c>
      <c r="D540" s="92">
        <f>-K7</f>
        <v>0</v>
      </c>
      <c r="E540" s="92">
        <f>J7</f>
        <v>1</v>
      </c>
      <c r="F540" s="92">
        <f>K7</f>
        <v>0</v>
      </c>
      <c r="G540" s="96">
        <f>IFERROR(VLOOKUP(H540, A$510:D$525, 4, FALSE), 0)</f>
        <v>7.2544642857142835E-2</v>
      </c>
      <c r="H540" s="12" t="str">
        <f>"D" &amp; C23 &amp; "X"</f>
        <v>D2X</v>
      </c>
      <c r="T540" s="215"/>
      <c r="U540" s="172"/>
      <c r="V540" s="172"/>
      <c r="W540" s="172"/>
      <c r="X540" s="172"/>
      <c r="Y540" s="173"/>
    </row>
    <row r="541" spans="1:25" ht="16.95" customHeight="1" x14ac:dyDescent="0.3">
      <c r="A541" s="99" t="s">
        <v>286</v>
      </c>
      <c r="B541" s="97">
        <f>(MMULT(C540:F540, G540:G543)*A540)</f>
        <v>6749.9999999999991</v>
      </c>
      <c r="G541" s="96">
        <f>IFERROR(VLOOKUP(H541, A$510:D$525, 4, FALSE), 0)</f>
        <v>-0.52036830357142871</v>
      </c>
      <c r="H541" s="12" t="str">
        <f>"D" &amp; D23 &amp; "Y"</f>
        <v>D2Y</v>
      </c>
      <c r="T541" s="215"/>
      <c r="U541" s="172"/>
      <c r="V541" s="172"/>
      <c r="W541" s="172"/>
      <c r="X541" s="172"/>
      <c r="Y541" s="173"/>
    </row>
    <row r="542" spans="1:25" ht="16.95" customHeight="1" x14ac:dyDescent="0.3">
      <c r="G542" s="96">
        <f>IFERROR(VLOOKUP(H542, A$510:D$525, 4, FALSE), 0)</f>
        <v>0.1729910714285714</v>
      </c>
      <c r="H542" s="12" t="str">
        <f>"D" &amp; E23 &amp; "X"</f>
        <v>D3X</v>
      </c>
      <c r="T542" s="215"/>
      <c r="U542" s="172"/>
      <c r="V542" s="172"/>
      <c r="W542" s="172"/>
      <c r="X542" s="172"/>
      <c r="Y542" s="173"/>
    </row>
    <row r="543" spans="1:25" ht="16.95" customHeight="1" x14ac:dyDescent="0.3">
      <c r="G543" s="96">
        <f>IFERROR(VLOOKUP(H543, A$510:D$525, 4, FALSE), 0)</f>
        <v>-0.6975446428571429</v>
      </c>
      <c r="H543" s="12" t="str">
        <f>"D" &amp; F23 &amp; "Y"</f>
        <v>D3Y</v>
      </c>
      <c r="T543" s="215"/>
      <c r="U543" s="172"/>
      <c r="V543" s="172"/>
      <c r="W543" s="172"/>
      <c r="X543" s="172"/>
      <c r="Y543" s="173"/>
    </row>
    <row r="544" spans="1:25" ht="16.95" customHeight="1" x14ac:dyDescent="0.3">
      <c r="B544" s="99" t="s">
        <v>273</v>
      </c>
      <c r="C544" s="178" t="str">
        <f>IF(B541&gt;0.001,"BARRA A TRACCIÓN (+)",IF(B541&lt;-0.001,"BARRA A COMPRESIÓN (-)","BARRA DE FUERZA NULA"))</f>
        <v>BARRA A TRACCIÓN (+)</v>
      </c>
      <c r="D544" s="172"/>
      <c r="E544" s="172"/>
      <c r="F544" s="173"/>
      <c r="T544" s="215"/>
      <c r="U544" s="172"/>
      <c r="V544" s="172"/>
      <c r="W544" s="172"/>
      <c r="X544" s="172"/>
      <c r="Y544" s="173"/>
    </row>
    <row r="545" spans="1:25" ht="16.95" customHeight="1" x14ac:dyDescent="0.3">
      <c r="T545" s="215"/>
      <c r="U545" s="172"/>
      <c r="V545" s="172"/>
      <c r="W545" s="172"/>
      <c r="X545" s="172"/>
      <c r="Y545" s="173"/>
    </row>
    <row r="546" spans="1:25" ht="16.95" customHeight="1" x14ac:dyDescent="0.3">
      <c r="A546" s="19" t="s">
        <v>278</v>
      </c>
      <c r="C546" s="19" t="s">
        <v>279</v>
      </c>
      <c r="D546" s="19" t="s">
        <v>280</v>
      </c>
      <c r="E546" s="19" t="s">
        <v>279</v>
      </c>
      <c r="F546" s="19" t="s">
        <v>280</v>
      </c>
      <c r="G546" s="19" t="s">
        <v>249</v>
      </c>
      <c r="T546" s="215"/>
      <c r="U546" s="172"/>
      <c r="V546" s="172"/>
      <c r="W546" s="172"/>
      <c r="X546" s="172"/>
      <c r="Y546" s="173"/>
    </row>
    <row r="547" spans="1:25" ht="16.95" customHeight="1" x14ac:dyDescent="0.3">
      <c r="C547" s="19" t="s">
        <v>282</v>
      </c>
      <c r="D547" s="19" t="s">
        <v>282</v>
      </c>
      <c r="E547" s="19" t="s">
        <v>283</v>
      </c>
      <c r="F547" s="19" t="s">
        <v>283</v>
      </c>
      <c r="T547" s="215"/>
      <c r="U547" s="172"/>
      <c r="V547" s="172"/>
      <c r="W547" s="172"/>
      <c r="X547" s="172"/>
      <c r="Y547" s="173"/>
    </row>
    <row r="548" spans="1:25" ht="16.95" customHeight="1" x14ac:dyDescent="0.3">
      <c r="A548" s="17">
        <f>N8</f>
        <v>67200</v>
      </c>
      <c r="C548" s="92">
        <f>-J8</f>
        <v>-1</v>
      </c>
      <c r="D548" s="92">
        <f>-K8</f>
        <v>0</v>
      </c>
      <c r="E548" s="92">
        <f>J8</f>
        <v>1</v>
      </c>
      <c r="F548" s="92">
        <f>K8</f>
        <v>0</v>
      </c>
      <c r="G548" s="96">
        <f>IFERROR(VLOOKUP(H548, A$510:D$525, 4, FALSE), 0)</f>
        <v>0.1729910714285714</v>
      </c>
      <c r="H548" s="12" t="str">
        <f>"D" &amp; C24 &amp; "X"</f>
        <v>D3X</v>
      </c>
      <c r="T548" s="215"/>
      <c r="U548" s="172"/>
      <c r="V548" s="172"/>
      <c r="W548" s="172"/>
      <c r="X548" s="172"/>
      <c r="Y548" s="173"/>
    </row>
    <row r="549" spans="1:25" ht="16.95" customHeight="1" x14ac:dyDescent="0.3">
      <c r="A549" s="99" t="s">
        <v>287</v>
      </c>
      <c r="B549" s="97">
        <f>(MMULT(C548:F548, G548:G551)*A548)</f>
        <v>4874.9999999999973</v>
      </c>
      <c r="G549" s="96">
        <f>IFERROR(VLOOKUP(H549, A$510:D$525, 4, FALSE), 0)</f>
        <v>-0.6975446428571429</v>
      </c>
      <c r="H549" s="12" t="str">
        <f>"D" &amp; D24 &amp; "Y"</f>
        <v>D3Y</v>
      </c>
      <c r="T549" s="215"/>
      <c r="U549" s="172"/>
      <c r="V549" s="172"/>
      <c r="W549" s="172"/>
      <c r="X549" s="172"/>
      <c r="Y549" s="173"/>
    </row>
    <row r="550" spans="1:25" ht="16.95" customHeight="1" x14ac:dyDescent="0.3">
      <c r="G550" s="96">
        <f>IFERROR(VLOOKUP(H550, A$510:D$525, 4, FALSE), 0)</f>
        <v>0.24553571428571422</v>
      </c>
      <c r="H550" s="12" t="str">
        <f>"D" &amp; E24 &amp; "X"</f>
        <v>D4X</v>
      </c>
      <c r="T550" s="215"/>
      <c r="U550" s="172"/>
      <c r="V550" s="172"/>
      <c r="W550" s="172"/>
      <c r="X550" s="172"/>
      <c r="Y550" s="173"/>
    </row>
    <row r="551" spans="1:25" ht="16.95" customHeight="1" x14ac:dyDescent="0.3">
      <c r="G551" s="96">
        <f>IFERROR(VLOOKUP(H551, A$510:D$525, 4, FALSE), 0)</f>
        <v>-0.56005084325396837</v>
      </c>
      <c r="H551" s="12" t="str">
        <f>"D" &amp; F24 &amp; "Y"</f>
        <v>D4Y</v>
      </c>
      <c r="T551" s="215"/>
      <c r="U551" s="172"/>
      <c r="V551" s="172"/>
      <c r="W551" s="172"/>
      <c r="X551" s="172"/>
      <c r="Y551" s="173"/>
    </row>
    <row r="552" spans="1:25" ht="16.95" customHeight="1" x14ac:dyDescent="0.3">
      <c r="B552" s="99" t="s">
        <v>273</v>
      </c>
      <c r="C552" s="178" t="str">
        <f>IF(B549&gt;0.001,"BARRA A TRACCIÓN (+)",IF(B549&lt;-0.001,"BARRA A COMPRESIÓN (-)","BARRA DE FUERZA NULA"))</f>
        <v>BARRA A TRACCIÓN (+)</v>
      </c>
      <c r="D552" s="172"/>
      <c r="E552" s="172"/>
      <c r="F552" s="173"/>
      <c r="T552" s="215"/>
      <c r="U552" s="172"/>
      <c r="V552" s="172"/>
      <c r="W552" s="172"/>
      <c r="X552" s="172"/>
      <c r="Y552" s="173"/>
    </row>
    <row r="553" spans="1:25" ht="16.95" customHeight="1" x14ac:dyDescent="0.3">
      <c r="T553" s="215"/>
      <c r="U553" s="172"/>
      <c r="V553" s="172"/>
      <c r="W553" s="172"/>
      <c r="X553" s="172"/>
      <c r="Y553" s="173"/>
    </row>
    <row r="554" spans="1:25" ht="18" customHeight="1" x14ac:dyDescent="0.3">
      <c r="A554" s="19" t="s">
        <v>278</v>
      </c>
      <c r="C554" s="19" t="s">
        <v>279</v>
      </c>
      <c r="D554" s="19" t="s">
        <v>280</v>
      </c>
      <c r="E554" s="19" t="s">
        <v>279</v>
      </c>
      <c r="F554" s="19" t="s">
        <v>280</v>
      </c>
      <c r="G554" s="19" t="s">
        <v>249</v>
      </c>
    </row>
    <row r="555" spans="1:25" ht="16.05" customHeight="1" x14ac:dyDescent="0.3">
      <c r="C555" s="19" t="s">
        <v>282</v>
      </c>
      <c r="D555" s="19" t="s">
        <v>282</v>
      </c>
      <c r="E555" s="19" t="s">
        <v>283</v>
      </c>
      <c r="F555" s="19" t="s">
        <v>283</v>
      </c>
    </row>
    <row r="556" spans="1:25" ht="19.95" customHeight="1" x14ac:dyDescent="0.3">
      <c r="A556" s="17">
        <f>N9</f>
        <v>67200</v>
      </c>
      <c r="C556" s="92">
        <f>-J9</f>
        <v>-1</v>
      </c>
      <c r="D556" s="92">
        <f>-K9</f>
        <v>0</v>
      </c>
      <c r="E556" s="92">
        <f>J9</f>
        <v>1</v>
      </c>
      <c r="F556" s="92">
        <f>K9</f>
        <v>0</v>
      </c>
      <c r="G556" s="96">
        <f>IFERROR(VLOOKUP(H556, A$510:D$525, 4, FALSE), 0)</f>
        <v>0.24553571428571422</v>
      </c>
      <c r="H556" s="12" t="str">
        <f>"D" &amp; C25 &amp; "X"</f>
        <v>D4X</v>
      </c>
    </row>
    <row r="557" spans="1:25" ht="19.95" customHeight="1" x14ac:dyDescent="0.3">
      <c r="A557" s="99" t="s">
        <v>288</v>
      </c>
      <c r="B557" s="97">
        <f>(MMULT(C556:F556, G556:G559)*A556)</f>
        <v>4875.0000000000009</v>
      </c>
      <c r="G557" s="96">
        <f>IFERROR(VLOOKUP(H557, A$510:D$525, 4, FALSE), 0)</f>
        <v>-0.56005084325396837</v>
      </c>
      <c r="H557" s="12" t="str">
        <f>"D" &amp; D25 &amp; "Y"</f>
        <v>D4Y</v>
      </c>
    </row>
    <row r="558" spans="1:25" ht="19.95" customHeight="1" x14ac:dyDescent="0.3">
      <c r="G558" s="96">
        <f>IFERROR(VLOOKUP(H558, A$510:D$525, 4, FALSE), 0)</f>
        <v>0.3180803571428571</v>
      </c>
      <c r="H558" s="12" t="str">
        <f>"D" &amp; E25 &amp; "X"</f>
        <v>D5X</v>
      </c>
    </row>
    <row r="559" spans="1:25" ht="19.95" customHeight="1" x14ac:dyDescent="0.3">
      <c r="G559" s="96">
        <f>IFERROR(VLOOKUP(H559, A$510:D$525, 4, FALSE), 0)</f>
        <v>0</v>
      </c>
      <c r="H559" s="12" t="str">
        <f>"D" &amp; F25 &amp; "Y"</f>
        <v>D5Y</v>
      </c>
    </row>
    <row r="560" spans="1:25" ht="19.95" customHeight="1" x14ac:dyDescent="0.3">
      <c r="B560" s="99" t="s">
        <v>273</v>
      </c>
      <c r="C560" s="178" t="str">
        <f>IF(B557&gt;0.001,"BARRA A TRACCIÓN (+)",IF(B557&lt;-0.001,"BARRA A COMPRESIÓN (-)","BARRA DE FUERZA NULA"))</f>
        <v>BARRA A TRACCIÓN (+)</v>
      </c>
      <c r="D560" s="172"/>
      <c r="E560" s="172"/>
      <c r="F560" s="173"/>
    </row>
    <row r="562" spans="1:8" ht="18" customHeight="1" x14ac:dyDescent="0.3">
      <c r="A562" s="19" t="s">
        <v>278</v>
      </c>
      <c r="C562" s="19" t="s">
        <v>279</v>
      </c>
      <c r="D562" s="19" t="s">
        <v>280</v>
      </c>
      <c r="E562" s="19" t="s">
        <v>279</v>
      </c>
      <c r="F562" s="19" t="s">
        <v>280</v>
      </c>
      <c r="G562" s="19" t="s">
        <v>249</v>
      </c>
    </row>
    <row r="563" spans="1:8" ht="16.05" customHeight="1" x14ac:dyDescent="0.3">
      <c r="C563" s="19" t="s">
        <v>282</v>
      </c>
      <c r="D563" s="19" t="s">
        <v>282</v>
      </c>
      <c r="E563" s="19" t="s">
        <v>283</v>
      </c>
      <c r="F563" s="19" t="s">
        <v>283</v>
      </c>
    </row>
    <row r="564" spans="1:8" ht="19.95" customHeight="1" x14ac:dyDescent="0.3">
      <c r="A564" s="17">
        <f>N10</f>
        <v>40320</v>
      </c>
      <c r="C564" s="92">
        <f>-J10</f>
        <v>-0.6</v>
      </c>
      <c r="D564" s="92">
        <f>-K10</f>
        <v>-0.8</v>
      </c>
      <c r="E564" s="92">
        <f>J10</f>
        <v>0.6</v>
      </c>
      <c r="F564" s="92">
        <f>K10</f>
        <v>0.8</v>
      </c>
      <c r="G564" s="96">
        <f>IFERROR(VLOOKUP(H564, A$510:D$525, 4, FALSE), 0)</f>
        <v>0</v>
      </c>
      <c r="H564" s="12" t="str">
        <f>"D" &amp; C26 &amp; "X"</f>
        <v>D1X</v>
      </c>
    </row>
    <row r="565" spans="1:8" ht="19.95" customHeight="1" x14ac:dyDescent="0.3">
      <c r="A565" s="99" t="s">
        <v>289</v>
      </c>
      <c r="B565" s="97">
        <f>(MMULT(C564:F564, G564:G567)*A564)</f>
        <v>-8125.0000000000036</v>
      </c>
      <c r="G565" s="96">
        <f>IFERROR(VLOOKUP(H565, A$510:D$525, 4, FALSE), 0)</f>
        <v>0</v>
      </c>
      <c r="H565" s="12" t="str">
        <f>"D" &amp; D26 &amp; "Y"</f>
        <v>D1Y</v>
      </c>
    </row>
    <row r="566" spans="1:8" ht="19.95" customHeight="1" x14ac:dyDescent="0.3">
      <c r="G566" s="96">
        <f>IFERROR(VLOOKUP(H566, A$510:D$525, 4, FALSE), 0)</f>
        <v>0.18601190476190477</v>
      </c>
      <c r="H566" s="12" t="str">
        <f>"D" &amp; E26 &amp; "X"</f>
        <v>D6X</v>
      </c>
    </row>
    <row r="567" spans="1:8" ht="19.95" customHeight="1" x14ac:dyDescent="0.3">
      <c r="G567" s="96">
        <f>IFERROR(VLOOKUP(H567, A$510:D$525, 4, FALSE), 0)</f>
        <v>-0.3914000496031747</v>
      </c>
      <c r="H567" s="12" t="str">
        <f>"D" &amp; F26 &amp; "Y"</f>
        <v>D6Y</v>
      </c>
    </row>
    <row r="568" spans="1:8" ht="19.95" customHeight="1" x14ac:dyDescent="0.3">
      <c r="B568" s="99" t="s">
        <v>273</v>
      </c>
      <c r="C568" s="178" t="str">
        <f>IF(B565&gt;0.001,"BARRA A TRACCIÓN (+)",IF(B565&lt;-0.001,"BARRA A COMPRESIÓN (-)","BARRA DE FUERZA NULA"))</f>
        <v>BARRA A COMPRESIÓN (-)</v>
      </c>
      <c r="D568" s="172"/>
      <c r="E568" s="172"/>
      <c r="F568" s="173"/>
    </row>
    <row r="570" spans="1:8" ht="18" customHeight="1" x14ac:dyDescent="0.3">
      <c r="A570" s="19" t="s">
        <v>278</v>
      </c>
      <c r="C570" s="19" t="s">
        <v>279</v>
      </c>
      <c r="D570" s="19" t="s">
        <v>280</v>
      </c>
      <c r="E570" s="19" t="s">
        <v>279</v>
      </c>
      <c r="F570" s="19" t="s">
        <v>280</v>
      </c>
      <c r="G570" s="19" t="s">
        <v>249</v>
      </c>
    </row>
    <row r="571" spans="1:8" ht="16.05" customHeight="1" x14ac:dyDescent="0.3">
      <c r="C571" s="19" t="s">
        <v>282</v>
      </c>
      <c r="D571" s="19" t="s">
        <v>282</v>
      </c>
      <c r="E571" s="19" t="s">
        <v>283</v>
      </c>
      <c r="F571" s="19" t="s">
        <v>283</v>
      </c>
    </row>
    <row r="572" spans="1:8" ht="19.95" customHeight="1" x14ac:dyDescent="0.3">
      <c r="A572" s="17">
        <f>N11</f>
        <v>67200</v>
      </c>
      <c r="C572" s="92">
        <f>-J11</f>
        <v>-1</v>
      </c>
      <c r="D572" s="92">
        <f>-K11</f>
        <v>0</v>
      </c>
      <c r="E572" s="92">
        <f>J11</f>
        <v>1</v>
      </c>
      <c r="F572" s="92">
        <f>K11</f>
        <v>0</v>
      </c>
      <c r="G572" s="96">
        <f>IFERROR(VLOOKUP(H572, A$510:D$525, 4, FALSE), 0)</f>
        <v>0.18601190476190477</v>
      </c>
      <c r="H572" s="12" t="str">
        <f>"D" &amp; C27 &amp; "X"</f>
        <v>D6X</v>
      </c>
    </row>
    <row r="573" spans="1:8" ht="19.95" customHeight="1" x14ac:dyDescent="0.3">
      <c r="A573" s="99" t="s">
        <v>290</v>
      </c>
      <c r="B573" s="97">
        <f>(MMULT(C572:F572, G572:G575)*A572)</f>
        <v>-4874.9999999999991</v>
      </c>
      <c r="G573" s="96">
        <f>IFERROR(VLOOKUP(H573, A$510:D$525, 4, FALSE), 0)</f>
        <v>-0.3914000496031747</v>
      </c>
      <c r="H573" s="12" t="str">
        <f>"D" &amp; D27 &amp; "Y"</f>
        <v>D6Y</v>
      </c>
    </row>
    <row r="574" spans="1:8" ht="19.95" customHeight="1" x14ac:dyDescent="0.3">
      <c r="G574" s="96">
        <f>IFERROR(VLOOKUP(H574, A$510:D$525, 4, FALSE), 0)</f>
        <v>0.11346726190476192</v>
      </c>
      <c r="H574" s="12" t="str">
        <f>"D" &amp; E27 &amp; "X"</f>
        <v>D7X</v>
      </c>
    </row>
    <row r="575" spans="1:8" ht="19.95" customHeight="1" x14ac:dyDescent="0.3">
      <c r="G575" s="96">
        <f>IFERROR(VLOOKUP(H575, A$510:D$525, 4, FALSE), 0)</f>
        <v>-0.64794146825396837</v>
      </c>
      <c r="H575" s="12" t="str">
        <f>"D" &amp; F27 &amp; "Y"</f>
        <v>D7Y</v>
      </c>
    </row>
    <row r="576" spans="1:8" ht="19.95" customHeight="1" x14ac:dyDescent="0.3">
      <c r="B576" s="99" t="s">
        <v>273</v>
      </c>
      <c r="C576" s="178" t="str">
        <f>IF(B573&gt;0.001,"BARRA A TRACCIÓN (+)",IF(B573&lt;-0.001,"BARRA A COMPRESIÓN (-)","BARRA DE FUERZA NULA"))</f>
        <v>BARRA A COMPRESIÓN (-)</v>
      </c>
      <c r="D576" s="172"/>
      <c r="E576" s="172"/>
      <c r="F576" s="173"/>
    </row>
    <row r="578" spans="1:8" ht="18" customHeight="1" x14ac:dyDescent="0.3">
      <c r="A578" s="19" t="s">
        <v>278</v>
      </c>
      <c r="C578" s="19" t="s">
        <v>279</v>
      </c>
      <c r="D578" s="19" t="s">
        <v>280</v>
      </c>
      <c r="E578" s="19" t="s">
        <v>279</v>
      </c>
      <c r="F578" s="19" t="s">
        <v>280</v>
      </c>
      <c r="G578" s="19" t="s">
        <v>249</v>
      </c>
    </row>
    <row r="579" spans="1:8" ht="16.05" customHeight="1" x14ac:dyDescent="0.3">
      <c r="C579" s="19" t="s">
        <v>282</v>
      </c>
      <c r="D579" s="19" t="s">
        <v>282</v>
      </c>
      <c r="E579" s="19" t="s">
        <v>283</v>
      </c>
      <c r="F579" s="19" t="s">
        <v>283</v>
      </c>
    </row>
    <row r="580" spans="1:8" ht="19.95" customHeight="1" x14ac:dyDescent="0.3">
      <c r="A580" s="17">
        <f>N12</f>
        <v>67200</v>
      </c>
      <c r="C580" s="92">
        <f>-J12</f>
        <v>-1</v>
      </c>
      <c r="D580" s="92">
        <f>-K12</f>
        <v>0</v>
      </c>
      <c r="E580" s="92">
        <f>J12</f>
        <v>1</v>
      </c>
      <c r="F580" s="92">
        <f>K12</f>
        <v>0</v>
      </c>
      <c r="G580" s="96">
        <f>IFERROR(VLOOKUP(H580, A$510:D$525, 4, FALSE), 0)</f>
        <v>0.11346726190476192</v>
      </c>
      <c r="H580" s="12" t="str">
        <f>"D" &amp; C28 &amp; "X"</f>
        <v>D7X</v>
      </c>
    </row>
    <row r="581" spans="1:8" ht="19.95" customHeight="1" x14ac:dyDescent="0.3">
      <c r="A581" s="99" t="s">
        <v>291</v>
      </c>
      <c r="B581" s="97">
        <f>(MMULT(C580:F580, G580:G583)*A580)</f>
        <v>-6750.0000000000036</v>
      </c>
      <c r="G581" s="96">
        <f>IFERROR(VLOOKUP(H581, A$510:D$525, 4, FALSE), 0)</f>
        <v>-0.64794146825396837</v>
      </c>
      <c r="H581" s="12" t="str">
        <f>"D" &amp; D28 &amp; "Y"</f>
        <v>D7Y</v>
      </c>
    </row>
    <row r="582" spans="1:8" ht="19.95" customHeight="1" x14ac:dyDescent="0.3">
      <c r="G582" s="96">
        <f>IFERROR(VLOOKUP(H582, A$510:D$525, 4, FALSE), 0)</f>
        <v>1.3020833333333289E-2</v>
      </c>
      <c r="H582" s="12" t="str">
        <f>"D" &amp; E28 &amp; "X"</f>
        <v>D8X</v>
      </c>
    </row>
    <row r="583" spans="1:8" ht="19.95" customHeight="1" x14ac:dyDescent="0.3">
      <c r="G583" s="96">
        <f>IFERROR(VLOOKUP(H583, A$510:D$525, 4, FALSE), 0)</f>
        <v>-0.48068576388888895</v>
      </c>
      <c r="H583" s="12" t="str">
        <f>"D" &amp; F28 &amp; "Y"</f>
        <v>D8Y</v>
      </c>
    </row>
    <row r="584" spans="1:8" ht="19.95" customHeight="1" x14ac:dyDescent="0.3">
      <c r="B584" s="99" t="s">
        <v>273</v>
      </c>
      <c r="C584" s="178" t="str">
        <f>IF(B581&gt;0.001,"BARRA A TRACCIÓN (+)",IF(B581&lt;-0.001,"BARRA A COMPRESIÓN (-)","BARRA DE FUERZA NULA"))</f>
        <v>BARRA A COMPRESIÓN (-)</v>
      </c>
      <c r="D584" s="172"/>
      <c r="E584" s="172"/>
      <c r="F584" s="173"/>
    </row>
    <row r="586" spans="1:8" ht="18" customHeight="1" x14ac:dyDescent="0.3">
      <c r="A586" s="19" t="s">
        <v>278</v>
      </c>
      <c r="C586" s="19" t="s">
        <v>279</v>
      </c>
      <c r="D586" s="19" t="s">
        <v>280</v>
      </c>
      <c r="E586" s="19" t="s">
        <v>279</v>
      </c>
      <c r="F586" s="19" t="s">
        <v>280</v>
      </c>
      <c r="G586" s="19" t="s">
        <v>249</v>
      </c>
    </row>
    <row r="587" spans="1:8" ht="16.05" customHeight="1" x14ac:dyDescent="0.3">
      <c r="C587" s="19" t="s">
        <v>282</v>
      </c>
      <c r="D587" s="19" t="s">
        <v>282</v>
      </c>
      <c r="E587" s="19" t="s">
        <v>283</v>
      </c>
      <c r="F587" s="19" t="s">
        <v>283</v>
      </c>
    </row>
    <row r="588" spans="1:8" ht="19.95" customHeight="1" x14ac:dyDescent="0.3">
      <c r="A588" s="17">
        <f>N13</f>
        <v>40320</v>
      </c>
      <c r="C588" s="92">
        <f>-J13</f>
        <v>-0.6</v>
      </c>
      <c r="D588" s="92">
        <f>-K13</f>
        <v>0.8</v>
      </c>
      <c r="E588" s="92">
        <f>J13</f>
        <v>0.6</v>
      </c>
      <c r="F588" s="92">
        <f>K13</f>
        <v>-0.8</v>
      </c>
      <c r="G588" s="96">
        <f>IFERROR(VLOOKUP(H588, A$510:D$525, 4, FALSE), 0)</f>
        <v>1.3020833333333289E-2</v>
      </c>
      <c r="H588" s="12" t="str">
        <f>"D" &amp; C29 &amp; "X"</f>
        <v>D8X</v>
      </c>
    </row>
    <row r="589" spans="1:8" ht="19.95" customHeight="1" x14ac:dyDescent="0.3">
      <c r="A589" s="99" t="s">
        <v>292</v>
      </c>
      <c r="B589" s="97">
        <f>(MMULT(C588:F588, G588:G591)*A588)</f>
        <v>-8125.0000000000036</v>
      </c>
      <c r="G589" s="96">
        <f>IFERROR(VLOOKUP(H589, A$510:D$525, 4, FALSE), 0)</f>
        <v>-0.48068576388888895</v>
      </c>
      <c r="H589" s="12" t="str">
        <f>"D" &amp; D29 &amp; "Y"</f>
        <v>D8Y</v>
      </c>
    </row>
    <row r="590" spans="1:8" ht="19.95" customHeight="1" x14ac:dyDescent="0.3">
      <c r="G590" s="96">
        <f>IFERROR(VLOOKUP(H590, A$510:D$525, 4, FALSE), 0)</f>
        <v>0.3180803571428571</v>
      </c>
      <c r="H590" s="12" t="str">
        <f>"D" &amp; E29 &amp; "X"</f>
        <v>D5X</v>
      </c>
    </row>
    <row r="591" spans="1:8" ht="19.95" customHeight="1" x14ac:dyDescent="0.3">
      <c r="G591" s="96">
        <f>IFERROR(VLOOKUP(H591, A$510:D$525, 4, FALSE), 0)</f>
        <v>0</v>
      </c>
      <c r="H591" s="12" t="str">
        <f>"D" &amp; F29 &amp; "Y"</f>
        <v>D5Y</v>
      </c>
    </row>
    <row r="592" spans="1:8" ht="19.95" customHeight="1" x14ac:dyDescent="0.3">
      <c r="B592" s="99" t="s">
        <v>273</v>
      </c>
      <c r="C592" s="178" t="str">
        <f>IF(B589&gt;0.001,"BARRA A TRACCIÓN (+)",IF(B589&lt;-0.001,"BARRA A COMPRESIÓN (-)","BARRA DE FUERZA NULA"))</f>
        <v>BARRA A COMPRESIÓN (-)</v>
      </c>
      <c r="D592" s="172"/>
      <c r="E592" s="172"/>
      <c r="F592" s="173"/>
    </row>
    <row r="594" spans="1:8" ht="18" customHeight="1" x14ac:dyDescent="0.3">
      <c r="A594" s="19" t="s">
        <v>278</v>
      </c>
      <c r="C594" s="19" t="s">
        <v>279</v>
      </c>
      <c r="D594" s="19" t="s">
        <v>280</v>
      </c>
      <c r="E594" s="19" t="s">
        <v>279</v>
      </c>
      <c r="F594" s="19" t="s">
        <v>280</v>
      </c>
      <c r="G594" s="19" t="s">
        <v>249</v>
      </c>
    </row>
    <row r="595" spans="1:8" ht="16.05" customHeight="1" x14ac:dyDescent="0.3">
      <c r="C595" s="19" t="s">
        <v>282</v>
      </c>
      <c r="D595" s="19" t="s">
        <v>282</v>
      </c>
      <c r="E595" s="19" t="s">
        <v>283</v>
      </c>
      <c r="F595" s="19" t="s">
        <v>283</v>
      </c>
    </row>
    <row r="596" spans="1:8" ht="19.95" customHeight="1" x14ac:dyDescent="0.3">
      <c r="A596" s="17">
        <f>N14</f>
        <v>50400</v>
      </c>
      <c r="C596" s="92">
        <f>-J14</f>
        <v>0</v>
      </c>
      <c r="D596" s="92">
        <f>-K14</f>
        <v>1</v>
      </c>
      <c r="E596" s="92">
        <f>J14</f>
        <v>0</v>
      </c>
      <c r="F596" s="92">
        <f>K14</f>
        <v>-1</v>
      </c>
      <c r="G596" s="96">
        <f>IFERROR(VLOOKUP(H596, A$510:D$525, 4, FALSE), 0)</f>
        <v>0.18601190476190477</v>
      </c>
      <c r="H596" s="12" t="str">
        <f>"D" &amp; C30 &amp; "X"</f>
        <v>D6X</v>
      </c>
    </row>
    <row r="597" spans="1:8" ht="19.95" customHeight="1" x14ac:dyDescent="0.3">
      <c r="A597" s="99" t="s">
        <v>530</v>
      </c>
      <c r="B597" s="97">
        <f>(MMULT(C596:F596, G596:G599)*A596)</f>
        <v>6500.0000000000018</v>
      </c>
      <c r="G597" s="96">
        <f>IFERROR(VLOOKUP(H597, A$510:D$525, 4, FALSE), 0)</f>
        <v>-0.3914000496031747</v>
      </c>
      <c r="H597" s="12" t="str">
        <f>"D" &amp; D30 &amp; "Y"</f>
        <v>D6Y</v>
      </c>
    </row>
    <row r="598" spans="1:8" ht="19.95" customHeight="1" x14ac:dyDescent="0.3">
      <c r="G598" s="96">
        <f>IFERROR(VLOOKUP(H598, A$510:D$525, 4, FALSE), 0)</f>
        <v>7.2544642857142835E-2</v>
      </c>
      <c r="H598" s="12" t="str">
        <f>"D" &amp; E30 &amp; "X"</f>
        <v>D2X</v>
      </c>
    </row>
    <row r="599" spans="1:8" ht="19.95" customHeight="1" x14ac:dyDescent="0.3">
      <c r="G599" s="96">
        <f>IFERROR(VLOOKUP(H599, A$510:D$525, 4, FALSE), 0)</f>
        <v>-0.52036830357142871</v>
      </c>
      <c r="H599" s="12" t="str">
        <f>"D" &amp; F30 &amp; "Y"</f>
        <v>D2Y</v>
      </c>
    </row>
    <row r="600" spans="1:8" ht="19.95" customHeight="1" x14ac:dyDescent="0.3">
      <c r="B600" s="99" t="s">
        <v>273</v>
      </c>
      <c r="C600" s="178" t="str">
        <f>IF(B597&gt;0.001,"BARRA A TRACCIÓN (+)",IF(B597&lt;-0.001,"BARRA A COMPRESIÓN (-)","BARRA DE FUERZA NULA"))</f>
        <v>BARRA A TRACCIÓN (+)</v>
      </c>
      <c r="D600" s="172"/>
      <c r="E600" s="172"/>
      <c r="F600" s="173"/>
    </row>
    <row r="602" spans="1:8" ht="18" customHeight="1" x14ac:dyDescent="0.3">
      <c r="A602" s="19" t="s">
        <v>278</v>
      </c>
      <c r="C602" s="19" t="s">
        <v>279</v>
      </c>
      <c r="D602" s="19" t="s">
        <v>280</v>
      </c>
      <c r="E602" s="19" t="s">
        <v>279</v>
      </c>
      <c r="F602" s="19" t="s">
        <v>280</v>
      </c>
      <c r="G602" s="19" t="s">
        <v>249</v>
      </c>
    </row>
    <row r="603" spans="1:8" ht="16.05" customHeight="1" x14ac:dyDescent="0.3">
      <c r="C603" s="19" t="s">
        <v>282</v>
      </c>
      <c r="D603" s="19" t="s">
        <v>282</v>
      </c>
      <c r="E603" s="19" t="s">
        <v>283</v>
      </c>
      <c r="F603" s="19" t="s">
        <v>283</v>
      </c>
    </row>
    <row r="604" spans="1:8" ht="19.95" customHeight="1" x14ac:dyDescent="0.3">
      <c r="A604" s="17">
        <f>N15</f>
        <v>40320</v>
      </c>
      <c r="C604" s="92">
        <f>-J15</f>
        <v>-0.6</v>
      </c>
      <c r="D604" s="92">
        <f>-K15</f>
        <v>-0.8</v>
      </c>
      <c r="E604" s="92">
        <f>J15</f>
        <v>0.6</v>
      </c>
      <c r="F604" s="92">
        <f>K15</f>
        <v>0.8</v>
      </c>
      <c r="G604" s="96">
        <f>IFERROR(VLOOKUP(H604, A$510:D$525, 4, FALSE), 0)</f>
        <v>7.2544642857142835E-2</v>
      </c>
      <c r="H604" s="12" t="str">
        <f>"D" &amp; C31 &amp; "X"</f>
        <v>D2X</v>
      </c>
    </row>
    <row r="605" spans="1:8" ht="19.95" customHeight="1" x14ac:dyDescent="0.3">
      <c r="A605" s="99" t="s">
        <v>589</v>
      </c>
      <c r="B605" s="97">
        <f>(MMULT(C604:F604, G604:G607)*A604)</f>
        <v>-3124.9999999999991</v>
      </c>
      <c r="G605" s="96">
        <f>IFERROR(VLOOKUP(H605, A$510:D$525, 4, FALSE), 0)</f>
        <v>-0.52036830357142871</v>
      </c>
      <c r="H605" s="12" t="str">
        <f>"D" &amp; D31 &amp; "Y"</f>
        <v>D2Y</v>
      </c>
    </row>
    <row r="606" spans="1:8" ht="19.95" customHeight="1" x14ac:dyDescent="0.3">
      <c r="G606" s="96">
        <f>IFERROR(VLOOKUP(H606, A$510:D$525, 4, FALSE), 0)</f>
        <v>0.11346726190476192</v>
      </c>
      <c r="H606" s="12" t="str">
        <f>"D" &amp; E31 &amp; "X"</f>
        <v>D7X</v>
      </c>
    </row>
    <row r="607" spans="1:8" ht="19.95" customHeight="1" x14ac:dyDescent="0.3">
      <c r="G607" s="96">
        <f>IFERROR(VLOOKUP(H607, A$510:D$525, 4, FALSE), 0)</f>
        <v>-0.64794146825396837</v>
      </c>
      <c r="H607" s="12" t="str">
        <f>"D" &amp; F31 &amp; "Y"</f>
        <v>D7Y</v>
      </c>
    </row>
    <row r="608" spans="1:8" ht="19.95" customHeight="1" x14ac:dyDescent="0.3">
      <c r="B608" s="99" t="s">
        <v>273</v>
      </c>
      <c r="C608" s="178" t="str">
        <f>IF(B605&gt;0.001,"BARRA A TRACCIÓN (+)",IF(B605&lt;-0.001,"BARRA A COMPRESIÓN (-)","BARRA DE FUERZA NULA"))</f>
        <v>BARRA A COMPRESIÓN (-)</v>
      </c>
      <c r="D608" s="172"/>
      <c r="E608" s="172"/>
      <c r="F608" s="173"/>
    </row>
    <row r="610" spans="1:8" ht="18" customHeight="1" x14ac:dyDescent="0.3">
      <c r="A610" s="19" t="s">
        <v>278</v>
      </c>
      <c r="C610" s="19" t="s">
        <v>279</v>
      </c>
      <c r="D610" s="19" t="s">
        <v>280</v>
      </c>
      <c r="E610" s="19" t="s">
        <v>279</v>
      </c>
      <c r="F610" s="19" t="s">
        <v>280</v>
      </c>
      <c r="G610" s="19" t="s">
        <v>249</v>
      </c>
    </row>
    <row r="611" spans="1:8" ht="16.05" customHeight="1" x14ac:dyDescent="0.3">
      <c r="C611" s="19" t="s">
        <v>282</v>
      </c>
      <c r="D611" s="19" t="s">
        <v>282</v>
      </c>
      <c r="E611" s="19" t="s">
        <v>283</v>
      </c>
      <c r="F611" s="19" t="s">
        <v>283</v>
      </c>
    </row>
    <row r="612" spans="1:8" ht="19.95" customHeight="1" x14ac:dyDescent="0.3">
      <c r="A612" s="17">
        <f>N16</f>
        <v>50400</v>
      </c>
      <c r="C612" s="92">
        <f>-J16</f>
        <v>0</v>
      </c>
      <c r="D612" s="92">
        <f>-K16</f>
        <v>1</v>
      </c>
      <c r="E612" s="92">
        <f>J16</f>
        <v>0</v>
      </c>
      <c r="F612" s="92">
        <f>K16</f>
        <v>-1</v>
      </c>
      <c r="G612" s="96">
        <f>IFERROR(VLOOKUP(H612, A$510:D$525, 4, FALSE), 0)</f>
        <v>0.11346726190476192</v>
      </c>
      <c r="H612" s="12" t="str">
        <f>"D" &amp; C32 &amp; "X"</f>
        <v>D7X</v>
      </c>
    </row>
    <row r="613" spans="1:8" ht="19.95" customHeight="1" x14ac:dyDescent="0.3">
      <c r="A613" s="99" t="s">
        <v>590</v>
      </c>
      <c r="B613" s="97">
        <f>(MMULT(C612:F612, G612:G615)*A612)</f>
        <v>2499.9999999999968</v>
      </c>
      <c r="G613" s="96">
        <f>IFERROR(VLOOKUP(H613, A$510:D$525, 4, FALSE), 0)</f>
        <v>-0.64794146825396837</v>
      </c>
      <c r="H613" s="12" t="str">
        <f>"D" &amp; D32 &amp; "Y"</f>
        <v>D7Y</v>
      </c>
    </row>
    <row r="614" spans="1:8" ht="19.95" customHeight="1" x14ac:dyDescent="0.3">
      <c r="G614" s="96">
        <f>IFERROR(VLOOKUP(H614, A$510:D$525, 4, FALSE), 0)</f>
        <v>0.1729910714285714</v>
      </c>
      <c r="H614" s="12" t="str">
        <f>"D" &amp; E32 &amp; "X"</f>
        <v>D3X</v>
      </c>
    </row>
    <row r="615" spans="1:8" ht="19.95" customHeight="1" x14ac:dyDescent="0.3">
      <c r="G615" s="96">
        <f>IFERROR(VLOOKUP(H615, A$510:D$525, 4, FALSE), 0)</f>
        <v>-0.6975446428571429</v>
      </c>
      <c r="H615" s="12" t="str">
        <f>"D" &amp; F32 &amp; "Y"</f>
        <v>D3Y</v>
      </c>
    </row>
    <row r="616" spans="1:8" ht="19.95" customHeight="1" x14ac:dyDescent="0.3">
      <c r="B616" s="99" t="s">
        <v>273</v>
      </c>
      <c r="C616" s="178" t="str">
        <f>IF(B613&gt;0.001,"BARRA A TRACCIÓN (+)",IF(B613&lt;-0.001,"BARRA A COMPRESIÓN (-)","BARRA DE FUERZA NULA"))</f>
        <v>BARRA A TRACCIÓN (+)</v>
      </c>
      <c r="D616" s="172"/>
      <c r="E616" s="172"/>
      <c r="F616" s="173"/>
    </row>
    <row r="618" spans="1:8" ht="18" customHeight="1" x14ac:dyDescent="0.3">
      <c r="A618" s="19" t="s">
        <v>278</v>
      </c>
      <c r="C618" s="19" t="s">
        <v>279</v>
      </c>
      <c r="D618" s="19" t="s">
        <v>280</v>
      </c>
      <c r="E618" s="19" t="s">
        <v>279</v>
      </c>
      <c r="F618" s="19" t="s">
        <v>280</v>
      </c>
      <c r="G618" s="19" t="s">
        <v>249</v>
      </c>
    </row>
    <row r="619" spans="1:8" ht="16.05" customHeight="1" x14ac:dyDescent="0.3">
      <c r="C619" s="19" t="s">
        <v>282</v>
      </c>
      <c r="D619" s="19" t="s">
        <v>282</v>
      </c>
      <c r="E619" s="19" t="s">
        <v>283</v>
      </c>
      <c r="F619" s="19" t="s">
        <v>283</v>
      </c>
    </row>
    <row r="620" spans="1:8" ht="19.95" customHeight="1" x14ac:dyDescent="0.3">
      <c r="A620" s="17">
        <f>N17</f>
        <v>40320</v>
      </c>
      <c r="C620" s="92">
        <f>-J17</f>
        <v>-0.6</v>
      </c>
      <c r="D620" s="92">
        <f>-K17</f>
        <v>-0.8</v>
      </c>
      <c r="E620" s="92">
        <f>J17</f>
        <v>0.6</v>
      </c>
      <c r="F620" s="92">
        <f>K17</f>
        <v>0.8</v>
      </c>
      <c r="G620" s="96">
        <f>IFERROR(VLOOKUP(H620, A$510:D$525, 4, FALSE), 0)</f>
        <v>0.1729910714285714</v>
      </c>
      <c r="H620" s="12" t="str">
        <f>"D" &amp; C33 &amp; "X"</f>
        <v>D3X</v>
      </c>
    </row>
    <row r="621" spans="1:8" ht="19.95" customHeight="1" x14ac:dyDescent="0.3">
      <c r="A621" s="99" t="s">
        <v>611</v>
      </c>
      <c r="B621" s="97">
        <f>(MMULT(C620:F620, G620:G623)*A620)</f>
        <v>3124.9999999999991</v>
      </c>
      <c r="G621" s="96">
        <f>IFERROR(VLOOKUP(H621, A$510:D$525, 4, FALSE), 0)</f>
        <v>-0.6975446428571429</v>
      </c>
      <c r="H621" s="12" t="str">
        <f>"D" &amp; D33 &amp; "Y"</f>
        <v>D3Y</v>
      </c>
    </row>
    <row r="622" spans="1:8" ht="19.95" customHeight="1" x14ac:dyDescent="0.3">
      <c r="G622" s="96">
        <f>IFERROR(VLOOKUP(H622, A$510:D$525, 4, FALSE), 0)</f>
        <v>1.3020833333333289E-2</v>
      </c>
      <c r="H622" s="12" t="str">
        <f>"D" &amp; E33 &amp; "X"</f>
        <v>D8X</v>
      </c>
    </row>
    <row r="623" spans="1:8" ht="19.95" customHeight="1" x14ac:dyDescent="0.3">
      <c r="G623" s="96">
        <f>IFERROR(VLOOKUP(H623, A$510:D$525, 4, FALSE), 0)</f>
        <v>-0.48068576388888895</v>
      </c>
      <c r="H623" s="12" t="str">
        <f>"D" &amp; F33 &amp; "Y"</f>
        <v>D8Y</v>
      </c>
    </row>
    <row r="624" spans="1:8" ht="19.95" customHeight="1" x14ac:dyDescent="0.3">
      <c r="B624" s="99" t="s">
        <v>273</v>
      </c>
      <c r="C624" s="178" t="str">
        <f>IF(B621&gt;0.001,"BARRA A TRACCIÓN (+)",IF(B621&lt;-0.001,"BARRA A COMPRESIÓN (-)","BARRA DE FUERZA NULA"))</f>
        <v>BARRA A TRACCIÓN (+)</v>
      </c>
      <c r="D624" s="172"/>
      <c r="E624" s="172"/>
      <c r="F624" s="173"/>
    </row>
    <row r="626" spans="1:8" ht="18" customHeight="1" x14ac:dyDescent="0.3">
      <c r="A626" s="19" t="s">
        <v>278</v>
      </c>
      <c r="C626" s="19" t="s">
        <v>279</v>
      </c>
      <c r="D626" s="19" t="s">
        <v>280</v>
      </c>
      <c r="E626" s="19" t="s">
        <v>279</v>
      </c>
      <c r="F626" s="19" t="s">
        <v>280</v>
      </c>
      <c r="G626" s="19" t="s">
        <v>249</v>
      </c>
    </row>
    <row r="627" spans="1:8" ht="16.05" customHeight="1" x14ac:dyDescent="0.3">
      <c r="C627" s="19" t="s">
        <v>282</v>
      </c>
      <c r="D627" s="19" t="s">
        <v>282</v>
      </c>
      <c r="E627" s="19" t="s">
        <v>283</v>
      </c>
      <c r="F627" s="19" t="s">
        <v>283</v>
      </c>
    </row>
    <row r="628" spans="1:8" ht="19.95" customHeight="1" x14ac:dyDescent="0.3">
      <c r="A628" s="17">
        <f>N18</f>
        <v>50400</v>
      </c>
      <c r="C628" s="92">
        <f>-J18</f>
        <v>0</v>
      </c>
      <c r="D628" s="92">
        <f>-K18</f>
        <v>1</v>
      </c>
      <c r="E628" s="92">
        <f>J18</f>
        <v>0</v>
      </c>
      <c r="F628" s="92">
        <f>K18</f>
        <v>-1</v>
      </c>
      <c r="G628" s="96">
        <f>IFERROR(VLOOKUP(H628, A$510:D$525, 4, FALSE), 0)</f>
        <v>1.3020833333333289E-2</v>
      </c>
      <c r="H628" s="12" t="str">
        <f>"D" &amp; C34 &amp; "X"</f>
        <v>D8X</v>
      </c>
    </row>
    <row r="629" spans="1:8" ht="19.95" customHeight="1" x14ac:dyDescent="0.3">
      <c r="A629" s="99" t="s">
        <v>612</v>
      </c>
      <c r="B629" s="97">
        <f>(MMULT(C628:F628, G628:G631)*A628)</f>
        <v>4000.0000000000027</v>
      </c>
      <c r="G629" s="96">
        <f>IFERROR(VLOOKUP(H629, A$510:D$525, 4, FALSE), 0)</f>
        <v>-0.48068576388888895</v>
      </c>
      <c r="H629" s="12" t="str">
        <f>"D" &amp; D34 &amp; "Y"</f>
        <v>D8Y</v>
      </c>
    </row>
    <row r="630" spans="1:8" ht="19.95" customHeight="1" x14ac:dyDescent="0.3">
      <c r="G630" s="96">
        <f>IFERROR(VLOOKUP(H630, A$510:D$525, 4, FALSE), 0)</f>
        <v>0.24553571428571422</v>
      </c>
      <c r="H630" s="12" t="str">
        <f>"D" &amp; E34 &amp; "X"</f>
        <v>D4X</v>
      </c>
    </row>
    <row r="631" spans="1:8" ht="19.95" customHeight="1" x14ac:dyDescent="0.3">
      <c r="G631" s="96">
        <f>IFERROR(VLOOKUP(H631, A$510:D$525, 4, FALSE), 0)</f>
        <v>-0.56005084325396837</v>
      </c>
      <c r="H631" s="12" t="str">
        <f>"D" &amp; F34 &amp; "Y"</f>
        <v>D4Y</v>
      </c>
    </row>
    <row r="632" spans="1:8" ht="19.95" customHeight="1" x14ac:dyDescent="0.3">
      <c r="B632" s="99" t="s">
        <v>273</v>
      </c>
      <c r="C632" s="178" t="str">
        <f>IF(B629&gt;0.001,"BARRA A TRACCIÓN (+)",IF(B629&lt;-0.001,"BARRA A COMPRESIÓN (-)","BARRA DE FUERZA NULA"))</f>
        <v>BARRA A TRACCIÓN (+)</v>
      </c>
      <c r="D632" s="172"/>
      <c r="E632" s="172"/>
      <c r="F632" s="173"/>
    </row>
    <row r="635" spans="1:8" ht="22.05" customHeight="1" x14ac:dyDescent="0.3">
      <c r="B635" s="217" t="s">
        <v>404</v>
      </c>
      <c r="C635" s="175"/>
      <c r="D635" s="175"/>
      <c r="E635" s="175"/>
      <c r="F635" s="175"/>
      <c r="G635" s="175"/>
      <c r="H635" s="175"/>
    </row>
    <row r="636" spans="1:8" ht="24" customHeight="1" x14ac:dyDescent="0.3">
      <c r="B636" s="87" t="s">
        <v>294</v>
      </c>
      <c r="C636" s="87" t="s">
        <v>295</v>
      </c>
      <c r="D636" s="87" t="s">
        <v>296</v>
      </c>
      <c r="E636" s="87" t="s">
        <v>297</v>
      </c>
      <c r="F636" s="87" t="s">
        <v>298</v>
      </c>
      <c r="G636" s="87" t="s">
        <v>299</v>
      </c>
      <c r="H636" s="87" t="s">
        <v>300</v>
      </c>
    </row>
    <row r="637" spans="1:8" ht="19.95" customHeight="1" x14ac:dyDescent="0.3">
      <c r="B637" s="85">
        <v>1</v>
      </c>
      <c r="C637" s="86">
        <f t="shared" ref="C637:C649" si="74">C22</f>
        <v>1</v>
      </c>
      <c r="D637" s="86">
        <f t="shared" ref="D637:D649" si="75">E22</f>
        <v>2</v>
      </c>
      <c r="E637" s="9">
        <f t="shared" ref="E637:E649" si="76">I6</f>
        <v>375</v>
      </c>
      <c r="F637" s="9">
        <f t="shared" ref="F637:F649" si="77">L6</f>
        <v>12</v>
      </c>
      <c r="G637" s="97">
        <f>B533</f>
        <v>4874.9999999999982</v>
      </c>
      <c r="H637" s="84" t="str">
        <f>C536</f>
        <v>BARRA A TRACCIÓN (+)</v>
      </c>
    </row>
    <row r="638" spans="1:8" ht="19.95" customHeight="1" x14ac:dyDescent="0.3">
      <c r="B638" s="25">
        <v>2</v>
      </c>
      <c r="C638" s="86">
        <f t="shared" si="74"/>
        <v>2</v>
      </c>
      <c r="D638" s="86">
        <f t="shared" si="75"/>
        <v>3</v>
      </c>
      <c r="E638" s="9">
        <f t="shared" si="76"/>
        <v>375</v>
      </c>
      <c r="F638" s="9">
        <f t="shared" si="77"/>
        <v>12</v>
      </c>
      <c r="G638" s="97">
        <f>B541</f>
        <v>6749.9999999999991</v>
      </c>
      <c r="H638" s="84" t="str">
        <f>C544</f>
        <v>BARRA A TRACCIÓN (+)</v>
      </c>
    </row>
    <row r="639" spans="1:8" ht="19.95" customHeight="1" x14ac:dyDescent="0.3">
      <c r="B639" s="26">
        <v>3</v>
      </c>
      <c r="C639" s="86">
        <f t="shared" si="74"/>
        <v>3</v>
      </c>
      <c r="D639" s="86">
        <f t="shared" si="75"/>
        <v>4</v>
      </c>
      <c r="E639" s="9">
        <f t="shared" si="76"/>
        <v>375</v>
      </c>
      <c r="F639" s="9">
        <f t="shared" si="77"/>
        <v>12</v>
      </c>
      <c r="G639" s="97">
        <f>B549</f>
        <v>4874.9999999999973</v>
      </c>
      <c r="H639" s="84" t="str">
        <f>C552</f>
        <v>BARRA A TRACCIÓN (+)</v>
      </c>
    </row>
    <row r="640" spans="1:8" ht="19.95" customHeight="1" x14ac:dyDescent="0.3">
      <c r="B640" s="43">
        <v>4</v>
      </c>
      <c r="C640" s="86">
        <f t="shared" si="74"/>
        <v>4</v>
      </c>
      <c r="D640" s="86">
        <f t="shared" si="75"/>
        <v>5</v>
      </c>
      <c r="E640" s="9">
        <f t="shared" si="76"/>
        <v>375</v>
      </c>
      <c r="F640" s="9">
        <f t="shared" si="77"/>
        <v>12</v>
      </c>
      <c r="G640" s="97">
        <f>B557</f>
        <v>4875.0000000000009</v>
      </c>
      <c r="H640" s="84" t="str">
        <f>C560</f>
        <v>BARRA A TRACCIÓN (+)</v>
      </c>
    </row>
    <row r="641" spans="2:8" ht="19.95" customHeight="1" x14ac:dyDescent="0.3">
      <c r="B641" s="44">
        <v>5</v>
      </c>
      <c r="C641" s="86">
        <f t="shared" si="74"/>
        <v>1</v>
      </c>
      <c r="D641" s="86">
        <f t="shared" si="75"/>
        <v>6</v>
      </c>
      <c r="E641" s="9">
        <f t="shared" si="76"/>
        <v>625</v>
      </c>
      <c r="F641" s="9">
        <f t="shared" si="77"/>
        <v>12</v>
      </c>
      <c r="G641" s="97">
        <f>B565</f>
        <v>-8125.0000000000036</v>
      </c>
      <c r="H641" s="84" t="str">
        <f>C568</f>
        <v>BARRA A COMPRESIÓN (-)</v>
      </c>
    </row>
    <row r="642" spans="2:8" ht="19.95" customHeight="1" x14ac:dyDescent="0.3">
      <c r="B642" s="51">
        <v>6</v>
      </c>
      <c r="C642" s="86">
        <f t="shared" si="74"/>
        <v>6</v>
      </c>
      <c r="D642" s="86">
        <f t="shared" si="75"/>
        <v>7</v>
      </c>
      <c r="E642" s="9">
        <f t="shared" si="76"/>
        <v>375</v>
      </c>
      <c r="F642" s="9">
        <f t="shared" si="77"/>
        <v>12</v>
      </c>
      <c r="G642" s="97">
        <f>B573</f>
        <v>-4874.9999999999991</v>
      </c>
      <c r="H642" s="84" t="str">
        <f>C576</f>
        <v>BARRA A COMPRESIÓN (-)</v>
      </c>
    </row>
    <row r="643" spans="2:8" ht="19.95" customHeight="1" x14ac:dyDescent="0.3">
      <c r="B643" s="52">
        <v>7</v>
      </c>
      <c r="C643" s="86">
        <f t="shared" si="74"/>
        <v>7</v>
      </c>
      <c r="D643" s="86">
        <f t="shared" si="75"/>
        <v>8</v>
      </c>
      <c r="E643" s="9">
        <f t="shared" si="76"/>
        <v>375</v>
      </c>
      <c r="F643" s="9">
        <f t="shared" si="77"/>
        <v>12</v>
      </c>
      <c r="G643" s="97">
        <f>B581</f>
        <v>-6750.0000000000036</v>
      </c>
      <c r="H643" s="84" t="str">
        <f>C584</f>
        <v>BARRA A COMPRESIÓN (-)</v>
      </c>
    </row>
    <row r="644" spans="2:8" ht="19.95" customHeight="1" x14ac:dyDescent="0.3">
      <c r="B644" s="59">
        <v>8</v>
      </c>
      <c r="C644" s="86">
        <f t="shared" si="74"/>
        <v>8</v>
      </c>
      <c r="D644" s="86">
        <f t="shared" si="75"/>
        <v>5</v>
      </c>
      <c r="E644" s="9">
        <f t="shared" si="76"/>
        <v>625</v>
      </c>
      <c r="F644" s="9">
        <f t="shared" si="77"/>
        <v>12</v>
      </c>
      <c r="G644" s="97">
        <f>B589</f>
        <v>-8125.0000000000036</v>
      </c>
      <c r="H644" s="84" t="str">
        <f>C592</f>
        <v>BARRA A COMPRESIÓN (-)</v>
      </c>
    </row>
    <row r="645" spans="2:8" ht="19.95" customHeight="1" x14ac:dyDescent="0.3">
      <c r="B645" s="60">
        <v>9</v>
      </c>
      <c r="C645" s="86">
        <f t="shared" si="74"/>
        <v>6</v>
      </c>
      <c r="D645" s="86">
        <f t="shared" si="75"/>
        <v>2</v>
      </c>
      <c r="E645" s="9">
        <f t="shared" si="76"/>
        <v>500</v>
      </c>
      <c r="F645" s="9">
        <f t="shared" si="77"/>
        <v>12</v>
      </c>
      <c r="G645" s="97">
        <f>B597</f>
        <v>6500.0000000000018</v>
      </c>
      <c r="H645" s="84" t="str">
        <f>C600</f>
        <v>BARRA A TRACCIÓN (+)</v>
      </c>
    </row>
    <row r="646" spans="2:8" ht="19.95" customHeight="1" x14ac:dyDescent="0.3">
      <c r="B646" s="67">
        <v>10</v>
      </c>
      <c r="C646" s="86">
        <f t="shared" si="74"/>
        <v>2</v>
      </c>
      <c r="D646" s="86">
        <f t="shared" si="75"/>
        <v>7</v>
      </c>
      <c r="E646" s="9">
        <f t="shared" si="76"/>
        <v>625</v>
      </c>
      <c r="F646" s="9">
        <f t="shared" si="77"/>
        <v>12</v>
      </c>
      <c r="G646" s="97">
        <f>B605</f>
        <v>-3124.9999999999991</v>
      </c>
      <c r="H646" s="84" t="str">
        <f>C608</f>
        <v>BARRA A COMPRESIÓN (-)</v>
      </c>
    </row>
    <row r="647" spans="2:8" ht="19.95" customHeight="1" x14ac:dyDescent="0.3">
      <c r="B647" s="68">
        <v>11</v>
      </c>
      <c r="C647" s="86">
        <f t="shared" si="74"/>
        <v>7</v>
      </c>
      <c r="D647" s="86">
        <f t="shared" si="75"/>
        <v>3</v>
      </c>
      <c r="E647" s="9">
        <f t="shared" si="76"/>
        <v>500</v>
      </c>
      <c r="F647" s="9">
        <f t="shared" si="77"/>
        <v>12</v>
      </c>
      <c r="G647" s="97">
        <f>B613</f>
        <v>2499.9999999999968</v>
      </c>
      <c r="H647" s="84" t="str">
        <f>C616</f>
        <v>BARRA A TRACCIÓN (+)</v>
      </c>
    </row>
    <row r="648" spans="2:8" ht="19.95" customHeight="1" x14ac:dyDescent="0.3">
      <c r="B648" s="10">
        <v>12</v>
      </c>
      <c r="C648" s="86">
        <f t="shared" si="74"/>
        <v>3</v>
      </c>
      <c r="D648" s="86">
        <f t="shared" si="75"/>
        <v>8</v>
      </c>
      <c r="E648" s="9">
        <f t="shared" si="76"/>
        <v>625</v>
      </c>
      <c r="F648" s="9">
        <f t="shared" si="77"/>
        <v>12</v>
      </c>
      <c r="G648" s="97">
        <f>B621</f>
        <v>3124.9999999999991</v>
      </c>
      <c r="H648" s="84" t="str">
        <f>C624</f>
        <v>BARRA A TRACCIÓN (+)</v>
      </c>
    </row>
    <row r="649" spans="2:8" ht="19.95" customHeight="1" x14ac:dyDescent="0.3">
      <c r="B649" s="75">
        <v>13</v>
      </c>
      <c r="C649" s="86">
        <f t="shared" si="74"/>
        <v>8</v>
      </c>
      <c r="D649" s="86">
        <f t="shared" si="75"/>
        <v>4</v>
      </c>
      <c r="E649" s="9">
        <f t="shared" si="76"/>
        <v>500</v>
      </c>
      <c r="F649" s="9">
        <f t="shared" si="77"/>
        <v>12</v>
      </c>
      <c r="G649" s="97">
        <f>B629</f>
        <v>4000.0000000000027</v>
      </c>
      <c r="H649" s="84" t="str">
        <f>C632</f>
        <v>BARRA A TRACCIÓN (+)</v>
      </c>
    </row>
  </sheetData>
  <mergeCells count="182">
    <mergeCell ref="J4:J5"/>
    <mergeCell ref="T552:Y552"/>
    <mergeCell ref="L4:L5"/>
    <mergeCell ref="T479:Y479"/>
    <mergeCell ref="T429:Y429"/>
    <mergeCell ref="T463:Y463"/>
    <mergeCell ref="T423:Y423"/>
    <mergeCell ref="T494:Y494"/>
    <mergeCell ref="T438:Y438"/>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 ref="C455:O455"/>
    <mergeCell ref="T488:Y488"/>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529:Y529"/>
    <mergeCell ref="T410:Y410"/>
    <mergeCell ref="T543:Y543"/>
    <mergeCell ref="T481:Y481"/>
    <mergeCell ref="T478:Y478"/>
    <mergeCell ref="T391:Y391"/>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T414:Y414"/>
    <mergeCell ref="T480:Y480"/>
    <mergeCell ref="T455:Y455"/>
    <mergeCell ref="T464:Y464"/>
    <mergeCell ref="T402:Y402"/>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C600:F600"/>
    <mergeCell ref="C584:F584"/>
    <mergeCell ref="T544:Y544"/>
    <mergeCell ref="T400:Y400"/>
    <mergeCell ref="T553:Y553"/>
    <mergeCell ref="T497:Y497"/>
    <mergeCell ref="T435:Y435"/>
    <mergeCell ref="T409:Y409"/>
    <mergeCell ref="T449:Y449"/>
    <mergeCell ref="T540:Y540"/>
    <mergeCell ref="T537:Y537"/>
    <mergeCell ref="T490:Y490"/>
    <mergeCell ref="T417:Y417"/>
    <mergeCell ref="T499:Y499"/>
    <mergeCell ref="T477:Y477"/>
    <mergeCell ref="T465:Y465"/>
    <mergeCell ref="T440:Y440"/>
    <mergeCell ref="T533:Y533"/>
    <mergeCell ref="B635:H635"/>
    <mergeCell ref="T473:Y473"/>
    <mergeCell ref="C568:F568"/>
    <mergeCell ref="C608:F608"/>
    <mergeCell ref="T395:Y395"/>
    <mergeCell ref="T469:Y469"/>
    <mergeCell ref="T450:Y450"/>
    <mergeCell ref="T484:Y484"/>
    <mergeCell ref="T459:Y459"/>
    <mergeCell ref="C560:F560"/>
    <mergeCell ref="T434:Y434"/>
    <mergeCell ref="T550:Y550"/>
    <mergeCell ref="T454:Y454"/>
    <mergeCell ref="T551:Y551"/>
    <mergeCell ref="T498:Y498"/>
    <mergeCell ref="C632:F632"/>
    <mergeCell ref="T487:Y487"/>
    <mergeCell ref="C616:F616"/>
    <mergeCell ref="T403:Y403"/>
    <mergeCell ref="T474:Y474"/>
    <mergeCell ref="C417:D417"/>
    <mergeCell ref="T530:Y530"/>
    <mergeCell ref="T483:Y483"/>
    <mergeCell ref="T447:Y447"/>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B3:D3"/>
    <mergeCell ref="T426:Y426"/>
    <mergeCell ref="M4:M5"/>
    <mergeCell ref="T539:Y539"/>
    <mergeCell ref="T387:Y387"/>
    <mergeCell ref="T489:Y489"/>
    <mergeCell ref="T427:Y427"/>
    <mergeCell ref="T545:Y545"/>
    <mergeCell ref="T396:Y396"/>
    <mergeCell ref="T452:Y452"/>
    <mergeCell ref="T541:Y541"/>
    <mergeCell ref="T451:Y451"/>
    <mergeCell ref="T460:Y460"/>
    <mergeCell ref="C20:D20"/>
    <mergeCell ref="E20:F20"/>
    <mergeCell ref="T393:Y393"/>
    <mergeCell ref="T458:Y458"/>
    <mergeCell ref="T411:Y411"/>
    <mergeCell ref="T467:Y467"/>
    <mergeCell ref="T538:Y538"/>
    <mergeCell ref="B20:B21"/>
    <mergeCell ref="T381:Y381"/>
    <mergeCell ref="T394:Y394"/>
    <mergeCell ref="T425:Y425"/>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615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6</v>
      </c>
      <c r="E6" s="173"/>
      <c r="F6" s="206">
        <f>SUM(F14:G23)</f>
        <v>3</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400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0</v>
      </c>
      <c r="J15" s="205" t="s">
        <v>407</v>
      </c>
      <c r="K15" s="172"/>
      <c r="L15" s="172"/>
      <c r="M15" s="172"/>
      <c r="N15" s="172"/>
      <c r="O15" s="173"/>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3500</v>
      </c>
      <c r="I16" s="22">
        <v>-6000</v>
      </c>
      <c r="J16" s="205" t="s">
        <v>616</v>
      </c>
      <c r="K16" s="172"/>
      <c r="L16" s="172"/>
      <c r="M16" s="172"/>
      <c r="N16" s="172"/>
      <c r="O16" s="173"/>
    </row>
    <row r="17" spans="2:29" ht="19.05" customHeight="1" x14ac:dyDescent="0.3">
      <c r="B17" s="89">
        <v>4</v>
      </c>
      <c r="C17" s="21">
        <v>0</v>
      </c>
      <c r="D17" s="21">
        <v>300</v>
      </c>
      <c r="E17" s="21" t="s">
        <v>326</v>
      </c>
      <c r="F17" s="88">
        <f t="shared" si="0"/>
        <v>0</v>
      </c>
      <c r="G17" s="88">
        <f t="shared" si="1"/>
        <v>0</v>
      </c>
      <c r="H17" s="22">
        <v>0</v>
      </c>
      <c r="I17" s="22">
        <v>0</v>
      </c>
      <c r="J17" s="205" t="s">
        <v>617</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300-000000000000}">
      <formula1>"Fijo (articulado),Rodillo Y (despl. X libre),Rodillo X (despl. Y libre),Libre (0 reac.)"</formula1>
    </dataValidation>
  </dataValidations>
  <pageMargins left="0.75" right="0.75" top="1" bottom="1" header="0.5" footer="0.5"/>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618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GRAFICA_41!E28</f>
        <v>0</v>
      </c>
      <c r="D6" s="22">
        <f>GRAFICA_41!F28</f>
        <v>0</v>
      </c>
      <c r="E6" s="22">
        <f>GRAFICA_41!G28</f>
        <v>400</v>
      </c>
      <c r="F6" s="22">
        <f>GRAFICA_41!H28</f>
        <v>0</v>
      </c>
      <c r="G6" s="9">
        <f t="shared" ref="G6:H11" si="0">E6-C6</f>
        <v>400</v>
      </c>
      <c r="H6" s="9">
        <f t="shared" si="0"/>
        <v>0</v>
      </c>
      <c r="I6" s="9">
        <f t="shared" ref="I6:I11" si="1">SQRT(G6*G6+H6*H6)</f>
        <v>400</v>
      </c>
      <c r="J6" s="92">
        <f t="shared" ref="J6:J11" si="2">G6/I6</f>
        <v>1</v>
      </c>
      <c r="K6" s="92">
        <f t="shared" ref="K6:K11" si="3">H6/I6</f>
        <v>0</v>
      </c>
      <c r="L6" s="22">
        <f>GRAFICA_41!N28</f>
        <v>12</v>
      </c>
      <c r="M6" s="22">
        <f>GRAFICA_41!O28</f>
        <v>2100000</v>
      </c>
      <c r="N6" s="6">
        <f t="shared" ref="N6:N11" si="4">L6*M6/I6</f>
        <v>63000</v>
      </c>
    </row>
    <row r="7" spans="2:14" ht="19.05" customHeight="1" x14ac:dyDescent="0.3">
      <c r="B7" s="25">
        <v>2</v>
      </c>
      <c r="C7" s="22">
        <f>GRAFICA_41!E29</f>
        <v>400</v>
      </c>
      <c r="D7" s="22">
        <f>GRAFICA_41!F29</f>
        <v>0</v>
      </c>
      <c r="E7" s="22">
        <f>GRAFICA_41!G29</f>
        <v>400</v>
      </c>
      <c r="F7" s="22">
        <f>GRAFICA_41!H29</f>
        <v>300</v>
      </c>
      <c r="G7" s="9">
        <f t="shared" si="0"/>
        <v>0</v>
      </c>
      <c r="H7" s="9">
        <f t="shared" si="0"/>
        <v>300</v>
      </c>
      <c r="I7" s="9">
        <f t="shared" si="1"/>
        <v>300</v>
      </c>
      <c r="J7" s="92">
        <f t="shared" si="2"/>
        <v>0</v>
      </c>
      <c r="K7" s="92">
        <f t="shared" si="3"/>
        <v>1</v>
      </c>
      <c r="L7" s="22">
        <f>GRAFICA_41!N29</f>
        <v>12</v>
      </c>
      <c r="M7" s="22">
        <f>GRAFICA_41!O29</f>
        <v>2100000</v>
      </c>
      <c r="N7" s="6">
        <f t="shared" si="4"/>
        <v>84000</v>
      </c>
    </row>
    <row r="8" spans="2:14" ht="19.05" customHeight="1" x14ac:dyDescent="0.3">
      <c r="B8" s="26">
        <v>3</v>
      </c>
      <c r="C8" s="22">
        <f>GRAFICA_41!E30</f>
        <v>400</v>
      </c>
      <c r="D8" s="22">
        <f>GRAFICA_41!F30</f>
        <v>300</v>
      </c>
      <c r="E8" s="22">
        <f>GRAFICA_41!G30</f>
        <v>0</v>
      </c>
      <c r="F8" s="22">
        <f>GRAFICA_41!H30</f>
        <v>300</v>
      </c>
      <c r="G8" s="9">
        <f t="shared" si="0"/>
        <v>-400</v>
      </c>
      <c r="H8" s="9">
        <f t="shared" si="0"/>
        <v>0</v>
      </c>
      <c r="I8" s="9">
        <f t="shared" si="1"/>
        <v>400</v>
      </c>
      <c r="J8" s="92">
        <f t="shared" si="2"/>
        <v>-1</v>
      </c>
      <c r="K8" s="92">
        <f t="shared" si="3"/>
        <v>0</v>
      </c>
      <c r="L8" s="22">
        <f>GRAFICA_41!N30</f>
        <v>12</v>
      </c>
      <c r="M8" s="22">
        <f>GRAFICA_41!O30</f>
        <v>2100000</v>
      </c>
      <c r="N8" s="6">
        <f t="shared" si="4"/>
        <v>63000</v>
      </c>
    </row>
    <row r="9" spans="2:14" ht="19.05" customHeight="1" x14ac:dyDescent="0.3">
      <c r="B9" s="43">
        <v>4</v>
      </c>
      <c r="C9" s="22">
        <f>GRAFICA_41!E31</f>
        <v>0</v>
      </c>
      <c r="D9" s="22">
        <f>GRAFICA_41!F31</f>
        <v>300</v>
      </c>
      <c r="E9" s="22">
        <f>GRAFICA_41!G31</f>
        <v>0</v>
      </c>
      <c r="F9" s="22">
        <f>GRAFICA_41!H31</f>
        <v>0</v>
      </c>
      <c r="G9" s="9">
        <f t="shared" si="0"/>
        <v>0</v>
      </c>
      <c r="H9" s="9">
        <f t="shared" si="0"/>
        <v>-300</v>
      </c>
      <c r="I9" s="9">
        <f t="shared" si="1"/>
        <v>300</v>
      </c>
      <c r="J9" s="92">
        <f t="shared" si="2"/>
        <v>0</v>
      </c>
      <c r="K9" s="92">
        <f t="shared" si="3"/>
        <v>-1</v>
      </c>
      <c r="L9" s="22">
        <f>GRAFICA_41!N31</f>
        <v>12</v>
      </c>
      <c r="M9" s="22">
        <f>GRAFICA_41!O31</f>
        <v>2100000</v>
      </c>
      <c r="N9" s="6">
        <f t="shared" si="4"/>
        <v>84000</v>
      </c>
    </row>
    <row r="10" spans="2:14" ht="19.05" customHeight="1" x14ac:dyDescent="0.3">
      <c r="B10" s="44">
        <v>5</v>
      </c>
      <c r="C10" s="22">
        <f>GRAFICA_41!E32</f>
        <v>0</v>
      </c>
      <c r="D10" s="22">
        <f>GRAFICA_41!F32</f>
        <v>0</v>
      </c>
      <c r="E10" s="22">
        <f>GRAFICA_41!G32</f>
        <v>400</v>
      </c>
      <c r="F10" s="22">
        <f>GRAFICA_41!H32</f>
        <v>300</v>
      </c>
      <c r="G10" s="9">
        <f t="shared" si="0"/>
        <v>400</v>
      </c>
      <c r="H10" s="9">
        <f t="shared" si="0"/>
        <v>300</v>
      </c>
      <c r="I10" s="9">
        <f t="shared" si="1"/>
        <v>500</v>
      </c>
      <c r="J10" s="92">
        <f t="shared" si="2"/>
        <v>0.8</v>
      </c>
      <c r="K10" s="92">
        <f t="shared" si="3"/>
        <v>0.6</v>
      </c>
      <c r="L10" s="22">
        <f>GRAFICA_41!N32</f>
        <v>12</v>
      </c>
      <c r="M10" s="22">
        <f>GRAFICA_41!O32</f>
        <v>2100000</v>
      </c>
      <c r="N10" s="6">
        <f t="shared" si="4"/>
        <v>50400</v>
      </c>
    </row>
    <row r="11" spans="2:14" ht="19.05" customHeight="1" x14ac:dyDescent="0.3">
      <c r="B11" s="51">
        <v>6</v>
      </c>
      <c r="C11" s="22">
        <f>GRAFICA_41!E33</f>
        <v>400</v>
      </c>
      <c r="D11" s="22">
        <f>GRAFICA_41!F33</f>
        <v>0</v>
      </c>
      <c r="E11" s="22">
        <f>GRAFICA_41!G33</f>
        <v>0</v>
      </c>
      <c r="F11" s="22">
        <f>GRAFICA_41!H33</f>
        <v>300</v>
      </c>
      <c r="G11" s="9">
        <f t="shared" si="0"/>
        <v>-400</v>
      </c>
      <c r="H11" s="9">
        <f t="shared" si="0"/>
        <v>300</v>
      </c>
      <c r="I11" s="9">
        <f t="shared" si="1"/>
        <v>500</v>
      </c>
      <c r="J11" s="92">
        <f t="shared" si="2"/>
        <v>-0.8</v>
      </c>
      <c r="K11" s="92">
        <f t="shared" si="3"/>
        <v>0.6</v>
      </c>
      <c r="L11" s="22">
        <f>GRAFICA_41!N33</f>
        <v>12</v>
      </c>
      <c r="M11" s="22">
        <f>GRAFICA_41!O33</f>
        <v>2100000</v>
      </c>
      <c r="N11" s="6">
        <f t="shared" si="4"/>
        <v>50400</v>
      </c>
    </row>
    <row r="13" spans="2:14" ht="18" customHeight="1" x14ac:dyDescent="0.3">
      <c r="B13" s="202" t="s">
        <v>145</v>
      </c>
      <c r="C13" s="202" t="s">
        <v>369</v>
      </c>
      <c r="D13" s="173"/>
      <c r="E13" s="202" t="s">
        <v>370</v>
      </c>
      <c r="F13" s="173"/>
    </row>
    <row r="14" spans="2:14" ht="18" customHeight="1" x14ac:dyDescent="0.3">
      <c r="B14" s="203"/>
      <c r="C14" s="81" t="s">
        <v>157</v>
      </c>
      <c r="D14" s="81" t="s">
        <v>158</v>
      </c>
      <c r="E14" s="81" t="s">
        <v>157</v>
      </c>
      <c r="F14" s="81" t="s">
        <v>158</v>
      </c>
    </row>
    <row r="15" spans="2:14" ht="19.05" customHeight="1" x14ac:dyDescent="0.3">
      <c r="B15" s="85">
        <v>1</v>
      </c>
      <c r="C15" s="23">
        <f>GRAFICA_41!C28</f>
        <v>1</v>
      </c>
      <c r="D15" s="23">
        <f>GRAFICA_41!C28</f>
        <v>1</v>
      </c>
      <c r="E15" s="23">
        <f>GRAFICA_41!D28</f>
        <v>2</v>
      </c>
      <c r="F15" s="23">
        <f>GRAFICA_41!D28</f>
        <v>2</v>
      </c>
    </row>
    <row r="16" spans="2:14" ht="19.05" customHeight="1" x14ac:dyDescent="0.3">
      <c r="B16" s="25">
        <v>2</v>
      </c>
      <c r="C16" s="23">
        <f>GRAFICA_41!C29</f>
        <v>2</v>
      </c>
      <c r="D16" s="23">
        <f>GRAFICA_41!C29</f>
        <v>2</v>
      </c>
      <c r="E16" s="23">
        <f>GRAFICA_41!D29</f>
        <v>3</v>
      </c>
      <c r="F16" s="23">
        <f>GRAFICA_41!D29</f>
        <v>3</v>
      </c>
    </row>
    <row r="17" spans="1:10" ht="19.05" customHeight="1" x14ac:dyDescent="0.3">
      <c r="B17" s="26">
        <v>3</v>
      </c>
      <c r="C17" s="23">
        <f>GRAFICA_41!C30</f>
        <v>3</v>
      </c>
      <c r="D17" s="23">
        <f>GRAFICA_41!C30</f>
        <v>3</v>
      </c>
      <c r="E17" s="23">
        <f>GRAFICA_41!D30</f>
        <v>4</v>
      </c>
      <c r="F17" s="23">
        <f>GRAFICA_41!D30</f>
        <v>4</v>
      </c>
    </row>
    <row r="18" spans="1:10" ht="19.05" customHeight="1" x14ac:dyDescent="0.3">
      <c r="B18" s="43">
        <v>4</v>
      </c>
      <c r="C18" s="23">
        <f>GRAFICA_41!C31</f>
        <v>4</v>
      </c>
      <c r="D18" s="23">
        <f>GRAFICA_41!C31</f>
        <v>4</v>
      </c>
      <c r="E18" s="23">
        <f>GRAFICA_41!D31</f>
        <v>1</v>
      </c>
      <c r="F18" s="23">
        <f>GRAFICA_41!D31</f>
        <v>1</v>
      </c>
    </row>
    <row r="19" spans="1:10" ht="19.05" customHeight="1" x14ac:dyDescent="0.3">
      <c r="B19" s="44">
        <v>5</v>
      </c>
      <c r="C19" s="23">
        <f>GRAFICA_41!C32</f>
        <v>1</v>
      </c>
      <c r="D19" s="23">
        <f>GRAFICA_41!C32</f>
        <v>1</v>
      </c>
      <c r="E19" s="23">
        <f>GRAFICA_41!D32</f>
        <v>3</v>
      </c>
      <c r="F19" s="23">
        <f>GRAFICA_41!D32</f>
        <v>3</v>
      </c>
    </row>
    <row r="20" spans="1:10" ht="19.05" customHeight="1" x14ac:dyDescent="0.3">
      <c r="B20" s="51">
        <v>6</v>
      </c>
      <c r="C20" s="23">
        <f>GRAFICA_41!C33</f>
        <v>2</v>
      </c>
      <c r="D20" s="23">
        <f>GRAFICA_41!C33</f>
        <v>2</v>
      </c>
      <c r="E20" s="23">
        <f>GRAFICA_41!D33</f>
        <v>4</v>
      </c>
      <c r="F20" s="23">
        <f>GRAFICA_41!D33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216" t="s">
        <v>207</v>
      </c>
      <c r="M136" s="172"/>
      <c r="N136" s="172"/>
      <c r="O136" s="172"/>
      <c r="P136" s="172"/>
      <c r="Q136" s="173"/>
    </row>
    <row r="137" spans="1:17" ht="16.95" customHeight="1" x14ac:dyDescent="0.3">
      <c r="B137" s="12" t="s">
        <v>208</v>
      </c>
      <c r="C137" s="12" t="s">
        <v>178</v>
      </c>
      <c r="E137" s="37" t="str">
        <f>IF(GRAFICA_41!F14=1, B137, GRAFICA_41!H14)</f>
        <v>C1X</v>
      </c>
      <c r="L137" s="215" t="s">
        <v>376</v>
      </c>
      <c r="M137" s="172"/>
      <c r="N137" s="172"/>
      <c r="O137" s="172"/>
      <c r="P137" s="172"/>
      <c r="Q137" s="173"/>
    </row>
    <row r="138" spans="1:17" ht="16.95" customHeight="1" x14ac:dyDescent="0.3">
      <c r="B138" s="12" t="s">
        <v>210</v>
      </c>
      <c r="C138" s="12" t="s">
        <v>179</v>
      </c>
      <c r="E138" s="37" t="str">
        <f>IF(GRAFICA_41!G14=1, B138, GRAFICA_41!I14)</f>
        <v>C1Y</v>
      </c>
      <c r="L138" s="215" t="s">
        <v>211</v>
      </c>
      <c r="M138" s="172"/>
      <c r="N138" s="172"/>
      <c r="O138" s="172"/>
      <c r="P138" s="172"/>
      <c r="Q138" s="173"/>
    </row>
    <row r="139" spans="1:17" ht="16.95" customHeight="1" x14ac:dyDescent="0.3">
      <c r="B139" s="12" t="s">
        <v>212</v>
      </c>
      <c r="C139" s="12" t="s">
        <v>180</v>
      </c>
      <c r="E139" s="37">
        <f>IF(GRAFICA_41!F15=1, B139, GRAFICA_41!H15)</f>
        <v>0</v>
      </c>
      <c r="L139" s="215" t="s">
        <v>377</v>
      </c>
      <c r="M139" s="172"/>
      <c r="N139" s="172"/>
      <c r="O139" s="172"/>
      <c r="P139" s="172"/>
      <c r="Q139" s="173"/>
    </row>
    <row r="140" spans="1:17" ht="16.95" customHeight="1" x14ac:dyDescent="0.3">
      <c r="A140" s="38" t="s">
        <v>218</v>
      </c>
      <c r="B140" s="12" t="s">
        <v>214</v>
      </c>
      <c r="C140" s="12" t="s">
        <v>181</v>
      </c>
      <c r="D140" s="13" t="s">
        <v>220</v>
      </c>
      <c r="E140" s="37" t="str">
        <f>IF(GRAFICA_41!G15=1, B140, GRAFICA_41!I15)</f>
        <v>C2Y</v>
      </c>
      <c r="L140" s="215" t="s">
        <v>215</v>
      </c>
      <c r="M140" s="172"/>
      <c r="N140" s="172"/>
      <c r="O140" s="172"/>
      <c r="P140" s="172"/>
      <c r="Q140" s="173"/>
    </row>
    <row r="141" spans="1:17" ht="16.95" customHeight="1" x14ac:dyDescent="0.3">
      <c r="B141" s="12" t="s">
        <v>216</v>
      </c>
      <c r="C141" s="12" t="s">
        <v>182</v>
      </c>
      <c r="E141" s="37">
        <f>IF(GRAFICA_41!F16=1, B141, GRAFICA_41!H16)</f>
        <v>3500</v>
      </c>
      <c r="L141" s="215" t="s">
        <v>378</v>
      </c>
      <c r="M141" s="172"/>
      <c r="N141" s="172"/>
      <c r="O141" s="172"/>
      <c r="P141" s="172"/>
      <c r="Q141" s="173"/>
    </row>
    <row r="142" spans="1:17" ht="16.95" customHeight="1" x14ac:dyDescent="0.3">
      <c r="B142" s="12" t="s">
        <v>219</v>
      </c>
      <c r="C142" s="12" t="s">
        <v>183</v>
      </c>
      <c r="E142" s="37">
        <f>IF(GRAFICA_41!G16=1, B142, GRAFICA_41!I16)</f>
        <v>-6000</v>
      </c>
      <c r="L142" s="215" t="s">
        <v>379</v>
      </c>
      <c r="M142" s="172"/>
      <c r="N142" s="172"/>
      <c r="O142" s="172"/>
      <c r="P142" s="172"/>
      <c r="Q142" s="173"/>
    </row>
    <row r="143" spans="1:17" ht="16.95" customHeight="1" x14ac:dyDescent="0.3">
      <c r="B143" s="12" t="s">
        <v>221</v>
      </c>
      <c r="C143" s="12" t="s">
        <v>184</v>
      </c>
      <c r="E143" s="37">
        <f>IF(GRAFICA_41!F17=1, B143, GRAFICA_41!H17)</f>
        <v>0</v>
      </c>
      <c r="L143" s="215"/>
      <c r="M143" s="172"/>
      <c r="N143" s="172"/>
      <c r="O143" s="172"/>
      <c r="P143" s="172"/>
      <c r="Q143" s="173"/>
    </row>
    <row r="144" spans="1:17" ht="16.95" customHeight="1" x14ac:dyDescent="0.3">
      <c r="B144" s="12" t="s">
        <v>222</v>
      </c>
      <c r="C144" s="12" t="s">
        <v>185</v>
      </c>
      <c r="E144" s="37">
        <f>IF(GRAFICA_41!G17=1, B144, GRAFICA_41!I17)</f>
        <v>0</v>
      </c>
      <c r="L144" s="215"/>
      <c r="M144" s="172"/>
      <c r="N144" s="172"/>
      <c r="O144" s="172"/>
      <c r="P144" s="172"/>
      <c r="Q144" s="173"/>
    </row>
    <row r="145" spans="1:17" ht="16.95" customHeight="1" x14ac:dyDescent="0.3">
      <c r="L145" s="215"/>
      <c r="M145" s="172"/>
      <c r="N145" s="172"/>
      <c r="O145" s="172"/>
      <c r="P145" s="172"/>
      <c r="Q145" s="173"/>
    </row>
    <row r="146" spans="1:17" ht="16.95" customHeight="1" x14ac:dyDescent="0.35">
      <c r="A146" s="11" t="s">
        <v>227</v>
      </c>
      <c r="L146" s="215"/>
      <c r="M146" s="172"/>
      <c r="N146" s="172"/>
      <c r="O146" s="172"/>
      <c r="P146" s="172"/>
      <c r="Q146" s="173"/>
    </row>
    <row r="147" spans="1:17" ht="16.95" customHeight="1" x14ac:dyDescent="0.3">
      <c r="B147" s="12" t="s">
        <v>228</v>
      </c>
      <c r="C147" s="12" t="s">
        <v>178</v>
      </c>
      <c r="E147" s="39">
        <f>IF(GRAFICA_41!F14=1, 0, B147)</f>
        <v>0</v>
      </c>
      <c r="F147" s="14" t="str">
        <f>IF(E147&lt;&gt;0, COUNTIF(E$147:E147, "&lt;&gt;0"), "")</f>
        <v/>
      </c>
      <c r="G147" s="14">
        <f>IF(E147=0, COUNTIF(E$147:E147, 0), "")</f>
        <v>1</v>
      </c>
      <c r="L147" s="215"/>
      <c r="M147" s="172"/>
      <c r="N147" s="172"/>
      <c r="O147" s="172"/>
      <c r="P147" s="172"/>
      <c r="Q147" s="173"/>
    </row>
    <row r="148" spans="1:17" ht="16.95" customHeight="1" x14ac:dyDescent="0.3">
      <c r="B148" s="12" t="s">
        <v>229</v>
      </c>
      <c r="C148" s="12" t="s">
        <v>179</v>
      </c>
      <c r="E148" s="39">
        <f>IF(GRAFICA_41!G14=1, 0, B148)</f>
        <v>0</v>
      </c>
      <c r="F148" s="14" t="str">
        <f>IF(E148&lt;&gt;0, COUNTIF(E$147:E148, "&lt;&gt;0"), "")</f>
        <v/>
      </c>
      <c r="G148" s="14">
        <f>IF(E148=0, COUNTIF(E$147:E148, 0), "")</f>
        <v>2</v>
      </c>
      <c r="L148" s="215"/>
      <c r="M148" s="172"/>
      <c r="N148" s="172"/>
      <c r="O148" s="172"/>
      <c r="P148" s="172"/>
      <c r="Q148" s="173"/>
    </row>
    <row r="149" spans="1:17" ht="16.95" customHeight="1" x14ac:dyDescent="0.3">
      <c r="B149" s="12" t="s">
        <v>230</v>
      </c>
      <c r="C149" s="12" t="s">
        <v>180</v>
      </c>
      <c r="E149" s="39" t="str">
        <f>IF(GRAFICA_41!F15=1, 0, B149)</f>
        <v>D2X</v>
      </c>
      <c r="F149" s="14">
        <f>IF(E149&lt;&gt;0, COUNTIF(E$147:E149, "&lt;&gt;0"), "")</f>
        <v>1</v>
      </c>
      <c r="G149" s="14" t="str">
        <f>IF(E149=0, COUNTIF(E$147:E149, 0), "")</f>
        <v/>
      </c>
      <c r="L149" s="215"/>
      <c r="M149" s="172"/>
      <c r="N149" s="172"/>
      <c r="O149" s="172"/>
      <c r="P149" s="172"/>
      <c r="Q149" s="173"/>
    </row>
    <row r="150" spans="1:17" ht="16.95" customHeight="1" x14ac:dyDescent="0.3">
      <c r="A150" s="38" t="s">
        <v>233</v>
      </c>
      <c r="B150" s="12" t="s">
        <v>231</v>
      </c>
      <c r="C150" s="12" t="s">
        <v>181</v>
      </c>
      <c r="D150" s="13" t="s">
        <v>220</v>
      </c>
      <c r="E150" s="39">
        <f>IF(GRAFICA_41!G15=1, 0, B150)</f>
        <v>0</v>
      </c>
      <c r="F150" s="14" t="str">
        <f>IF(E150&lt;&gt;0, COUNTIF(E$147:E150, "&lt;&gt;0"), "")</f>
        <v/>
      </c>
      <c r="G150" s="14">
        <f>IF(E150=0, COUNTIF(E$147:E150, 0), "")</f>
        <v>3</v>
      </c>
      <c r="L150" s="215"/>
      <c r="M150" s="172"/>
      <c r="N150" s="172"/>
      <c r="O150" s="172"/>
      <c r="P150" s="172"/>
      <c r="Q150" s="173"/>
    </row>
    <row r="151" spans="1:17" ht="16.95" customHeight="1" x14ac:dyDescent="0.3">
      <c r="B151" s="12" t="s">
        <v>232</v>
      </c>
      <c r="C151" s="12" t="s">
        <v>182</v>
      </c>
      <c r="E151" s="39" t="str">
        <f>IF(GRAFICA_41!F16=1, 0, B151)</f>
        <v>D3X</v>
      </c>
      <c r="F151" s="14">
        <f>IF(E151&lt;&gt;0, COUNTIF(E$147:E151, "&lt;&gt;0"), "")</f>
        <v>2</v>
      </c>
      <c r="G151" s="14" t="str">
        <f>IF(E151=0, COUNTIF(E$147:E151, 0), "")</f>
        <v/>
      </c>
      <c r="L151" s="215"/>
      <c r="M151" s="172"/>
      <c r="N151" s="172"/>
      <c r="O151" s="172"/>
      <c r="P151" s="172"/>
      <c r="Q151" s="173"/>
    </row>
    <row r="152" spans="1:17" ht="16.95" customHeight="1" x14ac:dyDescent="0.3">
      <c r="B152" s="12" t="s">
        <v>234</v>
      </c>
      <c r="C152" s="12" t="s">
        <v>183</v>
      </c>
      <c r="E152" s="39" t="str">
        <f>IF(GRAFICA_41!G16=1, 0, B152)</f>
        <v>D3Y</v>
      </c>
      <c r="F152" s="14">
        <f>IF(E152&lt;&gt;0, COUNTIF(E$147:E152, "&lt;&gt;0"), "")</f>
        <v>3</v>
      </c>
      <c r="G152" s="14" t="str">
        <f>IF(E152=0, COUNTIF(E$147:E152, 0), "")</f>
        <v/>
      </c>
      <c r="L152" s="215"/>
      <c r="M152" s="172"/>
      <c r="N152" s="172"/>
      <c r="O152" s="172"/>
      <c r="P152" s="172"/>
      <c r="Q152" s="173"/>
    </row>
    <row r="153" spans="1:17" ht="16.95" customHeight="1" x14ac:dyDescent="0.3">
      <c r="B153" s="12" t="s">
        <v>235</v>
      </c>
      <c r="C153" s="12" t="s">
        <v>184</v>
      </c>
      <c r="E153" s="39" t="str">
        <f>IF(GRAFICA_41!F17=1, 0, B153)</f>
        <v>D4X</v>
      </c>
      <c r="F153" s="14">
        <f>IF(E153&lt;&gt;0, COUNTIF(E$147:E153, "&lt;&gt;0"), "")</f>
        <v>4</v>
      </c>
      <c r="G153" s="14" t="str">
        <f>IF(E153=0, COUNTIF(E$147:E153, 0), "")</f>
        <v/>
      </c>
      <c r="L153" s="215"/>
      <c r="M153" s="172"/>
      <c r="N153" s="172"/>
      <c r="O153" s="172"/>
      <c r="P153" s="172"/>
      <c r="Q153" s="173"/>
    </row>
    <row r="154" spans="1:17" ht="16.95" customHeight="1" x14ac:dyDescent="0.3">
      <c r="B154" s="12" t="s">
        <v>236</v>
      </c>
      <c r="C154" s="12" t="s">
        <v>185</v>
      </c>
      <c r="E154" s="39" t="str">
        <f>IF(GRAFICA_41!G17=1, 0, B154)</f>
        <v>D4Y</v>
      </c>
      <c r="F154" s="14">
        <f>IF(E154&lt;&gt;0, COUNTIF(E$147:E154, "&lt;&gt;0"), "")</f>
        <v>5</v>
      </c>
      <c r="G154" s="14" t="str">
        <f>IF(E154=0, COUNTIF(E$147:E154, 0), "")</f>
        <v/>
      </c>
      <c r="L154" s="215"/>
      <c r="M154" s="172"/>
      <c r="N154" s="172"/>
      <c r="O154" s="172"/>
      <c r="P154" s="172"/>
      <c r="Q154" s="173"/>
    </row>
    <row r="156" spans="1:17" ht="19.95" customHeight="1" x14ac:dyDescent="0.35">
      <c r="A156" s="15" t="s">
        <v>241</v>
      </c>
      <c r="C156" s="218" t="s">
        <v>242</v>
      </c>
      <c r="D156" s="173"/>
      <c r="E156" s="40" t="s">
        <v>243</v>
      </c>
      <c r="L156" s="216" t="s">
        <v>244</v>
      </c>
      <c r="M156" s="172"/>
      <c r="N156" s="172"/>
      <c r="O156" s="172"/>
      <c r="P156" s="172"/>
      <c r="Q156" s="173"/>
    </row>
    <row r="157" spans="1:17" ht="16.95" customHeight="1" x14ac:dyDescent="0.3">
      <c r="E157" s="40" t="s">
        <v>245</v>
      </c>
      <c r="L157" s="215" t="s">
        <v>246</v>
      </c>
      <c r="M157" s="172"/>
      <c r="N157" s="172"/>
      <c r="O157" s="172"/>
      <c r="P157" s="172"/>
      <c r="Q157" s="173"/>
    </row>
    <row r="158" spans="1:17" ht="16.95" customHeight="1" x14ac:dyDescent="0.3">
      <c r="A158" s="99" t="s">
        <v>247</v>
      </c>
      <c r="C158" s="99" t="s">
        <v>248</v>
      </c>
      <c r="L158" s="215" t="s">
        <v>250</v>
      </c>
      <c r="M158" s="172"/>
      <c r="N158" s="172"/>
      <c r="O158" s="172"/>
      <c r="P158" s="172"/>
      <c r="Q158" s="173"/>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219" t="s">
        <v>380</v>
      </c>
      <c r="M159" s="172"/>
      <c r="N159" s="172"/>
      <c r="O159" s="172"/>
      <c r="P159" s="172"/>
      <c r="Q159" s="173"/>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219" t="s">
        <v>253</v>
      </c>
      <c r="M160" s="172"/>
      <c r="N160" s="172"/>
      <c r="O160" s="172"/>
      <c r="P160" s="172"/>
      <c r="Q160" s="173"/>
    </row>
    <row r="161" spans="1:17" ht="16.95" customHeight="1" x14ac:dyDescent="0.3">
      <c r="A161" s="41">
        <f t="shared" si="12"/>
        <v>0</v>
      </c>
      <c r="C161" s="9">
        <f t="shared" si="13"/>
        <v>-63000</v>
      </c>
      <c r="D161" s="9">
        <f t="shared" si="13"/>
        <v>0</v>
      </c>
      <c r="E161" s="41">
        <f t="shared" si="13"/>
        <v>95256</v>
      </c>
      <c r="F161" s="9">
        <f t="shared" si="13"/>
        <v>-24192</v>
      </c>
      <c r="G161" s="41">
        <f t="shared" si="13"/>
        <v>0</v>
      </c>
      <c r="H161" s="41">
        <f t="shared" si="13"/>
        <v>0</v>
      </c>
      <c r="I161" s="41">
        <f t="shared" si="13"/>
        <v>-32256.000000000007</v>
      </c>
      <c r="J161" s="41">
        <f t="shared" si="13"/>
        <v>24192</v>
      </c>
      <c r="K161" s="13" t="s">
        <v>251</v>
      </c>
      <c r="L161" s="215" t="s">
        <v>254</v>
      </c>
      <c r="M161" s="172"/>
      <c r="N161" s="172"/>
      <c r="O161" s="172"/>
      <c r="P161" s="172"/>
      <c r="Q161" s="173"/>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219" t="s">
        <v>381</v>
      </c>
      <c r="M162" s="172"/>
      <c r="N162" s="172"/>
      <c r="O162" s="172"/>
      <c r="P162" s="172"/>
      <c r="Q162" s="173"/>
    </row>
    <row r="163" spans="1:17" ht="16.95" customHeight="1" x14ac:dyDescent="0.3">
      <c r="A163" s="41">
        <f t="shared" si="12"/>
        <v>3500</v>
      </c>
      <c r="B163" s="13" t="s">
        <v>220</v>
      </c>
      <c r="C163" s="9">
        <f t="shared" si="13"/>
        <v>-32256.000000000007</v>
      </c>
      <c r="D163" s="9">
        <f t="shared" si="13"/>
        <v>-24192</v>
      </c>
      <c r="E163" s="41">
        <f t="shared" si="13"/>
        <v>0</v>
      </c>
      <c r="F163" s="9">
        <f t="shared" si="13"/>
        <v>0</v>
      </c>
      <c r="G163" s="41">
        <f t="shared" si="13"/>
        <v>95256</v>
      </c>
      <c r="H163" s="41">
        <f t="shared" si="13"/>
        <v>24192</v>
      </c>
      <c r="I163" s="41">
        <f t="shared" si="13"/>
        <v>-63000</v>
      </c>
      <c r="J163" s="41">
        <f t="shared" si="13"/>
        <v>0</v>
      </c>
      <c r="K163" s="13" t="s">
        <v>251</v>
      </c>
      <c r="L163" s="215" t="s">
        <v>382</v>
      </c>
      <c r="M163" s="172"/>
      <c r="N163" s="172"/>
      <c r="O163" s="172"/>
      <c r="P163" s="172"/>
      <c r="Q163" s="173"/>
    </row>
    <row r="164" spans="1:17" ht="16.95" customHeight="1" x14ac:dyDescent="0.3">
      <c r="A164" s="41">
        <f t="shared" si="12"/>
        <v>-6000</v>
      </c>
      <c r="C164" s="9">
        <f t="shared" si="13"/>
        <v>-24192</v>
      </c>
      <c r="D164" s="9">
        <f t="shared" si="13"/>
        <v>-18144</v>
      </c>
      <c r="E164" s="41">
        <f t="shared" si="13"/>
        <v>0</v>
      </c>
      <c r="F164" s="9">
        <f t="shared" si="13"/>
        <v>-84000</v>
      </c>
      <c r="G164" s="41">
        <f t="shared" si="13"/>
        <v>24192</v>
      </c>
      <c r="H164" s="41">
        <f t="shared" si="13"/>
        <v>102144</v>
      </c>
      <c r="I164" s="41">
        <f t="shared" si="13"/>
        <v>0</v>
      </c>
      <c r="J164" s="41">
        <f t="shared" si="13"/>
        <v>0</v>
      </c>
      <c r="K164" s="13" t="s">
        <v>251</v>
      </c>
      <c r="L164" s="215" t="str">
        <f>E152</f>
        <v>D3Y</v>
      </c>
      <c r="M164" s="172"/>
      <c r="N164" s="172"/>
      <c r="O164" s="172"/>
      <c r="P164" s="172"/>
      <c r="Q164" s="173"/>
    </row>
    <row r="165" spans="1:17" ht="16.95" customHeight="1" x14ac:dyDescent="0.3">
      <c r="A165" s="41">
        <f t="shared" si="12"/>
        <v>0</v>
      </c>
      <c r="C165" s="9">
        <f t="shared" si="13"/>
        <v>0</v>
      </c>
      <c r="D165" s="9">
        <f t="shared" si="13"/>
        <v>0</v>
      </c>
      <c r="E165" s="41">
        <f t="shared" si="13"/>
        <v>-32256.000000000007</v>
      </c>
      <c r="F165" s="9">
        <f t="shared" si="13"/>
        <v>24192</v>
      </c>
      <c r="G165" s="41">
        <f t="shared" si="13"/>
        <v>-63000</v>
      </c>
      <c r="H165" s="41">
        <f t="shared" si="13"/>
        <v>0</v>
      </c>
      <c r="I165" s="41">
        <f t="shared" si="13"/>
        <v>95256</v>
      </c>
      <c r="J165" s="41">
        <f t="shared" si="13"/>
        <v>-24192</v>
      </c>
      <c r="K165" s="13" t="s">
        <v>251</v>
      </c>
      <c r="L165" s="215" t="str">
        <f>E153</f>
        <v>D4X</v>
      </c>
      <c r="M165" s="172"/>
      <c r="N165" s="172"/>
      <c r="O165" s="172"/>
      <c r="P165" s="172"/>
      <c r="Q165" s="173"/>
    </row>
    <row r="166" spans="1:17" ht="16.95" customHeight="1" x14ac:dyDescent="0.3">
      <c r="A166" s="41">
        <f t="shared" si="12"/>
        <v>0</v>
      </c>
      <c r="C166" s="9">
        <f t="shared" si="13"/>
        <v>0</v>
      </c>
      <c r="D166" s="9">
        <f t="shared" si="13"/>
        <v>-84000</v>
      </c>
      <c r="E166" s="41">
        <f t="shared" si="13"/>
        <v>24192</v>
      </c>
      <c r="F166" s="9">
        <f t="shared" si="13"/>
        <v>-18144</v>
      </c>
      <c r="G166" s="41">
        <f t="shared" si="13"/>
        <v>0</v>
      </c>
      <c r="H166" s="41">
        <f t="shared" si="13"/>
        <v>0</v>
      </c>
      <c r="I166" s="41">
        <f t="shared" si="13"/>
        <v>-24192</v>
      </c>
      <c r="J166" s="41">
        <f t="shared" si="13"/>
        <v>102144</v>
      </c>
      <c r="K166" s="13" t="s">
        <v>251</v>
      </c>
      <c r="L166" s="215" t="str">
        <f>E154</f>
        <v>D4Y</v>
      </c>
      <c r="M166" s="172"/>
      <c r="N166" s="172"/>
      <c r="O166" s="172"/>
      <c r="P166" s="172"/>
      <c r="Q166" s="173"/>
    </row>
    <row r="169" spans="1:17" ht="19.95" customHeight="1" x14ac:dyDescent="0.35">
      <c r="A169" s="15" t="s">
        <v>257</v>
      </c>
      <c r="L169" s="216" t="s">
        <v>258</v>
      </c>
      <c r="M169" s="172"/>
      <c r="N169" s="172"/>
      <c r="O169" s="172"/>
      <c r="P169" s="172"/>
      <c r="Q169" s="173"/>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215" t="s">
        <v>383</v>
      </c>
      <c r="M170" s="172"/>
      <c r="N170" s="172"/>
      <c r="O170" s="172"/>
      <c r="P170" s="172"/>
      <c r="Q170" s="173"/>
    </row>
    <row r="171" spans="1:17" ht="16.95" customHeight="1" x14ac:dyDescent="0.3">
      <c r="A171" s="41">
        <f>INDEX(E$137:E$144, MATCH(J171, C$137:C$144, 0))</f>
        <v>0</v>
      </c>
      <c r="C171" s="41">
        <f t="shared" ref="C171:G175" si="14">INDEX($B$126:$I$133, MATCH($J171, $J$126:$J$133, 0), MATCH(C$170, $B$125:$I$125, 0))</f>
        <v>95256</v>
      </c>
      <c r="D171" s="41">
        <f t="shared" si="14"/>
        <v>0</v>
      </c>
      <c r="E171" s="41">
        <f t="shared" si="14"/>
        <v>0</v>
      </c>
      <c r="F171" s="41">
        <f t="shared" si="14"/>
        <v>-32256.000000000007</v>
      </c>
      <c r="G171" s="41">
        <f t="shared" si="14"/>
        <v>24192</v>
      </c>
      <c r="H171" s="13" t="s">
        <v>251</v>
      </c>
      <c r="I171" s="38" t="str">
        <f>INDEX(B$147:B$154, MATCH(1, F$147:F$154, 0))</f>
        <v>D2X</v>
      </c>
      <c r="J171" s="14" t="str">
        <f>INDEX(C$147:C$154, MATCH(1, F$147:F$154, 0))</f>
        <v>U2X</v>
      </c>
      <c r="L171" s="215" t="s">
        <v>384</v>
      </c>
      <c r="M171" s="172"/>
      <c r="N171" s="172"/>
      <c r="O171" s="172"/>
      <c r="P171" s="172"/>
      <c r="Q171" s="173"/>
    </row>
    <row r="172" spans="1:17" ht="16.95" customHeight="1" x14ac:dyDescent="0.3">
      <c r="A172" s="41">
        <f>INDEX(E$137:E$144, MATCH(J172, C$137:C$144, 0))</f>
        <v>3500</v>
      </c>
      <c r="C172" s="41">
        <f t="shared" si="14"/>
        <v>0</v>
      </c>
      <c r="D172" s="41">
        <f t="shared" si="14"/>
        <v>95256</v>
      </c>
      <c r="E172" s="41">
        <f t="shared" si="14"/>
        <v>24192</v>
      </c>
      <c r="F172" s="41">
        <f t="shared" si="14"/>
        <v>-63000</v>
      </c>
      <c r="G172" s="41">
        <f t="shared" si="14"/>
        <v>0</v>
      </c>
      <c r="H172" s="13" t="s">
        <v>251</v>
      </c>
      <c r="I172" s="38" t="str">
        <f>INDEX(B$147:B$154, MATCH(2, F$147:F$154, 0))</f>
        <v>D3X</v>
      </c>
      <c r="J172" s="14" t="str">
        <f>INDEX(C$147:C$154, MATCH(2, F$147:F$154, 0))</f>
        <v>U3X</v>
      </c>
      <c r="L172" s="215" t="s">
        <v>385</v>
      </c>
      <c r="M172" s="172"/>
      <c r="N172" s="172"/>
      <c r="O172" s="172"/>
      <c r="P172" s="172"/>
      <c r="Q172" s="173"/>
    </row>
    <row r="173" spans="1:17" ht="16.95" customHeight="1" x14ac:dyDescent="0.3">
      <c r="A173" s="41">
        <f>INDEX(E$137:E$144, MATCH(J173, C$137:C$144, 0))</f>
        <v>-6000</v>
      </c>
      <c r="B173" s="13" t="s">
        <v>220</v>
      </c>
      <c r="C173" s="41">
        <f t="shared" si="14"/>
        <v>0</v>
      </c>
      <c r="D173" s="41">
        <f t="shared" si="14"/>
        <v>24192</v>
      </c>
      <c r="E173" s="41">
        <f t="shared" si="14"/>
        <v>102144</v>
      </c>
      <c r="F173" s="41">
        <f t="shared" si="14"/>
        <v>0</v>
      </c>
      <c r="G173" s="41">
        <f t="shared" si="14"/>
        <v>0</v>
      </c>
      <c r="H173" s="13" t="s">
        <v>251</v>
      </c>
      <c r="I173" s="38" t="str">
        <f>INDEX(B$147:B$154, MATCH(3, F$147:F$154, 0))</f>
        <v>D3Y</v>
      </c>
      <c r="J173" s="14" t="str">
        <f>INDEX(C$147:C$154, MATCH(3, F$147:F$154, 0))</f>
        <v>U3Y</v>
      </c>
      <c r="L173" s="215" t="s">
        <v>386</v>
      </c>
      <c r="M173" s="172"/>
      <c r="N173" s="172"/>
      <c r="O173" s="172"/>
      <c r="P173" s="172"/>
      <c r="Q173" s="173"/>
    </row>
    <row r="174" spans="1:17" ht="16.95" customHeight="1" x14ac:dyDescent="0.3">
      <c r="A174" s="41">
        <f>INDEX(E$137:E$144, MATCH(J174, C$137:C$144, 0))</f>
        <v>0</v>
      </c>
      <c r="C174" s="41">
        <f t="shared" si="14"/>
        <v>-32256.000000000007</v>
      </c>
      <c r="D174" s="41">
        <f t="shared" si="14"/>
        <v>-63000</v>
      </c>
      <c r="E174" s="41">
        <f t="shared" si="14"/>
        <v>0</v>
      </c>
      <c r="F174" s="41">
        <f t="shared" si="14"/>
        <v>95256</v>
      </c>
      <c r="G174" s="41">
        <f t="shared" si="14"/>
        <v>-24192</v>
      </c>
      <c r="H174" s="13" t="s">
        <v>251</v>
      </c>
      <c r="I174" s="38" t="str">
        <f>INDEX(B$147:B$154, MATCH(4, F$147:F$154, 0))</f>
        <v>D4X</v>
      </c>
      <c r="J174" s="14" t="str">
        <f>INDEX(C$147:C$154, MATCH(4, F$147:F$154, 0))</f>
        <v>U4X</v>
      </c>
      <c r="L174" s="215" t="s">
        <v>387</v>
      </c>
      <c r="M174" s="172"/>
      <c r="N174" s="172"/>
      <c r="O174" s="172"/>
      <c r="P174" s="172"/>
      <c r="Q174" s="173"/>
    </row>
    <row r="175" spans="1:17" ht="16.95" customHeight="1" x14ac:dyDescent="0.3">
      <c r="A175" s="41">
        <f>INDEX(E$137:E$144, MATCH(J175, C$137:C$144, 0))</f>
        <v>0</v>
      </c>
      <c r="C175" s="41">
        <f t="shared" si="14"/>
        <v>24192</v>
      </c>
      <c r="D175" s="41">
        <f t="shared" si="14"/>
        <v>0</v>
      </c>
      <c r="E175" s="41">
        <f t="shared" si="14"/>
        <v>0</v>
      </c>
      <c r="F175" s="41">
        <f t="shared" si="14"/>
        <v>-24192</v>
      </c>
      <c r="G175" s="41">
        <f t="shared" si="14"/>
        <v>102144</v>
      </c>
      <c r="H175" s="13" t="s">
        <v>251</v>
      </c>
      <c r="I175" s="38" t="str">
        <f>INDEX(B$147:B$154, MATCH(5, F$147:F$154, 0))</f>
        <v>D4Y</v>
      </c>
      <c r="J175" s="14" t="str">
        <f>INDEX(C$147:C$154, MATCH(5, F$147:F$154, 0))</f>
        <v>U4Y</v>
      </c>
      <c r="L175" s="215" t="s">
        <v>388</v>
      </c>
      <c r="M175" s="172"/>
      <c r="N175" s="172"/>
      <c r="O175" s="172"/>
      <c r="P175" s="172"/>
      <c r="Q175" s="173"/>
    </row>
    <row r="176" spans="1:17" ht="16.95" customHeight="1" x14ac:dyDescent="0.3">
      <c r="L176" s="215"/>
      <c r="M176" s="172"/>
      <c r="N176" s="172"/>
      <c r="O176" s="172"/>
      <c r="P176" s="172"/>
      <c r="Q176" s="173"/>
    </row>
    <row r="177" spans="1:17" ht="16.95" customHeight="1" x14ac:dyDescent="0.3">
      <c r="C177" s="218" t="s">
        <v>263</v>
      </c>
      <c r="D177" s="172"/>
      <c r="E177" s="172"/>
      <c r="F177" s="172"/>
      <c r="G177" s="173"/>
      <c r="L177" s="215"/>
      <c r="M177" s="172"/>
      <c r="N177" s="172"/>
      <c r="O177" s="172"/>
      <c r="P177" s="172"/>
      <c r="Q177" s="173"/>
    </row>
    <row r="178" spans="1:17" ht="16.95" customHeight="1" x14ac:dyDescent="0.3">
      <c r="A178" s="99" t="s">
        <v>249</v>
      </c>
      <c r="C178" s="193" t="s">
        <v>264</v>
      </c>
      <c r="D178" s="175"/>
      <c r="E178" s="175"/>
      <c r="F178" s="175"/>
      <c r="G178" s="175"/>
      <c r="I178" s="99" t="s">
        <v>247</v>
      </c>
      <c r="L178" s="215"/>
      <c r="M178" s="172"/>
      <c r="N178" s="172"/>
      <c r="O178" s="172"/>
      <c r="P178" s="172"/>
      <c r="Q178" s="173"/>
    </row>
    <row r="179" spans="1:17" ht="16.95" customHeight="1" x14ac:dyDescent="0.3">
      <c r="A179" s="12" t="str">
        <f>I171</f>
        <v>D2X</v>
      </c>
      <c r="C179" s="93">
        <f t="array" ref="C179:G183">MINVERSE(C171:G175)</f>
        <v>1.3521457965902414E-5</v>
      </c>
      <c r="D179" s="93">
        <v>5.5849500293944766E-6</v>
      </c>
      <c r="E179" s="93">
        <v>-1.322751322751323E-6</v>
      </c>
      <c r="F179" s="93">
        <v>7.9365079365079379E-6</v>
      </c>
      <c r="G179" s="93">
        <v>-1.3227513227513228E-6</v>
      </c>
      <c r="I179" s="17">
        <f>A171</f>
        <v>0</v>
      </c>
      <c r="L179" s="215"/>
      <c r="M179" s="172"/>
      <c r="N179" s="172"/>
      <c r="O179" s="172"/>
      <c r="P179" s="172"/>
      <c r="Q179" s="173"/>
    </row>
    <row r="180" spans="1:17" ht="16.95" customHeight="1" x14ac:dyDescent="0.3">
      <c r="A180" s="12" t="str">
        <f>I172</f>
        <v>D3X</v>
      </c>
      <c r="C180" s="93">
        <v>5.5849500293944766E-6</v>
      </c>
      <c r="D180" s="93">
        <v>2.4434156378600824E-5</v>
      </c>
      <c r="E180" s="93">
        <v>-5.7870370370370376E-6</v>
      </c>
      <c r="F180" s="93">
        <v>1.884920634920635E-5</v>
      </c>
      <c r="G180" s="93">
        <v>3.1415343915343912E-6</v>
      </c>
      <c r="I180" s="17">
        <f>A172</f>
        <v>3500</v>
      </c>
      <c r="L180" s="215"/>
      <c r="M180" s="172"/>
      <c r="N180" s="172"/>
      <c r="O180" s="172"/>
      <c r="P180" s="172"/>
      <c r="Q180" s="173"/>
    </row>
    <row r="181" spans="1:17" ht="16.95" customHeight="1" x14ac:dyDescent="0.3">
      <c r="A181" s="12" t="str">
        <f>I173</f>
        <v>D3Y</v>
      </c>
      <c r="B181" s="13" t="s">
        <v>220</v>
      </c>
      <c r="C181" s="93">
        <v>-1.3227513227513232E-6</v>
      </c>
      <c r="D181" s="93">
        <v>-5.7870370370370376E-6</v>
      </c>
      <c r="E181" s="93">
        <v>1.1160714285714286E-5</v>
      </c>
      <c r="F181" s="93">
        <v>-4.4642857142857138E-6</v>
      </c>
      <c r="G181" s="93">
        <v>-7.4404761904761896E-7</v>
      </c>
      <c r="I181" s="17">
        <f>A173</f>
        <v>-6000</v>
      </c>
      <c r="L181" s="215"/>
      <c r="M181" s="172"/>
      <c r="N181" s="172"/>
      <c r="O181" s="172"/>
      <c r="P181" s="172"/>
      <c r="Q181" s="173"/>
    </row>
    <row r="182" spans="1:17" ht="16.95" customHeight="1" x14ac:dyDescent="0.3">
      <c r="A182" s="12" t="str">
        <f>I174</f>
        <v>D4X</v>
      </c>
      <c r="C182" s="93">
        <v>7.9365079365079396E-6</v>
      </c>
      <c r="D182" s="93">
        <v>1.884920634920635E-5</v>
      </c>
      <c r="E182" s="93">
        <v>-4.4642857142857138E-6</v>
      </c>
      <c r="F182" s="93">
        <v>2.6785714285714284E-5</v>
      </c>
      <c r="G182" s="93">
        <v>4.4642857142857138E-6</v>
      </c>
      <c r="I182" s="17">
        <f>A174</f>
        <v>0</v>
      </c>
      <c r="L182" s="215"/>
      <c r="M182" s="172"/>
      <c r="N182" s="172"/>
      <c r="O182" s="172"/>
      <c r="P182" s="172"/>
      <c r="Q182" s="173"/>
    </row>
    <row r="183" spans="1:17" ht="16.95" customHeight="1" x14ac:dyDescent="0.3">
      <c r="A183" s="12" t="str">
        <f>I175</f>
        <v>D4Y</v>
      </c>
      <c r="C183" s="93">
        <v>-1.3227513227513221E-6</v>
      </c>
      <c r="D183" s="93">
        <v>3.1415343915343912E-6</v>
      </c>
      <c r="E183" s="93">
        <v>-7.4404761904761886E-7</v>
      </c>
      <c r="F183" s="93">
        <v>4.4642857142857138E-6</v>
      </c>
      <c r="G183" s="93">
        <v>1.1160714285714286E-5</v>
      </c>
      <c r="I183" s="17">
        <f>A175</f>
        <v>0</v>
      </c>
      <c r="L183" s="215"/>
      <c r="M183" s="172"/>
      <c r="N183" s="172"/>
      <c r="O183" s="172"/>
      <c r="P183" s="172"/>
      <c r="Q183" s="173"/>
    </row>
    <row r="184" spans="1:17" ht="16.95" customHeight="1" x14ac:dyDescent="0.3">
      <c r="L184" s="215"/>
      <c r="M184" s="172"/>
      <c r="N184" s="172"/>
      <c r="O184" s="172"/>
      <c r="P184" s="172"/>
      <c r="Q184" s="173"/>
    </row>
    <row r="185" spans="1:17" ht="16.95" customHeight="1" x14ac:dyDescent="0.3">
      <c r="C185" s="218" t="s">
        <v>265</v>
      </c>
      <c r="D185" s="173"/>
      <c r="L185" s="215"/>
      <c r="M185" s="172"/>
      <c r="N185" s="172"/>
      <c r="O185" s="172"/>
      <c r="P185" s="172"/>
      <c r="Q185" s="173"/>
    </row>
    <row r="186" spans="1:17" ht="16.95" customHeight="1" x14ac:dyDescent="0.3">
      <c r="A186" s="99" t="s">
        <v>249</v>
      </c>
      <c r="C186" s="99" t="s">
        <v>266</v>
      </c>
      <c r="L186" s="215"/>
      <c r="M186" s="172"/>
      <c r="N186" s="172"/>
      <c r="O186" s="172"/>
      <c r="P186" s="172"/>
      <c r="Q186" s="173"/>
    </row>
    <row r="187" spans="1:17" ht="16.95" customHeight="1" x14ac:dyDescent="0.3">
      <c r="A187" s="12" t="str">
        <f>A179</f>
        <v>D2X</v>
      </c>
      <c r="C187" s="94">
        <f t="array" ref="C187:C191">MMULT(C179:G183, I179:I183)</f>
        <v>2.7483833039388603E-2</v>
      </c>
      <c r="D187" s="12" t="s">
        <v>267</v>
      </c>
      <c r="L187" s="215"/>
      <c r="M187" s="172"/>
      <c r="N187" s="172"/>
      <c r="O187" s="172"/>
      <c r="P187" s="172"/>
      <c r="Q187" s="173"/>
    </row>
    <row r="188" spans="1:17" ht="16.95" customHeight="1" x14ac:dyDescent="0.3">
      <c r="A188" s="12" t="str">
        <f>A180</f>
        <v>D3X</v>
      </c>
      <c r="C188" s="94">
        <v>0.12024176954732511</v>
      </c>
      <c r="D188" s="12" t="s">
        <v>267</v>
      </c>
      <c r="L188" s="215"/>
      <c r="M188" s="172"/>
      <c r="N188" s="172"/>
      <c r="O188" s="172"/>
      <c r="P188" s="172"/>
      <c r="Q188" s="173"/>
    </row>
    <row r="189" spans="1:17" ht="16.95" customHeight="1" x14ac:dyDescent="0.3">
      <c r="A189" s="12" t="str">
        <f>A181</f>
        <v>D3Y</v>
      </c>
      <c r="B189" s="13" t="s">
        <v>220</v>
      </c>
      <c r="C189" s="94">
        <v>-8.7218915343915349E-2</v>
      </c>
      <c r="D189" s="12" t="s">
        <v>267</v>
      </c>
      <c r="L189" s="215"/>
      <c r="M189" s="172"/>
      <c r="N189" s="172"/>
      <c r="O189" s="172"/>
      <c r="P189" s="172"/>
      <c r="Q189" s="173"/>
    </row>
    <row r="190" spans="1:17" ht="16.95" customHeight="1" x14ac:dyDescent="0.3">
      <c r="A190" s="12" t="str">
        <f>A182</f>
        <v>D4X</v>
      </c>
      <c r="C190" s="94">
        <v>9.2757936507936511E-2</v>
      </c>
      <c r="D190" s="12" t="s">
        <v>267</v>
      </c>
      <c r="L190" s="215"/>
      <c r="M190" s="172"/>
      <c r="N190" s="172"/>
      <c r="O190" s="172"/>
      <c r="P190" s="172"/>
      <c r="Q190" s="173"/>
    </row>
    <row r="191" spans="1:17" ht="16.95" customHeight="1" x14ac:dyDescent="0.3">
      <c r="A191" s="12" t="str">
        <f>A183</f>
        <v>D4Y</v>
      </c>
      <c r="C191" s="94">
        <v>1.5459656084656083E-2</v>
      </c>
      <c r="D191" s="12" t="s">
        <v>267</v>
      </c>
      <c r="L191" s="215"/>
      <c r="M191" s="172"/>
      <c r="N191" s="172"/>
      <c r="O191" s="172"/>
      <c r="P191" s="172"/>
      <c r="Q191" s="173"/>
    </row>
    <row r="194" spans="1:17" ht="19.95" customHeight="1" x14ac:dyDescent="0.35">
      <c r="A194" s="11" t="s">
        <v>268</v>
      </c>
      <c r="L194" s="216" t="s">
        <v>269</v>
      </c>
      <c r="M194" s="172"/>
      <c r="N194" s="172"/>
      <c r="O194" s="172"/>
      <c r="P194" s="172"/>
      <c r="Q194" s="173"/>
    </row>
    <row r="195" spans="1:17" ht="16.95" customHeight="1" x14ac:dyDescent="0.3">
      <c r="A195" s="99" t="s">
        <v>247</v>
      </c>
      <c r="I195" s="99" t="s">
        <v>249</v>
      </c>
      <c r="L195" s="215" t="s">
        <v>389</v>
      </c>
      <c r="M195" s="172"/>
      <c r="N195" s="172"/>
      <c r="O195" s="172"/>
      <c r="P195" s="172"/>
      <c r="Q195" s="173"/>
    </row>
    <row r="196" spans="1:17" ht="16.95" customHeight="1" x14ac:dyDescent="0.3">
      <c r="A196" s="18" t="str">
        <f>INDEX(B$137:B$144, MATCH(J196, C$137:C$144, 0))</f>
        <v>C1X</v>
      </c>
      <c r="C196" s="9">
        <f t="shared" ref="C196:G198" si="15">INDEX($B$126:$I$133, MATCH($J196, $J$126:$J$133, 0), MATCH(C$170, $B$125:$I$125, 0))</f>
        <v>-63000</v>
      </c>
      <c r="D196" s="9">
        <f t="shared" si="15"/>
        <v>-32256.000000000007</v>
      </c>
      <c r="E196" s="9">
        <f t="shared" si="15"/>
        <v>-24192</v>
      </c>
      <c r="F196" s="9">
        <f t="shared" si="15"/>
        <v>0</v>
      </c>
      <c r="G196" s="9">
        <f t="shared" si="15"/>
        <v>0</v>
      </c>
      <c r="I196" s="95">
        <f>C187</f>
        <v>2.7483833039388603E-2</v>
      </c>
      <c r="J196" s="14" t="str">
        <f>INDEX(C$147:C$154, MATCH(1, G$147:G$154, 0))</f>
        <v>U1X</v>
      </c>
      <c r="L196" s="215" t="s">
        <v>390</v>
      </c>
      <c r="M196" s="172"/>
      <c r="N196" s="172"/>
      <c r="O196" s="172"/>
      <c r="P196" s="172"/>
      <c r="Q196" s="173"/>
    </row>
    <row r="197" spans="1:17" ht="16.95" customHeight="1" x14ac:dyDescent="0.3">
      <c r="A197" s="18" t="str">
        <f>INDEX(B$137:B$144, MATCH(J197, C$137:C$144, 0))</f>
        <v>C1Y</v>
      </c>
      <c r="B197" s="13" t="s">
        <v>220</v>
      </c>
      <c r="C197" s="9">
        <f t="shared" si="15"/>
        <v>0</v>
      </c>
      <c r="D197" s="9">
        <f t="shared" si="15"/>
        <v>-24192</v>
      </c>
      <c r="E197" s="9">
        <f t="shared" si="15"/>
        <v>-18144</v>
      </c>
      <c r="F197" s="9">
        <f t="shared" si="15"/>
        <v>0</v>
      </c>
      <c r="G197" s="9">
        <f t="shared" si="15"/>
        <v>-84000</v>
      </c>
      <c r="I197" s="95">
        <f>C188</f>
        <v>0.12024176954732511</v>
      </c>
      <c r="J197" s="14" t="str">
        <f>INDEX(C$147:C$154, MATCH(2, G$147:G$154, 0))</f>
        <v>U1Y</v>
      </c>
      <c r="L197" s="215" t="s">
        <v>391</v>
      </c>
      <c r="M197" s="172"/>
      <c r="N197" s="172"/>
      <c r="O197" s="172"/>
      <c r="P197" s="172"/>
      <c r="Q197" s="173"/>
    </row>
    <row r="198" spans="1:17" ht="16.95" customHeight="1" x14ac:dyDescent="0.3">
      <c r="A198" s="18" t="str">
        <f>INDEX(B$137:B$144, MATCH(J198, C$137:C$144, 0))</f>
        <v>C2Y</v>
      </c>
      <c r="C198" s="9">
        <f t="shared" si="15"/>
        <v>-24192</v>
      </c>
      <c r="D198" s="9">
        <f t="shared" si="15"/>
        <v>0</v>
      </c>
      <c r="E198" s="9">
        <f t="shared" si="15"/>
        <v>-84000</v>
      </c>
      <c r="F198" s="9">
        <f t="shared" si="15"/>
        <v>24192</v>
      </c>
      <c r="G198" s="9">
        <f t="shared" si="15"/>
        <v>-18144</v>
      </c>
      <c r="I198" s="95">
        <f>C189</f>
        <v>-8.7218915343915349E-2</v>
      </c>
      <c r="J198" s="14" t="str">
        <f>INDEX(C$147:C$154, MATCH(3, G$147:G$154, 0))</f>
        <v>U2Y</v>
      </c>
      <c r="L198" s="215" t="s">
        <v>392</v>
      </c>
      <c r="M198" s="172"/>
      <c r="N198" s="172"/>
      <c r="O198" s="172"/>
      <c r="P198" s="172"/>
      <c r="Q198" s="173"/>
    </row>
    <row r="199" spans="1:17" ht="16.95" customHeight="1" x14ac:dyDescent="0.3">
      <c r="I199" s="95">
        <f>C190</f>
        <v>9.2757936507936511E-2</v>
      </c>
      <c r="L199" s="215" t="s">
        <v>393</v>
      </c>
      <c r="M199" s="172"/>
      <c r="N199" s="172"/>
      <c r="O199" s="172"/>
      <c r="P199" s="172"/>
      <c r="Q199" s="173"/>
    </row>
    <row r="200" spans="1:17" ht="16.95" customHeight="1" x14ac:dyDescent="0.3">
      <c r="I200" s="95">
        <f>C191</f>
        <v>1.5459656084656083E-2</v>
      </c>
      <c r="L200" s="215" t="s">
        <v>394</v>
      </c>
      <c r="M200" s="172"/>
      <c r="N200" s="172"/>
      <c r="O200" s="172"/>
      <c r="P200" s="172"/>
      <c r="Q200" s="173"/>
    </row>
    <row r="201" spans="1:17" ht="16.95" customHeight="1" x14ac:dyDescent="0.3">
      <c r="L201" s="215"/>
      <c r="M201" s="172"/>
      <c r="N201" s="172"/>
      <c r="O201" s="172"/>
      <c r="P201" s="172"/>
      <c r="Q201" s="173"/>
    </row>
    <row r="202" spans="1:17" ht="16.95" customHeight="1" x14ac:dyDescent="0.3">
      <c r="A202" s="12" t="str">
        <f>A196</f>
        <v>C1X</v>
      </c>
      <c r="C202" s="17">
        <f t="array" ref="C202:C204">MMULT(C196:G198, I196:I200)</f>
        <v>-3500.0000000000018</v>
      </c>
      <c r="D202" s="12" t="s">
        <v>273</v>
      </c>
      <c r="L202" s="215"/>
      <c r="M202" s="172"/>
      <c r="N202" s="172"/>
      <c r="O202" s="172"/>
      <c r="P202" s="172"/>
      <c r="Q202" s="173"/>
    </row>
    <row r="203" spans="1:17" ht="16.95" customHeight="1" x14ac:dyDescent="0.3">
      <c r="A203" s="12" t="str">
        <f>A197</f>
        <v>C1Y</v>
      </c>
      <c r="B203" s="13" t="s">
        <v>220</v>
      </c>
      <c r="C203" s="17">
        <v>-2625</v>
      </c>
      <c r="D203" s="12" t="s">
        <v>273</v>
      </c>
      <c r="L203" s="215"/>
      <c r="M203" s="172"/>
      <c r="N203" s="172"/>
      <c r="O203" s="172"/>
      <c r="P203" s="172"/>
      <c r="Q203" s="173"/>
    </row>
    <row r="204" spans="1:17" ht="16.95" customHeight="1" x14ac:dyDescent="0.3">
      <c r="A204" s="12" t="str">
        <f>A198</f>
        <v>C2Y</v>
      </c>
      <c r="C204" s="17">
        <v>8625</v>
      </c>
      <c r="D204" s="12" t="s">
        <v>273</v>
      </c>
      <c r="L204" s="215"/>
      <c r="M204" s="172"/>
      <c r="N204" s="172"/>
      <c r="O204" s="172"/>
      <c r="P204" s="172"/>
      <c r="Q204" s="173"/>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2.7483833039388603E-2</v>
      </c>
    </row>
    <row r="212" spans="1:17" ht="19.05" customHeight="1" x14ac:dyDescent="0.3">
      <c r="A212" s="12" t="s">
        <v>231</v>
      </c>
      <c r="B212" s="12" t="s">
        <v>181</v>
      </c>
      <c r="D212" s="94">
        <f t="shared" si="16"/>
        <v>0</v>
      </c>
    </row>
    <row r="213" spans="1:17" ht="19.05" customHeight="1" x14ac:dyDescent="0.3">
      <c r="A213" s="12" t="s">
        <v>232</v>
      </c>
      <c r="B213" s="12" t="s">
        <v>182</v>
      </c>
      <c r="D213" s="94">
        <f t="shared" si="16"/>
        <v>0.12024176954732511</v>
      </c>
    </row>
    <row r="214" spans="1:17" ht="19.05" customHeight="1" x14ac:dyDescent="0.3">
      <c r="A214" s="12" t="s">
        <v>234</v>
      </c>
      <c r="B214" s="12" t="s">
        <v>183</v>
      </c>
      <c r="D214" s="94">
        <f t="shared" si="16"/>
        <v>-8.7218915343915349E-2</v>
      </c>
    </row>
    <row r="215" spans="1:17" ht="19.05" customHeight="1" x14ac:dyDescent="0.3">
      <c r="A215" s="12" t="s">
        <v>235</v>
      </c>
      <c r="B215" s="12" t="s">
        <v>184</v>
      </c>
      <c r="D215" s="94">
        <f t="shared" si="16"/>
        <v>9.2757936507936511E-2</v>
      </c>
    </row>
    <row r="216" spans="1:17" ht="19.05" customHeight="1" x14ac:dyDescent="0.3">
      <c r="A216" s="12" t="s">
        <v>236</v>
      </c>
      <c r="B216" s="12" t="s">
        <v>185</v>
      </c>
      <c r="D216" s="94">
        <f t="shared" si="16"/>
        <v>1.5459656084656083E-2</v>
      </c>
    </row>
    <row r="219" spans="1:17" ht="19.95" customHeight="1" x14ac:dyDescent="0.35">
      <c r="A219" s="11" t="s">
        <v>275</v>
      </c>
      <c r="L219" s="216" t="s">
        <v>276</v>
      </c>
      <c r="M219" s="172"/>
      <c r="N219" s="172"/>
      <c r="O219" s="172"/>
      <c r="P219" s="172"/>
      <c r="Q219" s="173"/>
    </row>
    <row r="220" spans="1:17" ht="16.95" customHeight="1" x14ac:dyDescent="0.3">
      <c r="L220" s="215" t="s">
        <v>395</v>
      </c>
      <c r="M220" s="172"/>
      <c r="N220" s="172"/>
      <c r="O220" s="172"/>
      <c r="P220" s="172"/>
      <c r="Q220" s="173"/>
    </row>
    <row r="221" spans="1:17" ht="16.95" customHeight="1" x14ac:dyDescent="0.3">
      <c r="A221" s="19" t="s">
        <v>278</v>
      </c>
      <c r="C221" s="19" t="s">
        <v>279</v>
      </c>
      <c r="D221" s="19" t="s">
        <v>280</v>
      </c>
      <c r="E221" s="19" t="s">
        <v>279</v>
      </c>
      <c r="F221" s="19" t="s">
        <v>280</v>
      </c>
      <c r="G221" s="19" t="s">
        <v>249</v>
      </c>
      <c r="L221" s="215" t="s">
        <v>396</v>
      </c>
      <c r="M221" s="172"/>
      <c r="N221" s="172"/>
      <c r="O221" s="172"/>
      <c r="P221" s="172"/>
      <c r="Q221" s="173"/>
    </row>
    <row r="222" spans="1:17" ht="16.95" customHeight="1" x14ac:dyDescent="0.3">
      <c r="C222" s="19" t="s">
        <v>282</v>
      </c>
      <c r="D222" s="19" t="s">
        <v>282</v>
      </c>
      <c r="E222" s="19" t="s">
        <v>283</v>
      </c>
      <c r="F222" s="19" t="s">
        <v>283</v>
      </c>
      <c r="L222" s="215" t="s">
        <v>397</v>
      </c>
      <c r="M222" s="172"/>
      <c r="N222" s="172"/>
      <c r="O222" s="172"/>
      <c r="P222" s="172"/>
      <c r="Q222" s="173"/>
    </row>
    <row r="223" spans="1:17" ht="16.95" customHeight="1" x14ac:dyDescent="0.3">
      <c r="A223" s="17">
        <f>N6</f>
        <v>63000</v>
      </c>
      <c r="C223" s="92">
        <f>-J6</f>
        <v>-1</v>
      </c>
      <c r="D223" s="92">
        <f>-K6</f>
        <v>0</v>
      </c>
      <c r="E223" s="92">
        <f>J6</f>
        <v>1</v>
      </c>
      <c r="F223" s="92">
        <f>K6</f>
        <v>0</v>
      </c>
      <c r="G223" s="96">
        <f>IFERROR(VLOOKUP(H223, A$209:D$216, 4, FALSE), 0)</f>
        <v>0</v>
      </c>
      <c r="H223" s="12" t="str">
        <f>"D" &amp; C15 &amp; "X"</f>
        <v>D1X</v>
      </c>
      <c r="L223" s="215" t="s">
        <v>398</v>
      </c>
      <c r="M223" s="172"/>
      <c r="N223" s="172"/>
      <c r="O223" s="172"/>
      <c r="P223" s="172"/>
      <c r="Q223" s="173"/>
    </row>
    <row r="224" spans="1:17" ht="16.95" customHeight="1" x14ac:dyDescent="0.3">
      <c r="A224" s="99" t="s">
        <v>285</v>
      </c>
      <c r="B224" s="97">
        <f>(MMULT(C223:F223, G223:G226)*A223)</f>
        <v>1731.481481481482</v>
      </c>
      <c r="G224" s="96">
        <f>IFERROR(VLOOKUP(H224, A$209:D$216, 4, FALSE), 0)</f>
        <v>0</v>
      </c>
      <c r="H224" s="12" t="str">
        <f>"D" &amp; D15 &amp; "Y"</f>
        <v>D1Y</v>
      </c>
      <c r="L224" s="215" t="s">
        <v>399</v>
      </c>
      <c r="M224" s="172"/>
      <c r="N224" s="172"/>
      <c r="O224" s="172"/>
      <c r="P224" s="172"/>
      <c r="Q224" s="173"/>
    </row>
    <row r="225" spans="1:17" ht="16.95" customHeight="1" x14ac:dyDescent="0.3">
      <c r="G225" s="96">
        <f>IFERROR(VLOOKUP(H225, A$209:D$216, 4, FALSE), 0)</f>
        <v>2.7483833039388603E-2</v>
      </c>
      <c r="H225" s="12" t="str">
        <f>"D" &amp; E15 &amp; "X"</f>
        <v>D2X</v>
      </c>
      <c r="L225" s="215" t="s">
        <v>400</v>
      </c>
      <c r="M225" s="172"/>
      <c r="N225" s="172"/>
      <c r="O225" s="172"/>
      <c r="P225" s="172"/>
      <c r="Q225" s="173"/>
    </row>
    <row r="226" spans="1:17" ht="16.95" customHeight="1" x14ac:dyDescent="0.3">
      <c r="G226" s="96">
        <f>IFERROR(VLOOKUP(H226, A$209:D$216, 4, FALSE), 0)</f>
        <v>0</v>
      </c>
      <c r="H226" s="12" t="str">
        <f>"D" &amp; F15 &amp; "Y"</f>
        <v>D2Y</v>
      </c>
      <c r="L226" s="215" t="s">
        <v>401</v>
      </c>
      <c r="M226" s="172"/>
      <c r="N226" s="172"/>
      <c r="O226" s="172"/>
      <c r="P226" s="172"/>
      <c r="Q226" s="173"/>
    </row>
    <row r="227" spans="1:17" ht="16.95" customHeight="1" x14ac:dyDescent="0.3">
      <c r="B227" s="99" t="s">
        <v>273</v>
      </c>
      <c r="C227" s="178" t="str">
        <f>IF(B224&gt;0.001,"BARRA A TRACCIÓN (+)",IF(B224&lt;-0.001,"BARRA A COMPRESIÓN (-)","BARRA DE FUERZA NULA"))</f>
        <v>BARRA A TRACCIÓN (+)</v>
      </c>
      <c r="D227" s="172"/>
      <c r="E227" s="172"/>
      <c r="F227" s="173"/>
      <c r="L227" s="215" t="s">
        <v>402</v>
      </c>
      <c r="M227" s="172"/>
      <c r="N227" s="172"/>
      <c r="O227" s="172"/>
      <c r="P227" s="172"/>
      <c r="Q227" s="173"/>
    </row>
    <row r="228" spans="1:17" ht="16.95" customHeight="1" x14ac:dyDescent="0.3">
      <c r="L228" s="215" t="s">
        <v>403</v>
      </c>
      <c r="M228" s="172"/>
      <c r="N228" s="172"/>
      <c r="O228" s="172"/>
      <c r="P228" s="172"/>
      <c r="Q228" s="173"/>
    </row>
    <row r="229" spans="1:17" ht="16.95" customHeight="1" x14ac:dyDescent="0.3">
      <c r="A229" s="19" t="s">
        <v>278</v>
      </c>
      <c r="C229" s="19" t="s">
        <v>279</v>
      </c>
      <c r="D229" s="19" t="s">
        <v>280</v>
      </c>
      <c r="E229" s="19" t="s">
        <v>279</v>
      </c>
      <c r="F229" s="19" t="s">
        <v>280</v>
      </c>
      <c r="G229" s="19" t="s">
        <v>249</v>
      </c>
      <c r="L229" s="215"/>
      <c r="M229" s="172"/>
      <c r="N229" s="172"/>
      <c r="O229" s="172"/>
      <c r="P229" s="172"/>
      <c r="Q229" s="173"/>
    </row>
    <row r="230" spans="1:17" ht="16.95" customHeight="1" x14ac:dyDescent="0.3">
      <c r="C230" s="19" t="s">
        <v>282</v>
      </c>
      <c r="D230" s="19" t="s">
        <v>282</v>
      </c>
      <c r="E230" s="19" t="s">
        <v>283</v>
      </c>
      <c r="F230" s="19" t="s">
        <v>283</v>
      </c>
      <c r="L230" s="215"/>
      <c r="M230" s="172"/>
      <c r="N230" s="172"/>
      <c r="O230" s="172"/>
      <c r="P230" s="172"/>
      <c r="Q230" s="173"/>
    </row>
    <row r="231" spans="1:17" ht="16.95" customHeight="1" x14ac:dyDescent="0.3">
      <c r="A231" s="17">
        <f>N7</f>
        <v>84000</v>
      </c>
      <c r="C231" s="92">
        <f>-J7</f>
        <v>0</v>
      </c>
      <c r="D231" s="92">
        <f>-K7</f>
        <v>-1</v>
      </c>
      <c r="E231" s="92">
        <f>J7</f>
        <v>0</v>
      </c>
      <c r="F231" s="92">
        <f>K7</f>
        <v>1</v>
      </c>
      <c r="G231" s="96">
        <f>IFERROR(VLOOKUP(H231, A$209:D$216, 4, FALSE), 0)</f>
        <v>2.7483833039388603E-2</v>
      </c>
      <c r="H231" s="12" t="str">
        <f>"D" &amp; C16 &amp; "X"</f>
        <v>D2X</v>
      </c>
      <c r="L231" s="215"/>
      <c r="M231" s="172"/>
      <c r="N231" s="172"/>
      <c r="O231" s="172"/>
      <c r="P231" s="172"/>
      <c r="Q231" s="173"/>
    </row>
    <row r="232" spans="1:17" ht="16.95" customHeight="1" x14ac:dyDescent="0.3">
      <c r="A232" s="99" t="s">
        <v>286</v>
      </c>
      <c r="B232" s="97">
        <f>(MMULT(C231:F231, G231:G234)*A231)</f>
        <v>-7326.3888888888896</v>
      </c>
      <c r="G232" s="96">
        <f>IFERROR(VLOOKUP(H232, A$209:D$216, 4, FALSE), 0)</f>
        <v>0</v>
      </c>
      <c r="H232" s="12" t="str">
        <f>"D" &amp; D16 &amp; "Y"</f>
        <v>D2Y</v>
      </c>
      <c r="L232" s="215"/>
      <c r="M232" s="172"/>
      <c r="N232" s="172"/>
      <c r="O232" s="172"/>
      <c r="P232" s="172"/>
      <c r="Q232" s="173"/>
    </row>
    <row r="233" spans="1:17" ht="16.95" customHeight="1" x14ac:dyDescent="0.3">
      <c r="G233" s="96">
        <f>IFERROR(VLOOKUP(H233, A$209:D$216, 4, FALSE), 0)</f>
        <v>0.12024176954732511</v>
      </c>
      <c r="H233" s="12" t="str">
        <f>"D" &amp; E16 &amp; "X"</f>
        <v>D3X</v>
      </c>
      <c r="L233" s="215"/>
      <c r="M233" s="172"/>
      <c r="N233" s="172"/>
      <c r="O233" s="172"/>
      <c r="P233" s="172"/>
      <c r="Q233" s="173"/>
    </row>
    <row r="234" spans="1:17" ht="16.95" customHeight="1" x14ac:dyDescent="0.3">
      <c r="G234" s="96">
        <f>IFERROR(VLOOKUP(H234, A$209:D$216, 4, FALSE), 0)</f>
        <v>-8.7218915343915349E-2</v>
      </c>
      <c r="H234" s="12" t="str">
        <f>"D" &amp; F16 &amp; "Y"</f>
        <v>D3Y</v>
      </c>
      <c r="L234" s="215"/>
      <c r="M234" s="172"/>
      <c r="N234" s="172"/>
      <c r="O234" s="172"/>
      <c r="P234" s="172"/>
      <c r="Q234" s="173"/>
    </row>
    <row r="235" spans="1:17" ht="16.95" customHeight="1" x14ac:dyDescent="0.3">
      <c r="B235" s="99" t="s">
        <v>273</v>
      </c>
      <c r="C235" s="178" t="str">
        <f>IF(B232&gt;0.001,"BARRA A TRACCIÓN (+)",IF(B232&lt;-0.001,"BARRA A COMPRESIÓN (-)","BARRA DE FUERZA NULA"))</f>
        <v>BARRA A COMPRESIÓN (-)</v>
      </c>
      <c r="D235" s="172"/>
      <c r="E235" s="172"/>
      <c r="F235" s="173"/>
      <c r="L235" s="215"/>
      <c r="M235" s="172"/>
      <c r="N235" s="172"/>
      <c r="O235" s="172"/>
      <c r="P235" s="172"/>
      <c r="Q235" s="173"/>
    </row>
    <row r="236" spans="1:17" ht="16.95" customHeight="1" x14ac:dyDescent="0.3">
      <c r="L236" s="215"/>
      <c r="M236" s="172"/>
      <c r="N236" s="172"/>
      <c r="O236" s="172"/>
      <c r="P236" s="172"/>
      <c r="Q236" s="173"/>
    </row>
    <row r="237" spans="1:17" ht="16.95" customHeight="1" x14ac:dyDescent="0.3">
      <c r="A237" s="19" t="s">
        <v>278</v>
      </c>
      <c r="C237" s="19" t="s">
        <v>279</v>
      </c>
      <c r="D237" s="19" t="s">
        <v>280</v>
      </c>
      <c r="E237" s="19" t="s">
        <v>279</v>
      </c>
      <c r="F237" s="19" t="s">
        <v>280</v>
      </c>
      <c r="G237" s="19" t="s">
        <v>249</v>
      </c>
      <c r="L237" s="215"/>
      <c r="M237" s="172"/>
      <c r="N237" s="172"/>
      <c r="O237" s="172"/>
      <c r="P237" s="172"/>
      <c r="Q237" s="173"/>
    </row>
    <row r="238" spans="1:17" ht="16.95" customHeight="1" x14ac:dyDescent="0.3">
      <c r="C238" s="19" t="s">
        <v>282</v>
      </c>
      <c r="D238" s="19" t="s">
        <v>282</v>
      </c>
      <c r="E238" s="19" t="s">
        <v>283</v>
      </c>
      <c r="F238" s="19" t="s">
        <v>283</v>
      </c>
      <c r="L238" s="215"/>
      <c r="M238" s="172"/>
      <c r="N238" s="172"/>
      <c r="O238" s="172"/>
      <c r="P238" s="172"/>
      <c r="Q238" s="173"/>
    </row>
    <row r="239" spans="1:17" ht="16.95" customHeight="1" x14ac:dyDescent="0.3">
      <c r="A239" s="17">
        <f>N8</f>
        <v>63000</v>
      </c>
      <c r="C239" s="92">
        <f>-J8</f>
        <v>1</v>
      </c>
      <c r="D239" s="92">
        <f>-K8</f>
        <v>0</v>
      </c>
      <c r="E239" s="92">
        <f>J8</f>
        <v>-1</v>
      </c>
      <c r="F239" s="92">
        <f>K8</f>
        <v>0</v>
      </c>
      <c r="G239" s="96">
        <f>IFERROR(VLOOKUP(H239, A$209:D$216, 4, FALSE), 0)</f>
        <v>0.12024176954732511</v>
      </c>
      <c r="H239" s="12" t="str">
        <f>"D" &amp; C17 &amp; "X"</f>
        <v>D3X</v>
      </c>
      <c r="L239" s="215"/>
      <c r="M239" s="172"/>
      <c r="N239" s="172"/>
      <c r="O239" s="172"/>
      <c r="P239" s="172"/>
      <c r="Q239" s="173"/>
    </row>
    <row r="240" spans="1:17" ht="16.95" customHeight="1" x14ac:dyDescent="0.3">
      <c r="A240" s="99" t="s">
        <v>287</v>
      </c>
      <c r="B240" s="97">
        <f>(MMULT(C239:F239, G239:G242)*A239)</f>
        <v>1731.481481481482</v>
      </c>
      <c r="G240" s="96">
        <f>IFERROR(VLOOKUP(H240, A$209:D$216, 4, FALSE), 0)</f>
        <v>-8.7218915343915349E-2</v>
      </c>
      <c r="H240" s="12" t="str">
        <f>"D" &amp; D17 &amp; "Y"</f>
        <v>D3Y</v>
      </c>
      <c r="L240" s="215"/>
      <c r="M240" s="172"/>
      <c r="N240" s="172"/>
      <c r="O240" s="172"/>
      <c r="P240" s="172"/>
      <c r="Q240" s="173"/>
    </row>
    <row r="241" spans="1:17" ht="16.95" customHeight="1" x14ac:dyDescent="0.3">
      <c r="G241" s="96">
        <f>IFERROR(VLOOKUP(H241, A$209:D$216, 4, FALSE), 0)</f>
        <v>9.2757936507936511E-2</v>
      </c>
      <c r="H241" s="12" t="str">
        <f>"D" &amp; E17 &amp; "X"</f>
        <v>D4X</v>
      </c>
      <c r="L241" s="215"/>
      <c r="M241" s="172"/>
      <c r="N241" s="172"/>
      <c r="O241" s="172"/>
      <c r="P241" s="172"/>
      <c r="Q241" s="173"/>
    </row>
    <row r="242" spans="1:17" ht="16.95" customHeight="1" x14ac:dyDescent="0.3">
      <c r="G242" s="96">
        <f>IFERROR(VLOOKUP(H242, A$209:D$216, 4, FALSE), 0)</f>
        <v>1.5459656084656083E-2</v>
      </c>
      <c r="H242" s="12" t="str">
        <f>"D" &amp; F17 &amp; "Y"</f>
        <v>D4Y</v>
      </c>
      <c r="L242" s="215"/>
      <c r="M242" s="172"/>
      <c r="N242" s="172"/>
      <c r="O242" s="172"/>
      <c r="P242" s="172"/>
      <c r="Q242" s="173"/>
    </row>
    <row r="243" spans="1:17" ht="16.95" customHeight="1" x14ac:dyDescent="0.3">
      <c r="B243" s="99" t="s">
        <v>273</v>
      </c>
      <c r="C243" s="178" t="str">
        <f>IF(B240&gt;0.001,"BARRA A TRACCIÓN (+)",IF(B240&lt;-0.001,"BARRA A COMPRESIÓN (-)","BARRA DE FUERZA NULA"))</f>
        <v>BARRA A TRACCIÓN (+)</v>
      </c>
      <c r="D243" s="172"/>
      <c r="E243" s="172"/>
      <c r="F243" s="173"/>
      <c r="L243" s="215"/>
      <c r="M243" s="172"/>
      <c r="N243" s="172"/>
      <c r="O243" s="172"/>
      <c r="P243" s="172"/>
      <c r="Q243" s="173"/>
    </row>
    <row r="244" spans="1:17" ht="16.95" customHeight="1" x14ac:dyDescent="0.3">
      <c r="L244" s="215"/>
      <c r="M244" s="172"/>
      <c r="N244" s="172"/>
      <c r="O244" s="172"/>
      <c r="P244" s="172"/>
      <c r="Q244" s="173"/>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84000</v>
      </c>
      <c r="C247" s="92">
        <f>-J9</f>
        <v>0</v>
      </c>
      <c r="D247" s="92">
        <f>-K9</f>
        <v>1</v>
      </c>
      <c r="E247" s="92">
        <f>J9</f>
        <v>0</v>
      </c>
      <c r="F247" s="92">
        <f>K9</f>
        <v>-1</v>
      </c>
      <c r="G247" s="96">
        <f>IFERROR(VLOOKUP(H247, A$209:D$216, 4, FALSE), 0)</f>
        <v>9.2757936507936511E-2</v>
      </c>
      <c r="H247" s="12" t="str">
        <f>"D" &amp; C18 &amp; "X"</f>
        <v>D4X</v>
      </c>
    </row>
    <row r="248" spans="1:17" ht="19.95" customHeight="1" x14ac:dyDescent="0.3">
      <c r="A248" s="99" t="s">
        <v>288</v>
      </c>
      <c r="B248" s="97">
        <f>(MMULT(C247:F247, G247:G250)*A247)</f>
        <v>1298.6111111111109</v>
      </c>
      <c r="G248" s="96">
        <f>IFERROR(VLOOKUP(H248, A$209:D$216, 4, FALSE), 0)</f>
        <v>1.5459656084656083E-2</v>
      </c>
      <c r="H248" s="12" t="str">
        <f>"D" &amp; D18 &amp; "Y"</f>
        <v>D4Y</v>
      </c>
    </row>
    <row r="249" spans="1:17" ht="19.95" customHeight="1" x14ac:dyDescent="0.3">
      <c r="G249" s="96">
        <f>IFERROR(VLOOKUP(H249, A$209:D$216, 4, FALSE), 0)</f>
        <v>0</v>
      </c>
      <c r="H249" s="12" t="str">
        <f>"D" &amp; E18 &amp; "X"</f>
        <v>D1X</v>
      </c>
    </row>
    <row r="250" spans="1:17" ht="19.95" customHeight="1" x14ac:dyDescent="0.3">
      <c r="G250" s="96">
        <f>IFERROR(VLOOKUP(H250, A$209:D$216, 4, FALSE), 0)</f>
        <v>0</v>
      </c>
      <c r="H250" s="12" t="str">
        <f>"D" &amp; F18 &amp; "Y"</f>
        <v>D1Y</v>
      </c>
    </row>
    <row r="251" spans="1:17" ht="19.95" customHeight="1" x14ac:dyDescent="0.3">
      <c r="B251" s="99" t="s">
        <v>273</v>
      </c>
      <c r="C251" s="178" t="str">
        <f>IF(B248&gt;0.001,"BARRA A TRACCIÓN (+)",IF(B248&lt;-0.001,"BARRA A COMPRESIÓN (-)","BARRA DE FUERZA NULA"))</f>
        <v>BARRA A TRACCIÓN (+)</v>
      </c>
      <c r="D251" s="172"/>
      <c r="E251" s="172"/>
      <c r="F251" s="173"/>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50400</v>
      </c>
      <c r="C255" s="92">
        <f>-J10</f>
        <v>-0.8</v>
      </c>
      <c r="D255" s="92">
        <f>-K10</f>
        <v>-0.6</v>
      </c>
      <c r="E255" s="92">
        <f>J10</f>
        <v>0.8</v>
      </c>
      <c r="F255" s="92">
        <f>K10</f>
        <v>0.6</v>
      </c>
      <c r="G255" s="96">
        <f>IFERROR(VLOOKUP(H255, A$209:D$216, 4, FALSE), 0)</f>
        <v>0</v>
      </c>
      <c r="H255" s="12" t="str">
        <f>"D" &amp; C19 &amp; "X"</f>
        <v>D1X</v>
      </c>
    </row>
    <row r="256" spans="1:17" ht="19.95" customHeight="1" x14ac:dyDescent="0.3">
      <c r="A256" s="99" t="s">
        <v>289</v>
      </c>
      <c r="B256" s="97">
        <f>(MMULT(C255:F255, G255:G258)*A255)</f>
        <v>2210.6481481481492</v>
      </c>
      <c r="G256" s="96">
        <f>IFERROR(VLOOKUP(H256, A$209:D$216, 4, FALSE), 0)</f>
        <v>0</v>
      </c>
      <c r="H256" s="12" t="str">
        <f>"D" &amp; D19 &amp; "Y"</f>
        <v>D1Y</v>
      </c>
    </row>
    <row r="257" spans="1:8" ht="19.95" customHeight="1" x14ac:dyDescent="0.3">
      <c r="G257" s="96">
        <f>IFERROR(VLOOKUP(H257, A$209:D$216, 4, FALSE), 0)</f>
        <v>0.12024176954732511</v>
      </c>
      <c r="H257" s="12" t="str">
        <f>"D" &amp; E19 &amp; "X"</f>
        <v>D3X</v>
      </c>
    </row>
    <row r="258" spans="1:8" ht="19.95" customHeight="1" x14ac:dyDescent="0.3">
      <c r="G258" s="96">
        <f>IFERROR(VLOOKUP(H258, A$209:D$216, 4, FALSE), 0)</f>
        <v>-8.7218915343915349E-2</v>
      </c>
      <c r="H258" s="12" t="str">
        <f>"D" &amp; F19 &amp; "Y"</f>
        <v>D3Y</v>
      </c>
    </row>
    <row r="259" spans="1:8" ht="19.95" customHeight="1" x14ac:dyDescent="0.3">
      <c r="B259" s="99" t="s">
        <v>273</v>
      </c>
      <c r="C259" s="178" t="str">
        <f>IF(B256&gt;0.001,"BARRA A TRACCIÓN (+)",IF(B256&lt;-0.001,"BARRA A COMPRESIÓN (-)","BARRA DE FUERZA NULA"))</f>
        <v>BARRA A TRACCIÓN (+)</v>
      </c>
      <c r="D259" s="172"/>
      <c r="E259" s="172"/>
      <c r="F259" s="173"/>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50400</v>
      </c>
      <c r="C263" s="92">
        <f>-J11</f>
        <v>0.8</v>
      </c>
      <c r="D263" s="92">
        <f>-K11</f>
        <v>-0.6</v>
      </c>
      <c r="E263" s="92">
        <f>J11</f>
        <v>-0.8</v>
      </c>
      <c r="F263" s="92">
        <f>K11</f>
        <v>0.6</v>
      </c>
      <c r="G263" s="96">
        <f>IFERROR(VLOOKUP(H263, A$209:D$216, 4, FALSE), 0)</f>
        <v>2.7483833039388603E-2</v>
      </c>
      <c r="H263" s="12" t="str">
        <f>"D" &amp; C20 &amp; "X"</f>
        <v>D2X</v>
      </c>
    </row>
    <row r="264" spans="1:8" ht="19.95" customHeight="1" x14ac:dyDescent="0.3">
      <c r="A264" s="99" t="s">
        <v>290</v>
      </c>
      <c r="B264" s="97">
        <f>(MMULT(C263:F263, G263:G266)*A263)</f>
        <v>-2164.3518518518517</v>
      </c>
      <c r="G264" s="96">
        <f>IFERROR(VLOOKUP(H264, A$209:D$216, 4, FALSE), 0)</f>
        <v>0</v>
      </c>
      <c r="H264" s="12" t="str">
        <f>"D" &amp; D20 &amp; "Y"</f>
        <v>D2Y</v>
      </c>
    </row>
    <row r="265" spans="1:8" ht="19.95" customHeight="1" x14ac:dyDescent="0.3">
      <c r="G265" s="96">
        <f>IFERROR(VLOOKUP(H265, A$209:D$216, 4, FALSE), 0)</f>
        <v>9.2757936507936511E-2</v>
      </c>
      <c r="H265" s="12" t="str">
        <f>"D" &amp; E20 &amp; "X"</f>
        <v>D4X</v>
      </c>
    </row>
    <row r="266" spans="1:8" ht="19.95" customHeight="1" x14ac:dyDescent="0.3">
      <c r="G266" s="96">
        <f>IFERROR(VLOOKUP(H266, A$209:D$216, 4, FALSE), 0)</f>
        <v>1.5459656084656083E-2</v>
      </c>
      <c r="H266" s="12" t="str">
        <f>"D" &amp; F20 &amp; "Y"</f>
        <v>D4Y</v>
      </c>
    </row>
    <row r="267" spans="1:8" ht="19.95" customHeight="1" x14ac:dyDescent="0.3">
      <c r="B267" s="99" t="s">
        <v>273</v>
      </c>
      <c r="C267" s="178" t="str">
        <f>IF(B264&gt;0.001,"BARRA A TRACCIÓN (+)",IF(B264&lt;-0.001,"BARRA A COMPRESIÓN (-)","BARRA DE FUERZA NULA"))</f>
        <v>BARRA A COMPRESIÓN (-)</v>
      </c>
      <c r="D267" s="172"/>
      <c r="E267" s="172"/>
      <c r="F267" s="173"/>
    </row>
    <row r="270" spans="1:8" ht="22.05" customHeight="1" x14ac:dyDescent="0.3">
      <c r="B270" s="217" t="s">
        <v>404</v>
      </c>
      <c r="C270" s="175"/>
      <c r="D270" s="175"/>
      <c r="E270" s="175"/>
      <c r="F270" s="175"/>
      <c r="G270" s="175"/>
      <c r="H270" s="175"/>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400</v>
      </c>
      <c r="F272" s="9">
        <f t="shared" ref="F272:F277" si="20">L6</f>
        <v>12</v>
      </c>
      <c r="G272" s="97">
        <f>B224</f>
        <v>1731.481481481482</v>
      </c>
      <c r="H272" s="84" t="str">
        <f>C227</f>
        <v>BARRA A TRACCIÓN (+)</v>
      </c>
    </row>
    <row r="273" spans="2:8" ht="19.95" customHeight="1" x14ac:dyDescent="0.3">
      <c r="B273" s="25">
        <v>2</v>
      </c>
      <c r="C273" s="86">
        <f t="shared" si="17"/>
        <v>2</v>
      </c>
      <c r="D273" s="86">
        <f t="shared" si="18"/>
        <v>3</v>
      </c>
      <c r="E273" s="9">
        <f t="shared" si="19"/>
        <v>300</v>
      </c>
      <c r="F273" s="9">
        <f t="shared" si="20"/>
        <v>12</v>
      </c>
      <c r="G273" s="97">
        <f>B232</f>
        <v>-7326.3888888888896</v>
      </c>
      <c r="H273" s="84" t="str">
        <f>C235</f>
        <v>BARRA A COMPRESIÓN (-)</v>
      </c>
    </row>
    <row r="274" spans="2:8" ht="19.95" customHeight="1" x14ac:dyDescent="0.3">
      <c r="B274" s="26">
        <v>3</v>
      </c>
      <c r="C274" s="86">
        <f t="shared" si="17"/>
        <v>3</v>
      </c>
      <c r="D274" s="86">
        <f t="shared" si="18"/>
        <v>4</v>
      </c>
      <c r="E274" s="9">
        <f t="shared" si="19"/>
        <v>400</v>
      </c>
      <c r="F274" s="9">
        <f t="shared" si="20"/>
        <v>12</v>
      </c>
      <c r="G274" s="97">
        <f>B240</f>
        <v>1731.481481481482</v>
      </c>
      <c r="H274" s="84" t="str">
        <f>C243</f>
        <v>BARRA A TRACCIÓN (+)</v>
      </c>
    </row>
    <row r="275" spans="2:8" ht="19.95" customHeight="1" x14ac:dyDescent="0.3">
      <c r="B275" s="43">
        <v>4</v>
      </c>
      <c r="C275" s="86">
        <f t="shared" si="17"/>
        <v>4</v>
      </c>
      <c r="D275" s="86">
        <f t="shared" si="18"/>
        <v>1</v>
      </c>
      <c r="E275" s="9">
        <f t="shared" si="19"/>
        <v>300</v>
      </c>
      <c r="F275" s="9">
        <f t="shared" si="20"/>
        <v>12</v>
      </c>
      <c r="G275" s="97">
        <f>B248</f>
        <v>1298.6111111111109</v>
      </c>
      <c r="H275" s="84" t="str">
        <f>C251</f>
        <v>BARRA A TRACCIÓN (+)</v>
      </c>
    </row>
    <row r="276" spans="2:8" ht="19.95" customHeight="1" x14ac:dyDescent="0.3">
      <c r="B276" s="44">
        <v>5</v>
      </c>
      <c r="C276" s="86">
        <f t="shared" si="17"/>
        <v>1</v>
      </c>
      <c r="D276" s="86">
        <f t="shared" si="18"/>
        <v>3</v>
      </c>
      <c r="E276" s="9">
        <f t="shared" si="19"/>
        <v>500</v>
      </c>
      <c r="F276" s="9">
        <f t="shared" si="20"/>
        <v>12</v>
      </c>
      <c r="G276" s="97">
        <f>B256</f>
        <v>2210.6481481481492</v>
      </c>
      <c r="H276" s="84" t="str">
        <f>C259</f>
        <v>BARRA A TRACCIÓN (+)</v>
      </c>
    </row>
    <row r="277" spans="2:8" ht="19.95" customHeight="1" x14ac:dyDescent="0.3">
      <c r="B277" s="51">
        <v>6</v>
      </c>
      <c r="C277" s="86">
        <f t="shared" si="17"/>
        <v>2</v>
      </c>
      <c r="D277" s="86">
        <f t="shared" si="18"/>
        <v>4</v>
      </c>
      <c r="E277" s="9">
        <f t="shared" si="19"/>
        <v>500</v>
      </c>
      <c r="F277" s="9">
        <f t="shared" si="20"/>
        <v>12</v>
      </c>
      <c r="G277" s="97">
        <f>B264</f>
        <v>-2164.3518518518517</v>
      </c>
      <c r="H277" s="84" t="str">
        <f>C267</f>
        <v>BARRA A COMPRESIÓN (-)</v>
      </c>
    </row>
  </sheetData>
  <mergeCells count="119">
    <mergeCell ref="L244:Q244"/>
    <mergeCell ref="L156:Q156"/>
    <mergeCell ref="L171:Q171"/>
    <mergeCell ref="L153:Q153"/>
    <mergeCell ref="L236:Q236"/>
    <mergeCell ref="L189:Q189"/>
    <mergeCell ref="L146:Q146"/>
    <mergeCell ref="L198:Q198"/>
    <mergeCell ref="L229:Q229"/>
    <mergeCell ref="L238:Q238"/>
    <mergeCell ref="L241:Q241"/>
    <mergeCell ref="L228:Q228"/>
    <mergeCell ref="L179:Q179"/>
    <mergeCell ref="C227:F227"/>
    <mergeCell ref="L237:Q237"/>
    <mergeCell ref="L160:Q160"/>
    <mergeCell ref="L187:Q187"/>
    <mergeCell ref="L174:Q174"/>
    <mergeCell ref="H4:H5"/>
    <mergeCell ref="L137:Q137"/>
    <mergeCell ref="L142:Q142"/>
    <mergeCell ref="L234:Q234"/>
    <mergeCell ref="L172:Q172"/>
    <mergeCell ref="L162:Q162"/>
    <mergeCell ref="L220:Q220"/>
    <mergeCell ref="L143:Q143"/>
    <mergeCell ref="L139:Q139"/>
    <mergeCell ref="L222:Q222"/>
    <mergeCell ref="L170:Q170"/>
    <mergeCell ref="L148:Q148"/>
    <mergeCell ref="L173:Q173"/>
    <mergeCell ref="L188:Q188"/>
    <mergeCell ref="L145:Q145"/>
    <mergeCell ref="L194:Q194"/>
    <mergeCell ref="L154:Q154"/>
    <mergeCell ref="L203:Q203"/>
    <mergeCell ref="L219:Q219"/>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3:B14"/>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J4:J5"/>
    <mergeCell ref="G4:G5"/>
    <mergeCell ref="I4:I5"/>
    <mergeCell ref="L169:Q169"/>
    <mergeCell ref="B3:D3"/>
    <mergeCell ref="M4:M5"/>
    <mergeCell ref="L150:Q150"/>
    <mergeCell ref="L199:Q199"/>
    <mergeCell ref="L186:Q186"/>
    <mergeCell ref="C13:D13"/>
    <mergeCell ref="L165:Q165"/>
    <mergeCell ref="K4:K5"/>
    <mergeCell ref="L4:L5"/>
    <mergeCell ref="C178:G178"/>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619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6</v>
      </c>
      <c r="E6" s="173"/>
      <c r="F6" s="206">
        <f>SUM(F14:G23)</f>
        <v>3</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500</v>
      </c>
      <c r="AB9" s="20">
        <f>IF(H29="","",H29)</f>
        <v>400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500</v>
      </c>
      <c r="AB11" s="20">
        <f>IF(F30="","",F30)</f>
        <v>400</v>
      </c>
      <c r="AC11" t="s">
        <v>324</v>
      </c>
    </row>
    <row r="12" spans="2:29" x14ac:dyDescent="0.3">
      <c r="AA12" s="20">
        <f>IF(G30="","",G30)</f>
        <v>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400</v>
      </c>
      <c r="AC14" t="s">
        <v>328</v>
      </c>
    </row>
    <row r="15" spans="2:29" ht="19.05" customHeight="1" x14ac:dyDescent="0.3">
      <c r="B15" s="89">
        <v>2</v>
      </c>
      <c r="C15" s="21">
        <v>500</v>
      </c>
      <c r="D15" s="21">
        <v>0</v>
      </c>
      <c r="E15" s="21" t="s">
        <v>329</v>
      </c>
      <c r="F15" s="88">
        <f t="shared" si="0"/>
        <v>0</v>
      </c>
      <c r="G15" s="88">
        <f t="shared" si="1"/>
        <v>1</v>
      </c>
      <c r="H15" s="22">
        <v>0</v>
      </c>
      <c r="I15" s="22">
        <v>0</v>
      </c>
      <c r="J15" s="205" t="s">
        <v>407</v>
      </c>
      <c r="K15" s="172"/>
      <c r="L15" s="172"/>
      <c r="M15" s="172"/>
      <c r="N15" s="172"/>
      <c r="O15" s="173"/>
      <c r="AA15" s="20">
        <f>IF(G31="","",G31)</f>
        <v>0</v>
      </c>
      <c r="AB15" s="20">
        <f>IF(H31="","",H31)</f>
        <v>0</v>
      </c>
      <c r="AC15" t="s">
        <v>331</v>
      </c>
    </row>
    <row r="16" spans="2:29" ht="19.05" customHeight="1" x14ac:dyDescent="0.3">
      <c r="B16" s="89">
        <v>3</v>
      </c>
      <c r="C16" s="21">
        <v>500</v>
      </c>
      <c r="D16" s="21">
        <v>400</v>
      </c>
      <c r="E16" s="21" t="s">
        <v>326</v>
      </c>
      <c r="F16" s="88">
        <f t="shared" si="0"/>
        <v>0</v>
      </c>
      <c r="G16" s="88">
        <f t="shared" si="1"/>
        <v>0</v>
      </c>
      <c r="H16" s="22">
        <v>5000</v>
      </c>
      <c r="I16" s="22">
        <v>0</v>
      </c>
      <c r="J16" s="205" t="s">
        <v>620</v>
      </c>
      <c r="K16" s="172"/>
      <c r="L16" s="172"/>
      <c r="M16" s="172"/>
      <c r="N16" s="172"/>
      <c r="O16" s="173"/>
    </row>
    <row r="17" spans="2:29" ht="19.05" customHeight="1" x14ac:dyDescent="0.3">
      <c r="B17" s="89">
        <v>4</v>
      </c>
      <c r="C17" s="21">
        <v>0</v>
      </c>
      <c r="D17" s="21">
        <v>400</v>
      </c>
      <c r="E17" s="21" t="s">
        <v>326</v>
      </c>
      <c r="F17" s="88">
        <f t="shared" si="0"/>
        <v>0</v>
      </c>
      <c r="G17" s="88">
        <f t="shared" si="1"/>
        <v>0</v>
      </c>
      <c r="H17" s="22">
        <v>5000</v>
      </c>
      <c r="I17" s="22">
        <v>0</v>
      </c>
      <c r="J17" s="205" t="s">
        <v>620</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500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0</v>
      </c>
      <c r="AB21" s="20">
        <f>IF(H33="","",H33)</f>
        <v>400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500</v>
      </c>
      <c r="H29" s="5">
        <f t="shared" si="5"/>
        <v>400</v>
      </c>
      <c r="I29" s="9">
        <f t="shared" si="6"/>
        <v>0</v>
      </c>
      <c r="J29" s="9">
        <f t="shared" si="7"/>
        <v>400</v>
      </c>
      <c r="K29" s="9">
        <f t="shared" si="8"/>
        <v>400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400</v>
      </c>
      <c r="G30" s="5">
        <f t="shared" si="4"/>
        <v>0</v>
      </c>
      <c r="H30" s="5">
        <f t="shared" si="5"/>
        <v>400</v>
      </c>
      <c r="I30" s="9">
        <f t="shared" si="6"/>
        <v>-500</v>
      </c>
      <c r="J30" s="9">
        <f t="shared" si="7"/>
        <v>0</v>
      </c>
      <c r="K30" s="9">
        <f t="shared" si="8"/>
        <v>500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400</v>
      </c>
      <c r="G31" s="5">
        <f t="shared" si="4"/>
        <v>0</v>
      </c>
      <c r="H31" s="5">
        <f t="shared" si="5"/>
        <v>0</v>
      </c>
      <c r="I31" s="9">
        <f t="shared" si="6"/>
        <v>0</v>
      </c>
      <c r="J31" s="9">
        <f t="shared" si="7"/>
        <v>-400</v>
      </c>
      <c r="K31" s="9">
        <f t="shared" si="8"/>
        <v>400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500</v>
      </c>
      <c r="H32" s="5">
        <f t="shared" si="5"/>
        <v>400</v>
      </c>
      <c r="I32" s="9">
        <f t="shared" si="6"/>
        <v>500</v>
      </c>
      <c r="J32" s="9">
        <f t="shared" si="7"/>
        <v>400</v>
      </c>
      <c r="K32" s="9">
        <f t="shared" si="8"/>
        <v>640.31242374328485</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0</v>
      </c>
      <c r="G33" s="5">
        <f t="shared" si="4"/>
        <v>0</v>
      </c>
      <c r="H33" s="5">
        <f t="shared" si="5"/>
        <v>400</v>
      </c>
      <c r="I33" s="9">
        <f t="shared" si="6"/>
        <v>-500</v>
      </c>
      <c r="J33" s="9">
        <f t="shared" si="7"/>
        <v>400</v>
      </c>
      <c r="K33" s="9">
        <f t="shared" si="8"/>
        <v>640.31242374328485</v>
      </c>
      <c r="L33" s="92">
        <f t="shared" si="9"/>
        <v>-0.78086880944303039</v>
      </c>
      <c r="M33" s="92">
        <f t="shared" si="10"/>
        <v>0.62469504755442429</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500-000000000000}">
      <formula1>"Fijo (articulado),Rodillo Y (despl. X libre),Rodillo X (despl. Y libre),Libre (0 reac.)"</formula1>
    </dataValidation>
  </dataValidations>
  <pageMargins left="0.75" right="0.75" top="1" bottom="1" header="0.5" footer="0.5"/>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621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GRAFICA_42!E28</f>
        <v>0</v>
      </c>
      <c r="D6" s="22">
        <f>GRAFICA_42!F28</f>
        <v>0</v>
      </c>
      <c r="E6" s="22">
        <f>GRAFICA_42!G28</f>
        <v>500</v>
      </c>
      <c r="F6" s="22">
        <f>GRAFICA_42!H28</f>
        <v>0</v>
      </c>
      <c r="G6" s="9">
        <f t="shared" ref="G6:H11" si="0">E6-C6</f>
        <v>500</v>
      </c>
      <c r="H6" s="9">
        <f t="shared" si="0"/>
        <v>0</v>
      </c>
      <c r="I6" s="9">
        <f t="shared" ref="I6:I11" si="1">SQRT(G6*G6+H6*H6)</f>
        <v>500</v>
      </c>
      <c r="J6" s="92">
        <f t="shared" ref="J6:J11" si="2">G6/I6</f>
        <v>1</v>
      </c>
      <c r="K6" s="92">
        <f t="shared" ref="K6:K11" si="3">H6/I6</f>
        <v>0</v>
      </c>
      <c r="L6" s="22">
        <f>GRAFICA_42!N28</f>
        <v>12</v>
      </c>
      <c r="M6" s="22">
        <f>GRAFICA_42!O28</f>
        <v>2100000</v>
      </c>
      <c r="N6" s="6">
        <f t="shared" ref="N6:N11" si="4">L6*M6/I6</f>
        <v>50400</v>
      </c>
    </row>
    <row r="7" spans="2:14" ht="19.05" customHeight="1" x14ac:dyDescent="0.3">
      <c r="B7" s="25">
        <v>2</v>
      </c>
      <c r="C7" s="22">
        <f>GRAFICA_42!E29</f>
        <v>500</v>
      </c>
      <c r="D7" s="22">
        <f>GRAFICA_42!F29</f>
        <v>0</v>
      </c>
      <c r="E7" s="22">
        <f>GRAFICA_42!G29</f>
        <v>500</v>
      </c>
      <c r="F7" s="22">
        <f>GRAFICA_42!H29</f>
        <v>400</v>
      </c>
      <c r="G7" s="9">
        <f t="shared" si="0"/>
        <v>0</v>
      </c>
      <c r="H7" s="9">
        <f t="shared" si="0"/>
        <v>400</v>
      </c>
      <c r="I7" s="9">
        <f t="shared" si="1"/>
        <v>400</v>
      </c>
      <c r="J7" s="92">
        <f t="shared" si="2"/>
        <v>0</v>
      </c>
      <c r="K7" s="92">
        <f t="shared" si="3"/>
        <v>1</v>
      </c>
      <c r="L7" s="22">
        <f>GRAFICA_42!N29</f>
        <v>12</v>
      </c>
      <c r="M7" s="22">
        <f>GRAFICA_42!O29</f>
        <v>2100000</v>
      </c>
      <c r="N7" s="6">
        <f t="shared" si="4"/>
        <v>63000</v>
      </c>
    </row>
    <row r="8" spans="2:14" ht="19.05" customHeight="1" x14ac:dyDescent="0.3">
      <c r="B8" s="26">
        <v>3</v>
      </c>
      <c r="C8" s="22">
        <f>GRAFICA_42!E30</f>
        <v>500</v>
      </c>
      <c r="D8" s="22">
        <f>GRAFICA_42!F30</f>
        <v>400</v>
      </c>
      <c r="E8" s="22">
        <f>GRAFICA_42!G30</f>
        <v>0</v>
      </c>
      <c r="F8" s="22">
        <f>GRAFICA_42!H30</f>
        <v>400</v>
      </c>
      <c r="G8" s="9">
        <f t="shared" si="0"/>
        <v>-500</v>
      </c>
      <c r="H8" s="9">
        <f t="shared" si="0"/>
        <v>0</v>
      </c>
      <c r="I8" s="9">
        <f t="shared" si="1"/>
        <v>500</v>
      </c>
      <c r="J8" s="92">
        <f t="shared" si="2"/>
        <v>-1</v>
      </c>
      <c r="K8" s="92">
        <f t="shared" si="3"/>
        <v>0</v>
      </c>
      <c r="L8" s="22">
        <f>GRAFICA_42!N30</f>
        <v>12</v>
      </c>
      <c r="M8" s="22">
        <f>GRAFICA_42!O30</f>
        <v>2100000</v>
      </c>
      <c r="N8" s="6">
        <f t="shared" si="4"/>
        <v>50400</v>
      </c>
    </row>
    <row r="9" spans="2:14" ht="19.05" customHeight="1" x14ac:dyDescent="0.3">
      <c r="B9" s="43">
        <v>4</v>
      </c>
      <c r="C9" s="22">
        <f>GRAFICA_42!E31</f>
        <v>0</v>
      </c>
      <c r="D9" s="22">
        <f>GRAFICA_42!F31</f>
        <v>400</v>
      </c>
      <c r="E9" s="22">
        <f>GRAFICA_42!G31</f>
        <v>0</v>
      </c>
      <c r="F9" s="22">
        <f>GRAFICA_42!H31</f>
        <v>0</v>
      </c>
      <c r="G9" s="9">
        <f t="shared" si="0"/>
        <v>0</v>
      </c>
      <c r="H9" s="9">
        <f t="shared" si="0"/>
        <v>-400</v>
      </c>
      <c r="I9" s="9">
        <f t="shared" si="1"/>
        <v>400</v>
      </c>
      <c r="J9" s="92">
        <f t="shared" si="2"/>
        <v>0</v>
      </c>
      <c r="K9" s="92">
        <f t="shared" si="3"/>
        <v>-1</v>
      </c>
      <c r="L9" s="22">
        <f>GRAFICA_42!N31</f>
        <v>12</v>
      </c>
      <c r="M9" s="22">
        <f>GRAFICA_42!O31</f>
        <v>2100000</v>
      </c>
      <c r="N9" s="6">
        <f t="shared" si="4"/>
        <v>63000</v>
      </c>
    </row>
    <row r="10" spans="2:14" ht="19.05" customHeight="1" x14ac:dyDescent="0.3">
      <c r="B10" s="44">
        <v>5</v>
      </c>
      <c r="C10" s="22">
        <f>GRAFICA_42!E32</f>
        <v>0</v>
      </c>
      <c r="D10" s="22">
        <f>GRAFICA_42!F32</f>
        <v>0</v>
      </c>
      <c r="E10" s="22">
        <f>GRAFICA_42!G32</f>
        <v>500</v>
      </c>
      <c r="F10" s="22">
        <f>GRAFICA_42!H32</f>
        <v>400</v>
      </c>
      <c r="G10" s="9">
        <f t="shared" si="0"/>
        <v>500</v>
      </c>
      <c r="H10" s="9">
        <f t="shared" si="0"/>
        <v>400</v>
      </c>
      <c r="I10" s="9">
        <f t="shared" si="1"/>
        <v>640.31242374328485</v>
      </c>
      <c r="J10" s="92">
        <f t="shared" si="2"/>
        <v>0.78086880944303039</v>
      </c>
      <c r="K10" s="92">
        <f t="shared" si="3"/>
        <v>0.62469504755442429</v>
      </c>
      <c r="L10" s="22">
        <f>GRAFICA_42!N32</f>
        <v>12</v>
      </c>
      <c r="M10" s="22">
        <f>GRAFICA_42!O32</f>
        <v>2100000</v>
      </c>
      <c r="N10" s="6">
        <f t="shared" si="4"/>
        <v>39355.787995928731</v>
      </c>
    </row>
    <row r="11" spans="2:14" ht="19.05" customHeight="1" x14ac:dyDescent="0.3">
      <c r="B11" s="51">
        <v>6</v>
      </c>
      <c r="C11" s="22">
        <f>GRAFICA_42!E33</f>
        <v>500</v>
      </c>
      <c r="D11" s="22">
        <f>GRAFICA_42!F33</f>
        <v>0</v>
      </c>
      <c r="E11" s="22">
        <f>GRAFICA_42!G33</f>
        <v>0</v>
      </c>
      <c r="F11" s="22">
        <f>GRAFICA_42!H33</f>
        <v>400</v>
      </c>
      <c r="G11" s="9">
        <f t="shared" si="0"/>
        <v>-500</v>
      </c>
      <c r="H11" s="9">
        <f t="shared" si="0"/>
        <v>400</v>
      </c>
      <c r="I11" s="9">
        <f t="shared" si="1"/>
        <v>640.31242374328485</v>
      </c>
      <c r="J11" s="92">
        <f t="shared" si="2"/>
        <v>-0.78086880944303039</v>
      </c>
      <c r="K11" s="92">
        <f t="shared" si="3"/>
        <v>0.62469504755442429</v>
      </c>
      <c r="L11" s="22">
        <f>GRAFICA_42!N33</f>
        <v>12</v>
      </c>
      <c r="M11" s="22">
        <f>GRAFICA_42!O33</f>
        <v>2100000</v>
      </c>
      <c r="N11" s="6">
        <f t="shared" si="4"/>
        <v>39355.787995928731</v>
      </c>
    </row>
    <row r="13" spans="2:14" ht="18" customHeight="1" x14ac:dyDescent="0.3">
      <c r="B13" s="202" t="s">
        <v>145</v>
      </c>
      <c r="C13" s="202" t="s">
        <v>369</v>
      </c>
      <c r="D13" s="173"/>
      <c r="E13" s="202" t="s">
        <v>370</v>
      </c>
      <c r="F13" s="173"/>
    </row>
    <row r="14" spans="2:14" ht="18" customHeight="1" x14ac:dyDescent="0.3">
      <c r="B14" s="203"/>
      <c r="C14" s="81" t="s">
        <v>157</v>
      </c>
      <c r="D14" s="81" t="s">
        <v>158</v>
      </c>
      <c r="E14" s="81" t="s">
        <v>157</v>
      </c>
      <c r="F14" s="81" t="s">
        <v>158</v>
      </c>
    </row>
    <row r="15" spans="2:14" ht="19.05" customHeight="1" x14ac:dyDescent="0.3">
      <c r="B15" s="85">
        <v>1</v>
      </c>
      <c r="C15" s="23">
        <f>GRAFICA_42!C28</f>
        <v>1</v>
      </c>
      <c r="D15" s="23">
        <f>GRAFICA_42!C28</f>
        <v>1</v>
      </c>
      <c r="E15" s="23">
        <f>GRAFICA_42!D28</f>
        <v>2</v>
      </c>
      <c r="F15" s="23">
        <f>GRAFICA_42!D28</f>
        <v>2</v>
      </c>
    </row>
    <row r="16" spans="2:14" ht="19.05" customHeight="1" x14ac:dyDescent="0.3">
      <c r="B16" s="25">
        <v>2</v>
      </c>
      <c r="C16" s="23">
        <f>GRAFICA_42!C29</f>
        <v>2</v>
      </c>
      <c r="D16" s="23">
        <f>GRAFICA_42!C29</f>
        <v>2</v>
      </c>
      <c r="E16" s="23">
        <f>GRAFICA_42!D29</f>
        <v>3</v>
      </c>
      <c r="F16" s="23">
        <f>GRAFICA_42!D29</f>
        <v>3</v>
      </c>
    </row>
    <row r="17" spans="1:10" ht="19.05" customHeight="1" x14ac:dyDescent="0.3">
      <c r="B17" s="26">
        <v>3</v>
      </c>
      <c r="C17" s="23">
        <f>GRAFICA_42!C30</f>
        <v>3</v>
      </c>
      <c r="D17" s="23">
        <f>GRAFICA_42!C30</f>
        <v>3</v>
      </c>
      <c r="E17" s="23">
        <f>GRAFICA_42!D30</f>
        <v>4</v>
      </c>
      <c r="F17" s="23">
        <f>GRAFICA_42!D30</f>
        <v>4</v>
      </c>
    </row>
    <row r="18" spans="1:10" ht="19.05" customHeight="1" x14ac:dyDescent="0.3">
      <c r="B18" s="43">
        <v>4</v>
      </c>
      <c r="C18" s="23">
        <f>GRAFICA_42!C31</f>
        <v>4</v>
      </c>
      <c r="D18" s="23">
        <f>GRAFICA_42!C31</f>
        <v>4</v>
      </c>
      <c r="E18" s="23">
        <f>GRAFICA_42!D31</f>
        <v>1</v>
      </c>
      <c r="F18" s="23">
        <f>GRAFICA_42!D31</f>
        <v>1</v>
      </c>
    </row>
    <row r="19" spans="1:10" ht="19.05" customHeight="1" x14ac:dyDescent="0.3">
      <c r="B19" s="44">
        <v>5</v>
      </c>
      <c r="C19" s="23">
        <f>GRAFICA_42!C32</f>
        <v>1</v>
      </c>
      <c r="D19" s="23">
        <f>GRAFICA_42!C32</f>
        <v>1</v>
      </c>
      <c r="E19" s="23">
        <f>GRAFICA_42!D32</f>
        <v>3</v>
      </c>
      <c r="F19" s="23">
        <f>GRAFICA_42!D32</f>
        <v>3</v>
      </c>
    </row>
    <row r="20" spans="1:10" ht="19.05" customHeight="1" x14ac:dyDescent="0.3">
      <c r="B20" s="51">
        <v>6</v>
      </c>
      <c r="C20" s="23">
        <f>GRAFICA_42!C33</f>
        <v>2</v>
      </c>
      <c r="D20" s="23">
        <f>GRAFICA_42!C33</f>
        <v>2</v>
      </c>
      <c r="E20" s="23">
        <f>GRAFICA_42!D33</f>
        <v>4</v>
      </c>
      <c r="F20" s="23">
        <f>GRAFICA_42!D33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50400</v>
      </c>
      <c r="C24" s="7">
        <f>J6*K6*N6</f>
        <v>0</v>
      </c>
      <c r="D24" s="7">
        <f>-B24</f>
        <v>-50400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-50400</v>
      </c>
      <c r="C26" s="7">
        <f>E24</f>
        <v>0</v>
      </c>
      <c r="D26" s="7">
        <f>B24</f>
        <v>50400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50400</v>
      </c>
      <c r="C30" s="8">
        <f t="shared" si="5"/>
        <v>0</v>
      </c>
      <c r="D30" s="8">
        <f t="shared" si="5"/>
        <v>-50400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-50400</v>
      </c>
      <c r="C32" s="8">
        <f t="shared" si="5"/>
        <v>0</v>
      </c>
      <c r="D32" s="8">
        <f t="shared" si="5"/>
        <v>50400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63000</v>
      </c>
      <c r="D42" s="30">
        <f>-B42</f>
        <v>0</v>
      </c>
      <c r="E42" s="30">
        <f>-C42</f>
        <v>-63000</v>
      </c>
      <c r="F42" s="29" t="str">
        <f>C40</f>
        <v>U2Y</v>
      </c>
    </row>
    <row r="43" spans="1:10" x14ac:dyDescent="0.3">
      <c r="B43" s="30">
        <f>D41</f>
        <v>0</v>
      </c>
      <c r="C43" s="30">
        <f>E41</f>
        <v>0</v>
      </c>
      <c r="D43" s="30">
        <f>B41</f>
        <v>0</v>
      </c>
      <c r="E43" s="30">
        <f>C41</f>
        <v>0</v>
      </c>
      <c r="F43" s="29" t="str">
        <f>D40</f>
        <v>U3X</v>
      </c>
    </row>
    <row r="44" spans="1:10" x14ac:dyDescent="0.3">
      <c r="B44" s="30">
        <f>D42</f>
        <v>0</v>
      </c>
      <c r="C44" s="30">
        <f>E42</f>
        <v>-63000</v>
      </c>
      <c r="D44" s="30">
        <f>B42</f>
        <v>0</v>
      </c>
      <c r="E44" s="30">
        <f>C42</f>
        <v>63000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63000</v>
      </c>
      <c r="F50" s="31">
        <f t="shared" si="6"/>
        <v>0</v>
      </c>
      <c r="G50" s="31">
        <f t="shared" si="6"/>
        <v>-63000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-63000</v>
      </c>
      <c r="F52" s="31">
        <f t="shared" si="6"/>
        <v>0</v>
      </c>
      <c r="G52" s="31">
        <f t="shared" si="6"/>
        <v>63000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50400</v>
      </c>
      <c r="C58" s="33">
        <f>J8*K8*N8</f>
        <v>0</v>
      </c>
      <c r="D58" s="33">
        <f>-B58</f>
        <v>-50400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-50400</v>
      </c>
      <c r="C60" s="33">
        <f>E58</f>
        <v>0</v>
      </c>
      <c r="D60" s="33">
        <f>B58</f>
        <v>50400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50400</v>
      </c>
      <c r="G68" s="34">
        <f t="shared" si="7"/>
        <v>0</v>
      </c>
      <c r="H68" s="34">
        <f t="shared" si="7"/>
        <v>-50400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-50400</v>
      </c>
      <c r="G70" s="34">
        <f t="shared" si="7"/>
        <v>0</v>
      </c>
      <c r="H70" s="34">
        <f t="shared" si="7"/>
        <v>50400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63000</v>
      </c>
      <c r="D76" s="46">
        <f>-B76</f>
        <v>0</v>
      </c>
      <c r="E76" s="46">
        <f>-C76</f>
        <v>-63000</v>
      </c>
      <c r="F76" s="45" t="str">
        <f>C74</f>
        <v>U4Y</v>
      </c>
    </row>
    <row r="77" spans="1:10" x14ac:dyDescent="0.3">
      <c r="B77" s="46">
        <f>D75</f>
        <v>0</v>
      </c>
      <c r="C77" s="46">
        <f>E75</f>
        <v>0</v>
      </c>
      <c r="D77" s="46">
        <f>B75</f>
        <v>0</v>
      </c>
      <c r="E77" s="46">
        <f>C75</f>
        <v>0</v>
      </c>
      <c r="F77" s="45" t="str">
        <f>D74</f>
        <v>U1X</v>
      </c>
    </row>
    <row r="78" spans="1:10" x14ac:dyDescent="0.3">
      <c r="B78" s="46">
        <f>D76</f>
        <v>0</v>
      </c>
      <c r="C78" s="46">
        <f>E76</f>
        <v>-63000</v>
      </c>
      <c r="D78" s="46">
        <f>B76</f>
        <v>0</v>
      </c>
      <c r="E78" s="46">
        <f>C76</f>
        <v>63000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63000</v>
      </c>
      <c r="D82" s="9">
        <f t="shared" si="8"/>
        <v>0</v>
      </c>
      <c r="E82" s="9">
        <f t="shared" si="8"/>
        <v>0</v>
      </c>
      <c r="F82" s="9">
        <f t="shared" si="8"/>
        <v>0</v>
      </c>
      <c r="G82" s="9">
        <f t="shared" si="8"/>
        <v>0</v>
      </c>
      <c r="H82" s="47">
        <f t="shared" si="8"/>
        <v>0</v>
      </c>
      <c r="I82" s="47">
        <f t="shared" si="8"/>
        <v>-63000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-63000</v>
      </c>
      <c r="D88" s="9">
        <f t="shared" si="8"/>
        <v>0</v>
      </c>
      <c r="E88" s="9">
        <f t="shared" si="8"/>
        <v>0</v>
      </c>
      <c r="F88" s="9">
        <f t="shared" si="8"/>
        <v>0</v>
      </c>
      <c r="G88" s="9">
        <f t="shared" si="8"/>
        <v>0</v>
      </c>
      <c r="H88" s="47">
        <f t="shared" si="8"/>
        <v>0</v>
      </c>
      <c r="I88" s="47">
        <f t="shared" si="8"/>
        <v>63000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23997.431704834595</v>
      </c>
      <c r="C92" s="49">
        <f>J10*K10*N10</f>
        <v>19197.945363867675</v>
      </c>
      <c r="D92" s="49">
        <f>-B92</f>
        <v>-23997.431704834595</v>
      </c>
      <c r="E92" s="49">
        <f>-C92</f>
        <v>-19197.945363867675</v>
      </c>
      <c r="F92" s="48" t="str">
        <f>B91</f>
        <v>U1X</v>
      </c>
    </row>
    <row r="93" spans="1:10" ht="16.8" customHeight="1" x14ac:dyDescent="0.3">
      <c r="A93" s="28" t="s">
        <v>197</v>
      </c>
      <c r="B93" s="49">
        <f>C92</f>
        <v>19197.945363867675</v>
      </c>
      <c r="C93" s="49">
        <f>K10*K10*N10</f>
        <v>15358.35629109414</v>
      </c>
      <c r="D93" s="49">
        <f>-B93</f>
        <v>-19197.945363867675</v>
      </c>
      <c r="E93" s="49">
        <f>-C93</f>
        <v>-15358.35629109414</v>
      </c>
      <c r="F93" s="48" t="str">
        <f>C91</f>
        <v>U1Y</v>
      </c>
    </row>
    <row r="94" spans="1:10" x14ac:dyDescent="0.3">
      <c r="B94" s="49">
        <f>D92</f>
        <v>-23997.431704834595</v>
      </c>
      <c r="C94" s="49">
        <f>E92</f>
        <v>-19197.945363867675</v>
      </c>
      <c r="D94" s="49">
        <f>B92</f>
        <v>23997.431704834595</v>
      </c>
      <c r="E94" s="49">
        <f>C92</f>
        <v>19197.945363867675</v>
      </c>
      <c r="F94" s="48" t="str">
        <f>D91</f>
        <v>U3X</v>
      </c>
    </row>
    <row r="95" spans="1:10" x14ac:dyDescent="0.3">
      <c r="B95" s="49">
        <f>D93</f>
        <v>-19197.945363867675</v>
      </c>
      <c r="C95" s="49">
        <f>E93</f>
        <v>-15358.35629109414</v>
      </c>
      <c r="D95" s="49">
        <f>B93</f>
        <v>19197.945363867675</v>
      </c>
      <c r="E95" s="49">
        <f>C93</f>
        <v>15358.35629109414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23997.431704834595</v>
      </c>
      <c r="C98" s="50">
        <f t="shared" si="9"/>
        <v>19197.945363867675</v>
      </c>
      <c r="D98" s="9">
        <f t="shared" si="9"/>
        <v>0</v>
      </c>
      <c r="E98" s="9">
        <f t="shared" si="9"/>
        <v>0</v>
      </c>
      <c r="F98" s="50">
        <f t="shared" si="9"/>
        <v>-23997.431704834595</v>
      </c>
      <c r="G98" s="50">
        <f t="shared" si="9"/>
        <v>-19197.945363867675</v>
      </c>
      <c r="H98" s="9">
        <f t="shared" si="9"/>
        <v>0</v>
      </c>
      <c r="I98" s="9">
        <f t="shared" si="9"/>
        <v>0</v>
      </c>
      <c r="J98" s="48" t="s">
        <v>178</v>
      </c>
    </row>
    <row r="99" spans="1:10" ht="19.05" customHeight="1" x14ac:dyDescent="0.3">
      <c r="B99" s="50">
        <f t="shared" si="9"/>
        <v>19197.945363867675</v>
      </c>
      <c r="C99" s="50">
        <f t="shared" si="9"/>
        <v>15358.35629109414</v>
      </c>
      <c r="D99" s="9">
        <f t="shared" si="9"/>
        <v>0</v>
      </c>
      <c r="E99" s="9">
        <f t="shared" si="9"/>
        <v>0</v>
      </c>
      <c r="F99" s="50">
        <f t="shared" si="9"/>
        <v>-19197.945363867675</v>
      </c>
      <c r="G99" s="50">
        <f t="shared" si="9"/>
        <v>-15358.35629109414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-23997.431704834595</v>
      </c>
      <c r="C102" s="50">
        <f t="shared" si="9"/>
        <v>-19197.945363867675</v>
      </c>
      <c r="D102" s="9">
        <f t="shared" si="9"/>
        <v>0</v>
      </c>
      <c r="E102" s="9">
        <f t="shared" si="9"/>
        <v>0</v>
      </c>
      <c r="F102" s="50">
        <f t="shared" si="9"/>
        <v>23997.431704834595</v>
      </c>
      <c r="G102" s="50">
        <f t="shared" si="9"/>
        <v>19197.945363867675</v>
      </c>
      <c r="H102" s="9">
        <f t="shared" si="9"/>
        <v>0</v>
      </c>
      <c r="I102" s="9">
        <f t="shared" si="9"/>
        <v>0</v>
      </c>
      <c r="J102" s="48" t="s">
        <v>182</v>
      </c>
    </row>
    <row r="103" spans="1:10" ht="19.05" customHeight="1" x14ac:dyDescent="0.3">
      <c r="B103" s="50">
        <f t="shared" si="9"/>
        <v>-19197.945363867675</v>
      </c>
      <c r="C103" s="50">
        <f t="shared" si="9"/>
        <v>-15358.35629109414</v>
      </c>
      <c r="D103" s="9">
        <f t="shared" si="9"/>
        <v>0</v>
      </c>
      <c r="E103" s="9">
        <f t="shared" si="9"/>
        <v>0</v>
      </c>
      <c r="F103" s="50">
        <f t="shared" si="9"/>
        <v>19197.945363867675</v>
      </c>
      <c r="G103" s="50">
        <f t="shared" si="9"/>
        <v>15358.35629109414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23997.431704834595</v>
      </c>
      <c r="C109" s="54">
        <f>J11*K11*N11</f>
        <v>-19197.945363867675</v>
      </c>
      <c r="D109" s="54">
        <f>-B109</f>
        <v>-23997.431704834595</v>
      </c>
      <c r="E109" s="54">
        <f>-C109</f>
        <v>19197.945363867675</v>
      </c>
      <c r="F109" s="53" t="str">
        <f>B108</f>
        <v>U2X</v>
      </c>
    </row>
    <row r="110" spans="1:10" ht="16.8" customHeight="1" x14ac:dyDescent="0.3">
      <c r="A110" s="28" t="s">
        <v>199</v>
      </c>
      <c r="B110" s="54">
        <f>C109</f>
        <v>-19197.945363867675</v>
      </c>
      <c r="C110" s="54">
        <f>K11*K11*N11</f>
        <v>15358.35629109414</v>
      </c>
      <c r="D110" s="54">
        <f>-B110</f>
        <v>19197.945363867675</v>
      </c>
      <c r="E110" s="54">
        <f>-C110</f>
        <v>-15358.35629109414</v>
      </c>
      <c r="F110" s="53" t="str">
        <f>C108</f>
        <v>U2Y</v>
      </c>
    </row>
    <row r="111" spans="1:10" x14ac:dyDescent="0.3">
      <c r="B111" s="54">
        <f>D109</f>
        <v>-23997.431704834595</v>
      </c>
      <c r="C111" s="54">
        <f>E109</f>
        <v>19197.945363867675</v>
      </c>
      <c r="D111" s="54">
        <f>B109</f>
        <v>23997.431704834595</v>
      </c>
      <c r="E111" s="54">
        <f>C109</f>
        <v>-19197.945363867675</v>
      </c>
      <c r="F111" s="53" t="str">
        <f>D108</f>
        <v>U4X</v>
      </c>
    </row>
    <row r="112" spans="1:10" x14ac:dyDescent="0.3">
      <c r="B112" s="54">
        <f>D110</f>
        <v>19197.945363867675</v>
      </c>
      <c r="C112" s="54">
        <f>E110</f>
        <v>-15358.35629109414</v>
      </c>
      <c r="D112" s="54">
        <f>B110</f>
        <v>-19197.945363867675</v>
      </c>
      <c r="E112" s="54">
        <f>C110</f>
        <v>15358.35629109414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23997.431704834595</v>
      </c>
      <c r="E117" s="55">
        <f t="shared" si="10"/>
        <v>-19197.945363867675</v>
      </c>
      <c r="F117" s="9">
        <f t="shared" si="10"/>
        <v>0</v>
      </c>
      <c r="G117" s="9">
        <f t="shared" si="10"/>
        <v>0</v>
      </c>
      <c r="H117" s="55">
        <f t="shared" si="10"/>
        <v>-23997.431704834595</v>
      </c>
      <c r="I117" s="55">
        <f t="shared" si="10"/>
        <v>19197.945363867675</v>
      </c>
      <c r="J117" s="53" t="s">
        <v>180</v>
      </c>
    </row>
    <row r="118" spans="1:10" ht="19.05" customHeight="1" x14ac:dyDescent="0.3">
      <c r="A118" s="28" t="s">
        <v>200</v>
      </c>
      <c r="B118" s="9">
        <f t="shared" si="10"/>
        <v>0</v>
      </c>
      <c r="C118" s="9">
        <f t="shared" si="10"/>
        <v>0</v>
      </c>
      <c r="D118" s="55">
        <f t="shared" si="10"/>
        <v>-19197.945363867675</v>
      </c>
      <c r="E118" s="55">
        <f t="shared" si="10"/>
        <v>15358.35629109414</v>
      </c>
      <c r="F118" s="9">
        <f t="shared" si="10"/>
        <v>0</v>
      </c>
      <c r="G118" s="9">
        <f t="shared" si="10"/>
        <v>0</v>
      </c>
      <c r="H118" s="55">
        <f t="shared" si="10"/>
        <v>19197.945363867675</v>
      </c>
      <c r="I118" s="55">
        <f t="shared" si="10"/>
        <v>-15358.35629109414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-23997.431704834595</v>
      </c>
      <c r="E121" s="55">
        <f t="shared" si="10"/>
        <v>19197.945363867675</v>
      </c>
      <c r="F121" s="9">
        <f t="shared" si="10"/>
        <v>0</v>
      </c>
      <c r="G121" s="9">
        <f t="shared" si="10"/>
        <v>0</v>
      </c>
      <c r="H121" s="55">
        <f t="shared" si="10"/>
        <v>23997.431704834595</v>
      </c>
      <c r="I121" s="55">
        <f t="shared" si="10"/>
        <v>-19197.945363867675</v>
      </c>
      <c r="J121" s="53" t="s">
        <v>184</v>
      </c>
    </row>
    <row r="122" spans="1:10" ht="19.05" customHeight="1" x14ac:dyDescent="0.3">
      <c r="B122" s="9">
        <f t="shared" si="10"/>
        <v>0</v>
      </c>
      <c r="C122" s="9">
        <f t="shared" si="10"/>
        <v>0</v>
      </c>
      <c r="D122" s="55">
        <f t="shared" si="10"/>
        <v>19197.945363867675</v>
      </c>
      <c r="E122" s="55">
        <f t="shared" si="10"/>
        <v>-15358.35629109414</v>
      </c>
      <c r="F122" s="9">
        <f t="shared" si="10"/>
        <v>0</v>
      </c>
      <c r="G122" s="9">
        <f t="shared" si="10"/>
        <v>0</v>
      </c>
      <c r="H122" s="55">
        <f t="shared" si="10"/>
        <v>-19197.945363867675</v>
      </c>
      <c r="I122" s="55">
        <f t="shared" si="10"/>
        <v>15358.35629109414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74397.431704834598</v>
      </c>
      <c r="C126" s="36">
        <f t="shared" si="11"/>
        <v>19197.945363867675</v>
      </c>
      <c r="D126" s="9">
        <f t="shared" si="11"/>
        <v>-50400</v>
      </c>
      <c r="E126" s="9">
        <f t="shared" si="11"/>
        <v>0</v>
      </c>
      <c r="F126" s="9">
        <f t="shared" si="11"/>
        <v>-23997.431704834595</v>
      </c>
      <c r="G126" s="9">
        <f t="shared" si="11"/>
        <v>-19197.945363867675</v>
      </c>
      <c r="H126" s="9">
        <f t="shared" si="11"/>
        <v>0</v>
      </c>
      <c r="I126" s="9">
        <f t="shared" si="11"/>
        <v>0</v>
      </c>
      <c r="J126" s="89" t="s">
        <v>178</v>
      </c>
    </row>
    <row r="127" spans="1:10" ht="19.95" customHeight="1" x14ac:dyDescent="0.3">
      <c r="B127" s="36">
        <f t="shared" si="11"/>
        <v>19197.945363867675</v>
      </c>
      <c r="C127" s="35">
        <f t="shared" si="11"/>
        <v>78358.35629109414</v>
      </c>
      <c r="D127" s="9">
        <f t="shared" si="11"/>
        <v>0</v>
      </c>
      <c r="E127" s="9">
        <f t="shared" si="11"/>
        <v>0</v>
      </c>
      <c r="F127" s="9">
        <f t="shared" si="11"/>
        <v>-19197.945363867675</v>
      </c>
      <c r="G127" s="9">
        <f t="shared" si="11"/>
        <v>-15358.35629109414</v>
      </c>
      <c r="H127" s="9">
        <f t="shared" si="11"/>
        <v>0</v>
      </c>
      <c r="I127" s="9">
        <f t="shared" si="11"/>
        <v>-63000</v>
      </c>
      <c r="J127" s="89" t="s">
        <v>179</v>
      </c>
    </row>
    <row r="128" spans="1:10" ht="19.95" customHeight="1" x14ac:dyDescent="0.3">
      <c r="B128" s="9">
        <f t="shared" si="11"/>
        <v>-50400</v>
      </c>
      <c r="C128" s="9">
        <f t="shared" si="11"/>
        <v>0</v>
      </c>
      <c r="D128" s="35">
        <f t="shared" si="11"/>
        <v>74397.431704834598</v>
      </c>
      <c r="E128" s="36">
        <f t="shared" si="11"/>
        <v>-19197.945363867675</v>
      </c>
      <c r="F128" s="9">
        <f t="shared" si="11"/>
        <v>0</v>
      </c>
      <c r="G128" s="9">
        <f t="shared" si="11"/>
        <v>0</v>
      </c>
      <c r="H128" s="9">
        <f t="shared" si="11"/>
        <v>-23997.431704834595</v>
      </c>
      <c r="I128" s="9">
        <f t="shared" si="11"/>
        <v>19197.945363867675</v>
      </c>
      <c r="J128" s="89" t="s">
        <v>180</v>
      </c>
    </row>
    <row r="129" spans="1:17" ht="19.95" customHeight="1" x14ac:dyDescent="0.3">
      <c r="A129" s="28" t="s">
        <v>205</v>
      </c>
      <c r="B129" s="9">
        <f t="shared" si="11"/>
        <v>0</v>
      </c>
      <c r="C129" s="9">
        <f t="shared" si="11"/>
        <v>0</v>
      </c>
      <c r="D129" s="36">
        <f t="shared" si="11"/>
        <v>-19197.945363867675</v>
      </c>
      <c r="E129" s="35">
        <f t="shared" si="11"/>
        <v>78358.35629109414</v>
      </c>
      <c r="F129" s="9">
        <f t="shared" si="11"/>
        <v>0</v>
      </c>
      <c r="G129" s="9">
        <f t="shared" si="11"/>
        <v>-63000</v>
      </c>
      <c r="H129" s="9">
        <f t="shared" si="11"/>
        <v>19197.945363867675</v>
      </c>
      <c r="I129" s="9">
        <f t="shared" si="11"/>
        <v>-15358.35629109414</v>
      </c>
      <c r="J129" s="89" t="s">
        <v>181</v>
      </c>
    </row>
    <row r="130" spans="1:17" ht="19.95" customHeight="1" x14ac:dyDescent="0.3">
      <c r="B130" s="9">
        <f t="shared" si="11"/>
        <v>-23997.431704834595</v>
      </c>
      <c r="C130" s="9">
        <f t="shared" si="11"/>
        <v>-19197.945363867675</v>
      </c>
      <c r="D130" s="9">
        <f t="shared" si="11"/>
        <v>0</v>
      </c>
      <c r="E130" s="9">
        <f t="shared" si="11"/>
        <v>0</v>
      </c>
      <c r="F130" s="35">
        <f t="shared" si="11"/>
        <v>74397.431704834598</v>
      </c>
      <c r="G130" s="36">
        <f t="shared" si="11"/>
        <v>19197.945363867675</v>
      </c>
      <c r="H130" s="9">
        <f t="shared" si="11"/>
        <v>-50400</v>
      </c>
      <c r="I130" s="9">
        <f t="shared" si="11"/>
        <v>0</v>
      </c>
      <c r="J130" s="89" t="s">
        <v>182</v>
      </c>
    </row>
    <row r="131" spans="1:17" ht="19.95" customHeight="1" x14ac:dyDescent="0.3">
      <c r="B131" s="9">
        <f t="shared" si="11"/>
        <v>-19197.945363867675</v>
      </c>
      <c r="C131" s="9">
        <f t="shared" si="11"/>
        <v>-15358.35629109414</v>
      </c>
      <c r="D131" s="9">
        <f t="shared" si="11"/>
        <v>0</v>
      </c>
      <c r="E131" s="9">
        <f t="shared" si="11"/>
        <v>-63000</v>
      </c>
      <c r="F131" s="36">
        <f t="shared" si="11"/>
        <v>19197.945363867675</v>
      </c>
      <c r="G131" s="35">
        <f t="shared" si="11"/>
        <v>78358.35629109414</v>
      </c>
      <c r="H131" s="9">
        <f t="shared" si="11"/>
        <v>0</v>
      </c>
      <c r="I131" s="9">
        <f t="shared" si="11"/>
        <v>0</v>
      </c>
      <c r="J131" s="89" t="s">
        <v>183</v>
      </c>
    </row>
    <row r="132" spans="1:17" ht="19.95" customHeight="1" x14ac:dyDescent="0.3">
      <c r="B132" s="9">
        <f t="shared" si="11"/>
        <v>0</v>
      </c>
      <c r="C132" s="9">
        <f t="shared" si="11"/>
        <v>0</v>
      </c>
      <c r="D132" s="9">
        <f t="shared" si="11"/>
        <v>-23997.431704834595</v>
      </c>
      <c r="E132" s="9">
        <f t="shared" si="11"/>
        <v>19197.945363867675</v>
      </c>
      <c r="F132" s="9">
        <f t="shared" si="11"/>
        <v>-50400</v>
      </c>
      <c r="G132" s="9">
        <f t="shared" si="11"/>
        <v>0</v>
      </c>
      <c r="H132" s="35">
        <f t="shared" si="11"/>
        <v>74397.431704834598</v>
      </c>
      <c r="I132" s="36">
        <f t="shared" si="11"/>
        <v>-19197.945363867675</v>
      </c>
      <c r="J132" s="89" t="s">
        <v>184</v>
      </c>
    </row>
    <row r="133" spans="1:17" ht="19.95" customHeight="1" x14ac:dyDescent="0.3">
      <c r="B133" s="9">
        <f t="shared" si="11"/>
        <v>0</v>
      </c>
      <c r="C133" s="9">
        <f t="shared" si="11"/>
        <v>-63000</v>
      </c>
      <c r="D133" s="9">
        <f t="shared" si="11"/>
        <v>19197.945363867675</v>
      </c>
      <c r="E133" s="9">
        <f t="shared" si="11"/>
        <v>-15358.35629109414</v>
      </c>
      <c r="F133" s="9">
        <f t="shared" si="11"/>
        <v>0</v>
      </c>
      <c r="G133" s="9">
        <f t="shared" si="11"/>
        <v>0</v>
      </c>
      <c r="H133" s="36">
        <f t="shared" si="11"/>
        <v>-19197.945363867675</v>
      </c>
      <c r="I133" s="35">
        <f t="shared" si="11"/>
        <v>78358.35629109414</v>
      </c>
      <c r="J133" s="89" t="s">
        <v>185</v>
      </c>
    </row>
    <row r="136" spans="1:17" ht="19.95" customHeight="1" x14ac:dyDescent="0.35">
      <c r="A136" s="11" t="s">
        <v>206</v>
      </c>
      <c r="L136" s="216" t="s">
        <v>207</v>
      </c>
      <c r="M136" s="172"/>
      <c r="N136" s="172"/>
      <c r="O136" s="172"/>
      <c r="P136" s="172"/>
      <c r="Q136" s="173"/>
    </row>
    <row r="137" spans="1:17" ht="16.95" customHeight="1" x14ac:dyDescent="0.3">
      <c r="B137" s="12" t="s">
        <v>208</v>
      </c>
      <c r="C137" s="12" t="s">
        <v>178</v>
      </c>
      <c r="E137" s="37" t="str">
        <f>IF(GRAFICA_42!F14=1, B137, GRAFICA_42!H14)</f>
        <v>C1X</v>
      </c>
      <c r="L137" s="215" t="s">
        <v>376</v>
      </c>
      <c r="M137" s="172"/>
      <c r="N137" s="172"/>
      <c r="O137" s="172"/>
      <c r="P137" s="172"/>
      <c r="Q137" s="173"/>
    </row>
    <row r="138" spans="1:17" ht="16.95" customHeight="1" x14ac:dyDescent="0.3">
      <c r="B138" s="12" t="s">
        <v>210</v>
      </c>
      <c r="C138" s="12" t="s">
        <v>179</v>
      </c>
      <c r="E138" s="37" t="str">
        <f>IF(GRAFICA_42!G14=1, B138, GRAFICA_42!I14)</f>
        <v>C1Y</v>
      </c>
      <c r="L138" s="215" t="s">
        <v>211</v>
      </c>
      <c r="M138" s="172"/>
      <c r="N138" s="172"/>
      <c r="O138" s="172"/>
      <c r="P138" s="172"/>
      <c r="Q138" s="173"/>
    </row>
    <row r="139" spans="1:17" ht="16.95" customHeight="1" x14ac:dyDescent="0.3">
      <c r="B139" s="12" t="s">
        <v>212</v>
      </c>
      <c r="C139" s="12" t="s">
        <v>180</v>
      </c>
      <c r="E139" s="37">
        <f>IF(GRAFICA_42!F15=1, B139, GRAFICA_42!H15)</f>
        <v>0</v>
      </c>
      <c r="L139" s="215" t="s">
        <v>377</v>
      </c>
      <c r="M139" s="172"/>
      <c r="N139" s="172"/>
      <c r="O139" s="172"/>
      <c r="P139" s="172"/>
      <c r="Q139" s="173"/>
    </row>
    <row r="140" spans="1:17" ht="16.95" customHeight="1" x14ac:dyDescent="0.3">
      <c r="A140" s="38" t="s">
        <v>218</v>
      </c>
      <c r="B140" s="12" t="s">
        <v>214</v>
      </c>
      <c r="C140" s="12" t="s">
        <v>181</v>
      </c>
      <c r="D140" s="13" t="s">
        <v>220</v>
      </c>
      <c r="E140" s="37" t="str">
        <f>IF(GRAFICA_42!G15=1, B140, GRAFICA_42!I15)</f>
        <v>C2Y</v>
      </c>
      <c r="L140" s="215" t="s">
        <v>215</v>
      </c>
      <c r="M140" s="172"/>
      <c r="N140" s="172"/>
      <c r="O140" s="172"/>
      <c r="P140" s="172"/>
      <c r="Q140" s="173"/>
    </row>
    <row r="141" spans="1:17" ht="16.95" customHeight="1" x14ac:dyDescent="0.3">
      <c r="B141" s="12" t="s">
        <v>216</v>
      </c>
      <c r="C141" s="12" t="s">
        <v>182</v>
      </c>
      <c r="E141" s="37">
        <f>IF(GRAFICA_42!F16=1, B141, GRAFICA_42!H16)</f>
        <v>5000</v>
      </c>
      <c r="L141" s="215" t="s">
        <v>378</v>
      </c>
      <c r="M141" s="172"/>
      <c r="N141" s="172"/>
      <c r="O141" s="172"/>
      <c r="P141" s="172"/>
      <c r="Q141" s="173"/>
    </row>
    <row r="142" spans="1:17" ht="16.95" customHeight="1" x14ac:dyDescent="0.3">
      <c r="B142" s="12" t="s">
        <v>219</v>
      </c>
      <c r="C142" s="12" t="s">
        <v>183</v>
      </c>
      <c r="E142" s="37">
        <f>IF(GRAFICA_42!G16=1, B142, GRAFICA_42!I16)</f>
        <v>0</v>
      </c>
      <c r="L142" s="215" t="s">
        <v>379</v>
      </c>
      <c r="M142" s="172"/>
      <c r="N142" s="172"/>
      <c r="O142" s="172"/>
      <c r="P142" s="172"/>
      <c r="Q142" s="173"/>
    </row>
    <row r="143" spans="1:17" ht="16.95" customHeight="1" x14ac:dyDescent="0.3">
      <c r="B143" s="12" t="s">
        <v>221</v>
      </c>
      <c r="C143" s="12" t="s">
        <v>184</v>
      </c>
      <c r="E143" s="37">
        <f>IF(GRAFICA_42!F17=1, B143, GRAFICA_42!H17)</f>
        <v>5000</v>
      </c>
      <c r="L143" s="215"/>
      <c r="M143" s="172"/>
      <c r="N143" s="172"/>
      <c r="O143" s="172"/>
      <c r="P143" s="172"/>
      <c r="Q143" s="173"/>
    </row>
    <row r="144" spans="1:17" ht="16.95" customHeight="1" x14ac:dyDescent="0.3">
      <c r="B144" s="12" t="s">
        <v>222</v>
      </c>
      <c r="C144" s="12" t="s">
        <v>185</v>
      </c>
      <c r="E144" s="37">
        <f>IF(GRAFICA_42!G17=1, B144, GRAFICA_42!I17)</f>
        <v>0</v>
      </c>
      <c r="L144" s="215"/>
      <c r="M144" s="172"/>
      <c r="N144" s="172"/>
      <c r="O144" s="172"/>
      <c r="P144" s="172"/>
      <c r="Q144" s="173"/>
    </row>
    <row r="145" spans="1:17" ht="16.95" customHeight="1" x14ac:dyDescent="0.3">
      <c r="L145" s="215"/>
      <c r="M145" s="172"/>
      <c r="N145" s="172"/>
      <c r="O145" s="172"/>
      <c r="P145" s="172"/>
      <c r="Q145" s="173"/>
    </row>
    <row r="146" spans="1:17" ht="16.95" customHeight="1" x14ac:dyDescent="0.35">
      <c r="A146" s="11" t="s">
        <v>227</v>
      </c>
      <c r="L146" s="215"/>
      <c r="M146" s="172"/>
      <c r="N146" s="172"/>
      <c r="O146" s="172"/>
      <c r="P146" s="172"/>
      <c r="Q146" s="173"/>
    </row>
    <row r="147" spans="1:17" ht="16.95" customHeight="1" x14ac:dyDescent="0.3">
      <c r="B147" s="12" t="s">
        <v>228</v>
      </c>
      <c r="C147" s="12" t="s">
        <v>178</v>
      </c>
      <c r="E147" s="39">
        <f>IF(GRAFICA_42!F14=1, 0, B147)</f>
        <v>0</v>
      </c>
      <c r="F147" s="14" t="str">
        <f>IF(E147&lt;&gt;0, COUNTIF(E$147:E147, "&lt;&gt;0"), "")</f>
        <v/>
      </c>
      <c r="G147" s="14">
        <f>IF(E147=0, COUNTIF(E$147:E147, 0), "")</f>
        <v>1</v>
      </c>
      <c r="L147" s="215"/>
      <c r="M147" s="172"/>
      <c r="N147" s="172"/>
      <c r="O147" s="172"/>
      <c r="P147" s="172"/>
      <c r="Q147" s="173"/>
    </row>
    <row r="148" spans="1:17" ht="16.95" customHeight="1" x14ac:dyDescent="0.3">
      <c r="B148" s="12" t="s">
        <v>229</v>
      </c>
      <c r="C148" s="12" t="s">
        <v>179</v>
      </c>
      <c r="E148" s="39">
        <f>IF(GRAFICA_42!G14=1, 0, B148)</f>
        <v>0</v>
      </c>
      <c r="F148" s="14" t="str">
        <f>IF(E148&lt;&gt;0, COUNTIF(E$147:E148, "&lt;&gt;0"), "")</f>
        <v/>
      </c>
      <c r="G148" s="14">
        <f>IF(E148=0, COUNTIF(E$147:E148, 0), "")</f>
        <v>2</v>
      </c>
      <c r="L148" s="215"/>
      <c r="M148" s="172"/>
      <c r="N148" s="172"/>
      <c r="O148" s="172"/>
      <c r="P148" s="172"/>
      <c r="Q148" s="173"/>
    </row>
    <row r="149" spans="1:17" ht="16.95" customHeight="1" x14ac:dyDescent="0.3">
      <c r="B149" s="12" t="s">
        <v>230</v>
      </c>
      <c r="C149" s="12" t="s">
        <v>180</v>
      </c>
      <c r="E149" s="39" t="str">
        <f>IF(GRAFICA_42!F15=1, 0, B149)</f>
        <v>D2X</v>
      </c>
      <c r="F149" s="14">
        <f>IF(E149&lt;&gt;0, COUNTIF(E$147:E149, "&lt;&gt;0"), "")</f>
        <v>1</v>
      </c>
      <c r="G149" s="14" t="str">
        <f>IF(E149=0, COUNTIF(E$147:E149, 0), "")</f>
        <v/>
      </c>
      <c r="L149" s="215"/>
      <c r="M149" s="172"/>
      <c r="N149" s="172"/>
      <c r="O149" s="172"/>
      <c r="P149" s="172"/>
      <c r="Q149" s="173"/>
    </row>
    <row r="150" spans="1:17" ht="16.95" customHeight="1" x14ac:dyDescent="0.3">
      <c r="A150" s="38" t="s">
        <v>233</v>
      </c>
      <c r="B150" s="12" t="s">
        <v>231</v>
      </c>
      <c r="C150" s="12" t="s">
        <v>181</v>
      </c>
      <c r="D150" s="13" t="s">
        <v>220</v>
      </c>
      <c r="E150" s="39">
        <f>IF(GRAFICA_42!G15=1, 0, B150)</f>
        <v>0</v>
      </c>
      <c r="F150" s="14" t="str">
        <f>IF(E150&lt;&gt;0, COUNTIF(E$147:E150, "&lt;&gt;0"), "")</f>
        <v/>
      </c>
      <c r="G150" s="14">
        <f>IF(E150=0, COUNTIF(E$147:E150, 0), "")</f>
        <v>3</v>
      </c>
      <c r="L150" s="215"/>
      <c r="M150" s="172"/>
      <c r="N150" s="172"/>
      <c r="O150" s="172"/>
      <c r="P150" s="172"/>
      <c r="Q150" s="173"/>
    </row>
    <row r="151" spans="1:17" ht="16.95" customHeight="1" x14ac:dyDescent="0.3">
      <c r="B151" s="12" t="s">
        <v>232</v>
      </c>
      <c r="C151" s="12" t="s">
        <v>182</v>
      </c>
      <c r="E151" s="39" t="str">
        <f>IF(GRAFICA_42!F16=1, 0, B151)</f>
        <v>D3X</v>
      </c>
      <c r="F151" s="14">
        <f>IF(E151&lt;&gt;0, COUNTIF(E$147:E151, "&lt;&gt;0"), "")</f>
        <v>2</v>
      </c>
      <c r="G151" s="14" t="str">
        <f>IF(E151=0, COUNTIF(E$147:E151, 0), "")</f>
        <v/>
      </c>
      <c r="L151" s="215"/>
      <c r="M151" s="172"/>
      <c r="N151" s="172"/>
      <c r="O151" s="172"/>
      <c r="P151" s="172"/>
      <c r="Q151" s="173"/>
    </row>
    <row r="152" spans="1:17" ht="16.95" customHeight="1" x14ac:dyDescent="0.3">
      <c r="B152" s="12" t="s">
        <v>234</v>
      </c>
      <c r="C152" s="12" t="s">
        <v>183</v>
      </c>
      <c r="E152" s="39" t="str">
        <f>IF(GRAFICA_42!G16=1, 0, B152)</f>
        <v>D3Y</v>
      </c>
      <c r="F152" s="14">
        <f>IF(E152&lt;&gt;0, COUNTIF(E$147:E152, "&lt;&gt;0"), "")</f>
        <v>3</v>
      </c>
      <c r="G152" s="14" t="str">
        <f>IF(E152=0, COUNTIF(E$147:E152, 0), "")</f>
        <v/>
      </c>
      <c r="L152" s="215"/>
      <c r="M152" s="172"/>
      <c r="N152" s="172"/>
      <c r="O152" s="172"/>
      <c r="P152" s="172"/>
      <c r="Q152" s="173"/>
    </row>
    <row r="153" spans="1:17" ht="16.95" customHeight="1" x14ac:dyDescent="0.3">
      <c r="B153" s="12" t="s">
        <v>235</v>
      </c>
      <c r="C153" s="12" t="s">
        <v>184</v>
      </c>
      <c r="E153" s="39" t="str">
        <f>IF(GRAFICA_42!F17=1, 0, B153)</f>
        <v>D4X</v>
      </c>
      <c r="F153" s="14">
        <f>IF(E153&lt;&gt;0, COUNTIF(E$147:E153, "&lt;&gt;0"), "")</f>
        <v>4</v>
      </c>
      <c r="G153" s="14" t="str">
        <f>IF(E153=0, COUNTIF(E$147:E153, 0), "")</f>
        <v/>
      </c>
      <c r="L153" s="215"/>
      <c r="M153" s="172"/>
      <c r="N153" s="172"/>
      <c r="O153" s="172"/>
      <c r="P153" s="172"/>
      <c r="Q153" s="173"/>
    </row>
    <row r="154" spans="1:17" ht="16.95" customHeight="1" x14ac:dyDescent="0.3">
      <c r="B154" s="12" t="s">
        <v>236</v>
      </c>
      <c r="C154" s="12" t="s">
        <v>185</v>
      </c>
      <c r="E154" s="39" t="str">
        <f>IF(GRAFICA_42!G17=1, 0, B154)</f>
        <v>D4Y</v>
      </c>
      <c r="F154" s="14">
        <f>IF(E154&lt;&gt;0, COUNTIF(E$147:E154, "&lt;&gt;0"), "")</f>
        <v>5</v>
      </c>
      <c r="G154" s="14" t="str">
        <f>IF(E154=0, COUNTIF(E$147:E154, 0), "")</f>
        <v/>
      </c>
      <c r="L154" s="215"/>
      <c r="M154" s="172"/>
      <c r="N154" s="172"/>
      <c r="O154" s="172"/>
      <c r="P154" s="172"/>
      <c r="Q154" s="173"/>
    </row>
    <row r="156" spans="1:17" ht="19.95" customHeight="1" x14ac:dyDescent="0.35">
      <c r="A156" s="15" t="s">
        <v>241</v>
      </c>
      <c r="C156" s="218" t="s">
        <v>242</v>
      </c>
      <c r="D156" s="173"/>
      <c r="E156" s="40" t="s">
        <v>243</v>
      </c>
      <c r="L156" s="216" t="s">
        <v>244</v>
      </c>
      <c r="M156" s="172"/>
      <c r="N156" s="172"/>
      <c r="O156" s="172"/>
      <c r="P156" s="172"/>
      <c r="Q156" s="173"/>
    </row>
    <row r="157" spans="1:17" ht="16.95" customHeight="1" x14ac:dyDescent="0.3">
      <c r="E157" s="40" t="s">
        <v>245</v>
      </c>
      <c r="L157" s="215" t="s">
        <v>246</v>
      </c>
      <c r="M157" s="172"/>
      <c r="N157" s="172"/>
      <c r="O157" s="172"/>
      <c r="P157" s="172"/>
      <c r="Q157" s="173"/>
    </row>
    <row r="158" spans="1:17" ht="16.95" customHeight="1" x14ac:dyDescent="0.3">
      <c r="A158" s="99" t="s">
        <v>247</v>
      </c>
      <c r="C158" s="99" t="s">
        <v>248</v>
      </c>
      <c r="L158" s="215" t="s">
        <v>250</v>
      </c>
      <c r="M158" s="172"/>
      <c r="N158" s="172"/>
      <c r="O158" s="172"/>
      <c r="P158" s="172"/>
      <c r="Q158" s="173"/>
    </row>
    <row r="159" spans="1:17" ht="16.95" customHeight="1" x14ac:dyDescent="0.3">
      <c r="A159" s="12" t="str">
        <f t="shared" ref="A159:A166" si="12">E137</f>
        <v>C1X</v>
      </c>
      <c r="C159" s="9">
        <f t="shared" ref="C159:J166" si="13">B126</f>
        <v>74397.431704834598</v>
      </c>
      <c r="D159" s="9">
        <f t="shared" si="13"/>
        <v>19197.945363867675</v>
      </c>
      <c r="E159" s="9">
        <f t="shared" si="13"/>
        <v>-50400</v>
      </c>
      <c r="F159" s="9">
        <f t="shared" si="13"/>
        <v>0</v>
      </c>
      <c r="G159" s="9">
        <f t="shared" si="13"/>
        <v>-23997.431704834595</v>
      </c>
      <c r="H159" s="9">
        <f t="shared" si="13"/>
        <v>-19197.945363867675</v>
      </c>
      <c r="I159" s="9">
        <f t="shared" si="13"/>
        <v>0</v>
      </c>
      <c r="J159" s="9">
        <f t="shared" si="13"/>
        <v>0</v>
      </c>
      <c r="K159" s="13" t="s">
        <v>251</v>
      </c>
      <c r="L159" s="219" t="s">
        <v>380</v>
      </c>
      <c r="M159" s="172"/>
      <c r="N159" s="172"/>
      <c r="O159" s="172"/>
      <c r="P159" s="172"/>
      <c r="Q159" s="173"/>
    </row>
    <row r="160" spans="1:17" ht="16.95" customHeight="1" x14ac:dyDescent="0.3">
      <c r="A160" s="12" t="str">
        <f t="shared" si="12"/>
        <v>C1Y</v>
      </c>
      <c r="C160" s="9">
        <f t="shared" si="13"/>
        <v>19197.945363867675</v>
      </c>
      <c r="D160" s="9">
        <f t="shared" si="13"/>
        <v>78358.35629109414</v>
      </c>
      <c r="E160" s="9">
        <f t="shared" si="13"/>
        <v>0</v>
      </c>
      <c r="F160" s="9">
        <f t="shared" si="13"/>
        <v>0</v>
      </c>
      <c r="G160" s="9">
        <f t="shared" si="13"/>
        <v>-19197.945363867675</v>
      </c>
      <c r="H160" s="9">
        <f t="shared" si="13"/>
        <v>-15358.35629109414</v>
      </c>
      <c r="I160" s="9">
        <f t="shared" si="13"/>
        <v>0</v>
      </c>
      <c r="J160" s="9">
        <f t="shared" si="13"/>
        <v>-63000</v>
      </c>
      <c r="K160" s="13" t="s">
        <v>251</v>
      </c>
      <c r="L160" s="219" t="s">
        <v>253</v>
      </c>
      <c r="M160" s="172"/>
      <c r="N160" s="172"/>
      <c r="O160" s="172"/>
      <c r="P160" s="172"/>
      <c r="Q160" s="173"/>
    </row>
    <row r="161" spans="1:17" ht="16.95" customHeight="1" x14ac:dyDescent="0.3">
      <c r="A161" s="41">
        <f t="shared" si="12"/>
        <v>0</v>
      </c>
      <c r="C161" s="9">
        <f t="shared" si="13"/>
        <v>-50400</v>
      </c>
      <c r="D161" s="9">
        <f t="shared" si="13"/>
        <v>0</v>
      </c>
      <c r="E161" s="41">
        <f t="shared" si="13"/>
        <v>74397.431704834598</v>
      </c>
      <c r="F161" s="9">
        <f t="shared" si="13"/>
        <v>-19197.945363867675</v>
      </c>
      <c r="G161" s="41">
        <f t="shared" si="13"/>
        <v>0</v>
      </c>
      <c r="H161" s="41">
        <f t="shared" si="13"/>
        <v>0</v>
      </c>
      <c r="I161" s="41">
        <f t="shared" si="13"/>
        <v>-23997.431704834595</v>
      </c>
      <c r="J161" s="41">
        <f t="shared" si="13"/>
        <v>19197.945363867675</v>
      </c>
      <c r="K161" s="13" t="s">
        <v>251</v>
      </c>
      <c r="L161" s="215" t="s">
        <v>254</v>
      </c>
      <c r="M161" s="172"/>
      <c r="N161" s="172"/>
      <c r="O161" s="172"/>
      <c r="P161" s="172"/>
      <c r="Q161" s="173"/>
    </row>
    <row r="162" spans="1:17" ht="16.95" customHeight="1" x14ac:dyDescent="0.3">
      <c r="A162" s="12" t="str">
        <f t="shared" si="12"/>
        <v>C2Y</v>
      </c>
      <c r="C162" s="9">
        <f t="shared" si="13"/>
        <v>0</v>
      </c>
      <c r="D162" s="9">
        <f t="shared" si="13"/>
        <v>0</v>
      </c>
      <c r="E162" s="9">
        <f t="shared" si="13"/>
        <v>-19197.945363867675</v>
      </c>
      <c r="F162" s="9">
        <f t="shared" si="13"/>
        <v>78358.35629109414</v>
      </c>
      <c r="G162" s="9">
        <f t="shared" si="13"/>
        <v>0</v>
      </c>
      <c r="H162" s="9">
        <f t="shared" si="13"/>
        <v>-63000</v>
      </c>
      <c r="I162" s="9">
        <f t="shared" si="13"/>
        <v>19197.945363867675</v>
      </c>
      <c r="J162" s="9">
        <f t="shared" si="13"/>
        <v>-15358.35629109414</v>
      </c>
      <c r="K162" s="13" t="s">
        <v>251</v>
      </c>
      <c r="L162" s="219" t="s">
        <v>381</v>
      </c>
      <c r="M162" s="172"/>
      <c r="N162" s="172"/>
      <c r="O162" s="172"/>
      <c r="P162" s="172"/>
      <c r="Q162" s="173"/>
    </row>
    <row r="163" spans="1:17" ht="16.95" customHeight="1" x14ac:dyDescent="0.3">
      <c r="A163" s="41">
        <f t="shared" si="12"/>
        <v>5000</v>
      </c>
      <c r="B163" s="13" t="s">
        <v>220</v>
      </c>
      <c r="C163" s="9">
        <f t="shared" si="13"/>
        <v>-23997.431704834595</v>
      </c>
      <c r="D163" s="9">
        <f t="shared" si="13"/>
        <v>-19197.945363867675</v>
      </c>
      <c r="E163" s="41">
        <f t="shared" si="13"/>
        <v>0</v>
      </c>
      <c r="F163" s="9">
        <f t="shared" si="13"/>
        <v>0</v>
      </c>
      <c r="G163" s="41">
        <f t="shared" si="13"/>
        <v>74397.431704834598</v>
      </c>
      <c r="H163" s="41">
        <f t="shared" si="13"/>
        <v>19197.945363867675</v>
      </c>
      <c r="I163" s="41">
        <f t="shared" si="13"/>
        <v>-50400</v>
      </c>
      <c r="J163" s="41">
        <f t="shared" si="13"/>
        <v>0</v>
      </c>
      <c r="K163" s="13" t="s">
        <v>251</v>
      </c>
      <c r="L163" s="215" t="s">
        <v>382</v>
      </c>
      <c r="M163" s="172"/>
      <c r="N163" s="172"/>
      <c r="O163" s="172"/>
      <c r="P163" s="172"/>
      <c r="Q163" s="173"/>
    </row>
    <row r="164" spans="1:17" ht="16.95" customHeight="1" x14ac:dyDescent="0.3">
      <c r="A164" s="41">
        <f t="shared" si="12"/>
        <v>0</v>
      </c>
      <c r="C164" s="9">
        <f t="shared" si="13"/>
        <v>-19197.945363867675</v>
      </c>
      <c r="D164" s="9">
        <f t="shared" si="13"/>
        <v>-15358.35629109414</v>
      </c>
      <c r="E164" s="41">
        <f t="shared" si="13"/>
        <v>0</v>
      </c>
      <c r="F164" s="9">
        <f t="shared" si="13"/>
        <v>-63000</v>
      </c>
      <c r="G164" s="41">
        <f t="shared" si="13"/>
        <v>19197.945363867675</v>
      </c>
      <c r="H164" s="41">
        <f t="shared" si="13"/>
        <v>78358.35629109414</v>
      </c>
      <c r="I164" s="41">
        <f t="shared" si="13"/>
        <v>0</v>
      </c>
      <c r="J164" s="41">
        <f t="shared" si="13"/>
        <v>0</v>
      </c>
      <c r="K164" s="13" t="s">
        <v>251</v>
      </c>
      <c r="L164" s="215" t="str">
        <f>E152</f>
        <v>D3Y</v>
      </c>
      <c r="M164" s="172"/>
      <c r="N164" s="172"/>
      <c r="O164" s="172"/>
      <c r="P164" s="172"/>
      <c r="Q164" s="173"/>
    </row>
    <row r="165" spans="1:17" ht="16.95" customHeight="1" x14ac:dyDescent="0.3">
      <c r="A165" s="41">
        <f t="shared" si="12"/>
        <v>5000</v>
      </c>
      <c r="C165" s="9">
        <f t="shared" si="13"/>
        <v>0</v>
      </c>
      <c r="D165" s="9">
        <f t="shared" si="13"/>
        <v>0</v>
      </c>
      <c r="E165" s="41">
        <f t="shared" si="13"/>
        <v>-23997.431704834595</v>
      </c>
      <c r="F165" s="9">
        <f t="shared" si="13"/>
        <v>19197.945363867675</v>
      </c>
      <c r="G165" s="41">
        <f t="shared" si="13"/>
        <v>-50400</v>
      </c>
      <c r="H165" s="41">
        <f t="shared" si="13"/>
        <v>0</v>
      </c>
      <c r="I165" s="41">
        <f t="shared" si="13"/>
        <v>74397.431704834598</v>
      </c>
      <c r="J165" s="41">
        <f t="shared" si="13"/>
        <v>-19197.945363867675</v>
      </c>
      <c r="K165" s="13" t="s">
        <v>251</v>
      </c>
      <c r="L165" s="215" t="str">
        <f>E153</f>
        <v>D4X</v>
      </c>
      <c r="M165" s="172"/>
      <c r="N165" s="172"/>
      <c r="O165" s="172"/>
      <c r="P165" s="172"/>
      <c r="Q165" s="173"/>
    </row>
    <row r="166" spans="1:17" ht="16.95" customHeight="1" x14ac:dyDescent="0.3">
      <c r="A166" s="41">
        <f t="shared" si="12"/>
        <v>0</v>
      </c>
      <c r="C166" s="9">
        <f t="shared" si="13"/>
        <v>0</v>
      </c>
      <c r="D166" s="9">
        <f t="shared" si="13"/>
        <v>-63000</v>
      </c>
      <c r="E166" s="41">
        <f t="shared" si="13"/>
        <v>19197.945363867675</v>
      </c>
      <c r="F166" s="9">
        <f t="shared" si="13"/>
        <v>-15358.35629109414</v>
      </c>
      <c r="G166" s="41">
        <f t="shared" si="13"/>
        <v>0</v>
      </c>
      <c r="H166" s="41">
        <f t="shared" si="13"/>
        <v>0</v>
      </c>
      <c r="I166" s="41">
        <f t="shared" si="13"/>
        <v>-19197.945363867675</v>
      </c>
      <c r="J166" s="41">
        <f t="shared" si="13"/>
        <v>78358.35629109414</v>
      </c>
      <c r="K166" s="13" t="s">
        <v>251</v>
      </c>
      <c r="L166" s="215" t="str">
        <f>E154</f>
        <v>D4Y</v>
      </c>
      <c r="M166" s="172"/>
      <c r="N166" s="172"/>
      <c r="O166" s="172"/>
      <c r="P166" s="172"/>
      <c r="Q166" s="173"/>
    </row>
    <row r="169" spans="1:17" ht="19.95" customHeight="1" x14ac:dyDescent="0.35">
      <c r="A169" s="15" t="s">
        <v>257</v>
      </c>
      <c r="L169" s="216" t="s">
        <v>258</v>
      </c>
      <c r="M169" s="172"/>
      <c r="N169" s="172"/>
      <c r="O169" s="172"/>
      <c r="P169" s="172"/>
      <c r="Q169" s="173"/>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215" t="s">
        <v>383</v>
      </c>
      <c r="M170" s="172"/>
      <c r="N170" s="172"/>
      <c r="O170" s="172"/>
      <c r="P170" s="172"/>
      <c r="Q170" s="173"/>
    </row>
    <row r="171" spans="1:17" ht="16.95" customHeight="1" x14ac:dyDescent="0.3">
      <c r="A171" s="41">
        <f>INDEX(E$137:E$144, MATCH(J171, C$137:C$144, 0))</f>
        <v>0</v>
      </c>
      <c r="C171" s="41">
        <f t="shared" ref="C171:G175" si="14">INDEX($B$126:$I$133, MATCH($J171, $J$126:$J$133, 0), MATCH(C$170, $B$125:$I$125, 0))</f>
        <v>74397.431704834598</v>
      </c>
      <c r="D171" s="41">
        <f t="shared" si="14"/>
        <v>0</v>
      </c>
      <c r="E171" s="41">
        <f t="shared" si="14"/>
        <v>0</v>
      </c>
      <c r="F171" s="41">
        <f t="shared" si="14"/>
        <v>-23997.431704834595</v>
      </c>
      <c r="G171" s="41">
        <f t="shared" si="14"/>
        <v>19197.945363867675</v>
      </c>
      <c r="H171" s="13" t="s">
        <v>251</v>
      </c>
      <c r="I171" s="38" t="str">
        <f>INDEX(B$147:B$154, MATCH(1, F$147:F$154, 0))</f>
        <v>D2X</v>
      </c>
      <c r="J171" s="14" t="str">
        <f>INDEX(C$147:C$154, MATCH(1, F$147:F$154, 0))</f>
        <v>U2X</v>
      </c>
      <c r="L171" s="215" t="s">
        <v>384</v>
      </c>
      <c r="M171" s="172"/>
      <c r="N171" s="172"/>
      <c r="O171" s="172"/>
      <c r="P171" s="172"/>
      <c r="Q171" s="173"/>
    </row>
    <row r="172" spans="1:17" ht="16.95" customHeight="1" x14ac:dyDescent="0.3">
      <c r="A172" s="41">
        <f>INDEX(E$137:E$144, MATCH(J172, C$137:C$144, 0))</f>
        <v>5000</v>
      </c>
      <c r="C172" s="41">
        <f t="shared" si="14"/>
        <v>0</v>
      </c>
      <c r="D172" s="41">
        <f t="shared" si="14"/>
        <v>74397.431704834598</v>
      </c>
      <c r="E172" s="41">
        <f t="shared" si="14"/>
        <v>19197.945363867675</v>
      </c>
      <c r="F172" s="41">
        <f t="shared" si="14"/>
        <v>-50400</v>
      </c>
      <c r="G172" s="41">
        <f t="shared" si="14"/>
        <v>0</v>
      </c>
      <c r="H172" s="13" t="s">
        <v>251</v>
      </c>
      <c r="I172" s="38" t="str">
        <f>INDEX(B$147:B$154, MATCH(2, F$147:F$154, 0))</f>
        <v>D3X</v>
      </c>
      <c r="J172" s="14" t="str">
        <f>INDEX(C$147:C$154, MATCH(2, F$147:F$154, 0))</f>
        <v>U3X</v>
      </c>
      <c r="L172" s="215" t="s">
        <v>385</v>
      </c>
      <c r="M172" s="172"/>
      <c r="N172" s="172"/>
      <c r="O172" s="172"/>
      <c r="P172" s="172"/>
      <c r="Q172" s="173"/>
    </row>
    <row r="173" spans="1:17" ht="16.95" customHeight="1" x14ac:dyDescent="0.3">
      <c r="A173" s="41">
        <f>INDEX(E$137:E$144, MATCH(J173, C$137:C$144, 0))</f>
        <v>0</v>
      </c>
      <c r="B173" s="13" t="s">
        <v>220</v>
      </c>
      <c r="C173" s="41">
        <f t="shared" si="14"/>
        <v>0</v>
      </c>
      <c r="D173" s="41">
        <f t="shared" si="14"/>
        <v>19197.945363867675</v>
      </c>
      <c r="E173" s="41">
        <f t="shared" si="14"/>
        <v>78358.35629109414</v>
      </c>
      <c r="F173" s="41">
        <f t="shared" si="14"/>
        <v>0</v>
      </c>
      <c r="G173" s="41">
        <f t="shared" si="14"/>
        <v>0</v>
      </c>
      <c r="H173" s="13" t="s">
        <v>251</v>
      </c>
      <c r="I173" s="38" t="str">
        <f>INDEX(B$147:B$154, MATCH(3, F$147:F$154, 0))</f>
        <v>D3Y</v>
      </c>
      <c r="J173" s="14" t="str">
        <f>INDEX(C$147:C$154, MATCH(3, F$147:F$154, 0))</f>
        <v>U3Y</v>
      </c>
      <c r="L173" s="215" t="s">
        <v>386</v>
      </c>
      <c r="M173" s="172"/>
      <c r="N173" s="172"/>
      <c r="O173" s="172"/>
      <c r="P173" s="172"/>
      <c r="Q173" s="173"/>
    </row>
    <row r="174" spans="1:17" ht="16.95" customHeight="1" x14ac:dyDescent="0.3">
      <c r="A174" s="41">
        <f>INDEX(E$137:E$144, MATCH(J174, C$137:C$144, 0))</f>
        <v>5000</v>
      </c>
      <c r="C174" s="41">
        <f t="shared" si="14"/>
        <v>-23997.431704834595</v>
      </c>
      <c r="D174" s="41">
        <f t="shared" si="14"/>
        <v>-50400</v>
      </c>
      <c r="E174" s="41">
        <f t="shared" si="14"/>
        <v>0</v>
      </c>
      <c r="F174" s="41">
        <f t="shared" si="14"/>
        <v>74397.431704834598</v>
      </c>
      <c r="G174" s="41">
        <f t="shared" si="14"/>
        <v>-19197.945363867675</v>
      </c>
      <c r="H174" s="13" t="s">
        <v>251</v>
      </c>
      <c r="I174" s="38" t="str">
        <f>INDEX(B$147:B$154, MATCH(4, F$147:F$154, 0))</f>
        <v>D4X</v>
      </c>
      <c r="J174" s="14" t="str">
        <f>INDEX(C$147:C$154, MATCH(4, F$147:F$154, 0))</f>
        <v>U4X</v>
      </c>
      <c r="L174" s="215" t="s">
        <v>387</v>
      </c>
      <c r="M174" s="172"/>
      <c r="N174" s="172"/>
      <c r="O174" s="172"/>
      <c r="P174" s="172"/>
      <c r="Q174" s="173"/>
    </row>
    <row r="175" spans="1:17" ht="16.95" customHeight="1" x14ac:dyDescent="0.3">
      <c r="A175" s="41">
        <f>INDEX(E$137:E$144, MATCH(J175, C$137:C$144, 0))</f>
        <v>0</v>
      </c>
      <c r="C175" s="41">
        <f t="shared" si="14"/>
        <v>19197.945363867675</v>
      </c>
      <c r="D175" s="41">
        <f t="shared" si="14"/>
        <v>0</v>
      </c>
      <c r="E175" s="41">
        <f t="shared" si="14"/>
        <v>0</v>
      </c>
      <c r="F175" s="41">
        <f t="shared" si="14"/>
        <v>-19197.945363867675</v>
      </c>
      <c r="G175" s="41">
        <f t="shared" si="14"/>
        <v>78358.35629109414</v>
      </c>
      <c r="H175" s="13" t="s">
        <v>251</v>
      </c>
      <c r="I175" s="38" t="str">
        <f>INDEX(B$147:B$154, MATCH(5, F$147:F$154, 0))</f>
        <v>D4Y</v>
      </c>
      <c r="J175" s="14" t="str">
        <f>INDEX(C$147:C$154, MATCH(5, F$147:F$154, 0))</f>
        <v>U4Y</v>
      </c>
      <c r="L175" s="215" t="s">
        <v>388</v>
      </c>
      <c r="M175" s="172"/>
      <c r="N175" s="172"/>
      <c r="O175" s="172"/>
      <c r="P175" s="172"/>
      <c r="Q175" s="173"/>
    </row>
    <row r="176" spans="1:17" ht="16.95" customHeight="1" x14ac:dyDescent="0.3">
      <c r="L176" s="215"/>
      <c r="M176" s="172"/>
      <c r="N176" s="172"/>
      <c r="O176" s="172"/>
      <c r="P176" s="172"/>
      <c r="Q176" s="173"/>
    </row>
    <row r="177" spans="1:17" ht="16.95" customHeight="1" x14ac:dyDescent="0.3">
      <c r="C177" s="218" t="s">
        <v>263</v>
      </c>
      <c r="D177" s="172"/>
      <c r="E177" s="172"/>
      <c r="F177" s="172"/>
      <c r="G177" s="173"/>
      <c r="L177" s="215"/>
      <c r="M177" s="172"/>
      <c r="N177" s="172"/>
      <c r="O177" s="172"/>
      <c r="P177" s="172"/>
      <c r="Q177" s="173"/>
    </row>
    <row r="178" spans="1:17" ht="16.95" customHeight="1" x14ac:dyDescent="0.3">
      <c r="A178" s="99" t="s">
        <v>249</v>
      </c>
      <c r="C178" s="193" t="s">
        <v>264</v>
      </c>
      <c r="D178" s="175"/>
      <c r="E178" s="175"/>
      <c r="F178" s="175"/>
      <c r="G178" s="175"/>
      <c r="I178" s="99" t="s">
        <v>247</v>
      </c>
      <c r="L178" s="215"/>
      <c r="M178" s="172"/>
      <c r="N178" s="172"/>
      <c r="O178" s="172"/>
      <c r="P178" s="172"/>
      <c r="Q178" s="173"/>
    </row>
    <row r="179" spans="1:17" ht="16.95" customHeight="1" x14ac:dyDescent="0.3">
      <c r="A179" s="12" t="str">
        <f>I171</f>
        <v>D2X</v>
      </c>
      <c r="C179" s="93">
        <f t="array" ref="C179:G183">MINVERSE(C171:G175)</f>
        <v>1.7094864064339697E-5</v>
      </c>
      <c r="D179" s="93">
        <v>7.1742291437047748E-6</v>
      </c>
      <c r="E179" s="93">
        <v>-1.7576996972352935E-6</v>
      </c>
      <c r="F179" s="93">
        <v>9.920634920634924E-6</v>
      </c>
      <c r="G179" s="93">
        <v>-1.757699697235293E-6</v>
      </c>
      <c r="I179" s="17">
        <f>A171</f>
        <v>0</v>
      </c>
      <c r="L179" s="215"/>
      <c r="M179" s="172"/>
      <c r="N179" s="172"/>
      <c r="O179" s="172"/>
      <c r="P179" s="172"/>
      <c r="Q179" s="173"/>
    </row>
    <row r="180" spans="1:17" ht="16.95" customHeight="1" x14ac:dyDescent="0.3">
      <c r="A180" s="12" t="str">
        <f>I172</f>
        <v>D3X</v>
      </c>
      <c r="C180" s="93">
        <v>7.1742291437047748E-6</v>
      </c>
      <c r="D180" s="93">
        <v>3.3089157217891024E-5</v>
      </c>
      <c r="E180" s="93">
        <v>-8.1069060464416408E-6</v>
      </c>
      <c r="F180" s="93">
        <v>2.5914928074186254E-5</v>
      </c>
      <c r="G180" s="93">
        <v>4.5915066519710552E-6</v>
      </c>
      <c r="I180" s="17">
        <f>A172</f>
        <v>5000</v>
      </c>
      <c r="L180" s="215"/>
      <c r="M180" s="172"/>
      <c r="N180" s="172"/>
      <c r="O180" s="172"/>
      <c r="P180" s="172"/>
      <c r="Q180" s="173"/>
    </row>
    <row r="181" spans="1:17" ht="16.95" customHeight="1" x14ac:dyDescent="0.3">
      <c r="A181" s="12" t="str">
        <f>I173</f>
        <v>D3Y</v>
      </c>
      <c r="B181" s="13" t="s">
        <v>220</v>
      </c>
      <c r="C181" s="93">
        <v>-1.7576996972352937E-6</v>
      </c>
      <c r="D181" s="93">
        <v>-8.1069060464416408E-6</v>
      </c>
      <c r="E181" s="93">
        <v>1.4748088066785283E-5</v>
      </c>
      <c r="F181" s="93">
        <v>-6.3492063492063484E-6</v>
      </c>
      <c r="G181" s="93">
        <v>-1.1249278062305877E-6</v>
      </c>
      <c r="I181" s="17">
        <f>A173</f>
        <v>0</v>
      </c>
      <c r="L181" s="215"/>
      <c r="M181" s="172"/>
      <c r="N181" s="172"/>
      <c r="O181" s="172"/>
      <c r="P181" s="172"/>
      <c r="Q181" s="173"/>
    </row>
    <row r="182" spans="1:17" ht="16.95" customHeight="1" x14ac:dyDescent="0.3">
      <c r="A182" s="12" t="str">
        <f>I174</f>
        <v>D4X</v>
      </c>
      <c r="C182" s="93">
        <v>9.9206349206349223E-6</v>
      </c>
      <c r="D182" s="93">
        <v>2.5914928074186254E-5</v>
      </c>
      <c r="E182" s="93">
        <v>-6.3492063492063493E-6</v>
      </c>
      <c r="F182" s="93">
        <v>3.5835562994821178E-5</v>
      </c>
      <c r="G182" s="93">
        <v>6.3492063492063493E-6</v>
      </c>
      <c r="I182" s="17">
        <f>A174</f>
        <v>5000</v>
      </c>
      <c r="L182" s="215"/>
      <c r="M182" s="172"/>
      <c r="N182" s="172"/>
      <c r="O182" s="172"/>
      <c r="P182" s="172"/>
      <c r="Q182" s="173"/>
    </row>
    <row r="183" spans="1:17" ht="16.95" customHeight="1" x14ac:dyDescent="0.3">
      <c r="A183" s="12" t="str">
        <f>I175</f>
        <v>D4Y</v>
      </c>
      <c r="C183" s="93">
        <v>-1.7576996972352928E-6</v>
      </c>
      <c r="D183" s="93">
        <v>4.591506651971056E-6</v>
      </c>
      <c r="E183" s="93">
        <v>-1.1249278062305879E-6</v>
      </c>
      <c r="F183" s="93">
        <v>6.3492063492063493E-6</v>
      </c>
      <c r="G183" s="93">
        <v>1.4748088066785284E-5</v>
      </c>
      <c r="I183" s="17">
        <f>A175</f>
        <v>0</v>
      </c>
      <c r="L183" s="215"/>
      <c r="M183" s="172"/>
      <c r="N183" s="172"/>
      <c r="O183" s="172"/>
      <c r="P183" s="172"/>
      <c r="Q183" s="173"/>
    </row>
    <row r="184" spans="1:17" ht="16.95" customHeight="1" x14ac:dyDescent="0.3">
      <c r="L184" s="215"/>
      <c r="M184" s="172"/>
      <c r="N184" s="172"/>
      <c r="O184" s="172"/>
      <c r="P184" s="172"/>
      <c r="Q184" s="173"/>
    </row>
    <row r="185" spans="1:17" ht="16.95" customHeight="1" x14ac:dyDescent="0.3">
      <c r="C185" s="218" t="s">
        <v>265</v>
      </c>
      <c r="D185" s="173"/>
      <c r="L185" s="215"/>
      <c r="M185" s="172"/>
      <c r="N185" s="172"/>
      <c r="O185" s="172"/>
      <c r="P185" s="172"/>
      <c r="Q185" s="173"/>
    </row>
    <row r="186" spans="1:17" ht="16.95" customHeight="1" x14ac:dyDescent="0.3">
      <c r="A186" s="99" t="s">
        <v>249</v>
      </c>
      <c r="C186" s="99" t="s">
        <v>266</v>
      </c>
      <c r="L186" s="215"/>
      <c r="M186" s="172"/>
      <c r="N186" s="172"/>
      <c r="O186" s="172"/>
      <c r="P186" s="172"/>
      <c r="Q186" s="173"/>
    </row>
    <row r="187" spans="1:17" ht="16.95" customHeight="1" x14ac:dyDescent="0.3">
      <c r="A187" s="12" t="str">
        <f>A179</f>
        <v>D2X</v>
      </c>
      <c r="C187" s="94">
        <f t="array" ref="C187:C191">MMULT(C179:G183, I179:I183)</f>
        <v>8.5474320321698494E-2</v>
      </c>
      <c r="D187" s="12" t="s">
        <v>267</v>
      </c>
      <c r="L187" s="215"/>
      <c r="M187" s="172"/>
      <c r="N187" s="172"/>
      <c r="O187" s="172"/>
      <c r="P187" s="172"/>
      <c r="Q187" s="173"/>
    </row>
    <row r="188" spans="1:17" ht="16.95" customHeight="1" x14ac:dyDescent="0.3">
      <c r="A188" s="12" t="str">
        <f>A180</f>
        <v>D3X</v>
      </c>
      <c r="C188" s="94">
        <v>0.2950204264603864</v>
      </c>
      <c r="D188" s="12" t="s">
        <v>267</v>
      </c>
      <c r="L188" s="215"/>
      <c r="M188" s="172"/>
      <c r="N188" s="172"/>
      <c r="O188" s="172"/>
      <c r="P188" s="172"/>
      <c r="Q188" s="173"/>
    </row>
    <row r="189" spans="1:17" ht="16.95" customHeight="1" x14ac:dyDescent="0.3">
      <c r="A189" s="12" t="str">
        <f>A181</f>
        <v>D3Y</v>
      </c>
      <c r="B189" s="13" t="s">
        <v>220</v>
      </c>
      <c r="C189" s="94">
        <v>-7.2280561978239954E-2</v>
      </c>
      <c r="D189" s="12" t="s">
        <v>267</v>
      </c>
      <c r="L189" s="215"/>
      <c r="M189" s="172"/>
      <c r="N189" s="172"/>
      <c r="O189" s="172"/>
      <c r="P189" s="172"/>
      <c r="Q189" s="173"/>
    </row>
    <row r="190" spans="1:17" ht="16.95" customHeight="1" x14ac:dyDescent="0.3">
      <c r="A190" s="12" t="str">
        <f>A182</f>
        <v>D4X</v>
      </c>
      <c r="C190" s="94">
        <v>0.30875245534503715</v>
      </c>
      <c r="D190" s="12" t="s">
        <v>267</v>
      </c>
      <c r="L190" s="215"/>
      <c r="M190" s="172"/>
      <c r="N190" s="172"/>
      <c r="O190" s="172"/>
      <c r="P190" s="172"/>
      <c r="Q190" s="173"/>
    </row>
    <row r="191" spans="1:17" ht="16.95" customHeight="1" x14ac:dyDescent="0.3">
      <c r="A191" s="12" t="str">
        <f>A183</f>
        <v>D4Y</v>
      </c>
      <c r="C191" s="94">
        <v>5.4703565005887023E-2</v>
      </c>
      <c r="D191" s="12" t="s">
        <v>267</v>
      </c>
      <c r="L191" s="215"/>
      <c r="M191" s="172"/>
      <c r="N191" s="172"/>
      <c r="O191" s="172"/>
      <c r="P191" s="172"/>
      <c r="Q191" s="173"/>
    </row>
    <row r="194" spans="1:17" ht="19.95" customHeight="1" x14ac:dyDescent="0.35">
      <c r="A194" s="11" t="s">
        <v>268</v>
      </c>
      <c r="L194" s="216" t="s">
        <v>269</v>
      </c>
      <c r="M194" s="172"/>
      <c r="N194" s="172"/>
      <c r="O194" s="172"/>
      <c r="P194" s="172"/>
      <c r="Q194" s="173"/>
    </row>
    <row r="195" spans="1:17" ht="16.95" customHeight="1" x14ac:dyDescent="0.3">
      <c r="A195" s="99" t="s">
        <v>247</v>
      </c>
      <c r="I195" s="99" t="s">
        <v>249</v>
      </c>
      <c r="L195" s="215" t="s">
        <v>389</v>
      </c>
      <c r="M195" s="172"/>
      <c r="N195" s="172"/>
      <c r="O195" s="172"/>
      <c r="P195" s="172"/>
      <c r="Q195" s="173"/>
    </row>
    <row r="196" spans="1:17" ht="16.95" customHeight="1" x14ac:dyDescent="0.3">
      <c r="A196" s="18" t="str">
        <f>INDEX(B$137:B$144, MATCH(J196, C$137:C$144, 0))</f>
        <v>C1X</v>
      </c>
      <c r="C196" s="9">
        <f t="shared" ref="C196:G198" si="15">INDEX($B$126:$I$133, MATCH($J196, $J$126:$J$133, 0), MATCH(C$170, $B$125:$I$125, 0))</f>
        <v>-50400</v>
      </c>
      <c r="D196" s="9">
        <f t="shared" si="15"/>
        <v>-23997.431704834595</v>
      </c>
      <c r="E196" s="9">
        <f t="shared" si="15"/>
        <v>-19197.945363867675</v>
      </c>
      <c r="F196" s="9">
        <f t="shared" si="15"/>
        <v>0</v>
      </c>
      <c r="G196" s="9">
        <f t="shared" si="15"/>
        <v>0</v>
      </c>
      <c r="I196" s="95">
        <f>C187</f>
        <v>8.5474320321698494E-2</v>
      </c>
      <c r="J196" s="14" t="str">
        <f>INDEX(C$147:C$154, MATCH(1, G$147:G$154, 0))</f>
        <v>U1X</v>
      </c>
      <c r="L196" s="215" t="s">
        <v>390</v>
      </c>
      <c r="M196" s="172"/>
      <c r="N196" s="172"/>
      <c r="O196" s="172"/>
      <c r="P196" s="172"/>
      <c r="Q196" s="173"/>
    </row>
    <row r="197" spans="1:17" ht="16.95" customHeight="1" x14ac:dyDescent="0.3">
      <c r="A197" s="18" t="str">
        <f>INDEX(B$137:B$144, MATCH(J197, C$137:C$144, 0))</f>
        <v>C1Y</v>
      </c>
      <c r="B197" s="13" t="s">
        <v>220</v>
      </c>
      <c r="C197" s="9">
        <f t="shared" si="15"/>
        <v>0</v>
      </c>
      <c r="D197" s="9">
        <f t="shared" si="15"/>
        <v>-19197.945363867675</v>
      </c>
      <c r="E197" s="9">
        <f t="shared" si="15"/>
        <v>-15358.35629109414</v>
      </c>
      <c r="F197" s="9">
        <f t="shared" si="15"/>
        <v>0</v>
      </c>
      <c r="G197" s="9">
        <f t="shared" si="15"/>
        <v>-63000</v>
      </c>
      <c r="I197" s="95">
        <f>C188</f>
        <v>0.2950204264603864</v>
      </c>
      <c r="J197" s="14" t="str">
        <f>INDEX(C$147:C$154, MATCH(2, G$147:G$154, 0))</f>
        <v>U1Y</v>
      </c>
      <c r="L197" s="215" t="s">
        <v>391</v>
      </c>
      <c r="M197" s="172"/>
      <c r="N197" s="172"/>
      <c r="O197" s="172"/>
      <c r="P197" s="172"/>
      <c r="Q197" s="173"/>
    </row>
    <row r="198" spans="1:17" ht="16.95" customHeight="1" x14ac:dyDescent="0.3">
      <c r="A198" s="18" t="str">
        <f>INDEX(B$137:B$144, MATCH(J198, C$137:C$144, 0))</f>
        <v>C2Y</v>
      </c>
      <c r="C198" s="9">
        <f t="shared" si="15"/>
        <v>-19197.945363867675</v>
      </c>
      <c r="D198" s="9">
        <f t="shared" si="15"/>
        <v>0</v>
      </c>
      <c r="E198" s="9">
        <f t="shared" si="15"/>
        <v>-63000</v>
      </c>
      <c r="F198" s="9">
        <f t="shared" si="15"/>
        <v>19197.945363867675</v>
      </c>
      <c r="G198" s="9">
        <f t="shared" si="15"/>
        <v>-15358.35629109414</v>
      </c>
      <c r="I198" s="95">
        <f>C189</f>
        <v>-7.2280561978239954E-2</v>
      </c>
      <c r="J198" s="14" t="str">
        <f>INDEX(C$147:C$154, MATCH(3, G$147:G$154, 0))</f>
        <v>U2Y</v>
      </c>
      <c r="L198" s="215" t="s">
        <v>392</v>
      </c>
      <c r="M198" s="172"/>
      <c r="N198" s="172"/>
      <c r="O198" s="172"/>
      <c r="P198" s="172"/>
      <c r="Q198" s="173"/>
    </row>
    <row r="199" spans="1:17" ht="16.95" customHeight="1" x14ac:dyDescent="0.3">
      <c r="I199" s="95">
        <f>C190</f>
        <v>0.30875245534503715</v>
      </c>
      <c r="L199" s="215" t="s">
        <v>393</v>
      </c>
      <c r="M199" s="172"/>
      <c r="N199" s="172"/>
      <c r="O199" s="172"/>
      <c r="P199" s="172"/>
      <c r="Q199" s="173"/>
    </row>
    <row r="200" spans="1:17" ht="16.95" customHeight="1" x14ac:dyDescent="0.3">
      <c r="I200" s="95">
        <f>C191</f>
        <v>5.4703565005887023E-2</v>
      </c>
      <c r="L200" s="215" t="s">
        <v>394</v>
      </c>
      <c r="M200" s="172"/>
      <c r="N200" s="172"/>
      <c r="O200" s="172"/>
      <c r="P200" s="172"/>
      <c r="Q200" s="173"/>
    </row>
    <row r="201" spans="1:17" ht="16.95" customHeight="1" x14ac:dyDescent="0.3">
      <c r="L201" s="215"/>
      <c r="M201" s="172"/>
      <c r="N201" s="172"/>
      <c r="O201" s="172"/>
      <c r="P201" s="172"/>
      <c r="Q201" s="173"/>
    </row>
    <row r="202" spans="1:17" ht="16.95" customHeight="1" x14ac:dyDescent="0.3">
      <c r="A202" s="12" t="str">
        <f>A196</f>
        <v>C1X</v>
      </c>
      <c r="C202" s="17">
        <f t="array" ref="C202:C204">MMULT(C196:G198, I196:I200)</f>
        <v>-10000.000000000002</v>
      </c>
      <c r="D202" s="12" t="s">
        <v>273</v>
      </c>
      <c r="L202" s="215"/>
      <c r="M202" s="172"/>
      <c r="N202" s="172"/>
      <c r="O202" s="172"/>
      <c r="P202" s="172"/>
      <c r="Q202" s="173"/>
    </row>
    <row r="203" spans="1:17" ht="16.95" customHeight="1" x14ac:dyDescent="0.3">
      <c r="A203" s="12" t="str">
        <f>A197</f>
        <v>C1Y</v>
      </c>
      <c r="B203" s="13" t="s">
        <v>220</v>
      </c>
      <c r="C203" s="17">
        <v>-8000</v>
      </c>
      <c r="D203" s="12" t="s">
        <v>273</v>
      </c>
      <c r="L203" s="215"/>
      <c r="M203" s="172"/>
      <c r="N203" s="172"/>
      <c r="O203" s="172"/>
      <c r="P203" s="172"/>
      <c r="Q203" s="173"/>
    </row>
    <row r="204" spans="1:17" ht="16.95" customHeight="1" x14ac:dyDescent="0.3">
      <c r="A204" s="12" t="str">
        <f>A198</f>
        <v>C2Y</v>
      </c>
      <c r="C204" s="17">
        <v>8000.0000000000018</v>
      </c>
      <c r="D204" s="12" t="s">
        <v>273</v>
      </c>
      <c r="L204" s="215"/>
      <c r="M204" s="172"/>
      <c r="N204" s="172"/>
      <c r="O204" s="172"/>
      <c r="P204" s="172"/>
      <c r="Q204" s="173"/>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8.5474320321698494E-2</v>
      </c>
    </row>
    <row r="212" spans="1:17" ht="19.05" customHeight="1" x14ac:dyDescent="0.3">
      <c r="A212" s="12" t="s">
        <v>231</v>
      </c>
      <c r="B212" s="12" t="s">
        <v>181</v>
      </c>
      <c r="D212" s="94">
        <f t="shared" si="16"/>
        <v>0</v>
      </c>
    </row>
    <row r="213" spans="1:17" ht="19.05" customHeight="1" x14ac:dyDescent="0.3">
      <c r="A213" s="12" t="s">
        <v>232</v>
      </c>
      <c r="B213" s="12" t="s">
        <v>182</v>
      </c>
      <c r="D213" s="94">
        <f t="shared" si="16"/>
        <v>0.2950204264603864</v>
      </c>
    </row>
    <row r="214" spans="1:17" ht="19.05" customHeight="1" x14ac:dyDescent="0.3">
      <c r="A214" s="12" t="s">
        <v>234</v>
      </c>
      <c r="B214" s="12" t="s">
        <v>183</v>
      </c>
      <c r="D214" s="94">
        <f t="shared" si="16"/>
        <v>-7.2280561978239954E-2</v>
      </c>
    </row>
    <row r="215" spans="1:17" ht="19.05" customHeight="1" x14ac:dyDescent="0.3">
      <c r="A215" s="12" t="s">
        <v>235</v>
      </c>
      <c r="B215" s="12" t="s">
        <v>184</v>
      </c>
      <c r="D215" s="94">
        <f t="shared" si="16"/>
        <v>0.30875245534503715</v>
      </c>
    </row>
    <row r="216" spans="1:17" ht="19.05" customHeight="1" x14ac:dyDescent="0.3">
      <c r="A216" s="12" t="s">
        <v>236</v>
      </c>
      <c r="B216" s="12" t="s">
        <v>185</v>
      </c>
      <c r="D216" s="94">
        <f t="shared" si="16"/>
        <v>5.4703565005887023E-2</v>
      </c>
    </row>
    <row r="219" spans="1:17" ht="19.95" customHeight="1" x14ac:dyDescent="0.35">
      <c r="A219" s="11" t="s">
        <v>275</v>
      </c>
      <c r="L219" s="216" t="s">
        <v>276</v>
      </c>
      <c r="M219" s="172"/>
      <c r="N219" s="172"/>
      <c r="O219" s="172"/>
      <c r="P219" s="172"/>
      <c r="Q219" s="173"/>
    </row>
    <row r="220" spans="1:17" ht="16.95" customHeight="1" x14ac:dyDescent="0.3">
      <c r="L220" s="215" t="s">
        <v>395</v>
      </c>
      <c r="M220" s="172"/>
      <c r="N220" s="172"/>
      <c r="O220" s="172"/>
      <c r="P220" s="172"/>
      <c r="Q220" s="173"/>
    </row>
    <row r="221" spans="1:17" ht="16.95" customHeight="1" x14ac:dyDescent="0.3">
      <c r="A221" s="19" t="s">
        <v>278</v>
      </c>
      <c r="C221" s="19" t="s">
        <v>279</v>
      </c>
      <c r="D221" s="19" t="s">
        <v>280</v>
      </c>
      <c r="E221" s="19" t="s">
        <v>279</v>
      </c>
      <c r="F221" s="19" t="s">
        <v>280</v>
      </c>
      <c r="G221" s="19" t="s">
        <v>249</v>
      </c>
      <c r="L221" s="215" t="s">
        <v>396</v>
      </c>
      <c r="M221" s="172"/>
      <c r="N221" s="172"/>
      <c r="O221" s="172"/>
      <c r="P221" s="172"/>
      <c r="Q221" s="173"/>
    </row>
    <row r="222" spans="1:17" ht="16.95" customHeight="1" x14ac:dyDescent="0.3">
      <c r="C222" s="19" t="s">
        <v>282</v>
      </c>
      <c r="D222" s="19" t="s">
        <v>282</v>
      </c>
      <c r="E222" s="19" t="s">
        <v>283</v>
      </c>
      <c r="F222" s="19" t="s">
        <v>283</v>
      </c>
      <c r="L222" s="215" t="s">
        <v>397</v>
      </c>
      <c r="M222" s="172"/>
      <c r="N222" s="172"/>
      <c r="O222" s="172"/>
      <c r="P222" s="172"/>
      <c r="Q222" s="173"/>
    </row>
    <row r="223" spans="1:17" ht="16.95" customHeight="1" x14ac:dyDescent="0.3">
      <c r="A223" s="17">
        <f>N6</f>
        <v>50400</v>
      </c>
      <c r="C223" s="92">
        <f>-J6</f>
        <v>-1</v>
      </c>
      <c r="D223" s="92">
        <f>-K6</f>
        <v>0</v>
      </c>
      <c r="E223" s="92">
        <f>J6</f>
        <v>1</v>
      </c>
      <c r="F223" s="92">
        <f>K6</f>
        <v>0</v>
      </c>
      <c r="G223" s="96">
        <f>IFERROR(VLOOKUP(H223, A$209:D$216, 4, FALSE), 0)</f>
        <v>0</v>
      </c>
      <c r="H223" s="12" t="str">
        <f>"D" &amp; C15 &amp; "X"</f>
        <v>D1X</v>
      </c>
      <c r="L223" s="215" t="s">
        <v>398</v>
      </c>
      <c r="M223" s="172"/>
      <c r="N223" s="172"/>
      <c r="O223" s="172"/>
      <c r="P223" s="172"/>
      <c r="Q223" s="173"/>
    </row>
    <row r="224" spans="1:17" ht="16.95" customHeight="1" x14ac:dyDescent="0.3">
      <c r="A224" s="99" t="s">
        <v>285</v>
      </c>
      <c r="B224" s="97">
        <f>(MMULT(C223:F223, G223:G226)*A223)</f>
        <v>4307.9057442136045</v>
      </c>
      <c r="G224" s="96">
        <f>IFERROR(VLOOKUP(H224, A$209:D$216, 4, FALSE), 0)</f>
        <v>0</v>
      </c>
      <c r="H224" s="12" t="str">
        <f>"D" &amp; D15 &amp; "Y"</f>
        <v>D1Y</v>
      </c>
      <c r="L224" s="215" t="s">
        <v>399</v>
      </c>
      <c r="M224" s="172"/>
      <c r="N224" s="172"/>
      <c r="O224" s="172"/>
      <c r="P224" s="172"/>
      <c r="Q224" s="173"/>
    </row>
    <row r="225" spans="1:17" ht="16.95" customHeight="1" x14ac:dyDescent="0.3">
      <c r="G225" s="96">
        <f>IFERROR(VLOOKUP(H225, A$209:D$216, 4, FALSE), 0)</f>
        <v>8.5474320321698494E-2</v>
      </c>
      <c r="H225" s="12" t="str">
        <f>"D" &amp; E15 &amp; "X"</f>
        <v>D2X</v>
      </c>
      <c r="L225" s="215" t="s">
        <v>400</v>
      </c>
      <c r="M225" s="172"/>
      <c r="N225" s="172"/>
      <c r="O225" s="172"/>
      <c r="P225" s="172"/>
      <c r="Q225" s="173"/>
    </row>
    <row r="226" spans="1:17" ht="16.95" customHeight="1" x14ac:dyDescent="0.3">
      <c r="G226" s="96">
        <f>IFERROR(VLOOKUP(H226, A$209:D$216, 4, FALSE), 0)</f>
        <v>0</v>
      </c>
      <c r="H226" s="12" t="str">
        <f>"D" &amp; F15 &amp; "Y"</f>
        <v>D2Y</v>
      </c>
      <c r="L226" s="215" t="s">
        <v>401</v>
      </c>
      <c r="M226" s="172"/>
      <c r="N226" s="172"/>
      <c r="O226" s="172"/>
      <c r="P226" s="172"/>
      <c r="Q226" s="173"/>
    </row>
    <row r="227" spans="1:17" ht="16.95" customHeight="1" x14ac:dyDescent="0.3">
      <c r="B227" s="99" t="s">
        <v>273</v>
      </c>
      <c r="C227" s="178" t="str">
        <f>IF(B224&gt;0.001,"BARRA A TRACCIÓN (+)",IF(B224&lt;-0.001,"BARRA A COMPRESIÓN (-)","BARRA DE FUERZA NULA"))</f>
        <v>BARRA A TRACCIÓN (+)</v>
      </c>
      <c r="D227" s="172"/>
      <c r="E227" s="172"/>
      <c r="F227" s="173"/>
      <c r="L227" s="215" t="s">
        <v>402</v>
      </c>
      <c r="M227" s="172"/>
      <c r="N227" s="172"/>
      <c r="O227" s="172"/>
      <c r="P227" s="172"/>
      <c r="Q227" s="173"/>
    </row>
    <row r="228" spans="1:17" ht="16.95" customHeight="1" x14ac:dyDescent="0.3">
      <c r="L228" s="215" t="s">
        <v>403</v>
      </c>
      <c r="M228" s="172"/>
      <c r="N228" s="172"/>
      <c r="O228" s="172"/>
      <c r="P228" s="172"/>
      <c r="Q228" s="173"/>
    </row>
    <row r="229" spans="1:17" ht="16.95" customHeight="1" x14ac:dyDescent="0.3">
      <c r="A229" s="19" t="s">
        <v>278</v>
      </c>
      <c r="C229" s="19" t="s">
        <v>279</v>
      </c>
      <c r="D229" s="19" t="s">
        <v>280</v>
      </c>
      <c r="E229" s="19" t="s">
        <v>279</v>
      </c>
      <c r="F229" s="19" t="s">
        <v>280</v>
      </c>
      <c r="G229" s="19" t="s">
        <v>249</v>
      </c>
      <c r="L229" s="215"/>
      <c r="M229" s="172"/>
      <c r="N229" s="172"/>
      <c r="O229" s="172"/>
      <c r="P229" s="172"/>
      <c r="Q229" s="173"/>
    </row>
    <row r="230" spans="1:17" ht="16.95" customHeight="1" x14ac:dyDescent="0.3">
      <c r="C230" s="19" t="s">
        <v>282</v>
      </c>
      <c r="D230" s="19" t="s">
        <v>282</v>
      </c>
      <c r="E230" s="19" t="s">
        <v>283</v>
      </c>
      <c r="F230" s="19" t="s">
        <v>283</v>
      </c>
      <c r="L230" s="215"/>
      <c r="M230" s="172"/>
      <c r="N230" s="172"/>
      <c r="O230" s="172"/>
      <c r="P230" s="172"/>
      <c r="Q230" s="173"/>
    </row>
    <row r="231" spans="1:17" ht="16.95" customHeight="1" x14ac:dyDescent="0.3">
      <c r="A231" s="17">
        <f>N7</f>
        <v>63000</v>
      </c>
      <c r="C231" s="92">
        <f>-J7</f>
        <v>0</v>
      </c>
      <c r="D231" s="92">
        <f>-K7</f>
        <v>-1</v>
      </c>
      <c r="E231" s="92">
        <f>J7</f>
        <v>0</v>
      </c>
      <c r="F231" s="92">
        <f>K7</f>
        <v>1</v>
      </c>
      <c r="G231" s="96">
        <f>IFERROR(VLOOKUP(H231, A$209:D$216, 4, FALSE), 0)</f>
        <v>8.5474320321698494E-2</v>
      </c>
      <c r="H231" s="12" t="str">
        <f>"D" &amp; C16 &amp; "X"</f>
        <v>D2X</v>
      </c>
      <c r="L231" s="215"/>
      <c r="M231" s="172"/>
      <c r="N231" s="172"/>
      <c r="O231" s="172"/>
      <c r="P231" s="172"/>
      <c r="Q231" s="173"/>
    </row>
    <row r="232" spans="1:17" ht="16.95" customHeight="1" x14ac:dyDescent="0.3">
      <c r="A232" s="99" t="s">
        <v>286</v>
      </c>
      <c r="B232" s="97">
        <f>(MMULT(C231:F231, G231:G234)*A231)</f>
        <v>-4553.6754046291171</v>
      </c>
      <c r="G232" s="96">
        <f>IFERROR(VLOOKUP(H232, A$209:D$216, 4, FALSE), 0)</f>
        <v>0</v>
      </c>
      <c r="H232" s="12" t="str">
        <f>"D" &amp; D16 &amp; "Y"</f>
        <v>D2Y</v>
      </c>
      <c r="L232" s="215"/>
      <c r="M232" s="172"/>
      <c r="N232" s="172"/>
      <c r="O232" s="172"/>
      <c r="P232" s="172"/>
      <c r="Q232" s="173"/>
    </row>
    <row r="233" spans="1:17" ht="16.95" customHeight="1" x14ac:dyDescent="0.3">
      <c r="G233" s="96">
        <f>IFERROR(VLOOKUP(H233, A$209:D$216, 4, FALSE), 0)</f>
        <v>0.2950204264603864</v>
      </c>
      <c r="H233" s="12" t="str">
        <f>"D" &amp; E16 &amp; "X"</f>
        <v>D3X</v>
      </c>
      <c r="L233" s="215"/>
      <c r="M233" s="172"/>
      <c r="N233" s="172"/>
      <c r="O233" s="172"/>
      <c r="P233" s="172"/>
      <c r="Q233" s="173"/>
    </row>
    <row r="234" spans="1:17" ht="16.95" customHeight="1" x14ac:dyDescent="0.3">
      <c r="G234" s="96">
        <f>IFERROR(VLOOKUP(H234, A$209:D$216, 4, FALSE), 0)</f>
        <v>-7.2280561978239954E-2</v>
      </c>
      <c r="H234" s="12" t="str">
        <f>"D" &amp; F16 &amp; "Y"</f>
        <v>D3Y</v>
      </c>
      <c r="L234" s="215"/>
      <c r="M234" s="172"/>
      <c r="N234" s="172"/>
      <c r="O234" s="172"/>
      <c r="P234" s="172"/>
      <c r="Q234" s="173"/>
    </row>
    <row r="235" spans="1:17" ht="16.95" customHeight="1" x14ac:dyDescent="0.3">
      <c r="B235" s="99" t="s">
        <v>273</v>
      </c>
      <c r="C235" s="178" t="str">
        <f>IF(B232&gt;0.001,"BARRA A TRACCIÓN (+)",IF(B232&lt;-0.001,"BARRA A COMPRESIÓN (-)","BARRA DE FUERZA NULA"))</f>
        <v>BARRA A COMPRESIÓN (-)</v>
      </c>
      <c r="D235" s="172"/>
      <c r="E235" s="172"/>
      <c r="F235" s="173"/>
      <c r="L235" s="215"/>
      <c r="M235" s="172"/>
      <c r="N235" s="172"/>
      <c r="O235" s="172"/>
      <c r="P235" s="172"/>
      <c r="Q235" s="173"/>
    </row>
    <row r="236" spans="1:17" ht="16.95" customHeight="1" x14ac:dyDescent="0.3">
      <c r="L236" s="215"/>
      <c r="M236" s="172"/>
      <c r="N236" s="172"/>
      <c r="O236" s="172"/>
      <c r="P236" s="172"/>
      <c r="Q236" s="173"/>
    </row>
    <row r="237" spans="1:17" ht="16.95" customHeight="1" x14ac:dyDescent="0.3">
      <c r="A237" s="19" t="s">
        <v>278</v>
      </c>
      <c r="C237" s="19" t="s">
        <v>279</v>
      </c>
      <c r="D237" s="19" t="s">
        <v>280</v>
      </c>
      <c r="E237" s="19" t="s">
        <v>279</v>
      </c>
      <c r="F237" s="19" t="s">
        <v>280</v>
      </c>
      <c r="G237" s="19" t="s">
        <v>249</v>
      </c>
      <c r="L237" s="215"/>
      <c r="M237" s="172"/>
      <c r="N237" s="172"/>
      <c r="O237" s="172"/>
      <c r="P237" s="172"/>
      <c r="Q237" s="173"/>
    </row>
    <row r="238" spans="1:17" ht="16.95" customHeight="1" x14ac:dyDescent="0.3">
      <c r="C238" s="19" t="s">
        <v>282</v>
      </c>
      <c r="D238" s="19" t="s">
        <v>282</v>
      </c>
      <c r="E238" s="19" t="s">
        <v>283</v>
      </c>
      <c r="F238" s="19" t="s">
        <v>283</v>
      </c>
      <c r="L238" s="215"/>
      <c r="M238" s="172"/>
      <c r="N238" s="172"/>
      <c r="O238" s="172"/>
      <c r="P238" s="172"/>
      <c r="Q238" s="173"/>
    </row>
    <row r="239" spans="1:17" ht="16.95" customHeight="1" x14ac:dyDescent="0.3">
      <c r="A239" s="17">
        <f>N8</f>
        <v>50400</v>
      </c>
      <c r="C239" s="92">
        <f>-J8</f>
        <v>1</v>
      </c>
      <c r="D239" s="92">
        <f>-K8</f>
        <v>0</v>
      </c>
      <c r="E239" s="92">
        <f>J8</f>
        <v>-1</v>
      </c>
      <c r="F239" s="92">
        <f>K8</f>
        <v>0</v>
      </c>
      <c r="G239" s="96">
        <f>IFERROR(VLOOKUP(H239, A$209:D$216, 4, FALSE), 0)</f>
        <v>0.2950204264603864</v>
      </c>
      <c r="H239" s="12" t="str">
        <f>"D" &amp; C17 &amp; "X"</f>
        <v>D3X</v>
      </c>
      <c r="L239" s="215"/>
      <c r="M239" s="172"/>
      <c r="N239" s="172"/>
      <c r="O239" s="172"/>
      <c r="P239" s="172"/>
      <c r="Q239" s="173"/>
    </row>
    <row r="240" spans="1:17" ht="16.95" customHeight="1" x14ac:dyDescent="0.3">
      <c r="A240" s="99" t="s">
        <v>287</v>
      </c>
      <c r="B240" s="97">
        <f>(MMULT(C239:F239, G239:G242)*A239)</f>
        <v>-692.09425578639775</v>
      </c>
      <c r="G240" s="96">
        <f>IFERROR(VLOOKUP(H240, A$209:D$216, 4, FALSE), 0)</f>
        <v>-7.2280561978239954E-2</v>
      </c>
      <c r="H240" s="12" t="str">
        <f>"D" &amp; D17 &amp; "Y"</f>
        <v>D3Y</v>
      </c>
      <c r="L240" s="215"/>
      <c r="M240" s="172"/>
      <c r="N240" s="172"/>
      <c r="O240" s="172"/>
      <c r="P240" s="172"/>
      <c r="Q240" s="173"/>
    </row>
    <row r="241" spans="1:17" ht="16.95" customHeight="1" x14ac:dyDescent="0.3">
      <c r="G241" s="96">
        <f>IFERROR(VLOOKUP(H241, A$209:D$216, 4, FALSE), 0)</f>
        <v>0.30875245534503715</v>
      </c>
      <c r="H241" s="12" t="str">
        <f>"D" &amp; E17 &amp; "X"</f>
        <v>D4X</v>
      </c>
      <c r="L241" s="215"/>
      <c r="M241" s="172"/>
      <c r="N241" s="172"/>
      <c r="O241" s="172"/>
      <c r="P241" s="172"/>
      <c r="Q241" s="173"/>
    </row>
    <row r="242" spans="1:17" ht="16.95" customHeight="1" x14ac:dyDescent="0.3">
      <c r="G242" s="96">
        <f>IFERROR(VLOOKUP(H242, A$209:D$216, 4, FALSE), 0)</f>
        <v>5.4703565005887023E-2</v>
      </c>
      <c r="H242" s="12" t="str">
        <f>"D" &amp; F17 &amp; "Y"</f>
        <v>D4Y</v>
      </c>
      <c r="L242" s="215"/>
      <c r="M242" s="172"/>
      <c r="N242" s="172"/>
      <c r="O242" s="172"/>
      <c r="P242" s="172"/>
      <c r="Q242" s="173"/>
    </row>
    <row r="243" spans="1:17" ht="16.95" customHeight="1" x14ac:dyDescent="0.3">
      <c r="B243" s="99" t="s">
        <v>273</v>
      </c>
      <c r="C243" s="178" t="str">
        <f>IF(B240&gt;0.001,"BARRA A TRACCIÓN (+)",IF(B240&lt;-0.001,"BARRA A COMPRESIÓN (-)","BARRA DE FUERZA NULA"))</f>
        <v>BARRA A COMPRESIÓN (-)</v>
      </c>
      <c r="D243" s="172"/>
      <c r="E243" s="172"/>
      <c r="F243" s="173"/>
      <c r="L243" s="215"/>
      <c r="M243" s="172"/>
      <c r="N243" s="172"/>
      <c r="O243" s="172"/>
      <c r="P243" s="172"/>
      <c r="Q243" s="173"/>
    </row>
    <row r="244" spans="1:17" ht="16.95" customHeight="1" x14ac:dyDescent="0.3">
      <c r="L244" s="215"/>
      <c r="M244" s="172"/>
      <c r="N244" s="172"/>
      <c r="O244" s="172"/>
      <c r="P244" s="172"/>
      <c r="Q244" s="173"/>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63000</v>
      </c>
      <c r="C247" s="92">
        <f>-J9</f>
        <v>0</v>
      </c>
      <c r="D247" s="92">
        <f>-K9</f>
        <v>1</v>
      </c>
      <c r="E247" s="92">
        <f>J9</f>
        <v>0</v>
      </c>
      <c r="F247" s="92">
        <f>K9</f>
        <v>-1</v>
      </c>
      <c r="G247" s="96">
        <f>IFERROR(VLOOKUP(H247, A$209:D$216, 4, FALSE), 0)</f>
        <v>0.30875245534503715</v>
      </c>
      <c r="H247" s="12" t="str">
        <f>"D" &amp; C18 &amp; "X"</f>
        <v>D4X</v>
      </c>
    </row>
    <row r="248" spans="1:17" ht="19.95" customHeight="1" x14ac:dyDescent="0.3">
      <c r="A248" s="99" t="s">
        <v>288</v>
      </c>
      <c r="B248" s="97">
        <f>(MMULT(C247:F247, G247:G250)*A247)</f>
        <v>3446.3245953708824</v>
      </c>
      <c r="G248" s="96">
        <f>IFERROR(VLOOKUP(H248, A$209:D$216, 4, FALSE), 0)</f>
        <v>5.4703565005887023E-2</v>
      </c>
      <c r="H248" s="12" t="str">
        <f>"D" &amp; D18 &amp; "Y"</f>
        <v>D4Y</v>
      </c>
    </row>
    <row r="249" spans="1:17" ht="19.95" customHeight="1" x14ac:dyDescent="0.3">
      <c r="G249" s="96">
        <f>IFERROR(VLOOKUP(H249, A$209:D$216, 4, FALSE), 0)</f>
        <v>0</v>
      </c>
      <c r="H249" s="12" t="str">
        <f>"D" &amp; E18 &amp; "X"</f>
        <v>D1X</v>
      </c>
    </row>
    <row r="250" spans="1:17" ht="19.95" customHeight="1" x14ac:dyDescent="0.3">
      <c r="G250" s="96">
        <f>IFERROR(VLOOKUP(H250, A$209:D$216, 4, FALSE), 0)</f>
        <v>0</v>
      </c>
      <c r="H250" s="12" t="str">
        <f>"D" &amp; F18 &amp; "Y"</f>
        <v>D1Y</v>
      </c>
    </row>
    <row r="251" spans="1:17" ht="19.95" customHeight="1" x14ac:dyDescent="0.3">
      <c r="B251" s="99" t="s">
        <v>273</v>
      </c>
      <c r="C251" s="178" t="str">
        <f>IF(B248&gt;0.001,"BARRA A TRACCIÓN (+)",IF(B248&lt;-0.001,"BARRA A COMPRESIÓN (-)","BARRA DE FUERZA NULA"))</f>
        <v>BARRA A TRACCIÓN (+)</v>
      </c>
      <c r="D251" s="172"/>
      <c r="E251" s="172"/>
      <c r="F251" s="173"/>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39355.787995928731</v>
      </c>
      <c r="C255" s="92">
        <f>-J10</f>
        <v>-0.78086880944303039</v>
      </c>
      <c r="D255" s="92">
        <f>-K10</f>
        <v>-0.62469504755442429</v>
      </c>
      <c r="E255" s="92">
        <f>J10</f>
        <v>0.78086880944303039</v>
      </c>
      <c r="F255" s="92">
        <f>K10</f>
        <v>0.62469504755442429</v>
      </c>
      <c r="G255" s="96">
        <f>IFERROR(VLOOKUP(H255, A$209:D$216, 4, FALSE), 0)</f>
        <v>0</v>
      </c>
      <c r="H255" s="12" t="str">
        <f>"D" &amp; C19 &amp; "X"</f>
        <v>D1X</v>
      </c>
    </row>
    <row r="256" spans="1:17" ht="19.95" customHeight="1" x14ac:dyDescent="0.3">
      <c r="A256" s="99" t="s">
        <v>289</v>
      </c>
      <c r="B256" s="97">
        <f>(MMULT(C255:F255, G255:G258)*A255)</f>
        <v>7289.4373381956348</v>
      </c>
      <c r="G256" s="96">
        <f>IFERROR(VLOOKUP(H256, A$209:D$216, 4, FALSE), 0)</f>
        <v>0</v>
      </c>
      <c r="H256" s="12" t="str">
        <f>"D" &amp; D19 &amp; "Y"</f>
        <v>D1Y</v>
      </c>
    </row>
    <row r="257" spans="1:8" ht="19.95" customHeight="1" x14ac:dyDescent="0.3">
      <c r="G257" s="96">
        <f>IFERROR(VLOOKUP(H257, A$209:D$216, 4, FALSE), 0)</f>
        <v>0.2950204264603864</v>
      </c>
      <c r="H257" s="12" t="str">
        <f>"D" &amp; E19 &amp; "X"</f>
        <v>D3X</v>
      </c>
    </row>
    <row r="258" spans="1:8" ht="19.95" customHeight="1" x14ac:dyDescent="0.3">
      <c r="G258" s="96">
        <f>IFERROR(VLOOKUP(H258, A$209:D$216, 4, FALSE), 0)</f>
        <v>-7.2280561978239954E-2</v>
      </c>
      <c r="H258" s="12" t="str">
        <f>"D" &amp; F19 &amp; "Y"</f>
        <v>D3Y</v>
      </c>
    </row>
    <row r="259" spans="1:8" ht="19.95" customHeight="1" x14ac:dyDescent="0.3">
      <c r="B259" s="99" t="s">
        <v>273</v>
      </c>
      <c r="C259" s="178" t="str">
        <f>IF(B256&gt;0.001,"BARRA A TRACCIÓN (+)",IF(B256&lt;-0.001,"BARRA A COMPRESIÓN (-)","BARRA DE FUERZA NULA"))</f>
        <v>BARRA A TRACCIÓN (+)</v>
      </c>
      <c r="D259" s="172"/>
      <c r="E259" s="172"/>
      <c r="F259" s="173"/>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39355.787995928731</v>
      </c>
      <c r="C263" s="92">
        <f>-J11</f>
        <v>0.78086880944303039</v>
      </c>
      <c r="D263" s="92">
        <f>-K11</f>
        <v>-0.62469504755442429</v>
      </c>
      <c r="E263" s="92">
        <f>J11</f>
        <v>-0.78086880944303039</v>
      </c>
      <c r="F263" s="92">
        <f>K11</f>
        <v>0.62469504755442429</v>
      </c>
      <c r="G263" s="96">
        <f>IFERROR(VLOOKUP(H263, A$209:D$216, 4, FALSE), 0)</f>
        <v>8.5474320321698494E-2</v>
      </c>
      <c r="H263" s="12" t="str">
        <f>"D" &amp; C20 &amp; "X"</f>
        <v>D2X</v>
      </c>
    </row>
    <row r="264" spans="1:8" ht="19.95" customHeight="1" x14ac:dyDescent="0.3">
      <c r="A264" s="99" t="s">
        <v>290</v>
      </c>
      <c r="B264" s="97">
        <f>(MMULT(C263:F263, G263:G266)*A263)</f>
        <v>-5516.8111366700641</v>
      </c>
      <c r="G264" s="96">
        <f>IFERROR(VLOOKUP(H264, A$209:D$216, 4, FALSE), 0)</f>
        <v>0</v>
      </c>
      <c r="H264" s="12" t="str">
        <f>"D" &amp; D20 &amp; "Y"</f>
        <v>D2Y</v>
      </c>
    </row>
    <row r="265" spans="1:8" ht="19.95" customHeight="1" x14ac:dyDescent="0.3">
      <c r="G265" s="96">
        <f>IFERROR(VLOOKUP(H265, A$209:D$216, 4, FALSE), 0)</f>
        <v>0.30875245534503715</v>
      </c>
      <c r="H265" s="12" t="str">
        <f>"D" &amp; E20 &amp; "X"</f>
        <v>D4X</v>
      </c>
    </row>
    <row r="266" spans="1:8" ht="19.95" customHeight="1" x14ac:dyDescent="0.3">
      <c r="G266" s="96">
        <f>IFERROR(VLOOKUP(H266, A$209:D$216, 4, FALSE), 0)</f>
        <v>5.4703565005887023E-2</v>
      </c>
      <c r="H266" s="12" t="str">
        <f>"D" &amp; F20 &amp; "Y"</f>
        <v>D4Y</v>
      </c>
    </row>
    <row r="267" spans="1:8" ht="19.95" customHeight="1" x14ac:dyDescent="0.3">
      <c r="B267" s="99" t="s">
        <v>273</v>
      </c>
      <c r="C267" s="178" t="str">
        <f>IF(B264&gt;0.001,"BARRA A TRACCIÓN (+)",IF(B264&lt;-0.001,"BARRA A COMPRESIÓN (-)","BARRA DE FUERZA NULA"))</f>
        <v>BARRA A COMPRESIÓN (-)</v>
      </c>
      <c r="D267" s="172"/>
      <c r="E267" s="172"/>
      <c r="F267" s="173"/>
    </row>
    <row r="270" spans="1:8" ht="22.05" customHeight="1" x14ac:dyDescent="0.3">
      <c r="B270" s="217" t="s">
        <v>404</v>
      </c>
      <c r="C270" s="175"/>
      <c r="D270" s="175"/>
      <c r="E270" s="175"/>
      <c r="F270" s="175"/>
      <c r="G270" s="175"/>
      <c r="H270" s="175"/>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500</v>
      </c>
      <c r="F272" s="9">
        <f t="shared" ref="F272:F277" si="20">L6</f>
        <v>12</v>
      </c>
      <c r="G272" s="97">
        <f>B224</f>
        <v>4307.9057442136045</v>
      </c>
      <c r="H272" s="84" t="str">
        <f>C227</f>
        <v>BARRA A TRACCIÓN (+)</v>
      </c>
    </row>
    <row r="273" spans="2:8" ht="19.95" customHeight="1" x14ac:dyDescent="0.3">
      <c r="B273" s="25">
        <v>2</v>
      </c>
      <c r="C273" s="86">
        <f t="shared" si="17"/>
        <v>2</v>
      </c>
      <c r="D273" s="86">
        <f t="shared" si="18"/>
        <v>3</v>
      </c>
      <c r="E273" s="9">
        <f t="shared" si="19"/>
        <v>400</v>
      </c>
      <c r="F273" s="9">
        <f t="shared" si="20"/>
        <v>12</v>
      </c>
      <c r="G273" s="97">
        <f>B232</f>
        <v>-4553.6754046291171</v>
      </c>
      <c r="H273" s="84" t="str">
        <f>C235</f>
        <v>BARRA A COMPRESIÓN (-)</v>
      </c>
    </row>
    <row r="274" spans="2:8" ht="19.95" customHeight="1" x14ac:dyDescent="0.3">
      <c r="B274" s="26">
        <v>3</v>
      </c>
      <c r="C274" s="86">
        <f t="shared" si="17"/>
        <v>3</v>
      </c>
      <c r="D274" s="86">
        <f t="shared" si="18"/>
        <v>4</v>
      </c>
      <c r="E274" s="9">
        <f t="shared" si="19"/>
        <v>500</v>
      </c>
      <c r="F274" s="9">
        <f t="shared" si="20"/>
        <v>12</v>
      </c>
      <c r="G274" s="97">
        <f>B240</f>
        <v>-692.09425578639775</v>
      </c>
      <c r="H274" s="84" t="str">
        <f>C243</f>
        <v>BARRA A COMPRESIÓN (-)</v>
      </c>
    </row>
    <row r="275" spans="2:8" ht="19.95" customHeight="1" x14ac:dyDescent="0.3">
      <c r="B275" s="43">
        <v>4</v>
      </c>
      <c r="C275" s="86">
        <f t="shared" si="17"/>
        <v>4</v>
      </c>
      <c r="D275" s="86">
        <f t="shared" si="18"/>
        <v>1</v>
      </c>
      <c r="E275" s="9">
        <f t="shared" si="19"/>
        <v>400</v>
      </c>
      <c r="F275" s="9">
        <f t="shared" si="20"/>
        <v>12</v>
      </c>
      <c r="G275" s="97">
        <f>B248</f>
        <v>3446.3245953708824</v>
      </c>
      <c r="H275" s="84" t="str">
        <f>C251</f>
        <v>BARRA A TRACCIÓN (+)</v>
      </c>
    </row>
    <row r="276" spans="2:8" ht="19.95" customHeight="1" x14ac:dyDescent="0.3">
      <c r="B276" s="44">
        <v>5</v>
      </c>
      <c r="C276" s="86">
        <f t="shared" si="17"/>
        <v>1</v>
      </c>
      <c r="D276" s="86">
        <f t="shared" si="18"/>
        <v>3</v>
      </c>
      <c r="E276" s="9">
        <f t="shared" si="19"/>
        <v>640.31242374328485</v>
      </c>
      <c r="F276" s="9">
        <f t="shared" si="20"/>
        <v>12</v>
      </c>
      <c r="G276" s="97">
        <f>B256</f>
        <v>7289.4373381956348</v>
      </c>
      <c r="H276" s="84" t="str">
        <f>C259</f>
        <v>BARRA A TRACCIÓN (+)</v>
      </c>
    </row>
    <row r="277" spans="2:8" ht="19.95" customHeight="1" x14ac:dyDescent="0.3">
      <c r="B277" s="51">
        <v>6</v>
      </c>
      <c r="C277" s="86">
        <f t="shared" si="17"/>
        <v>2</v>
      </c>
      <c r="D277" s="86">
        <f t="shared" si="18"/>
        <v>4</v>
      </c>
      <c r="E277" s="9">
        <f t="shared" si="19"/>
        <v>640.31242374328485</v>
      </c>
      <c r="F277" s="9">
        <f t="shared" si="20"/>
        <v>12</v>
      </c>
      <c r="G277" s="97">
        <f>B264</f>
        <v>-5516.8111366700641</v>
      </c>
      <c r="H277" s="84" t="str">
        <f>C267</f>
        <v>BARRA A COMPRESIÓN (-)</v>
      </c>
    </row>
  </sheetData>
  <mergeCells count="119">
    <mergeCell ref="L244:Q244"/>
    <mergeCell ref="L156:Q156"/>
    <mergeCell ref="L171:Q171"/>
    <mergeCell ref="L153:Q153"/>
    <mergeCell ref="L236:Q236"/>
    <mergeCell ref="L189:Q189"/>
    <mergeCell ref="L146:Q146"/>
    <mergeCell ref="L198:Q198"/>
    <mergeCell ref="L229:Q229"/>
    <mergeCell ref="L238:Q238"/>
    <mergeCell ref="L241:Q241"/>
    <mergeCell ref="L228:Q228"/>
    <mergeCell ref="L179:Q179"/>
    <mergeCell ref="C227:F227"/>
    <mergeCell ref="L237:Q237"/>
    <mergeCell ref="L160:Q160"/>
    <mergeCell ref="L187:Q187"/>
    <mergeCell ref="L174:Q174"/>
    <mergeCell ref="H4:H5"/>
    <mergeCell ref="L137:Q137"/>
    <mergeCell ref="L142:Q142"/>
    <mergeCell ref="L234:Q234"/>
    <mergeCell ref="L172:Q172"/>
    <mergeCell ref="L162:Q162"/>
    <mergeCell ref="L220:Q220"/>
    <mergeCell ref="L143:Q143"/>
    <mergeCell ref="L139:Q139"/>
    <mergeCell ref="L222:Q222"/>
    <mergeCell ref="L170:Q170"/>
    <mergeCell ref="L148:Q148"/>
    <mergeCell ref="L173:Q173"/>
    <mergeCell ref="L188:Q188"/>
    <mergeCell ref="L145:Q145"/>
    <mergeCell ref="L194:Q194"/>
    <mergeCell ref="L154:Q154"/>
    <mergeCell ref="L203:Q203"/>
    <mergeCell ref="L219:Q219"/>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3:B14"/>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J4:J5"/>
    <mergeCell ref="G4:G5"/>
    <mergeCell ref="I4:I5"/>
    <mergeCell ref="L169:Q169"/>
    <mergeCell ref="B3:D3"/>
    <mergeCell ref="M4:M5"/>
    <mergeCell ref="L150:Q150"/>
    <mergeCell ref="L199:Q199"/>
    <mergeCell ref="L186:Q186"/>
    <mergeCell ref="C13:D13"/>
    <mergeCell ref="L165:Q165"/>
    <mergeCell ref="K4:K5"/>
    <mergeCell ref="L4:L5"/>
    <mergeCell ref="C178:G178"/>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622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8</v>
      </c>
      <c r="E6" s="173"/>
      <c r="F6" s="206">
        <f>SUM(F14:G23)</f>
        <v>3</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200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-10000</v>
      </c>
      <c r="J15" s="205" t="s">
        <v>623</v>
      </c>
      <c r="K15" s="172"/>
      <c r="L15" s="172"/>
      <c r="M15" s="172"/>
      <c r="N15" s="172"/>
      <c r="O15" s="173"/>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205" t="s">
        <v>407</v>
      </c>
      <c r="K16" s="172"/>
      <c r="L16" s="172"/>
      <c r="M16" s="172"/>
      <c r="N16" s="172"/>
      <c r="O16" s="173"/>
    </row>
    <row r="17" spans="2:29" ht="19.05" customHeight="1" x14ac:dyDescent="0.3">
      <c r="B17" s="89">
        <v>4</v>
      </c>
      <c r="C17" s="21">
        <v>200</v>
      </c>
      <c r="D17" s="21">
        <v>300</v>
      </c>
      <c r="E17" s="21" t="s">
        <v>326</v>
      </c>
      <c r="F17" s="88">
        <f t="shared" si="0"/>
        <v>0</v>
      </c>
      <c r="G17" s="88">
        <f t="shared" si="1"/>
        <v>0</v>
      </c>
      <c r="H17" s="22">
        <v>0</v>
      </c>
      <c r="I17" s="22">
        <v>0</v>
      </c>
      <c r="J17" s="205" t="s">
        <v>575</v>
      </c>
      <c r="K17" s="172"/>
      <c r="L17" s="172"/>
      <c r="M17" s="172"/>
      <c r="N17" s="172"/>
      <c r="O17" s="173"/>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205" t="s">
        <v>576</v>
      </c>
      <c r="K18" s="172"/>
      <c r="L18" s="172"/>
      <c r="M18" s="172"/>
      <c r="N18" s="172"/>
      <c r="O18" s="173"/>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300</v>
      </c>
      <c r="AC23" t="s">
        <v>338</v>
      </c>
    </row>
    <row r="24" spans="2:29" x14ac:dyDescent="0.3">
      <c r="AA24" s="20">
        <f>IF(G34="","",G34)</f>
        <v>800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v>1</v>
      </c>
      <c r="D35" s="23">
        <v>5</v>
      </c>
      <c r="E35" s="5">
        <f t="shared" si="2"/>
        <v>0</v>
      </c>
      <c r="F35" s="5">
        <f t="shared" si="3"/>
        <v>0</v>
      </c>
      <c r="G35" s="5">
        <f t="shared" si="4"/>
        <v>600</v>
      </c>
      <c r="H35" s="5">
        <f t="shared" si="5"/>
        <v>300</v>
      </c>
      <c r="I35" s="9">
        <f t="shared" si="6"/>
        <v>600</v>
      </c>
      <c r="J35" s="9">
        <f t="shared" si="7"/>
        <v>300</v>
      </c>
      <c r="K35" s="9">
        <f t="shared" si="8"/>
        <v>670.82039324993696</v>
      </c>
      <c r="L35" s="92">
        <f t="shared" si="9"/>
        <v>0.89442719099991586</v>
      </c>
      <c r="M35" s="92">
        <f t="shared" si="10"/>
        <v>0.44721359549995793</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700-000000000000}">
      <formula1>"Fijo (articulado),Rodillo Y (despl. X libre),Rodillo X (despl. Y libre),Libre (0 reac.)"</formula1>
    </dataValidation>
  </dataValidations>
  <pageMargins left="0.75" right="0.75" top="1" bottom="1" header="0.5" footer="0.5"/>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S36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624</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GRAFICA_43!E28</f>
        <v>0</v>
      </c>
      <c r="D6" s="22">
        <f>GRAFICA_43!F28</f>
        <v>0</v>
      </c>
      <c r="E6" s="22">
        <f>GRAFICA_43!G28</f>
        <v>400</v>
      </c>
      <c r="F6" s="22">
        <f>GRAFICA_43!H28</f>
        <v>0</v>
      </c>
      <c r="G6" s="9">
        <f t="shared" ref="G6:H13" si="0">E6-C6</f>
        <v>400</v>
      </c>
      <c r="H6" s="9">
        <f t="shared" si="0"/>
        <v>0</v>
      </c>
      <c r="I6" s="9">
        <f t="shared" ref="I6:I13" si="1">SQRT(G6*G6+H6*H6)</f>
        <v>400</v>
      </c>
      <c r="J6" s="92">
        <f t="shared" ref="J6:J13" si="2">G6/I6</f>
        <v>1</v>
      </c>
      <c r="K6" s="92">
        <f t="shared" ref="K6:K13" si="3">H6/I6</f>
        <v>0</v>
      </c>
      <c r="L6" s="22">
        <f>GRAFICA_43!N28</f>
        <v>12</v>
      </c>
      <c r="M6" s="22">
        <f>GRAFICA_43!O28</f>
        <v>2100000</v>
      </c>
      <c r="N6" s="6">
        <f t="shared" ref="N6:N13" si="4">L6*M6/I6</f>
        <v>63000</v>
      </c>
    </row>
    <row r="7" spans="2:14" ht="19.05" customHeight="1" x14ac:dyDescent="0.3">
      <c r="B7" s="25">
        <v>2</v>
      </c>
      <c r="C7" s="22">
        <f>GRAFICA_43!E29</f>
        <v>400</v>
      </c>
      <c r="D7" s="22">
        <f>GRAFICA_43!F29</f>
        <v>0</v>
      </c>
      <c r="E7" s="22">
        <f>GRAFICA_43!G29</f>
        <v>800</v>
      </c>
      <c r="F7" s="22">
        <f>GRAFICA_43!H29</f>
        <v>0</v>
      </c>
      <c r="G7" s="9">
        <f t="shared" si="0"/>
        <v>400</v>
      </c>
      <c r="H7" s="9">
        <f t="shared" si="0"/>
        <v>0</v>
      </c>
      <c r="I7" s="9">
        <f t="shared" si="1"/>
        <v>400</v>
      </c>
      <c r="J7" s="92">
        <f t="shared" si="2"/>
        <v>1</v>
      </c>
      <c r="K7" s="92">
        <f t="shared" si="3"/>
        <v>0</v>
      </c>
      <c r="L7" s="22">
        <f>GRAFICA_43!N29</f>
        <v>12</v>
      </c>
      <c r="M7" s="22">
        <f>GRAFICA_43!O29</f>
        <v>2100000</v>
      </c>
      <c r="N7" s="6">
        <f t="shared" si="4"/>
        <v>63000</v>
      </c>
    </row>
    <row r="8" spans="2:14" ht="19.05" customHeight="1" x14ac:dyDescent="0.3">
      <c r="B8" s="26">
        <v>3</v>
      </c>
      <c r="C8" s="22">
        <f>GRAFICA_43!E30</f>
        <v>0</v>
      </c>
      <c r="D8" s="22">
        <f>GRAFICA_43!F30</f>
        <v>0</v>
      </c>
      <c r="E8" s="22">
        <f>GRAFICA_43!G30</f>
        <v>200</v>
      </c>
      <c r="F8" s="22">
        <f>GRAFICA_43!H30</f>
        <v>300</v>
      </c>
      <c r="G8" s="9">
        <f t="shared" si="0"/>
        <v>200</v>
      </c>
      <c r="H8" s="9">
        <f t="shared" si="0"/>
        <v>300</v>
      </c>
      <c r="I8" s="9">
        <f t="shared" si="1"/>
        <v>360.55512754639892</v>
      </c>
      <c r="J8" s="92">
        <f t="shared" si="2"/>
        <v>0.55470019622522915</v>
      </c>
      <c r="K8" s="92">
        <f t="shared" si="3"/>
        <v>0.83205029433784372</v>
      </c>
      <c r="L8" s="22">
        <f>GRAFICA_43!N30</f>
        <v>12</v>
      </c>
      <c r="M8" s="22">
        <f>GRAFICA_43!O30</f>
        <v>2100000</v>
      </c>
      <c r="N8" s="6">
        <f t="shared" si="4"/>
        <v>69892.224724378873</v>
      </c>
    </row>
    <row r="9" spans="2:14" ht="19.05" customHeight="1" x14ac:dyDescent="0.3">
      <c r="B9" s="43">
        <v>4</v>
      </c>
      <c r="C9" s="22">
        <f>GRAFICA_43!E31</f>
        <v>200</v>
      </c>
      <c r="D9" s="22">
        <f>GRAFICA_43!F31</f>
        <v>300</v>
      </c>
      <c r="E9" s="22">
        <f>GRAFICA_43!G31</f>
        <v>400</v>
      </c>
      <c r="F9" s="22">
        <f>GRAFICA_43!H31</f>
        <v>0</v>
      </c>
      <c r="G9" s="9">
        <f t="shared" si="0"/>
        <v>200</v>
      </c>
      <c r="H9" s="9">
        <f t="shared" si="0"/>
        <v>-300</v>
      </c>
      <c r="I9" s="9">
        <f t="shared" si="1"/>
        <v>360.55512754639892</v>
      </c>
      <c r="J9" s="92">
        <f t="shared" si="2"/>
        <v>0.55470019622522915</v>
      </c>
      <c r="K9" s="92">
        <f t="shared" si="3"/>
        <v>-0.83205029433784372</v>
      </c>
      <c r="L9" s="22">
        <f>GRAFICA_43!N31</f>
        <v>12</v>
      </c>
      <c r="M9" s="22">
        <f>GRAFICA_43!O31</f>
        <v>2100000</v>
      </c>
      <c r="N9" s="6">
        <f t="shared" si="4"/>
        <v>69892.224724378873</v>
      </c>
    </row>
    <row r="10" spans="2:14" ht="19.05" customHeight="1" x14ac:dyDescent="0.3">
      <c r="B10" s="44">
        <v>5</v>
      </c>
      <c r="C10" s="22">
        <f>GRAFICA_43!E32</f>
        <v>200</v>
      </c>
      <c r="D10" s="22">
        <f>GRAFICA_43!F32</f>
        <v>300</v>
      </c>
      <c r="E10" s="22">
        <f>GRAFICA_43!G32</f>
        <v>600</v>
      </c>
      <c r="F10" s="22">
        <f>GRAFICA_43!H32</f>
        <v>300</v>
      </c>
      <c r="G10" s="9">
        <f t="shared" si="0"/>
        <v>400</v>
      </c>
      <c r="H10" s="9">
        <f t="shared" si="0"/>
        <v>0</v>
      </c>
      <c r="I10" s="9">
        <f t="shared" si="1"/>
        <v>400</v>
      </c>
      <c r="J10" s="92">
        <f t="shared" si="2"/>
        <v>1</v>
      </c>
      <c r="K10" s="92">
        <f t="shared" si="3"/>
        <v>0</v>
      </c>
      <c r="L10" s="22">
        <f>GRAFICA_43!N32</f>
        <v>12</v>
      </c>
      <c r="M10" s="22">
        <f>GRAFICA_43!O32</f>
        <v>2100000</v>
      </c>
      <c r="N10" s="6">
        <f t="shared" si="4"/>
        <v>63000</v>
      </c>
    </row>
    <row r="11" spans="2:14" ht="19.05" customHeight="1" x14ac:dyDescent="0.3">
      <c r="B11" s="51">
        <v>6</v>
      </c>
      <c r="C11" s="22">
        <f>GRAFICA_43!E33</f>
        <v>400</v>
      </c>
      <c r="D11" s="22">
        <f>GRAFICA_43!F33</f>
        <v>0</v>
      </c>
      <c r="E11" s="22">
        <f>GRAFICA_43!G33</f>
        <v>600</v>
      </c>
      <c r="F11" s="22">
        <f>GRAFICA_43!H33</f>
        <v>300</v>
      </c>
      <c r="G11" s="9">
        <f t="shared" si="0"/>
        <v>200</v>
      </c>
      <c r="H11" s="9">
        <f t="shared" si="0"/>
        <v>300</v>
      </c>
      <c r="I11" s="9">
        <f t="shared" si="1"/>
        <v>360.55512754639892</v>
      </c>
      <c r="J11" s="92">
        <f t="shared" si="2"/>
        <v>0.55470019622522915</v>
      </c>
      <c r="K11" s="92">
        <f t="shared" si="3"/>
        <v>0.83205029433784372</v>
      </c>
      <c r="L11" s="22">
        <f>GRAFICA_43!N33</f>
        <v>12</v>
      </c>
      <c r="M11" s="22">
        <f>GRAFICA_43!O33</f>
        <v>2100000</v>
      </c>
      <c r="N11" s="6">
        <f t="shared" si="4"/>
        <v>69892.224724378873</v>
      </c>
    </row>
    <row r="12" spans="2:14" ht="19.05" customHeight="1" x14ac:dyDescent="0.3">
      <c r="B12" s="52">
        <v>7</v>
      </c>
      <c r="C12" s="22">
        <f>GRAFICA_43!E34</f>
        <v>600</v>
      </c>
      <c r="D12" s="22">
        <f>GRAFICA_43!F34</f>
        <v>300</v>
      </c>
      <c r="E12" s="22">
        <f>GRAFICA_43!G34</f>
        <v>800</v>
      </c>
      <c r="F12" s="22">
        <f>GRAFICA_43!H34</f>
        <v>0</v>
      </c>
      <c r="G12" s="9">
        <f t="shared" si="0"/>
        <v>200</v>
      </c>
      <c r="H12" s="9">
        <f t="shared" si="0"/>
        <v>-300</v>
      </c>
      <c r="I12" s="9">
        <f t="shared" si="1"/>
        <v>360.55512754639892</v>
      </c>
      <c r="J12" s="92">
        <f t="shared" si="2"/>
        <v>0.55470019622522915</v>
      </c>
      <c r="K12" s="92">
        <f t="shared" si="3"/>
        <v>-0.83205029433784372</v>
      </c>
      <c r="L12" s="22">
        <f>GRAFICA_43!N34</f>
        <v>12</v>
      </c>
      <c r="M12" s="22">
        <f>GRAFICA_43!O34</f>
        <v>2100000</v>
      </c>
      <c r="N12" s="6">
        <f t="shared" si="4"/>
        <v>69892.224724378873</v>
      </c>
    </row>
    <row r="13" spans="2:14" ht="19.05" customHeight="1" x14ac:dyDescent="0.3">
      <c r="B13" s="59">
        <v>8</v>
      </c>
      <c r="C13" s="22">
        <f>GRAFICA_43!E35</f>
        <v>0</v>
      </c>
      <c r="D13" s="22">
        <f>GRAFICA_43!F35</f>
        <v>0</v>
      </c>
      <c r="E13" s="22">
        <f>GRAFICA_43!G35</f>
        <v>600</v>
      </c>
      <c r="F13" s="22">
        <f>GRAFICA_43!H35</f>
        <v>300</v>
      </c>
      <c r="G13" s="9">
        <f t="shared" si="0"/>
        <v>600</v>
      </c>
      <c r="H13" s="9">
        <f t="shared" si="0"/>
        <v>300</v>
      </c>
      <c r="I13" s="9">
        <f t="shared" si="1"/>
        <v>670.82039324993696</v>
      </c>
      <c r="J13" s="92">
        <f t="shared" si="2"/>
        <v>0.89442719099991586</v>
      </c>
      <c r="K13" s="92">
        <f t="shared" si="3"/>
        <v>0.44721359549995793</v>
      </c>
      <c r="L13" s="22">
        <f>GRAFICA_43!N35</f>
        <v>12</v>
      </c>
      <c r="M13" s="22">
        <f>GRAFICA_43!O35</f>
        <v>2100000</v>
      </c>
      <c r="N13" s="6">
        <f t="shared" si="4"/>
        <v>37565.942021996467</v>
      </c>
    </row>
    <row r="15" spans="2:14" ht="18" customHeight="1" x14ac:dyDescent="0.3">
      <c r="B15" s="202" t="s">
        <v>145</v>
      </c>
      <c r="C15" s="202" t="s">
        <v>369</v>
      </c>
      <c r="D15" s="173"/>
      <c r="E15" s="202" t="s">
        <v>370</v>
      </c>
      <c r="F15" s="173"/>
    </row>
    <row r="16" spans="2:14" ht="18" customHeight="1" x14ac:dyDescent="0.3">
      <c r="B16" s="203"/>
      <c r="C16" s="81" t="s">
        <v>157</v>
      </c>
      <c r="D16" s="81" t="s">
        <v>158</v>
      </c>
      <c r="E16" s="81" t="s">
        <v>157</v>
      </c>
      <c r="F16" s="81" t="s">
        <v>158</v>
      </c>
    </row>
    <row r="17" spans="1:6" ht="19.05" customHeight="1" x14ac:dyDescent="0.3">
      <c r="B17" s="85">
        <v>1</v>
      </c>
      <c r="C17" s="23">
        <f>GRAFICA_43!C28</f>
        <v>1</v>
      </c>
      <c r="D17" s="23">
        <f>GRAFICA_43!C28</f>
        <v>1</v>
      </c>
      <c r="E17" s="23">
        <f>GRAFICA_43!D28</f>
        <v>2</v>
      </c>
      <c r="F17" s="23">
        <f>GRAFICA_43!D28</f>
        <v>2</v>
      </c>
    </row>
    <row r="18" spans="1:6" ht="19.05" customHeight="1" x14ac:dyDescent="0.3">
      <c r="B18" s="25">
        <v>2</v>
      </c>
      <c r="C18" s="23">
        <f>GRAFICA_43!C29</f>
        <v>2</v>
      </c>
      <c r="D18" s="23">
        <f>GRAFICA_43!C29</f>
        <v>2</v>
      </c>
      <c r="E18" s="23">
        <f>GRAFICA_43!D29</f>
        <v>3</v>
      </c>
      <c r="F18" s="23">
        <f>GRAFICA_43!D29</f>
        <v>3</v>
      </c>
    </row>
    <row r="19" spans="1:6" ht="19.05" customHeight="1" x14ac:dyDescent="0.3">
      <c r="B19" s="26">
        <v>3</v>
      </c>
      <c r="C19" s="23">
        <f>GRAFICA_43!C30</f>
        <v>1</v>
      </c>
      <c r="D19" s="23">
        <f>GRAFICA_43!C30</f>
        <v>1</v>
      </c>
      <c r="E19" s="23">
        <f>GRAFICA_43!D30</f>
        <v>4</v>
      </c>
      <c r="F19" s="23">
        <f>GRAFICA_43!D30</f>
        <v>4</v>
      </c>
    </row>
    <row r="20" spans="1:6" ht="19.05" customHeight="1" x14ac:dyDescent="0.3">
      <c r="B20" s="43">
        <v>4</v>
      </c>
      <c r="C20" s="23">
        <f>GRAFICA_43!C31</f>
        <v>4</v>
      </c>
      <c r="D20" s="23">
        <f>GRAFICA_43!C31</f>
        <v>4</v>
      </c>
      <c r="E20" s="23">
        <f>GRAFICA_43!D31</f>
        <v>2</v>
      </c>
      <c r="F20" s="23">
        <f>GRAFICA_43!D31</f>
        <v>2</v>
      </c>
    </row>
    <row r="21" spans="1:6" ht="19.05" customHeight="1" x14ac:dyDescent="0.3">
      <c r="B21" s="44">
        <v>5</v>
      </c>
      <c r="C21" s="23">
        <f>GRAFICA_43!C32</f>
        <v>4</v>
      </c>
      <c r="D21" s="23">
        <f>GRAFICA_43!C32</f>
        <v>4</v>
      </c>
      <c r="E21" s="23">
        <f>GRAFICA_43!D32</f>
        <v>5</v>
      </c>
      <c r="F21" s="23">
        <f>GRAFICA_43!D32</f>
        <v>5</v>
      </c>
    </row>
    <row r="22" spans="1:6" ht="19.05" customHeight="1" x14ac:dyDescent="0.3">
      <c r="B22" s="51">
        <v>6</v>
      </c>
      <c r="C22" s="23">
        <f>GRAFICA_43!C33</f>
        <v>2</v>
      </c>
      <c r="D22" s="23">
        <f>GRAFICA_43!C33</f>
        <v>2</v>
      </c>
      <c r="E22" s="23">
        <f>GRAFICA_43!D33</f>
        <v>5</v>
      </c>
      <c r="F22" s="23">
        <f>GRAFICA_43!D33</f>
        <v>5</v>
      </c>
    </row>
    <row r="23" spans="1:6" ht="19.05" customHeight="1" x14ac:dyDescent="0.3">
      <c r="B23" s="52">
        <v>7</v>
      </c>
      <c r="C23" s="23">
        <f>GRAFICA_43!C34</f>
        <v>5</v>
      </c>
      <c r="D23" s="23">
        <f>GRAFICA_43!C34</f>
        <v>5</v>
      </c>
      <c r="E23" s="23">
        <f>GRAFICA_43!D34</f>
        <v>3</v>
      </c>
      <c r="F23" s="23">
        <f>GRAFICA_43!D34</f>
        <v>3</v>
      </c>
    </row>
    <row r="24" spans="1:6" ht="19.05" customHeight="1" x14ac:dyDescent="0.3">
      <c r="B24" s="59">
        <v>8</v>
      </c>
      <c r="C24" s="23">
        <f>GRAFICA_43!C35</f>
        <v>1</v>
      </c>
      <c r="D24" s="23">
        <f>GRAFICA_43!C35</f>
        <v>1</v>
      </c>
      <c r="E24" s="23">
        <f>GRAFICA_43!D35</f>
        <v>5</v>
      </c>
      <c r="F24" s="23">
        <f>GRAFICA_43!D35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63000</v>
      </c>
      <c r="C28" s="7">
        <f>J6*K6*N6</f>
        <v>0</v>
      </c>
      <c r="D28" s="7">
        <f>-B28</f>
        <v>-63000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-63000</v>
      </c>
      <c r="C30" s="7">
        <f>E28</f>
        <v>0</v>
      </c>
      <c r="D30" s="7">
        <f>B28</f>
        <v>63000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-63000</v>
      </c>
      <c r="C36" s="8">
        <f t="shared" si="5"/>
        <v>0</v>
      </c>
      <c r="D36" s="8">
        <f t="shared" si="5"/>
        <v>63000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63000</v>
      </c>
      <c r="C47" s="30">
        <f>J7*K7*N7</f>
        <v>0</v>
      </c>
      <c r="D47" s="30">
        <f>-B47</f>
        <v>-63000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-63000</v>
      </c>
      <c r="C49" s="30">
        <f>E47</f>
        <v>0</v>
      </c>
      <c r="D49" s="30">
        <f>B47</f>
        <v>63000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-63000</v>
      </c>
      <c r="E57" s="31">
        <f t="shared" si="6"/>
        <v>0</v>
      </c>
      <c r="F57" s="31">
        <f t="shared" si="6"/>
        <v>63000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21505.2999151935</v>
      </c>
      <c r="C66" s="33">
        <f>J8*K8*N8</f>
        <v>32257.94987279025</v>
      </c>
      <c r="D66" s="33">
        <f>-B66</f>
        <v>-21505.2999151935</v>
      </c>
      <c r="E66" s="33">
        <f>-C66</f>
        <v>-32257.94987279025</v>
      </c>
      <c r="F66" s="32" t="str">
        <f>B65</f>
        <v>U1X</v>
      </c>
    </row>
    <row r="67" spans="1:12" ht="16.8" customHeight="1" x14ac:dyDescent="0.3">
      <c r="A67" s="28" t="s">
        <v>193</v>
      </c>
      <c r="B67" s="33">
        <f>C66</f>
        <v>32257.94987279025</v>
      </c>
      <c r="C67" s="33">
        <f>K8*K8*N8</f>
        <v>48386.924809185381</v>
      </c>
      <c r="D67" s="33">
        <f>-B67</f>
        <v>-32257.94987279025</v>
      </c>
      <c r="E67" s="33">
        <f>-C67</f>
        <v>-48386.924809185381</v>
      </c>
      <c r="F67" s="32" t="str">
        <f>C65</f>
        <v>U1Y</v>
      </c>
    </row>
    <row r="68" spans="1:12" x14ac:dyDescent="0.3">
      <c r="B68" s="33">
        <f>D66</f>
        <v>-21505.2999151935</v>
      </c>
      <c r="C68" s="33">
        <f>E66</f>
        <v>-32257.94987279025</v>
      </c>
      <c r="D68" s="33">
        <f>B66</f>
        <v>21505.2999151935</v>
      </c>
      <c r="E68" s="33">
        <f>C66</f>
        <v>32257.94987279025</v>
      </c>
      <c r="F68" s="32" t="str">
        <f>D65</f>
        <v>U4X</v>
      </c>
    </row>
    <row r="69" spans="1:12" x14ac:dyDescent="0.3">
      <c r="B69" s="33">
        <f>D67</f>
        <v>-32257.94987279025</v>
      </c>
      <c r="C69" s="33">
        <f>E67</f>
        <v>-48386.924809185381</v>
      </c>
      <c r="D69" s="33">
        <f>B67</f>
        <v>32257.94987279025</v>
      </c>
      <c r="E69" s="33">
        <f>C67</f>
        <v>48386.924809185381</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21505.2999151935</v>
      </c>
      <c r="C72" s="34">
        <f t="shared" si="7"/>
        <v>32257.94987279025</v>
      </c>
      <c r="D72" s="9">
        <f t="shared" si="7"/>
        <v>0</v>
      </c>
      <c r="E72" s="9">
        <f t="shared" si="7"/>
        <v>0</v>
      </c>
      <c r="F72" s="9">
        <f t="shared" si="7"/>
        <v>0</v>
      </c>
      <c r="G72" s="9">
        <f t="shared" si="7"/>
        <v>0</v>
      </c>
      <c r="H72" s="34">
        <f t="shared" si="7"/>
        <v>-21505.2999151935</v>
      </c>
      <c r="I72" s="34">
        <f t="shared" si="7"/>
        <v>-32257.94987279025</v>
      </c>
      <c r="J72" s="9">
        <f t="shared" si="7"/>
        <v>0</v>
      </c>
      <c r="K72" s="9">
        <f t="shared" si="7"/>
        <v>0</v>
      </c>
      <c r="L72" s="32" t="s">
        <v>178</v>
      </c>
    </row>
    <row r="73" spans="1:12" ht="19.05" customHeight="1" x14ac:dyDescent="0.3">
      <c r="B73" s="34">
        <f t="shared" si="7"/>
        <v>32257.94987279025</v>
      </c>
      <c r="C73" s="34">
        <f t="shared" si="7"/>
        <v>48386.924809185381</v>
      </c>
      <c r="D73" s="9">
        <f t="shared" si="7"/>
        <v>0</v>
      </c>
      <c r="E73" s="9">
        <f t="shared" si="7"/>
        <v>0</v>
      </c>
      <c r="F73" s="9">
        <f t="shared" si="7"/>
        <v>0</v>
      </c>
      <c r="G73" s="9">
        <f t="shared" si="7"/>
        <v>0</v>
      </c>
      <c r="H73" s="34">
        <f t="shared" si="7"/>
        <v>-32257.94987279025</v>
      </c>
      <c r="I73" s="34">
        <f t="shared" si="7"/>
        <v>-48386.924809185381</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-21505.2999151935</v>
      </c>
      <c r="C78" s="34">
        <f t="shared" si="7"/>
        <v>-32257.94987279025</v>
      </c>
      <c r="D78" s="9">
        <f t="shared" si="7"/>
        <v>0</v>
      </c>
      <c r="E78" s="9">
        <f t="shared" si="7"/>
        <v>0</v>
      </c>
      <c r="F78" s="9">
        <f t="shared" si="7"/>
        <v>0</v>
      </c>
      <c r="G78" s="9">
        <f t="shared" si="7"/>
        <v>0</v>
      </c>
      <c r="H78" s="34">
        <f t="shared" si="7"/>
        <v>21505.2999151935</v>
      </c>
      <c r="I78" s="34">
        <f t="shared" si="7"/>
        <v>32257.94987279025</v>
      </c>
      <c r="J78" s="9">
        <f t="shared" si="7"/>
        <v>0</v>
      </c>
      <c r="K78" s="9">
        <f t="shared" si="7"/>
        <v>0</v>
      </c>
      <c r="L78" s="32" t="s">
        <v>184</v>
      </c>
    </row>
    <row r="79" spans="1:12" ht="19.05" customHeight="1" x14ac:dyDescent="0.3">
      <c r="B79" s="34">
        <f t="shared" si="7"/>
        <v>-32257.94987279025</v>
      </c>
      <c r="C79" s="34">
        <f t="shared" si="7"/>
        <v>-48386.924809185381</v>
      </c>
      <c r="D79" s="9">
        <f t="shared" si="7"/>
        <v>0</v>
      </c>
      <c r="E79" s="9">
        <f t="shared" si="7"/>
        <v>0</v>
      </c>
      <c r="F79" s="9">
        <f t="shared" si="7"/>
        <v>0</v>
      </c>
      <c r="G79" s="9">
        <f t="shared" si="7"/>
        <v>0</v>
      </c>
      <c r="H79" s="34">
        <f t="shared" si="7"/>
        <v>32257.94987279025</v>
      </c>
      <c r="I79" s="34">
        <f t="shared" si="7"/>
        <v>48386.924809185381</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U2X</v>
      </c>
      <c r="E84" s="45" t="str">
        <f>CONCATENATE("U",F20,F$16)</f>
        <v>U2Y</v>
      </c>
    </row>
    <row r="85" spans="1:12" x14ac:dyDescent="0.3">
      <c r="B85" s="46">
        <f>J9*J9*N9</f>
        <v>21505.2999151935</v>
      </c>
      <c r="C85" s="46">
        <f>J9*K9*N9</f>
        <v>-32257.94987279025</v>
      </c>
      <c r="D85" s="46">
        <f>-B85</f>
        <v>-21505.2999151935</v>
      </c>
      <c r="E85" s="46">
        <f>-C85</f>
        <v>32257.94987279025</v>
      </c>
      <c r="F85" s="45" t="str">
        <f>B84</f>
        <v>U4X</v>
      </c>
    </row>
    <row r="86" spans="1:12" ht="16.8" customHeight="1" x14ac:dyDescent="0.3">
      <c r="A86" s="28" t="s">
        <v>195</v>
      </c>
      <c r="B86" s="46">
        <f>C85</f>
        <v>-32257.94987279025</v>
      </c>
      <c r="C86" s="46">
        <f>K9*K9*N9</f>
        <v>48386.924809185381</v>
      </c>
      <c r="D86" s="46">
        <f>-B86</f>
        <v>32257.94987279025</v>
      </c>
      <c r="E86" s="46">
        <f>-C86</f>
        <v>-48386.924809185381</v>
      </c>
      <c r="F86" s="45" t="str">
        <f>C84</f>
        <v>U4Y</v>
      </c>
    </row>
    <row r="87" spans="1:12" x14ac:dyDescent="0.3">
      <c r="B87" s="46">
        <f>D85</f>
        <v>-21505.2999151935</v>
      </c>
      <c r="C87" s="46">
        <f>E85</f>
        <v>32257.94987279025</v>
      </c>
      <c r="D87" s="46">
        <f>B85</f>
        <v>21505.2999151935</v>
      </c>
      <c r="E87" s="46">
        <f>C85</f>
        <v>-32257.94987279025</v>
      </c>
      <c r="F87" s="45" t="str">
        <f>D84</f>
        <v>U2X</v>
      </c>
    </row>
    <row r="88" spans="1:12" x14ac:dyDescent="0.3">
      <c r="B88" s="46">
        <f>D86</f>
        <v>32257.94987279025</v>
      </c>
      <c r="C88" s="46">
        <f>E86</f>
        <v>-48386.924809185381</v>
      </c>
      <c r="D88" s="46">
        <f>B86</f>
        <v>-32257.94987279025</v>
      </c>
      <c r="E88" s="46">
        <f>C86</f>
        <v>48386.924809185381</v>
      </c>
      <c r="F88" s="45" t="str">
        <f>E84</f>
        <v>U2Y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47">
        <f t="shared" si="8"/>
        <v>21505.2999151935</v>
      </c>
      <c r="E93" s="47">
        <f t="shared" si="8"/>
        <v>-32257.94987279025</v>
      </c>
      <c r="F93" s="9">
        <f t="shared" si="8"/>
        <v>0</v>
      </c>
      <c r="G93" s="9">
        <f t="shared" si="8"/>
        <v>0</v>
      </c>
      <c r="H93" s="47">
        <f t="shared" si="8"/>
        <v>-21505.2999151935</v>
      </c>
      <c r="I93" s="47">
        <f t="shared" si="8"/>
        <v>32257.94987279025</v>
      </c>
      <c r="J93" s="9">
        <f t="shared" si="8"/>
        <v>0</v>
      </c>
      <c r="K93" s="9">
        <f t="shared" si="8"/>
        <v>0</v>
      </c>
      <c r="L93" s="45" t="s">
        <v>180</v>
      </c>
    </row>
    <row r="94" spans="1:12" ht="19.05" customHeight="1" x14ac:dyDescent="0.3">
      <c r="B94" s="9">
        <f t="shared" si="8"/>
        <v>0</v>
      </c>
      <c r="C94" s="9">
        <f t="shared" si="8"/>
        <v>0</v>
      </c>
      <c r="D94" s="47">
        <f t="shared" si="8"/>
        <v>-32257.94987279025</v>
      </c>
      <c r="E94" s="47">
        <f t="shared" si="8"/>
        <v>48386.924809185381</v>
      </c>
      <c r="F94" s="9">
        <f t="shared" si="8"/>
        <v>0</v>
      </c>
      <c r="G94" s="9">
        <f t="shared" si="8"/>
        <v>0</v>
      </c>
      <c r="H94" s="47">
        <f t="shared" si="8"/>
        <v>32257.94987279025</v>
      </c>
      <c r="I94" s="47">
        <f t="shared" si="8"/>
        <v>-48386.924809185381</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47">
        <f t="shared" si="8"/>
        <v>-21505.2999151935</v>
      </c>
      <c r="E97" s="47">
        <f t="shared" si="8"/>
        <v>32257.94987279025</v>
      </c>
      <c r="F97" s="9">
        <f t="shared" si="8"/>
        <v>0</v>
      </c>
      <c r="G97" s="9">
        <f t="shared" si="8"/>
        <v>0</v>
      </c>
      <c r="H97" s="47">
        <f t="shared" si="8"/>
        <v>21505.2999151935</v>
      </c>
      <c r="I97" s="47">
        <f t="shared" si="8"/>
        <v>-32257.94987279025</v>
      </c>
      <c r="J97" s="9">
        <f t="shared" si="8"/>
        <v>0</v>
      </c>
      <c r="K97" s="9">
        <f t="shared" si="8"/>
        <v>0</v>
      </c>
      <c r="L97" s="45" t="s">
        <v>184</v>
      </c>
    </row>
    <row r="98" spans="1:12" ht="19.05" customHeight="1" x14ac:dyDescent="0.3">
      <c r="B98" s="9">
        <f t="shared" si="8"/>
        <v>0</v>
      </c>
      <c r="C98" s="9">
        <f t="shared" si="8"/>
        <v>0</v>
      </c>
      <c r="D98" s="47">
        <f t="shared" si="8"/>
        <v>32257.94987279025</v>
      </c>
      <c r="E98" s="47">
        <f t="shared" si="8"/>
        <v>-48386.924809185381</v>
      </c>
      <c r="F98" s="9">
        <f t="shared" si="8"/>
        <v>0</v>
      </c>
      <c r="G98" s="9">
        <f t="shared" si="8"/>
        <v>0</v>
      </c>
      <c r="H98" s="47">
        <f t="shared" si="8"/>
        <v>-32257.94987279025</v>
      </c>
      <c r="I98" s="47">
        <f t="shared" si="8"/>
        <v>48386.924809185381</v>
      </c>
      <c r="J98" s="9">
        <f t="shared" si="8"/>
        <v>0</v>
      </c>
      <c r="K98" s="9">
        <f t="shared" si="8"/>
        <v>0</v>
      </c>
      <c r="L98" s="45" t="s">
        <v>185</v>
      </c>
    </row>
    <row r="99" spans="1:12"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9">
        <f t="shared" si="8"/>
        <v>0</v>
      </c>
      <c r="I100" s="9">
        <f t="shared" si="8"/>
        <v>0</v>
      </c>
      <c r="J100" s="9">
        <f t="shared" si="8"/>
        <v>0</v>
      </c>
      <c r="K100" s="9">
        <f t="shared" si="8"/>
        <v>0</v>
      </c>
      <c r="L100" s="45" t="s">
        <v>187</v>
      </c>
    </row>
    <row r="103" spans="1:12" ht="18" customHeight="1" x14ac:dyDescent="0.3">
      <c r="B103" s="48" t="str">
        <f>CONCATENATE("U",C21,C$16)</f>
        <v>U4X</v>
      </c>
      <c r="C103" s="48" t="str">
        <f>CONCATENATE("U",D21,D$16)</f>
        <v>U4Y</v>
      </c>
      <c r="D103" s="48" t="str">
        <f>CONCATENATE("U",E21,E$16)</f>
        <v>U5X</v>
      </c>
      <c r="E103" s="48" t="str">
        <f>CONCATENATE("U",F21,F$16)</f>
        <v>U5Y</v>
      </c>
    </row>
    <row r="104" spans="1:12" x14ac:dyDescent="0.3">
      <c r="B104" s="49">
        <f>J10*J10*N10</f>
        <v>63000</v>
      </c>
      <c r="C104" s="49">
        <f>J10*K10*N10</f>
        <v>0</v>
      </c>
      <c r="D104" s="49">
        <f>-B104</f>
        <v>-63000</v>
      </c>
      <c r="E104" s="49">
        <f>-C104</f>
        <v>0</v>
      </c>
      <c r="F104" s="48" t="str">
        <f>B103</f>
        <v>U4X</v>
      </c>
    </row>
    <row r="105" spans="1:12" ht="16.8" customHeight="1" x14ac:dyDescent="0.3">
      <c r="A105" s="28" t="s">
        <v>197</v>
      </c>
      <c r="B105" s="49">
        <f>C104</f>
        <v>0</v>
      </c>
      <c r="C105" s="49">
        <f>K10*K10*N10</f>
        <v>0</v>
      </c>
      <c r="D105" s="49">
        <f>-B105</f>
        <v>0</v>
      </c>
      <c r="E105" s="49">
        <f>-C105</f>
        <v>0</v>
      </c>
      <c r="F105" s="48" t="str">
        <f>C103</f>
        <v>U4Y</v>
      </c>
    </row>
    <row r="106" spans="1:12" x14ac:dyDescent="0.3">
      <c r="B106" s="49">
        <f>D104</f>
        <v>-63000</v>
      </c>
      <c r="C106" s="49">
        <f>E104</f>
        <v>0</v>
      </c>
      <c r="D106" s="49">
        <f>B104</f>
        <v>63000</v>
      </c>
      <c r="E106" s="49">
        <f>C104</f>
        <v>0</v>
      </c>
      <c r="F106" s="48" t="str">
        <f>D103</f>
        <v>U5X</v>
      </c>
    </row>
    <row r="107" spans="1:12" x14ac:dyDescent="0.3">
      <c r="B107" s="49">
        <f>D105</f>
        <v>0</v>
      </c>
      <c r="C107" s="49">
        <f>E105</f>
        <v>0</v>
      </c>
      <c r="D107" s="49">
        <f>B105</f>
        <v>0</v>
      </c>
      <c r="E107" s="49">
        <f>C105</f>
        <v>0</v>
      </c>
      <c r="F107" s="48" t="str">
        <f>E103</f>
        <v>U5Y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182</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185</v>
      </c>
    </row>
    <row r="118" spans="1:12" ht="19.05" customHeight="1" x14ac:dyDescent="0.3">
      <c r="B118" s="9">
        <f t="shared" si="9"/>
        <v>0</v>
      </c>
      <c r="C118" s="9">
        <f t="shared" si="9"/>
        <v>0</v>
      </c>
      <c r="D118" s="9">
        <f t="shared" si="9"/>
        <v>0</v>
      </c>
      <c r="E118" s="9">
        <f t="shared" si="9"/>
        <v>0</v>
      </c>
      <c r="F118" s="9">
        <f t="shared" si="9"/>
        <v>0</v>
      </c>
      <c r="G118" s="9">
        <f t="shared" si="9"/>
        <v>0</v>
      </c>
      <c r="H118" s="50">
        <f t="shared" si="9"/>
        <v>-63000</v>
      </c>
      <c r="I118" s="50">
        <f t="shared" si="9"/>
        <v>0</v>
      </c>
      <c r="J118" s="50">
        <f t="shared" si="9"/>
        <v>63000</v>
      </c>
      <c r="K118" s="50">
        <f t="shared" si="9"/>
        <v>0</v>
      </c>
      <c r="L118" s="48" t="s">
        <v>186</v>
      </c>
    </row>
    <row r="119" spans="1:12" ht="19.05" customHeight="1" x14ac:dyDescent="0.3">
      <c r="B119" s="9">
        <f t="shared" si="9"/>
        <v>0</v>
      </c>
      <c r="C119" s="9">
        <f t="shared" si="9"/>
        <v>0</v>
      </c>
      <c r="D119" s="9">
        <f t="shared" si="9"/>
        <v>0</v>
      </c>
      <c r="E119" s="9">
        <f t="shared" si="9"/>
        <v>0</v>
      </c>
      <c r="F119" s="9">
        <f t="shared" si="9"/>
        <v>0</v>
      </c>
      <c r="G119" s="9">
        <f t="shared" si="9"/>
        <v>0</v>
      </c>
      <c r="H119" s="50">
        <f t="shared" si="9"/>
        <v>0</v>
      </c>
      <c r="I119" s="50">
        <f t="shared" si="9"/>
        <v>0</v>
      </c>
      <c r="J119" s="50">
        <f t="shared" si="9"/>
        <v>0</v>
      </c>
      <c r="K119" s="50">
        <f t="shared" si="9"/>
        <v>0</v>
      </c>
      <c r="L119" s="48" t="s">
        <v>187</v>
      </c>
    </row>
    <row r="122" spans="1:12" ht="18" customHeight="1" x14ac:dyDescent="0.3">
      <c r="B122" s="53" t="str">
        <f>CONCATENATE("U",C22,C$16)</f>
        <v>U2X</v>
      </c>
      <c r="C122" s="53" t="str">
        <f>CONCATENATE("U",D22,D$16)</f>
        <v>U2Y</v>
      </c>
      <c r="D122" s="53" t="str">
        <f>CONCATENATE("U",E22,E$16)</f>
        <v>U5X</v>
      </c>
      <c r="E122" s="53" t="str">
        <f>CONCATENATE("U",F22,F$16)</f>
        <v>U5Y</v>
      </c>
    </row>
    <row r="123" spans="1:12" x14ac:dyDescent="0.3">
      <c r="B123" s="54">
        <f>J11*J11*N11</f>
        <v>21505.2999151935</v>
      </c>
      <c r="C123" s="54">
        <f>J11*K11*N11</f>
        <v>32257.94987279025</v>
      </c>
      <c r="D123" s="54">
        <f>-B123</f>
        <v>-21505.2999151935</v>
      </c>
      <c r="E123" s="54">
        <f>-C123</f>
        <v>-32257.94987279025</v>
      </c>
      <c r="F123" s="53" t="str">
        <f>B122</f>
        <v>U2X</v>
      </c>
    </row>
    <row r="124" spans="1:12" ht="16.8" customHeight="1" x14ac:dyDescent="0.3">
      <c r="A124" s="28" t="s">
        <v>199</v>
      </c>
      <c r="B124" s="54">
        <f>C123</f>
        <v>32257.94987279025</v>
      </c>
      <c r="C124" s="54">
        <f>K11*K11*N11</f>
        <v>48386.924809185381</v>
      </c>
      <c r="D124" s="54">
        <f>-B124</f>
        <v>-32257.94987279025</v>
      </c>
      <c r="E124" s="54">
        <f>-C124</f>
        <v>-48386.924809185381</v>
      </c>
      <c r="F124" s="53" t="str">
        <f>C122</f>
        <v>U2Y</v>
      </c>
    </row>
    <row r="125" spans="1:12" x14ac:dyDescent="0.3">
      <c r="B125" s="54">
        <f>D123</f>
        <v>-21505.2999151935</v>
      </c>
      <c r="C125" s="54">
        <f>E123</f>
        <v>-32257.94987279025</v>
      </c>
      <c r="D125" s="54">
        <f>B123</f>
        <v>21505.2999151935</v>
      </c>
      <c r="E125" s="54">
        <f>C123</f>
        <v>32257.94987279025</v>
      </c>
      <c r="F125" s="53" t="str">
        <f>D122</f>
        <v>U5X</v>
      </c>
    </row>
    <row r="126" spans="1:12" x14ac:dyDescent="0.3">
      <c r="B126" s="54">
        <f>D124</f>
        <v>-32257.94987279025</v>
      </c>
      <c r="C126" s="54">
        <f>E124</f>
        <v>-48386.924809185381</v>
      </c>
      <c r="D126" s="54">
        <f>B124</f>
        <v>32257.94987279025</v>
      </c>
      <c r="E126" s="54">
        <f>C124</f>
        <v>48386.924809185381</v>
      </c>
      <c r="F126" s="53" t="str">
        <f>E122</f>
        <v>U5Y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21505.2999151935</v>
      </c>
      <c r="E131" s="55">
        <f t="shared" si="10"/>
        <v>32257.94987279025</v>
      </c>
      <c r="F131" s="9">
        <f t="shared" si="10"/>
        <v>0</v>
      </c>
      <c r="G131" s="9">
        <f t="shared" si="10"/>
        <v>0</v>
      </c>
      <c r="H131" s="9">
        <f t="shared" si="10"/>
        <v>0</v>
      </c>
      <c r="I131" s="9">
        <f t="shared" si="10"/>
        <v>0</v>
      </c>
      <c r="J131" s="55">
        <f t="shared" si="10"/>
        <v>-21505.2999151935</v>
      </c>
      <c r="K131" s="55">
        <f t="shared" si="10"/>
        <v>-32257.94987279025</v>
      </c>
      <c r="L131" s="53" t="s">
        <v>180</v>
      </c>
    </row>
    <row r="132" spans="1:12" ht="19.05" customHeight="1" x14ac:dyDescent="0.3">
      <c r="B132" s="9">
        <f t="shared" si="10"/>
        <v>0</v>
      </c>
      <c r="C132" s="9">
        <f t="shared" si="10"/>
        <v>0</v>
      </c>
      <c r="D132" s="55">
        <f t="shared" si="10"/>
        <v>32257.94987279025</v>
      </c>
      <c r="E132" s="55">
        <f t="shared" si="10"/>
        <v>48386.924809185381</v>
      </c>
      <c r="F132" s="9">
        <f t="shared" si="10"/>
        <v>0</v>
      </c>
      <c r="G132" s="9">
        <f t="shared" si="10"/>
        <v>0</v>
      </c>
      <c r="H132" s="9">
        <f t="shared" si="10"/>
        <v>0</v>
      </c>
      <c r="I132" s="9">
        <f t="shared" si="10"/>
        <v>0</v>
      </c>
      <c r="J132" s="55">
        <f t="shared" si="10"/>
        <v>-32257.94987279025</v>
      </c>
      <c r="K132" s="55">
        <f t="shared" si="10"/>
        <v>-48386.924809185381</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184</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185</v>
      </c>
    </row>
    <row r="137" spans="1:12" ht="19.05" customHeight="1" x14ac:dyDescent="0.3">
      <c r="B137" s="9">
        <f t="shared" si="10"/>
        <v>0</v>
      </c>
      <c r="C137" s="9">
        <f t="shared" si="10"/>
        <v>0</v>
      </c>
      <c r="D137" s="55">
        <f t="shared" si="10"/>
        <v>-21505.2999151935</v>
      </c>
      <c r="E137" s="55">
        <f t="shared" si="10"/>
        <v>-32257.94987279025</v>
      </c>
      <c r="F137" s="9">
        <f t="shared" si="10"/>
        <v>0</v>
      </c>
      <c r="G137" s="9">
        <f t="shared" si="10"/>
        <v>0</v>
      </c>
      <c r="H137" s="9">
        <f t="shared" si="10"/>
        <v>0</v>
      </c>
      <c r="I137" s="9">
        <f t="shared" si="10"/>
        <v>0</v>
      </c>
      <c r="J137" s="55">
        <f t="shared" si="10"/>
        <v>21505.2999151935</v>
      </c>
      <c r="K137" s="55">
        <f t="shared" si="10"/>
        <v>32257.94987279025</v>
      </c>
      <c r="L137" s="53" t="s">
        <v>186</v>
      </c>
    </row>
    <row r="138" spans="1:12" ht="19.05" customHeight="1" x14ac:dyDescent="0.3">
      <c r="B138" s="9">
        <f t="shared" si="10"/>
        <v>0</v>
      </c>
      <c r="C138" s="9">
        <f t="shared" si="10"/>
        <v>0</v>
      </c>
      <c r="D138" s="55">
        <f t="shared" si="10"/>
        <v>-32257.94987279025</v>
      </c>
      <c r="E138" s="55">
        <f t="shared" si="10"/>
        <v>-48386.924809185381</v>
      </c>
      <c r="F138" s="9">
        <f t="shared" si="10"/>
        <v>0</v>
      </c>
      <c r="G138" s="9">
        <f t="shared" si="10"/>
        <v>0</v>
      </c>
      <c r="H138" s="9">
        <f t="shared" si="10"/>
        <v>0</v>
      </c>
      <c r="I138" s="9">
        <f t="shared" si="10"/>
        <v>0</v>
      </c>
      <c r="J138" s="55">
        <f t="shared" si="10"/>
        <v>32257.94987279025</v>
      </c>
      <c r="K138" s="55">
        <f t="shared" si="10"/>
        <v>48386.924809185381</v>
      </c>
      <c r="L138" s="53" t="s">
        <v>187</v>
      </c>
    </row>
    <row r="141" spans="1:12" ht="18" customHeight="1" x14ac:dyDescent="0.3">
      <c r="B141" s="56" t="str">
        <f>CONCATENATE("U",C23,C$16)</f>
        <v>U5X</v>
      </c>
      <c r="C141" s="56" t="str">
        <f>CONCATENATE("U",D23,D$16)</f>
        <v>U5Y</v>
      </c>
      <c r="D141" s="56" t="str">
        <f>CONCATENATE("U",E23,E$16)</f>
        <v>U3X</v>
      </c>
      <c r="E141" s="56" t="str">
        <f>CONCATENATE("U",F23,F$16)</f>
        <v>U3Y</v>
      </c>
    </row>
    <row r="142" spans="1:12" x14ac:dyDescent="0.3">
      <c r="B142" s="57">
        <f>J12*J12*N12</f>
        <v>21505.2999151935</v>
      </c>
      <c r="C142" s="57">
        <f>J12*K12*N12</f>
        <v>-32257.94987279025</v>
      </c>
      <c r="D142" s="57">
        <f>-B142</f>
        <v>-21505.2999151935</v>
      </c>
      <c r="E142" s="57">
        <f>-C142</f>
        <v>32257.94987279025</v>
      </c>
      <c r="F142" s="56" t="str">
        <f>B141</f>
        <v>U5X</v>
      </c>
    </row>
    <row r="143" spans="1:12" ht="16.8" customHeight="1" x14ac:dyDescent="0.3">
      <c r="A143" s="28" t="s">
        <v>201</v>
      </c>
      <c r="B143" s="57">
        <f>C142</f>
        <v>-32257.94987279025</v>
      </c>
      <c r="C143" s="57">
        <f>K12*K12*N12</f>
        <v>48386.924809185381</v>
      </c>
      <c r="D143" s="57">
        <f>-B143</f>
        <v>32257.94987279025</v>
      </c>
      <c r="E143" s="57">
        <f>-C143</f>
        <v>-48386.924809185381</v>
      </c>
      <c r="F143" s="56" t="str">
        <f>C141</f>
        <v>U5Y</v>
      </c>
    </row>
    <row r="144" spans="1:12" x14ac:dyDescent="0.3">
      <c r="B144" s="57">
        <f>D142</f>
        <v>-21505.2999151935</v>
      </c>
      <c r="C144" s="57">
        <f>E142</f>
        <v>32257.94987279025</v>
      </c>
      <c r="D144" s="57">
        <f>B142</f>
        <v>21505.2999151935</v>
      </c>
      <c r="E144" s="57">
        <f>C142</f>
        <v>-32257.94987279025</v>
      </c>
      <c r="F144" s="56" t="str">
        <f>D141</f>
        <v>U3X</v>
      </c>
    </row>
    <row r="145" spans="1:12" x14ac:dyDescent="0.3">
      <c r="B145" s="57">
        <f>D143</f>
        <v>32257.94987279025</v>
      </c>
      <c r="C145" s="57">
        <f>E143</f>
        <v>-48386.924809185381</v>
      </c>
      <c r="D145" s="57">
        <f>B143</f>
        <v>-32257.94987279025</v>
      </c>
      <c r="E145" s="57">
        <f>C143</f>
        <v>48386.924809185381</v>
      </c>
      <c r="F145" s="56" t="str">
        <f>E141</f>
        <v>U3Y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180</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181</v>
      </c>
    </row>
    <row r="152" spans="1:12" ht="19.05" customHeight="1" x14ac:dyDescent="0.3">
      <c r="A152" s="28" t="s">
        <v>202</v>
      </c>
      <c r="B152" s="9">
        <f t="shared" si="11"/>
        <v>0</v>
      </c>
      <c r="C152" s="9">
        <f t="shared" si="11"/>
        <v>0</v>
      </c>
      <c r="D152" s="9">
        <f t="shared" si="11"/>
        <v>0</v>
      </c>
      <c r="E152" s="9">
        <f t="shared" si="11"/>
        <v>0</v>
      </c>
      <c r="F152" s="58">
        <f t="shared" si="11"/>
        <v>21505.2999151935</v>
      </c>
      <c r="G152" s="58">
        <f t="shared" si="11"/>
        <v>-32257.94987279025</v>
      </c>
      <c r="H152" s="9">
        <f t="shared" si="11"/>
        <v>0</v>
      </c>
      <c r="I152" s="9">
        <f t="shared" si="11"/>
        <v>0</v>
      </c>
      <c r="J152" s="58">
        <f t="shared" si="11"/>
        <v>-21505.2999151935</v>
      </c>
      <c r="K152" s="58">
        <f t="shared" si="11"/>
        <v>32257.94987279025</v>
      </c>
      <c r="L152" s="56" t="s">
        <v>182</v>
      </c>
    </row>
    <row r="153" spans="1:12" ht="19.05" customHeight="1" x14ac:dyDescent="0.3">
      <c r="B153" s="9">
        <f t="shared" si="11"/>
        <v>0</v>
      </c>
      <c r="C153" s="9">
        <f t="shared" si="11"/>
        <v>0</v>
      </c>
      <c r="D153" s="9">
        <f t="shared" si="11"/>
        <v>0</v>
      </c>
      <c r="E153" s="9">
        <f t="shared" si="11"/>
        <v>0</v>
      </c>
      <c r="F153" s="58">
        <f t="shared" si="11"/>
        <v>-32257.94987279025</v>
      </c>
      <c r="G153" s="58">
        <f t="shared" si="11"/>
        <v>48386.924809185381</v>
      </c>
      <c r="H153" s="9">
        <f t="shared" si="11"/>
        <v>0</v>
      </c>
      <c r="I153" s="9">
        <f t="shared" si="11"/>
        <v>0</v>
      </c>
      <c r="J153" s="58">
        <f t="shared" si="11"/>
        <v>32257.94987279025</v>
      </c>
      <c r="K153" s="58">
        <f t="shared" si="11"/>
        <v>-48386.924809185381</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9">
        <f t="shared" si="11"/>
        <v>0</v>
      </c>
      <c r="E156" s="9">
        <f t="shared" si="11"/>
        <v>0</v>
      </c>
      <c r="F156" s="58">
        <f t="shared" si="11"/>
        <v>-21505.2999151935</v>
      </c>
      <c r="G156" s="58">
        <f t="shared" si="11"/>
        <v>32257.94987279025</v>
      </c>
      <c r="H156" s="9">
        <f t="shared" si="11"/>
        <v>0</v>
      </c>
      <c r="I156" s="9">
        <f t="shared" si="11"/>
        <v>0</v>
      </c>
      <c r="J156" s="58">
        <f t="shared" si="11"/>
        <v>21505.2999151935</v>
      </c>
      <c r="K156" s="58">
        <f t="shared" si="11"/>
        <v>-32257.94987279025</v>
      </c>
      <c r="L156" s="56" t="s">
        <v>186</v>
      </c>
    </row>
    <row r="157" spans="1:12" ht="19.05" customHeight="1" x14ac:dyDescent="0.3">
      <c r="B157" s="9">
        <f t="shared" si="11"/>
        <v>0</v>
      </c>
      <c r="C157" s="9">
        <f t="shared" si="11"/>
        <v>0</v>
      </c>
      <c r="D157" s="9">
        <f t="shared" si="11"/>
        <v>0</v>
      </c>
      <c r="E157" s="9">
        <f t="shared" si="11"/>
        <v>0</v>
      </c>
      <c r="F157" s="58">
        <f t="shared" si="11"/>
        <v>32257.94987279025</v>
      </c>
      <c r="G157" s="58">
        <f t="shared" si="11"/>
        <v>-48386.924809185381</v>
      </c>
      <c r="H157" s="9">
        <f t="shared" si="11"/>
        <v>0</v>
      </c>
      <c r="I157" s="9">
        <f t="shared" si="11"/>
        <v>0</v>
      </c>
      <c r="J157" s="58">
        <f t="shared" si="11"/>
        <v>-32257.94987279025</v>
      </c>
      <c r="K157" s="58">
        <f t="shared" si="11"/>
        <v>48386.924809185381</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30052.753617597173</v>
      </c>
      <c r="C161" s="62">
        <f>J13*K13*N13</f>
        <v>15026.376808798586</v>
      </c>
      <c r="D161" s="62">
        <f>-B161</f>
        <v>-30052.753617597173</v>
      </c>
      <c r="E161" s="62">
        <f>-C161</f>
        <v>-15026.376808798586</v>
      </c>
      <c r="F161" s="61" t="str">
        <f>B160</f>
        <v>U1X</v>
      </c>
    </row>
    <row r="162" spans="1:12" ht="16.8" customHeight="1" x14ac:dyDescent="0.3">
      <c r="A162" s="28" t="s">
        <v>203</v>
      </c>
      <c r="B162" s="62">
        <f>C161</f>
        <v>15026.376808798586</v>
      </c>
      <c r="C162" s="62">
        <f>K13*K13*N13</f>
        <v>7513.1884043992932</v>
      </c>
      <c r="D162" s="62">
        <f>-B162</f>
        <v>-15026.376808798586</v>
      </c>
      <c r="E162" s="62">
        <f>-C162</f>
        <v>-7513.1884043992932</v>
      </c>
      <c r="F162" s="61" t="str">
        <f>C160</f>
        <v>U1Y</v>
      </c>
    </row>
    <row r="163" spans="1:12" x14ac:dyDescent="0.3">
      <c r="B163" s="62">
        <f>D161</f>
        <v>-30052.753617597173</v>
      </c>
      <c r="C163" s="62">
        <f>E161</f>
        <v>-15026.376808798586</v>
      </c>
      <c r="D163" s="62">
        <f>B161</f>
        <v>30052.753617597173</v>
      </c>
      <c r="E163" s="62">
        <f>C161</f>
        <v>15026.376808798586</v>
      </c>
      <c r="F163" s="61" t="str">
        <f>D160</f>
        <v>U5X</v>
      </c>
    </row>
    <row r="164" spans="1:12" x14ac:dyDescent="0.3">
      <c r="B164" s="62">
        <f>D162</f>
        <v>-15026.376808798586</v>
      </c>
      <c r="C164" s="62">
        <f>E162</f>
        <v>-7513.1884043992932</v>
      </c>
      <c r="D164" s="62">
        <f>B162</f>
        <v>15026.376808798586</v>
      </c>
      <c r="E164" s="62">
        <f>C162</f>
        <v>7513.1884043992932</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30052.753617597173</v>
      </c>
      <c r="C167" s="63">
        <f t="shared" si="12"/>
        <v>15026.376808798586</v>
      </c>
      <c r="D167" s="9">
        <f t="shared" si="12"/>
        <v>0</v>
      </c>
      <c r="E167" s="9">
        <f t="shared" si="12"/>
        <v>0</v>
      </c>
      <c r="F167" s="9">
        <f t="shared" si="12"/>
        <v>0</v>
      </c>
      <c r="G167" s="9">
        <f t="shared" si="12"/>
        <v>0</v>
      </c>
      <c r="H167" s="9">
        <f t="shared" si="12"/>
        <v>0</v>
      </c>
      <c r="I167" s="9">
        <f t="shared" si="12"/>
        <v>0</v>
      </c>
      <c r="J167" s="63">
        <f t="shared" si="12"/>
        <v>-30052.753617597173</v>
      </c>
      <c r="K167" s="63">
        <f t="shared" si="12"/>
        <v>-15026.376808798586</v>
      </c>
      <c r="L167" s="61" t="s">
        <v>178</v>
      </c>
    </row>
    <row r="168" spans="1:12" ht="19.05" customHeight="1" x14ac:dyDescent="0.3">
      <c r="B168" s="63">
        <f t="shared" si="12"/>
        <v>15026.376808798586</v>
      </c>
      <c r="C168" s="63">
        <f t="shared" si="12"/>
        <v>7513.1884043992932</v>
      </c>
      <c r="D168" s="9">
        <f t="shared" si="12"/>
        <v>0</v>
      </c>
      <c r="E168" s="9">
        <f t="shared" si="12"/>
        <v>0</v>
      </c>
      <c r="F168" s="9">
        <f t="shared" si="12"/>
        <v>0</v>
      </c>
      <c r="G168" s="9">
        <f t="shared" si="12"/>
        <v>0</v>
      </c>
      <c r="H168" s="9">
        <f t="shared" si="12"/>
        <v>0</v>
      </c>
      <c r="I168" s="9">
        <f t="shared" si="12"/>
        <v>0</v>
      </c>
      <c r="J168" s="63">
        <f t="shared" si="12"/>
        <v>-15026.376808798586</v>
      </c>
      <c r="K168" s="63">
        <f t="shared" si="12"/>
        <v>-7513.1884043992932</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-30052.753617597173</v>
      </c>
      <c r="C175" s="63">
        <f t="shared" si="12"/>
        <v>-15026.376808798586</v>
      </c>
      <c r="D175" s="9">
        <f t="shared" si="12"/>
        <v>0</v>
      </c>
      <c r="E175" s="9">
        <f t="shared" si="12"/>
        <v>0</v>
      </c>
      <c r="F175" s="9">
        <f t="shared" si="12"/>
        <v>0</v>
      </c>
      <c r="G175" s="9">
        <f t="shared" si="12"/>
        <v>0</v>
      </c>
      <c r="H175" s="9">
        <f t="shared" si="12"/>
        <v>0</v>
      </c>
      <c r="I175" s="9">
        <f t="shared" si="12"/>
        <v>0</v>
      </c>
      <c r="J175" s="63">
        <f t="shared" si="12"/>
        <v>30052.753617597173</v>
      </c>
      <c r="K175" s="63">
        <f t="shared" si="12"/>
        <v>15026.376808798586</v>
      </c>
      <c r="L175" s="61" t="s">
        <v>186</v>
      </c>
    </row>
    <row r="176" spans="1:12" ht="19.05" customHeight="1" x14ac:dyDescent="0.3">
      <c r="B176" s="63">
        <f t="shared" si="12"/>
        <v>-15026.376808798586</v>
      </c>
      <c r="C176" s="63">
        <f t="shared" si="12"/>
        <v>-7513.1884043992932</v>
      </c>
      <c r="D176" s="9">
        <f t="shared" si="12"/>
        <v>0</v>
      </c>
      <c r="E176" s="9">
        <f t="shared" si="12"/>
        <v>0</v>
      </c>
      <c r="F176" s="9">
        <f t="shared" si="12"/>
        <v>0</v>
      </c>
      <c r="G176" s="9">
        <f t="shared" si="12"/>
        <v>0</v>
      </c>
      <c r="H176" s="9">
        <f t="shared" si="12"/>
        <v>0</v>
      </c>
      <c r="I176" s="9">
        <f t="shared" si="12"/>
        <v>0</v>
      </c>
      <c r="J176" s="63">
        <f t="shared" si="12"/>
        <v>15026.376808798586</v>
      </c>
      <c r="K176" s="63">
        <f t="shared" si="12"/>
        <v>7513.1884043992932</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114558.05353279067</v>
      </c>
      <c r="C180" s="36">
        <f t="shared" si="13"/>
        <v>47284.326681588835</v>
      </c>
      <c r="D180" s="9">
        <f t="shared" si="13"/>
        <v>-63000</v>
      </c>
      <c r="E180" s="9">
        <f t="shared" si="13"/>
        <v>0</v>
      </c>
      <c r="F180" s="9">
        <f t="shared" si="13"/>
        <v>0</v>
      </c>
      <c r="G180" s="9">
        <f t="shared" si="13"/>
        <v>0</v>
      </c>
      <c r="H180" s="9">
        <f t="shared" si="13"/>
        <v>-21505.2999151935</v>
      </c>
      <c r="I180" s="9">
        <f t="shared" si="13"/>
        <v>-32257.94987279025</v>
      </c>
      <c r="J180" s="9">
        <f t="shared" si="13"/>
        <v>-30052.753617597173</v>
      </c>
      <c r="K180" s="9">
        <f t="shared" si="13"/>
        <v>-15026.376808798586</v>
      </c>
      <c r="L180" s="89" t="s">
        <v>178</v>
      </c>
    </row>
    <row r="181" spans="1:19" ht="19.95" customHeight="1" x14ac:dyDescent="0.3">
      <c r="B181" s="36">
        <f t="shared" ref="B181:K181" si="14">B35+B54+B73+B92+B111+B130+B149+B168</f>
        <v>47284.326681588835</v>
      </c>
      <c r="C181" s="35">
        <f t="shared" si="14"/>
        <v>55900.113213584671</v>
      </c>
      <c r="D181" s="9">
        <f t="shared" si="14"/>
        <v>0</v>
      </c>
      <c r="E181" s="9">
        <f t="shared" si="14"/>
        <v>0</v>
      </c>
      <c r="F181" s="9">
        <f t="shared" si="14"/>
        <v>0</v>
      </c>
      <c r="G181" s="9">
        <f t="shared" si="14"/>
        <v>0</v>
      </c>
      <c r="H181" s="9">
        <f t="shared" si="14"/>
        <v>-32257.94987279025</v>
      </c>
      <c r="I181" s="9">
        <f t="shared" si="14"/>
        <v>-48386.924809185381</v>
      </c>
      <c r="J181" s="9">
        <f t="shared" si="14"/>
        <v>-15026.376808798586</v>
      </c>
      <c r="K181" s="9">
        <f t="shared" si="14"/>
        <v>-7513.1884043992932</v>
      </c>
      <c r="L181" s="89" t="s">
        <v>179</v>
      </c>
    </row>
    <row r="182" spans="1:19" ht="19.95" customHeight="1" x14ac:dyDescent="0.3">
      <c r="B182" s="9">
        <f t="shared" ref="B182:K182" si="15">B36+B55+B74+B93+B112+B131+B150+B169</f>
        <v>-63000</v>
      </c>
      <c r="C182" s="9">
        <f t="shared" si="15"/>
        <v>0</v>
      </c>
      <c r="D182" s="35">
        <f t="shared" si="15"/>
        <v>169010.59983038699</v>
      </c>
      <c r="E182" s="36">
        <f t="shared" si="15"/>
        <v>0</v>
      </c>
      <c r="F182" s="9">
        <f t="shared" si="15"/>
        <v>-63000</v>
      </c>
      <c r="G182" s="9">
        <f t="shared" si="15"/>
        <v>0</v>
      </c>
      <c r="H182" s="9">
        <f t="shared" si="15"/>
        <v>-21505.2999151935</v>
      </c>
      <c r="I182" s="9">
        <f t="shared" si="15"/>
        <v>32257.94987279025</v>
      </c>
      <c r="J182" s="9">
        <f t="shared" si="15"/>
        <v>-21505.2999151935</v>
      </c>
      <c r="K182" s="9">
        <f t="shared" si="15"/>
        <v>-32257.94987279025</v>
      </c>
      <c r="L182" s="89" t="s">
        <v>180</v>
      </c>
    </row>
    <row r="183" spans="1:19" ht="19.95" customHeight="1" x14ac:dyDescent="0.3">
      <c r="B183" s="9">
        <f t="shared" ref="B183:K183" si="16">B37+B56+B75+B94+B113+B132+B151+B170</f>
        <v>0</v>
      </c>
      <c r="C183" s="9">
        <f t="shared" si="16"/>
        <v>0</v>
      </c>
      <c r="D183" s="36">
        <f t="shared" si="16"/>
        <v>0</v>
      </c>
      <c r="E183" s="35">
        <f t="shared" si="16"/>
        <v>96773.849618370761</v>
      </c>
      <c r="F183" s="9">
        <f t="shared" si="16"/>
        <v>0</v>
      </c>
      <c r="G183" s="9">
        <f t="shared" si="16"/>
        <v>0</v>
      </c>
      <c r="H183" s="9">
        <f t="shared" si="16"/>
        <v>32257.94987279025</v>
      </c>
      <c r="I183" s="9">
        <f t="shared" si="16"/>
        <v>-48386.924809185381</v>
      </c>
      <c r="J183" s="9">
        <f t="shared" si="16"/>
        <v>-32257.94987279025</v>
      </c>
      <c r="K183" s="9">
        <f t="shared" si="16"/>
        <v>-48386.924809185381</v>
      </c>
      <c r="L183" s="89" t="s">
        <v>181</v>
      </c>
    </row>
    <row r="184" spans="1:19" ht="19.95" customHeight="1" x14ac:dyDescent="0.3">
      <c r="A184" s="28" t="s">
        <v>205</v>
      </c>
      <c r="B184" s="9">
        <f t="shared" ref="B184:K184" si="17">B38+B57+B76+B95+B114+B133+B152+B171</f>
        <v>0</v>
      </c>
      <c r="C184" s="9">
        <f t="shared" si="17"/>
        <v>0</v>
      </c>
      <c r="D184" s="9">
        <f t="shared" si="17"/>
        <v>-63000</v>
      </c>
      <c r="E184" s="9">
        <f t="shared" si="17"/>
        <v>0</v>
      </c>
      <c r="F184" s="35">
        <f t="shared" si="17"/>
        <v>84505.299915193493</v>
      </c>
      <c r="G184" s="36">
        <f t="shared" si="17"/>
        <v>-32257.94987279025</v>
      </c>
      <c r="H184" s="9">
        <f t="shared" si="17"/>
        <v>0</v>
      </c>
      <c r="I184" s="9">
        <f t="shared" si="17"/>
        <v>0</v>
      </c>
      <c r="J184" s="9">
        <f t="shared" si="17"/>
        <v>-21505.2999151935</v>
      </c>
      <c r="K184" s="9">
        <f t="shared" si="17"/>
        <v>32257.94987279025</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-32257.94987279025</v>
      </c>
      <c r="G185" s="35">
        <f t="shared" si="18"/>
        <v>48386.924809185381</v>
      </c>
      <c r="H185" s="9">
        <f t="shared" si="18"/>
        <v>0</v>
      </c>
      <c r="I185" s="9">
        <f t="shared" si="18"/>
        <v>0</v>
      </c>
      <c r="J185" s="9">
        <f t="shared" si="18"/>
        <v>32257.94987279025</v>
      </c>
      <c r="K185" s="9">
        <f t="shared" si="18"/>
        <v>-48386.924809185381</v>
      </c>
      <c r="L185" s="89" t="s">
        <v>183</v>
      </c>
    </row>
    <row r="186" spans="1:19" ht="19.95" customHeight="1" x14ac:dyDescent="0.3">
      <c r="B186" s="9">
        <f t="shared" ref="B186:K186" si="19">B40+B59+B78+B97+B116+B135+B154+B173</f>
        <v>-21505.2999151935</v>
      </c>
      <c r="C186" s="9">
        <f t="shared" si="19"/>
        <v>-32257.94987279025</v>
      </c>
      <c r="D186" s="9">
        <f t="shared" si="19"/>
        <v>-21505.2999151935</v>
      </c>
      <c r="E186" s="9">
        <f t="shared" si="19"/>
        <v>32257.94987279025</v>
      </c>
      <c r="F186" s="9">
        <f t="shared" si="19"/>
        <v>0</v>
      </c>
      <c r="G186" s="9">
        <f t="shared" si="19"/>
        <v>0</v>
      </c>
      <c r="H186" s="35">
        <f t="shared" si="19"/>
        <v>106010.599830387</v>
      </c>
      <c r="I186" s="36">
        <f t="shared" si="19"/>
        <v>0</v>
      </c>
      <c r="J186" s="9">
        <f t="shared" si="19"/>
        <v>-63000</v>
      </c>
      <c r="K186" s="9">
        <f t="shared" si="19"/>
        <v>0</v>
      </c>
      <c r="L186" s="89" t="s">
        <v>184</v>
      </c>
    </row>
    <row r="187" spans="1:19" ht="19.95" customHeight="1" x14ac:dyDescent="0.3">
      <c r="B187" s="9">
        <f t="shared" ref="B187:K187" si="20">B41+B60+B79+B98+B117+B136+B155+B174</f>
        <v>-32257.94987279025</v>
      </c>
      <c r="C187" s="9">
        <f t="shared" si="20"/>
        <v>-48386.924809185381</v>
      </c>
      <c r="D187" s="9">
        <f t="shared" si="20"/>
        <v>32257.94987279025</v>
      </c>
      <c r="E187" s="9">
        <f t="shared" si="20"/>
        <v>-48386.924809185381</v>
      </c>
      <c r="F187" s="9">
        <f t="shared" si="20"/>
        <v>0</v>
      </c>
      <c r="G187" s="9">
        <f t="shared" si="20"/>
        <v>0</v>
      </c>
      <c r="H187" s="36">
        <f t="shared" si="20"/>
        <v>0</v>
      </c>
      <c r="I187" s="35">
        <f t="shared" si="20"/>
        <v>96773.849618370761</v>
      </c>
      <c r="J187" s="9">
        <f t="shared" si="20"/>
        <v>0</v>
      </c>
      <c r="K187" s="9">
        <f t="shared" si="20"/>
        <v>0</v>
      </c>
      <c r="L187" s="89" t="s">
        <v>185</v>
      </c>
    </row>
    <row r="188" spans="1:19" ht="19.95" customHeight="1" x14ac:dyDescent="0.3">
      <c r="B188" s="9">
        <f t="shared" ref="B188:K188" si="21">B42+B61+B80+B99+B118+B137+B156+B175</f>
        <v>-30052.753617597173</v>
      </c>
      <c r="C188" s="9">
        <f t="shared" si="21"/>
        <v>-15026.376808798586</v>
      </c>
      <c r="D188" s="9">
        <f t="shared" si="21"/>
        <v>-21505.2999151935</v>
      </c>
      <c r="E188" s="9">
        <f t="shared" si="21"/>
        <v>-32257.94987279025</v>
      </c>
      <c r="F188" s="9">
        <f t="shared" si="21"/>
        <v>-21505.2999151935</v>
      </c>
      <c r="G188" s="9">
        <f t="shared" si="21"/>
        <v>32257.94987279025</v>
      </c>
      <c r="H188" s="9">
        <f t="shared" si="21"/>
        <v>-63000</v>
      </c>
      <c r="I188" s="9">
        <f t="shared" si="21"/>
        <v>0</v>
      </c>
      <c r="J188" s="35">
        <f t="shared" si="21"/>
        <v>136063.35344798415</v>
      </c>
      <c r="K188" s="36">
        <f t="shared" si="21"/>
        <v>15026.376808798586</v>
      </c>
      <c r="L188" s="89" t="s">
        <v>186</v>
      </c>
    </row>
    <row r="189" spans="1:19" ht="19.95" customHeight="1" x14ac:dyDescent="0.3">
      <c r="B189" s="9">
        <f t="shared" ref="B189:K189" si="22">B43+B62+B81+B100+B119+B138+B157+B176</f>
        <v>-15026.376808798586</v>
      </c>
      <c r="C189" s="9">
        <f t="shared" si="22"/>
        <v>-7513.1884043992932</v>
      </c>
      <c r="D189" s="9">
        <f t="shared" si="22"/>
        <v>-32257.94987279025</v>
      </c>
      <c r="E189" s="9">
        <f t="shared" si="22"/>
        <v>-48386.924809185381</v>
      </c>
      <c r="F189" s="9">
        <f t="shared" si="22"/>
        <v>32257.94987279025</v>
      </c>
      <c r="G189" s="9">
        <f t="shared" si="22"/>
        <v>-48386.924809185381</v>
      </c>
      <c r="H189" s="9">
        <f t="shared" si="22"/>
        <v>0</v>
      </c>
      <c r="I189" s="9">
        <f t="shared" si="22"/>
        <v>0</v>
      </c>
      <c r="J189" s="36">
        <f t="shared" si="22"/>
        <v>15026.376808798586</v>
      </c>
      <c r="K189" s="35">
        <f t="shared" si="22"/>
        <v>104287.03802277005</v>
      </c>
      <c r="L189" s="89" t="s">
        <v>187</v>
      </c>
    </row>
    <row r="192" spans="1:19" ht="19.95" customHeight="1" x14ac:dyDescent="0.35">
      <c r="A192" s="11" t="s">
        <v>206</v>
      </c>
      <c r="N192" s="216" t="s">
        <v>207</v>
      </c>
      <c r="O192" s="172"/>
      <c r="P192" s="172"/>
      <c r="Q192" s="172"/>
      <c r="R192" s="172"/>
      <c r="S192" s="173"/>
    </row>
    <row r="193" spans="1:19" ht="16.95" customHeight="1" x14ac:dyDescent="0.3">
      <c r="B193" s="12" t="s">
        <v>208</v>
      </c>
      <c r="C193" s="12" t="s">
        <v>178</v>
      </c>
      <c r="E193" s="37" t="str">
        <f>IF(GRAFICA_43!F14=1, B193, GRAFICA_43!H14)</f>
        <v>C1X</v>
      </c>
      <c r="N193" s="215" t="s">
        <v>376</v>
      </c>
      <c r="O193" s="172"/>
      <c r="P193" s="172"/>
      <c r="Q193" s="172"/>
      <c r="R193" s="172"/>
      <c r="S193" s="173"/>
    </row>
    <row r="194" spans="1:19" ht="16.95" customHeight="1" x14ac:dyDescent="0.3">
      <c r="B194" s="12" t="s">
        <v>210</v>
      </c>
      <c r="C194" s="12" t="s">
        <v>179</v>
      </c>
      <c r="E194" s="37" t="str">
        <f>IF(GRAFICA_43!G14=1, B194, GRAFICA_43!I14)</f>
        <v>C1Y</v>
      </c>
      <c r="N194" s="215" t="s">
        <v>211</v>
      </c>
      <c r="O194" s="172"/>
      <c r="P194" s="172"/>
      <c r="Q194" s="172"/>
      <c r="R194" s="172"/>
      <c r="S194" s="173"/>
    </row>
    <row r="195" spans="1:19" ht="16.95" customHeight="1" x14ac:dyDescent="0.3">
      <c r="B195" s="12" t="s">
        <v>212</v>
      </c>
      <c r="C195" s="12" t="s">
        <v>180</v>
      </c>
      <c r="E195" s="37">
        <f>IF(GRAFICA_43!F15=1, B195, GRAFICA_43!H15)</f>
        <v>0</v>
      </c>
      <c r="N195" s="215" t="s">
        <v>377</v>
      </c>
      <c r="O195" s="172"/>
      <c r="P195" s="172"/>
      <c r="Q195" s="172"/>
      <c r="R195" s="172"/>
      <c r="S195" s="173"/>
    </row>
    <row r="196" spans="1:19" ht="16.95" customHeight="1" x14ac:dyDescent="0.3">
      <c r="B196" s="12" t="s">
        <v>214</v>
      </c>
      <c r="C196" s="12" t="s">
        <v>181</v>
      </c>
      <c r="E196" s="37">
        <f>IF(GRAFICA_43!G15=1, B196, GRAFICA_43!I15)</f>
        <v>-10000</v>
      </c>
      <c r="N196" s="215" t="s">
        <v>215</v>
      </c>
      <c r="O196" s="172"/>
      <c r="P196" s="172"/>
      <c r="Q196" s="172"/>
      <c r="R196" s="172"/>
      <c r="S196" s="173"/>
    </row>
    <row r="197" spans="1:19" ht="16.95" customHeight="1" x14ac:dyDescent="0.3">
      <c r="A197" s="38" t="s">
        <v>218</v>
      </c>
      <c r="B197" s="12" t="s">
        <v>216</v>
      </c>
      <c r="C197" s="12" t="s">
        <v>182</v>
      </c>
      <c r="D197" s="13" t="s">
        <v>220</v>
      </c>
      <c r="E197" s="37">
        <f>IF(GRAFICA_43!F16=1, B197, GRAFICA_43!H16)</f>
        <v>0</v>
      </c>
      <c r="N197" s="215" t="s">
        <v>378</v>
      </c>
      <c r="O197" s="172"/>
      <c r="P197" s="172"/>
      <c r="Q197" s="172"/>
      <c r="R197" s="172"/>
      <c r="S197" s="173"/>
    </row>
    <row r="198" spans="1:19" ht="16.95" customHeight="1" x14ac:dyDescent="0.3">
      <c r="B198" s="12" t="s">
        <v>219</v>
      </c>
      <c r="C198" s="12" t="s">
        <v>183</v>
      </c>
      <c r="E198" s="37" t="str">
        <f>IF(GRAFICA_43!G16=1, B198, GRAFICA_43!I16)</f>
        <v>C3Y</v>
      </c>
      <c r="N198" s="215" t="s">
        <v>379</v>
      </c>
      <c r="O198" s="172"/>
      <c r="P198" s="172"/>
      <c r="Q198" s="172"/>
      <c r="R198" s="172"/>
      <c r="S198" s="173"/>
    </row>
    <row r="199" spans="1:19" ht="16.95" customHeight="1" x14ac:dyDescent="0.3">
      <c r="B199" s="12" t="s">
        <v>221</v>
      </c>
      <c r="C199" s="12" t="s">
        <v>184</v>
      </c>
      <c r="E199" s="37">
        <f>IF(GRAFICA_43!F17=1, B199, GRAFICA_43!H17)</f>
        <v>0</v>
      </c>
      <c r="N199" s="215"/>
      <c r="O199" s="172"/>
      <c r="P199" s="172"/>
      <c r="Q199" s="172"/>
      <c r="R199" s="172"/>
      <c r="S199" s="173"/>
    </row>
    <row r="200" spans="1:19" ht="16.95" customHeight="1" x14ac:dyDescent="0.3">
      <c r="B200" s="12" t="s">
        <v>222</v>
      </c>
      <c r="C200" s="12" t="s">
        <v>185</v>
      </c>
      <c r="E200" s="37">
        <f>IF(GRAFICA_43!G17=1, B200, GRAFICA_43!I17)</f>
        <v>0</v>
      </c>
      <c r="N200" s="215"/>
      <c r="O200" s="172"/>
      <c r="P200" s="172"/>
      <c r="Q200" s="172"/>
      <c r="R200" s="172"/>
      <c r="S200" s="173"/>
    </row>
    <row r="201" spans="1:19" ht="16.95" customHeight="1" x14ac:dyDescent="0.3">
      <c r="B201" s="12" t="s">
        <v>223</v>
      </c>
      <c r="C201" s="12" t="s">
        <v>186</v>
      </c>
      <c r="E201" s="37">
        <f>IF(GRAFICA_43!F18=1, B201, GRAFICA_43!H18)</f>
        <v>0</v>
      </c>
      <c r="N201" s="215"/>
      <c r="O201" s="172"/>
      <c r="P201" s="172"/>
      <c r="Q201" s="172"/>
      <c r="R201" s="172"/>
      <c r="S201" s="173"/>
    </row>
    <row r="202" spans="1:19" ht="16.95" customHeight="1" x14ac:dyDescent="0.3">
      <c r="B202" s="12" t="s">
        <v>224</v>
      </c>
      <c r="C202" s="12" t="s">
        <v>187</v>
      </c>
      <c r="E202" s="37">
        <f>IF(GRAFICA_43!G18=1, B202, GRAFICA_43!I18)</f>
        <v>0</v>
      </c>
      <c r="N202" s="215"/>
      <c r="O202" s="172"/>
      <c r="P202" s="172"/>
      <c r="Q202" s="172"/>
      <c r="R202" s="172"/>
      <c r="S202" s="173"/>
    </row>
    <row r="203" spans="1:19" ht="16.95" customHeight="1" x14ac:dyDescent="0.3">
      <c r="N203" s="215"/>
      <c r="O203" s="172"/>
      <c r="P203" s="172"/>
      <c r="Q203" s="172"/>
      <c r="R203" s="172"/>
      <c r="S203" s="173"/>
    </row>
    <row r="204" spans="1:19" ht="16.95" customHeight="1" x14ac:dyDescent="0.35">
      <c r="A204" s="11" t="s">
        <v>227</v>
      </c>
      <c r="N204" s="215"/>
      <c r="O204" s="172"/>
      <c r="P204" s="172"/>
      <c r="Q204" s="172"/>
      <c r="R204" s="172"/>
      <c r="S204" s="173"/>
    </row>
    <row r="205" spans="1:19" ht="16.95" customHeight="1" x14ac:dyDescent="0.3">
      <c r="B205" s="12" t="s">
        <v>228</v>
      </c>
      <c r="C205" s="12" t="s">
        <v>178</v>
      </c>
      <c r="E205" s="39">
        <f>IF(GRAFICA_43!F14=1, 0, B205)</f>
        <v>0</v>
      </c>
      <c r="F205" s="14" t="str">
        <f>IF(E205&lt;&gt;0, COUNTIF(E$205:E205, "&lt;&gt;0"), "")</f>
        <v/>
      </c>
      <c r="G205" s="14">
        <f>IF(E205=0, COUNTIF(E$205:E205, 0), "")</f>
        <v>1</v>
      </c>
      <c r="N205" s="215"/>
      <c r="O205" s="172"/>
      <c r="P205" s="172"/>
      <c r="Q205" s="172"/>
      <c r="R205" s="172"/>
      <c r="S205" s="173"/>
    </row>
    <row r="206" spans="1:19" ht="16.95" customHeight="1" x14ac:dyDescent="0.3">
      <c r="B206" s="12" t="s">
        <v>229</v>
      </c>
      <c r="C206" s="12" t="s">
        <v>179</v>
      </c>
      <c r="E206" s="39">
        <f>IF(GRAFICA_43!G14=1, 0, B206)</f>
        <v>0</v>
      </c>
      <c r="F206" s="14" t="str">
        <f>IF(E206&lt;&gt;0, COUNTIF(E$205:E206, "&lt;&gt;0"), "")</f>
        <v/>
      </c>
      <c r="G206" s="14">
        <f>IF(E206=0, COUNTIF(E$205:E206, 0), "")</f>
        <v>2</v>
      </c>
      <c r="N206" s="215"/>
      <c r="O206" s="172"/>
      <c r="P206" s="172"/>
      <c r="Q206" s="172"/>
      <c r="R206" s="172"/>
      <c r="S206" s="173"/>
    </row>
    <row r="207" spans="1:19" ht="16.95" customHeight="1" x14ac:dyDescent="0.3">
      <c r="B207" s="12" t="s">
        <v>230</v>
      </c>
      <c r="C207" s="12" t="s">
        <v>180</v>
      </c>
      <c r="E207" s="39" t="str">
        <f>IF(GRAFICA_43!F15=1, 0, B207)</f>
        <v>D2X</v>
      </c>
      <c r="F207" s="14">
        <f>IF(E207&lt;&gt;0, COUNTIF(E$205:E207, "&lt;&gt;0"), "")</f>
        <v>1</v>
      </c>
      <c r="G207" s="14" t="str">
        <f>IF(E207=0, COUNTIF(E$205:E207, 0), "")</f>
        <v/>
      </c>
      <c r="N207" s="215"/>
      <c r="O207" s="172"/>
      <c r="P207" s="172"/>
      <c r="Q207" s="172"/>
      <c r="R207" s="172"/>
      <c r="S207" s="173"/>
    </row>
    <row r="208" spans="1:19" ht="16.95" customHeight="1" x14ac:dyDescent="0.3">
      <c r="B208" s="12" t="s">
        <v>231</v>
      </c>
      <c r="C208" s="12" t="s">
        <v>181</v>
      </c>
      <c r="E208" s="39" t="str">
        <f>IF(GRAFICA_43!G15=1, 0, B208)</f>
        <v>D2Y</v>
      </c>
      <c r="F208" s="14">
        <f>IF(E208&lt;&gt;0, COUNTIF(E$205:E208, "&lt;&gt;0"), "")</f>
        <v>2</v>
      </c>
      <c r="G208" s="14" t="str">
        <f>IF(E208=0, COUNTIF(E$205:E208, 0), "")</f>
        <v/>
      </c>
      <c r="N208" s="215"/>
      <c r="O208" s="172"/>
      <c r="P208" s="172"/>
      <c r="Q208" s="172"/>
      <c r="R208" s="172"/>
      <c r="S208" s="173"/>
    </row>
    <row r="209" spans="1:19" ht="16.95" customHeight="1" x14ac:dyDescent="0.3">
      <c r="A209" s="38" t="s">
        <v>233</v>
      </c>
      <c r="B209" s="12" t="s">
        <v>232</v>
      </c>
      <c r="C209" s="12" t="s">
        <v>182</v>
      </c>
      <c r="D209" s="13" t="s">
        <v>220</v>
      </c>
      <c r="E209" s="39" t="str">
        <f>IF(GRAFICA_43!F16=1, 0, B209)</f>
        <v>D3X</v>
      </c>
      <c r="F209" s="14">
        <f>IF(E209&lt;&gt;0, COUNTIF(E$205:E209, "&lt;&gt;0"), "")</f>
        <v>3</v>
      </c>
      <c r="G209" s="14" t="str">
        <f>IF(E209=0, COUNTIF(E$205:E209, 0), "")</f>
        <v/>
      </c>
      <c r="N209" s="215"/>
      <c r="O209" s="172"/>
      <c r="P209" s="172"/>
      <c r="Q209" s="172"/>
      <c r="R209" s="172"/>
      <c r="S209" s="173"/>
    </row>
    <row r="210" spans="1:19" ht="16.95" customHeight="1" x14ac:dyDescent="0.3">
      <c r="B210" s="12" t="s">
        <v>234</v>
      </c>
      <c r="C210" s="12" t="s">
        <v>183</v>
      </c>
      <c r="E210" s="39">
        <f>IF(GRAFICA_43!G16=1, 0, B210)</f>
        <v>0</v>
      </c>
      <c r="F210" s="14" t="str">
        <f>IF(E210&lt;&gt;0, COUNTIF(E$205:E210, "&lt;&gt;0"), "")</f>
        <v/>
      </c>
      <c r="G210" s="14">
        <f>IF(E210=0, COUNTIF(E$205:E210, 0), "")</f>
        <v>3</v>
      </c>
      <c r="N210" s="215"/>
      <c r="O210" s="172"/>
      <c r="P210" s="172"/>
      <c r="Q210" s="172"/>
      <c r="R210" s="172"/>
      <c r="S210" s="173"/>
    </row>
    <row r="211" spans="1:19" ht="16.95" customHeight="1" x14ac:dyDescent="0.3">
      <c r="B211" s="12" t="s">
        <v>235</v>
      </c>
      <c r="C211" s="12" t="s">
        <v>184</v>
      </c>
      <c r="E211" s="39" t="str">
        <f>IF(GRAFICA_43!F17=1, 0, B211)</f>
        <v>D4X</v>
      </c>
      <c r="F211" s="14">
        <f>IF(E211&lt;&gt;0, COUNTIF(E$205:E211, "&lt;&gt;0"), "")</f>
        <v>4</v>
      </c>
      <c r="G211" s="14" t="str">
        <f>IF(E211=0, COUNTIF(E$205:E211, 0), "")</f>
        <v/>
      </c>
      <c r="N211" s="215"/>
      <c r="O211" s="172"/>
      <c r="P211" s="172"/>
      <c r="Q211" s="172"/>
      <c r="R211" s="172"/>
      <c r="S211" s="173"/>
    </row>
    <row r="212" spans="1:19" ht="16.95" customHeight="1" x14ac:dyDescent="0.3">
      <c r="B212" s="12" t="s">
        <v>236</v>
      </c>
      <c r="C212" s="12" t="s">
        <v>185</v>
      </c>
      <c r="E212" s="39" t="str">
        <f>IF(GRAFICA_43!G17=1, 0, B212)</f>
        <v>D4Y</v>
      </c>
      <c r="F212" s="14">
        <f>IF(E212&lt;&gt;0, COUNTIF(E$205:E212, "&lt;&gt;0"), "")</f>
        <v>5</v>
      </c>
      <c r="G212" s="14" t="str">
        <f>IF(E212=0, COUNTIF(E$205:E212, 0), "")</f>
        <v/>
      </c>
      <c r="N212" s="215"/>
      <c r="O212" s="172"/>
      <c r="P212" s="172"/>
      <c r="Q212" s="172"/>
      <c r="R212" s="172"/>
      <c r="S212" s="173"/>
    </row>
    <row r="213" spans="1:19" ht="16.95" customHeight="1" x14ac:dyDescent="0.3">
      <c r="B213" s="12" t="s">
        <v>237</v>
      </c>
      <c r="C213" s="12" t="s">
        <v>186</v>
      </c>
      <c r="E213" s="39" t="str">
        <f>IF(GRAFICA_43!F18=1, 0, B213)</f>
        <v>D5X</v>
      </c>
      <c r="F213" s="14">
        <f>IF(E213&lt;&gt;0, COUNTIF(E$205:E213, "&lt;&gt;0"), "")</f>
        <v>6</v>
      </c>
      <c r="G213" s="14" t="str">
        <f>IF(E213=0, COUNTIF(E$205:E213, 0), "")</f>
        <v/>
      </c>
      <c r="N213" s="215"/>
      <c r="O213" s="172"/>
      <c r="P213" s="172"/>
      <c r="Q213" s="172"/>
      <c r="R213" s="172"/>
      <c r="S213" s="173"/>
    </row>
    <row r="214" spans="1:19" ht="16.95" customHeight="1" x14ac:dyDescent="0.3">
      <c r="B214" s="12" t="s">
        <v>238</v>
      </c>
      <c r="C214" s="12" t="s">
        <v>187</v>
      </c>
      <c r="E214" s="39" t="str">
        <f>IF(GRAFICA_43!G18=1, 0, B214)</f>
        <v>D5Y</v>
      </c>
      <c r="F214" s="14">
        <f>IF(E214&lt;&gt;0, COUNTIF(E$205:E214, "&lt;&gt;0"), "")</f>
        <v>7</v>
      </c>
      <c r="G214" s="14" t="str">
        <f>IF(E214=0, COUNTIF(E$205:E214, 0), "")</f>
        <v/>
      </c>
      <c r="N214" s="215"/>
      <c r="O214" s="172"/>
      <c r="P214" s="172"/>
      <c r="Q214" s="172"/>
      <c r="R214" s="172"/>
      <c r="S214" s="173"/>
    </row>
    <row r="216" spans="1:19" ht="19.95" customHeight="1" x14ac:dyDescent="0.35">
      <c r="A216" s="15" t="s">
        <v>241</v>
      </c>
      <c r="C216" s="218" t="s">
        <v>242</v>
      </c>
      <c r="D216" s="173"/>
      <c r="E216" s="40" t="s">
        <v>243</v>
      </c>
      <c r="N216" s="216" t="s">
        <v>244</v>
      </c>
      <c r="O216" s="172"/>
      <c r="P216" s="172"/>
      <c r="Q216" s="172"/>
      <c r="R216" s="172"/>
      <c r="S216" s="173"/>
    </row>
    <row r="217" spans="1:19" ht="16.95" customHeight="1" x14ac:dyDescent="0.3">
      <c r="E217" s="40" t="s">
        <v>245</v>
      </c>
      <c r="N217" s="215" t="s">
        <v>246</v>
      </c>
      <c r="O217" s="172"/>
      <c r="P217" s="172"/>
      <c r="Q217" s="172"/>
      <c r="R217" s="172"/>
      <c r="S217" s="173"/>
    </row>
    <row r="218" spans="1:19" ht="16.95" customHeight="1" x14ac:dyDescent="0.3">
      <c r="A218" s="99" t="s">
        <v>247</v>
      </c>
      <c r="C218" s="99" t="s">
        <v>248</v>
      </c>
      <c r="N218" s="215" t="s">
        <v>250</v>
      </c>
      <c r="O218" s="172"/>
      <c r="P218" s="172"/>
      <c r="Q218" s="172"/>
      <c r="R218" s="172"/>
      <c r="S218" s="173"/>
    </row>
    <row r="219" spans="1:19" ht="16.95" customHeight="1" x14ac:dyDescent="0.3">
      <c r="A219" s="12" t="str">
        <f t="shared" ref="A219:A228" si="23">E193</f>
        <v>C1X</v>
      </c>
      <c r="C219" s="9">
        <f t="shared" ref="C219:L219" si="24">B180</f>
        <v>114558.05353279067</v>
      </c>
      <c r="D219" s="9">
        <f t="shared" si="24"/>
        <v>47284.326681588835</v>
      </c>
      <c r="E219" s="9">
        <f t="shared" si="24"/>
        <v>-63000</v>
      </c>
      <c r="F219" s="9">
        <f t="shared" si="24"/>
        <v>0</v>
      </c>
      <c r="G219" s="9">
        <f t="shared" si="24"/>
        <v>0</v>
      </c>
      <c r="H219" s="9">
        <f t="shared" si="24"/>
        <v>0</v>
      </c>
      <c r="I219" s="9">
        <f t="shared" si="24"/>
        <v>-21505.2999151935</v>
      </c>
      <c r="J219" s="9">
        <f t="shared" si="24"/>
        <v>-32257.94987279025</v>
      </c>
      <c r="K219" s="9">
        <f t="shared" si="24"/>
        <v>-30052.753617597173</v>
      </c>
      <c r="L219" s="9">
        <f t="shared" si="24"/>
        <v>-15026.376808798586</v>
      </c>
      <c r="M219" s="13" t="s">
        <v>251</v>
      </c>
      <c r="N219" s="219" t="s">
        <v>380</v>
      </c>
      <c r="O219" s="172"/>
      <c r="P219" s="172"/>
      <c r="Q219" s="172"/>
      <c r="R219" s="172"/>
      <c r="S219" s="173"/>
    </row>
    <row r="220" spans="1:19" ht="16.95" customHeight="1" x14ac:dyDescent="0.3">
      <c r="A220" s="12" t="str">
        <f t="shared" si="23"/>
        <v>C1Y</v>
      </c>
      <c r="C220" s="9">
        <f t="shared" ref="C220:L220" si="25">B181</f>
        <v>47284.326681588835</v>
      </c>
      <c r="D220" s="9">
        <f t="shared" si="25"/>
        <v>55900.113213584671</v>
      </c>
      <c r="E220" s="9">
        <f t="shared" si="25"/>
        <v>0</v>
      </c>
      <c r="F220" s="9">
        <f t="shared" si="25"/>
        <v>0</v>
      </c>
      <c r="G220" s="9">
        <f t="shared" si="25"/>
        <v>0</v>
      </c>
      <c r="H220" s="9">
        <f t="shared" si="25"/>
        <v>0</v>
      </c>
      <c r="I220" s="9">
        <f t="shared" si="25"/>
        <v>-32257.94987279025</v>
      </c>
      <c r="J220" s="9">
        <f t="shared" si="25"/>
        <v>-48386.924809185381</v>
      </c>
      <c r="K220" s="9">
        <f t="shared" si="25"/>
        <v>-15026.376808798586</v>
      </c>
      <c r="L220" s="9">
        <f t="shared" si="25"/>
        <v>-7513.1884043992932</v>
      </c>
      <c r="M220" s="13" t="s">
        <v>251</v>
      </c>
      <c r="N220" s="219" t="s">
        <v>253</v>
      </c>
      <c r="O220" s="172"/>
      <c r="P220" s="172"/>
      <c r="Q220" s="172"/>
      <c r="R220" s="172"/>
      <c r="S220" s="173"/>
    </row>
    <row r="221" spans="1:19" ht="16.95" customHeight="1" x14ac:dyDescent="0.3">
      <c r="A221" s="41">
        <f t="shared" si="23"/>
        <v>0</v>
      </c>
      <c r="C221" s="9">
        <f t="shared" ref="C221:L221" si="26">B182</f>
        <v>-63000</v>
      </c>
      <c r="D221" s="9">
        <f t="shared" si="26"/>
        <v>0</v>
      </c>
      <c r="E221" s="41">
        <f t="shared" si="26"/>
        <v>169010.59983038699</v>
      </c>
      <c r="F221" s="41">
        <f t="shared" si="26"/>
        <v>0</v>
      </c>
      <c r="G221" s="41">
        <f t="shared" si="26"/>
        <v>-63000</v>
      </c>
      <c r="H221" s="9">
        <f t="shared" si="26"/>
        <v>0</v>
      </c>
      <c r="I221" s="41">
        <f t="shared" si="26"/>
        <v>-21505.2999151935</v>
      </c>
      <c r="J221" s="41">
        <f t="shared" si="26"/>
        <v>32257.94987279025</v>
      </c>
      <c r="K221" s="41">
        <f t="shared" si="26"/>
        <v>-21505.2999151935</v>
      </c>
      <c r="L221" s="41">
        <f t="shared" si="26"/>
        <v>-32257.94987279025</v>
      </c>
      <c r="M221" s="13" t="s">
        <v>251</v>
      </c>
      <c r="N221" s="215" t="s">
        <v>254</v>
      </c>
      <c r="O221" s="172"/>
      <c r="P221" s="172"/>
      <c r="Q221" s="172"/>
      <c r="R221" s="172"/>
      <c r="S221" s="173"/>
    </row>
    <row r="222" spans="1:19" ht="16.95" customHeight="1" x14ac:dyDescent="0.3">
      <c r="A222" s="41">
        <f t="shared" si="23"/>
        <v>-10000</v>
      </c>
      <c r="C222" s="9">
        <f t="shared" ref="C222:L222" si="27">B183</f>
        <v>0</v>
      </c>
      <c r="D222" s="9">
        <f t="shared" si="27"/>
        <v>0</v>
      </c>
      <c r="E222" s="41">
        <f t="shared" si="27"/>
        <v>0</v>
      </c>
      <c r="F222" s="41">
        <f t="shared" si="27"/>
        <v>96773.849618370761</v>
      </c>
      <c r="G222" s="41">
        <f t="shared" si="27"/>
        <v>0</v>
      </c>
      <c r="H222" s="9">
        <f t="shared" si="27"/>
        <v>0</v>
      </c>
      <c r="I222" s="41">
        <f t="shared" si="27"/>
        <v>32257.94987279025</v>
      </c>
      <c r="J222" s="41">
        <f t="shared" si="27"/>
        <v>-48386.924809185381</v>
      </c>
      <c r="K222" s="41">
        <f t="shared" si="27"/>
        <v>-32257.94987279025</v>
      </c>
      <c r="L222" s="41">
        <f t="shared" si="27"/>
        <v>-48386.924809185381</v>
      </c>
      <c r="M222" s="13" t="s">
        <v>251</v>
      </c>
      <c r="N222" s="215" t="s">
        <v>381</v>
      </c>
      <c r="O222" s="172"/>
      <c r="P222" s="172"/>
      <c r="Q222" s="172"/>
      <c r="R222" s="172"/>
      <c r="S222" s="173"/>
    </row>
    <row r="223" spans="1:19" ht="16.95" customHeight="1" x14ac:dyDescent="0.3">
      <c r="A223" s="41">
        <f t="shared" si="23"/>
        <v>0</v>
      </c>
      <c r="C223" s="9">
        <f t="shared" ref="C223:L223" si="28">B184</f>
        <v>0</v>
      </c>
      <c r="D223" s="9">
        <f t="shared" si="28"/>
        <v>0</v>
      </c>
      <c r="E223" s="41">
        <f t="shared" si="28"/>
        <v>-63000</v>
      </c>
      <c r="F223" s="41">
        <f t="shared" si="28"/>
        <v>0</v>
      </c>
      <c r="G223" s="41">
        <f t="shared" si="28"/>
        <v>84505.299915193493</v>
      </c>
      <c r="H223" s="9">
        <f t="shared" si="28"/>
        <v>-32257.94987279025</v>
      </c>
      <c r="I223" s="41">
        <f t="shared" si="28"/>
        <v>0</v>
      </c>
      <c r="J223" s="41">
        <f t="shared" si="28"/>
        <v>0</v>
      </c>
      <c r="K223" s="41">
        <f t="shared" si="28"/>
        <v>-21505.2999151935</v>
      </c>
      <c r="L223" s="41">
        <f t="shared" si="28"/>
        <v>32257.94987279025</v>
      </c>
      <c r="M223" s="13" t="s">
        <v>251</v>
      </c>
      <c r="N223" s="215" t="s">
        <v>382</v>
      </c>
      <c r="O223" s="172"/>
      <c r="P223" s="172"/>
      <c r="Q223" s="172"/>
      <c r="R223" s="172"/>
      <c r="S223" s="173"/>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-32257.94987279025</v>
      </c>
      <c r="H224" s="9">
        <f t="shared" si="29"/>
        <v>48386.924809185381</v>
      </c>
      <c r="I224" s="9">
        <f t="shared" si="29"/>
        <v>0</v>
      </c>
      <c r="J224" s="9">
        <f t="shared" si="29"/>
        <v>0</v>
      </c>
      <c r="K224" s="9">
        <f t="shared" si="29"/>
        <v>32257.94987279025</v>
      </c>
      <c r="L224" s="9">
        <f t="shared" si="29"/>
        <v>-48386.924809185381</v>
      </c>
      <c r="M224" s="13" t="s">
        <v>251</v>
      </c>
      <c r="N224" s="219">
        <f>E210</f>
        <v>0</v>
      </c>
      <c r="O224" s="172"/>
      <c r="P224" s="172"/>
      <c r="Q224" s="172"/>
      <c r="R224" s="172"/>
      <c r="S224" s="173"/>
    </row>
    <row r="225" spans="1:19" ht="16.95" customHeight="1" x14ac:dyDescent="0.3">
      <c r="A225" s="41">
        <f t="shared" si="23"/>
        <v>0</v>
      </c>
      <c r="C225" s="9">
        <f t="shared" ref="C225:L225" si="30">B186</f>
        <v>-21505.2999151935</v>
      </c>
      <c r="D225" s="9">
        <f t="shared" si="30"/>
        <v>-32257.94987279025</v>
      </c>
      <c r="E225" s="41">
        <f t="shared" si="30"/>
        <v>-21505.2999151935</v>
      </c>
      <c r="F225" s="41">
        <f t="shared" si="30"/>
        <v>32257.94987279025</v>
      </c>
      <c r="G225" s="41">
        <f t="shared" si="30"/>
        <v>0</v>
      </c>
      <c r="H225" s="9">
        <f t="shared" si="30"/>
        <v>0</v>
      </c>
      <c r="I225" s="41">
        <f t="shared" si="30"/>
        <v>106010.599830387</v>
      </c>
      <c r="J225" s="41">
        <f t="shared" si="30"/>
        <v>0</v>
      </c>
      <c r="K225" s="41">
        <f t="shared" si="30"/>
        <v>-63000</v>
      </c>
      <c r="L225" s="41">
        <f t="shared" si="30"/>
        <v>0</v>
      </c>
      <c r="M225" s="13" t="s">
        <v>251</v>
      </c>
      <c r="N225" s="215" t="str">
        <f>E211</f>
        <v>D4X</v>
      </c>
      <c r="O225" s="172"/>
      <c r="P225" s="172"/>
      <c r="Q225" s="172"/>
      <c r="R225" s="172"/>
      <c r="S225" s="173"/>
    </row>
    <row r="226" spans="1:19" ht="16.95" customHeight="1" x14ac:dyDescent="0.3">
      <c r="A226" s="41">
        <f t="shared" si="23"/>
        <v>0</v>
      </c>
      <c r="C226" s="9">
        <f t="shared" ref="C226:L226" si="31">B187</f>
        <v>-32257.94987279025</v>
      </c>
      <c r="D226" s="9">
        <f t="shared" si="31"/>
        <v>-48386.924809185381</v>
      </c>
      <c r="E226" s="41">
        <f t="shared" si="31"/>
        <v>32257.94987279025</v>
      </c>
      <c r="F226" s="41">
        <f t="shared" si="31"/>
        <v>-48386.924809185381</v>
      </c>
      <c r="G226" s="41">
        <f t="shared" si="31"/>
        <v>0</v>
      </c>
      <c r="H226" s="9">
        <f t="shared" si="31"/>
        <v>0</v>
      </c>
      <c r="I226" s="41">
        <f t="shared" si="31"/>
        <v>0</v>
      </c>
      <c r="J226" s="41">
        <f t="shared" si="31"/>
        <v>96773.849618370761</v>
      </c>
      <c r="K226" s="41">
        <f t="shared" si="31"/>
        <v>0</v>
      </c>
      <c r="L226" s="41">
        <f t="shared" si="31"/>
        <v>0</v>
      </c>
      <c r="M226" s="13" t="s">
        <v>251</v>
      </c>
      <c r="N226" s="215" t="str">
        <f>E212</f>
        <v>D4Y</v>
      </c>
      <c r="O226" s="172"/>
      <c r="P226" s="172"/>
      <c r="Q226" s="172"/>
      <c r="R226" s="172"/>
      <c r="S226" s="173"/>
    </row>
    <row r="227" spans="1:19" ht="16.95" customHeight="1" x14ac:dyDescent="0.3">
      <c r="A227" s="41">
        <f t="shared" si="23"/>
        <v>0</v>
      </c>
      <c r="C227" s="9">
        <f t="shared" ref="C227:L227" si="32">B188</f>
        <v>-30052.753617597173</v>
      </c>
      <c r="D227" s="9">
        <f t="shared" si="32"/>
        <v>-15026.376808798586</v>
      </c>
      <c r="E227" s="41">
        <f t="shared" si="32"/>
        <v>-21505.2999151935</v>
      </c>
      <c r="F227" s="41">
        <f t="shared" si="32"/>
        <v>-32257.94987279025</v>
      </c>
      <c r="G227" s="41">
        <f t="shared" si="32"/>
        <v>-21505.2999151935</v>
      </c>
      <c r="H227" s="9">
        <f t="shared" si="32"/>
        <v>32257.94987279025</v>
      </c>
      <c r="I227" s="41">
        <f t="shared" si="32"/>
        <v>-63000</v>
      </c>
      <c r="J227" s="41">
        <f t="shared" si="32"/>
        <v>0</v>
      </c>
      <c r="K227" s="41">
        <f t="shared" si="32"/>
        <v>136063.35344798415</v>
      </c>
      <c r="L227" s="41">
        <f t="shared" si="32"/>
        <v>15026.376808798586</v>
      </c>
      <c r="M227" s="13" t="s">
        <v>251</v>
      </c>
      <c r="N227" s="215" t="str">
        <f>E213</f>
        <v>D5X</v>
      </c>
      <c r="O227" s="172"/>
      <c r="P227" s="172"/>
      <c r="Q227" s="172"/>
      <c r="R227" s="172"/>
      <c r="S227" s="173"/>
    </row>
    <row r="228" spans="1:19" ht="16.95" customHeight="1" x14ac:dyDescent="0.3">
      <c r="A228" s="41">
        <f t="shared" si="23"/>
        <v>0</v>
      </c>
      <c r="C228" s="9">
        <f t="shared" ref="C228:L228" si="33">B189</f>
        <v>-15026.376808798586</v>
      </c>
      <c r="D228" s="9">
        <f t="shared" si="33"/>
        <v>-7513.1884043992932</v>
      </c>
      <c r="E228" s="41">
        <f t="shared" si="33"/>
        <v>-32257.94987279025</v>
      </c>
      <c r="F228" s="41">
        <f t="shared" si="33"/>
        <v>-48386.924809185381</v>
      </c>
      <c r="G228" s="41">
        <f t="shared" si="33"/>
        <v>32257.94987279025</v>
      </c>
      <c r="H228" s="9">
        <f t="shared" si="33"/>
        <v>-48386.924809185381</v>
      </c>
      <c r="I228" s="41">
        <f t="shared" si="33"/>
        <v>0</v>
      </c>
      <c r="J228" s="41">
        <f t="shared" si="33"/>
        <v>0</v>
      </c>
      <c r="K228" s="41">
        <f t="shared" si="33"/>
        <v>15026.376808798586</v>
      </c>
      <c r="L228" s="41">
        <f t="shared" si="33"/>
        <v>104287.03802277005</v>
      </c>
      <c r="M228" s="13" t="s">
        <v>251</v>
      </c>
      <c r="N228" s="215" t="str">
        <f>E214</f>
        <v>D5Y</v>
      </c>
      <c r="O228" s="172"/>
      <c r="P228" s="172"/>
      <c r="Q228" s="172"/>
      <c r="R228" s="172"/>
      <c r="S228" s="173"/>
    </row>
    <row r="231" spans="1:19" ht="19.95" customHeight="1" x14ac:dyDescent="0.35">
      <c r="A231" s="15" t="s">
        <v>257</v>
      </c>
      <c r="N231" s="216" t="s">
        <v>258</v>
      </c>
      <c r="O231" s="172"/>
      <c r="P231" s="172"/>
      <c r="Q231" s="172"/>
      <c r="R231" s="172"/>
      <c r="S231" s="173"/>
    </row>
    <row r="232" spans="1:19" ht="16.95" customHeight="1" x14ac:dyDescent="0.3">
      <c r="C232" s="38" t="str">
        <f>INDEX(C$205:C$214, MATCH(1, F$205:F$214, 0))</f>
        <v>U2X</v>
      </c>
      <c r="D232" s="38" t="str">
        <f>INDEX(C$205:C$214, MATCH(2, F$205:F$214, 0))</f>
        <v>U2Y</v>
      </c>
      <c r="E232" s="38" t="str">
        <f>INDEX(C$205:C$214, MATCH(3, F$205:F$214, 0))</f>
        <v>U3X</v>
      </c>
      <c r="F232" s="38" t="str">
        <f>INDEX(C$205:C$214, MATCH(4, F$205:F$214, 0))</f>
        <v>U4X</v>
      </c>
      <c r="G232" s="38" t="str">
        <f>INDEX(C$205:C$214, MATCH(5, F$205:F$214, 0))</f>
        <v>U4Y</v>
      </c>
      <c r="H232" s="38" t="str">
        <f>INDEX(C$205:C$214, MATCH(6, F$205:F$214, 0))</f>
        <v>U5X</v>
      </c>
      <c r="I232" s="38" t="str">
        <f>INDEX(C$205:C$214, MATCH(7, F$205:F$214, 0))</f>
        <v>U5Y</v>
      </c>
      <c r="N232" s="215" t="s">
        <v>383</v>
      </c>
      <c r="O232" s="172"/>
      <c r="P232" s="172"/>
      <c r="Q232" s="172"/>
      <c r="R232" s="172"/>
      <c r="S232" s="173"/>
    </row>
    <row r="233" spans="1:19" ht="16.95" customHeight="1" x14ac:dyDescent="0.3">
      <c r="A233" s="41">
        <f t="shared" ref="A233:A239" si="34">INDEX(E$193:E$202, MATCH(L233, C$193:C$202, 0))</f>
        <v>0</v>
      </c>
      <c r="C233" s="41">
        <f t="shared" ref="C233:I239" si="35">INDEX($B$180:$K$189, MATCH($L233, $L$180:$L$189, 0), MATCH(C$232, $B$179:$K$179, 0))</f>
        <v>169010.59983038699</v>
      </c>
      <c r="D233" s="41">
        <f t="shared" si="35"/>
        <v>0</v>
      </c>
      <c r="E233" s="41">
        <f t="shared" si="35"/>
        <v>-63000</v>
      </c>
      <c r="F233" s="41">
        <f t="shared" si="35"/>
        <v>-21505.2999151935</v>
      </c>
      <c r="G233" s="41">
        <f t="shared" si="35"/>
        <v>32257.94987279025</v>
      </c>
      <c r="H233" s="41">
        <f t="shared" si="35"/>
        <v>-21505.2999151935</v>
      </c>
      <c r="I233" s="41">
        <f t="shared" si="35"/>
        <v>-32257.94987279025</v>
      </c>
      <c r="J233" s="13" t="s">
        <v>251</v>
      </c>
      <c r="K233" s="38" t="str">
        <f>INDEX(B$205:B$214, MATCH(1, F$205:F$214, 0))</f>
        <v>D2X</v>
      </c>
      <c r="L233" s="14" t="str">
        <f>INDEX(C$205:C$214, MATCH(1, F$205:F$214, 0))</f>
        <v>U2X</v>
      </c>
      <c r="N233" s="215" t="s">
        <v>384</v>
      </c>
      <c r="O233" s="172"/>
      <c r="P233" s="172"/>
      <c r="Q233" s="172"/>
      <c r="R233" s="172"/>
      <c r="S233" s="173"/>
    </row>
    <row r="234" spans="1:19" ht="16.95" customHeight="1" x14ac:dyDescent="0.3">
      <c r="A234" s="41">
        <f t="shared" si="34"/>
        <v>-10000</v>
      </c>
      <c r="C234" s="41">
        <f t="shared" si="35"/>
        <v>0</v>
      </c>
      <c r="D234" s="41">
        <f t="shared" si="35"/>
        <v>96773.849618370761</v>
      </c>
      <c r="E234" s="41">
        <f t="shared" si="35"/>
        <v>0</v>
      </c>
      <c r="F234" s="41">
        <f t="shared" si="35"/>
        <v>32257.94987279025</v>
      </c>
      <c r="G234" s="41">
        <f t="shared" si="35"/>
        <v>-48386.924809185381</v>
      </c>
      <c r="H234" s="41">
        <f t="shared" si="35"/>
        <v>-32257.94987279025</v>
      </c>
      <c r="I234" s="41">
        <f t="shared" si="35"/>
        <v>-48386.924809185381</v>
      </c>
      <c r="J234" s="13" t="s">
        <v>251</v>
      </c>
      <c r="K234" s="38" t="str">
        <f>INDEX(B$205:B$214, MATCH(2, F$205:F$214, 0))</f>
        <v>D2Y</v>
      </c>
      <c r="L234" s="14" t="str">
        <f>INDEX(C$205:C$214, MATCH(2, F$205:F$214, 0))</f>
        <v>U2Y</v>
      </c>
      <c r="N234" s="215" t="s">
        <v>385</v>
      </c>
      <c r="O234" s="172"/>
      <c r="P234" s="172"/>
      <c r="Q234" s="172"/>
      <c r="R234" s="172"/>
      <c r="S234" s="173"/>
    </row>
    <row r="235" spans="1:19" ht="16.95" customHeight="1" x14ac:dyDescent="0.3">
      <c r="A235" s="41">
        <f t="shared" si="34"/>
        <v>0</v>
      </c>
      <c r="C235" s="41">
        <f t="shared" si="35"/>
        <v>-63000</v>
      </c>
      <c r="D235" s="41">
        <f t="shared" si="35"/>
        <v>0</v>
      </c>
      <c r="E235" s="41">
        <f t="shared" si="35"/>
        <v>84505.299915193493</v>
      </c>
      <c r="F235" s="41">
        <f t="shared" si="35"/>
        <v>0</v>
      </c>
      <c r="G235" s="41">
        <f t="shared" si="35"/>
        <v>0</v>
      </c>
      <c r="H235" s="41">
        <f t="shared" si="35"/>
        <v>-21505.2999151935</v>
      </c>
      <c r="I235" s="41">
        <f t="shared" si="35"/>
        <v>32257.94987279025</v>
      </c>
      <c r="J235" s="13" t="s">
        <v>251</v>
      </c>
      <c r="K235" s="38" t="str">
        <f>INDEX(B$205:B$214, MATCH(3, F$205:F$214, 0))</f>
        <v>D3X</v>
      </c>
      <c r="L235" s="14" t="str">
        <f>INDEX(C$205:C$214, MATCH(3, F$205:F$214, 0))</f>
        <v>U3X</v>
      </c>
      <c r="N235" s="215" t="s">
        <v>386</v>
      </c>
      <c r="O235" s="172"/>
      <c r="P235" s="172"/>
      <c r="Q235" s="172"/>
      <c r="R235" s="172"/>
      <c r="S235" s="173"/>
    </row>
    <row r="236" spans="1:19" ht="16.95" customHeight="1" x14ac:dyDescent="0.3">
      <c r="A236" s="41">
        <f t="shared" si="34"/>
        <v>0</v>
      </c>
      <c r="B236" s="13" t="s">
        <v>220</v>
      </c>
      <c r="C236" s="41">
        <f t="shared" si="35"/>
        <v>-21505.2999151935</v>
      </c>
      <c r="D236" s="41">
        <f t="shared" si="35"/>
        <v>32257.94987279025</v>
      </c>
      <c r="E236" s="41">
        <f t="shared" si="35"/>
        <v>0</v>
      </c>
      <c r="F236" s="41">
        <f t="shared" si="35"/>
        <v>106010.599830387</v>
      </c>
      <c r="G236" s="41">
        <f t="shared" si="35"/>
        <v>0</v>
      </c>
      <c r="H236" s="41">
        <f t="shared" si="35"/>
        <v>-63000</v>
      </c>
      <c r="I236" s="41">
        <f t="shared" si="35"/>
        <v>0</v>
      </c>
      <c r="J236" s="13" t="s">
        <v>251</v>
      </c>
      <c r="K236" s="38" t="str">
        <f>INDEX(B$205:B$214, MATCH(4, F$205:F$214, 0))</f>
        <v>D4X</v>
      </c>
      <c r="L236" s="14" t="str">
        <f>INDEX(C$205:C$214, MATCH(4, F$205:F$214, 0))</f>
        <v>U4X</v>
      </c>
      <c r="N236" s="215" t="s">
        <v>387</v>
      </c>
      <c r="O236" s="172"/>
      <c r="P236" s="172"/>
      <c r="Q236" s="172"/>
      <c r="R236" s="172"/>
      <c r="S236" s="173"/>
    </row>
    <row r="237" spans="1:19" ht="16.95" customHeight="1" x14ac:dyDescent="0.3">
      <c r="A237" s="41">
        <f t="shared" si="34"/>
        <v>0</v>
      </c>
      <c r="C237" s="41">
        <f t="shared" si="35"/>
        <v>32257.94987279025</v>
      </c>
      <c r="D237" s="41">
        <f t="shared" si="35"/>
        <v>-48386.924809185381</v>
      </c>
      <c r="E237" s="41">
        <f t="shared" si="35"/>
        <v>0</v>
      </c>
      <c r="F237" s="41">
        <f t="shared" si="35"/>
        <v>0</v>
      </c>
      <c r="G237" s="41">
        <f t="shared" si="35"/>
        <v>96773.849618370761</v>
      </c>
      <c r="H237" s="41">
        <f t="shared" si="35"/>
        <v>0</v>
      </c>
      <c r="I237" s="41">
        <f t="shared" si="35"/>
        <v>0</v>
      </c>
      <c r="J237" s="13" t="s">
        <v>251</v>
      </c>
      <c r="K237" s="38" t="str">
        <f>INDEX(B$205:B$214, MATCH(5, F$205:F$214, 0))</f>
        <v>D4Y</v>
      </c>
      <c r="L237" s="14" t="str">
        <f>INDEX(C$205:C$214, MATCH(5, F$205:F$214, 0))</f>
        <v>U4Y</v>
      </c>
      <c r="N237" s="215" t="s">
        <v>388</v>
      </c>
      <c r="O237" s="172"/>
      <c r="P237" s="172"/>
      <c r="Q237" s="172"/>
      <c r="R237" s="172"/>
      <c r="S237" s="173"/>
    </row>
    <row r="238" spans="1:19" ht="16.95" customHeight="1" x14ac:dyDescent="0.3">
      <c r="A238" s="41">
        <f t="shared" si="34"/>
        <v>0</v>
      </c>
      <c r="C238" s="41">
        <f t="shared" si="35"/>
        <v>-21505.2999151935</v>
      </c>
      <c r="D238" s="41">
        <f t="shared" si="35"/>
        <v>-32257.94987279025</v>
      </c>
      <c r="E238" s="41">
        <f t="shared" si="35"/>
        <v>-21505.2999151935</v>
      </c>
      <c r="F238" s="41">
        <f t="shared" si="35"/>
        <v>-63000</v>
      </c>
      <c r="G238" s="41">
        <f t="shared" si="35"/>
        <v>0</v>
      </c>
      <c r="H238" s="41">
        <f t="shared" si="35"/>
        <v>136063.35344798415</v>
      </c>
      <c r="I238" s="41">
        <f t="shared" si="35"/>
        <v>15026.376808798586</v>
      </c>
      <c r="J238" s="13" t="s">
        <v>251</v>
      </c>
      <c r="K238" s="38" t="str">
        <f>INDEX(B$205:B$214, MATCH(6, F$205:F$214, 0))</f>
        <v>D5X</v>
      </c>
      <c r="L238" s="14" t="str">
        <f>INDEX(C$205:C$214, MATCH(6, F$205:F$214, 0))</f>
        <v>U5X</v>
      </c>
      <c r="N238" s="215"/>
      <c r="O238" s="172"/>
      <c r="P238" s="172"/>
      <c r="Q238" s="172"/>
      <c r="R238" s="172"/>
      <c r="S238" s="173"/>
    </row>
    <row r="239" spans="1:19" ht="16.95" customHeight="1" x14ac:dyDescent="0.3">
      <c r="A239" s="41">
        <f t="shared" si="34"/>
        <v>0</v>
      </c>
      <c r="C239" s="41">
        <f t="shared" si="35"/>
        <v>-32257.94987279025</v>
      </c>
      <c r="D239" s="41">
        <f t="shared" si="35"/>
        <v>-48386.924809185381</v>
      </c>
      <c r="E239" s="41">
        <f t="shared" si="35"/>
        <v>32257.94987279025</v>
      </c>
      <c r="F239" s="41">
        <f t="shared" si="35"/>
        <v>0</v>
      </c>
      <c r="G239" s="41">
        <f t="shared" si="35"/>
        <v>0</v>
      </c>
      <c r="H239" s="41">
        <f t="shared" si="35"/>
        <v>15026.376808798586</v>
      </c>
      <c r="I239" s="41">
        <f t="shared" si="35"/>
        <v>104287.03802277005</v>
      </c>
      <c r="J239" s="13" t="s">
        <v>251</v>
      </c>
      <c r="K239" s="38" t="str">
        <f>INDEX(B$205:B$214, MATCH(7, F$205:F$214, 0))</f>
        <v>D5Y</v>
      </c>
      <c r="L239" s="14" t="str">
        <f>INDEX(C$205:C$214, MATCH(7, F$205:F$214, 0))</f>
        <v>U5Y</v>
      </c>
      <c r="N239" s="215"/>
      <c r="O239" s="172"/>
      <c r="P239" s="172"/>
      <c r="Q239" s="172"/>
      <c r="R239" s="172"/>
      <c r="S239" s="173"/>
    </row>
    <row r="240" spans="1:19" ht="16.95" customHeight="1" x14ac:dyDescent="0.3">
      <c r="N240" s="215"/>
      <c r="O240" s="172"/>
      <c r="P240" s="172"/>
      <c r="Q240" s="172"/>
      <c r="R240" s="172"/>
      <c r="S240" s="173"/>
    </row>
    <row r="241" spans="1:19" ht="16.95" customHeight="1" x14ac:dyDescent="0.3">
      <c r="C241" s="218" t="s">
        <v>263</v>
      </c>
      <c r="D241" s="172"/>
      <c r="E241" s="172"/>
      <c r="F241" s="172"/>
      <c r="G241" s="172"/>
      <c r="H241" s="172"/>
      <c r="I241" s="173"/>
      <c r="N241" s="215"/>
      <c r="O241" s="172"/>
      <c r="P241" s="172"/>
      <c r="Q241" s="172"/>
      <c r="R241" s="172"/>
      <c r="S241" s="173"/>
    </row>
    <row r="242" spans="1:19" ht="16.95" customHeight="1" x14ac:dyDescent="0.3">
      <c r="A242" s="99" t="s">
        <v>249</v>
      </c>
      <c r="C242" s="193" t="s">
        <v>264</v>
      </c>
      <c r="D242" s="175"/>
      <c r="E242" s="175"/>
      <c r="F242" s="175"/>
      <c r="G242" s="175"/>
      <c r="H242" s="175"/>
      <c r="I242" s="175"/>
      <c r="K242" s="99" t="s">
        <v>247</v>
      </c>
      <c r="N242" s="215"/>
      <c r="O242" s="172"/>
      <c r="P242" s="172"/>
      <c r="Q242" s="172"/>
      <c r="R242" s="172"/>
      <c r="S242" s="173"/>
    </row>
    <row r="243" spans="1:19" ht="16.95" customHeight="1" x14ac:dyDescent="0.3">
      <c r="A243" s="12" t="str">
        <f t="shared" ref="A243:A249" si="36">K233</f>
        <v>D2X</v>
      </c>
      <c r="C243" s="93">
        <f t="array" ref="C243:I249">MINVERSE(C233:I239)</f>
        <v>1.4092299796602768E-5</v>
      </c>
      <c r="D243" s="93">
        <v>-6.7540150307175467E-6</v>
      </c>
      <c r="E243" s="93">
        <v>1.4092299796602772E-5</v>
      </c>
      <c r="F243" s="93">
        <v>9.503348028615894E-6</v>
      </c>
      <c r="G243" s="93">
        <v>-8.0744407808930296E-6</v>
      </c>
      <c r="H243" s="93">
        <v>7.7226319522027867E-6</v>
      </c>
      <c r="I243" s="93">
        <v>-4.2464452295999917E-6</v>
      </c>
      <c r="K243" s="17">
        <f t="shared" ref="K243:K249" si="37">A233</f>
        <v>0</v>
      </c>
      <c r="N243" s="215"/>
      <c r="O243" s="172"/>
      <c r="P243" s="172"/>
      <c r="Q243" s="172"/>
      <c r="R243" s="172"/>
      <c r="S243" s="173"/>
    </row>
    <row r="244" spans="1:19" ht="16.95" customHeight="1" x14ac:dyDescent="0.3">
      <c r="A244" s="12" t="str">
        <f t="shared" si="36"/>
        <v>D2Y</v>
      </c>
      <c r="C244" s="93">
        <v>-6.7540150307175459E-6</v>
      </c>
      <c r="D244" s="93">
        <v>3.0046763739809649E-5</v>
      </c>
      <c r="E244" s="93">
        <v>-1.2045020321722839E-5</v>
      </c>
      <c r="F244" s="93">
        <v>-1.2554976366066727E-5</v>
      </c>
      <c r="G244" s="93">
        <v>1.7274720213477338E-5</v>
      </c>
      <c r="H244" s="93">
        <v>-3.4359755237683987E-6</v>
      </c>
      <c r="I244" s="93">
        <v>1.6072733256183E-5</v>
      </c>
      <c r="K244" s="17">
        <f t="shared" si="37"/>
        <v>-10000</v>
      </c>
      <c r="N244" s="215"/>
      <c r="O244" s="172"/>
      <c r="P244" s="172"/>
      <c r="Q244" s="172"/>
      <c r="R244" s="172"/>
      <c r="S244" s="173"/>
    </row>
    <row r="245" spans="1:19" ht="16.95" customHeight="1" x14ac:dyDescent="0.3">
      <c r="A245" s="12" t="str">
        <f t="shared" si="36"/>
        <v>D3X</v>
      </c>
      <c r="C245" s="93">
        <v>1.4092299796602767E-5</v>
      </c>
      <c r="D245" s="93">
        <v>-1.2045020321722841E-5</v>
      </c>
      <c r="E245" s="93">
        <v>2.9965315669618647E-5</v>
      </c>
      <c r="F245" s="93">
        <v>1.3471601996869866E-5</v>
      </c>
      <c r="G245" s="93">
        <v>-1.0719943426395677E-5</v>
      </c>
      <c r="H245" s="93">
        <v>1.1690885920456759E-5</v>
      </c>
      <c r="I245" s="93">
        <v>-1.2182953166107931E-5</v>
      </c>
      <c r="K245" s="17">
        <f t="shared" si="37"/>
        <v>0</v>
      </c>
      <c r="N245" s="215"/>
      <c r="O245" s="172"/>
      <c r="P245" s="172"/>
      <c r="Q245" s="172"/>
      <c r="R245" s="172"/>
      <c r="S245" s="173"/>
    </row>
    <row r="246" spans="1:19" ht="16.95" customHeight="1" x14ac:dyDescent="0.3">
      <c r="A246" s="12" t="str">
        <f t="shared" si="36"/>
        <v>D4X</v>
      </c>
      <c r="B246" s="13" t="s">
        <v>220</v>
      </c>
      <c r="C246" s="93">
        <v>9.503348028615894E-6</v>
      </c>
      <c r="D246" s="93">
        <v>-1.255497636606673E-5</v>
      </c>
      <c r="E246" s="93">
        <v>1.3471601996869866E-5</v>
      </c>
      <c r="F246" s="93">
        <v>2.2275464127575619E-5</v>
      </c>
      <c r="G246" s="93">
        <v>-9.4452708592386637E-6</v>
      </c>
      <c r="H246" s="93">
        <v>1.1937542314921671E-5</v>
      </c>
      <c r="I246" s="93">
        <v>-8.7727339977921641E-6</v>
      </c>
      <c r="K246" s="17">
        <f t="shared" si="37"/>
        <v>0</v>
      </c>
      <c r="N246" s="215"/>
      <c r="O246" s="172"/>
      <c r="P246" s="172"/>
      <c r="Q246" s="172"/>
      <c r="R246" s="172"/>
      <c r="S246" s="173"/>
    </row>
    <row r="247" spans="1:19" ht="16.95" customHeight="1" x14ac:dyDescent="0.3">
      <c r="A247" s="12" t="str">
        <f t="shared" si="36"/>
        <v>D4Y</v>
      </c>
      <c r="C247" s="93">
        <v>-8.074440780893028E-6</v>
      </c>
      <c r="D247" s="93">
        <v>1.7274720213477338E-5</v>
      </c>
      <c r="E247" s="93">
        <v>-1.0719943426395676E-5</v>
      </c>
      <c r="F247" s="93">
        <v>-9.445270859238662E-6</v>
      </c>
      <c r="G247" s="93">
        <v>2.1662210424583052E-5</v>
      </c>
      <c r="H247" s="93">
        <v>-4.292198412618461E-6</v>
      </c>
      <c r="I247" s="93">
        <v>9.4518483712914963E-6</v>
      </c>
      <c r="K247" s="17">
        <f t="shared" si="37"/>
        <v>0</v>
      </c>
      <c r="N247" s="215"/>
      <c r="O247" s="172"/>
      <c r="P247" s="172"/>
      <c r="Q247" s="172"/>
      <c r="R247" s="172"/>
      <c r="S247" s="173"/>
    </row>
    <row r="248" spans="1:19" ht="16.95" customHeight="1" x14ac:dyDescent="0.3">
      <c r="A248" s="12" t="str">
        <f t="shared" si="36"/>
        <v>D5X</v>
      </c>
      <c r="C248" s="93">
        <v>7.722631952202785E-6</v>
      </c>
      <c r="D248" s="93">
        <v>-3.4359755237684025E-6</v>
      </c>
      <c r="E248" s="93">
        <v>1.1690885920456757E-5</v>
      </c>
      <c r="F248" s="93">
        <v>1.1937542314921673E-5</v>
      </c>
      <c r="G248" s="93">
        <v>-4.2921984126184627E-6</v>
      </c>
      <c r="H248" s="93">
        <v>1.5691920298870486E-5</v>
      </c>
      <c r="I248" s="93">
        <v>-5.0826712908842163E-6</v>
      </c>
      <c r="K248" s="17">
        <f t="shared" si="37"/>
        <v>0</v>
      </c>
      <c r="N248" s="215"/>
      <c r="O248" s="172"/>
      <c r="P248" s="172"/>
      <c r="Q248" s="172"/>
      <c r="R248" s="172"/>
      <c r="S248" s="173"/>
    </row>
    <row r="249" spans="1:19" ht="16.95" customHeight="1" x14ac:dyDescent="0.3">
      <c r="A249" s="12" t="str">
        <f t="shared" si="36"/>
        <v>D5Y</v>
      </c>
      <c r="C249" s="93">
        <v>-4.2464452295999909E-6</v>
      </c>
      <c r="D249" s="93">
        <v>1.6072733256183E-5</v>
      </c>
      <c r="E249" s="93">
        <v>-1.2182953166107931E-5</v>
      </c>
      <c r="F249" s="93">
        <v>-8.7727339977921624E-6</v>
      </c>
      <c r="G249" s="93">
        <v>9.4518483712914963E-6</v>
      </c>
      <c r="H249" s="93">
        <v>-5.0826712908842146E-6</v>
      </c>
      <c r="I249" s="93">
        <v>2.0233576336469205E-5</v>
      </c>
      <c r="K249" s="17">
        <f t="shared" si="37"/>
        <v>0</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C251" s="218" t="s">
        <v>265</v>
      </c>
      <c r="D251" s="173"/>
      <c r="N251" s="215"/>
      <c r="O251" s="172"/>
      <c r="P251" s="172"/>
      <c r="Q251" s="172"/>
      <c r="R251" s="172"/>
      <c r="S251" s="173"/>
    </row>
    <row r="252" spans="1:19" ht="16.95" customHeight="1" x14ac:dyDescent="0.3">
      <c r="A252" s="99" t="s">
        <v>249</v>
      </c>
      <c r="C252" s="99" t="s">
        <v>266</v>
      </c>
      <c r="N252" s="215"/>
      <c r="O252" s="172"/>
      <c r="P252" s="172"/>
      <c r="Q252" s="172"/>
      <c r="R252" s="172"/>
      <c r="S252" s="173"/>
    </row>
    <row r="253" spans="1:19" ht="16.95" customHeight="1" x14ac:dyDescent="0.3">
      <c r="A253" s="12" t="str">
        <f t="shared" ref="A253:A259" si="38">A243</f>
        <v>D2X</v>
      </c>
      <c r="C253" s="94">
        <f t="array" ref="C253:C259">MMULT(C243:I249, K243:K249)</f>
        <v>6.7540150307175473E-2</v>
      </c>
      <c r="D253" s="12" t="s">
        <v>267</v>
      </c>
      <c r="N253" s="215"/>
      <c r="O253" s="172"/>
      <c r="P253" s="172"/>
      <c r="Q253" s="172"/>
      <c r="R253" s="172"/>
      <c r="S253" s="173"/>
    </row>
    <row r="254" spans="1:19" ht="16.95" customHeight="1" x14ac:dyDescent="0.3">
      <c r="A254" s="12" t="str">
        <f t="shared" si="38"/>
        <v>D2Y</v>
      </c>
      <c r="C254" s="94">
        <v>-0.30046763739809651</v>
      </c>
      <c r="D254" s="12" t="s">
        <v>267</v>
      </c>
      <c r="N254" s="215"/>
      <c r="O254" s="172"/>
      <c r="P254" s="172"/>
      <c r="Q254" s="172"/>
      <c r="R254" s="172"/>
      <c r="S254" s="173"/>
    </row>
    <row r="255" spans="1:19" ht="16.95" customHeight="1" x14ac:dyDescent="0.3">
      <c r="A255" s="12" t="str">
        <f t="shared" si="38"/>
        <v>D3X</v>
      </c>
      <c r="C255" s="94">
        <v>0.12045020321722841</v>
      </c>
      <c r="D255" s="12" t="s">
        <v>267</v>
      </c>
      <c r="N255" s="215"/>
      <c r="O255" s="172"/>
      <c r="P255" s="172"/>
      <c r="Q255" s="172"/>
      <c r="R255" s="172"/>
      <c r="S255" s="173"/>
    </row>
    <row r="256" spans="1:19" ht="16.95" customHeight="1" x14ac:dyDescent="0.3">
      <c r="A256" s="12" t="str">
        <f t="shared" si="38"/>
        <v>D4X</v>
      </c>
      <c r="B256" s="13" t="s">
        <v>220</v>
      </c>
      <c r="C256" s="94">
        <v>0.12554976366066731</v>
      </c>
      <c r="D256" s="12" t="s">
        <v>267</v>
      </c>
      <c r="N256" s="215"/>
      <c r="O256" s="172"/>
      <c r="P256" s="172"/>
      <c r="Q256" s="172"/>
      <c r="R256" s="172"/>
      <c r="S256" s="173"/>
    </row>
    <row r="257" spans="1:19" ht="16.95" customHeight="1" x14ac:dyDescent="0.3">
      <c r="A257" s="12" t="str">
        <f t="shared" si="38"/>
        <v>D4Y</v>
      </c>
      <c r="C257" s="94">
        <v>-0.17274720213477338</v>
      </c>
      <c r="D257" s="12" t="s">
        <v>267</v>
      </c>
      <c r="N257" s="215"/>
      <c r="O257" s="172"/>
      <c r="P257" s="172"/>
      <c r="Q257" s="172"/>
      <c r="R257" s="172"/>
      <c r="S257" s="173"/>
    </row>
    <row r="258" spans="1:19" ht="16.95" customHeight="1" x14ac:dyDescent="0.3">
      <c r="A258" s="12" t="str">
        <f t="shared" si="38"/>
        <v>D5X</v>
      </c>
      <c r="C258" s="94">
        <v>3.4359755237684024E-2</v>
      </c>
      <c r="D258" s="12" t="s">
        <v>267</v>
      </c>
      <c r="N258" s="215"/>
      <c r="O258" s="172"/>
      <c r="P258" s="172"/>
      <c r="Q258" s="172"/>
      <c r="R258" s="172"/>
      <c r="S258" s="173"/>
    </row>
    <row r="259" spans="1:19" ht="16.95" customHeight="1" x14ac:dyDescent="0.3">
      <c r="A259" s="12" t="str">
        <f t="shared" si="38"/>
        <v>D5Y</v>
      </c>
      <c r="C259" s="94">
        <v>-0.16072733256183</v>
      </c>
      <c r="D259" s="12" t="s">
        <v>267</v>
      </c>
      <c r="N259" s="215"/>
      <c r="O259" s="172"/>
      <c r="P259" s="172"/>
      <c r="Q259" s="172"/>
      <c r="R259" s="172"/>
      <c r="S259" s="173"/>
    </row>
    <row r="262" spans="1:19" ht="19.95" customHeight="1" x14ac:dyDescent="0.35">
      <c r="A262" s="11" t="s">
        <v>268</v>
      </c>
      <c r="N262" s="216" t="s">
        <v>269</v>
      </c>
      <c r="O262" s="172"/>
      <c r="P262" s="172"/>
      <c r="Q262" s="172"/>
      <c r="R262" s="172"/>
      <c r="S262" s="173"/>
    </row>
    <row r="263" spans="1:19" ht="16.95" customHeight="1" x14ac:dyDescent="0.3">
      <c r="A263" s="99" t="s">
        <v>247</v>
      </c>
      <c r="K263" s="99" t="s">
        <v>249</v>
      </c>
      <c r="N263" s="215" t="s">
        <v>389</v>
      </c>
      <c r="O263" s="172"/>
      <c r="P263" s="172"/>
      <c r="Q263" s="172"/>
      <c r="R263" s="172"/>
      <c r="S263" s="173"/>
    </row>
    <row r="264" spans="1:19" ht="16.95" customHeight="1" x14ac:dyDescent="0.3">
      <c r="A264" s="18" t="str">
        <f>INDEX(B$193:B$202, MATCH(L264, C$193:C$202, 0))</f>
        <v>C1X</v>
      </c>
      <c r="C264" s="9">
        <f t="shared" ref="C264:I266" si="39">INDEX($B$180:$K$189, MATCH($L264, $L$180:$L$189, 0), MATCH(C$232, $B$179:$K$179, 0))</f>
        <v>-63000</v>
      </c>
      <c r="D264" s="9">
        <f t="shared" si="39"/>
        <v>0</v>
      </c>
      <c r="E264" s="9">
        <f t="shared" si="39"/>
        <v>0</v>
      </c>
      <c r="F264" s="9">
        <f t="shared" si="39"/>
        <v>-21505.2999151935</v>
      </c>
      <c r="G264" s="9">
        <f t="shared" si="39"/>
        <v>-32257.94987279025</v>
      </c>
      <c r="H264" s="9">
        <f t="shared" si="39"/>
        <v>-30052.753617597173</v>
      </c>
      <c r="I264" s="9">
        <f t="shared" si="39"/>
        <v>-15026.376808798586</v>
      </c>
      <c r="K264" s="95">
        <f t="shared" ref="K264:K270" si="40">C253</f>
        <v>6.7540150307175473E-2</v>
      </c>
      <c r="L264" s="14" t="str">
        <f>INDEX(C$205:C$214, MATCH(1, G$205:G$214, 0))</f>
        <v>U1X</v>
      </c>
      <c r="N264" s="215" t="s">
        <v>390</v>
      </c>
      <c r="O264" s="172"/>
      <c r="P264" s="172"/>
      <c r="Q264" s="172"/>
      <c r="R264" s="172"/>
      <c r="S264" s="173"/>
    </row>
    <row r="265" spans="1:19" ht="16.95" customHeight="1" x14ac:dyDescent="0.3">
      <c r="A265" s="18" t="str">
        <f>INDEX(B$193:B$202, MATCH(L265, C$193:C$202, 0))</f>
        <v>C1Y</v>
      </c>
      <c r="B265" s="13" t="s">
        <v>220</v>
      </c>
      <c r="C265" s="9">
        <f t="shared" si="39"/>
        <v>0</v>
      </c>
      <c r="D265" s="9">
        <f t="shared" si="39"/>
        <v>0</v>
      </c>
      <c r="E265" s="9">
        <f t="shared" si="39"/>
        <v>0</v>
      </c>
      <c r="F265" s="9">
        <f t="shared" si="39"/>
        <v>-32257.94987279025</v>
      </c>
      <c r="G265" s="9">
        <f t="shared" si="39"/>
        <v>-48386.924809185381</v>
      </c>
      <c r="H265" s="9">
        <f t="shared" si="39"/>
        <v>-15026.376808798586</v>
      </c>
      <c r="I265" s="9">
        <f t="shared" si="39"/>
        <v>-7513.1884043992932</v>
      </c>
      <c r="K265" s="95">
        <f t="shared" si="40"/>
        <v>-0.30046763739809651</v>
      </c>
      <c r="L265" s="14" t="str">
        <f>INDEX(C$205:C$214, MATCH(2, G$205:G$214, 0))</f>
        <v>U1Y</v>
      </c>
      <c r="N265" s="215" t="s">
        <v>391</v>
      </c>
      <c r="O265" s="172"/>
      <c r="P265" s="172"/>
      <c r="Q265" s="172"/>
      <c r="R265" s="172"/>
      <c r="S265" s="173"/>
    </row>
    <row r="266" spans="1:19" ht="16.95" customHeight="1" x14ac:dyDescent="0.3">
      <c r="A266" s="18" t="str">
        <f>INDEX(B$193:B$202, MATCH(L266, C$193:C$202, 0))</f>
        <v>C3Y</v>
      </c>
      <c r="C266" s="9">
        <f t="shared" si="39"/>
        <v>0</v>
      </c>
      <c r="D266" s="9">
        <f t="shared" si="39"/>
        <v>0</v>
      </c>
      <c r="E266" s="9">
        <f t="shared" si="39"/>
        <v>-32257.94987279025</v>
      </c>
      <c r="F266" s="9">
        <f t="shared" si="39"/>
        <v>0</v>
      </c>
      <c r="G266" s="9">
        <f t="shared" si="39"/>
        <v>0</v>
      </c>
      <c r="H266" s="9">
        <f t="shared" si="39"/>
        <v>32257.94987279025</v>
      </c>
      <c r="I266" s="9">
        <f t="shared" si="39"/>
        <v>-48386.924809185381</v>
      </c>
      <c r="K266" s="95">
        <f t="shared" si="40"/>
        <v>0.12045020321722841</v>
      </c>
      <c r="L266" s="14" t="str">
        <f>INDEX(C$205:C$214, MATCH(3, G$205:G$214, 0))</f>
        <v>U3Y</v>
      </c>
      <c r="N266" s="215" t="s">
        <v>392</v>
      </c>
      <c r="O266" s="172"/>
      <c r="P266" s="172"/>
      <c r="Q266" s="172"/>
      <c r="R266" s="172"/>
      <c r="S266" s="173"/>
    </row>
    <row r="267" spans="1:19" ht="16.95" customHeight="1" x14ac:dyDescent="0.3">
      <c r="K267" s="95">
        <f t="shared" si="40"/>
        <v>0.12554976366066731</v>
      </c>
      <c r="N267" s="215" t="s">
        <v>393</v>
      </c>
      <c r="O267" s="172"/>
      <c r="P267" s="172"/>
      <c r="Q267" s="172"/>
      <c r="R267" s="172"/>
      <c r="S267" s="173"/>
    </row>
    <row r="268" spans="1:19" ht="16.95" customHeight="1" x14ac:dyDescent="0.3">
      <c r="K268" s="95">
        <f t="shared" si="40"/>
        <v>-0.17274720213477338</v>
      </c>
      <c r="N268" s="215" t="s">
        <v>394</v>
      </c>
      <c r="O268" s="172"/>
      <c r="P268" s="172"/>
      <c r="Q268" s="172"/>
      <c r="R268" s="172"/>
      <c r="S268" s="173"/>
    </row>
    <row r="269" spans="1:19" ht="16.95" customHeight="1" x14ac:dyDescent="0.3">
      <c r="K269" s="95">
        <f t="shared" si="40"/>
        <v>3.4359755237684024E-2</v>
      </c>
      <c r="N269" s="215"/>
      <c r="O269" s="172"/>
      <c r="P269" s="172"/>
      <c r="Q269" s="172"/>
      <c r="R269" s="172"/>
      <c r="S269" s="173"/>
    </row>
    <row r="270" spans="1:19" ht="16.95" customHeight="1" x14ac:dyDescent="0.3">
      <c r="K270" s="95">
        <f t="shared" si="40"/>
        <v>-0.16072733256183</v>
      </c>
      <c r="N270" s="215"/>
      <c r="O270" s="172"/>
      <c r="P270" s="172"/>
      <c r="Q270" s="172"/>
      <c r="R270" s="172"/>
      <c r="S270" s="173"/>
    </row>
    <row r="271" spans="1:19" ht="16.95" customHeight="1" x14ac:dyDescent="0.3">
      <c r="N271" s="215"/>
      <c r="O271" s="172"/>
      <c r="P271" s="172"/>
      <c r="Q271" s="172"/>
      <c r="R271" s="172"/>
      <c r="S271" s="173"/>
    </row>
    <row r="272" spans="1:19" ht="16.95" customHeight="1" x14ac:dyDescent="0.3">
      <c r="A272" s="12" t="str">
        <f>A264</f>
        <v>C1X</v>
      </c>
      <c r="C272" s="17">
        <f t="array" ref="C272:C274">MMULT(C264:I266, K264:K270)</f>
        <v>-5.0022208597511053E-12</v>
      </c>
      <c r="D272" s="12" t="s">
        <v>273</v>
      </c>
      <c r="N272" s="215"/>
      <c r="O272" s="172"/>
      <c r="P272" s="172"/>
      <c r="Q272" s="172"/>
      <c r="R272" s="172"/>
      <c r="S272" s="173"/>
    </row>
    <row r="273" spans="1:19" ht="16.95" customHeight="1" x14ac:dyDescent="0.3">
      <c r="A273" s="12" t="str">
        <f>A265</f>
        <v>C1Y</v>
      </c>
      <c r="B273" s="13" t="s">
        <v>220</v>
      </c>
      <c r="C273" s="17">
        <v>4999.9999999999973</v>
      </c>
      <c r="D273" s="12" t="s">
        <v>273</v>
      </c>
      <c r="N273" s="215"/>
      <c r="O273" s="172"/>
      <c r="P273" s="172"/>
      <c r="Q273" s="172"/>
      <c r="R273" s="172"/>
      <c r="S273" s="173"/>
    </row>
    <row r="274" spans="1:19" ht="16.95" customHeight="1" x14ac:dyDescent="0.3">
      <c r="A274" s="12" t="str">
        <f>A266</f>
        <v>C3Y</v>
      </c>
      <c r="C274" s="17">
        <v>5000.0000000000018</v>
      </c>
      <c r="D274" s="12" t="s">
        <v>273</v>
      </c>
      <c r="N274" s="215"/>
      <c r="O274" s="172"/>
      <c r="P274" s="172"/>
      <c r="Q274" s="172"/>
      <c r="R274" s="172"/>
      <c r="S274" s="173"/>
    </row>
    <row r="277" spans="1:19" ht="19.95" customHeight="1" x14ac:dyDescent="0.35">
      <c r="A277" s="11" t="s">
        <v>274</v>
      </c>
    </row>
    <row r="279" spans="1:19" ht="19.05" customHeight="1" x14ac:dyDescent="0.3">
      <c r="A279" s="12" t="s">
        <v>228</v>
      </c>
      <c r="B279" s="12" t="s">
        <v>178</v>
      </c>
      <c r="D279" s="94">
        <f t="shared" ref="D279:D288" si="41">IFERROR(INDEX(C$253:C$259, MATCH(A279, A$253:A$259, 0)), 0)</f>
        <v>0</v>
      </c>
    </row>
    <row r="280" spans="1:19" ht="19.05" customHeight="1" x14ac:dyDescent="0.3">
      <c r="A280" s="12" t="s">
        <v>229</v>
      </c>
      <c r="B280" s="12" t="s">
        <v>179</v>
      </c>
      <c r="D280" s="94">
        <f t="shared" si="41"/>
        <v>0</v>
      </c>
    </row>
    <row r="281" spans="1:19" ht="19.05" customHeight="1" x14ac:dyDescent="0.3">
      <c r="A281" s="12" t="s">
        <v>230</v>
      </c>
      <c r="B281" s="12" t="s">
        <v>180</v>
      </c>
      <c r="D281" s="94">
        <f t="shared" si="41"/>
        <v>6.7540150307175473E-2</v>
      </c>
    </row>
    <row r="282" spans="1:19" ht="19.05" customHeight="1" x14ac:dyDescent="0.3">
      <c r="A282" s="12" t="s">
        <v>231</v>
      </c>
      <c r="B282" s="12" t="s">
        <v>181</v>
      </c>
      <c r="D282" s="94">
        <f t="shared" si="41"/>
        <v>-0.30046763739809651</v>
      </c>
    </row>
    <row r="283" spans="1:19" ht="19.05" customHeight="1" x14ac:dyDescent="0.3">
      <c r="A283" s="12" t="s">
        <v>232</v>
      </c>
      <c r="B283" s="12" t="s">
        <v>182</v>
      </c>
      <c r="D283" s="94">
        <f t="shared" si="41"/>
        <v>0.12045020321722841</v>
      </c>
    </row>
    <row r="284" spans="1:19" ht="19.05" customHeight="1" x14ac:dyDescent="0.3">
      <c r="A284" s="12" t="s">
        <v>234</v>
      </c>
      <c r="B284" s="12" t="s">
        <v>183</v>
      </c>
      <c r="D284" s="94">
        <f t="shared" si="41"/>
        <v>0</v>
      </c>
    </row>
    <row r="285" spans="1:19" ht="19.05" customHeight="1" x14ac:dyDescent="0.3">
      <c r="A285" s="12" t="s">
        <v>235</v>
      </c>
      <c r="B285" s="12" t="s">
        <v>184</v>
      </c>
      <c r="D285" s="94">
        <f t="shared" si="41"/>
        <v>0.12554976366066731</v>
      </c>
    </row>
    <row r="286" spans="1:19" ht="19.05" customHeight="1" x14ac:dyDescent="0.3">
      <c r="A286" s="12" t="s">
        <v>236</v>
      </c>
      <c r="B286" s="12" t="s">
        <v>185</v>
      </c>
      <c r="D286" s="94">
        <f t="shared" si="41"/>
        <v>-0.17274720213477338</v>
      </c>
    </row>
    <row r="287" spans="1:19" ht="19.05" customHeight="1" x14ac:dyDescent="0.3">
      <c r="A287" s="12" t="s">
        <v>237</v>
      </c>
      <c r="B287" s="12" t="s">
        <v>186</v>
      </c>
      <c r="D287" s="94">
        <f t="shared" si="41"/>
        <v>3.4359755237684024E-2</v>
      </c>
    </row>
    <row r="288" spans="1:19" ht="19.05" customHeight="1" x14ac:dyDescent="0.3">
      <c r="A288" s="12" t="s">
        <v>238</v>
      </c>
      <c r="B288" s="12" t="s">
        <v>187</v>
      </c>
      <c r="D288" s="94">
        <f t="shared" si="41"/>
        <v>-0.16072733256183</v>
      </c>
    </row>
    <row r="291" spans="1:19" ht="19.95" customHeight="1" x14ac:dyDescent="0.35">
      <c r="A291" s="11" t="s">
        <v>275</v>
      </c>
      <c r="N291" s="216" t="s">
        <v>276</v>
      </c>
      <c r="O291" s="172"/>
      <c r="P291" s="172"/>
      <c r="Q291" s="172"/>
      <c r="R291" s="172"/>
      <c r="S291" s="173"/>
    </row>
    <row r="292" spans="1:19" ht="16.95" customHeight="1" x14ac:dyDescent="0.3">
      <c r="N292" s="215" t="s">
        <v>395</v>
      </c>
      <c r="O292" s="172"/>
      <c r="P292" s="172"/>
      <c r="Q292" s="172"/>
      <c r="R292" s="172"/>
      <c r="S292" s="173"/>
    </row>
    <row r="293" spans="1:19" ht="16.95" customHeight="1" x14ac:dyDescent="0.3">
      <c r="A293" s="19" t="s">
        <v>278</v>
      </c>
      <c r="C293" s="19" t="s">
        <v>279</v>
      </c>
      <c r="D293" s="19" t="s">
        <v>280</v>
      </c>
      <c r="E293" s="19" t="s">
        <v>279</v>
      </c>
      <c r="F293" s="19" t="s">
        <v>280</v>
      </c>
      <c r="G293" s="19" t="s">
        <v>249</v>
      </c>
      <c r="N293" s="215" t="s">
        <v>396</v>
      </c>
      <c r="O293" s="172"/>
      <c r="P293" s="172"/>
      <c r="Q293" s="172"/>
      <c r="R293" s="172"/>
      <c r="S293" s="173"/>
    </row>
    <row r="294" spans="1:19" ht="16.95" customHeight="1" x14ac:dyDescent="0.3">
      <c r="C294" s="19" t="s">
        <v>282</v>
      </c>
      <c r="D294" s="19" t="s">
        <v>282</v>
      </c>
      <c r="E294" s="19" t="s">
        <v>283</v>
      </c>
      <c r="F294" s="19" t="s">
        <v>283</v>
      </c>
      <c r="N294" s="215" t="s">
        <v>397</v>
      </c>
      <c r="O294" s="172"/>
      <c r="P294" s="172"/>
      <c r="Q294" s="172"/>
      <c r="R294" s="172"/>
      <c r="S294" s="173"/>
    </row>
    <row r="295" spans="1:19" ht="16.95" customHeight="1" x14ac:dyDescent="0.3">
      <c r="A295" s="17">
        <f>N6</f>
        <v>63000</v>
      </c>
      <c r="C295" s="92">
        <f>-J6</f>
        <v>-1</v>
      </c>
      <c r="D295" s="92">
        <f>-K6</f>
        <v>0</v>
      </c>
      <c r="E295" s="92">
        <f>J6</f>
        <v>1</v>
      </c>
      <c r="F295" s="92">
        <f>K6</f>
        <v>0</v>
      </c>
      <c r="G295" s="96">
        <f>IFERROR(VLOOKUP(H295, A$279:D$288, 4, FALSE), 0)</f>
        <v>0</v>
      </c>
      <c r="H295" s="12" t="str">
        <f>"D" &amp; C17 &amp; "X"</f>
        <v>D1X</v>
      </c>
      <c r="N295" s="215" t="s">
        <v>398</v>
      </c>
      <c r="O295" s="172"/>
      <c r="P295" s="172"/>
      <c r="Q295" s="172"/>
      <c r="R295" s="172"/>
      <c r="S295" s="173"/>
    </row>
    <row r="296" spans="1:19" ht="16.95" customHeight="1" x14ac:dyDescent="0.3">
      <c r="A296" s="99" t="s">
        <v>285</v>
      </c>
      <c r="B296" s="97">
        <f>(MMULT(C295:F295, G295:G298)*A295)</f>
        <v>4255.0294693520545</v>
      </c>
      <c r="G296" s="96">
        <f>IFERROR(VLOOKUP(H296, A$279:D$288, 4, FALSE), 0)</f>
        <v>0</v>
      </c>
      <c r="H296" s="12" t="str">
        <f>"D" &amp; D17 &amp; "Y"</f>
        <v>D1Y</v>
      </c>
      <c r="N296" s="215" t="s">
        <v>399</v>
      </c>
      <c r="O296" s="172"/>
      <c r="P296" s="172"/>
      <c r="Q296" s="172"/>
      <c r="R296" s="172"/>
      <c r="S296" s="173"/>
    </row>
    <row r="297" spans="1:19" ht="16.95" customHeight="1" x14ac:dyDescent="0.3">
      <c r="G297" s="96">
        <f>IFERROR(VLOOKUP(H297, A$279:D$288, 4, FALSE), 0)</f>
        <v>6.7540150307175473E-2</v>
      </c>
      <c r="H297" s="12" t="str">
        <f>"D" &amp; E17 &amp; "X"</f>
        <v>D2X</v>
      </c>
      <c r="N297" s="215" t="s">
        <v>400</v>
      </c>
      <c r="O297" s="172"/>
      <c r="P297" s="172"/>
      <c r="Q297" s="172"/>
      <c r="R297" s="172"/>
      <c r="S297" s="173"/>
    </row>
    <row r="298" spans="1:19" ht="16.95" customHeight="1" x14ac:dyDescent="0.3">
      <c r="G298" s="96">
        <f>IFERROR(VLOOKUP(H298, A$279:D$288, 4, FALSE), 0)</f>
        <v>-0.30046763739809651</v>
      </c>
      <c r="H298" s="12" t="str">
        <f>"D" &amp; F17 &amp; "Y"</f>
        <v>D2Y</v>
      </c>
      <c r="N298" s="215" t="s">
        <v>401</v>
      </c>
      <c r="O298" s="172"/>
      <c r="P298" s="172"/>
      <c r="Q298" s="172"/>
      <c r="R298" s="172"/>
      <c r="S298" s="173"/>
    </row>
    <row r="299" spans="1:19" ht="16.95" customHeight="1" x14ac:dyDescent="0.3">
      <c r="B299" s="99" t="s">
        <v>273</v>
      </c>
      <c r="C299" s="178" t="str">
        <f>IF(B296&gt;0.001,"BARRA A TRACCIÓN (+)",IF(B296&lt;-0.001,"BARRA A COMPRESIÓN (-)","BARRA DE FUERZA NULA"))</f>
        <v>BARRA A TRACCIÓN (+)</v>
      </c>
      <c r="D299" s="172"/>
      <c r="E299" s="172"/>
      <c r="F299" s="173"/>
      <c r="N299" s="215" t="s">
        <v>402</v>
      </c>
      <c r="O299" s="172"/>
      <c r="P299" s="172"/>
      <c r="Q299" s="172"/>
      <c r="R299" s="172"/>
      <c r="S299" s="173"/>
    </row>
    <row r="300" spans="1:19" ht="16.95" customHeight="1" x14ac:dyDescent="0.3">
      <c r="N300" s="215" t="s">
        <v>403</v>
      </c>
      <c r="O300" s="172"/>
      <c r="P300" s="172"/>
      <c r="Q300" s="172"/>
      <c r="R300" s="172"/>
      <c r="S300" s="173"/>
    </row>
    <row r="301" spans="1:19" ht="16.95" customHeight="1" x14ac:dyDescent="0.3">
      <c r="A301" s="19" t="s">
        <v>278</v>
      </c>
      <c r="C301" s="19" t="s">
        <v>279</v>
      </c>
      <c r="D301" s="19" t="s">
        <v>280</v>
      </c>
      <c r="E301" s="19" t="s">
        <v>279</v>
      </c>
      <c r="F301" s="19" t="s">
        <v>280</v>
      </c>
      <c r="G301" s="19" t="s">
        <v>249</v>
      </c>
      <c r="N301" s="215"/>
      <c r="O301" s="172"/>
      <c r="P301" s="172"/>
      <c r="Q301" s="172"/>
      <c r="R301" s="172"/>
      <c r="S301" s="173"/>
    </row>
    <row r="302" spans="1:19" ht="16.95" customHeight="1" x14ac:dyDescent="0.3">
      <c r="C302" s="19" t="s">
        <v>282</v>
      </c>
      <c r="D302" s="19" t="s">
        <v>282</v>
      </c>
      <c r="E302" s="19" t="s">
        <v>283</v>
      </c>
      <c r="F302" s="19" t="s">
        <v>283</v>
      </c>
      <c r="N302" s="215"/>
      <c r="O302" s="172"/>
      <c r="P302" s="172"/>
      <c r="Q302" s="172"/>
      <c r="R302" s="172"/>
      <c r="S302" s="173"/>
    </row>
    <row r="303" spans="1:19" ht="16.95" customHeight="1" x14ac:dyDescent="0.3">
      <c r="A303" s="17">
        <f>N7</f>
        <v>63000</v>
      </c>
      <c r="C303" s="92">
        <f>-J7</f>
        <v>-1</v>
      </c>
      <c r="D303" s="92">
        <f>-K7</f>
        <v>0</v>
      </c>
      <c r="E303" s="92">
        <f>J7</f>
        <v>1</v>
      </c>
      <c r="F303" s="92">
        <f>K7</f>
        <v>0</v>
      </c>
      <c r="G303" s="96">
        <f>IFERROR(VLOOKUP(H303, A$279:D$288, 4, FALSE), 0)</f>
        <v>6.7540150307175473E-2</v>
      </c>
      <c r="H303" s="12" t="str">
        <f>"D" &amp; C18 &amp; "X"</f>
        <v>D2X</v>
      </c>
      <c r="N303" s="215"/>
      <c r="O303" s="172"/>
      <c r="P303" s="172"/>
      <c r="Q303" s="172"/>
      <c r="R303" s="172"/>
      <c r="S303" s="173"/>
    </row>
    <row r="304" spans="1:19" ht="16.95" customHeight="1" x14ac:dyDescent="0.3">
      <c r="A304" s="99" t="s">
        <v>286</v>
      </c>
      <c r="B304" s="97">
        <f>(MMULT(C303:F303, G303:G306)*A303)</f>
        <v>3333.3333333333348</v>
      </c>
      <c r="G304" s="96">
        <f>IFERROR(VLOOKUP(H304, A$279:D$288, 4, FALSE), 0)</f>
        <v>-0.30046763739809651</v>
      </c>
      <c r="H304" s="12" t="str">
        <f>"D" &amp; D18 &amp; "Y"</f>
        <v>D2Y</v>
      </c>
      <c r="N304" s="215"/>
      <c r="O304" s="172"/>
      <c r="P304" s="172"/>
      <c r="Q304" s="172"/>
      <c r="R304" s="172"/>
      <c r="S304" s="173"/>
    </row>
    <row r="305" spans="1:19" ht="16.95" customHeight="1" x14ac:dyDescent="0.3">
      <c r="G305" s="96">
        <f>IFERROR(VLOOKUP(H305, A$279:D$288, 4, FALSE), 0)</f>
        <v>0.12045020321722841</v>
      </c>
      <c r="H305" s="12" t="str">
        <f>"D" &amp; E18 &amp; "X"</f>
        <v>D3X</v>
      </c>
      <c r="N305" s="215"/>
      <c r="O305" s="172"/>
      <c r="P305" s="172"/>
      <c r="Q305" s="172"/>
      <c r="R305" s="172"/>
      <c r="S305" s="173"/>
    </row>
    <row r="306" spans="1:19" ht="16.95" customHeight="1" x14ac:dyDescent="0.3">
      <c r="G306" s="96">
        <f>IFERROR(VLOOKUP(H306, A$279:D$288, 4, FALSE), 0)</f>
        <v>0</v>
      </c>
      <c r="H306" s="12" t="str">
        <f>"D" &amp; F18 &amp; "Y"</f>
        <v>D3Y</v>
      </c>
      <c r="N306" s="215"/>
      <c r="O306" s="172"/>
      <c r="P306" s="172"/>
      <c r="Q306" s="172"/>
      <c r="R306" s="172"/>
      <c r="S306" s="173"/>
    </row>
    <row r="307" spans="1:19" ht="16.95" customHeight="1" x14ac:dyDescent="0.3">
      <c r="B307" s="99" t="s">
        <v>273</v>
      </c>
      <c r="C307" s="178" t="str">
        <f>IF(B304&gt;0.001,"BARRA A TRACCIÓN (+)",IF(B304&lt;-0.001,"BARRA A COMPRESIÓN (-)","BARRA DE FUERZA NULA"))</f>
        <v>BARRA A TRACCIÓN (+)</v>
      </c>
      <c r="D307" s="172"/>
      <c r="E307" s="172"/>
      <c r="F307" s="173"/>
      <c r="N307" s="215"/>
      <c r="O307" s="172"/>
      <c r="P307" s="172"/>
      <c r="Q307" s="172"/>
      <c r="R307" s="172"/>
      <c r="S307" s="173"/>
    </row>
    <row r="308" spans="1:19" ht="16.95" customHeight="1" x14ac:dyDescent="0.3">
      <c r="N308" s="215"/>
      <c r="O308" s="172"/>
      <c r="P308" s="172"/>
      <c r="Q308" s="172"/>
      <c r="R308" s="172"/>
      <c r="S308" s="173"/>
    </row>
    <row r="309" spans="1:19" ht="16.95" customHeight="1" x14ac:dyDescent="0.3">
      <c r="A309" s="19" t="s">
        <v>278</v>
      </c>
      <c r="C309" s="19" t="s">
        <v>279</v>
      </c>
      <c r="D309" s="19" t="s">
        <v>280</v>
      </c>
      <c r="E309" s="19" t="s">
        <v>279</v>
      </c>
      <c r="F309" s="19" t="s">
        <v>280</v>
      </c>
      <c r="G309" s="19" t="s">
        <v>249</v>
      </c>
      <c r="N309" s="215"/>
      <c r="O309" s="172"/>
      <c r="P309" s="172"/>
      <c r="Q309" s="172"/>
      <c r="R309" s="172"/>
      <c r="S309" s="173"/>
    </row>
    <row r="310" spans="1:19" ht="16.95" customHeight="1" x14ac:dyDescent="0.3">
      <c r="C310" s="19" t="s">
        <v>282</v>
      </c>
      <c r="D310" s="19" t="s">
        <v>282</v>
      </c>
      <c r="E310" s="19" t="s">
        <v>283</v>
      </c>
      <c r="F310" s="19" t="s">
        <v>283</v>
      </c>
      <c r="N310" s="215"/>
      <c r="O310" s="172"/>
      <c r="P310" s="172"/>
      <c r="Q310" s="172"/>
      <c r="R310" s="172"/>
      <c r="S310" s="173"/>
    </row>
    <row r="311" spans="1:19" ht="16.95" customHeight="1" x14ac:dyDescent="0.3">
      <c r="A311" s="17">
        <f>N8</f>
        <v>69892.224724378873</v>
      </c>
      <c r="C311" s="92">
        <f>-J8</f>
        <v>-0.55470019622522915</v>
      </c>
      <c r="D311" s="92">
        <f>-K8</f>
        <v>-0.83205029433784372</v>
      </c>
      <c r="E311" s="92">
        <f>J8</f>
        <v>0.55470019622522915</v>
      </c>
      <c r="F311" s="92">
        <f>K8</f>
        <v>0.83205029433784372</v>
      </c>
      <c r="G311" s="96">
        <f>IFERROR(VLOOKUP(H311, A$279:D$288, 4, FALSE), 0)</f>
        <v>0</v>
      </c>
      <c r="H311" s="12" t="str">
        <f>"D" &amp; C19 &amp; "X"</f>
        <v>D1X</v>
      </c>
      <c r="N311" s="215"/>
      <c r="O311" s="172"/>
      <c r="P311" s="172"/>
      <c r="Q311" s="172"/>
      <c r="R311" s="172"/>
      <c r="S311" s="173"/>
    </row>
    <row r="312" spans="1:19" ht="16.95" customHeight="1" x14ac:dyDescent="0.3">
      <c r="A312" s="99" t="s">
        <v>287</v>
      </c>
      <c r="B312" s="97">
        <f>(MMULT(C311:F311, G311:G314)*A311)</f>
        <v>-5178.4464560701808</v>
      </c>
      <c r="G312" s="96">
        <f>IFERROR(VLOOKUP(H312, A$279:D$288, 4, FALSE), 0)</f>
        <v>0</v>
      </c>
      <c r="H312" s="12" t="str">
        <f>"D" &amp; D19 &amp; "Y"</f>
        <v>D1Y</v>
      </c>
      <c r="N312" s="215"/>
      <c r="O312" s="172"/>
      <c r="P312" s="172"/>
      <c r="Q312" s="172"/>
      <c r="R312" s="172"/>
      <c r="S312" s="173"/>
    </row>
    <row r="313" spans="1:19" ht="16.95" customHeight="1" x14ac:dyDescent="0.3">
      <c r="G313" s="96">
        <f>IFERROR(VLOOKUP(H313, A$279:D$288, 4, FALSE), 0)</f>
        <v>0.12554976366066731</v>
      </c>
      <c r="H313" s="12" t="str">
        <f>"D" &amp; E19 &amp; "X"</f>
        <v>D4X</v>
      </c>
      <c r="N313" s="215"/>
      <c r="O313" s="172"/>
      <c r="P313" s="172"/>
      <c r="Q313" s="172"/>
      <c r="R313" s="172"/>
      <c r="S313" s="173"/>
    </row>
    <row r="314" spans="1:19" ht="16.95" customHeight="1" x14ac:dyDescent="0.3">
      <c r="G314" s="96">
        <f>IFERROR(VLOOKUP(H314, A$279:D$288, 4, FALSE), 0)</f>
        <v>-0.17274720213477338</v>
      </c>
      <c r="H314" s="12" t="str">
        <f>"D" &amp; F19 &amp; "Y"</f>
        <v>D4Y</v>
      </c>
      <c r="N314" s="215"/>
      <c r="O314" s="172"/>
      <c r="P314" s="172"/>
      <c r="Q314" s="172"/>
      <c r="R314" s="172"/>
      <c r="S314" s="173"/>
    </row>
    <row r="315" spans="1:19" ht="16.95" customHeight="1" x14ac:dyDescent="0.3">
      <c r="B315" s="99" t="s">
        <v>273</v>
      </c>
      <c r="C315" s="178" t="str">
        <f>IF(B312&gt;0.001,"BARRA A TRACCIÓN (+)",IF(B312&lt;-0.001,"BARRA A COMPRESIÓN (-)","BARRA DE FUERZA NULA"))</f>
        <v>BARRA A COMPRESIÓN (-)</v>
      </c>
      <c r="D315" s="172"/>
      <c r="E315" s="172"/>
      <c r="F315" s="173"/>
      <c r="N315" s="215"/>
      <c r="O315" s="172"/>
      <c r="P315" s="172"/>
      <c r="Q315" s="172"/>
      <c r="R315" s="172"/>
      <c r="S315" s="173"/>
    </row>
    <row r="316" spans="1:19" ht="16.95" customHeight="1" x14ac:dyDescent="0.3">
      <c r="N316" s="215"/>
      <c r="O316" s="172"/>
      <c r="P316" s="172"/>
      <c r="Q316" s="172"/>
      <c r="R316" s="172"/>
      <c r="S316" s="173"/>
    </row>
    <row r="317" spans="1:19" ht="18" customHeight="1" x14ac:dyDescent="0.3">
      <c r="A317" s="19" t="s">
        <v>278</v>
      </c>
      <c r="C317" s="19" t="s">
        <v>279</v>
      </c>
      <c r="D317" s="19" t="s">
        <v>280</v>
      </c>
      <c r="E317" s="19" t="s">
        <v>279</v>
      </c>
      <c r="F317" s="19" t="s">
        <v>280</v>
      </c>
      <c r="G317" s="19" t="s">
        <v>249</v>
      </c>
    </row>
    <row r="318" spans="1:19" ht="16.05" customHeight="1" x14ac:dyDescent="0.3">
      <c r="C318" s="19" t="s">
        <v>282</v>
      </c>
      <c r="D318" s="19" t="s">
        <v>282</v>
      </c>
      <c r="E318" s="19" t="s">
        <v>283</v>
      </c>
      <c r="F318" s="19" t="s">
        <v>283</v>
      </c>
    </row>
    <row r="319" spans="1:19" ht="19.95" customHeight="1" x14ac:dyDescent="0.3">
      <c r="A319" s="17">
        <f>N9</f>
        <v>69892.224724378873</v>
      </c>
      <c r="C319" s="92">
        <f>-J9</f>
        <v>-0.55470019622522915</v>
      </c>
      <c r="D319" s="92">
        <f>-K9</f>
        <v>0.83205029433784372</v>
      </c>
      <c r="E319" s="92">
        <f>J9</f>
        <v>0.55470019622522915</v>
      </c>
      <c r="F319" s="92">
        <f>K9</f>
        <v>-0.83205029433784372</v>
      </c>
      <c r="G319" s="96">
        <f>IFERROR(VLOOKUP(H319, A$279:D$288, 4, FALSE), 0)</f>
        <v>0.12554976366066731</v>
      </c>
      <c r="H319" s="12" t="str">
        <f>"D" &amp; C20 &amp; "X"</f>
        <v>D4X</v>
      </c>
    </row>
    <row r="320" spans="1:19" ht="19.95" customHeight="1" x14ac:dyDescent="0.3">
      <c r="A320" s="99" t="s">
        <v>288</v>
      </c>
      <c r="B320" s="97">
        <f>(MMULT(C319:F319, G319:G322)*A319)</f>
        <v>5178.446456070189</v>
      </c>
      <c r="G320" s="96">
        <f>IFERROR(VLOOKUP(H320, A$279:D$288, 4, FALSE), 0)</f>
        <v>-0.17274720213477338</v>
      </c>
      <c r="H320" s="12" t="str">
        <f>"D" &amp; D20 &amp; "Y"</f>
        <v>D4Y</v>
      </c>
    </row>
    <row r="321" spans="1:8" ht="19.95" customHeight="1" x14ac:dyDescent="0.3">
      <c r="G321" s="96">
        <f>IFERROR(VLOOKUP(H321, A$279:D$288, 4, FALSE), 0)</f>
        <v>6.7540150307175473E-2</v>
      </c>
      <c r="H321" s="12" t="str">
        <f>"D" &amp; E20 &amp; "X"</f>
        <v>D2X</v>
      </c>
    </row>
    <row r="322" spans="1:8" ht="19.95" customHeight="1" x14ac:dyDescent="0.3">
      <c r="G322" s="96">
        <f>IFERROR(VLOOKUP(H322, A$279:D$288, 4, FALSE), 0)</f>
        <v>-0.30046763739809651</v>
      </c>
      <c r="H322" s="12" t="str">
        <f>"D" &amp; F20 &amp; "Y"</f>
        <v>D2Y</v>
      </c>
    </row>
    <row r="323" spans="1:8" ht="19.95" customHeight="1" x14ac:dyDescent="0.3">
      <c r="B323" s="99" t="s">
        <v>273</v>
      </c>
      <c r="C323" s="178" t="str">
        <f>IF(B320&gt;0.001,"BARRA A TRACCIÓN (+)",IF(B320&lt;-0.001,"BARRA A COMPRESIÓN (-)","BARRA DE FUERZA NULA"))</f>
        <v>BARRA A TRACCIÓN (+)</v>
      </c>
      <c r="D323" s="172"/>
      <c r="E323" s="172"/>
      <c r="F323" s="173"/>
    </row>
    <row r="325" spans="1:8" ht="18" customHeight="1" x14ac:dyDescent="0.3">
      <c r="A325" s="19" t="s">
        <v>278</v>
      </c>
      <c r="C325" s="19" t="s">
        <v>279</v>
      </c>
      <c r="D325" s="19" t="s">
        <v>280</v>
      </c>
      <c r="E325" s="19" t="s">
        <v>279</v>
      </c>
      <c r="F325" s="19" t="s">
        <v>280</v>
      </c>
      <c r="G325" s="19" t="s">
        <v>249</v>
      </c>
    </row>
    <row r="326" spans="1:8" ht="16.05" customHeight="1" x14ac:dyDescent="0.3">
      <c r="C326" s="19" t="s">
        <v>282</v>
      </c>
      <c r="D326" s="19" t="s">
        <v>282</v>
      </c>
      <c r="E326" s="19" t="s">
        <v>283</v>
      </c>
      <c r="F326" s="19" t="s">
        <v>283</v>
      </c>
    </row>
    <row r="327" spans="1:8" ht="19.95" customHeight="1" x14ac:dyDescent="0.3">
      <c r="A327" s="17">
        <f>N10</f>
        <v>63000</v>
      </c>
      <c r="C327" s="92">
        <f>-J10</f>
        <v>-1</v>
      </c>
      <c r="D327" s="92">
        <f>-K10</f>
        <v>0</v>
      </c>
      <c r="E327" s="92">
        <f>J10</f>
        <v>1</v>
      </c>
      <c r="F327" s="92">
        <f>K10</f>
        <v>0</v>
      </c>
      <c r="G327" s="96">
        <f>IFERROR(VLOOKUP(H327, A$279:D$288, 4, FALSE), 0)</f>
        <v>0.12554976366066731</v>
      </c>
      <c r="H327" s="12" t="str">
        <f>"D" &amp; C21 &amp; "X"</f>
        <v>D4X</v>
      </c>
    </row>
    <row r="328" spans="1:8" ht="19.95" customHeight="1" x14ac:dyDescent="0.3">
      <c r="A328" s="99" t="s">
        <v>289</v>
      </c>
      <c r="B328" s="97">
        <f>(MMULT(C327:F327, G327:G330)*A327)</f>
        <v>-5744.9705306479464</v>
      </c>
      <c r="G328" s="96">
        <f>IFERROR(VLOOKUP(H328, A$279:D$288, 4, FALSE), 0)</f>
        <v>-0.17274720213477338</v>
      </c>
      <c r="H328" s="12" t="str">
        <f>"D" &amp; D21 &amp; "Y"</f>
        <v>D4Y</v>
      </c>
    </row>
    <row r="329" spans="1:8" ht="19.95" customHeight="1" x14ac:dyDescent="0.3">
      <c r="G329" s="96">
        <f>IFERROR(VLOOKUP(H329, A$279:D$288, 4, FALSE), 0)</f>
        <v>3.4359755237684024E-2</v>
      </c>
      <c r="H329" s="12" t="str">
        <f>"D" &amp; E21 &amp; "X"</f>
        <v>D5X</v>
      </c>
    </row>
    <row r="330" spans="1:8" ht="19.95" customHeight="1" x14ac:dyDescent="0.3">
      <c r="G330" s="96">
        <f>IFERROR(VLOOKUP(H330, A$279:D$288, 4, FALSE), 0)</f>
        <v>-0.16072733256183</v>
      </c>
      <c r="H330" s="12" t="str">
        <f>"D" &amp; F21 &amp; "Y"</f>
        <v>D5Y</v>
      </c>
    </row>
    <row r="331" spans="1:8" ht="19.95" customHeight="1" x14ac:dyDescent="0.3">
      <c r="B331" s="99" t="s">
        <v>273</v>
      </c>
      <c r="C331" s="178" t="str">
        <f>IF(B328&gt;0.001,"BARRA A TRACCIÓN (+)",IF(B328&lt;-0.001,"BARRA A COMPRESIÓN (-)","BARRA DE FUERZA NULA"))</f>
        <v>BARRA A COMPRESIÓN (-)</v>
      </c>
      <c r="D331" s="172"/>
      <c r="E331" s="172"/>
      <c r="F331" s="173"/>
    </row>
    <row r="333" spans="1:8" ht="18" customHeight="1" x14ac:dyDescent="0.3">
      <c r="A333" s="19" t="s">
        <v>278</v>
      </c>
      <c r="C333" s="19" t="s">
        <v>279</v>
      </c>
      <c r="D333" s="19" t="s">
        <v>280</v>
      </c>
      <c r="E333" s="19" t="s">
        <v>279</v>
      </c>
      <c r="F333" s="19" t="s">
        <v>280</v>
      </c>
      <c r="G333" s="19" t="s">
        <v>249</v>
      </c>
    </row>
    <row r="334" spans="1:8" ht="16.05" customHeight="1" x14ac:dyDescent="0.3">
      <c r="C334" s="19" t="s">
        <v>282</v>
      </c>
      <c r="D334" s="19" t="s">
        <v>282</v>
      </c>
      <c r="E334" s="19" t="s">
        <v>283</v>
      </c>
      <c r="F334" s="19" t="s">
        <v>283</v>
      </c>
    </row>
    <row r="335" spans="1:8" ht="19.95" customHeight="1" x14ac:dyDescent="0.3">
      <c r="A335" s="17">
        <f>N11</f>
        <v>69892.224724378873</v>
      </c>
      <c r="C335" s="92">
        <f>-J11</f>
        <v>-0.55470019622522915</v>
      </c>
      <c r="D335" s="92">
        <f>-K11</f>
        <v>-0.83205029433784372</v>
      </c>
      <c r="E335" s="92">
        <f>J11</f>
        <v>0.55470019622522915</v>
      </c>
      <c r="F335" s="92">
        <f>K11</f>
        <v>0.83205029433784372</v>
      </c>
      <c r="G335" s="96">
        <f>IFERROR(VLOOKUP(H335, A$279:D$288, 4, FALSE), 0)</f>
        <v>6.7540150307175473E-2</v>
      </c>
      <c r="H335" s="12" t="str">
        <f>"D" &amp; C22 &amp; "X"</f>
        <v>D2X</v>
      </c>
    </row>
    <row r="336" spans="1:8" ht="19.95" customHeight="1" x14ac:dyDescent="0.3">
      <c r="A336" s="99" t="s">
        <v>290</v>
      </c>
      <c r="B336" s="97">
        <f>(MMULT(C335:F335, G335:G338)*A335)</f>
        <v>6840.0577954764476</v>
      </c>
      <c r="G336" s="96">
        <f>IFERROR(VLOOKUP(H336, A$279:D$288, 4, FALSE), 0)</f>
        <v>-0.30046763739809651</v>
      </c>
      <c r="H336" s="12" t="str">
        <f>"D" &amp; D22 &amp; "Y"</f>
        <v>D2Y</v>
      </c>
    </row>
    <row r="337" spans="1:8" ht="19.95" customHeight="1" x14ac:dyDescent="0.3">
      <c r="G337" s="96">
        <f>IFERROR(VLOOKUP(H337, A$279:D$288, 4, FALSE), 0)</f>
        <v>3.4359755237684024E-2</v>
      </c>
      <c r="H337" s="12" t="str">
        <f>"D" &amp; E22 &amp; "X"</f>
        <v>D5X</v>
      </c>
    </row>
    <row r="338" spans="1:8" ht="19.95" customHeight="1" x14ac:dyDescent="0.3">
      <c r="G338" s="96">
        <f>IFERROR(VLOOKUP(H338, A$279:D$288, 4, FALSE), 0)</f>
        <v>-0.16072733256183</v>
      </c>
      <c r="H338" s="12" t="str">
        <f>"D" &amp; F22 &amp; "Y"</f>
        <v>D5Y</v>
      </c>
    </row>
    <row r="339" spans="1:8" ht="19.95" customHeight="1" x14ac:dyDescent="0.3">
      <c r="B339" s="99" t="s">
        <v>273</v>
      </c>
      <c r="C339" s="178" t="str">
        <f>IF(B336&gt;0.001,"BARRA A TRACCIÓN (+)",IF(B336&lt;-0.001,"BARRA A COMPRESIÓN (-)","BARRA DE FUERZA NULA"))</f>
        <v>BARRA A TRACCIÓN (+)</v>
      </c>
      <c r="D339" s="172"/>
      <c r="E339" s="172"/>
      <c r="F339" s="173"/>
    </row>
    <row r="341" spans="1:8" ht="18" customHeight="1" x14ac:dyDescent="0.3">
      <c r="A341" s="19" t="s">
        <v>278</v>
      </c>
      <c r="C341" s="19" t="s">
        <v>279</v>
      </c>
      <c r="D341" s="19" t="s">
        <v>280</v>
      </c>
      <c r="E341" s="19" t="s">
        <v>279</v>
      </c>
      <c r="F341" s="19" t="s">
        <v>280</v>
      </c>
      <c r="G341" s="19" t="s">
        <v>249</v>
      </c>
    </row>
    <row r="342" spans="1:8" ht="16.05" customHeight="1" x14ac:dyDescent="0.3">
      <c r="C342" s="19" t="s">
        <v>282</v>
      </c>
      <c r="D342" s="19" t="s">
        <v>282</v>
      </c>
      <c r="E342" s="19" t="s">
        <v>283</v>
      </c>
      <c r="F342" s="19" t="s">
        <v>283</v>
      </c>
    </row>
    <row r="343" spans="1:8" ht="19.95" customHeight="1" x14ac:dyDescent="0.3">
      <c r="A343" s="17">
        <f>N12</f>
        <v>69892.224724378873</v>
      </c>
      <c r="C343" s="92">
        <f>-J12</f>
        <v>-0.55470019622522915</v>
      </c>
      <c r="D343" s="92">
        <f>-K12</f>
        <v>0.83205029433784372</v>
      </c>
      <c r="E343" s="92">
        <f>J12</f>
        <v>0.55470019622522915</v>
      </c>
      <c r="F343" s="92">
        <f>K12</f>
        <v>-0.83205029433784372</v>
      </c>
      <c r="G343" s="96">
        <f>IFERROR(VLOOKUP(H343, A$279:D$288, 4, FALSE), 0)</f>
        <v>3.4359755237684024E-2</v>
      </c>
      <c r="H343" s="12" t="str">
        <f>"D" &amp; C23 &amp; "X"</f>
        <v>D5X</v>
      </c>
    </row>
    <row r="344" spans="1:8" ht="19.95" customHeight="1" x14ac:dyDescent="0.3">
      <c r="A344" s="99" t="s">
        <v>291</v>
      </c>
      <c r="B344" s="97">
        <f>(MMULT(C343:F343, G343:G346)*A343)</f>
        <v>-6009.2521257733151</v>
      </c>
      <c r="G344" s="96">
        <f>IFERROR(VLOOKUP(H344, A$279:D$288, 4, FALSE), 0)</f>
        <v>-0.16072733256183</v>
      </c>
      <c r="H344" s="12" t="str">
        <f>"D" &amp; D23 &amp; "Y"</f>
        <v>D5Y</v>
      </c>
    </row>
    <row r="345" spans="1:8" ht="19.95" customHeight="1" x14ac:dyDescent="0.3">
      <c r="G345" s="96">
        <f>IFERROR(VLOOKUP(H345, A$279:D$288, 4, FALSE), 0)</f>
        <v>0.12045020321722841</v>
      </c>
      <c r="H345" s="12" t="str">
        <f>"D" &amp; E23 &amp; "X"</f>
        <v>D3X</v>
      </c>
    </row>
    <row r="346" spans="1:8" ht="19.95" customHeight="1" x14ac:dyDescent="0.3">
      <c r="G346" s="96">
        <f>IFERROR(VLOOKUP(H346, A$279:D$288, 4, FALSE), 0)</f>
        <v>0</v>
      </c>
      <c r="H346" s="12" t="str">
        <f>"D" &amp; F23 &amp; "Y"</f>
        <v>D3Y</v>
      </c>
    </row>
    <row r="347" spans="1:8" ht="19.95" customHeight="1" x14ac:dyDescent="0.3">
      <c r="B347" s="99" t="s">
        <v>273</v>
      </c>
      <c r="C347" s="178" t="str">
        <f>IF(B344&gt;0.001,"BARRA A TRACCIÓN (+)",IF(B344&lt;-0.001,"BARRA A COMPRESIÓN (-)","BARRA DE FUERZA NULA"))</f>
        <v>BARRA A COMPRESIÓN (-)</v>
      </c>
      <c r="D347" s="172"/>
      <c r="E347" s="172"/>
      <c r="F347" s="173"/>
    </row>
    <row r="349" spans="1:8" ht="18" customHeight="1" x14ac:dyDescent="0.3">
      <c r="A349" s="19" t="s">
        <v>278</v>
      </c>
      <c r="C349" s="19" t="s">
        <v>279</v>
      </c>
      <c r="D349" s="19" t="s">
        <v>280</v>
      </c>
      <c r="E349" s="19" t="s">
        <v>279</v>
      </c>
      <c r="F349" s="19" t="s">
        <v>280</v>
      </c>
      <c r="G349" s="19" t="s">
        <v>249</v>
      </c>
    </row>
    <row r="350" spans="1:8" ht="16.05" customHeight="1" x14ac:dyDescent="0.3">
      <c r="C350" s="19" t="s">
        <v>282</v>
      </c>
      <c r="D350" s="19" t="s">
        <v>282</v>
      </c>
      <c r="E350" s="19" t="s">
        <v>283</v>
      </c>
      <c r="F350" s="19" t="s">
        <v>283</v>
      </c>
    </row>
    <row r="351" spans="1:8" ht="19.95" customHeight="1" x14ac:dyDescent="0.3">
      <c r="A351" s="17">
        <f>N13</f>
        <v>37565.942021996467</v>
      </c>
      <c r="C351" s="92">
        <f>-J13</f>
        <v>-0.89442719099991586</v>
      </c>
      <c r="D351" s="92">
        <f>-K13</f>
        <v>-0.44721359549995793</v>
      </c>
      <c r="E351" s="92">
        <f>J13</f>
        <v>0.89442719099991586</v>
      </c>
      <c r="F351" s="92">
        <f>K13</f>
        <v>0.44721359549995793</v>
      </c>
      <c r="G351" s="96">
        <f>IFERROR(VLOOKUP(H351, A$279:D$288, 4, FALSE), 0)</f>
        <v>0</v>
      </c>
      <c r="H351" s="12" t="str">
        <f>"D" &amp; C24 &amp; "X"</f>
        <v>D1X</v>
      </c>
    </row>
    <row r="352" spans="1:8" ht="19.95" customHeight="1" x14ac:dyDescent="0.3">
      <c r="A352" s="99" t="s">
        <v>292</v>
      </c>
      <c r="B352" s="97">
        <f>(MMULT(C351:F351, G351:G354)*A351)</f>
        <v>-1545.7314110525608</v>
      </c>
      <c r="G352" s="96">
        <f>IFERROR(VLOOKUP(H352, A$279:D$288, 4, FALSE), 0)</f>
        <v>0</v>
      </c>
      <c r="H352" s="12" t="str">
        <f>"D" &amp; D24 &amp; "Y"</f>
        <v>D1Y</v>
      </c>
    </row>
    <row r="353" spans="2:8" ht="19.95" customHeight="1" x14ac:dyDescent="0.3">
      <c r="G353" s="96">
        <f>IFERROR(VLOOKUP(H353, A$279:D$288, 4, FALSE), 0)</f>
        <v>3.4359755237684024E-2</v>
      </c>
      <c r="H353" s="12" t="str">
        <f>"D" &amp; E24 &amp; "X"</f>
        <v>D5X</v>
      </c>
    </row>
    <row r="354" spans="2:8" ht="19.95" customHeight="1" x14ac:dyDescent="0.3">
      <c r="G354" s="96">
        <f>IFERROR(VLOOKUP(H354, A$279:D$288, 4, FALSE), 0)</f>
        <v>-0.16072733256183</v>
      </c>
      <c r="H354" s="12" t="str">
        <f>"D" &amp; F24 &amp; "Y"</f>
        <v>D5Y</v>
      </c>
    </row>
    <row r="355" spans="2:8" ht="19.95" customHeight="1" x14ac:dyDescent="0.3">
      <c r="B355" s="99" t="s">
        <v>273</v>
      </c>
      <c r="C355" s="178" t="str">
        <f>IF(B352&gt;0.001,"BARRA A TRACCIÓN (+)",IF(B352&lt;-0.001,"BARRA A COMPRESIÓN (-)","BARRA DE FUERZA NULA"))</f>
        <v>BARRA A COMPRESIÓN (-)</v>
      </c>
      <c r="D355" s="172"/>
      <c r="E355" s="172"/>
      <c r="F355" s="173"/>
    </row>
    <row r="358" spans="2:8" ht="22.05" customHeight="1" x14ac:dyDescent="0.3">
      <c r="B358" s="217" t="s">
        <v>404</v>
      </c>
      <c r="C358" s="175"/>
      <c r="D358" s="175"/>
      <c r="E358" s="175"/>
      <c r="F358" s="175"/>
      <c r="G358" s="175"/>
      <c r="H358" s="175"/>
    </row>
    <row r="359" spans="2:8" ht="24" customHeight="1" x14ac:dyDescent="0.3">
      <c r="B359" s="87" t="s">
        <v>294</v>
      </c>
      <c r="C359" s="87" t="s">
        <v>295</v>
      </c>
      <c r="D359" s="87" t="s">
        <v>296</v>
      </c>
      <c r="E359" s="87" t="s">
        <v>297</v>
      </c>
      <c r="F359" s="87" t="s">
        <v>298</v>
      </c>
      <c r="G359" s="87" t="s">
        <v>299</v>
      </c>
      <c r="H359" s="87" t="s">
        <v>300</v>
      </c>
    </row>
    <row r="360" spans="2:8" ht="19.95" customHeight="1" x14ac:dyDescent="0.3">
      <c r="B360" s="85">
        <v>1</v>
      </c>
      <c r="C360" s="86">
        <f t="shared" ref="C360:C367" si="42">C17</f>
        <v>1</v>
      </c>
      <c r="D360" s="86">
        <f t="shared" ref="D360:D367" si="43">E17</f>
        <v>2</v>
      </c>
      <c r="E360" s="9">
        <f t="shared" ref="E360:E367" si="44">I6</f>
        <v>400</v>
      </c>
      <c r="F360" s="9">
        <f t="shared" ref="F360:F367" si="45">L6</f>
        <v>12</v>
      </c>
      <c r="G360" s="97">
        <f>B296</f>
        <v>4255.0294693520545</v>
      </c>
      <c r="H360" s="84" t="str">
        <f>C299</f>
        <v>BARRA A TRACCIÓN (+)</v>
      </c>
    </row>
    <row r="361" spans="2:8" ht="19.95" customHeight="1" x14ac:dyDescent="0.3">
      <c r="B361" s="25">
        <v>2</v>
      </c>
      <c r="C361" s="86">
        <f t="shared" si="42"/>
        <v>2</v>
      </c>
      <c r="D361" s="86">
        <f t="shared" si="43"/>
        <v>3</v>
      </c>
      <c r="E361" s="9">
        <f t="shared" si="44"/>
        <v>400</v>
      </c>
      <c r="F361" s="9">
        <f t="shared" si="45"/>
        <v>12</v>
      </c>
      <c r="G361" s="97">
        <f>B304</f>
        <v>3333.3333333333348</v>
      </c>
      <c r="H361" s="84" t="str">
        <f>C307</f>
        <v>BARRA A TRACCIÓN (+)</v>
      </c>
    </row>
    <row r="362" spans="2:8" ht="19.95" customHeight="1" x14ac:dyDescent="0.3">
      <c r="B362" s="26">
        <v>3</v>
      </c>
      <c r="C362" s="86">
        <f t="shared" si="42"/>
        <v>1</v>
      </c>
      <c r="D362" s="86">
        <f t="shared" si="43"/>
        <v>4</v>
      </c>
      <c r="E362" s="9">
        <f t="shared" si="44"/>
        <v>360.55512754639892</v>
      </c>
      <c r="F362" s="9">
        <f t="shared" si="45"/>
        <v>12</v>
      </c>
      <c r="G362" s="97">
        <f>B312</f>
        <v>-5178.4464560701808</v>
      </c>
      <c r="H362" s="84" t="str">
        <f>C315</f>
        <v>BARRA A COMPRESIÓN (-)</v>
      </c>
    </row>
    <row r="363" spans="2:8" ht="19.95" customHeight="1" x14ac:dyDescent="0.3">
      <c r="B363" s="43">
        <v>4</v>
      </c>
      <c r="C363" s="86">
        <f t="shared" si="42"/>
        <v>4</v>
      </c>
      <c r="D363" s="86">
        <f t="shared" si="43"/>
        <v>2</v>
      </c>
      <c r="E363" s="9">
        <f t="shared" si="44"/>
        <v>360.55512754639892</v>
      </c>
      <c r="F363" s="9">
        <f t="shared" si="45"/>
        <v>12</v>
      </c>
      <c r="G363" s="97">
        <f>B320</f>
        <v>5178.446456070189</v>
      </c>
      <c r="H363" s="84" t="str">
        <f>C323</f>
        <v>BARRA A TRACCIÓN (+)</v>
      </c>
    </row>
    <row r="364" spans="2:8" ht="19.95" customHeight="1" x14ac:dyDescent="0.3">
      <c r="B364" s="44">
        <v>5</v>
      </c>
      <c r="C364" s="86">
        <f t="shared" si="42"/>
        <v>4</v>
      </c>
      <c r="D364" s="86">
        <f t="shared" si="43"/>
        <v>5</v>
      </c>
      <c r="E364" s="9">
        <f t="shared" si="44"/>
        <v>400</v>
      </c>
      <c r="F364" s="9">
        <f t="shared" si="45"/>
        <v>12</v>
      </c>
      <c r="G364" s="97">
        <f>B328</f>
        <v>-5744.9705306479464</v>
      </c>
      <c r="H364" s="84" t="str">
        <f>C331</f>
        <v>BARRA A COMPRESIÓN (-)</v>
      </c>
    </row>
    <row r="365" spans="2:8" ht="19.95" customHeight="1" x14ac:dyDescent="0.3">
      <c r="B365" s="51">
        <v>6</v>
      </c>
      <c r="C365" s="86">
        <f t="shared" si="42"/>
        <v>2</v>
      </c>
      <c r="D365" s="86">
        <f t="shared" si="43"/>
        <v>5</v>
      </c>
      <c r="E365" s="9">
        <f t="shared" si="44"/>
        <v>360.55512754639892</v>
      </c>
      <c r="F365" s="9">
        <f t="shared" si="45"/>
        <v>12</v>
      </c>
      <c r="G365" s="97">
        <f>B336</f>
        <v>6840.0577954764476</v>
      </c>
      <c r="H365" s="84" t="str">
        <f>C339</f>
        <v>BARRA A TRACCIÓN (+)</v>
      </c>
    </row>
    <row r="366" spans="2:8" ht="19.95" customHeight="1" x14ac:dyDescent="0.3">
      <c r="B366" s="52">
        <v>7</v>
      </c>
      <c r="C366" s="86">
        <f t="shared" si="42"/>
        <v>5</v>
      </c>
      <c r="D366" s="86">
        <f t="shared" si="43"/>
        <v>3</v>
      </c>
      <c r="E366" s="9">
        <f t="shared" si="44"/>
        <v>360.55512754639892</v>
      </c>
      <c r="F366" s="9">
        <f t="shared" si="45"/>
        <v>12</v>
      </c>
      <c r="G366" s="97">
        <f>B344</f>
        <v>-6009.2521257733151</v>
      </c>
      <c r="H366" s="84" t="str">
        <f>C347</f>
        <v>BARRA A COMPRESIÓN (-)</v>
      </c>
    </row>
    <row r="367" spans="2:8" ht="19.95" customHeight="1" x14ac:dyDescent="0.3">
      <c r="B367" s="59">
        <v>8</v>
      </c>
      <c r="C367" s="86">
        <f t="shared" si="42"/>
        <v>1</v>
      </c>
      <c r="D367" s="86">
        <f t="shared" si="43"/>
        <v>5</v>
      </c>
      <c r="E367" s="9">
        <f t="shared" si="44"/>
        <v>670.82039324993696</v>
      </c>
      <c r="F367" s="9">
        <f t="shared" si="45"/>
        <v>12</v>
      </c>
      <c r="G367" s="97">
        <f>B352</f>
        <v>-1545.7314110525608</v>
      </c>
      <c r="H367" s="84" t="str">
        <f>C355</f>
        <v>BARRA A COMPRESIÓN (-)</v>
      </c>
    </row>
  </sheetData>
  <mergeCells count="135">
    <mergeCell ref="H4:H5"/>
    <mergeCell ref="N239:S239"/>
    <mergeCell ref="N236:S236"/>
    <mergeCell ref="N223:S223"/>
    <mergeCell ref="N232:S232"/>
    <mergeCell ref="E15:F15"/>
    <mergeCell ref="K4:K5"/>
    <mergeCell ref="J4:J5"/>
    <mergeCell ref="N293:S293"/>
    <mergeCell ref="L4:L5"/>
    <mergeCell ref="N195:S195"/>
    <mergeCell ref="N201:S201"/>
    <mergeCell ref="N197:S197"/>
    <mergeCell ref="N259:S259"/>
    <mergeCell ref="N245:S245"/>
    <mergeCell ref="N308:S308"/>
    <mergeCell ref="N220:S220"/>
    <mergeCell ref="N237:S237"/>
    <mergeCell ref="N221:S221"/>
    <mergeCell ref="N203:S203"/>
    <mergeCell ref="N301:S301"/>
    <mergeCell ref="B358:H358"/>
    <mergeCell ref="N204:S204"/>
    <mergeCell ref="N256:S256"/>
    <mergeCell ref="N213:S213"/>
    <mergeCell ref="N271:S271"/>
    <mergeCell ref="C242:I242"/>
    <mergeCell ref="N312:S312"/>
    <mergeCell ref="N208:S208"/>
    <mergeCell ref="N217:S217"/>
    <mergeCell ref="N269:S269"/>
    <mergeCell ref="N316:S316"/>
    <mergeCell ref="N250:S250"/>
    <mergeCell ref="N310:S310"/>
    <mergeCell ref="N206:S206"/>
    <mergeCell ref="N307:S307"/>
    <mergeCell ref="N294:S294"/>
    <mergeCell ref="N244:S244"/>
    <mergeCell ref="C339:F339"/>
    <mergeCell ref="C323:F323"/>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309:S309"/>
    <mergeCell ref="N253:S253"/>
    <mergeCell ref="N231:S231"/>
    <mergeCell ref="C347:F347"/>
    <mergeCell ref="N264:S264"/>
    <mergeCell ref="C241:I241"/>
    <mergeCell ref="N273:S273"/>
    <mergeCell ref="N263:S263"/>
    <mergeCell ref="C355:F355"/>
    <mergeCell ref="N247:S247"/>
    <mergeCell ref="N265:S265"/>
    <mergeCell ref="N249:S249"/>
    <mergeCell ref="N314:S314"/>
    <mergeCell ref="N313:S313"/>
    <mergeCell ref="N300:S300"/>
    <mergeCell ref="C331:F331"/>
    <mergeCell ref="N262:S262"/>
    <mergeCell ref="N240:S240"/>
    <mergeCell ref="C307:F307"/>
    <mergeCell ref="N303:S303"/>
    <mergeCell ref="N304:S304"/>
    <mergeCell ref="N270:S270"/>
    <mergeCell ref="C251:D251"/>
    <mergeCell ref="C315:F315"/>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38:S238"/>
    <mergeCell ref="N199:S199"/>
    <mergeCell ref="N205:S205"/>
    <mergeCell ref="N210:S210"/>
    <mergeCell ref="N226:S226"/>
    <mergeCell ref="B15:B16"/>
    <mergeCell ref="N222:S222"/>
    <mergeCell ref="N254:S254"/>
    <mergeCell ref="N207:S207"/>
    <mergeCell ref="C15:D15"/>
    <mergeCell ref="N194:S194"/>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625</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9</v>
      </c>
      <c r="E6" s="173"/>
      <c r="F6" s="206">
        <f>SUM(F14:G23)</f>
        <v>3</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350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350</v>
      </c>
      <c r="AB8" s="20">
        <f>IF(F29="","",F29)</f>
        <v>0</v>
      </c>
      <c r="AC8" t="s">
        <v>316</v>
      </c>
    </row>
    <row r="9" spans="2:29" x14ac:dyDescent="0.3">
      <c r="AA9" s="20">
        <f>IF(G29="","",G29)</f>
        <v>700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300</v>
      </c>
      <c r="AC11" t="s">
        <v>324</v>
      </c>
    </row>
    <row r="12" spans="2:29" x14ac:dyDescent="0.3">
      <c r="AA12" s="20">
        <f>IF(G30="","",G30)</f>
        <v>350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0</v>
      </c>
      <c r="AC14" t="s">
        <v>328</v>
      </c>
    </row>
    <row r="15" spans="2:29" ht="19.05" customHeight="1" x14ac:dyDescent="0.3">
      <c r="B15" s="89">
        <v>2</v>
      </c>
      <c r="C15" s="21">
        <v>350</v>
      </c>
      <c r="D15" s="21">
        <v>0</v>
      </c>
      <c r="E15" s="21" t="s">
        <v>326</v>
      </c>
      <c r="F15" s="88">
        <f t="shared" si="0"/>
        <v>0</v>
      </c>
      <c r="G15" s="88">
        <f t="shared" si="1"/>
        <v>0</v>
      </c>
      <c r="H15" s="22">
        <v>0</v>
      </c>
      <c r="I15" s="22">
        <v>-8000</v>
      </c>
      <c r="J15" s="205" t="s">
        <v>626</v>
      </c>
      <c r="K15" s="172"/>
      <c r="L15" s="172"/>
      <c r="M15" s="172"/>
      <c r="N15" s="172"/>
      <c r="O15" s="173"/>
      <c r="AA15" s="20">
        <f>IF(G31="","",G31)</f>
        <v>0</v>
      </c>
      <c r="AB15" s="20">
        <f>IF(H31="","",H31)</f>
        <v>300</v>
      </c>
      <c r="AC15" t="s">
        <v>331</v>
      </c>
    </row>
    <row r="16" spans="2:29" ht="19.05" customHeight="1" x14ac:dyDescent="0.3">
      <c r="B16" s="89">
        <v>3</v>
      </c>
      <c r="C16" s="21">
        <v>700</v>
      </c>
      <c r="D16" s="21">
        <v>0</v>
      </c>
      <c r="E16" s="21" t="s">
        <v>329</v>
      </c>
      <c r="F16" s="88">
        <f t="shared" si="0"/>
        <v>0</v>
      </c>
      <c r="G16" s="88">
        <f t="shared" si="1"/>
        <v>1</v>
      </c>
      <c r="H16" s="22">
        <v>0</v>
      </c>
      <c r="I16" s="22">
        <v>0</v>
      </c>
      <c r="J16" s="205" t="s">
        <v>407</v>
      </c>
      <c r="K16" s="172"/>
      <c r="L16" s="172"/>
      <c r="M16" s="172"/>
      <c r="N16" s="172"/>
      <c r="O16" s="173"/>
    </row>
    <row r="17" spans="2:29" ht="19.05" customHeight="1" x14ac:dyDescent="0.3">
      <c r="B17" s="89">
        <v>4</v>
      </c>
      <c r="C17" s="21">
        <v>0</v>
      </c>
      <c r="D17" s="21">
        <v>300</v>
      </c>
      <c r="E17" s="21" t="s">
        <v>326</v>
      </c>
      <c r="F17" s="88">
        <f t="shared" si="0"/>
        <v>0</v>
      </c>
      <c r="G17" s="88">
        <f t="shared" si="1"/>
        <v>0</v>
      </c>
      <c r="H17" s="22">
        <v>2000</v>
      </c>
      <c r="I17" s="22">
        <v>0</v>
      </c>
      <c r="J17" s="205" t="s">
        <v>627</v>
      </c>
      <c r="K17" s="172"/>
      <c r="L17" s="172"/>
      <c r="M17" s="172"/>
      <c r="N17" s="172"/>
      <c r="O17" s="173"/>
      <c r="AA17" s="20">
        <f>IF(E32="","",E32)</f>
        <v>350</v>
      </c>
      <c r="AB17" s="20">
        <f>IF(F32="","",F32)</f>
        <v>0</v>
      </c>
      <c r="AC17" t="s">
        <v>334</v>
      </c>
    </row>
    <row r="18" spans="2:29" ht="19.05" customHeight="1" x14ac:dyDescent="0.3">
      <c r="B18" s="89">
        <v>5</v>
      </c>
      <c r="C18" s="21">
        <v>350</v>
      </c>
      <c r="D18" s="21">
        <v>300</v>
      </c>
      <c r="E18" s="21" t="s">
        <v>326</v>
      </c>
      <c r="F18" s="88">
        <f t="shared" si="0"/>
        <v>0</v>
      </c>
      <c r="G18" s="88">
        <f t="shared" si="1"/>
        <v>0</v>
      </c>
      <c r="H18" s="22">
        <v>0</v>
      </c>
      <c r="I18" s="22">
        <v>-5000</v>
      </c>
      <c r="J18" s="205" t="s">
        <v>628</v>
      </c>
      <c r="K18" s="172"/>
      <c r="L18" s="172"/>
      <c r="M18" s="172"/>
      <c r="N18" s="172"/>
      <c r="O18" s="173"/>
      <c r="AA18" s="20">
        <f>IF(G32="","",G32)</f>
        <v>350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0</v>
      </c>
      <c r="AB23" s="20">
        <f>IF(F34="","",F34)</f>
        <v>300</v>
      </c>
      <c r="AC23" t="s">
        <v>338</v>
      </c>
    </row>
    <row r="24" spans="2:29" x14ac:dyDescent="0.3">
      <c r="AA24" s="20">
        <f>IF(G34="","",G34)</f>
        <v>350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350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300</v>
      </c>
      <c r="AC29" t="s">
        <v>353</v>
      </c>
    </row>
    <row r="30" spans="2:29" ht="19.05" customHeight="1" x14ac:dyDescent="0.3">
      <c r="B30" s="89">
        <v>3</v>
      </c>
      <c r="C30" s="23">
        <v>4</v>
      </c>
      <c r="D30" s="23">
        <v>5</v>
      </c>
      <c r="E30" s="5">
        <f t="shared" si="2"/>
        <v>0</v>
      </c>
      <c r="F30" s="5">
        <f t="shared" si="3"/>
        <v>300</v>
      </c>
      <c r="G30" s="5">
        <f t="shared" si="4"/>
        <v>350</v>
      </c>
      <c r="H30" s="5">
        <f t="shared" si="5"/>
        <v>300</v>
      </c>
      <c r="I30" s="9">
        <f t="shared" si="6"/>
        <v>350</v>
      </c>
      <c r="J30" s="9">
        <f t="shared" si="7"/>
        <v>0</v>
      </c>
      <c r="K30" s="9">
        <f t="shared" si="8"/>
        <v>350</v>
      </c>
      <c r="L30" s="92">
        <f t="shared" si="9"/>
        <v>1</v>
      </c>
      <c r="M30" s="92">
        <f t="shared" si="10"/>
        <v>0</v>
      </c>
      <c r="N30" s="22">
        <v>12</v>
      </c>
      <c r="O30" s="24">
        <v>2100000</v>
      </c>
      <c r="AA30" s="20">
        <f>IF(G36="","",G36)</f>
        <v>700</v>
      </c>
      <c r="AB30" s="20">
        <f>IF(H36="","",H36)</f>
        <v>0</v>
      </c>
      <c r="AC30" t="s">
        <v>354</v>
      </c>
    </row>
    <row r="31" spans="2:29" ht="19.05" customHeight="1" x14ac:dyDescent="0.3">
      <c r="B31" s="89">
        <v>4</v>
      </c>
      <c r="C31" s="23">
        <v>1</v>
      </c>
      <c r="D31" s="23">
        <v>4</v>
      </c>
      <c r="E31" s="5">
        <f t="shared" si="2"/>
        <v>0</v>
      </c>
      <c r="F31" s="5">
        <f t="shared" si="3"/>
        <v>0</v>
      </c>
      <c r="G31" s="5">
        <f t="shared" si="4"/>
        <v>0</v>
      </c>
      <c r="H31" s="5">
        <f t="shared" si="5"/>
        <v>300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2</v>
      </c>
      <c r="D32" s="23">
        <v>5</v>
      </c>
      <c r="E32" s="5">
        <f t="shared" si="2"/>
        <v>350</v>
      </c>
      <c r="F32" s="5">
        <f t="shared" si="3"/>
        <v>0</v>
      </c>
      <c r="G32" s="5">
        <f t="shared" si="4"/>
        <v>350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1</v>
      </c>
      <c r="D33" s="23">
        <v>5</v>
      </c>
      <c r="E33" s="5">
        <f t="shared" si="2"/>
        <v>0</v>
      </c>
      <c r="F33" s="5">
        <f t="shared" si="3"/>
        <v>0</v>
      </c>
      <c r="G33" s="5">
        <f t="shared" si="4"/>
        <v>350</v>
      </c>
      <c r="H33" s="5">
        <f t="shared" si="5"/>
        <v>300</v>
      </c>
      <c r="I33" s="9">
        <f t="shared" si="6"/>
        <v>350</v>
      </c>
      <c r="J33" s="9">
        <f t="shared" si="7"/>
        <v>300</v>
      </c>
      <c r="K33" s="9">
        <f t="shared" si="8"/>
        <v>460.97722286464438</v>
      </c>
      <c r="L33" s="92">
        <f t="shared" si="9"/>
        <v>0.75925660236529657</v>
      </c>
      <c r="M33" s="92">
        <f t="shared" si="10"/>
        <v>0.65079137345596849</v>
      </c>
      <c r="N33" s="22">
        <v>12</v>
      </c>
      <c r="O33" s="24">
        <v>2100000</v>
      </c>
      <c r="AA33" s="20" t="str">
        <f>IF(G37="","",G37)</f>
        <v/>
      </c>
      <c r="AB33" s="20" t="str">
        <f>IF(H37="","",H37)</f>
        <v/>
      </c>
      <c r="AC33" t="s">
        <v>356</v>
      </c>
    </row>
    <row r="34" spans="2:29" ht="19.05" customHeight="1" x14ac:dyDescent="0.3">
      <c r="B34" s="89">
        <v>7</v>
      </c>
      <c r="C34" s="23">
        <v>4</v>
      </c>
      <c r="D34" s="23">
        <v>2</v>
      </c>
      <c r="E34" s="5">
        <f t="shared" si="2"/>
        <v>0</v>
      </c>
      <c r="F34" s="5">
        <f t="shared" si="3"/>
        <v>300</v>
      </c>
      <c r="G34" s="5">
        <f t="shared" si="4"/>
        <v>350</v>
      </c>
      <c r="H34" s="5">
        <f t="shared" si="5"/>
        <v>0</v>
      </c>
      <c r="I34" s="9">
        <f t="shared" si="6"/>
        <v>350</v>
      </c>
      <c r="J34" s="9">
        <f t="shared" si="7"/>
        <v>-300</v>
      </c>
      <c r="K34" s="9">
        <f t="shared" si="8"/>
        <v>460.97722286464438</v>
      </c>
      <c r="L34" s="92">
        <f t="shared" si="9"/>
        <v>0.75925660236529657</v>
      </c>
      <c r="M34" s="92">
        <f t="shared" si="10"/>
        <v>-0.65079137345596849</v>
      </c>
      <c r="N34" s="22">
        <v>12</v>
      </c>
      <c r="O34" s="24">
        <v>2100000</v>
      </c>
    </row>
    <row r="35" spans="2:29" ht="19.05" customHeight="1" x14ac:dyDescent="0.3">
      <c r="B35" s="89">
        <v>8</v>
      </c>
      <c r="C35" s="23">
        <v>2</v>
      </c>
      <c r="D35" s="23">
        <v>5</v>
      </c>
      <c r="E35" s="5">
        <f t="shared" si="2"/>
        <v>350</v>
      </c>
      <c r="F35" s="5">
        <f t="shared" si="3"/>
        <v>0</v>
      </c>
      <c r="G35" s="5">
        <f t="shared" si="4"/>
        <v>350</v>
      </c>
      <c r="H35" s="5">
        <f t="shared" si="5"/>
        <v>300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350</v>
      </c>
      <c r="F36" s="5">
        <f t="shared" si="3"/>
        <v>300</v>
      </c>
      <c r="G36" s="5">
        <f t="shared" si="4"/>
        <v>700</v>
      </c>
      <c r="H36" s="5">
        <f t="shared" si="5"/>
        <v>0</v>
      </c>
      <c r="I36" s="9">
        <f t="shared" si="6"/>
        <v>350</v>
      </c>
      <c r="J36" s="9">
        <f t="shared" si="7"/>
        <v>-300</v>
      </c>
      <c r="K36" s="9">
        <f t="shared" si="8"/>
        <v>460.97722286464438</v>
      </c>
      <c r="L36" s="92">
        <f t="shared" si="9"/>
        <v>0.75925660236529657</v>
      </c>
      <c r="M36" s="92">
        <f t="shared" si="10"/>
        <v>-0.65079137345596849</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900-000000000000}">
      <formula1>"Fijo (articulado),Rodillo Y (despl. X libre),Rodillo X (despl. Y libre),Libre (0 reac.)"</formula1>
    </dataValidation>
  </dataValidations>
  <pageMargins left="0.75" right="0.75" top="1" bottom="1" header="0.5" footer="0.5"/>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S39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629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GRAFICA_44!E28</f>
        <v>0</v>
      </c>
      <c r="D6" s="22">
        <f>GRAFICA_44!F28</f>
        <v>0</v>
      </c>
      <c r="E6" s="22">
        <f>GRAFICA_44!G28</f>
        <v>350</v>
      </c>
      <c r="F6" s="22">
        <f>GRAFICA_44!H28</f>
        <v>0</v>
      </c>
      <c r="G6" s="9">
        <f t="shared" ref="G6:G14" si="0">E6-C6</f>
        <v>350</v>
      </c>
      <c r="H6" s="9">
        <f t="shared" ref="H6:H14" si="1">F6-D6</f>
        <v>0</v>
      </c>
      <c r="I6" s="9">
        <f t="shared" ref="I6:I14" si="2">SQRT(G6*G6+H6*H6)</f>
        <v>350</v>
      </c>
      <c r="J6" s="92">
        <f t="shared" ref="J6:J14" si="3">G6/I6</f>
        <v>1</v>
      </c>
      <c r="K6" s="92">
        <f t="shared" ref="K6:K14" si="4">H6/I6</f>
        <v>0</v>
      </c>
      <c r="L6" s="22">
        <f>GRAFICA_44!N28</f>
        <v>12</v>
      </c>
      <c r="M6" s="22">
        <f>GRAFICA_44!O28</f>
        <v>2100000</v>
      </c>
      <c r="N6" s="6">
        <f t="shared" ref="N6:N14" si="5">L6*M6/I6</f>
        <v>72000</v>
      </c>
    </row>
    <row r="7" spans="2:14" ht="19.05" customHeight="1" x14ac:dyDescent="0.3">
      <c r="B7" s="25">
        <v>2</v>
      </c>
      <c r="C7" s="22">
        <f>GRAFICA_44!E29</f>
        <v>350</v>
      </c>
      <c r="D7" s="22">
        <f>GRAFICA_44!F29</f>
        <v>0</v>
      </c>
      <c r="E7" s="22">
        <f>GRAFICA_44!G29</f>
        <v>700</v>
      </c>
      <c r="F7" s="22">
        <f>GRAFICA_44!H29</f>
        <v>0</v>
      </c>
      <c r="G7" s="9">
        <f t="shared" si="0"/>
        <v>350</v>
      </c>
      <c r="H7" s="9">
        <f t="shared" si="1"/>
        <v>0</v>
      </c>
      <c r="I7" s="9">
        <f t="shared" si="2"/>
        <v>350</v>
      </c>
      <c r="J7" s="92">
        <f t="shared" si="3"/>
        <v>1</v>
      </c>
      <c r="K7" s="92">
        <f t="shared" si="4"/>
        <v>0</v>
      </c>
      <c r="L7" s="22">
        <f>GRAFICA_44!N29</f>
        <v>12</v>
      </c>
      <c r="M7" s="22">
        <f>GRAFICA_44!O29</f>
        <v>2100000</v>
      </c>
      <c r="N7" s="6">
        <f t="shared" si="5"/>
        <v>72000</v>
      </c>
    </row>
    <row r="8" spans="2:14" ht="19.05" customHeight="1" x14ac:dyDescent="0.3">
      <c r="B8" s="26">
        <v>3</v>
      </c>
      <c r="C8" s="22">
        <f>GRAFICA_44!E30</f>
        <v>0</v>
      </c>
      <c r="D8" s="22">
        <f>GRAFICA_44!F30</f>
        <v>300</v>
      </c>
      <c r="E8" s="22">
        <f>GRAFICA_44!G30</f>
        <v>350</v>
      </c>
      <c r="F8" s="22">
        <f>GRAFICA_44!H30</f>
        <v>300</v>
      </c>
      <c r="G8" s="9">
        <f t="shared" si="0"/>
        <v>350</v>
      </c>
      <c r="H8" s="9">
        <f t="shared" si="1"/>
        <v>0</v>
      </c>
      <c r="I8" s="9">
        <f t="shared" si="2"/>
        <v>350</v>
      </c>
      <c r="J8" s="92">
        <f t="shared" si="3"/>
        <v>1</v>
      </c>
      <c r="K8" s="92">
        <f t="shared" si="4"/>
        <v>0</v>
      </c>
      <c r="L8" s="22">
        <f>GRAFICA_44!N30</f>
        <v>12</v>
      </c>
      <c r="M8" s="22">
        <f>GRAFICA_44!O30</f>
        <v>2100000</v>
      </c>
      <c r="N8" s="6">
        <f t="shared" si="5"/>
        <v>72000</v>
      </c>
    </row>
    <row r="9" spans="2:14" ht="19.05" customHeight="1" x14ac:dyDescent="0.3">
      <c r="B9" s="43">
        <v>4</v>
      </c>
      <c r="C9" s="22">
        <f>GRAFICA_44!E31</f>
        <v>0</v>
      </c>
      <c r="D9" s="22">
        <f>GRAFICA_44!F31</f>
        <v>0</v>
      </c>
      <c r="E9" s="22">
        <f>GRAFICA_44!G31</f>
        <v>0</v>
      </c>
      <c r="F9" s="22">
        <f>GRAFICA_44!H31</f>
        <v>300</v>
      </c>
      <c r="G9" s="9">
        <f t="shared" si="0"/>
        <v>0</v>
      </c>
      <c r="H9" s="9">
        <f t="shared" si="1"/>
        <v>300</v>
      </c>
      <c r="I9" s="9">
        <f t="shared" si="2"/>
        <v>300</v>
      </c>
      <c r="J9" s="92">
        <f t="shared" si="3"/>
        <v>0</v>
      </c>
      <c r="K9" s="92">
        <f t="shared" si="4"/>
        <v>1</v>
      </c>
      <c r="L9" s="22">
        <f>GRAFICA_44!N31</f>
        <v>12</v>
      </c>
      <c r="M9" s="22">
        <f>GRAFICA_44!O31</f>
        <v>2100000</v>
      </c>
      <c r="N9" s="6">
        <f t="shared" si="5"/>
        <v>84000</v>
      </c>
    </row>
    <row r="10" spans="2:14" ht="19.05" customHeight="1" x14ac:dyDescent="0.3">
      <c r="B10" s="44">
        <v>5</v>
      </c>
      <c r="C10" s="22">
        <f>GRAFICA_44!E32</f>
        <v>350</v>
      </c>
      <c r="D10" s="22">
        <f>GRAFICA_44!F32</f>
        <v>0</v>
      </c>
      <c r="E10" s="22">
        <f>GRAFICA_44!G32</f>
        <v>350</v>
      </c>
      <c r="F10" s="22">
        <f>GRAFICA_44!H32</f>
        <v>300</v>
      </c>
      <c r="G10" s="9">
        <f t="shared" si="0"/>
        <v>0</v>
      </c>
      <c r="H10" s="9">
        <f t="shared" si="1"/>
        <v>300</v>
      </c>
      <c r="I10" s="9">
        <f t="shared" si="2"/>
        <v>300</v>
      </c>
      <c r="J10" s="92">
        <f t="shared" si="3"/>
        <v>0</v>
      </c>
      <c r="K10" s="92">
        <f t="shared" si="4"/>
        <v>1</v>
      </c>
      <c r="L10" s="22">
        <f>GRAFICA_44!N32</f>
        <v>12</v>
      </c>
      <c r="M10" s="22">
        <f>GRAFICA_44!O32</f>
        <v>2100000</v>
      </c>
      <c r="N10" s="6">
        <f t="shared" si="5"/>
        <v>84000</v>
      </c>
    </row>
    <row r="11" spans="2:14" ht="19.05" customHeight="1" x14ac:dyDescent="0.3">
      <c r="B11" s="51">
        <v>6</v>
      </c>
      <c r="C11" s="22">
        <f>GRAFICA_44!E33</f>
        <v>0</v>
      </c>
      <c r="D11" s="22">
        <f>GRAFICA_44!F33</f>
        <v>0</v>
      </c>
      <c r="E11" s="22">
        <f>GRAFICA_44!G33</f>
        <v>350</v>
      </c>
      <c r="F11" s="22">
        <f>GRAFICA_44!H33</f>
        <v>300</v>
      </c>
      <c r="G11" s="9">
        <f t="shared" si="0"/>
        <v>350</v>
      </c>
      <c r="H11" s="9">
        <f t="shared" si="1"/>
        <v>300</v>
      </c>
      <c r="I11" s="9">
        <f t="shared" si="2"/>
        <v>460.97722286464438</v>
      </c>
      <c r="J11" s="92">
        <f t="shared" si="3"/>
        <v>0.75925660236529657</v>
      </c>
      <c r="K11" s="92">
        <f t="shared" si="4"/>
        <v>0.65079137345596849</v>
      </c>
      <c r="L11" s="22">
        <f>GRAFICA_44!N33</f>
        <v>12</v>
      </c>
      <c r="M11" s="22">
        <f>GRAFICA_44!O33</f>
        <v>2100000</v>
      </c>
      <c r="N11" s="6">
        <f t="shared" si="5"/>
        <v>54666.475370301356</v>
      </c>
    </row>
    <row r="12" spans="2:14" ht="19.05" customHeight="1" x14ac:dyDescent="0.3">
      <c r="B12" s="52">
        <v>7</v>
      </c>
      <c r="C12" s="22">
        <f>GRAFICA_44!E34</f>
        <v>0</v>
      </c>
      <c r="D12" s="22">
        <f>GRAFICA_44!F34</f>
        <v>300</v>
      </c>
      <c r="E12" s="22">
        <f>GRAFICA_44!G34</f>
        <v>350</v>
      </c>
      <c r="F12" s="22">
        <f>GRAFICA_44!H34</f>
        <v>0</v>
      </c>
      <c r="G12" s="9">
        <f t="shared" si="0"/>
        <v>350</v>
      </c>
      <c r="H12" s="9">
        <f t="shared" si="1"/>
        <v>-300</v>
      </c>
      <c r="I12" s="9">
        <f t="shared" si="2"/>
        <v>460.97722286464438</v>
      </c>
      <c r="J12" s="92">
        <f t="shared" si="3"/>
        <v>0.75925660236529657</v>
      </c>
      <c r="K12" s="92">
        <f t="shared" si="4"/>
        <v>-0.65079137345596849</v>
      </c>
      <c r="L12" s="22">
        <f>GRAFICA_44!N34</f>
        <v>12</v>
      </c>
      <c r="M12" s="22">
        <f>GRAFICA_44!O34</f>
        <v>2100000</v>
      </c>
      <c r="N12" s="6">
        <f t="shared" si="5"/>
        <v>54666.475370301356</v>
      </c>
    </row>
    <row r="13" spans="2:14" ht="19.05" customHeight="1" x14ac:dyDescent="0.3">
      <c r="B13" s="59">
        <v>8</v>
      </c>
      <c r="C13" s="22">
        <f>GRAFICA_44!E35</f>
        <v>350</v>
      </c>
      <c r="D13" s="22">
        <f>GRAFICA_44!F35</f>
        <v>0</v>
      </c>
      <c r="E13" s="22">
        <f>GRAFICA_44!G35</f>
        <v>350</v>
      </c>
      <c r="F13" s="22">
        <f>GRAFICA_44!H35</f>
        <v>300</v>
      </c>
      <c r="G13" s="9">
        <f t="shared" si="0"/>
        <v>0</v>
      </c>
      <c r="H13" s="9">
        <f t="shared" si="1"/>
        <v>300</v>
      </c>
      <c r="I13" s="9">
        <f t="shared" si="2"/>
        <v>300</v>
      </c>
      <c r="J13" s="92">
        <f t="shared" si="3"/>
        <v>0</v>
      </c>
      <c r="K13" s="92">
        <f t="shared" si="4"/>
        <v>1</v>
      </c>
      <c r="L13" s="22">
        <f>GRAFICA_44!N35</f>
        <v>12</v>
      </c>
      <c r="M13" s="22">
        <f>GRAFICA_44!O35</f>
        <v>2100000</v>
      </c>
      <c r="N13" s="6">
        <f t="shared" si="5"/>
        <v>84000</v>
      </c>
    </row>
    <row r="14" spans="2:14" ht="19.05" customHeight="1" x14ac:dyDescent="0.3">
      <c r="B14" s="60">
        <v>9</v>
      </c>
      <c r="C14" s="22">
        <f>GRAFICA_44!E36</f>
        <v>350</v>
      </c>
      <c r="D14" s="22">
        <f>GRAFICA_44!F36</f>
        <v>300</v>
      </c>
      <c r="E14" s="22">
        <f>GRAFICA_44!G36</f>
        <v>700</v>
      </c>
      <c r="F14" s="22">
        <f>GRAFICA_44!H36</f>
        <v>0</v>
      </c>
      <c r="G14" s="9">
        <f t="shared" si="0"/>
        <v>350</v>
      </c>
      <c r="H14" s="9">
        <f t="shared" si="1"/>
        <v>-300</v>
      </c>
      <c r="I14" s="9">
        <f t="shared" si="2"/>
        <v>460.97722286464438</v>
      </c>
      <c r="J14" s="92">
        <f t="shared" si="3"/>
        <v>0.75925660236529657</v>
      </c>
      <c r="K14" s="92">
        <f t="shared" si="4"/>
        <v>-0.65079137345596849</v>
      </c>
      <c r="L14" s="22">
        <f>GRAFICA_44!N36</f>
        <v>12</v>
      </c>
      <c r="M14" s="22">
        <f>GRAFICA_44!O36</f>
        <v>2100000</v>
      </c>
      <c r="N14" s="6">
        <f t="shared" si="5"/>
        <v>54666.475370301356</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GRAFICA_44!C28</f>
        <v>1</v>
      </c>
      <c r="D18" s="23">
        <f>GRAFICA_44!C28</f>
        <v>1</v>
      </c>
      <c r="E18" s="23">
        <f>GRAFICA_44!D28</f>
        <v>2</v>
      </c>
      <c r="F18" s="23">
        <f>GRAFICA_44!D28</f>
        <v>2</v>
      </c>
    </row>
    <row r="19" spans="1:6" ht="19.05" customHeight="1" x14ac:dyDescent="0.3">
      <c r="B19" s="25">
        <v>2</v>
      </c>
      <c r="C19" s="23">
        <f>GRAFICA_44!C29</f>
        <v>2</v>
      </c>
      <c r="D19" s="23">
        <f>GRAFICA_44!C29</f>
        <v>2</v>
      </c>
      <c r="E19" s="23">
        <f>GRAFICA_44!D29</f>
        <v>3</v>
      </c>
      <c r="F19" s="23">
        <f>GRAFICA_44!D29</f>
        <v>3</v>
      </c>
    </row>
    <row r="20" spans="1:6" ht="19.05" customHeight="1" x14ac:dyDescent="0.3">
      <c r="B20" s="26">
        <v>3</v>
      </c>
      <c r="C20" s="23">
        <f>GRAFICA_44!C30</f>
        <v>4</v>
      </c>
      <c r="D20" s="23">
        <f>GRAFICA_44!C30</f>
        <v>4</v>
      </c>
      <c r="E20" s="23">
        <f>GRAFICA_44!D30</f>
        <v>5</v>
      </c>
      <c r="F20" s="23">
        <f>GRAFICA_44!D30</f>
        <v>5</v>
      </c>
    </row>
    <row r="21" spans="1:6" ht="19.05" customHeight="1" x14ac:dyDescent="0.3">
      <c r="B21" s="43">
        <v>4</v>
      </c>
      <c r="C21" s="23">
        <f>GRAFICA_44!C31</f>
        <v>1</v>
      </c>
      <c r="D21" s="23">
        <f>GRAFICA_44!C31</f>
        <v>1</v>
      </c>
      <c r="E21" s="23">
        <f>GRAFICA_44!D31</f>
        <v>4</v>
      </c>
      <c r="F21" s="23">
        <f>GRAFICA_44!D31</f>
        <v>4</v>
      </c>
    </row>
    <row r="22" spans="1:6" ht="19.05" customHeight="1" x14ac:dyDescent="0.3">
      <c r="B22" s="44">
        <v>5</v>
      </c>
      <c r="C22" s="23">
        <f>GRAFICA_44!C32</f>
        <v>2</v>
      </c>
      <c r="D22" s="23">
        <f>GRAFICA_44!C32</f>
        <v>2</v>
      </c>
      <c r="E22" s="23">
        <f>GRAFICA_44!D32</f>
        <v>5</v>
      </c>
      <c r="F22" s="23">
        <f>GRAFICA_44!D32</f>
        <v>5</v>
      </c>
    </row>
    <row r="23" spans="1:6" ht="19.05" customHeight="1" x14ac:dyDescent="0.3">
      <c r="B23" s="51">
        <v>6</v>
      </c>
      <c r="C23" s="23">
        <f>GRAFICA_44!C33</f>
        <v>1</v>
      </c>
      <c r="D23" s="23">
        <f>GRAFICA_44!C33</f>
        <v>1</v>
      </c>
      <c r="E23" s="23">
        <f>GRAFICA_44!D33</f>
        <v>5</v>
      </c>
      <c r="F23" s="23">
        <f>GRAFICA_44!D33</f>
        <v>5</v>
      </c>
    </row>
    <row r="24" spans="1:6" ht="19.05" customHeight="1" x14ac:dyDescent="0.3">
      <c r="B24" s="52">
        <v>7</v>
      </c>
      <c r="C24" s="23">
        <f>GRAFICA_44!C34</f>
        <v>4</v>
      </c>
      <c r="D24" s="23">
        <f>GRAFICA_44!C34</f>
        <v>4</v>
      </c>
      <c r="E24" s="23">
        <f>GRAFICA_44!D34</f>
        <v>2</v>
      </c>
      <c r="F24" s="23">
        <f>GRAFICA_44!D34</f>
        <v>2</v>
      </c>
    </row>
    <row r="25" spans="1:6" ht="19.05" customHeight="1" x14ac:dyDescent="0.3">
      <c r="B25" s="59">
        <v>8</v>
      </c>
      <c r="C25" s="23">
        <f>GRAFICA_44!C35</f>
        <v>2</v>
      </c>
      <c r="D25" s="23">
        <f>GRAFICA_44!C35</f>
        <v>2</v>
      </c>
      <c r="E25" s="23">
        <f>GRAFICA_44!D35</f>
        <v>5</v>
      </c>
      <c r="F25" s="23">
        <f>GRAFICA_44!D35</f>
        <v>5</v>
      </c>
    </row>
    <row r="26" spans="1:6" ht="19.05" customHeight="1" x14ac:dyDescent="0.3">
      <c r="B26" s="60">
        <v>9</v>
      </c>
      <c r="C26" s="23">
        <f>GRAFICA_44!C36</f>
        <v>5</v>
      </c>
      <c r="D26" s="23">
        <f>GRAFICA_44!C36</f>
        <v>5</v>
      </c>
      <c r="E26" s="23">
        <f>GRAFICA_44!D36</f>
        <v>3</v>
      </c>
      <c r="F26" s="23">
        <f>GRAFICA_44!D36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72000</v>
      </c>
      <c r="C30" s="7">
        <f>J6*K6*N6</f>
        <v>0</v>
      </c>
      <c r="D30" s="7">
        <f>-B30</f>
        <v>-72000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-72000</v>
      </c>
      <c r="C32" s="7">
        <f>E30</f>
        <v>0</v>
      </c>
      <c r="D32" s="7">
        <f>B30</f>
        <v>72000</v>
      </c>
      <c r="E32" s="7">
        <f>C30</f>
        <v>0</v>
      </c>
      <c r="F32" s="27" t="str">
        <f>D29</f>
        <v>U2X</v>
      </c>
    </row>
    <row r="33" spans="1:12" x14ac:dyDescent="0.3">
      <c r="B33" s="7">
        <f>D31</f>
        <v>0</v>
      </c>
      <c r="C33" s="7">
        <f>E31</f>
        <v>0</v>
      </c>
      <c r="D33" s="7">
        <f>B31</f>
        <v>0</v>
      </c>
      <c r="E33" s="7">
        <f>C31</f>
        <v>0</v>
      </c>
      <c r="F33" s="27" t="str">
        <f>E29</f>
        <v>U2Y</v>
      </c>
    </row>
    <row r="35" spans="1:12" ht="18" customHeight="1" x14ac:dyDescent="0.3">
      <c r="B35" s="27" t="s">
        <v>178</v>
      </c>
      <c r="C35" s="27" t="s">
        <v>179</v>
      </c>
      <c r="D35" s="27" t="s">
        <v>180</v>
      </c>
      <c r="E35" s="27" t="s">
        <v>181</v>
      </c>
      <c r="F35" s="27" t="s">
        <v>182</v>
      </c>
      <c r="G35" s="27" t="s">
        <v>183</v>
      </c>
      <c r="H35" s="27" t="s">
        <v>184</v>
      </c>
      <c r="I35" s="27" t="s">
        <v>185</v>
      </c>
      <c r="J35" s="27" t="s">
        <v>186</v>
      </c>
      <c r="K35" s="27" t="s">
        <v>187</v>
      </c>
    </row>
    <row r="36" spans="1:12" ht="19.05" customHeight="1" x14ac:dyDescent="0.3">
      <c r="B36" s="8">
        <f t="shared" ref="B36:K45" si="6">IFERROR(INDEX($B$30:$E$33, MATCH($L36, $B$29:$E$29, 0), MATCH(B$35, $B$29:$E$29, 0)), 0)</f>
        <v>72000</v>
      </c>
      <c r="C36" s="8">
        <f t="shared" si="6"/>
        <v>0</v>
      </c>
      <c r="D36" s="8">
        <f t="shared" si="6"/>
        <v>-72000</v>
      </c>
      <c r="E36" s="8">
        <f t="shared" si="6"/>
        <v>0</v>
      </c>
      <c r="F36" s="9">
        <f t="shared" si="6"/>
        <v>0</v>
      </c>
      <c r="G36" s="9">
        <f t="shared" si="6"/>
        <v>0</v>
      </c>
      <c r="H36" s="9">
        <f t="shared" si="6"/>
        <v>0</v>
      </c>
      <c r="I36" s="9">
        <f t="shared" si="6"/>
        <v>0</v>
      </c>
      <c r="J36" s="9">
        <f t="shared" si="6"/>
        <v>0</v>
      </c>
      <c r="K36" s="9">
        <f t="shared" si="6"/>
        <v>0</v>
      </c>
      <c r="L36" s="27" t="s">
        <v>178</v>
      </c>
    </row>
    <row r="37" spans="1:12"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27" t="s">
        <v>179</v>
      </c>
    </row>
    <row r="38" spans="1:12" ht="19.05" customHeight="1" x14ac:dyDescent="0.3">
      <c r="B38" s="8">
        <f t="shared" si="6"/>
        <v>-72000</v>
      </c>
      <c r="C38" s="8">
        <f t="shared" si="6"/>
        <v>0</v>
      </c>
      <c r="D38" s="8">
        <f t="shared" si="6"/>
        <v>72000</v>
      </c>
      <c r="E38" s="8">
        <f t="shared" si="6"/>
        <v>0</v>
      </c>
      <c r="F38" s="9">
        <f t="shared" si="6"/>
        <v>0</v>
      </c>
      <c r="G38" s="9">
        <f t="shared" si="6"/>
        <v>0</v>
      </c>
      <c r="H38" s="9">
        <f t="shared" si="6"/>
        <v>0</v>
      </c>
      <c r="I38" s="9">
        <f t="shared" si="6"/>
        <v>0</v>
      </c>
      <c r="J38" s="9">
        <f t="shared" si="6"/>
        <v>0</v>
      </c>
      <c r="K38" s="9">
        <f t="shared" si="6"/>
        <v>0</v>
      </c>
      <c r="L38" s="27" t="s">
        <v>180</v>
      </c>
    </row>
    <row r="39" spans="1:12"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27" t="s">
        <v>181</v>
      </c>
    </row>
    <row r="40" spans="1:12" ht="19.05" customHeight="1" x14ac:dyDescent="0.3">
      <c r="A40" s="28" t="s">
        <v>190</v>
      </c>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27" t="s">
        <v>182</v>
      </c>
    </row>
    <row r="41" spans="1:12" ht="19.05" customHeight="1" x14ac:dyDescent="0.3">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27" t="s">
        <v>183</v>
      </c>
    </row>
    <row r="42" spans="1:12"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27" t="s">
        <v>184</v>
      </c>
    </row>
    <row r="43" spans="1:12"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27" t="s">
        <v>185</v>
      </c>
    </row>
    <row r="44" spans="1:12"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27" t="s">
        <v>186</v>
      </c>
    </row>
    <row r="45" spans="1:12"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27" t="s">
        <v>187</v>
      </c>
    </row>
    <row r="48" spans="1:12" ht="18" customHeight="1" x14ac:dyDescent="0.3">
      <c r="B48" s="29" t="str">
        <f>CONCATENATE("U",C19,C$17)</f>
        <v>U2X</v>
      </c>
      <c r="C48" s="29" t="str">
        <f>CONCATENATE("U",D19,D$17)</f>
        <v>U2Y</v>
      </c>
      <c r="D48" s="29" t="str">
        <f>CONCATENATE("U",E19,E$17)</f>
        <v>U3X</v>
      </c>
      <c r="E48" s="29" t="str">
        <f>CONCATENATE("U",F19,F$17)</f>
        <v>U3Y</v>
      </c>
    </row>
    <row r="49" spans="1:12" x14ac:dyDescent="0.3">
      <c r="B49" s="30">
        <f>J7*J7*N7</f>
        <v>72000</v>
      </c>
      <c r="C49" s="30">
        <f>J7*K7*N7</f>
        <v>0</v>
      </c>
      <c r="D49" s="30">
        <f>-B49</f>
        <v>-72000</v>
      </c>
      <c r="E49" s="30">
        <f>-C49</f>
        <v>0</v>
      </c>
      <c r="F49" s="29" t="str">
        <f>B48</f>
        <v>U2X</v>
      </c>
    </row>
    <row r="50" spans="1:12" ht="16.8" customHeight="1" x14ac:dyDescent="0.3">
      <c r="A50" s="28" t="s">
        <v>191</v>
      </c>
      <c r="B50" s="30">
        <f>C49</f>
        <v>0</v>
      </c>
      <c r="C50" s="30">
        <f>K7*K7*N7</f>
        <v>0</v>
      </c>
      <c r="D50" s="30">
        <f>-B50</f>
        <v>0</v>
      </c>
      <c r="E50" s="30">
        <f>-C50</f>
        <v>0</v>
      </c>
      <c r="F50" s="29" t="str">
        <f>C48</f>
        <v>U2Y</v>
      </c>
    </row>
    <row r="51" spans="1:12" x14ac:dyDescent="0.3">
      <c r="B51" s="30">
        <f>D49</f>
        <v>-72000</v>
      </c>
      <c r="C51" s="30">
        <f>E49</f>
        <v>0</v>
      </c>
      <c r="D51" s="30">
        <f>B49</f>
        <v>72000</v>
      </c>
      <c r="E51" s="30">
        <f>C49</f>
        <v>0</v>
      </c>
      <c r="F51" s="29" t="str">
        <f>D48</f>
        <v>U3X</v>
      </c>
    </row>
    <row r="52" spans="1:12" x14ac:dyDescent="0.3">
      <c r="B52" s="30">
        <f>D50</f>
        <v>0</v>
      </c>
      <c r="C52" s="30">
        <f>E50</f>
        <v>0</v>
      </c>
      <c r="D52" s="30">
        <f>B50</f>
        <v>0</v>
      </c>
      <c r="E52" s="30">
        <f>C50</f>
        <v>0</v>
      </c>
      <c r="F52" s="29" t="str">
        <f>E48</f>
        <v>U3Y</v>
      </c>
    </row>
    <row r="54" spans="1:12" ht="18" customHeight="1" x14ac:dyDescent="0.3">
      <c r="B54" s="29" t="s">
        <v>178</v>
      </c>
      <c r="C54" s="29" t="s">
        <v>179</v>
      </c>
      <c r="D54" s="29" t="s">
        <v>180</v>
      </c>
      <c r="E54" s="29" t="s">
        <v>181</v>
      </c>
      <c r="F54" s="29" t="s">
        <v>182</v>
      </c>
      <c r="G54" s="29" t="s">
        <v>183</v>
      </c>
      <c r="H54" s="29" t="s">
        <v>184</v>
      </c>
      <c r="I54" s="29" t="s">
        <v>185</v>
      </c>
      <c r="J54" s="29" t="s">
        <v>186</v>
      </c>
      <c r="K54" s="29" t="s">
        <v>187</v>
      </c>
    </row>
    <row r="55" spans="1:12" ht="19.05" customHeight="1" x14ac:dyDescent="0.3">
      <c r="B55" s="9">
        <f t="shared" ref="B55:K64" si="7">IFERROR(INDEX($B$49:$E$52, MATCH($L55, $B$48:$E$48, 0), MATCH(B$54, $B$48:$E$48, 0)), 0)</f>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29" t="s">
        <v>178</v>
      </c>
    </row>
    <row r="56" spans="1:12"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29" t="s">
        <v>179</v>
      </c>
    </row>
    <row r="57" spans="1:12" ht="19.05" customHeight="1" x14ac:dyDescent="0.3">
      <c r="B57" s="9">
        <f t="shared" si="7"/>
        <v>0</v>
      </c>
      <c r="C57" s="9">
        <f t="shared" si="7"/>
        <v>0</v>
      </c>
      <c r="D57" s="31">
        <f t="shared" si="7"/>
        <v>72000</v>
      </c>
      <c r="E57" s="31">
        <f t="shared" si="7"/>
        <v>0</v>
      </c>
      <c r="F57" s="31">
        <f t="shared" si="7"/>
        <v>-72000</v>
      </c>
      <c r="G57" s="31">
        <f t="shared" si="7"/>
        <v>0</v>
      </c>
      <c r="H57" s="9">
        <f t="shared" si="7"/>
        <v>0</v>
      </c>
      <c r="I57" s="9">
        <f t="shared" si="7"/>
        <v>0</v>
      </c>
      <c r="J57" s="9">
        <f t="shared" si="7"/>
        <v>0</v>
      </c>
      <c r="K57" s="9">
        <f t="shared" si="7"/>
        <v>0</v>
      </c>
      <c r="L57" s="29" t="s">
        <v>180</v>
      </c>
    </row>
    <row r="58" spans="1:12" ht="19.05" customHeight="1" x14ac:dyDescent="0.3">
      <c r="B58" s="9">
        <f t="shared" si="7"/>
        <v>0</v>
      </c>
      <c r="C58" s="9">
        <f t="shared" si="7"/>
        <v>0</v>
      </c>
      <c r="D58" s="31">
        <f t="shared" si="7"/>
        <v>0</v>
      </c>
      <c r="E58" s="31">
        <f t="shared" si="7"/>
        <v>0</v>
      </c>
      <c r="F58" s="31">
        <f t="shared" si="7"/>
        <v>0</v>
      </c>
      <c r="G58" s="31">
        <f t="shared" si="7"/>
        <v>0</v>
      </c>
      <c r="H58" s="9">
        <f t="shared" si="7"/>
        <v>0</v>
      </c>
      <c r="I58" s="9">
        <f t="shared" si="7"/>
        <v>0</v>
      </c>
      <c r="J58" s="9">
        <f t="shared" si="7"/>
        <v>0</v>
      </c>
      <c r="K58" s="9">
        <f t="shared" si="7"/>
        <v>0</v>
      </c>
      <c r="L58" s="29" t="s">
        <v>181</v>
      </c>
    </row>
    <row r="59" spans="1:12" ht="19.05" customHeight="1" x14ac:dyDescent="0.3">
      <c r="A59" s="28" t="s">
        <v>192</v>
      </c>
      <c r="B59" s="9">
        <f t="shared" si="7"/>
        <v>0</v>
      </c>
      <c r="C59" s="9">
        <f t="shared" si="7"/>
        <v>0</v>
      </c>
      <c r="D59" s="31">
        <f t="shared" si="7"/>
        <v>-72000</v>
      </c>
      <c r="E59" s="31">
        <f t="shared" si="7"/>
        <v>0</v>
      </c>
      <c r="F59" s="31">
        <f t="shared" si="7"/>
        <v>72000</v>
      </c>
      <c r="G59" s="31">
        <f t="shared" si="7"/>
        <v>0</v>
      </c>
      <c r="H59" s="9">
        <f t="shared" si="7"/>
        <v>0</v>
      </c>
      <c r="I59" s="9">
        <f t="shared" si="7"/>
        <v>0</v>
      </c>
      <c r="J59" s="9">
        <f t="shared" si="7"/>
        <v>0</v>
      </c>
      <c r="K59" s="9">
        <f t="shared" si="7"/>
        <v>0</v>
      </c>
      <c r="L59" s="29" t="s">
        <v>182</v>
      </c>
    </row>
    <row r="60" spans="1:12"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29" t="s">
        <v>183</v>
      </c>
    </row>
    <row r="61" spans="1:12"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29" t="s">
        <v>184</v>
      </c>
    </row>
    <row r="62" spans="1:12"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29" t="s">
        <v>185</v>
      </c>
    </row>
    <row r="63" spans="1:12"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29" t="s">
        <v>186</v>
      </c>
    </row>
    <row r="64" spans="1:12"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29" t="s">
        <v>187</v>
      </c>
    </row>
    <row r="67" spans="1:12" ht="18" customHeight="1" x14ac:dyDescent="0.3">
      <c r="B67" s="32" t="str">
        <f>CONCATENATE("U",C20,C$17)</f>
        <v>U4X</v>
      </c>
      <c r="C67" s="32" t="str">
        <f>CONCATENATE("U",D20,D$17)</f>
        <v>U4Y</v>
      </c>
      <c r="D67" s="32" t="str">
        <f>CONCATENATE("U",E20,E$17)</f>
        <v>U5X</v>
      </c>
      <c r="E67" s="32" t="str">
        <f>CONCATENATE("U",F20,F$17)</f>
        <v>U5Y</v>
      </c>
    </row>
    <row r="68" spans="1:12" x14ac:dyDescent="0.3">
      <c r="B68" s="33">
        <f>J8*J8*N8</f>
        <v>72000</v>
      </c>
      <c r="C68" s="33">
        <f>J8*K8*N8</f>
        <v>0</v>
      </c>
      <c r="D68" s="33">
        <f>-B68</f>
        <v>-72000</v>
      </c>
      <c r="E68" s="33">
        <f>-C68</f>
        <v>0</v>
      </c>
      <c r="F68" s="32" t="str">
        <f>B67</f>
        <v>U4X</v>
      </c>
    </row>
    <row r="69" spans="1:12" ht="16.8" customHeight="1" x14ac:dyDescent="0.3">
      <c r="A69" s="28" t="s">
        <v>193</v>
      </c>
      <c r="B69" s="33">
        <f>C68</f>
        <v>0</v>
      </c>
      <c r="C69" s="33">
        <f>K8*K8*N8</f>
        <v>0</v>
      </c>
      <c r="D69" s="33">
        <f>-B69</f>
        <v>0</v>
      </c>
      <c r="E69" s="33">
        <f>-C69</f>
        <v>0</v>
      </c>
      <c r="F69" s="32" t="str">
        <f>C67</f>
        <v>U4Y</v>
      </c>
    </row>
    <row r="70" spans="1:12" x14ac:dyDescent="0.3">
      <c r="B70" s="33">
        <f>D68</f>
        <v>-72000</v>
      </c>
      <c r="C70" s="33">
        <f>E68</f>
        <v>0</v>
      </c>
      <c r="D70" s="33">
        <f>B68</f>
        <v>72000</v>
      </c>
      <c r="E70" s="33">
        <f>C68</f>
        <v>0</v>
      </c>
      <c r="F70" s="32" t="str">
        <f>D67</f>
        <v>U5X</v>
      </c>
    </row>
    <row r="71" spans="1:12" x14ac:dyDescent="0.3">
      <c r="B71" s="33">
        <f>D69</f>
        <v>0</v>
      </c>
      <c r="C71" s="33">
        <f>E69</f>
        <v>0</v>
      </c>
      <c r="D71" s="33">
        <f>B69</f>
        <v>0</v>
      </c>
      <c r="E71" s="33">
        <f>C69</f>
        <v>0</v>
      </c>
      <c r="F71" s="32" t="str">
        <f>E67</f>
        <v>U5Y</v>
      </c>
    </row>
    <row r="73" spans="1:12" ht="18" customHeight="1" x14ac:dyDescent="0.3">
      <c r="B73" s="32" t="s">
        <v>178</v>
      </c>
      <c r="C73" s="32" t="s">
        <v>179</v>
      </c>
      <c r="D73" s="32" t="s">
        <v>180</v>
      </c>
      <c r="E73" s="32" t="s">
        <v>181</v>
      </c>
      <c r="F73" s="32" t="s">
        <v>182</v>
      </c>
      <c r="G73" s="32" t="s">
        <v>183</v>
      </c>
      <c r="H73" s="32" t="s">
        <v>184</v>
      </c>
      <c r="I73" s="32" t="s">
        <v>185</v>
      </c>
      <c r="J73" s="32" t="s">
        <v>186</v>
      </c>
      <c r="K73" s="32" t="s">
        <v>187</v>
      </c>
    </row>
    <row r="74" spans="1:12" ht="19.05" customHeight="1" x14ac:dyDescent="0.3">
      <c r="B74" s="9">
        <f t="shared" ref="B74:K83" si="8">IFERROR(INDEX($B$68:$E$71, MATCH($L74, $B$67:$E$67, 0), MATCH(B$73, $B$67:$E$67, 0)), 0)</f>
        <v>0</v>
      </c>
      <c r="C74" s="9">
        <f t="shared" si="8"/>
        <v>0</v>
      </c>
      <c r="D74" s="9">
        <f t="shared" si="8"/>
        <v>0</v>
      </c>
      <c r="E74" s="9">
        <f t="shared" si="8"/>
        <v>0</v>
      </c>
      <c r="F74" s="9">
        <f t="shared" si="8"/>
        <v>0</v>
      </c>
      <c r="G74" s="9">
        <f t="shared" si="8"/>
        <v>0</v>
      </c>
      <c r="H74" s="9">
        <f t="shared" si="8"/>
        <v>0</v>
      </c>
      <c r="I74" s="9">
        <f t="shared" si="8"/>
        <v>0</v>
      </c>
      <c r="J74" s="9">
        <f t="shared" si="8"/>
        <v>0</v>
      </c>
      <c r="K74" s="9">
        <f t="shared" si="8"/>
        <v>0</v>
      </c>
      <c r="L74" s="32" t="s">
        <v>178</v>
      </c>
    </row>
    <row r="75" spans="1:12"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32" t="s">
        <v>179</v>
      </c>
    </row>
    <row r="76" spans="1:12" ht="19.05" customHeight="1" x14ac:dyDescent="0.3">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32" t="s">
        <v>180</v>
      </c>
    </row>
    <row r="77" spans="1:12"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32" t="s">
        <v>181</v>
      </c>
    </row>
    <row r="78" spans="1:12" ht="19.05" customHeight="1" x14ac:dyDescent="0.3">
      <c r="A78" s="28" t="s">
        <v>194</v>
      </c>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32" t="s">
        <v>182</v>
      </c>
    </row>
    <row r="79" spans="1:12"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32" t="s">
        <v>183</v>
      </c>
    </row>
    <row r="80" spans="1:12" ht="19.05" customHeight="1" x14ac:dyDescent="0.3">
      <c r="B80" s="9">
        <f t="shared" si="8"/>
        <v>0</v>
      </c>
      <c r="C80" s="9">
        <f t="shared" si="8"/>
        <v>0</v>
      </c>
      <c r="D80" s="9">
        <f t="shared" si="8"/>
        <v>0</v>
      </c>
      <c r="E80" s="9">
        <f t="shared" si="8"/>
        <v>0</v>
      </c>
      <c r="F80" s="9">
        <f t="shared" si="8"/>
        <v>0</v>
      </c>
      <c r="G80" s="9">
        <f t="shared" si="8"/>
        <v>0</v>
      </c>
      <c r="H80" s="34">
        <f t="shared" si="8"/>
        <v>72000</v>
      </c>
      <c r="I80" s="34">
        <f t="shared" si="8"/>
        <v>0</v>
      </c>
      <c r="J80" s="34">
        <f t="shared" si="8"/>
        <v>-72000</v>
      </c>
      <c r="K80" s="34">
        <f t="shared" si="8"/>
        <v>0</v>
      </c>
      <c r="L80" s="32" t="s">
        <v>184</v>
      </c>
    </row>
    <row r="81" spans="1:12" ht="19.05" customHeight="1" x14ac:dyDescent="0.3">
      <c r="B81" s="9">
        <f t="shared" si="8"/>
        <v>0</v>
      </c>
      <c r="C81" s="9">
        <f t="shared" si="8"/>
        <v>0</v>
      </c>
      <c r="D81" s="9">
        <f t="shared" si="8"/>
        <v>0</v>
      </c>
      <c r="E81" s="9">
        <f t="shared" si="8"/>
        <v>0</v>
      </c>
      <c r="F81" s="9">
        <f t="shared" si="8"/>
        <v>0</v>
      </c>
      <c r="G81" s="9">
        <f t="shared" si="8"/>
        <v>0</v>
      </c>
      <c r="H81" s="34">
        <f t="shared" si="8"/>
        <v>0</v>
      </c>
      <c r="I81" s="34">
        <f t="shared" si="8"/>
        <v>0</v>
      </c>
      <c r="J81" s="34">
        <f t="shared" si="8"/>
        <v>0</v>
      </c>
      <c r="K81" s="34">
        <f t="shared" si="8"/>
        <v>0</v>
      </c>
      <c r="L81" s="32" t="s">
        <v>185</v>
      </c>
    </row>
    <row r="82" spans="1:12" ht="19.05" customHeight="1" x14ac:dyDescent="0.3">
      <c r="B82" s="9">
        <f t="shared" si="8"/>
        <v>0</v>
      </c>
      <c r="C82" s="9">
        <f t="shared" si="8"/>
        <v>0</v>
      </c>
      <c r="D82" s="9">
        <f t="shared" si="8"/>
        <v>0</v>
      </c>
      <c r="E82" s="9">
        <f t="shared" si="8"/>
        <v>0</v>
      </c>
      <c r="F82" s="9">
        <f t="shared" si="8"/>
        <v>0</v>
      </c>
      <c r="G82" s="9">
        <f t="shared" si="8"/>
        <v>0</v>
      </c>
      <c r="H82" s="34">
        <f t="shared" si="8"/>
        <v>-72000</v>
      </c>
      <c r="I82" s="34">
        <f t="shared" si="8"/>
        <v>0</v>
      </c>
      <c r="J82" s="34">
        <f t="shared" si="8"/>
        <v>72000</v>
      </c>
      <c r="K82" s="34">
        <f t="shared" si="8"/>
        <v>0</v>
      </c>
      <c r="L82" s="32" t="s">
        <v>186</v>
      </c>
    </row>
    <row r="83" spans="1:12" ht="19.05" customHeight="1" x14ac:dyDescent="0.3">
      <c r="B83" s="9">
        <f t="shared" si="8"/>
        <v>0</v>
      </c>
      <c r="C83" s="9">
        <f t="shared" si="8"/>
        <v>0</v>
      </c>
      <c r="D83" s="9">
        <f t="shared" si="8"/>
        <v>0</v>
      </c>
      <c r="E83" s="9">
        <f t="shared" si="8"/>
        <v>0</v>
      </c>
      <c r="F83" s="9">
        <f t="shared" si="8"/>
        <v>0</v>
      </c>
      <c r="G83" s="9">
        <f t="shared" si="8"/>
        <v>0</v>
      </c>
      <c r="H83" s="34">
        <f t="shared" si="8"/>
        <v>0</v>
      </c>
      <c r="I83" s="34">
        <f t="shared" si="8"/>
        <v>0</v>
      </c>
      <c r="J83" s="34">
        <f t="shared" si="8"/>
        <v>0</v>
      </c>
      <c r="K83" s="34">
        <f t="shared" si="8"/>
        <v>0</v>
      </c>
      <c r="L83" s="32" t="s">
        <v>187</v>
      </c>
    </row>
    <row r="86" spans="1:12" ht="18" customHeight="1" x14ac:dyDescent="0.3">
      <c r="B86" s="45" t="str">
        <f>CONCATENATE("U",C21,C$17)</f>
        <v>U1X</v>
      </c>
      <c r="C86" s="45" t="str">
        <f>CONCATENATE("U",D21,D$17)</f>
        <v>U1Y</v>
      </c>
      <c r="D86" s="45" t="str">
        <f>CONCATENATE("U",E21,E$17)</f>
        <v>U4X</v>
      </c>
      <c r="E86" s="45" t="str">
        <f>CONCATENATE("U",F21,F$17)</f>
        <v>U4Y</v>
      </c>
    </row>
    <row r="87" spans="1:12" x14ac:dyDescent="0.3">
      <c r="B87" s="46">
        <f>J9*J9*N9</f>
        <v>0</v>
      </c>
      <c r="C87" s="46">
        <f>J9*K9*N9</f>
        <v>0</v>
      </c>
      <c r="D87" s="46">
        <f>-B87</f>
        <v>0</v>
      </c>
      <c r="E87" s="46">
        <f>-C87</f>
        <v>0</v>
      </c>
      <c r="F87" s="45" t="str">
        <f>B86</f>
        <v>U1X</v>
      </c>
    </row>
    <row r="88" spans="1:12" ht="16.8" customHeight="1" x14ac:dyDescent="0.3">
      <c r="A88" s="28" t="s">
        <v>195</v>
      </c>
      <c r="B88" s="46">
        <f>C87</f>
        <v>0</v>
      </c>
      <c r="C88" s="46">
        <f>K9*K9*N9</f>
        <v>84000</v>
      </c>
      <c r="D88" s="46">
        <f>-B88</f>
        <v>0</v>
      </c>
      <c r="E88" s="46">
        <f>-C88</f>
        <v>-84000</v>
      </c>
      <c r="F88" s="45" t="str">
        <f>C86</f>
        <v>U1Y</v>
      </c>
    </row>
    <row r="89" spans="1:12" x14ac:dyDescent="0.3">
      <c r="B89" s="46">
        <f>D87</f>
        <v>0</v>
      </c>
      <c r="C89" s="46">
        <f>E87</f>
        <v>0</v>
      </c>
      <c r="D89" s="46">
        <f>B87</f>
        <v>0</v>
      </c>
      <c r="E89" s="46">
        <f>C87</f>
        <v>0</v>
      </c>
      <c r="F89" s="45" t="str">
        <f>D86</f>
        <v>U4X</v>
      </c>
    </row>
    <row r="90" spans="1:12" x14ac:dyDescent="0.3">
      <c r="B90" s="46">
        <f>D88</f>
        <v>0</v>
      </c>
      <c r="C90" s="46">
        <f>E88</f>
        <v>-84000</v>
      </c>
      <c r="D90" s="46">
        <f>B88</f>
        <v>0</v>
      </c>
      <c r="E90" s="46">
        <f>C88</f>
        <v>84000</v>
      </c>
      <c r="F90" s="45" t="str">
        <f>E86</f>
        <v>U4Y</v>
      </c>
    </row>
    <row r="92" spans="1:12" ht="18" customHeight="1" x14ac:dyDescent="0.3">
      <c r="B92" s="45" t="s">
        <v>178</v>
      </c>
      <c r="C92" s="45" t="s">
        <v>179</v>
      </c>
      <c r="D92" s="45" t="s">
        <v>180</v>
      </c>
      <c r="E92" s="45" t="s">
        <v>181</v>
      </c>
      <c r="F92" s="45" t="s">
        <v>182</v>
      </c>
      <c r="G92" s="45" t="s">
        <v>183</v>
      </c>
      <c r="H92" s="45" t="s">
        <v>184</v>
      </c>
      <c r="I92" s="45" t="s">
        <v>185</v>
      </c>
      <c r="J92" s="45" t="s">
        <v>186</v>
      </c>
      <c r="K92" s="45" t="s">
        <v>187</v>
      </c>
    </row>
    <row r="93" spans="1:12" ht="19.05" customHeight="1" x14ac:dyDescent="0.3">
      <c r="B93" s="47">
        <f t="shared" ref="B93:K102" si="9">IFERROR(INDEX($B$87:$E$90, MATCH($L93, $B$86:$E$86, 0), MATCH(B$92, $B$86:$E$86, 0)), 0)</f>
        <v>0</v>
      </c>
      <c r="C93" s="47">
        <f t="shared" si="9"/>
        <v>0</v>
      </c>
      <c r="D93" s="9">
        <f t="shared" si="9"/>
        <v>0</v>
      </c>
      <c r="E93" s="9">
        <f t="shared" si="9"/>
        <v>0</v>
      </c>
      <c r="F93" s="9">
        <f t="shared" si="9"/>
        <v>0</v>
      </c>
      <c r="G93" s="9">
        <f t="shared" si="9"/>
        <v>0</v>
      </c>
      <c r="H93" s="47">
        <f t="shared" si="9"/>
        <v>0</v>
      </c>
      <c r="I93" s="47">
        <f t="shared" si="9"/>
        <v>0</v>
      </c>
      <c r="J93" s="9">
        <f t="shared" si="9"/>
        <v>0</v>
      </c>
      <c r="K93" s="9">
        <f t="shared" si="9"/>
        <v>0</v>
      </c>
      <c r="L93" s="45" t="s">
        <v>178</v>
      </c>
    </row>
    <row r="94" spans="1:12" ht="19.05" customHeight="1" x14ac:dyDescent="0.3">
      <c r="B94" s="47">
        <f t="shared" si="9"/>
        <v>0</v>
      </c>
      <c r="C94" s="47">
        <f t="shared" si="9"/>
        <v>84000</v>
      </c>
      <c r="D94" s="9">
        <f t="shared" si="9"/>
        <v>0</v>
      </c>
      <c r="E94" s="9">
        <f t="shared" si="9"/>
        <v>0</v>
      </c>
      <c r="F94" s="9">
        <f t="shared" si="9"/>
        <v>0</v>
      </c>
      <c r="G94" s="9">
        <f t="shared" si="9"/>
        <v>0</v>
      </c>
      <c r="H94" s="47">
        <f t="shared" si="9"/>
        <v>0</v>
      </c>
      <c r="I94" s="47">
        <f t="shared" si="9"/>
        <v>-84000</v>
      </c>
      <c r="J94" s="9">
        <f t="shared" si="9"/>
        <v>0</v>
      </c>
      <c r="K94" s="9">
        <f t="shared" si="9"/>
        <v>0</v>
      </c>
      <c r="L94" s="45" t="s">
        <v>179</v>
      </c>
    </row>
    <row r="95" spans="1:12" ht="19.05" customHeight="1" x14ac:dyDescent="0.3">
      <c r="B95" s="9">
        <f t="shared" si="9"/>
        <v>0</v>
      </c>
      <c r="C95" s="9">
        <f t="shared" si="9"/>
        <v>0</v>
      </c>
      <c r="D95" s="9">
        <f t="shared" si="9"/>
        <v>0</v>
      </c>
      <c r="E95" s="9">
        <f t="shared" si="9"/>
        <v>0</v>
      </c>
      <c r="F95" s="9">
        <f t="shared" si="9"/>
        <v>0</v>
      </c>
      <c r="G95" s="9">
        <f t="shared" si="9"/>
        <v>0</v>
      </c>
      <c r="H95" s="9">
        <f t="shared" si="9"/>
        <v>0</v>
      </c>
      <c r="I95" s="9">
        <f t="shared" si="9"/>
        <v>0</v>
      </c>
      <c r="J95" s="9">
        <f t="shared" si="9"/>
        <v>0</v>
      </c>
      <c r="K95" s="9">
        <f t="shared" si="9"/>
        <v>0</v>
      </c>
      <c r="L95" s="45" t="s">
        <v>180</v>
      </c>
    </row>
    <row r="96" spans="1:12" ht="19.05" customHeight="1" x14ac:dyDescent="0.3">
      <c r="B96" s="9">
        <f t="shared" si="9"/>
        <v>0</v>
      </c>
      <c r="C96" s="9">
        <f t="shared" si="9"/>
        <v>0</v>
      </c>
      <c r="D96" s="9">
        <f t="shared" si="9"/>
        <v>0</v>
      </c>
      <c r="E96" s="9">
        <f t="shared" si="9"/>
        <v>0</v>
      </c>
      <c r="F96" s="9">
        <f t="shared" si="9"/>
        <v>0</v>
      </c>
      <c r="G96" s="9">
        <f t="shared" si="9"/>
        <v>0</v>
      </c>
      <c r="H96" s="9">
        <f t="shared" si="9"/>
        <v>0</v>
      </c>
      <c r="I96" s="9">
        <f t="shared" si="9"/>
        <v>0</v>
      </c>
      <c r="J96" s="9">
        <f t="shared" si="9"/>
        <v>0</v>
      </c>
      <c r="K96" s="9">
        <f t="shared" si="9"/>
        <v>0</v>
      </c>
      <c r="L96" s="45" t="s">
        <v>181</v>
      </c>
    </row>
    <row r="97" spans="1:12" ht="19.05" customHeight="1" x14ac:dyDescent="0.3">
      <c r="A97" s="28" t="s">
        <v>196</v>
      </c>
      <c r="B97" s="9">
        <f t="shared" si="9"/>
        <v>0</v>
      </c>
      <c r="C97" s="9">
        <f t="shared" si="9"/>
        <v>0</v>
      </c>
      <c r="D97" s="9">
        <f t="shared" si="9"/>
        <v>0</v>
      </c>
      <c r="E97" s="9">
        <f t="shared" si="9"/>
        <v>0</v>
      </c>
      <c r="F97" s="9">
        <f t="shared" si="9"/>
        <v>0</v>
      </c>
      <c r="G97" s="9">
        <f t="shared" si="9"/>
        <v>0</v>
      </c>
      <c r="H97" s="9">
        <f t="shared" si="9"/>
        <v>0</v>
      </c>
      <c r="I97" s="9">
        <f t="shared" si="9"/>
        <v>0</v>
      </c>
      <c r="J97" s="9">
        <f t="shared" si="9"/>
        <v>0</v>
      </c>
      <c r="K97" s="9">
        <f t="shared" si="9"/>
        <v>0</v>
      </c>
      <c r="L97" s="45" t="s">
        <v>182</v>
      </c>
    </row>
    <row r="98" spans="1:12" ht="19.05" customHeight="1" x14ac:dyDescent="0.3">
      <c r="B98" s="9">
        <f t="shared" si="9"/>
        <v>0</v>
      </c>
      <c r="C98" s="9">
        <f t="shared" si="9"/>
        <v>0</v>
      </c>
      <c r="D98" s="9">
        <f t="shared" si="9"/>
        <v>0</v>
      </c>
      <c r="E98" s="9">
        <f t="shared" si="9"/>
        <v>0</v>
      </c>
      <c r="F98" s="9">
        <f t="shared" si="9"/>
        <v>0</v>
      </c>
      <c r="G98" s="9">
        <f t="shared" si="9"/>
        <v>0</v>
      </c>
      <c r="H98" s="9">
        <f t="shared" si="9"/>
        <v>0</v>
      </c>
      <c r="I98" s="9">
        <f t="shared" si="9"/>
        <v>0</v>
      </c>
      <c r="J98" s="9">
        <f t="shared" si="9"/>
        <v>0</v>
      </c>
      <c r="K98" s="9">
        <f t="shared" si="9"/>
        <v>0</v>
      </c>
      <c r="L98" s="45" t="s">
        <v>183</v>
      </c>
    </row>
    <row r="99" spans="1:12" ht="19.05" customHeight="1" x14ac:dyDescent="0.3">
      <c r="B99" s="47">
        <f t="shared" si="9"/>
        <v>0</v>
      </c>
      <c r="C99" s="47">
        <f t="shared" si="9"/>
        <v>0</v>
      </c>
      <c r="D99" s="9">
        <f t="shared" si="9"/>
        <v>0</v>
      </c>
      <c r="E99" s="9">
        <f t="shared" si="9"/>
        <v>0</v>
      </c>
      <c r="F99" s="9">
        <f t="shared" si="9"/>
        <v>0</v>
      </c>
      <c r="G99" s="9">
        <f t="shared" si="9"/>
        <v>0</v>
      </c>
      <c r="H99" s="47">
        <f t="shared" si="9"/>
        <v>0</v>
      </c>
      <c r="I99" s="47">
        <f t="shared" si="9"/>
        <v>0</v>
      </c>
      <c r="J99" s="9">
        <f t="shared" si="9"/>
        <v>0</v>
      </c>
      <c r="K99" s="9">
        <f t="shared" si="9"/>
        <v>0</v>
      </c>
      <c r="L99" s="45" t="s">
        <v>184</v>
      </c>
    </row>
    <row r="100" spans="1:12" ht="19.05" customHeight="1" x14ac:dyDescent="0.3">
      <c r="B100" s="47">
        <f t="shared" si="9"/>
        <v>0</v>
      </c>
      <c r="C100" s="47">
        <f t="shared" si="9"/>
        <v>-84000</v>
      </c>
      <c r="D100" s="9">
        <f t="shared" si="9"/>
        <v>0</v>
      </c>
      <c r="E100" s="9">
        <f t="shared" si="9"/>
        <v>0</v>
      </c>
      <c r="F100" s="9">
        <f t="shared" si="9"/>
        <v>0</v>
      </c>
      <c r="G100" s="9">
        <f t="shared" si="9"/>
        <v>0</v>
      </c>
      <c r="H100" s="47">
        <f t="shared" si="9"/>
        <v>0</v>
      </c>
      <c r="I100" s="47">
        <f t="shared" si="9"/>
        <v>84000</v>
      </c>
      <c r="J100" s="9">
        <f t="shared" si="9"/>
        <v>0</v>
      </c>
      <c r="K100" s="9">
        <f t="shared" si="9"/>
        <v>0</v>
      </c>
      <c r="L100" s="45" t="s">
        <v>185</v>
      </c>
    </row>
    <row r="101" spans="1:12"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45" t="s">
        <v>186</v>
      </c>
    </row>
    <row r="102" spans="1:12"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45" t="s">
        <v>187</v>
      </c>
    </row>
    <row r="105" spans="1:12" ht="18" customHeight="1" x14ac:dyDescent="0.3">
      <c r="B105" s="48" t="str">
        <f>CONCATENATE("U",C22,C$17)</f>
        <v>U2X</v>
      </c>
      <c r="C105" s="48" t="str">
        <f>CONCATENATE("U",D22,D$17)</f>
        <v>U2Y</v>
      </c>
      <c r="D105" s="48" t="str">
        <f>CONCATENATE("U",E22,E$17)</f>
        <v>U5X</v>
      </c>
      <c r="E105" s="48" t="str">
        <f>CONCATENATE("U",F22,F$17)</f>
        <v>U5Y</v>
      </c>
    </row>
    <row r="106" spans="1:12" x14ac:dyDescent="0.3">
      <c r="B106" s="49">
        <f>J10*J10*N10</f>
        <v>0</v>
      </c>
      <c r="C106" s="49">
        <f>J10*K10*N10</f>
        <v>0</v>
      </c>
      <c r="D106" s="49">
        <f>-B106</f>
        <v>0</v>
      </c>
      <c r="E106" s="49">
        <f>-C106</f>
        <v>0</v>
      </c>
      <c r="F106" s="48" t="str">
        <f>B105</f>
        <v>U2X</v>
      </c>
    </row>
    <row r="107" spans="1:12" ht="16.8" customHeight="1" x14ac:dyDescent="0.3">
      <c r="A107" s="28" t="s">
        <v>197</v>
      </c>
      <c r="B107" s="49">
        <f>C106</f>
        <v>0</v>
      </c>
      <c r="C107" s="49">
        <f>K10*K10*N10</f>
        <v>84000</v>
      </c>
      <c r="D107" s="49">
        <f>-B107</f>
        <v>0</v>
      </c>
      <c r="E107" s="49">
        <f>-C107</f>
        <v>-84000</v>
      </c>
      <c r="F107" s="48" t="str">
        <f>C105</f>
        <v>U2Y</v>
      </c>
    </row>
    <row r="108" spans="1:12" x14ac:dyDescent="0.3">
      <c r="B108" s="49">
        <f>D106</f>
        <v>0</v>
      </c>
      <c r="C108" s="49">
        <f>E106</f>
        <v>0</v>
      </c>
      <c r="D108" s="49">
        <f>B106</f>
        <v>0</v>
      </c>
      <c r="E108" s="49">
        <f>C106</f>
        <v>0</v>
      </c>
      <c r="F108" s="48" t="str">
        <f>D105</f>
        <v>U5X</v>
      </c>
    </row>
    <row r="109" spans="1:12" x14ac:dyDescent="0.3">
      <c r="B109" s="49">
        <f>D107</f>
        <v>0</v>
      </c>
      <c r="C109" s="49">
        <f>E107</f>
        <v>-84000</v>
      </c>
      <c r="D109" s="49">
        <f>B107</f>
        <v>0</v>
      </c>
      <c r="E109" s="49">
        <f>C107</f>
        <v>84000</v>
      </c>
      <c r="F109" s="48" t="str">
        <f>E105</f>
        <v>U5Y</v>
      </c>
    </row>
    <row r="111" spans="1:12" ht="18" customHeight="1" x14ac:dyDescent="0.3">
      <c r="B111" s="48" t="s">
        <v>178</v>
      </c>
      <c r="C111" s="48" t="s">
        <v>179</v>
      </c>
      <c r="D111" s="48" t="s">
        <v>180</v>
      </c>
      <c r="E111" s="48" t="s">
        <v>181</v>
      </c>
      <c r="F111" s="48" t="s">
        <v>182</v>
      </c>
      <c r="G111" s="48" t="s">
        <v>183</v>
      </c>
      <c r="H111" s="48" t="s">
        <v>184</v>
      </c>
      <c r="I111" s="48" t="s">
        <v>185</v>
      </c>
      <c r="J111" s="48" t="s">
        <v>186</v>
      </c>
      <c r="K111" s="48" t="s">
        <v>187</v>
      </c>
    </row>
    <row r="112" spans="1:12" ht="19.05" customHeight="1" x14ac:dyDescent="0.3">
      <c r="B112" s="9">
        <f t="shared" ref="B112:K121" si="10">IFERROR(INDEX($B$106:$E$109, MATCH($L112, $B$105:$E$105, 0), MATCH(B$111, $B$105:$E$105, 0)), 0)</f>
        <v>0</v>
      </c>
      <c r="C112" s="9">
        <f t="shared" si="10"/>
        <v>0</v>
      </c>
      <c r="D112" s="9">
        <f t="shared" si="10"/>
        <v>0</v>
      </c>
      <c r="E112" s="9">
        <f t="shared" si="10"/>
        <v>0</v>
      </c>
      <c r="F112" s="9">
        <f t="shared" si="10"/>
        <v>0</v>
      </c>
      <c r="G112" s="9">
        <f t="shared" si="10"/>
        <v>0</v>
      </c>
      <c r="H112" s="9">
        <f t="shared" si="10"/>
        <v>0</v>
      </c>
      <c r="I112" s="9">
        <f t="shared" si="10"/>
        <v>0</v>
      </c>
      <c r="J112" s="9">
        <f t="shared" si="10"/>
        <v>0</v>
      </c>
      <c r="K112" s="9">
        <f t="shared" si="10"/>
        <v>0</v>
      </c>
      <c r="L112" s="48" t="s">
        <v>178</v>
      </c>
    </row>
    <row r="113" spans="1:12" ht="19.05" customHeight="1" x14ac:dyDescent="0.3">
      <c r="B113" s="9">
        <f t="shared" si="10"/>
        <v>0</v>
      </c>
      <c r="C113" s="9">
        <f t="shared" si="10"/>
        <v>0</v>
      </c>
      <c r="D113" s="9">
        <f t="shared" si="10"/>
        <v>0</v>
      </c>
      <c r="E113" s="9">
        <f t="shared" si="10"/>
        <v>0</v>
      </c>
      <c r="F113" s="9">
        <f t="shared" si="10"/>
        <v>0</v>
      </c>
      <c r="G113" s="9">
        <f t="shared" si="10"/>
        <v>0</v>
      </c>
      <c r="H113" s="9">
        <f t="shared" si="10"/>
        <v>0</v>
      </c>
      <c r="I113" s="9">
        <f t="shared" si="10"/>
        <v>0</v>
      </c>
      <c r="J113" s="9">
        <f t="shared" si="10"/>
        <v>0</v>
      </c>
      <c r="K113" s="9">
        <f t="shared" si="10"/>
        <v>0</v>
      </c>
      <c r="L113" s="48" t="s">
        <v>179</v>
      </c>
    </row>
    <row r="114" spans="1:12" ht="19.05" customHeight="1" x14ac:dyDescent="0.3">
      <c r="B114" s="9">
        <f t="shared" si="10"/>
        <v>0</v>
      </c>
      <c r="C114" s="9">
        <f t="shared" si="10"/>
        <v>0</v>
      </c>
      <c r="D114" s="50">
        <f t="shared" si="10"/>
        <v>0</v>
      </c>
      <c r="E114" s="50">
        <f t="shared" si="10"/>
        <v>0</v>
      </c>
      <c r="F114" s="9">
        <f t="shared" si="10"/>
        <v>0</v>
      </c>
      <c r="G114" s="9">
        <f t="shared" si="10"/>
        <v>0</v>
      </c>
      <c r="H114" s="9">
        <f t="shared" si="10"/>
        <v>0</v>
      </c>
      <c r="I114" s="9">
        <f t="shared" si="10"/>
        <v>0</v>
      </c>
      <c r="J114" s="50">
        <f t="shared" si="10"/>
        <v>0</v>
      </c>
      <c r="K114" s="50">
        <f t="shared" si="10"/>
        <v>0</v>
      </c>
      <c r="L114" s="48" t="s">
        <v>180</v>
      </c>
    </row>
    <row r="115" spans="1:12" ht="19.05" customHeight="1" x14ac:dyDescent="0.3">
      <c r="B115" s="9">
        <f t="shared" si="10"/>
        <v>0</v>
      </c>
      <c r="C115" s="9">
        <f t="shared" si="10"/>
        <v>0</v>
      </c>
      <c r="D115" s="50">
        <f t="shared" si="10"/>
        <v>0</v>
      </c>
      <c r="E115" s="50">
        <f t="shared" si="10"/>
        <v>84000</v>
      </c>
      <c r="F115" s="9">
        <f t="shared" si="10"/>
        <v>0</v>
      </c>
      <c r="G115" s="9">
        <f t="shared" si="10"/>
        <v>0</v>
      </c>
      <c r="H115" s="9">
        <f t="shared" si="10"/>
        <v>0</v>
      </c>
      <c r="I115" s="9">
        <f t="shared" si="10"/>
        <v>0</v>
      </c>
      <c r="J115" s="50">
        <f t="shared" si="10"/>
        <v>0</v>
      </c>
      <c r="K115" s="50">
        <f t="shared" si="10"/>
        <v>-84000</v>
      </c>
      <c r="L115" s="48" t="s">
        <v>181</v>
      </c>
    </row>
    <row r="116" spans="1:12" ht="19.05" customHeight="1" x14ac:dyDescent="0.3">
      <c r="A116" s="28" t="s">
        <v>198</v>
      </c>
      <c r="B116" s="9">
        <f t="shared" si="10"/>
        <v>0</v>
      </c>
      <c r="C116" s="9">
        <f t="shared" si="10"/>
        <v>0</v>
      </c>
      <c r="D116" s="9">
        <f t="shared" si="10"/>
        <v>0</v>
      </c>
      <c r="E116" s="9">
        <f t="shared" si="10"/>
        <v>0</v>
      </c>
      <c r="F116" s="9">
        <f t="shared" si="10"/>
        <v>0</v>
      </c>
      <c r="G116" s="9">
        <f t="shared" si="10"/>
        <v>0</v>
      </c>
      <c r="H116" s="9">
        <f t="shared" si="10"/>
        <v>0</v>
      </c>
      <c r="I116" s="9">
        <f t="shared" si="10"/>
        <v>0</v>
      </c>
      <c r="J116" s="9">
        <f t="shared" si="10"/>
        <v>0</v>
      </c>
      <c r="K116" s="9">
        <f t="shared" si="10"/>
        <v>0</v>
      </c>
      <c r="L116" s="48" t="s">
        <v>182</v>
      </c>
    </row>
    <row r="117" spans="1:12" ht="19.05" customHeight="1" x14ac:dyDescent="0.3">
      <c r="B117" s="9">
        <f t="shared" si="10"/>
        <v>0</v>
      </c>
      <c r="C117" s="9">
        <f t="shared" si="10"/>
        <v>0</v>
      </c>
      <c r="D117" s="9">
        <f t="shared" si="10"/>
        <v>0</v>
      </c>
      <c r="E117" s="9">
        <f t="shared" si="10"/>
        <v>0</v>
      </c>
      <c r="F117" s="9">
        <f t="shared" si="10"/>
        <v>0</v>
      </c>
      <c r="G117" s="9">
        <f t="shared" si="10"/>
        <v>0</v>
      </c>
      <c r="H117" s="9">
        <f t="shared" si="10"/>
        <v>0</v>
      </c>
      <c r="I117" s="9">
        <f t="shared" si="10"/>
        <v>0</v>
      </c>
      <c r="J117" s="9">
        <f t="shared" si="10"/>
        <v>0</v>
      </c>
      <c r="K117" s="9">
        <f t="shared" si="10"/>
        <v>0</v>
      </c>
      <c r="L117" s="48" t="s">
        <v>183</v>
      </c>
    </row>
    <row r="118" spans="1:12" ht="19.05" customHeight="1" x14ac:dyDescent="0.3">
      <c r="B118" s="9">
        <f t="shared" si="10"/>
        <v>0</v>
      </c>
      <c r="C118" s="9">
        <f t="shared" si="10"/>
        <v>0</v>
      </c>
      <c r="D118" s="9">
        <f t="shared" si="10"/>
        <v>0</v>
      </c>
      <c r="E118" s="9">
        <f t="shared" si="10"/>
        <v>0</v>
      </c>
      <c r="F118" s="9">
        <f t="shared" si="10"/>
        <v>0</v>
      </c>
      <c r="G118" s="9">
        <f t="shared" si="10"/>
        <v>0</v>
      </c>
      <c r="H118" s="9">
        <f t="shared" si="10"/>
        <v>0</v>
      </c>
      <c r="I118" s="9">
        <f t="shared" si="10"/>
        <v>0</v>
      </c>
      <c r="J118" s="9">
        <f t="shared" si="10"/>
        <v>0</v>
      </c>
      <c r="K118" s="9">
        <f t="shared" si="10"/>
        <v>0</v>
      </c>
      <c r="L118" s="48" t="s">
        <v>184</v>
      </c>
    </row>
    <row r="119" spans="1:12"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9">
        <f t="shared" si="10"/>
        <v>0</v>
      </c>
      <c r="K119" s="9">
        <f t="shared" si="10"/>
        <v>0</v>
      </c>
      <c r="L119" s="48" t="s">
        <v>185</v>
      </c>
    </row>
    <row r="120" spans="1:12" ht="19.05" customHeight="1" x14ac:dyDescent="0.3">
      <c r="B120" s="9">
        <f t="shared" si="10"/>
        <v>0</v>
      </c>
      <c r="C120" s="9">
        <f t="shared" si="10"/>
        <v>0</v>
      </c>
      <c r="D120" s="50">
        <f t="shared" si="10"/>
        <v>0</v>
      </c>
      <c r="E120" s="50">
        <f t="shared" si="10"/>
        <v>0</v>
      </c>
      <c r="F120" s="9">
        <f t="shared" si="10"/>
        <v>0</v>
      </c>
      <c r="G120" s="9">
        <f t="shared" si="10"/>
        <v>0</v>
      </c>
      <c r="H120" s="9">
        <f t="shared" si="10"/>
        <v>0</v>
      </c>
      <c r="I120" s="9">
        <f t="shared" si="10"/>
        <v>0</v>
      </c>
      <c r="J120" s="50">
        <f t="shared" si="10"/>
        <v>0</v>
      </c>
      <c r="K120" s="50">
        <f t="shared" si="10"/>
        <v>0</v>
      </c>
      <c r="L120" s="48" t="s">
        <v>186</v>
      </c>
    </row>
    <row r="121" spans="1:12" ht="19.05" customHeight="1" x14ac:dyDescent="0.3">
      <c r="B121" s="9">
        <f t="shared" si="10"/>
        <v>0</v>
      </c>
      <c r="C121" s="9">
        <f t="shared" si="10"/>
        <v>0</v>
      </c>
      <c r="D121" s="50">
        <f t="shared" si="10"/>
        <v>0</v>
      </c>
      <c r="E121" s="50">
        <f t="shared" si="10"/>
        <v>-84000</v>
      </c>
      <c r="F121" s="9">
        <f t="shared" si="10"/>
        <v>0</v>
      </c>
      <c r="G121" s="9">
        <f t="shared" si="10"/>
        <v>0</v>
      </c>
      <c r="H121" s="9">
        <f t="shared" si="10"/>
        <v>0</v>
      </c>
      <c r="I121" s="9">
        <f t="shared" si="10"/>
        <v>0</v>
      </c>
      <c r="J121" s="50">
        <f t="shared" si="10"/>
        <v>0</v>
      </c>
      <c r="K121" s="50">
        <f t="shared" si="10"/>
        <v>84000</v>
      </c>
      <c r="L121" s="48" t="s">
        <v>187</v>
      </c>
    </row>
    <row r="124" spans="1:12" ht="18" customHeight="1" x14ac:dyDescent="0.3">
      <c r="B124" s="53" t="str">
        <f>CONCATENATE("U",C23,C$17)</f>
        <v>U1X</v>
      </c>
      <c r="C124" s="53" t="str">
        <f>CONCATENATE("U",D23,D$17)</f>
        <v>U1Y</v>
      </c>
      <c r="D124" s="53" t="str">
        <f>CONCATENATE("U",E23,E$17)</f>
        <v>U5X</v>
      </c>
      <c r="E124" s="53" t="str">
        <f>CONCATENATE("U",F23,F$17)</f>
        <v>U5Y</v>
      </c>
    </row>
    <row r="125" spans="1:12" x14ac:dyDescent="0.3">
      <c r="B125" s="54">
        <f>J11*J11*N11</f>
        <v>31513.615213467838</v>
      </c>
      <c r="C125" s="54">
        <f>J11*K11*N11</f>
        <v>27011.670182972433</v>
      </c>
      <c r="D125" s="54">
        <f>-B125</f>
        <v>-31513.615213467838</v>
      </c>
      <c r="E125" s="54">
        <f>-C125</f>
        <v>-27011.670182972433</v>
      </c>
      <c r="F125" s="53" t="str">
        <f>B124</f>
        <v>U1X</v>
      </c>
    </row>
    <row r="126" spans="1:12" ht="16.8" customHeight="1" x14ac:dyDescent="0.3">
      <c r="A126" s="28" t="s">
        <v>199</v>
      </c>
      <c r="B126" s="54">
        <f>C125</f>
        <v>27011.670182972433</v>
      </c>
      <c r="C126" s="54">
        <f>K11*K11*N11</f>
        <v>23152.860156833514</v>
      </c>
      <c r="D126" s="54">
        <f>-B126</f>
        <v>-27011.670182972433</v>
      </c>
      <c r="E126" s="54">
        <f>-C126</f>
        <v>-23152.860156833514</v>
      </c>
      <c r="F126" s="53" t="str">
        <f>C124</f>
        <v>U1Y</v>
      </c>
    </row>
    <row r="127" spans="1:12" x14ac:dyDescent="0.3">
      <c r="B127" s="54">
        <f>D125</f>
        <v>-31513.615213467838</v>
      </c>
      <c r="C127" s="54">
        <f>E125</f>
        <v>-27011.670182972433</v>
      </c>
      <c r="D127" s="54">
        <f>B125</f>
        <v>31513.615213467838</v>
      </c>
      <c r="E127" s="54">
        <f>C125</f>
        <v>27011.670182972433</v>
      </c>
      <c r="F127" s="53" t="str">
        <f>D124</f>
        <v>U5X</v>
      </c>
    </row>
    <row r="128" spans="1:12" x14ac:dyDescent="0.3">
      <c r="B128" s="54">
        <f>D126</f>
        <v>-27011.670182972433</v>
      </c>
      <c r="C128" s="54">
        <f>E126</f>
        <v>-23152.860156833514</v>
      </c>
      <c r="D128" s="54">
        <f>B126</f>
        <v>27011.670182972433</v>
      </c>
      <c r="E128" s="54">
        <f>C126</f>
        <v>23152.860156833514</v>
      </c>
      <c r="F128" s="53" t="str">
        <f>E124</f>
        <v>U5Y</v>
      </c>
    </row>
    <row r="130" spans="1:12" ht="18" customHeight="1" x14ac:dyDescent="0.3">
      <c r="B130" s="53" t="s">
        <v>178</v>
      </c>
      <c r="C130" s="53" t="s">
        <v>179</v>
      </c>
      <c r="D130" s="53" t="s">
        <v>180</v>
      </c>
      <c r="E130" s="53" t="s">
        <v>181</v>
      </c>
      <c r="F130" s="53" t="s">
        <v>182</v>
      </c>
      <c r="G130" s="53" t="s">
        <v>183</v>
      </c>
      <c r="H130" s="53" t="s">
        <v>184</v>
      </c>
      <c r="I130" s="53" t="s">
        <v>185</v>
      </c>
      <c r="J130" s="53" t="s">
        <v>186</v>
      </c>
      <c r="K130" s="53" t="s">
        <v>187</v>
      </c>
    </row>
    <row r="131" spans="1:12" ht="19.05" customHeight="1" x14ac:dyDescent="0.3">
      <c r="B131" s="55">
        <f t="shared" ref="B131:K140" si="11">IFERROR(INDEX($B$125:$E$128, MATCH($L131, $B$124:$E$124, 0), MATCH(B$130, $B$124:$E$124, 0)), 0)</f>
        <v>31513.615213467838</v>
      </c>
      <c r="C131" s="55">
        <f t="shared" si="11"/>
        <v>27011.670182972433</v>
      </c>
      <c r="D131" s="9">
        <f t="shared" si="11"/>
        <v>0</v>
      </c>
      <c r="E131" s="9">
        <f t="shared" si="11"/>
        <v>0</v>
      </c>
      <c r="F131" s="9">
        <f t="shared" si="11"/>
        <v>0</v>
      </c>
      <c r="G131" s="9">
        <f t="shared" si="11"/>
        <v>0</v>
      </c>
      <c r="H131" s="9">
        <f t="shared" si="11"/>
        <v>0</v>
      </c>
      <c r="I131" s="9">
        <f t="shared" si="11"/>
        <v>0</v>
      </c>
      <c r="J131" s="55">
        <f t="shared" si="11"/>
        <v>-31513.615213467838</v>
      </c>
      <c r="K131" s="55">
        <f t="shared" si="11"/>
        <v>-27011.670182972433</v>
      </c>
      <c r="L131" s="53" t="s">
        <v>178</v>
      </c>
    </row>
    <row r="132" spans="1:12" ht="19.05" customHeight="1" x14ac:dyDescent="0.3">
      <c r="B132" s="55">
        <f t="shared" si="11"/>
        <v>27011.670182972433</v>
      </c>
      <c r="C132" s="55">
        <f t="shared" si="11"/>
        <v>23152.860156833514</v>
      </c>
      <c r="D132" s="9">
        <f t="shared" si="11"/>
        <v>0</v>
      </c>
      <c r="E132" s="9">
        <f t="shared" si="11"/>
        <v>0</v>
      </c>
      <c r="F132" s="9">
        <f t="shared" si="11"/>
        <v>0</v>
      </c>
      <c r="G132" s="9">
        <f t="shared" si="11"/>
        <v>0</v>
      </c>
      <c r="H132" s="9">
        <f t="shared" si="11"/>
        <v>0</v>
      </c>
      <c r="I132" s="9">
        <f t="shared" si="11"/>
        <v>0</v>
      </c>
      <c r="J132" s="55">
        <f t="shared" si="11"/>
        <v>-27011.670182972433</v>
      </c>
      <c r="K132" s="55">
        <f t="shared" si="11"/>
        <v>-23152.860156833514</v>
      </c>
      <c r="L132" s="53" t="s">
        <v>179</v>
      </c>
    </row>
    <row r="133" spans="1:12" ht="19.05" customHeight="1" x14ac:dyDescent="0.3">
      <c r="B133" s="9">
        <f t="shared" si="11"/>
        <v>0</v>
      </c>
      <c r="C133" s="9">
        <f t="shared" si="11"/>
        <v>0</v>
      </c>
      <c r="D133" s="9">
        <f t="shared" si="11"/>
        <v>0</v>
      </c>
      <c r="E133" s="9">
        <f t="shared" si="11"/>
        <v>0</v>
      </c>
      <c r="F133" s="9">
        <f t="shared" si="11"/>
        <v>0</v>
      </c>
      <c r="G133" s="9">
        <f t="shared" si="11"/>
        <v>0</v>
      </c>
      <c r="H133" s="9">
        <f t="shared" si="11"/>
        <v>0</v>
      </c>
      <c r="I133" s="9">
        <f t="shared" si="11"/>
        <v>0</v>
      </c>
      <c r="J133" s="9">
        <f t="shared" si="11"/>
        <v>0</v>
      </c>
      <c r="K133" s="9">
        <f t="shared" si="11"/>
        <v>0</v>
      </c>
      <c r="L133" s="53" t="s">
        <v>180</v>
      </c>
    </row>
    <row r="134" spans="1:12" ht="19.05" customHeight="1" x14ac:dyDescent="0.3">
      <c r="B134" s="9">
        <f t="shared" si="11"/>
        <v>0</v>
      </c>
      <c r="C134" s="9">
        <f t="shared" si="11"/>
        <v>0</v>
      </c>
      <c r="D134" s="9">
        <f t="shared" si="11"/>
        <v>0</v>
      </c>
      <c r="E134" s="9">
        <f t="shared" si="11"/>
        <v>0</v>
      </c>
      <c r="F134" s="9">
        <f t="shared" si="11"/>
        <v>0</v>
      </c>
      <c r="G134" s="9">
        <f t="shared" si="11"/>
        <v>0</v>
      </c>
      <c r="H134" s="9">
        <f t="shared" si="11"/>
        <v>0</v>
      </c>
      <c r="I134" s="9">
        <f t="shared" si="11"/>
        <v>0</v>
      </c>
      <c r="J134" s="9">
        <f t="shared" si="11"/>
        <v>0</v>
      </c>
      <c r="K134" s="9">
        <f t="shared" si="11"/>
        <v>0</v>
      </c>
      <c r="L134" s="53" t="s">
        <v>181</v>
      </c>
    </row>
    <row r="135" spans="1:12" ht="19.05" customHeight="1" x14ac:dyDescent="0.3">
      <c r="A135" s="28" t="s">
        <v>200</v>
      </c>
      <c r="B135" s="9">
        <f t="shared" si="11"/>
        <v>0</v>
      </c>
      <c r="C135" s="9">
        <f t="shared" si="11"/>
        <v>0</v>
      </c>
      <c r="D135" s="9">
        <f t="shared" si="11"/>
        <v>0</v>
      </c>
      <c r="E135" s="9">
        <f t="shared" si="11"/>
        <v>0</v>
      </c>
      <c r="F135" s="9">
        <f t="shared" si="11"/>
        <v>0</v>
      </c>
      <c r="G135" s="9">
        <f t="shared" si="11"/>
        <v>0</v>
      </c>
      <c r="H135" s="9">
        <f t="shared" si="11"/>
        <v>0</v>
      </c>
      <c r="I135" s="9">
        <f t="shared" si="11"/>
        <v>0</v>
      </c>
      <c r="J135" s="9">
        <f t="shared" si="11"/>
        <v>0</v>
      </c>
      <c r="K135" s="9">
        <f t="shared" si="11"/>
        <v>0</v>
      </c>
      <c r="L135" s="53" t="s">
        <v>182</v>
      </c>
    </row>
    <row r="136" spans="1:12" ht="19.05" customHeight="1" x14ac:dyDescent="0.3">
      <c r="B136" s="9">
        <f t="shared" si="11"/>
        <v>0</v>
      </c>
      <c r="C136" s="9">
        <f t="shared" si="11"/>
        <v>0</v>
      </c>
      <c r="D136" s="9">
        <f t="shared" si="11"/>
        <v>0</v>
      </c>
      <c r="E136" s="9">
        <f t="shared" si="11"/>
        <v>0</v>
      </c>
      <c r="F136" s="9">
        <f t="shared" si="11"/>
        <v>0</v>
      </c>
      <c r="G136" s="9">
        <f t="shared" si="11"/>
        <v>0</v>
      </c>
      <c r="H136" s="9">
        <f t="shared" si="11"/>
        <v>0</v>
      </c>
      <c r="I136" s="9">
        <f t="shared" si="11"/>
        <v>0</v>
      </c>
      <c r="J136" s="9">
        <f t="shared" si="11"/>
        <v>0</v>
      </c>
      <c r="K136" s="9">
        <f t="shared" si="11"/>
        <v>0</v>
      </c>
      <c r="L136" s="53" t="s">
        <v>183</v>
      </c>
    </row>
    <row r="137" spans="1:12" ht="19.05" customHeight="1" x14ac:dyDescent="0.3">
      <c r="B137" s="9">
        <f t="shared" si="11"/>
        <v>0</v>
      </c>
      <c r="C137" s="9">
        <f t="shared" si="11"/>
        <v>0</v>
      </c>
      <c r="D137" s="9">
        <f t="shared" si="11"/>
        <v>0</v>
      </c>
      <c r="E137" s="9">
        <f t="shared" si="11"/>
        <v>0</v>
      </c>
      <c r="F137" s="9">
        <f t="shared" si="11"/>
        <v>0</v>
      </c>
      <c r="G137" s="9">
        <f t="shared" si="11"/>
        <v>0</v>
      </c>
      <c r="H137" s="9">
        <f t="shared" si="11"/>
        <v>0</v>
      </c>
      <c r="I137" s="9">
        <f t="shared" si="11"/>
        <v>0</v>
      </c>
      <c r="J137" s="9">
        <f t="shared" si="11"/>
        <v>0</v>
      </c>
      <c r="K137" s="9">
        <f t="shared" si="11"/>
        <v>0</v>
      </c>
      <c r="L137" s="53" t="s">
        <v>184</v>
      </c>
    </row>
    <row r="138" spans="1:12" ht="19.05" customHeight="1" x14ac:dyDescent="0.3">
      <c r="B138" s="9">
        <f t="shared" si="11"/>
        <v>0</v>
      </c>
      <c r="C138" s="9">
        <f t="shared" si="11"/>
        <v>0</v>
      </c>
      <c r="D138" s="9">
        <f t="shared" si="11"/>
        <v>0</v>
      </c>
      <c r="E138" s="9">
        <f t="shared" si="11"/>
        <v>0</v>
      </c>
      <c r="F138" s="9">
        <f t="shared" si="11"/>
        <v>0</v>
      </c>
      <c r="G138" s="9">
        <f t="shared" si="11"/>
        <v>0</v>
      </c>
      <c r="H138" s="9">
        <f t="shared" si="11"/>
        <v>0</v>
      </c>
      <c r="I138" s="9">
        <f t="shared" si="11"/>
        <v>0</v>
      </c>
      <c r="J138" s="9">
        <f t="shared" si="11"/>
        <v>0</v>
      </c>
      <c r="K138" s="9">
        <f t="shared" si="11"/>
        <v>0</v>
      </c>
      <c r="L138" s="53" t="s">
        <v>185</v>
      </c>
    </row>
    <row r="139" spans="1:12" ht="19.05" customHeight="1" x14ac:dyDescent="0.3">
      <c r="B139" s="55">
        <f t="shared" si="11"/>
        <v>-31513.615213467838</v>
      </c>
      <c r="C139" s="55">
        <f t="shared" si="11"/>
        <v>-27011.670182972433</v>
      </c>
      <c r="D139" s="9">
        <f t="shared" si="11"/>
        <v>0</v>
      </c>
      <c r="E139" s="9">
        <f t="shared" si="11"/>
        <v>0</v>
      </c>
      <c r="F139" s="9">
        <f t="shared" si="11"/>
        <v>0</v>
      </c>
      <c r="G139" s="9">
        <f t="shared" si="11"/>
        <v>0</v>
      </c>
      <c r="H139" s="9">
        <f t="shared" si="11"/>
        <v>0</v>
      </c>
      <c r="I139" s="9">
        <f t="shared" si="11"/>
        <v>0</v>
      </c>
      <c r="J139" s="55">
        <f t="shared" si="11"/>
        <v>31513.615213467838</v>
      </c>
      <c r="K139" s="55">
        <f t="shared" si="11"/>
        <v>27011.670182972433</v>
      </c>
      <c r="L139" s="53" t="s">
        <v>186</v>
      </c>
    </row>
    <row r="140" spans="1:12" ht="19.05" customHeight="1" x14ac:dyDescent="0.3">
      <c r="B140" s="55">
        <f t="shared" si="11"/>
        <v>-27011.670182972433</v>
      </c>
      <c r="C140" s="55">
        <f t="shared" si="11"/>
        <v>-23152.860156833514</v>
      </c>
      <c r="D140" s="9">
        <f t="shared" si="11"/>
        <v>0</v>
      </c>
      <c r="E140" s="9">
        <f t="shared" si="11"/>
        <v>0</v>
      </c>
      <c r="F140" s="9">
        <f t="shared" si="11"/>
        <v>0</v>
      </c>
      <c r="G140" s="9">
        <f t="shared" si="11"/>
        <v>0</v>
      </c>
      <c r="H140" s="9">
        <f t="shared" si="11"/>
        <v>0</v>
      </c>
      <c r="I140" s="9">
        <f t="shared" si="11"/>
        <v>0</v>
      </c>
      <c r="J140" s="55">
        <f t="shared" si="11"/>
        <v>27011.670182972433</v>
      </c>
      <c r="K140" s="55">
        <f t="shared" si="11"/>
        <v>23152.860156833514</v>
      </c>
      <c r="L140" s="53" t="s">
        <v>187</v>
      </c>
    </row>
    <row r="143" spans="1:12" ht="18" customHeight="1" x14ac:dyDescent="0.3">
      <c r="B143" s="56" t="str">
        <f>CONCATENATE("U",C24,C$17)</f>
        <v>U4X</v>
      </c>
      <c r="C143" s="56" t="str">
        <f>CONCATENATE("U",D24,D$17)</f>
        <v>U4Y</v>
      </c>
      <c r="D143" s="56" t="str">
        <f>CONCATENATE("U",E24,E$17)</f>
        <v>U2X</v>
      </c>
      <c r="E143" s="56" t="str">
        <f>CONCATENATE("U",F24,F$17)</f>
        <v>U2Y</v>
      </c>
    </row>
    <row r="144" spans="1:12" x14ac:dyDescent="0.3">
      <c r="B144" s="57">
        <f>J12*J12*N12</f>
        <v>31513.615213467838</v>
      </c>
      <c r="C144" s="57">
        <f>J12*K12*N12</f>
        <v>-27011.670182972433</v>
      </c>
      <c r="D144" s="57">
        <f>-B144</f>
        <v>-31513.615213467838</v>
      </c>
      <c r="E144" s="57">
        <f>-C144</f>
        <v>27011.670182972433</v>
      </c>
      <c r="F144" s="56" t="str">
        <f>B143</f>
        <v>U4X</v>
      </c>
    </row>
    <row r="145" spans="1:12" ht="16.8" customHeight="1" x14ac:dyDescent="0.3">
      <c r="A145" s="28" t="s">
        <v>201</v>
      </c>
      <c r="B145" s="57">
        <f>C144</f>
        <v>-27011.670182972433</v>
      </c>
      <c r="C145" s="57">
        <f>K12*K12*N12</f>
        <v>23152.860156833514</v>
      </c>
      <c r="D145" s="57">
        <f>-B145</f>
        <v>27011.670182972433</v>
      </c>
      <c r="E145" s="57">
        <f>-C145</f>
        <v>-23152.860156833514</v>
      </c>
      <c r="F145" s="56" t="str">
        <f>C143</f>
        <v>U4Y</v>
      </c>
    </row>
    <row r="146" spans="1:12" x14ac:dyDescent="0.3">
      <c r="B146" s="57">
        <f>D144</f>
        <v>-31513.615213467838</v>
      </c>
      <c r="C146" s="57">
        <f>E144</f>
        <v>27011.670182972433</v>
      </c>
      <c r="D146" s="57">
        <f>B144</f>
        <v>31513.615213467838</v>
      </c>
      <c r="E146" s="57">
        <f>C144</f>
        <v>-27011.670182972433</v>
      </c>
      <c r="F146" s="56" t="str">
        <f>D143</f>
        <v>U2X</v>
      </c>
    </row>
    <row r="147" spans="1:12" x14ac:dyDescent="0.3">
      <c r="B147" s="57">
        <f>D145</f>
        <v>27011.670182972433</v>
      </c>
      <c r="C147" s="57">
        <f>E145</f>
        <v>-23152.860156833514</v>
      </c>
      <c r="D147" s="57">
        <f>B145</f>
        <v>-27011.670182972433</v>
      </c>
      <c r="E147" s="57">
        <f>C145</f>
        <v>23152.860156833514</v>
      </c>
      <c r="F147" s="56" t="str">
        <f>E143</f>
        <v>U2Y</v>
      </c>
    </row>
    <row r="149" spans="1:12" ht="18" customHeight="1" x14ac:dyDescent="0.3">
      <c r="B149" s="56" t="s">
        <v>178</v>
      </c>
      <c r="C149" s="56" t="s">
        <v>179</v>
      </c>
      <c r="D149" s="56" t="s">
        <v>180</v>
      </c>
      <c r="E149" s="56" t="s">
        <v>181</v>
      </c>
      <c r="F149" s="56" t="s">
        <v>182</v>
      </c>
      <c r="G149" s="56" t="s">
        <v>183</v>
      </c>
      <c r="H149" s="56" t="s">
        <v>184</v>
      </c>
      <c r="I149" s="56" t="s">
        <v>185</v>
      </c>
      <c r="J149" s="56" t="s">
        <v>186</v>
      </c>
      <c r="K149" s="56" t="s">
        <v>187</v>
      </c>
    </row>
    <row r="150" spans="1:12" ht="19.05" customHeight="1" x14ac:dyDescent="0.3">
      <c r="B150" s="9">
        <f t="shared" ref="B150:K159" si="12">IFERROR(INDEX($B$144:$E$147, MATCH($L150, $B$143:$E$143, 0), MATCH(B$149, $B$143:$E$143, 0)), 0)</f>
        <v>0</v>
      </c>
      <c r="C150" s="9">
        <f t="shared" si="12"/>
        <v>0</v>
      </c>
      <c r="D150" s="9">
        <f t="shared" si="12"/>
        <v>0</v>
      </c>
      <c r="E150" s="9">
        <f t="shared" si="12"/>
        <v>0</v>
      </c>
      <c r="F150" s="9">
        <f t="shared" si="12"/>
        <v>0</v>
      </c>
      <c r="G150" s="9">
        <f t="shared" si="12"/>
        <v>0</v>
      </c>
      <c r="H150" s="9">
        <f t="shared" si="12"/>
        <v>0</v>
      </c>
      <c r="I150" s="9">
        <f t="shared" si="12"/>
        <v>0</v>
      </c>
      <c r="J150" s="9">
        <f t="shared" si="12"/>
        <v>0</v>
      </c>
      <c r="K150" s="9">
        <f t="shared" si="12"/>
        <v>0</v>
      </c>
      <c r="L150" s="56" t="s">
        <v>178</v>
      </c>
    </row>
    <row r="151" spans="1:12" ht="19.05" customHeight="1" x14ac:dyDescent="0.3">
      <c r="B151" s="9">
        <f t="shared" si="12"/>
        <v>0</v>
      </c>
      <c r="C151" s="9">
        <f t="shared" si="12"/>
        <v>0</v>
      </c>
      <c r="D151" s="9">
        <f t="shared" si="12"/>
        <v>0</v>
      </c>
      <c r="E151" s="9">
        <f t="shared" si="12"/>
        <v>0</v>
      </c>
      <c r="F151" s="9">
        <f t="shared" si="12"/>
        <v>0</v>
      </c>
      <c r="G151" s="9">
        <f t="shared" si="12"/>
        <v>0</v>
      </c>
      <c r="H151" s="9">
        <f t="shared" si="12"/>
        <v>0</v>
      </c>
      <c r="I151" s="9">
        <f t="shared" si="12"/>
        <v>0</v>
      </c>
      <c r="J151" s="9">
        <f t="shared" si="12"/>
        <v>0</v>
      </c>
      <c r="K151" s="9">
        <f t="shared" si="12"/>
        <v>0</v>
      </c>
      <c r="L151" s="56" t="s">
        <v>179</v>
      </c>
    </row>
    <row r="152" spans="1:12" ht="19.05" customHeight="1" x14ac:dyDescent="0.3">
      <c r="B152" s="9">
        <f t="shared" si="12"/>
        <v>0</v>
      </c>
      <c r="C152" s="9">
        <f t="shared" si="12"/>
        <v>0</v>
      </c>
      <c r="D152" s="58">
        <f t="shared" si="12"/>
        <v>31513.615213467838</v>
      </c>
      <c r="E152" s="58">
        <f t="shared" si="12"/>
        <v>-27011.670182972433</v>
      </c>
      <c r="F152" s="9">
        <f t="shared" si="12"/>
        <v>0</v>
      </c>
      <c r="G152" s="9">
        <f t="shared" si="12"/>
        <v>0</v>
      </c>
      <c r="H152" s="58">
        <f t="shared" si="12"/>
        <v>-31513.615213467838</v>
      </c>
      <c r="I152" s="58">
        <f t="shared" si="12"/>
        <v>27011.670182972433</v>
      </c>
      <c r="J152" s="9">
        <f t="shared" si="12"/>
        <v>0</v>
      </c>
      <c r="K152" s="9">
        <f t="shared" si="12"/>
        <v>0</v>
      </c>
      <c r="L152" s="56" t="s">
        <v>180</v>
      </c>
    </row>
    <row r="153" spans="1:12" ht="19.05" customHeight="1" x14ac:dyDescent="0.3">
      <c r="B153" s="9">
        <f t="shared" si="12"/>
        <v>0</v>
      </c>
      <c r="C153" s="9">
        <f t="shared" si="12"/>
        <v>0</v>
      </c>
      <c r="D153" s="58">
        <f t="shared" si="12"/>
        <v>-27011.670182972433</v>
      </c>
      <c r="E153" s="58">
        <f t="shared" si="12"/>
        <v>23152.860156833514</v>
      </c>
      <c r="F153" s="9">
        <f t="shared" si="12"/>
        <v>0</v>
      </c>
      <c r="G153" s="9">
        <f t="shared" si="12"/>
        <v>0</v>
      </c>
      <c r="H153" s="58">
        <f t="shared" si="12"/>
        <v>27011.670182972433</v>
      </c>
      <c r="I153" s="58">
        <f t="shared" si="12"/>
        <v>-23152.860156833514</v>
      </c>
      <c r="J153" s="9">
        <f t="shared" si="12"/>
        <v>0</v>
      </c>
      <c r="K153" s="9">
        <f t="shared" si="12"/>
        <v>0</v>
      </c>
      <c r="L153" s="56" t="s">
        <v>181</v>
      </c>
    </row>
    <row r="154" spans="1:12" ht="19.05" customHeight="1" x14ac:dyDescent="0.3">
      <c r="A154" s="28" t="s">
        <v>202</v>
      </c>
      <c r="B154" s="9">
        <f t="shared" si="12"/>
        <v>0</v>
      </c>
      <c r="C154" s="9">
        <f t="shared" si="12"/>
        <v>0</v>
      </c>
      <c r="D154" s="9">
        <f t="shared" si="12"/>
        <v>0</v>
      </c>
      <c r="E154" s="9">
        <f t="shared" si="12"/>
        <v>0</v>
      </c>
      <c r="F154" s="9">
        <f t="shared" si="12"/>
        <v>0</v>
      </c>
      <c r="G154" s="9">
        <f t="shared" si="12"/>
        <v>0</v>
      </c>
      <c r="H154" s="9">
        <f t="shared" si="12"/>
        <v>0</v>
      </c>
      <c r="I154" s="9">
        <f t="shared" si="12"/>
        <v>0</v>
      </c>
      <c r="J154" s="9">
        <f t="shared" si="12"/>
        <v>0</v>
      </c>
      <c r="K154" s="9">
        <f t="shared" si="12"/>
        <v>0</v>
      </c>
      <c r="L154" s="56" t="s">
        <v>182</v>
      </c>
    </row>
    <row r="155" spans="1:12" ht="19.05" customHeight="1" x14ac:dyDescent="0.3">
      <c r="B155" s="9">
        <f t="shared" si="12"/>
        <v>0</v>
      </c>
      <c r="C155" s="9">
        <f t="shared" si="12"/>
        <v>0</v>
      </c>
      <c r="D155" s="9">
        <f t="shared" si="12"/>
        <v>0</v>
      </c>
      <c r="E155" s="9">
        <f t="shared" si="12"/>
        <v>0</v>
      </c>
      <c r="F155" s="9">
        <f t="shared" si="12"/>
        <v>0</v>
      </c>
      <c r="G155" s="9">
        <f t="shared" si="12"/>
        <v>0</v>
      </c>
      <c r="H155" s="9">
        <f t="shared" si="12"/>
        <v>0</v>
      </c>
      <c r="I155" s="9">
        <f t="shared" si="12"/>
        <v>0</v>
      </c>
      <c r="J155" s="9">
        <f t="shared" si="12"/>
        <v>0</v>
      </c>
      <c r="K155" s="9">
        <f t="shared" si="12"/>
        <v>0</v>
      </c>
      <c r="L155" s="56" t="s">
        <v>183</v>
      </c>
    </row>
    <row r="156" spans="1:12" ht="19.05" customHeight="1" x14ac:dyDescent="0.3">
      <c r="B156" s="9">
        <f t="shared" si="12"/>
        <v>0</v>
      </c>
      <c r="C156" s="9">
        <f t="shared" si="12"/>
        <v>0</v>
      </c>
      <c r="D156" s="58">
        <f t="shared" si="12"/>
        <v>-31513.615213467838</v>
      </c>
      <c r="E156" s="58">
        <f t="shared" si="12"/>
        <v>27011.670182972433</v>
      </c>
      <c r="F156" s="9">
        <f t="shared" si="12"/>
        <v>0</v>
      </c>
      <c r="G156" s="9">
        <f t="shared" si="12"/>
        <v>0</v>
      </c>
      <c r="H156" s="58">
        <f t="shared" si="12"/>
        <v>31513.615213467838</v>
      </c>
      <c r="I156" s="58">
        <f t="shared" si="12"/>
        <v>-27011.670182972433</v>
      </c>
      <c r="J156" s="9">
        <f t="shared" si="12"/>
        <v>0</v>
      </c>
      <c r="K156" s="9">
        <f t="shared" si="12"/>
        <v>0</v>
      </c>
      <c r="L156" s="56" t="s">
        <v>184</v>
      </c>
    </row>
    <row r="157" spans="1:12" ht="19.05" customHeight="1" x14ac:dyDescent="0.3">
      <c r="B157" s="9">
        <f t="shared" si="12"/>
        <v>0</v>
      </c>
      <c r="C157" s="9">
        <f t="shared" si="12"/>
        <v>0</v>
      </c>
      <c r="D157" s="58">
        <f t="shared" si="12"/>
        <v>27011.670182972433</v>
      </c>
      <c r="E157" s="58">
        <f t="shared" si="12"/>
        <v>-23152.860156833514</v>
      </c>
      <c r="F157" s="9">
        <f t="shared" si="12"/>
        <v>0</v>
      </c>
      <c r="G157" s="9">
        <f t="shared" si="12"/>
        <v>0</v>
      </c>
      <c r="H157" s="58">
        <f t="shared" si="12"/>
        <v>-27011.670182972433</v>
      </c>
      <c r="I157" s="58">
        <f t="shared" si="12"/>
        <v>23152.860156833514</v>
      </c>
      <c r="J157" s="9">
        <f t="shared" si="12"/>
        <v>0</v>
      </c>
      <c r="K157" s="9">
        <f t="shared" si="12"/>
        <v>0</v>
      </c>
      <c r="L157" s="56" t="s">
        <v>185</v>
      </c>
    </row>
    <row r="158" spans="1:12" ht="19.05" customHeight="1" x14ac:dyDescent="0.3">
      <c r="B158" s="9">
        <f t="shared" si="12"/>
        <v>0</v>
      </c>
      <c r="C158" s="9">
        <f t="shared" si="12"/>
        <v>0</v>
      </c>
      <c r="D158" s="9">
        <f t="shared" si="12"/>
        <v>0</v>
      </c>
      <c r="E158" s="9">
        <f t="shared" si="12"/>
        <v>0</v>
      </c>
      <c r="F158" s="9">
        <f t="shared" si="12"/>
        <v>0</v>
      </c>
      <c r="G158" s="9">
        <f t="shared" si="12"/>
        <v>0</v>
      </c>
      <c r="H158" s="9">
        <f t="shared" si="12"/>
        <v>0</v>
      </c>
      <c r="I158" s="9">
        <f t="shared" si="12"/>
        <v>0</v>
      </c>
      <c r="J158" s="9">
        <f t="shared" si="12"/>
        <v>0</v>
      </c>
      <c r="K158" s="9">
        <f t="shared" si="12"/>
        <v>0</v>
      </c>
      <c r="L158" s="56" t="s">
        <v>186</v>
      </c>
    </row>
    <row r="159" spans="1:12" ht="19.05" customHeight="1" x14ac:dyDescent="0.3">
      <c r="B159" s="9">
        <f t="shared" si="12"/>
        <v>0</v>
      </c>
      <c r="C159" s="9">
        <f t="shared" si="12"/>
        <v>0</v>
      </c>
      <c r="D159" s="9">
        <f t="shared" si="12"/>
        <v>0</v>
      </c>
      <c r="E159" s="9">
        <f t="shared" si="12"/>
        <v>0</v>
      </c>
      <c r="F159" s="9">
        <f t="shared" si="12"/>
        <v>0</v>
      </c>
      <c r="G159" s="9">
        <f t="shared" si="12"/>
        <v>0</v>
      </c>
      <c r="H159" s="9">
        <f t="shared" si="12"/>
        <v>0</v>
      </c>
      <c r="I159" s="9">
        <f t="shared" si="12"/>
        <v>0</v>
      </c>
      <c r="J159" s="9">
        <f t="shared" si="12"/>
        <v>0</v>
      </c>
      <c r="K159" s="9">
        <f t="shared" si="12"/>
        <v>0</v>
      </c>
      <c r="L159" s="56" t="s">
        <v>187</v>
      </c>
    </row>
    <row r="162" spans="1:12" ht="18" customHeight="1" x14ac:dyDescent="0.3">
      <c r="B162" s="61" t="str">
        <f>CONCATENATE("U",C25,C$17)</f>
        <v>U2X</v>
      </c>
      <c r="C162" s="61" t="str">
        <f>CONCATENATE("U",D25,D$17)</f>
        <v>U2Y</v>
      </c>
      <c r="D162" s="61" t="str">
        <f>CONCATENATE("U",E25,E$17)</f>
        <v>U5X</v>
      </c>
      <c r="E162" s="61" t="str">
        <f>CONCATENATE("U",F25,F$17)</f>
        <v>U5Y</v>
      </c>
    </row>
    <row r="163" spans="1:12" x14ac:dyDescent="0.3">
      <c r="B163" s="62">
        <f>J13*J13*N13</f>
        <v>0</v>
      </c>
      <c r="C163" s="62">
        <f>J13*K13*N13</f>
        <v>0</v>
      </c>
      <c r="D163" s="62">
        <f>-B163</f>
        <v>0</v>
      </c>
      <c r="E163" s="62">
        <f>-C163</f>
        <v>0</v>
      </c>
      <c r="F163" s="61" t="str">
        <f>B162</f>
        <v>U2X</v>
      </c>
    </row>
    <row r="164" spans="1:12" ht="16.8" customHeight="1" x14ac:dyDescent="0.3">
      <c r="A164" s="28" t="s">
        <v>203</v>
      </c>
      <c r="B164" s="62">
        <f>C163</f>
        <v>0</v>
      </c>
      <c r="C164" s="62">
        <f>K13*K13*N13</f>
        <v>84000</v>
      </c>
      <c r="D164" s="62">
        <f>-B164</f>
        <v>0</v>
      </c>
      <c r="E164" s="62">
        <f>-C164</f>
        <v>-84000</v>
      </c>
      <c r="F164" s="61" t="str">
        <f>C162</f>
        <v>U2Y</v>
      </c>
    </row>
    <row r="165" spans="1:12" x14ac:dyDescent="0.3">
      <c r="B165" s="62">
        <f>D163</f>
        <v>0</v>
      </c>
      <c r="C165" s="62">
        <f>E163</f>
        <v>0</v>
      </c>
      <c r="D165" s="62">
        <f>B163</f>
        <v>0</v>
      </c>
      <c r="E165" s="62">
        <f>C163</f>
        <v>0</v>
      </c>
      <c r="F165" s="61" t="str">
        <f>D162</f>
        <v>U5X</v>
      </c>
    </row>
    <row r="166" spans="1:12" x14ac:dyDescent="0.3">
      <c r="B166" s="62">
        <f>D164</f>
        <v>0</v>
      </c>
      <c r="C166" s="62">
        <f>E164</f>
        <v>-84000</v>
      </c>
      <c r="D166" s="62">
        <f>B164</f>
        <v>0</v>
      </c>
      <c r="E166" s="62">
        <f>C164</f>
        <v>84000</v>
      </c>
      <c r="F166" s="61" t="str">
        <f>E162</f>
        <v>U5Y</v>
      </c>
    </row>
    <row r="168" spans="1:12" ht="18" customHeight="1" x14ac:dyDescent="0.3">
      <c r="B168" s="61" t="s">
        <v>178</v>
      </c>
      <c r="C168" s="61" t="s">
        <v>179</v>
      </c>
      <c r="D168" s="61" t="s">
        <v>180</v>
      </c>
      <c r="E168" s="61" t="s">
        <v>181</v>
      </c>
      <c r="F168" s="61" t="s">
        <v>182</v>
      </c>
      <c r="G168" s="61" t="s">
        <v>183</v>
      </c>
      <c r="H168" s="61" t="s">
        <v>184</v>
      </c>
      <c r="I168" s="61" t="s">
        <v>185</v>
      </c>
      <c r="J168" s="61" t="s">
        <v>186</v>
      </c>
      <c r="K168" s="61" t="s">
        <v>187</v>
      </c>
    </row>
    <row r="169" spans="1:12" ht="19.05" customHeight="1" x14ac:dyDescent="0.3">
      <c r="B169" s="9">
        <f t="shared" ref="B169:K178" si="13">IFERROR(INDEX($B$163:$E$166, MATCH($L169, $B$162:$E$162, 0), MATCH(B$168, $B$162:$E$162, 0)), 0)</f>
        <v>0</v>
      </c>
      <c r="C169" s="9">
        <f t="shared" si="13"/>
        <v>0</v>
      </c>
      <c r="D169" s="9">
        <f t="shared" si="13"/>
        <v>0</v>
      </c>
      <c r="E169" s="9">
        <f t="shared" si="13"/>
        <v>0</v>
      </c>
      <c r="F169" s="9">
        <f t="shared" si="13"/>
        <v>0</v>
      </c>
      <c r="G169" s="9">
        <f t="shared" si="13"/>
        <v>0</v>
      </c>
      <c r="H169" s="9">
        <f t="shared" si="13"/>
        <v>0</v>
      </c>
      <c r="I169" s="9">
        <f t="shared" si="13"/>
        <v>0</v>
      </c>
      <c r="J169" s="9">
        <f t="shared" si="13"/>
        <v>0</v>
      </c>
      <c r="K169" s="9">
        <f t="shared" si="13"/>
        <v>0</v>
      </c>
      <c r="L169" s="61" t="s">
        <v>178</v>
      </c>
    </row>
    <row r="170" spans="1:12" ht="19.05" customHeight="1" x14ac:dyDescent="0.3">
      <c r="B170" s="9">
        <f t="shared" si="13"/>
        <v>0</v>
      </c>
      <c r="C170" s="9">
        <f t="shared" si="13"/>
        <v>0</v>
      </c>
      <c r="D170" s="9">
        <f t="shared" si="13"/>
        <v>0</v>
      </c>
      <c r="E170" s="9">
        <f t="shared" si="13"/>
        <v>0</v>
      </c>
      <c r="F170" s="9">
        <f t="shared" si="13"/>
        <v>0</v>
      </c>
      <c r="G170" s="9">
        <f t="shared" si="13"/>
        <v>0</v>
      </c>
      <c r="H170" s="9">
        <f t="shared" si="13"/>
        <v>0</v>
      </c>
      <c r="I170" s="9">
        <f t="shared" si="13"/>
        <v>0</v>
      </c>
      <c r="J170" s="9">
        <f t="shared" si="13"/>
        <v>0</v>
      </c>
      <c r="K170" s="9">
        <f t="shared" si="13"/>
        <v>0</v>
      </c>
      <c r="L170" s="61" t="s">
        <v>179</v>
      </c>
    </row>
    <row r="171" spans="1:12" ht="19.05" customHeight="1" x14ac:dyDescent="0.3">
      <c r="B171" s="9">
        <f t="shared" si="13"/>
        <v>0</v>
      </c>
      <c r="C171" s="9">
        <f t="shared" si="13"/>
        <v>0</v>
      </c>
      <c r="D171" s="63">
        <f t="shared" si="13"/>
        <v>0</v>
      </c>
      <c r="E171" s="63">
        <f t="shared" si="13"/>
        <v>0</v>
      </c>
      <c r="F171" s="9">
        <f t="shared" si="13"/>
        <v>0</v>
      </c>
      <c r="G171" s="9">
        <f t="shared" si="13"/>
        <v>0</v>
      </c>
      <c r="H171" s="9">
        <f t="shared" si="13"/>
        <v>0</v>
      </c>
      <c r="I171" s="9">
        <f t="shared" si="13"/>
        <v>0</v>
      </c>
      <c r="J171" s="63">
        <f t="shared" si="13"/>
        <v>0</v>
      </c>
      <c r="K171" s="63">
        <f t="shared" si="13"/>
        <v>0</v>
      </c>
      <c r="L171" s="61" t="s">
        <v>180</v>
      </c>
    </row>
    <row r="172" spans="1:12" ht="19.05" customHeight="1" x14ac:dyDescent="0.3">
      <c r="B172" s="9">
        <f t="shared" si="13"/>
        <v>0</v>
      </c>
      <c r="C172" s="9">
        <f t="shared" si="13"/>
        <v>0</v>
      </c>
      <c r="D172" s="63">
        <f t="shared" si="13"/>
        <v>0</v>
      </c>
      <c r="E172" s="63">
        <f t="shared" si="13"/>
        <v>84000</v>
      </c>
      <c r="F172" s="9">
        <f t="shared" si="13"/>
        <v>0</v>
      </c>
      <c r="G172" s="9">
        <f t="shared" si="13"/>
        <v>0</v>
      </c>
      <c r="H172" s="9">
        <f t="shared" si="13"/>
        <v>0</v>
      </c>
      <c r="I172" s="9">
        <f t="shared" si="13"/>
        <v>0</v>
      </c>
      <c r="J172" s="63">
        <f t="shared" si="13"/>
        <v>0</v>
      </c>
      <c r="K172" s="63">
        <f t="shared" si="13"/>
        <v>-84000</v>
      </c>
      <c r="L172" s="61" t="s">
        <v>181</v>
      </c>
    </row>
    <row r="173" spans="1:12" ht="19.05" customHeight="1" x14ac:dyDescent="0.3">
      <c r="A173" s="28" t="s">
        <v>204</v>
      </c>
      <c r="B173" s="9">
        <f t="shared" si="13"/>
        <v>0</v>
      </c>
      <c r="C173" s="9">
        <f t="shared" si="13"/>
        <v>0</v>
      </c>
      <c r="D173" s="9">
        <f t="shared" si="13"/>
        <v>0</v>
      </c>
      <c r="E173" s="9">
        <f t="shared" si="13"/>
        <v>0</v>
      </c>
      <c r="F173" s="9">
        <f t="shared" si="13"/>
        <v>0</v>
      </c>
      <c r="G173" s="9">
        <f t="shared" si="13"/>
        <v>0</v>
      </c>
      <c r="H173" s="9">
        <f t="shared" si="13"/>
        <v>0</v>
      </c>
      <c r="I173" s="9">
        <f t="shared" si="13"/>
        <v>0</v>
      </c>
      <c r="J173" s="9">
        <f t="shared" si="13"/>
        <v>0</v>
      </c>
      <c r="K173" s="9">
        <f t="shared" si="13"/>
        <v>0</v>
      </c>
      <c r="L173" s="61" t="s">
        <v>182</v>
      </c>
    </row>
    <row r="174" spans="1:12" ht="19.05" customHeight="1" x14ac:dyDescent="0.3">
      <c r="B174" s="9">
        <f t="shared" si="13"/>
        <v>0</v>
      </c>
      <c r="C174" s="9">
        <f t="shared" si="13"/>
        <v>0</v>
      </c>
      <c r="D174" s="9">
        <f t="shared" si="13"/>
        <v>0</v>
      </c>
      <c r="E174" s="9">
        <f t="shared" si="13"/>
        <v>0</v>
      </c>
      <c r="F174" s="9">
        <f t="shared" si="13"/>
        <v>0</v>
      </c>
      <c r="G174" s="9">
        <f t="shared" si="13"/>
        <v>0</v>
      </c>
      <c r="H174" s="9">
        <f t="shared" si="13"/>
        <v>0</v>
      </c>
      <c r="I174" s="9">
        <f t="shared" si="13"/>
        <v>0</v>
      </c>
      <c r="J174" s="9">
        <f t="shared" si="13"/>
        <v>0</v>
      </c>
      <c r="K174" s="9">
        <f t="shared" si="13"/>
        <v>0</v>
      </c>
      <c r="L174" s="61" t="s">
        <v>183</v>
      </c>
    </row>
    <row r="175" spans="1:12" ht="19.05" customHeight="1" x14ac:dyDescent="0.3">
      <c r="B175" s="9">
        <f t="shared" si="13"/>
        <v>0</v>
      </c>
      <c r="C175" s="9">
        <f t="shared" si="13"/>
        <v>0</v>
      </c>
      <c r="D175" s="9">
        <f t="shared" si="13"/>
        <v>0</v>
      </c>
      <c r="E175" s="9">
        <f t="shared" si="13"/>
        <v>0</v>
      </c>
      <c r="F175" s="9">
        <f t="shared" si="13"/>
        <v>0</v>
      </c>
      <c r="G175" s="9">
        <f t="shared" si="13"/>
        <v>0</v>
      </c>
      <c r="H175" s="9">
        <f t="shared" si="13"/>
        <v>0</v>
      </c>
      <c r="I175" s="9">
        <f t="shared" si="13"/>
        <v>0</v>
      </c>
      <c r="J175" s="9">
        <f t="shared" si="13"/>
        <v>0</v>
      </c>
      <c r="K175" s="9">
        <f t="shared" si="13"/>
        <v>0</v>
      </c>
      <c r="L175" s="61" t="s">
        <v>184</v>
      </c>
    </row>
    <row r="176" spans="1:12" ht="19.05" customHeight="1" x14ac:dyDescent="0.3">
      <c r="B176" s="9">
        <f t="shared" si="13"/>
        <v>0</v>
      </c>
      <c r="C176" s="9">
        <f t="shared" si="13"/>
        <v>0</v>
      </c>
      <c r="D176" s="9">
        <f t="shared" si="13"/>
        <v>0</v>
      </c>
      <c r="E176" s="9">
        <f t="shared" si="13"/>
        <v>0</v>
      </c>
      <c r="F176" s="9">
        <f t="shared" si="13"/>
        <v>0</v>
      </c>
      <c r="G176" s="9">
        <f t="shared" si="13"/>
        <v>0</v>
      </c>
      <c r="H176" s="9">
        <f t="shared" si="13"/>
        <v>0</v>
      </c>
      <c r="I176" s="9">
        <f t="shared" si="13"/>
        <v>0</v>
      </c>
      <c r="J176" s="9">
        <f t="shared" si="13"/>
        <v>0</v>
      </c>
      <c r="K176" s="9">
        <f t="shared" si="13"/>
        <v>0</v>
      </c>
      <c r="L176" s="61" t="s">
        <v>185</v>
      </c>
    </row>
    <row r="177" spans="1:12" ht="19.05" customHeight="1" x14ac:dyDescent="0.3">
      <c r="B177" s="9">
        <f t="shared" si="13"/>
        <v>0</v>
      </c>
      <c r="C177" s="9">
        <f t="shared" si="13"/>
        <v>0</v>
      </c>
      <c r="D177" s="63">
        <f t="shared" si="13"/>
        <v>0</v>
      </c>
      <c r="E177" s="63">
        <f t="shared" si="13"/>
        <v>0</v>
      </c>
      <c r="F177" s="9">
        <f t="shared" si="13"/>
        <v>0</v>
      </c>
      <c r="G177" s="9">
        <f t="shared" si="13"/>
        <v>0</v>
      </c>
      <c r="H177" s="9">
        <f t="shared" si="13"/>
        <v>0</v>
      </c>
      <c r="I177" s="9">
        <f t="shared" si="13"/>
        <v>0</v>
      </c>
      <c r="J177" s="63">
        <f t="shared" si="13"/>
        <v>0</v>
      </c>
      <c r="K177" s="63">
        <f t="shared" si="13"/>
        <v>0</v>
      </c>
      <c r="L177" s="61" t="s">
        <v>186</v>
      </c>
    </row>
    <row r="178" spans="1:12" ht="19.05" customHeight="1" x14ac:dyDescent="0.3">
      <c r="B178" s="9">
        <f t="shared" si="13"/>
        <v>0</v>
      </c>
      <c r="C178" s="9">
        <f t="shared" si="13"/>
        <v>0</v>
      </c>
      <c r="D178" s="63">
        <f t="shared" si="13"/>
        <v>0</v>
      </c>
      <c r="E178" s="63">
        <f t="shared" si="13"/>
        <v>-84000</v>
      </c>
      <c r="F178" s="9">
        <f t="shared" si="13"/>
        <v>0</v>
      </c>
      <c r="G178" s="9">
        <f t="shared" si="13"/>
        <v>0</v>
      </c>
      <c r="H178" s="9">
        <f t="shared" si="13"/>
        <v>0</v>
      </c>
      <c r="I178" s="9">
        <f t="shared" si="13"/>
        <v>0</v>
      </c>
      <c r="J178" s="63">
        <f t="shared" si="13"/>
        <v>0</v>
      </c>
      <c r="K178" s="63">
        <f t="shared" si="13"/>
        <v>84000</v>
      </c>
      <c r="L178" s="61" t="s">
        <v>187</v>
      </c>
    </row>
    <row r="181" spans="1:12" ht="18" customHeight="1" x14ac:dyDescent="0.3">
      <c r="B181" s="64" t="str">
        <f>CONCATENATE("U",C26,C$17)</f>
        <v>U5X</v>
      </c>
      <c r="C181" s="64" t="str">
        <f>CONCATENATE("U",D26,D$17)</f>
        <v>U5Y</v>
      </c>
      <c r="D181" s="64" t="str">
        <f>CONCATENATE("U",E26,E$17)</f>
        <v>U3X</v>
      </c>
      <c r="E181" s="64" t="str">
        <f>CONCATENATE("U",F26,F$17)</f>
        <v>U3Y</v>
      </c>
    </row>
    <row r="182" spans="1:12" x14ac:dyDescent="0.3">
      <c r="B182" s="65">
        <f>J14*J14*N14</f>
        <v>31513.615213467838</v>
      </c>
      <c r="C182" s="65">
        <f>J14*K14*N14</f>
        <v>-27011.670182972433</v>
      </c>
      <c r="D182" s="65">
        <f>-B182</f>
        <v>-31513.615213467838</v>
      </c>
      <c r="E182" s="65">
        <f>-C182</f>
        <v>27011.670182972433</v>
      </c>
      <c r="F182" s="64" t="str">
        <f>B181</f>
        <v>U5X</v>
      </c>
    </row>
    <row r="183" spans="1:12" ht="16.8" customHeight="1" x14ac:dyDescent="0.3">
      <c r="A183" s="28" t="s">
        <v>528</v>
      </c>
      <c r="B183" s="65">
        <f>C182</f>
        <v>-27011.670182972433</v>
      </c>
      <c r="C183" s="65">
        <f>K14*K14*N14</f>
        <v>23152.860156833514</v>
      </c>
      <c r="D183" s="65">
        <f>-B183</f>
        <v>27011.670182972433</v>
      </c>
      <c r="E183" s="65">
        <f>-C183</f>
        <v>-23152.860156833514</v>
      </c>
      <c r="F183" s="64" t="str">
        <f>C181</f>
        <v>U5Y</v>
      </c>
    </row>
    <row r="184" spans="1:12" x14ac:dyDescent="0.3">
      <c r="B184" s="65">
        <f>D182</f>
        <v>-31513.615213467838</v>
      </c>
      <c r="C184" s="65">
        <f>E182</f>
        <v>27011.670182972433</v>
      </c>
      <c r="D184" s="65">
        <f>B182</f>
        <v>31513.615213467838</v>
      </c>
      <c r="E184" s="65">
        <f>C182</f>
        <v>-27011.670182972433</v>
      </c>
      <c r="F184" s="64" t="str">
        <f>D181</f>
        <v>U3X</v>
      </c>
    </row>
    <row r="185" spans="1:12" x14ac:dyDescent="0.3">
      <c r="B185" s="65">
        <f>D183</f>
        <v>27011.670182972433</v>
      </c>
      <c r="C185" s="65">
        <f>E183</f>
        <v>-23152.860156833514</v>
      </c>
      <c r="D185" s="65">
        <f>B183</f>
        <v>-27011.670182972433</v>
      </c>
      <c r="E185" s="65">
        <f>C183</f>
        <v>23152.860156833514</v>
      </c>
      <c r="F185" s="64" t="str">
        <f>E181</f>
        <v>U3Y</v>
      </c>
    </row>
    <row r="187" spans="1:12" ht="18" customHeight="1" x14ac:dyDescent="0.3">
      <c r="B187" s="64" t="s">
        <v>178</v>
      </c>
      <c r="C187" s="64" t="s">
        <v>179</v>
      </c>
      <c r="D187" s="64" t="s">
        <v>180</v>
      </c>
      <c r="E187" s="64" t="s">
        <v>181</v>
      </c>
      <c r="F187" s="64" t="s">
        <v>182</v>
      </c>
      <c r="G187" s="64" t="s">
        <v>183</v>
      </c>
      <c r="H187" s="64" t="s">
        <v>184</v>
      </c>
      <c r="I187" s="64" t="s">
        <v>185</v>
      </c>
      <c r="J187" s="64" t="s">
        <v>186</v>
      </c>
      <c r="K187" s="64" t="s">
        <v>187</v>
      </c>
    </row>
    <row r="188" spans="1:12" ht="19.05" customHeight="1" x14ac:dyDescent="0.3">
      <c r="B188" s="9">
        <f t="shared" ref="B188:K197" si="14">IFERROR(INDEX($B$182:$E$185, MATCH($L188, $B$181:$E$181, 0), MATCH(B$187, $B$181:$E$181, 0)), 0)</f>
        <v>0</v>
      </c>
      <c r="C188" s="9">
        <f t="shared" si="14"/>
        <v>0</v>
      </c>
      <c r="D188" s="9">
        <f t="shared" si="14"/>
        <v>0</v>
      </c>
      <c r="E188" s="9">
        <f t="shared" si="14"/>
        <v>0</v>
      </c>
      <c r="F188" s="9">
        <f t="shared" si="14"/>
        <v>0</v>
      </c>
      <c r="G188" s="9">
        <f t="shared" si="14"/>
        <v>0</v>
      </c>
      <c r="H188" s="9">
        <f t="shared" si="14"/>
        <v>0</v>
      </c>
      <c r="I188" s="9">
        <f t="shared" si="14"/>
        <v>0</v>
      </c>
      <c r="J188" s="9">
        <f t="shared" si="14"/>
        <v>0</v>
      </c>
      <c r="K188" s="9">
        <f t="shared" si="14"/>
        <v>0</v>
      </c>
      <c r="L188" s="64" t="s">
        <v>178</v>
      </c>
    </row>
    <row r="189" spans="1:12" ht="19.05" customHeight="1" x14ac:dyDescent="0.3">
      <c r="B189" s="9">
        <f t="shared" si="14"/>
        <v>0</v>
      </c>
      <c r="C189" s="9">
        <f t="shared" si="14"/>
        <v>0</v>
      </c>
      <c r="D189" s="9">
        <f t="shared" si="14"/>
        <v>0</v>
      </c>
      <c r="E189" s="9">
        <f t="shared" si="14"/>
        <v>0</v>
      </c>
      <c r="F189" s="9">
        <f t="shared" si="14"/>
        <v>0</v>
      </c>
      <c r="G189" s="9">
        <f t="shared" si="14"/>
        <v>0</v>
      </c>
      <c r="H189" s="9">
        <f t="shared" si="14"/>
        <v>0</v>
      </c>
      <c r="I189" s="9">
        <f t="shared" si="14"/>
        <v>0</v>
      </c>
      <c r="J189" s="9">
        <f t="shared" si="14"/>
        <v>0</v>
      </c>
      <c r="K189" s="9">
        <f t="shared" si="14"/>
        <v>0</v>
      </c>
      <c r="L189" s="64" t="s">
        <v>179</v>
      </c>
    </row>
    <row r="190" spans="1:12" ht="19.05" customHeight="1" x14ac:dyDescent="0.3">
      <c r="B190" s="9">
        <f t="shared" si="14"/>
        <v>0</v>
      </c>
      <c r="C190" s="9">
        <f t="shared" si="14"/>
        <v>0</v>
      </c>
      <c r="D190" s="9">
        <f t="shared" si="14"/>
        <v>0</v>
      </c>
      <c r="E190" s="9">
        <f t="shared" si="14"/>
        <v>0</v>
      </c>
      <c r="F190" s="9">
        <f t="shared" si="14"/>
        <v>0</v>
      </c>
      <c r="G190" s="9">
        <f t="shared" si="14"/>
        <v>0</v>
      </c>
      <c r="H190" s="9">
        <f t="shared" si="14"/>
        <v>0</v>
      </c>
      <c r="I190" s="9">
        <f t="shared" si="14"/>
        <v>0</v>
      </c>
      <c r="J190" s="9">
        <f t="shared" si="14"/>
        <v>0</v>
      </c>
      <c r="K190" s="9">
        <f t="shared" si="14"/>
        <v>0</v>
      </c>
      <c r="L190" s="64" t="s">
        <v>180</v>
      </c>
    </row>
    <row r="191" spans="1:12" ht="19.05" customHeight="1" x14ac:dyDescent="0.3">
      <c r="B191" s="9">
        <f t="shared" si="14"/>
        <v>0</v>
      </c>
      <c r="C191" s="9">
        <f t="shared" si="14"/>
        <v>0</v>
      </c>
      <c r="D191" s="9">
        <f t="shared" si="14"/>
        <v>0</v>
      </c>
      <c r="E191" s="9">
        <f t="shared" si="14"/>
        <v>0</v>
      </c>
      <c r="F191" s="9">
        <f t="shared" si="14"/>
        <v>0</v>
      </c>
      <c r="G191" s="9">
        <f t="shared" si="14"/>
        <v>0</v>
      </c>
      <c r="H191" s="9">
        <f t="shared" si="14"/>
        <v>0</v>
      </c>
      <c r="I191" s="9">
        <f t="shared" si="14"/>
        <v>0</v>
      </c>
      <c r="J191" s="9">
        <f t="shared" si="14"/>
        <v>0</v>
      </c>
      <c r="K191" s="9">
        <f t="shared" si="14"/>
        <v>0</v>
      </c>
      <c r="L191" s="64" t="s">
        <v>181</v>
      </c>
    </row>
    <row r="192" spans="1:12" ht="19.05" customHeight="1" x14ac:dyDescent="0.3">
      <c r="A192" s="28" t="s">
        <v>529</v>
      </c>
      <c r="B192" s="9">
        <f t="shared" si="14"/>
        <v>0</v>
      </c>
      <c r="C192" s="9">
        <f t="shared" si="14"/>
        <v>0</v>
      </c>
      <c r="D192" s="9">
        <f t="shared" si="14"/>
        <v>0</v>
      </c>
      <c r="E192" s="9">
        <f t="shared" si="14"/>
        <v>0</v>
      </c>
      <c r="F192" s="66">
        <f t="shared" si="14"/>
        <v>31513.615213467838</v>
      </c>
      <c r="G192" s="66">
        <f t="shared" si="14"/>
        <v>-27011.670182972433</v>
      </c>
      <c r="H192" s="9">
        <f t="shared" si="14"/>
        <v>0</v>
      </c>
      <c r="I192" s="9">
        <f t="shared" si="14"/>
        <v>0</v>
      </c>
      <c r="J192" s="66">
        <f t="shared" si="14"/>
        <v>-31513.615213467838</v>
      </c>
      <c r="K192" s="66">
        <f t="shared" si="14"/>
        <v>27011.670182972433</v>
      </c>
      <c r="L192" s="64" t="s">
        <v>182</v>
      </c>
    </row>
    <row r="193" spans="1:12" ht="19.05" customHeight="1" x14ac:dyDescent="0.3">
      <c r="B193" s="9">
        <f t="shared" si="14"/>
        <v>0</v>
      </c>
      <c r="C193" s="9">
        <f t="shared" si="14"/>
        <v>0</v>
      </c>
      <c r="D193" s="9">
        <f t="shared" si="14"/>
        <v>0</v>
      </c>
      <c r="E193" s="9">
        <f t="shared" si="14"/>
        <v>0</v>
      </c>
      <c r="F193" s="66">
        <f t="shared" si="14"/>
        <v>-27011.670182972433</v>
      </c>
      <c r="G193" s="66">
        <f t="shared" si="14"/>
        <v>23152.860156833514</v>
      </c>
      <c r="H193" s="9">
        <f t="shared" si="14"/>
        <v>0</v>
      </c>
      <c r="I193" s="9">
        <f t="shared" si="14"/>
        <v>0</v>
      </c>
      <c r="J193" s="66">
        <f t="shared" si="14"/>
        <v>27011.670182972433</v>
      </c>
      <c r="K193" s="66">
        <f t="shared" si="14"/>
        <v>-23152.860156833514</v>
      </c>
      <c r="L193" s="64" t="s">
        <v>183</v>
      </c>
    </row>
    <row r="194" spans="1:12" ht="19.05" customHeight="1" x14ac:dyDescent="0.3">
      <c r="B194" s="9">
        <f t="shared" si="14"/>
        <v>0</v>
      </c>
      <c r="C194" s="9">
        <f t="shared" si="14"/>
        <v>0</v>
      </c>
      <c r="D194" s="9">
        <f t="shared" si="14"/>
        <v>0</v>
      </c>
      <c r="E194" s="9">
        <f t="shared" si="14"/>
        <v>0</v>
      </c>
      <c r="F194" s="9">
        <f t="shared" si="14"/>
        <v>0</v>
      </c>
      <c r="G194" s="9">
        <f t="shared" si="14"/>
        <v>0</v>
      </c>
      <c r="H194" s="9">
        <f t="shared" si="14"/>
        <v>0</v>
      </c>
      <c r="I194" s="9">
        <f t="shared" si="14"/>
        <v>0</v>
      </c>
      <c r="J194" s="9">
        <f t="shared" si="14"/>
        <v>0</v>
      </c>
      <c r="K194" s="9">
        <f t="shared" si="14"/>
        <v>0</v>
      </c>
      <c r="L194" s="64" t="s">
        <v>184</v>
      </c>
    </row>
    <row r="195" spans="1:12" ht="19.05" customHeight="1" x14ac:dyDescent="0.3">
      <c r="B195" s="9">
        <f t="shared" si="14"/>
        <v>0</v>
      </c>
      <c r="C195" s="9">
        <f t="shared" si="14"/>
        <v>0</v>
      </c>
      <c r="D195" s="9">
        <f t="shared" si="14"/>
        <v>0</v>
      </c>
      <c r="E195" s="9">
        <f t="shared" si="14"/>
        <v>0</v>
      </c>
      <c r="F195" s="9">
        <f t="shared" si="14"/>
        <v>0</v>
      </c>
      <c r="G195" s="9">
        <f t="shared" si="14"/>
        <v>0</v>
      </c>
      <c r="H195" s="9">
        <f t="shared" si="14"/>
        <v>0</v>
      </c>
      <c r="I195" s="9">
        <f t="shared" si="14"/>
        <v>0</v>
      </c>
      <c r="J195" s="9">
        <f t="shared" si="14"/>
        <v>0</v>
      </c>
      <c r="K195" s="9">
        <f t="shared" si="14"/>
        <v>0</v>
      </c>
      <c r="L195" s="64" t="s">
        <v>185</v>
      </c>
    </row>
    <row r="196" spans="1:12" ht="19.05" customHeight="1" x14ac:dyDescent="0.3">
      <c r="B196" s="9">
        <f t="shared" si="14"/>
        <v>0</v>
      </c>
      <c r="C196" s="9">
        <f t="shared" si="14"/>
        <v>0</v>
      </c>
      <c r="D196" s="9">
        <f t="shared" si="14"/>
        <v>0</v>
      </c>
      <c r="E196" s="9">
        <f t="shared" si="14"/>
        <v>0</v>
      </c>
      <c r="F196" s="66">
        <f t="shared" si="14"/>
        <v>-31513.615213467838</v>
      </c>
      <c r="G196" s="66">
        <f t="shared" si="14"/>
        <v>27011.670182972433</v>
      </c>
      <c r="H196" s="9">
        <f t="shared" si="14"/>
        <v>0</v>
      </c>
      <c r="I196" s="9">
        <f t="shared" si="14"/>
        <v>0</v>
      </c>
      <c r="J196" s="66">
        <f t="shared" si="14"/>
        <v>31513.615213467838</v>
      </c>
      <c r="K196" s="66">
        <f t="shared" si="14"/>
        <v>-27011.670182972433</v>
      </c>
      <c r="L196" s="64" t="s">
        <v>186</v>
      </c>
    </row>
    <row r="197" spans="1:12" ht="19.05" customHeight="1" x14ac:dyDescent="0.3">
      <c r="B197" s="9">
        <f t="shared" si="14"/>
        <v>0</v>
      </c>
      <c r="C197" s="9">
        <f t="shared" si="14"/>
        <v>0</v>
      </c>
      <c r="D197" s="9">
        <f t="shared" si="14"/>
        <v>0</v>
      </c>
      <c r="E197" s="9">
        <f t="shared" si="14"/>
        <v>0</v>
      </c>
      <c r="F197" s="66">
        <f t="shared" si="14"/>
        <v>27011.670182972433</v>
      </c>
      <c r="G197" s="66">
        <f t="shared" si="14"/>
        <v>-23152.860156833514</v>
      </c>
      <c r="H197" s="9">
        <f t="shared" si="14"/>
        <v>0</v>
      </c>
      <c r="I197" s="9">
        <f t="shared" si="14"/>
        <v>0</v>
      </c>
      <c r="J197" s="66">
        <f t="shared" si="14"/>
        <v>-27011.670182972433</v>
      </c>
      <c r="K197" s="66">
        <f t="shared" si="14"/>
        <v>23152.860156833514</v>
      </c>
      <c r="L197" s="64" t="s">
        <v>187</v>
      </c>
    </row>
    <row r="200" spans="1:12" ht="19.95" customHeight="1" x14ac:dyDescent="0.3">
      <c r="B200" s="87" t="s">
        <v>178</v>
      </c>
      <c r="C200" s="87" t="s">
        <v>179</v>
      </c>
      <c r="D200" s="87" t="s">
        <v>180</v>
      </c>
      <c r="E200" s="87" t="s">
        <v>181</v>
      </c>
      <c r="F200" s="87" t="s">
        <v>182</v>
      </c>
      <c r="G200" s="87" t="s">
        <v>183</v>
      </c>
      <c r="H200" s="87" t="s">
        <v>184</v>
      </c>
      <c r="I200" s="87" t="s">
        <v>185</v>
      </c>
      <c r="J200" s="87" t="s">
        <v>186</v>
      </c>
      <c r="K200" s="87" t="s">
        <v>187</v>
      </c>
    </row>
    <row r="201" spans="1:12" ht="19.95" customHeight="1" x14ac:dyDescent="0.3">
      <c r="B201" s="35">
        <f t="shared" ref="B201:K201" si="15">B36+B55+B74+B93+B112+B131+B150+B169+B188</f>
        <v>103513.61521346784</v>
      </c>
      <c r="C201" s="36">
        <f t="shared" si="15"/>
        <v>27011.670182972433</v>
      </c>
      <c r="D201" s="9">
        <f t="shared" si="15"/>
        <v>-72000</v>
      </c>
      <c r="E201" s="9">
        <f t="shared" si="15"/>
        <v>0</v>
      </c>
      <c r="F201" s="9">
        <f t="shared" si="15"/>
        <v>0</v>
      </c>
      <c r="G201" s="9">
        <f t="shared" si="15"/>
        <v>0</v>
      </c>
      <c r="H201" s="9">
        <f t="shared" si="15"/>
        <v>0</v>
      </c>
      <c r="I201" s="9">
        <f t="shared" si="15"/>
        <v>0</v>
      </c>
      <c r="J201" s="9">
        <f t="shared" si="15"/>
        <v>-31513.615213467838</v>
      </c>
      <c r="K201" s="9">
        <f t="shared" si="15"/>
        <v>-27011.670182972433</v>
      </c>
      <c r="L201" s="89" t="s">
        <v>178</v>
      </c>
    </row>
    <row r="202" spans="1:12" ht="19.95" customHeight="1" x14ac:dyDescent="0.3">
      <c r="B202" s="36">
        <f t="shared" ref="B202:K202" si="16">B37+B56+B75+B94+B113+B132+B151+B170+B189</f>
        <v>27011.670182972433</v>
      </c>
      <c r="C202" s="35">
        <f t="shared" si="16"/>
        <v>107152.86015683351</v>
      </c>
      <c r="D202" s="9">
        <f t="shared" si="16"/>
        <v>0</v>
      </c>
      <c r="E202" s="9">
        <f t="shared" si="16"/>
        <v>0</v>
      </c>
      <c r="F202" s="9">
        <f t="shared" si="16"/>
        <v>0</v>
      </c>
      <c r="G202" s="9">
        <f t="shared" si="16"/>
        <v>0</v>
      </c>
      <c r="H202" s="9">
        <f t="shared" si="16"/>
        <v>0</v>
      </c>
      <c r="I202" s="9">
        <f t="shared" si="16"/>
        <v>-84000</v>
      </c>
      <c r="J202" s="9">
        <f t="shared" si="16"/>
        <v>-27011.670182972433</v>
      </c>
      <c r="K202" s="9">
        <f t="shared" si="16"/>
        <v>-23152.860156833514</v>
      </c>
      <c r="L202" s="89" t="s">
        <v>179</v>
      </c>
    </row>
    <row r="203" spans="1:12" ht="19.95" customHeight="1" x14ac:dyDescent="0.3">
      <c r="B203" s="9">
        <f t="shared" ref="B203:K203" si="17">B38+B57+B76+B95+B114+B133+B152+B171+B190</f>
        <v>-72000</v>
      </c>
      <c r="C203" s="9">
        <f t="shared" si="17"/>
        <v>0</v>
      </c>
      <c r="D203" s="35">
        <f t="shared" si="17"/>
        <v>175513.61521346783</v>
      </c>
      <c r="E203" s="36">
        <f t="shared" si="17"/>
        <v>-27011.670182972433</v>
      </c>
      <c r="F203" s="9">
        <f t="shared" si="17"/>
        <v>-72000</v>
      </c>
      <c r="G203" s="9">
        <f t="shared" si="17"/>
        <v>0</v>
      </c>
      <c r="H203" s="9">
        <f t="shared" si="17"/>
        <v>-31513.615213467838</v>
      </c>
      <c r="I203" s="9">
        <f t="shared" si="17"/>
        <v>27011.670182972433</v>
      </c>
      <c r="J203" s="9">
        <f t="shared" si="17"/>
        <v>0</v>
      </c>
      <c r="K203" s="9">
        <f t="shared" si="17"/>
        <v>0</v>
      </c>
      <c r="L203" s="89" t="s">
        <v>180</v>
      </c>
    </row>
    <row r="204" spans="1:12" ht="19.95" customHeight="1" x14ac:dyDescent="0.3">
      <c r="B204" s="9">
        <f t="shared" ref="B204:K204" si="18">B39+B58+B77+B96+B115+B134+B153+B172+B191</f>
        <v>0</v>
      </c>
      <c r="C204" s="9">
        <f t="shared" si="18"/>
        <v>0</v>
      </c>
      <c r="D204" s="36">
        <f t="shared" si="18"/>
        <v>-27011.670182972433</v>
      </c>
      <c r="E204" s="35">
        <f t="shared" si="18"/>
        <v>191152.86015683351</v>
      </c>
      <c r="F204" s="9">
        <f t="shared" si="18"/>
        <v>0</v>
      </c>
      <c r="G204" s="9">
        <f t="shared" si="18"/>
        <v>0</v>
      </c>
      <c r="H204" s="9">
        <f t="shared" si="18"/>
        <v>27011.670182972433</v>
      </c>
      <c r="I204" s="9">
        <f t="shared" si="18"/>
        <v>-23152.860156833514</v>
      </c>
      <c r="J204" s="9">
        <f t="shared" si="18"/>
        <v>0</v>
      </c>
      <c r="K204" s="9">
        <f t="shared" si="18"/>
        <v>-168000</v>
      </c>
      <c r="L204" s="89" t="s">
        <v>181</v>
      </c>
    </row>
    <row r="205" spans="1:12" ht="19.95" customHeight="1" x14ac:dyDescent="0.3">
      <c r="A205" s="28" t="s">
        <v>205</v>
      </c>
      <c r="B205" s="9">
        <f t="shared" ref="B205:K205" si="19">B40+B59+B78+B97+B116+B135+B154+B173+B192</f>
        <v>0</v>
      </c>
      <c r="C205" s="9">
        <f t="shared" si="19"/>
        <v>0</v>
      </c>
      <c r="D205" s="9">
        <f t="shared" si="19"/>
        <v>-72000</v>
      </c>
      <c r="E205" s="9">
        <f t="shared" si="19"/>
        <v>0</v>
      </c>
      <c r="F205" s="35">
        <f t="shared" si="19"/>
        <v>103513.61521346784</v>
      </c>
      <c r="G205" s="36">
        <f t="shared" si="19"/>
        <v>-27011.670182972433</v>
      </c>
      <c r="H205" s="9">
        <f t="shared" si="19"/>
        <v>0</v>
      </c>
      <c r="I205" s="9">
        <f t="shared" si="19"/>
        <v>0</v>
      </c>
      <c r="J205" s="9">
        <f t="shared" si="19"/>
        <v>-31513.615213467838</v>
      </c>
      <c r="K205" s="9">
        <f t="shared" si="19"/>
        <v>27011.670182972433</v>
      </c>
      <c r="L205" s="89" t="s">
        <v>182</v>
      </c>
    </row>
    <row r="206" spans="1:12" ht="19.95" customHeight="1" x14ac:dyDescent="0.3">
      <c r="B206" s="9">
        <f t="shared" ref="B206:K206" si="20">B41+B60+B79+B98+B117+B136+B155+B174+B193</f>
        <v>0</v>
      </c>
      <c r="C206" s="9">
        <f t="shared" si="20"/>
        <v>0</v>
      </c>
      <c r="D206" s="9">
        <f t="shared" si="20"/>
        <v>0</v>
      </c>
      <c r="E206" s="9">
        <f t="shared" si="20"/>
        <v>0</v>
      </c>
      <c r="F206" s="36">
        <f t="shared" si="20"/>
        <v>-27011.670182972433</v>
      </c>
      <c r="G206" s="35">
        <f t="shared" si="20"/>
        <v>23152.860156833514</v>
      </c>
      <c r="H206" s="9">
        <f t="shared" si="20"/>
        <v>0</v>
      </c>
      <c r="I206" s="9">
        <f t="shared" si="20"/>
        <v>0</v>
      </c>
      <c r="J206" s="9">
        <f t="shared" si="20"/>
        <v>27011.670182972433</v>
      </c>
      <c r="K206" s="9">
        <f t="shared" si="20"/>
        <v>-23152.860156833514</v>
      </c>
      <c r="L206" s="89" t="s">
        <v>183</v>
      </c>
    </row>
    <row r="207" spans="1:12" ht="19.95" customHeight="1" x14ac:dyDescent="0.3">
      <c r="B207" s="9">
        <f t="shared" ref="B207:K207" si="21">B42+B61+B80+B99+B118+B137+B156+B175+B194</f>
        <v>0</v>
      </c>
      <c r="C207" s="9">
        <f t="shared" si="21"/>
        <v>0</v>
      </c>
      <c r="D207" s="9">
        <f t="shared" si="21"/>
        <v>-31513.615213467838</v>
      </c>
      <c r="E207" s="9">
        <f t="shared" si="21"/>
        <v>27011.670182972433</v>
      </c>
      <c r="F207" s="9">
        <f t="shared" si="21"/>
        <v>0</v>
      </c>
      <c r="G207" s="9">
        <f t="shared" si="21"/>
        <v>0</v>
      </c>
      <c r="H207" s="35">
        <f t="shared" si="21"/>
        <v>103513.61521346784</v>
      </c>
      <c r="I207" s="36">
        <f t="shared" si="21"/>
        <v>-27011.670182972433</v>
      </c>
      <c r="J207" s="9">
        <f t="shared" si="21"/>
        <v>-72000</v>
      </c>
      <c r="K207" s="9">
        <f t="shared" si="21"/>
        <v>0</v>
      </c>
      <c r="L207" s="89" t="s">
        <v>184</v>
      </c>
    </row>
    <row r="208" spans="1:12" ht="19.95" customHeight="1" x14ac:dyDescent="0.3">
      <c r="B208" s="9">
        <f t="shared" ref="B208:K208" si="22">B43+B62+B81+B100+B119+B138+B157+B176+B195</f>
        <v>0</v>
      </c>
      <c r="C208" s="9">
        <f t="shared" si="22"/>
        <v>-84000</v>
      </c>
      <c r="D208" s="9">
        <f t="shared" si="22"/>
        <v>27011.670182972433</v>
      </c>
      <c r="E208" s="9">
        <f t="shared" si="22"/>
        <v>-23152.860156833514</v>
      </c>
      <c r="F208" s="9">
        <f t="shared" si="22"/>
        <v>0</v>
      </c>
      <c r="G208" s="9">
        <f t="shared" si="22"/>
        <v>0</v>
      </c>
      <c r="H208" s="36">
        <f t="shared" si="22"/>
        <v>-27011.670182972433</v>
      </c>
      <c r="I208" s="35">
        <f t="shared" si="22"/>
        <v>107152.86015683351</v>
      </c>
      <c r="J208" s="9">
        <f t="shared" si="22"/>
        <v>0</v>
      </c>
      <c r="K208" s="9">
        <f t="shared" si="22"/>
        <v>0</v>
      </c>
      <c r="L208" s="89" t="s">
        <v>185</v>
      </c>
    </row>
    <row r="209" spans="1:19" ht="19.95" customHeight="1" x14ac:dyDescent="0.3">
      <c r="B209" s="9">
        <f t="shared" ref="B209:K209" si="23">B44+B63+B82+B101+B120+B139+B158+B177+B196</f>
        <v>-31513.615213467838</v>
      </c>
      <c r="C209" s="9">
        <f t="shared" si="23"/>
        <v>-27011.670182972433</v>
      </c>
      <c r="D209" s="9">
        <f t="shared" si="23"/>
        <v>0</v>
      </c>
      <c r="E209" s="9">
        <f t="shared" si="23"/>
        <v>0</v>
      </c>
      <c r="F209" s="9">
        <f t="shared" si="23"/>
        <v>-31513.615213467838</v>
      </c>
      <c r="G209" s="9">
        <f t="shared" si="23"/>
        <v>27011.670182972433</v>
      </c>
      <c r="H209" s="9">
        <f t="shared" si="23"/>
        <v>-72000</v>
      </c>
      <c r="I209" s="9">
        <f t="shared" si="23"/>
        <v>0</v>
      </c>
      <c r="J209" s="35">
        <f t="shared" si="23"/>
        <v>135027.23042693568</v>
      </c>
      <c r="K209" s="36">
        <f t="shared" si="23"/>
        <v>0</v>
      </c>
      <c r="L209" s="89" t="s">
        <v>186</v>
      </c>
    </row>
    <row r="210" spans="1:19" ht="19.95" customHeight="1" x14ac:dyDescent="0.3">
      <c r="B210" s="9">
        <f t="shared" ref="B210:K210" si="24">B45+B64+B83+B102+B121+B140+B159+B178+B197</f>
        <v>-27011.670182972433</v>
      </c>
      <c r="C210" s="9">
        <f t="shared" si="24"/>
        <v>-23152.860156833514</v>
      </c>
      <c r="D210" s="9">
        <f t="shared" si="24"/>
        <v>0</v>
      </c>
      <c r="E210" s="9">
        <f t="shared" si="24"/>
        <v>-168000</v>
      </c>
      <c r="F210" s="9">
        <f t="shared" si="24"/>
        <v>27011.670182972433</v>
      </c>
      <c r="G210" s="9">
        <f t="shared" si="24"/>
        <v>-23152.860156833514</v>
      </c>
      <c r="H210" s="9">
        <f t="shared" si="24"/>
        <v>0</v>
      </c>
      <c r="I210" s="9">
        <f t="shared" si="24"/>
        <v>0</v>
      </c>
      <c r="J210" s="36">
        <f t="shared" si="24"/>
        <v>0</v>
      </c>
      <c r="K210" s="35">
        <f t="shared" si="24"/>
        <v>214305.72031366703</v>
      </c>
      <c r="L210" s="89" t="s">
        <v>187</v>
      </c>
    </row>
    <row r="213" spans="1:19" ht="19.95" customHeight="1" x14ac:dyDescent="0.35">
      <c r="A213" s="11" t="s">
        <v>206</v>
      </c>
      <c r="N213" s="216" t="s">
        <v>207</v>
      </c>
      <c r="O213" s="172"/>
      <c r="P213" s="172"/>
      <c r="Q213" s="172"/>
      <c r="R213" s="172"/>
      <c r="S213" s="173"/>
    </row>
    <row r="214" spans="1:19" ht="16.95" customHeight="1" x14ac:dyDescent="0.3">
      <c r="B214" s="12" t="s">
        <v>208</v>
      </c>
      <c r="C214" s="12" t="s">
        <v>178</v>
      </c>
      <c r="E214" s="37" t="str">
        <f>IF(GRAFICA_44!F14=1, B214, GRAFICA_44!H14)</f>
        <v>C1X</v>
      </c>
      <c r="N214" s="215" t="s">
        <v>376</v>
      </c>
      <c r="O214" s="172"/>
      <c r="P214" s="172"/>
      <c r="Q214" s="172"/>
      <c r="R214" s="172"/>
      <c r="S214" s="173"/>
    </row>
    <row r="215" spans="1:19" ht="16.95" customHeight="1" x14ac:dyDescent="0.3">
      <c r="B215" s="12" t="s">
        <v>210</v>
      </c>
      <c r="C215" s="12" t="s">
        <v>179</v>
      </c>
      <c r="E215" s="37" t="str">
        <f>IF(GRAFICA_44!G14=1, B215, GRAFICA_44!I14)</f>
        <v>C1Y</v>
      </c>
      <c r="N215" s="215" t="s">
        <v>211</v>
      </c>
      <c r="O215" s="172"/>
      <c r="P215" s="172"/>
      <c r="Q215" s="172"/>
      <c r="R215" s="172"/>
      <c r="S215" s="173"/>
    </row>
    <row r="216" spans="1:19" ht="16.95" customHeight="1" x14ac:dyDescent="0.3">
      <c r="B216" s="12" t="s">
        <v>212</v>
      </c>
      <c r="C216" s="12" t="s">
        <v>180</v>
      </c>
      <c r="E216" s="37">
        <f>IF(GRAFICA_44!F15=1, B216, GRAFICA_44!H15)</f>
        <v>0</v>
      </c>
      <c r="N216" s="215" t="s">
        <v>377</v>
      </c>
      <c r="O216" s="172"/>
      <c r="P216" s="172"/>
      <c r="Q216" s="172"/>
      <c r="R216" s="172"/>
      <c r="S216" s="173"/>
    </row>
    <row r="217" spans="1:19" ht="16.95" customHeight="1" x14ac:dyDescent="0.3">
      <c r="B217" s="12" t="s">
        <v>214</v>
      </c>
      <c r="C217" s="12" t="s">
        <v>181</v>
      </c>
      <c r="E217" s="37">
        <f>IF(GRAFICA_44!G15=1, B217, GRAFICA_44!I15)</f>
        <v>-8000</v>
      </c>
      <c r="N217" s="215" t="s">
        <v>215</v>
      </c>
      <c r="O217" s="172"/>
      <c r="P217" s="172"/>
      <c r="Q217" s="172"/>
      <c r="R217" s="172"/>
      <c r="S217" s="173"/>
    </row>
    <row r="218" spans="1:19" ht="16.95" customHeight="1" x14ac:dyDescent="0.3">
      <c r="A218" s="38" t="s">
        <v>218</v>
      </c>
      <c r="B218" s="12" t="s">
        <v>216</v>
      </c>
      <c r="C218" s="12" t="s">
        <v>182</v>
      </c>
      <c r="D218" s="13" t="s">
        <v>220</v>
      </c>
      <c r="E218" s="37">
        <f>IF(GRAFICA_44!F16=1, B218, GRAFICA_44!H16)</f>
        <v>0</v>
      </c>
      <c r="N218" s="215" t="s">
        <v>378</v>
      </c>
      <c r="O218" s="172"/>
      <c r="P218" s="172"/>
      <c r="Q218" s="172"/>
      <c r="R218" s="172"/>
      <c r="S218" s="173"/>
    </row>
    <row r="219" spans="1:19" ht="16.95" customHeight="1" x14ac:dyDescent="0.3">
      <c r="B219" s="12" t="s">
        <v>219</v>
      </c>
      <c r="C219" s="12" t="s">
        <v>183</v>
      </c>
      <c r="E219" s="37" t="str">
        <f>IF(GRAFICA_44!G16=1, B219, GRAFICA_44!I16)</f>
        <v>C3Y</v>
      </c>
      <c r="N219" s="215" t="s">
        <v>379</v>
      </c>
      <c r="O219" s="172"/>
      <c r="P219" s="172"/>
      <c r="Q219" s="172"/>
      <c r="R219" s="172"/>
      <c r="S219" s="173"/>
    </row>
    <row r="220" spans="1:19" ht="16.95" customHeight="1" x14ac:dyDescent="0.3">
      <c r="B220" s="12" t="s">
        <v>221</v>
      </c>
      <c r="C220" s="12" t="s">
        <v>184</v>
      </c>
      <c r="E220" s="37">
        <f>IF(GRAFICA_44!F17=1, B220, GRAFICA_44!H17)</f>
        <v>2000</v>
      </c>
      <c r="N220" s="215"/>
      <c r="O220" s="172"/>
      <c r="P220" s="172"/>
      <c r="Q220" s="172"/>
      <c r="R220" s="172"/>
      <c r="S220" s="173"/>
    </row>
    <row r="221" spans="1:19" ht="16.95" customHeight="1" x14ac:dyDescent="0.3">
      <c r="B221" s="12" t="s">
        <v>222</v>
      </c>
      <c r="C221" s="12" t="s">
        <v>185</v>
      </c>
      <c r="E221" s="37">
        <f>IF(GRAFICA_44!G17=1, B221, GRAFICA_44!I17)</f>
        <v>0</v>
      </c>
      <c r="N221" s="215"/>
      <c r="O221" s="172"/>
      <c r="P221" s="172"/>
      <c r="Q221" s="172"/>
      <c r="R221" s="172"/>
      <c r="S221" s="173"/>
    </row>
    <row r="222" spans="1:19" ht="16.95" customHeight="1" x14ac:dyDescent="0.3">
      <c r="B222" s="12" t="s">
        <v>223</v>
      </c>
      <c r="C222" s="12" t="s">
        <v>186</v>
      </c>
      <c r="E222" s="37">
        <f>IF(GRAFICA_44!F18=1, B222, GRAFICA_44!H18)</f>
        <v>0</v>
      </c>
      <c r="N222" s="215"/>
      <c r="O222" s="172"/>
      <c r="P222" s="172"/>
      <c r="Q222" s="172"/>
      <c r="R222" s="172"/>
      <c r="S222" s="173"/>
    </row>
    <row r="223" spans="1:19" ht="16.95" customHeight="1" x14ac:dyDescent="0.3">
      <c r="B223" s="12" t="s">
        <v>224</v>
      </c>
      <c r="C223" s="12" t="s">
        <v>187</v>
      </c>
      <c r="E223" s="37">
        <f>IF(GRAFICA_44!G18=1, B223, GRAFICA_44!I18)</f>
        <v>-5000</v>
      </c>
      <c r="N223" s="215"/>
      <c r="O223" s="172"/>
      <c r="P223" s="172"/>
      <c r="Q223" s="172"/>
      <c r="R223" s="172"/>
      <c r="S223" s="173"/>
    </row>
    <row r="224" spans="1:19" ht="16.95" customHeight="1" x14ac:dyDescent="0.3">
      <c r="N224" s="215"/>
      <c r="O224" s="172"/>
      <c r="P224" s="172"/>
      <c r="Q224" s="172"/>
      <c r="R224" s="172"/>
      <c r="S224" s="173"/>
    </row>
    <row r="225" spans="1:19" ht="16.95" customHeight="1" x14ac:dyDescent="0.35">
      <c r="A225" s="11" t="s">
        <v>227</v>
      </c>
      <c r="N225" s="215"/>
      <c r="O225" s="172"/>
      <c r="P225" s="172"/>
      <c r="Q225" s="172"/>
      <c r="R225" s="172"/>
      <c r="S225" s="173"/>
    </row>
    <row r="226" spans="1:19" ht="16.95" customHeight="1" x14ac:dyDescent="0.3">
      <c r="B226" s="12" t="s">
        <v>228</v>
      </c>
      <c r="C226" s="12" t="s">
        <v>178</v>
      </c>
      <c r="E226" s="39">
        <f>IF(GRAFICA_44!F14=1, 0, B226)</f>
        <v>0</v>
      </c>
      <c r="F226" s="14" t="str">
        <f>IF(E226&lt;&gt;0, COUNTIF(E$226:E226, "&lt;&gt;0"), "")</f>
        <v/>
      </c>
      <c r="G226" s="14">
        <f>IF(E226=0, COUNTIF(E$226:E226, 0), "")</f>
        <v>1</v>
      </c>
      <c r="N226" s="215"/>
      <c r="O226" s="172"/>
      <c r="P226" s="172"/>
      <c r="Q226" s="172"/>
      <c r="R226" s="172"/>
      <c r="S226" s="173"/>
    </row>
    <row r="227" spans="1:19" ht="16.95" customHeight="1" x14ac:dyDescent="0.3">
      <c r="B227" s="12" t="s">
        <v>229</v>
      </c>
      <c r="C227" s="12" t="s">
        <v>179</v>
      </c>
      <c r="E227" s="39">
        <f>IF(GRAFICA_44!G14=1, 0, B227)</f>
        <v>0</v>
      </c>
      <c r="F227" s="14" t="str">
        <f>IF(E227&lt;&gt;0, COUNTIF(E$226:E227, "&lt;&gt;0"), "")</f>
        <v/>
      </c>
      <c r="G227" s="14">
        <f>IF(E227=0, COUNTIF(E$226:E227, 0), "")</f>
        <v>2</v>
      </c>
      <c r="N227" s="215"/>
      <c r="O227" s="172"/>
      <c r="P227" s="172"/>
      <c r="Q227" s="172"/>
      <c r="R227" s="172"/>
      <c r="S227" s="173"/>
    </row>
    <row r="228" spans="1:19" ht="16.95" customHeight="1" x14ac:dyDescent="0.3">
      <c r="B228" s="12" t="s">
        <v>230</v>
      </c>
      <c r="C228" s="12" t="s">
        <v>180</v>
      </c>
      <c r="E228" s="39" t="str">
        <f>IF(GRAFICA_44!F15=1, 0, B228)</f>
        <v>D2X</v>
      </c>
      <c r="F228" s="14">
        <f>IF(E228&lt;&gt;0, COUNTIF(E$226:E228, "&lt;&gt;0"), "")</f>
        <v>1</v>
      </c>
      <c r="G228" s="14" t="str">
        <f>IF(E228=0, COUNTIF(E$226:E228, 0), "")</f>
        <v/>
      </c>
      <c r="N228" s="215"/>
      <c r="O228" s="172"/>
      <c r="P228" s="172"/>
      <c r="Q228" s="172"/>
      <c r="R228" s="172"/>
      <c r="S228" s="173"/>
    </row>
    <row r="229" spans="1:19" ht="16.95" customHeight="1" x14ac:dyDescent="0.3">
      <c r="B229" s="12" t="s">
        <v>231</v>
      </c>
      <c r="C229" s="12" t="s">
        <v>181</v>
      </c>
      <c r="E229" s="39" t="str">
        <f>IF(GRAFICA_44!G15=1, 0, B229)</f>
        <v>D2Y</v>
      </c>
      <c r="F229" s="14">
        <f>IF(E229&lt;&gt;0, COUNTIF(E$226:E229, "&lt;&gt;0"), "")</f>
        <v>2</v>
      </c>
      <c r="G229" s="14" t="str">
        <f>IF(E229=0, COUNTIF(E$226:E229, 0), "")</f>
        <v/>
      </c>
      <c r="N229" s="215"/>
      <c r="O229" s="172"/>
      <c r="P229" s="172"/>
      <c r="Q229" s="172"/>
      <c r="R229" s="172"/>
      <c r="S229" s="173"/>
    </row>
    <row r="230" spans="1:19" ht="16.95" customHeight="1" x14ac:dyDescent="0.3">
      <c r="A230" s="38" t="s">
        <v>233</v>
      </c>
      <c r="B230" s="12" t="s">
        <v>232</v>
      </c>
      <c r="C230" s="12" t="s">
        <v>182</v>
      </c>
      <c r="D230" s="13" t="s">
        <v>220</v>
      </c>
      <c r="E230" s="39" t="str">
        <f>IF(GRAFICA_44!F16=1, 0, B230)</f>
        <v>D3X</v>
      </c>
      <c r="F230" s="14">
        <f>IF(E230&lt;&gt;0, COUNTIF(E$226:E230, "&lt;&gt;0"), "")</f>
        <v>3</v>
      </c>
      <c r="G230" s="14" t="str">
        <f>IF(E230=0, COUNTIF(E$226:E230, 0), "")</f>
        <v/>
      </c>
      <c r="N230" s="215"/>
      <c r="O230" s="172"/>
      <c r="P230" s="172"/>
      <c r="Q230" s="172"/>
      <c r="R230" s="172"/>
      <c r="S230" s="173"/>
    </row>
    <row r="231" spans="1:19" ht="16.95" customHeight="1" x14ac:dyDescent="0.3">
      <c r="B231" s="12" t="s">
        <v>234</v>
      </c>
      <c r="C231" s="12" t="s">
        <v>183</v>
      </c>
      <c r="E231" s="39">
        <f>IF(GRAFICA_44!G16=1, 0, B231)</f>
        <v>0</v>
      </c>
      <c r="F231" s="14" t="str">
        <f>IF(E231&lt;&gt;0, COUNTIF(E$226:E231, "&lt;&gt;0"), "")</f>
        <v/>
      </c>
      <c r="G231" s="14">
        <f>IF(E231=0, COUNTIF(E$226:E231, 0), "")</f>
        <v>3</v>
      </c>
      <c r="N231" s="215"/>
      <c r="O231" s="172"/>
      <c r="P231" s="172"/>
      <c r="Q231" s="172"/>
      <c r="R231" s="172"/>
      <c r="S231" s="173"/>
    </row>
    <row r="232" spans="1:19" ht="16.95" customHeight="1" x14ac:dyDescent="0.3">
      <c r="B232" s="12" t="s">
        <v>235</v>
      </c>
      <c r="C232" s="12" t="s">
        <v>184</v>
      </c>
      <c r="E232" s="39" t="str">
        <f>IF(GRAFICA_44!F17=1, 0, B232)</f>
        <v>D4X</v>
      </c>
      <c r="F232" s="14">
        <f>IF(E232&lt;&gt;0, COUNTIF(E$226:E232, "&lt;&gt;0"), "")</f>
        <v>4</v>
      </c>
      <c r="G232" s="14" t="str">
        <f>IF(E232=0, COUNTIF(E$226:E232, 0), "")</f>
        <v/>
      </c>
      <c r="N232" s="215"/>
      <c r="O232" s="172"/>
      <c r="P232" s="172"/>
      <c r="Q232" s="172"/>
      <c r="R232" s="172"/>
      <c r="S232" s="173"/>
    </row>
    <row r="233" spans="1:19" ht="16.95" customHeight="1" x14ac:dyDescent="0.3">
      <c r="B233" s="12" t="s">
        <v>236</v>
      </c>
      <c r="C233" s="12" t="s">
        <v>185</v>
      </c>
      <c r="E233" s="39" t="str">
        <f>IF(GRAFICA_44!G17=1, 0, B233)</f>
        <v>D4Y</v>
      </c>
      <c r="F233" s="14">
        <f>IF(E233&lt;&gt;0, COUNTIF(E$226:E233, "&lt;&gt;0"), "")</f>
        <v>5</v>
      </c>
      <c r="G233" s="14" t="str">
        <f>IF(E233=0, COUNTIF(E$226:E233, 0), "")</f>
        <v/>
      </c>
      <c r="N233" s="215"/>
      <c r="O233" s="172"/>
      <c r="P233" s="172"/>
      <c r="Q233" s="172"/>
      <c r="R233" s="172"/>
      <c r="S233" s="173"/>
    </row>
    <row r="234" spans="1:19" ht="16.95" customHeight="1" x14ac:dyDescent="0.3">
      <c r="B234" s="12" t="s">
        <v>237</v>
      </c>
      <c r="C234" s="12" t="s">
        <v>186</v>
      </c>
      <c r="E234" s="39" t="str">
        <f>IF(GRAFICA_44!F18=1, 0, B234)</f>
        <v>D5X</v>
      </c>
      <c r="F234" s="14">
        <f>IF(E234&lt;&gt;0, COUNTIF(E$226:E234, "&lt;&gt;0"), "")</f>
        <v>6</v>
      </c>
      <c r="G234" s="14" t="str">
        <f>IF(E234=0, COUNTIF(E$226:E234, 0), "")</f>
        <v/>
      </c>
      <c r="N234" s="215"/>
      <c r="O234" s="172"/>
      <c r="P234" s="172"/>
      <c r="Q234" s="172"/>
      <c r="R234" s="172"/>
      <c r="S234" s="173"/>
    </row>
    <row r="235" spans="1:19" ht="16.95" customHeight="1" x14ac:dyDescent="0.3">
      <c r="B235" s="12" t="s">
        <v>238</v>
      </c>
      <c r="C235" s="12" t="s">
        <v>187</v>
      </c>
      <c r="E235" s="39" t="str">
        <f>IF(GRAFICA_44!G18=1, 0, B235)</f>
        <v>D5Y</v>
      </c>
      <c r="F235" s="14">
        <f>IF(E235&lt;&gt;0, COUNTIF(E$226:E235, "&lt;&gt;0"), "")</f>
        <v>7</v>
      </c>
      <c r="G235" s="14" t="str">
        <f>IF(E235=0, COUNTIF(E$226:E235, 0), "")</f>
        <v/>
      </c>
      <c r="N235" s="215"/>
      <c r="O235" s="172"/>
      <c r="P235" s="172"/>
      <c r="Q235" s="172"/>
      <c r="R235" s="172"/>
      <c r="S235" s="173"/>
    </row>
    <row r="237" spans="1:19" ht="19.95" customHeight="1" x14ac:dyDescent="0.35">
      <c r="A237" s="15" t="s">
        <v>241</v>
      </c>
      <c r="C237" s="218" t="s">
        <v>242</v>
      </c>
      <c r="D237" s="173"/>
      <c r="E237" s="40" t="s">
        <v>243</v>
      </c>
      <c r="N237" s="216" t="s">
        <v>244</v>
      </c>
      <c r="O237" s="172"/>
      <c r="P237" s="172"/>
      <c r="Q237" s="172"/>
      <c r="R237" s="172"/>
      <c r="S237" s="173"/>
    </row>
    <row r="238" spans="1:19" ht="16.95" customHeight="1" x14ac:dyDescent="0.3">
      <c r="E238" s="40" t="s">
        <v>245</v>
      </c>
      <c r="N238" s="215" t="s">
        <v>246</v>
      </c>
      <c r="O238" s="172"/>
      <c r="P238" s="172"/>
      <c r="Q238" s="172"/>
      <c r="R238" s="172"/>
      <c r="S238" s="173"/>
    </row>
    <row r="239" spans="1:19" ht="16.95" customHeight="1" x14ac:dyDescent="0.3">
      <c r="A239" s="99" t="s">
        <v>247</v>
      </c>
      <c r="C239" s="99" t="s">
        <v>248</v>
      </c>
      <c r="N239" s="215" t="s">
        <v>250</v>
      </c>
      <c r="O239" s="172"/>
      <c r="P239" s="172"/>
      <c r="Q239" s="172"/>
      <c r="R239" s="172"/>
      <c r="S239" s="173"/>
    </row>
    <row r="240" spans="1:19" ht="16.95" customHeight="1" x14ac:dyDescent="0.3">
      <c r="A240" s="12" t="str">
        <f t="shared" ref="A240:A249" si="25">E214</f>
        <v>C1X</v>
      </c>
      <c r="C240" s="9">
        <f t="shared" ref="C240:L240" si="26">B201</f>
        <v>103513.61521346784</v>
      </c>
      <c r="D240" s="9">
        <f t="shared" si="26"/>
        <v>27011.670182972433</v>
      </c>
      <c r="E240" s="9">
        <f t="shared" si="26"/>
        <v>-72000</v>
      </c>
      <c r="F240" s="9">
        <f t="shared" si="26"/>
        <v>0</v>
      </c>
      <c r="G240" s="9">
        <f t="shared" si="26"/>
        <v>0</v>
      </c>
      <c r="H240" s="9">
        <f t="shared" si="26"/>
        <v>0</v>
      </c>
      <c r="I240" s="9">
        <f t="shared" si="26"/>
        <v>0</v>
      </c>
      <c r="J240" s="9">
        <f t="shared" si="26"/>
        <v>0</v>
      </c>
      <c r="K240" s="9">
        <f t="shared" si="26"/>
        <v>-31513.615213467838</v>
      </c>
      <c r="L240" s="9">
        <f t="shared" si="26"/>
        <v>-27011.670182972433</v>
      </c>
      <c r="M240" s="13" t="s">
        <v>251</v>
      </c>
      <c r="N240" s="219" t="s">
        <v>380</v>
      </c>
      <c r="O240" s="172"/>
      <c r="P240" s="172"/>
      <c r="Q240" s="172"/>
      <c r="R240" s="172"/>
      <c r="S240" s="173"/>
    </row>
    <row r="241" spans="1:19" ht="16.95" customHeight="1" x14ac:dyDescent="0.3">
      <c r="A241" s="12" t="str">
        <f t="shared" si="25"/>
        <v>C1Y</v>
      </c>
      <c r="C241" s="9">
        <f t="shared" ref="C241:L241" si="27">B202</f>
        <v>27011.670182972433</v>
      </c>
      <c r="D241" s="9">
        <f t="shared" si="27"/>
        <v>107152.86015683351</v>
      </c>
      <c r="E241" s="9">
        <f t="shared" si="27"/>
        <v>0</v>
      </c>
      <c r="F241" s="9">
        <f t="shared" si="27"/>
        <v>0</v>
      </c>
      <c r="G241" s="9">
        <f t="shared" si="27"/>
        <v>0</v>
      </c>
      <c r="H241" s="9">
        <f t="shared" si="27"/>
        <v>0</v>
      </c>
      <c r="I241" s="9">
        <f t="shared" si="27"/>
        <v>0</v>
      </c>
      <c r="J241" s="9">
        <f t="shared" si="27"/>
        <v>-84000</v>
      </c>
      <c r="K241" s="9">
        <f t="shared" si="27"/>
        <v>-27011.670182972433</v>
      </c>
      <c r="L241" s="9">
        <f t="shared" si="27"/>
        <v>-23152.860156833514</v>
      </c>
      <c r="M241" s="13" t="s">
        <v>251</v>
      </c>
      <c r="N241" s="219" t="s">
        <v>253</v>
      </c>
      <c r="O241" s="172"/>
      <c r="P241" s="172"/>
      <c r="Q241" s="172"/>
      <c r="R241" s="172"/>
      <c r="S241" s="173"/>
    </row>
    <row r="242" spans="1:19" ht="16.95" customHeight="1" x14ac:dyDescent="0.3">
      <c r="A242" s="41">
        <f t="shared" si="25"/>
        <v>0</v>
      </c>
      <c r="C242" s="9">
        <f t="shared" ref="C242:L242" si="28">B203</f>
        <v>-72000</v>
      </c>
      <c r="D242" s="9">
        <f t="shared" si="28"/>
        <v>0</v>
      </c>
      <c r="E242" s="41">
        <f t="shared" si="28"/>
        <v>175513.61521346783</v>
      </c>
      <c r="F242" s="41">
        <f t="shared" si="28"/>
        <v>-27011.670182972433</v>
      </c>
      <c r="G242" s="41">
        <f t="shared" si="28"/>
        <v>-72000</v>
      </c>
      <c r="H242" s="9">
        <f t="shared" si="28"/>
        <v>0</v>
      </c>
      <c r="I242" s="41">
        <f t="shared" si="28"/>
        <v>-31513.615213467838</v>
      </c>
      <c r="J242" s="41">
        <f t="shared" si="28"/>
        <v>27011.670182972433</v>
      </c>
      <c r="K242" s="41">
        <f t="shared" si="28"/>
        <v>0</v>
      </c>
      <c r="L242" s="41">
        <f t="shared" si="28"/>
        <v>0</v>
      </c>
      <c r="M242" s="13" t="s">
        <v>251</v>
      </c>
      <c r="N242" s="215" t="s">
        <v>254</v>
      </c>
      <c r="O242" s="172"/>
      <c r="P242" s="172"/>
      <c r="Q242" s="172"/>
      <c r="R242" s="172"/>
      <c r="S242" s="173"/>
    </row>
    <row r="243" spans="1:19" ht="16.95" customHeight="1" x14ac:dyDescent="0.3">
      <c r="A243" s="41">
        <f t="shared" si="25"/>
        <v>-8000</v>
      </c>
      <c r="C243" s="9">
        <f t="shared" ref="C243:L243" si="29">B204</f>
        <v>0</v>
      </c>
      <c r="D243" s="9">
        <f t="shared" si="29"/>
        <v>0</v>
      </c>
      <c r="E243" s="41">
        <f t="shared" si="29"/>
        <v>-27011.670182972433</v>
      </c>
      <c r="F243" s="41">
        <f t="shared" si="29"/>
        <v>191152.86015683351</v>
      </c>
      <c r="G243" s="41">
        <f t="shared" si="29"/>
        <v>0</v>
      </c>
      <c r="H243" s="9">
        <f t="shared" si="29"/>
        <v>0</v>
      </c>
      <c r="I243" s="41">
        <f t="shared" si="29"/>
        <v>27011.670182972433</v>
      </c>
      <c r="J243" s="41">
        <f t="shared" si="29"/>
        <v>-23152.860156833514</v>
      </c>
      <c r="K243" s="41">
        <f t="shared" si="29"/>
        <v>0</v>
      </c>
      <c r="L243" s="41">
        <f t="shared" si="29"/>
        <v>-168000</v>
      </c>
      <c r="M243" s="13" t="s">
        <v>251</v>
      </c>
      <c r="N243" s="215" t="s">
        <v>381</v>
      </c>
      <c r="O243" s="172"/>
      <c r="P243" s="172"/>
      <c r="Q243" s="172"/>
      <c r="R243" s="172"/>
      <c r="S243" s="173"/>
    </row>
    <row r="244" spans="1:19" ht="16.95" customHeight="1" x14ac:dyDescent="0.3">
      <c r="A244" s="41">
        <f t="shared" si="25"/>
        <v>0</v>
      </c>
      <c r="C244" s="9">
        <f t="shared" ref="C244:L244" si="30">B205</f>
        <v>0</v>
      </c>
      <c r="D244" s="9">
        <f t="shared" si="30"/>
        <v>0</v>
      </c>
      <c r="E244" s="41">
        <f t="shared" si="30"/>
        <v>-72000</v>
      </c>
      <c r="F244" s="41">
        <f t="shared" si="30"/>
        <v>0</v>
      </c>
      <c r="G244" s="41">
        <f t="shared" si="30"/>
        <v>103513.61521346784</v>
      </c>
      <c r="H244" s="9">
        <f t="shared" si="30"/>
        <v>-27011.670182972433</v>
      </c>
      <c r="I244" s="41">
        <f t="shared" si="30"/>
        <v>0</v>
      </c>
      <c r="J244" s="41">
        <f t="shared" si="30"/>
        <v>0</v>
      </c>
      <c r="K244" s="41">
        <f t="shared" si="30"/>
        <v>-31513.615213467838</v>
      </c>
      <c r="L244" s="41">
        <f t="shared" si="30"/>
        <v>27011.670182972433</v>
      </c>
      <c r="M244" s="13" t="s">
        <v>251</v>
      </c>
      <c r="N244" s="215" t="s">
        <v>382</v>
      </c>
      <c r="O244" s="172"/>
      <c r="P244" s="172"/>
      <c r="Q244" s="172"/>
      <c r="R244" s="172"/>
      <c r="S244" s="173"/>
    </row>
    <row r="245" spans="1:19" ht="16.95" customHeight="1" x14ac:dyDescent="0.3">
      <c r="A245" s="12" t="str">
        <f t="shared" si="25"/>
        <v>C3Y</v>
      </c>
      <c r="B245" s="13" t="s">
        <v>220</v>
      </c>
      <c r="C245" s="9">
        <f t="shared" ref="C245:L245" si="31">B206</f>
        <v>0</v>
      </c>
      <c r="D245" s="9">
        <f t="shared" si="31"/>
        <v>0</v>
      </c>
      <c r="E245" s="9">
        <f t="shared" si="31"/>
        <v>0</v>
      </c>
      <c r="F245" s="9">
        <f t="shared" si="31"/>
        <v>0</v>
      </c>
      <c r="G245" s="9">
        <f t="shared" si="31"/>
        <v>-27011.670182972433</v>
      </c>
      <c r="H245" s="9">
        <f t="shared" si="31"/>
        <v>23152.860156833514</v>
      </c>
      <c r="I245" s="9">
        <f t="shared" si="31"/>
        <v>0</v>
      </c>
      <c r="J245" s="9">
        <f t="shared" si="31"/>
        <v>0</v>
      </c>
      <c r="K245" s="9">
        <f t="shared" si="31"/>
        <v>27011.670182972433</v>
      </c>
      <c r="L245" s="9">
        <f t="shared" si="31"/>
        <v>-23152.860156833514</v>
      </c>
      <c r="M245" s="13" t="s">
        <v>251</v>
      </c>
      <c r="N245" s="219">
        <f>E231</f>
        <v>0</v>
      </c>
      <c r="O245" s="172"/>
      <c r="P245" s="172"/>
      <c r="Q245" s="172"/>
      <c r="R245" s="172"/>
      <c r="S245" s="173"/>
    </row>
    <row r="246" spans="1:19" ht="16.95" customHeight="1" x14ac:dyDescent="0.3">
      <c r="A246" s="41">
        <f t="shared" si="25"/>
        <v>2000</v>
      </c>
      <c r="C246" s="9">
        <f t="shared" ref="C246:L246" si="32">B207</f>
        <v>0</v>
      </c>
      <c r="D246" s="9">
        <f t="shared" si="32"/>
        <v>0</v>
      </c>
      <c r="E246" s="41">
        <f t="shared" si="32"/>
        <v>-31513.615213467838</v>
      </c>
      <c r="F246" s="41">
        <f t="shared" si="32"/>
        <v>27011.670182972433</v>
      </c>
      <c r="G246" s="41">
        <f t="shared" si="32"/>
        <v>0</v>
      </c>
      <c r="H246" s="9">
        <f t="shared" si="32"/>
        <v>0</v>
      </c>
      <c r="I246" s="41">
        <f t="shared" si="32"/>
        <v>103513.61521346784</v>
      </c>
      <c r="J246" s="41">
        <f t="shared" si="32"/>
        <v>-27011.670182972433</v>
      </c>
      <c r="K246" s="41">
        <f t="shared" si="32"/>
        <v>-72000</v>
      </c>
      <c r="L246" s="41">
        <f t="shared" si="32"/>
        <v>0</v>
      </c>
      <c r="M246" s="13" t="s">
        <v>251</v>
      </c>
      <c r="N246" s="215" t="str">
        <f>E232</f>
        <v>D4X</v>
      </c>
      <c r="O246" s="172"/>
      <c r="P246" s="172"/>
      <c r="Q246" s="172"/>
      <c r="R246" s="172"/>
      <c r="S246" s="173"/>
    </row>
    <row r="247" spans="1:19" ht="16.95" customHeight="1" x14ac:dyDescent="0.3">
      <c r="A247" s="41">
        <f t="shared" si="25"/>
        <v>0</v>
      </c>
      <c r="C247" s="9">
        <f t="shared" ref="C247:L247" si="33">B208</f>
        <v>0</v>
      </c>
      <c r="D247" s="9">
        <f t="shared" si="33"/>
        <v>-84000</v>
      </c>
      <c r="E247" s="41">
        <f t="shared" si="33"/>
        <v>27011.670182972433</v>
      </c>
      <c r="F247" s="41">
        <f t="shared" si="33"/>
        <v>-23152.860156833514</v>
      </c>
      <c r="G247" s="41">
        <f t="shared" si="33"/>
        <v>0</v>
      </c>
      <c r="H247" s="9">
        <f t="shared" si="33"/>
        <v>0</v>
      </c>
      <c r="I247" s="41">
        <f t="shared" si="33"/>
        <v>-27011.670182972433</v>
      </c>
      <c r="J247" s="41">
        <f t="shared" si="33"/>
        <v>107152.86015683351</v>
      </c>
      <c r="K247" s="41">
        <f t="shared" si="33"/>
        <v>0</v>
      </c>
      <c r="L247" s="41">
        <f t="shared" si="33"/>
        <v>0</v>
      </c>
      <c r="M247" s="13" t="s">
        <v>251</v>
      </c>
      <c r="N247" s="215" t="str">
        <f>E233</f>
        <v>D4Y</v>
      </c>
      <c r="O247" s="172"/>
      <c r="P247" s="172"/>
      <c r="Q247" s="172"/>
      <c r="R247" s="172"/>
      <c r="S247" s="173"/>
    </row>
    <row r="248" spans="1:19" ht="16.95" customHeight="1" x14ac:dyDescent="0.3">
      <c r="A248" s="41">
        <f t="shared" si="25"/>
        <v>0</v>
      </c>
      <c r="C248" s="9">
        <f t="shared" ref="C248:L248" si="34">B209</f>
        <v>-31513.615213467838</v>
      </c>
      <c r="D248" s="9">
        <f t="shared" si="34"/>
        <v>-27011.670182972433</v>
      </c>
      <c r="E248" s="41">
        <f t="shared" si="34"/>
        <v>0</v>
      </c>
      <c r="F248" s="41">
        <f t="shared" si="34"/>
        <v>0</v>
      </c>
      <c r="G248" s="41">
        <f t="shared" si="34"/>
        <v>-31513.615213467838</v>
      </c>
      <c r="H248" s="9">
        <f t="shared" si="34"/>
        <v>27011.670182972433</v>
      </c>
      <c r="I248" s="41">
        <f t="shared" si="34"/>
        <v>-72000</v>
      </c>
      <c r="J248" s="41">
        <f t="shared" si="34"/>
        <v>0</v>
      </c>
      <c r="K248" s="41">
        <f t="shared" si="34"/>
        <v>135027.23042693568</v>
      </c>
      <c r="L248" s="41">
        <f t="shared" si="34"/>
        <v>0</v>
      </c>
      <c r="M248" s="13" t="s">
        <v>251</v>
      </c>
      <c r="N248" s="215" t="str">
        <f>E234</f>
        <v>D5X</v>
      </c>
      <c r="O248" s="172"/>
      <c r="P248" s="172"/>
      <c r="Q248" s="172"/>
      <c r="R248" s="172"/>
      <c r="S248" s="173"/>
    </row>
    <row r="249" spans="1:19" ht="16.95" customHeight="1" x14ac:dyDescent="0.3">
      <c r="A249" s="41">
        <f t="shared" si="25"/>
        <v>-5000</v>
      </c>
      <c r="C249" s="9">
        <f t="shared" ref="C249:L249" si="35">B210</f>
        <v>-27011.670182972433</v>
      </c>
      <c r="D249" s="9">
        <f t="shared" si="35"/>
        <v>-23152.860156833514</v>
      </c>
      <c r="E249" s="41">
        <f t="shared" si="35"/>
        <v>0</v>
      </c>
      <c r="F249" s="41">
        <f t="shared" si="35"/>
        <v>-168000</v>
      </c>
      <c r="G249" s="41">
        <f t="shared" si="35"/>
        <v>27011.670182972433</v>
      </c>
      <c r="H249" s="9">
        <f t="shared" si="35"/>
        <v>-23152.860156833514</v>
      </c>
      <c r="I249" s="41">
        <f t="shared" si="35"/>
        <v>0</v>
      </c>
      <c r="J249" s="41">
        <f t="shared" si="35"/>
        <v>0</v>
      </c>
      <c r="K249" s="41">
        <f t="shared" si="35"/>
        <v>0</v>
      </c>
      <c r="L249" s="41">
        <f t="shared" si="35"/>
        <v>214305.72031366703</v>
      </c>
      <c r="M249" s="13" t="s">
        <v>251</v>
      </c>
      <c r="N249" s="215" t="str">
        <f>E235</f>
        <v>D5Y</v>
      </c>
      <c r="O249" s="172"/>
      <c r="P249" s="172"/>
      <c r="Q249" s="172"/>
      <c r="R249" s="172"/>
      <c r="S249" s="173"/>
    </row>
    <row r="252" spans="1:19" ht="19.95" customHeight="1" x14ac:dyDescent="0.35">
      <c r="A252" s="15" t="s">
        <v>257</v>
      </c>
      <c r="N252" s="216" t="s">
        <v>258</v>
      </c>
      <c r="O252" s="172"/>
      <c r="P252" s="172"/>
      <c r="Q252" s="172"/>
      <c r="R252" s="172"/>
      <c r="S252" s="173"/>
    </row>
    <row r="253" spans="1:19" ht="16.95" customHeight="1" x14ac:dyDescent="0.3">
      <c r="C253" s="38" t="str">
        <f>INDEX(C$226:C$235, MATCH(1, F$226:F$235, 0))</f>
        <v>U2X</v>
      </c>
      <c r="D253" s="38" t="str">
        <f>INDEX(C$226:C$235, MATCH(2, F$226:F$235, 0))</f>
        <v>U2Y</v>
      </c>
      <c r="E253" s="38" t="str">
        <f>INDEX(C$226:C$235, MATCH(3, F$226:F$235, 0))</f>
        <v>U3X</v>
      </c>
      <c r="F253" s="38" t="str">
        <f>INDEX(C$226:C$235, MATCH(4, F$226:F$235, 0))</f>
        <v>U4X</v>
      </c>
      <c r="G253" s="38" t="str">
        <f>INDEX(C$226:C$235, MATCH(5, F$226:F$235, 0))</f>
        <v>U4Y</v>
      </c>
      <c r="H253" s="38" t="str">
        <f>INDEX(C$226:C$235, MATCH(6, F$226:F$235, 0))</f>
        <v>U5X</v>
      </c>
      <c r="I253" s="38" t="str">
        <f>INDEX(C$226:C$235, MATCH(7, F$226:F$235, 0))</f>
        <v>U5Y</v>
      </c>
      <c r="N253" s="215" t="s">
        <v>383</v>
      </c>
      <c r="O253" s="172"/>
      <c r="P253" s="172"/>
      <c r="Q253" s="172"/>
      <c r="R253" s="172"/>
      <c r="S253" s="173"/>
    </row>
    <row r="254" spans="1:19" ht="16.95" customHeight="1" x14ac:dyDescent="0.3">
      <c r="A254" s="41">
        <f t="shared" ref="A254:A260" si="36">INDEX(E$214:E$223, MATCH(L254, C$214:C$223, 0))</f>
        <v>0</v>
      </c>
      <c r="C254" s="41">
        <f t="shared" ref="C254:I260" si="37">INDEX($B$201:$K$210, MATCH($L254, $L$201:$L$210, 0), MATCH(C$253, $B$200:$K$200, 0))</f>
        <v>175513.61521346783</v>
      </c>
      <c r="D254" s="41">
        <f t="shared" si="37"/>
        <v>-27011.670182972433</v>
      </c>
      <c r="E254" s="41">
        <f t="shared" si="37"/>
        <v>-72000</v>
      </c>
      <c r="F254" s="41">
        <f t="shared" si="37"/>
        <v>-31513.615213467838</v>
      </c>
      <c r="G254" s="41">
        <f t="shared" si="37"/>
        <v>27011.670182972433</v>
      </c>
      <c r="H254" s="41">
        <f t="shared" si="37"/>
        <v>0</v>
      </c>
      <c r="I254" s="41">
        <f t="shared" si="37"/>
        <v>0</v>
      </c>
      <c r="J254" s="13" t="s">
        <v>251</v>
      </c>
      <c r="K254" s="38" t="str">
        <f>INDEX(B$226:B$235, MATCH(1, F$226:F$235, 0))</f>
        <v>D2X</v>
      </c>
      <c r="L254" s="14" t="str">
        <f>INDEX(C$226:C$235, MATCH(1, F$226:F$235, 0))</f>
        <v>U2X</v>
      </c>
      <c r="N254" s="215" t="s">
        <v>384</v>
      </c>
      <c r="O254" s="172"/>
      <c r="P254" s="172"/>
      <c r="Q254" s="172"/>
      <c r="R254" s="172"/>
      <c r="S254" s="173"/>
    </row>
    <row r="255" spans="1:19" ht="16.95" customHeight="1" x14ac:dyDescent="0.3">
      <c r="A255" s="41">
        <f t="shared" si="36"/>
        <v>-8000</v>
      </c>
      <c r="C255" s="41">
        <f t="shared" si="37"/>
        <v>-27011.670182972433</v>
      </c>
      <c r="D255" s="41">
        <f t="shared" si="37"/>
        <v>191152.86015683351</v>
      </c>
      <c r="E255" s="41">
        <f t="shared" si="37"/>
        <v>0</v>
      </c>
      <c r="F255" s="41">
        <f t="shared" si="37"/>
        <v>27011.670182972433</v>
      </c>
      <c r="G255" s="41">
        <f t="shared" si="37"/>
        <v>-23152.860156833514</v>
      </c>
      <c r="H255" s="41">
        <f t="shared" si="37"/>
        <v>0</v>
      </c>
      <c r="I255" s="41">
        <f t="shared" si="37"/>
        <v>-168000</v>
      </c>
      <c r="J255" s="13" t="s">
        <v>251</v>
      </c>
      <c r="K255" s="38" t="str">
        <f>INDEX(B$226:B$235, MATCH(2, F$226:F$235, 0))</f>
        <v>D2Y</v>
      </c>
      <c r="L255" s="14" t="str">
        <f>INDEX(C$226:C$235, MATCH(2, F$226:F$235, 0))</f>
        <v>U2Y</v>
      </c>
      <c r="N255" s="215" t="s">
        <v>385</v>
      </c>
      <c r="O255" s="172"/>
      <c r="P255" s="172"/>
      <c r="Q255" s="172"/>
      <c r="R255" s="172"/>
      <c r="S255" s="173"/>
    </row>
    <row r="256" spans="1:19" ht="16.95" customHeight="1" x14ac:dyDescent="0.3">
      <c r="A256" s="41">
        <f t="shared" si="36"/>
        <v>0</v>
      </c>
      <c r="C256" s="41">
        <f t="shared" si="37"/>
        <v>-72000</v>
      </c>
      <c r="D256" s="41">
        <f t="shared" si="37"/>
        <v>0</v>
      </c>
      <c r="E256" s="41">
        <f t="shared" si="37"/>
        <v>103513.61521346784</v>
      </c>
      <c r="F256" s="41">
        <f t="shared" si="37"/>
        <v>0</v>
      </c>
      <c r="G256" s="41">
        <f t="shared" si="37"/>
        <v>0</v>
      </c>
      <c r="H256" s="41">
        <f t="shared" si="37"/>
        <v>-31513.615213467838</v>
      </c>
      <c r="I256" s="41">
        <f t="shared" si="37"/>
        <v>27011.670182972433</v>
      </c>
      <c r="J256" s="13" t="s">
        <v>251</v>
      </c>
      <c r="K256" s="38" t="str">
        <f>INDEX(B$226:B$235, MATCH(3, F$226:F$235, 0))</f>
        <v>D3X</v>
      </c>
      <c r="L256" s="14" t="str">
        <f>INDEX(C$226:C$235, MATCH(3, F$226:F$235, 0))</f>
        <v>U3X</v>
      </c>
      <c r="N256" s="215" t="s">
        <v>386</v>
      </c>
      <c r="O256" s="172"/>
      <c r="P256" s="172"/>
      <c r="Q256" s="172"/>
      <c r="R256" s="172"/>
      <c r="S256" s="173"/>
    </row>
    <row r="257" spans="1:19" ht="16.95" customHeight="1" x14ac:dyDescent="0.3">
      <c r="A257" s="41">
        <f t="shared" si="36"/>
        <v>2000</v>
      </c>
      <c r="B257" s="13" t="s">
        <v>220</v>
      </c>
      <c r="C257" s="41">
        <f t="shared" si="37"/>
        <v>-31513.615213467838</v>
      </c>
      <c r="D257" s="41">
        <f t="shared" si="37"/>
        <v>27011.670182972433</v>
      </c>
      <c r="E257" s="41">
        <f t="shared" si="37"/>
        <v>0</v>
      </c>
      <c r="F257" s="41">
        <f t="shared" si="37"/>
        <v>103513.61521346784</v>
      </c>
      <c r="G257" s="41">
        <f t="shared" si="37"/>
        <v>-27011.670182972433</v>
      </c>
      <c r="H257" s="41">
        <f t="shared" si="37"/>
        <v>-72000</v>
      </c>
      <c r="I257" s="41">
        <f t="shared" si="37"/>
        <v>0</v>
      </c>
      <c r="J257" s="13" t="s">
        <v>251</v>
      </c>
      <c r="K257" s="38" t="str">
        <f>INDEX(B$226:B$235, MATCH(4, F$226:F$235, 0))</f>
        <v>D4X</v>
      </c>
      <c r="L257" s="14" t="str">
        <f>INDEX(C$226:C$235, MATCH(4, F$226:F$235, 0))</f>
        <v>U4X</v>
      </c>
      <c r="N257" s="215" t="s">
        <v>387</v>
      </c>
      <c r="O257" s="172"/>
      <c r="P257" s="172"/>
      <c r="Q257" s="172"/>
      <c r="R257" s="172"/>
      <c r="S257" s="173"/>
    </row>
    <row r="258" spans="1:19" ht="16.95" customHeight="1" x14ac:dyDescent="0.3">
      <c r="A258" s="41">
        <f t="shared" si="36"/>
        <v>0</v>
      </c>
      <c r="C258" s="41">
        <f t="shared" si="37"/>
        <v>27011.670182972433</v>
      </c>
      <c r="D258" s="41">
        <f t="shared" si="37"/>
        <v>-23152.860156833514</v>
      </c>
      <c r="E258" s="41">
        <f t="shared" si="37"/>
        <v>0</v>
      </c>
      <c r="F258" s="41">
        <f t="shared" si="37"/>
        <v>-27011.670182972433</v>
      </c>
      <c r="G258" s="41">
        <f t="shared" si="37"/>
        <v>107152.86015683351</v>
      </c>
      <c r="H258" s="41">
        <f t="shared" si="37"/>
        <v>0</v>
      </c>
      <c r="I258" s="41">
        <f t="shared" si="37"/>
        <v>0</v>
      </c>
      <c r="J258" s="13" t="s">
        <v>251</v>
      </c>
      <c r="K258" s="38" t="str">
        <f>INDEX(B$226:B$235, MATCH(5, F$226:F$235, 0))</f>
        <v>D4Y</v>
      </c>
      <c r="L258" s="14" t="str">
        <f>INDEX(C$226:C$235, MATCH(5, F$226:F$235, 0))</f>
        <v>U4Y</v>
      </c>
      <c r="N258" s="215" t="s">
        <v>388</v>
      </c>
      <c r="O258" s="172"/>
      <c r="P258" s="172"/>
      <c r="Q258" s="172"/>
      <c r="R258" s="172"/>
      <c r="S258" s="173"/>
    </row>
    <row r="259" spans="1:19" ht="16.95" customHeight="1" x14ac:dyDescent="0.3">
      <c r="A259" s="41">
        <f t="shared" si="36"/>
        <v>0</v>
      </c>
      <c r="C259" s="41">
        <f t="shared" si="37"/>
        <v>0</v>
      </c>
      <c r="D259" s="41">
        <f t="shared" si="37"/>
        <v>0</v>
      </c>
      <c r="E259" s="41">
        <f t="shared" si="37"/>
        <v>-31513.615213467838</v>
      </c>
      <c r="F259" s="41">
        <f t="shared" si="37"/>
        <v>-72000</v>
      </c>
      <c r="G259" s="41">
        <f t="shared" si="37"/>
        <v>0</v>
      </c>
      <c r="H259" s="41">
        <f t="shared" si="37"/>
        <v>135027.23042693568</v>
      </c>
      <c r="I259" s="41">
        <f t="shared" si="37"/>
        <v>0</v>
      </c>
      <c r="J259" s="13" t="s">
        <v>251</v>
      </c>
      <c r="K259" s="38" t="str">
        <f>INDEX(B$226:B$235, MATCH(6, F$226:F$235, 0))</f>
        <v>D5X</v>
      </c>
      <c r="L259" s="14" t="str">
        <f>INDEX(C$226:C$235, MATCH(6, F$226:F$235, 0))</f>
        <v>U5X</v>
      </c>
      <c r="N259" s="215"/>
      <c r="O259" s="172"/>
      <c r="P259" s="172"/>
      <c r="Q259" s="172"/>
      <c r="R259" s="172"/>
      <c r="S259" s="173"/>
    </row>
    <row r="260" spans="1:19" ht="16.95" customHeight="1" x14ac:dyDescent="0.3">
      <c r="A260" s="41">
        <f t="shared" si="36"/>
        <v>-5000</v>
      </c>
      <c r="C260" s="41">
        <f t="shared" si="37"/>
        <v>0</v>
      </c>
      <c r="D260" s="41">
        <f t="shared" si="37"/>
        <v>-168000</v>
      </c>
      <c r="E260" s="41">
        <f t="shared" si="37"/>
        <v>27011.670182972433</v>
      </c>
      <c r="F260" s="41">
        <f t="shared" si="37"/>
        <v>0</v>
      </c>
      <c r="G260" s="41">
        <f t="shared" si="37"/>
        <v>0</v>
      </c>
      <c r="H260" s="41">
        <f t="shared" si="37"/>
        <v>0</v>
      </c>
      <c r="I260" s="41">
        <f t="shared" si="37"/>
        <v>214305.72031366703</v>
      </c>
      <c r="J260" s="13" t="s">
        <v>251</v>
      </c>
      <c r="K260" s="38" t="str">
        <f>INDEX(B$226:B$235, MATCH(7, F$226:F$235, 0))</f>
        <v>D5Y</v>
      </c>
      <c r="L260" s="14" t="str">
        <f>INDEX(C$226:C$235, MATCH(7, F$226:F$235, 0))</f>
        <v>U5Y</v>
      </c>
      <c r="N260" s="215"/>
      <c r="O260" s="172"/>
      <c r="P260" s="172"/>
      <c r="Q260" s="172"/>
      <c r="R260" s="172"/>
      <c r="S260" s="173"/>
    </row>
    <row r="261" spans="1:19" ht="16.95" customHeight="1" x14ac:dyDescent="0.3">
      <c r="N261" s="215"/>
      <c r="O261" s="172"/>
      <c r="P261" s="172"/>
      <c r="Q261" s="172"/>
      <c r="R261" s="172"/>
      <c r="S261" s="173"/>
    </row>
    <row r="262" spans="1:19" ht="16.95" customHeight="1" x14ac:dyDescent="0.3">
      <c r="C262" s="218" t="s">
        <v>263</v>
      </c>
      <c r="D262" s="172"/>
      <c r="E262" s="172"/>
      <c r="F262" s="172"/>
      <c r="G262" s="172"/>
      <c r="H262" s="172"/>
      <c r="I262" s="173"/>
      <c r="N262" s="215"/>
      <c r="O262" s="172"/>
      <c r="P262" s="172"/>
      <c r="Q262" s="172"/>
      <c r="R262" s="172"/>
      <c r="S262" s="173"/>
    </row>
    <row r="263" spans="1:19" ht="16.95" customHeight="1" x14ac:dyDescent="0.3">
      <c r="A263" s="99" t="s">
        <v>249</v>
      </c>
      <c r="C263" s="193" t="s">
        <v>264</v>
      </c>
      <c r="D263" s="175"/>
      <c r="E263" s="175"/>
      <c r="F263" s="175"/>
      <c r="G263" s="175"/>
      <c r="H263" s="175"/>
      <c r="I263" s="175"/>
      <c r="K263" s="99" t="s">
        <v>247</v>
      </c>
      <c r="N263" s="215"/>
      <c r="O263" s="172"/>
      <c r="P263" s="172"/>
      <c r="Q263" s="172"/>
      <c r="R263" s="172"/>
      <c r="S263" s="173"/>
    </row>
    <row r="264" spans="1:19" ht="16.95" customHeight="1" x14ac:dyDescent="0.3">
      <c r="A264" s="12" t="str">
        <f t="shared" ref="A264:A270" si="38">K254</f>
        <v>D2X</v>
      </c>
      <c r="C264" s="93">
        <f t="array" ref="C264:I270">MINVERSE(C254:I260)</f>
        <v>1.2040502130086519E-5</v>
      </c>
      <c r="D264" s="93">
        <v>-3.881176121546118E-6</v>
      </c>
      <c r="E264" s="93">
        <v>1.204050213008652E-5</v>
      </c>
      <c r="F264" s="93">
        <v>9.9801671696900163E-6</v>
      </c>
      <c r="G264" s="93">
        <v>-1.3579984350384774E-6</v>
      </c>
      <c r="H264" s="93">
        <v>8.131780410887647E-6</v>
      </c>
      <c r="I264" s="93">
        <v>-4.5601753390653575E-6</v>
      </c>
      <c r="K264" s="17">
        <f t="shared" ref="K264:K270" si="39">A254</f>
        <v>0</v>
      </c>
      <c r="N264" s="215"/>
      <c r="O264" s="172"/>
      <c r="P264" s="172"/>
      <c r="Q264" s="172"/>
      <c r="R264" s="172"/>
      <c r="S264" s="173"/>
    </row>
    <row r="265" spans="1:19" ht="16.95" customHeight="1" x14ac:dyDescent="0.3">
      <c r="A265" s="12" t="str">
        <f t="shared" si="38"/>
        <v>D2Y</v>
      </c>
      <c r="C265" s="93">
        <v>-3.881176121546118E-6</v>
      </c>
      <c r="D265" s="93">
        <v>2.7362496026354173E-5</v>
      </c>
      <c r="E265" s="93">
        <v>-1.1983027973397975E-5</v>
      </c>
      <c r="F265" s="93">
        <v>-1.5033735111329105E-5</v>
      </c>
      <c r="G265" s="93">
        <v>3.1009046181838085E-6</v>
      </c>
      <c r="H265" s="93">
        <v>-1.0813059381023366E-5</v>
      </c>
      <c r="I265" s="93">
        <v>2.2960567383065122E-5</v>
      </c>
      <c r="K265" s="17">
        <f t="shared" si="39"/>
        <v>-8000</v>
      </c>
      <c r="N265" s="215"/>
      <c r="O265" s="172"/>
      <c r="P265" s="172"/>
      <c r="Q265" s="172"/>
      <c r="R265" s="172"/>
      <c r="S265" s="173"/>
    </row>
    <row r="266" spans="1:19" ht="16.95" customHeight="1" x14ac:dyDescent="0.3">
      <c r="A266" s="12" t="str">
        <f t="shared" si="38"/>
        <v>D3X</v>
      </c>
      <c r="C266" s="93">
        <v>1.204050213008652E-5</v>
      </c>
      <c r="D266" s="93">
        <v>-1.1983027973397973E-5</v>
      </c>
      <c r="E266" s="93">
        <v>2.592939101897541E-5</v>
      </c>
      <c r="F266" s="93">
        <v>1.6924611614134463E-5</v>
      </c>
      <c r="G266" s="93">
        <v>-1.3579984350384781E-6</v>
      </c>
      <c r="H266" s="93">
        <v>1.5076224855332093E-5</v>
      </c>
      <c r="I266" s="93">
        <v>-1.2662027190917212E-5</v>
      </c>
      <c r="K266" s="17">
        <f t="shared" si="39"/>
        <v>0</v>
      </c>
      <c r="N266" s="215"/>
      <c r="O266" s="172"/>
      <c r="P266" s="172"/>
      <c r="Q266" s="172"/>
      <c r="R266" s="172"/>
      <c r="S266" s="173"/>
    </row>
    <row r="267" spans="1:19" ht="16.95" customHeight="1" x14ac:dyDescent="0.3">
      <c r="A267" s="12" t="str">
        <f t="shared" si="38"/>
        <v>D4X</v>
      </c>
      <c r="B267" s="13" t="s">
        <v>220</v>
      </c>
      <c r="C267" s="93">
        <v>9.9801671696900163E-6</v>
      </c>
      <c r="D267" s="93">
        <v>-1.5033735111329105E-5</v>
      </c>
      <c r="E267" s="93">
        <v>1.6924611614134463E-5</v>
      </c>
      <c r="F267" s="93">
        <v>3.1713731556116099E-5</v>
      </c>
      <c r="G267" s="93">
        <v>2.2303269001804174E-6</v>
      </c>
      <c r="H267" s="93">
        <v>2.086056539247278E-5</v>
      </c>
      <c r="I267" s="93">
        <v>-1.3918571661238896E-5</v>
      </c>
      <c r="K267" s="17">
        <f t="shared" si="39"/>
        <v>2000</v>
      </c>
      <c r="N267" s="215"/>
      <c r="O267" s="172"/>
      <c r="P267" s="172"/>
      <c r="Q267" s="172"/>
      <c r="R267" s="172"/>
      <c r="S267" s="173"/>
    </row>
    <row r="268" spans="1:19" ht="16.95" customHeight="1" x14ac:dyDescent="0.3">
      <c r="A268" s="12" t="str">
        <f t="shared" si="38"/>
        <v>D4Y</v>
      </c>
      <c r="C268" s="93">
        <v>-1.3579984350384772E-6</v>
      </c>
      <c r="D268" s="93">
        <v>3.1009046181838081E-6</v>
      </c>
      <c r="E268" s="93">
        <v>-1.3579984350384781E-6</v>
      </c>
      <c r="F268" s="93">
        <v>2.2303269001804182E-6</v>
      </c>
      <c r="G268" s="93">
        <v>1.0907048768815271E-5</v>
      </c>
      <c r="H268" s="93">
        <v>8.7232846514194104E-7</v>
      </c>
      <c r="I268" s="93">
        <v>2.6020480502104896E-6</v>
      </c>
      <c r="K268" s="17">
        <f t="shared" si="39"/>
        <v>0</v>
      </c>
      <c r="N268" s="215"/>
      <c r="O268" s="172"/>
      <c r="P268" s="172"/>
      <c r="Q268" s="172"/>
      <c r="R268" s="172"/>
      <c r="S268" s="173"/>
    </row>
    <row r="269" spans="1:19" ht="16.95" customHeight="1" x14ac:dyDescent="0.3">
      <c r="A269" s="12" t="str">
        <f t="shared" si="38"/>
        <v>D5X</v>
      </c>
      <c r="C269" s="93">
        <v>8.1317804108876453E-6</v>
      </c>
      <c r="D269" s="93">
        <v>-1.0813059381023368E-5</v>
      </c>
      <c r="E269" s="93">
        <v>1.5076224855332088E-5</v>
      </c>
      <c r="F269" s="93">
        <v>2.086056539247278E-5</v>
      </c>
      <c r="G269" s="93">
        <v>8.7232846514194072E-7</v>
      </c>
      <c r="H269" s="93">
        <v>2.2047901358915973E-5</v>
      </c>
      <c r="I269" s="93">
        <v>-1.0376895148452394E-5</v>
      </c>
      <c r="K269" s="17">
        <f t="shared" si="39"/>
        <v>0</v>
      </c>
      <c r="N269" s="215"/>
      <c r="O269" s="172"/>
      <c r="P269" s="172"/>
      <c r="Q269" s="172"/>
      <c r="R269" s="172"/>
      <c r="S269" s="173"/>
    </row>
    <row r="270" spans="1:19" ht="16.95" customHeight="1" x14ac:dyDescent="0.3">
      <c r="A270" s="12" t="str">
        <f t="shared" si="38"/>
        <v>D5Y</v>
      </c>
      <c r="C270" s="93">
        <v>-4.5601753390653566E-6</v>
      </c>
      <c r="D270" s="93">
        <v>2.2960567383065126E-5</v>
      </c>
      <c r="E270" s="93">
        <v>-1.2662027190917212E-5</v>
      </c>
      <c r="F270" s="93">
        <v>-1.3918571661238896E-5</v>
      </c>
      <c r="G270" s="93">
        <v>2.6020480502104901E-6</v>
      </c>
      <c r="H270" s="93">
        <v>-1.0376895148452396E-5</v>
      </c>
      <c r="I270" s="93">
        <v>2.4261591408170368E-5</v>
      </c>
      <c r="K270" s="17">
        <f t="shared" si="39"/>
        <v>-5000</v>
      </c>
      <c r="N270" s="215"/>
      <c r="O270" s="172"/>
      <c r="P270" s="172"/>
      <c r="Q270" s="172"/>
      <c r="R270" s="172"/>
      <c r="S270" s="173"/>
    </row>
    <row r="271" spans="1:19" ht="16.95" customHeight="1" x14ac:dyDescent="0.3">
      <c r="N271" s="215"/>
      <c r="O271" s="172"/>
      <c r="P271" s="172"/>
      <c r="Q271" s="172"/>
      <c r="R271" s="172"/>
      <c r="S271" s="173"/>
    </row>
    <row r="272" spans="1:19" ht="16.95" customHeight="1" x14ac:dyDescent="0.3">
      <c r="C272" s="218" t="s">
        <v>265</v>
      </c>
      <c r="D272" s="173"/>
      <c r="N272" s="215"/>
      <c r="O272" s="172"/>
      <c r="P272" s="172"/>
      <c r="Q272" s="172"/>
      <c r="R272" s="172"/>
      <c r="S272" s="173"/>
    </row>
    <row r="273" spans="1:19" ht="16.95" customHeight="1" x14ac:dyDescent="0.3">
      <c r="A273" s="99" t="s">
        <v>249</v>
      </c>
      <c r="C273" s="99" t="s">
        <v>266</v>
      </c>
      <c r="N273" s="215"/>
      <c r="O273" s="172"/>
      <c r="P273" s="172"/>
      <c r="Q273" s="172"/>
      <c r="R273" s="172"/>
      <c r="S273" s="173"/>
    </row>
    <row r="274" spans="1:19" ht="16.95" customHeight="1" x14ac:dyDescent="0.3">
      <c r="A274" s="12" t="str">
        <f t="shared" ref="A274:A280" si="40">A264</f>
        <v>D2X</v>
      </c>
      <c r="C274" s="94">
        <f t="array" ref="C274:C280">MMULT(C264:I270, K264:K270)</f>
        <v>7.3810620007075764E-2</v>
      </c>
      <c r="D274" s="12" t="s">
        <v>267</v>
      </c>
      <c r="N274" s="215"/>
      <c r="O274" s="172"/>
      <c r="P274" s="172"/>
      <c r="Q274" s="172"/>
      <c r="R274" s="172"/>
      <c r="S274" s="173"/>
    </row>
    <row r="275" spans="1:19" ht="16.95" customHeight="1" x14ac:dyDescent="0.3">
      <c r="A275" s="12" t="str">
        <f t="shared" si="40"/>
        <v>D2Y</v>
      </c>
      <c r="C275" s="94">
        <v>-0.36377027534881723</v>
      </c>
      <c r="D275" s="12" t="s">
        <v>267</v>
      </c>
      <c r="N275" s="215"/>
      <c r="O275" s="172"/>
      <c r="P275" s="172"/>
      <c r="Q275" s="172"/>
      <c r="R275" s="172"/>
      <c r="S275" s="173"/>
    </row>
    <row r="276" spans="1:19" ht="16.95" customHeight="1" x14ac:dyDescent="0.3">
      <c r="A276" s="12" t="str">
        <f t="shared" si="40"/>
        <v>D3X</v>
      </c>
      <c r="C276" s="94">
        <v>0.19302358297003877</v>
      </c>
      <c r="D276" s="12" t="s">
        <v>267</v>
      </c>
      <c r="N276" s="215"/>
      <c r="O276" s="172"/>
      <c r="P276" s="172"/>
      <c r="Q276" s="172"/>
      <c r="R276" s="172"/>
      <c r="S276" s="173"/>
    </row>
    <row r="277" spans="1:19" ht="16.95" customHeight="1" x14ac:dyDescent="0.3">
      <c r="A277" s="12" t="str">
        <f t="shared" si="40"/>
        <v>D4X</v>
      </c>
      <c r="B277" s="13" t="s">
        <v>220</v>
      </c>
      <c r="C277" s="94">
        <v>0.25329020230905952</v>
      </c>
      <c r="D277" s="12" t="s">
        <v>267</v>
      </c>
      <c r="N277" s="215"/>
      <c r="O277" s="172"/>
      <c r="P277" s="172"/>
      <c r="Q277" s="172"/>
      <c r="R277" s="172"/>
      <c r="S277" s="173"/>
    </row>
    <row r="278" spans="1:19" ht="16.95" customHeight="1" x14ac:dyDescent="0.3">
      <c r="A278" s="12" t="str">
        <f t="shared" si="40"/>
        <v>D4Y</v>
      </c>
      <c r="C278" s="94">
        <v>-3.3356823396162076E-2</v>
      </c>
      <c r="D278" s="12" t="s">
        <v>267</v>
      </c>
      <c r="N278" s="215"/>
      <c r="O278" s="172"/>
      <c r="P278" s="172"/>
      <c r="Q278" s="172"/>
      <c r="R278" s="172"/>
      <c r="S278" s="173"/>
    </row>
    <row r="279" spans="1:19" ht="16.95" customHeight="1" x14ac:dyDescent="0.3">
      <c r="A279" s="12" t="str">
        <f t="shared" si="40"/>
        <v>D5X</v>
      </c>
      <c r="C279" s="94">
        <v>0.18011008157539446</v>
      </c>
      <c r="D279" s="12" t="s">
        <v>267</v>
      </c>
      <c r="N279" s="215"/>
      <c r="O279" s="172"/>
      <c r="P279" s="172"/>
      <c r="Q279" s="172"/>
      <c r="R279" s="172"/>
      <c r="S279" s="173"/>
    </row>
    <row r="280" spans="1:19" ht="16.95" customHeight="1" x14ac:dyDescent="0.3">
      <c r="A280" s="12" t="str">
        <f t="shared" si="40"/>
        <v>D5Y</v>
      </c>
      <c r="C280" s="94">
        <v>-0.33282963942785065</v>
      </c>
      <c r="D280" s="12" t="s">
        <v>267</v>
      </c>
      <c r="N280" s="215"/>
      <c r="O280" s="172"/>
      <c r="P280" s="172"/>
      <c r="Q280" s="172"/>
      <c r="R280" s="172"/>
      <c r="S280" s="173"/>
    </row>
    <row r="283" spans="1:19" ht="19.95" customHeight="1" x14ac:dyDescent="0.35">
      <c r="A283" s="11" t="s">
        <v>268</v>
      </c>
      <c r="N283" s="216" t="s">
        <v>269</v>
      </c>
      <c r="O283" s="172"/>
      <c r="P283" s="172"/>
      <c r="Q283" s="172"/>
      <c r="R283" s="172"/>
      <c r="S283" s="173"/>
    </row>
    <row r="284" spans="1:19" ht="16.95" customHeight="1" x14ac:dyDescent="0.3">
      <c r="A284" s="99" t="s">
        <v>247</v>
      </c>
      <c r="K284" s="99" t="s">
        <v>249</v>
      </c>
      <c r="N284" s="215" t="s">
        <v>389</v>
      </c>
      <c r="O284" s="172"/>
      <c r="P284" s="172"/>
      <c r="Q284" s="172"/>
      <c r="R284" s="172"/>
      <c r="S284" s="173"/>
    </row>
    <row r="285" spans="1:19" ht="16.95" customHeight="1" x14ac:dyDescent="0.3">
      <c r="A285" s="18" t="str">
        <f>INDEX(B$214:B$223, MATCH(L285, C$214:C$223, 0))</f>
        <v>C1X</v>
      </c>
      <c r="C285" s="9">
        <f t="shared" ref="C285:I287" si="41">INDEX($B$201:$K$210, MATCH($L285, $L$201:$L$210, 0), MATCH(C$253, $B$200:$K$200, 0))</f>
        <v>-72000</v>
      </c>
      <c r="D285" s="9">
        <f t="shared" si="41"/>
        <v>0</v>
      </c>
      <c r="E285" s="9">
        <f t="shared" si="41"/>
        <v>0</v>
      </c>
      <c r="F285" s="9">
        <f t="shared" si="41"/>
        <v>0</v>
      </c>
      <c r="G285" s="9">
        <f t="shared" si="41"/>
        <v>0</v>
      </c>
      <c r="H285" s="9">
        <f t="shared" si="41"/>
        <v>-31513.615213467838</v>
      </c>
      <c r="I285" s="9">
        <f t="shared" si="41"/>
        <v>-27011.670182972433</v>
      </c>
      <c r="K285" s="95">
        <f t="shared" ref="K285:K291" si="42">C274</f>
        <v>7.3810620007075764E-2</v>
      </c>
      <c r="L285" s="14" t="str">
        <f>INDEX(C$226:C$235, MATCH(1, G$226:G$235, 0))</f>
        <v>U1X</v>
      </c>
      <c r="N285" s="215" t="s">
        <v>390</v>
      </c>
      <c r="O285" s="172"/>
      <c r="P285" s="172"/>
      <c r="Q285" s="172"/>
      <c r="R285" s="172"/>
      <c r="S285" s="173"/>
    </row>
    <row r="286" spans="1:19" ht="16.95" customHeight="1" x14ac:dyDescent="0.3">
      <c r="A286" s="18" t="str">
        <f>INDEX(B$214:B$223, MATCH(L286, C$214:C$223, 0))</f>
        <v>C1Y</v>
      </c>
      <c r="B286" s="13" t="s">
        <v>220</v>
      </c>
      <c r="C286" s="9">
        <f t="shared" si="41"/>
        <v>0</v>
      </c>
      <c r="D286" s="9">
        <f t="shared" si="41"/>
        <v>0</v>
      </c>
      <c r="E286" s="9">
        <f t="shared" si="41"/>
        <v>0</v>
      </c>
      <c r="F286" s="9">
        <f t="shared" si="41"/>
        <v>0</v>
      </c>
      <c r="G286" s="9">
        <f t="shared" si="41"/>
        <v>-84000</v>
      </c>
      <c r="H286" s="9">
        <f t="shared" si="41"/>
        <v>-27011.670182972433</v>
      </c>
      <c r="I286" s="9">
        <f t="shared" si="41"/>
        <v>-23152.860156833514</v>
      </c>
      <c r="K286" s="95">
        <f t="shared" si="42"/>
        <v>-0.36377027534881723</v>
      </c>
      <c r="L286" s="14" t="str">
        <f>INDEX(C$226:C$235, MATCH(2, G$226:G$235, 0))</f>
        <v>U1Y</v>
      </c>
      <c r="N286" s="215" t="s">
        <v>391</v>
      </c>
      <c r="O286" s="172"/>
      <c r="P286" s="172"/>
      <c r="Q286" s="172"/>
      <c r="R286" s="172"/>
      <c r="S286" s="173"/>
    </row>
    <row r="287" spans="1:19" ht="16.95" customHeight="1" x14ac:dyDescent="0.3">
      <c r="A287" s="18" t="str">
        <f>INDEX(B$214:B$223, MATCH(L287, C$214:C$223, 0))</f>
        <v>C3Y</v>
      </c>
      <c r="C287" s="9">
        <f t="shared" si="41"/>
        <v>0</v>
      </c>
      <c r="D287" s="9">
        <f t="shared" si="41"/>
        <v>0</v>
      </c>
      <c r="E287" s="9">
        <f t="shared" si="41"/>
        <v>-27011.670182972433</v>
      </c>
      <c r="F287" s="9">
        <f t="shared" si="41"/>
        <v>0</v>
      </c>
      <c r="G287" s="9">
        <f t="shared" si="41"/>
        <v>0</v>
      </c>
      <c r="H287" s="9">
        <f t="shared" si="41"/>
        <v>27011.670182972433</v>
      </c>
      <c r="I287" s="9">
        <f t="shared" si="41"/>
        <v>-23152.860156833514</v>
      </c>
      <c r="K287" s="95">
        <f t="shared" si="42"/>
        <v>0.19302358297003877</v>
      </c>
      <c r="L287" s="14" t="str">
        <f>INDEX(C$226:C$235, MATCH(3, G$226:G$235, 0))</f>
        <v>U3Y</v>
      </c>
      <c r="N287" s="215" t="s">
        <v>392</v>
      </c>
      <c r="O287" s="172"/>
      <c r="P287" s="172"/>
      <c r="Q287" s="172"/>
      <c r="R287" s="172"/>
      <c r="S287" s="173"/>
    </row>
    <row r="288" spans="1:19" ht="16.95" customHeight="1" x14ac:dyDescent="0.3">
      <c r="K288" s="95">
        <f t="shared" si="42"/>
        <v>0.25329020230905952</v>
      </c>
      <c r="N288" s="215" t="s">
        <v>393</v>
      </c>
      <c r="O288" s="172"/>
      <c r="P288" s="172"/>
      <c r="Q288" s="172"/>
      <c r="R288" s="172"/>
      <c r="S288" s="173"/>
    </row>
    <row r="289" spans="1:19" ht="16.95" customHeight="1" x14ac:dyDescent="0.3">
      <c r="K289" s="95">
        <f t="shared" si="42"/>
        <v>-3.3356823396162076E-2</v>
      </c>
      <c r="N289" s="215" t="s">
        <v>394</v>
      </c>
      <c r="O289" s="172"/>
      <c r="P289" s="172"/>
      <c r="Q289" s="172"/>
      <c r="R289" s="172"/>
      <c r="S289" s="173"/>
    </row>
    <row r="290" spans="1:19" ht="16.95" customHeight="1" x14ac:dyDescent="0.3">
      <c r="K290" s="95">
        <f t="shared" si="42"/>
        <v>0.18011008157539446</v>
      </c>
      <c r="N290" s="215"/>
      <c r="O290" s="172"/>
      <c r="P290" s="172"/>
      <c r="Q290" s="172"/>
      <c r="R290" s="172"/>
      <c r="S290" s="173"/>
    </row>
    <row r="291" spans="1:19" ht="16.95" customHeight="1" x14ac:dyDescent="0.3">
      <c r="K291" s="95">
        <f t="shared" si="42"/>
        <v>-0.33282963942785065</v>
      </c>
      <c r="N291" s="215"/>
      <c r="O291" s="172"/>
      <c r="P291" s="172"/>
      <c r="Q291" s="172"/>
      <c r="R291" s="172"/>
      <c r="S291" s="173"/>
    </row>
    <row r="292" spans="1:19" ht="16.95" customHeight="1" x14ac:dyDescent="0.3">
      <c r="N292" s="215"/>
      <c r="O292" s="172"/>
      <c r="P292" s="172"/>
      <c r="Q292" s="172"/>
      <c r="R292" s="172"/>
      <c r="S292" s="173"/>
    </row>
    <row r="293" spans="1:19" ht="16.95" customHeight="1" x14ac:dyDescent="0.3">
      <c r="A293" s="12" t="str">
        <f>A285</f>
        <v>C1X</v>
      </c>
      <c r="C293" s="17">
        <f t="array" ref="C293:C295">MMULT(C285:I287, K285:K291)</f>
        <v>-2000</v>
      </c>
      <c r="D293" s="12" t="s">
        <v>273</v>
      </c>
      <c r="N293" s="215"/>
      <c r="O293" s="172"/>
      <c r="P293" s="172"/>
      <c r="Q293" s="172"/>
      <c r="R293" s="172"/>
      <c r="S293" s="173"/>
    </row>
    <row r="294" spans="1:19" ht="16.95" customHeight="1" x14ac:dyDescent="0.3">
      <c r="A294" s="12" t="str">
        <f>A286</f>
        <v>C1Y</v>
      </c>
      <c r="B294" s="13" t="s">
        <v>220</v>
      </c>
      <c r="C294" s="17">
        <v>5642.8571428571477</v>
      </c>
      <c r="D294" s="12" t="s">
        <v>273</v>
      </c>
      <c r="N294" s="215"/>
      <c r="O294" s="172"/>
      <c r="P294" s="172"/>
      <c r="Q294" s="172"/>
      <c r="R294" s="172"/>
      <c r="S294" s="173"/>
    </row>
    <row r="295" spans="1:19" ht="16.95" customHeight="1" x14ac:dyDescent="0.3">
      <c r="A295" s="12" t="str">
        <f>A287</f>
        <v>C3Y</v>
      </c>
      <c r="C295" s="17">
        <v>7357.1428571428623</v>
      </c>
      <c r="D295" s="12" t="s">
        <v>273</v>
      </c>
      <c r="N295" s="215"/>
      <c r="O295" s="172"/>
      <c r="P295" s="172"/>
      <c r="Q295" s="172"/>
      <c r="R295" s="172"/>
      <c r="S295" s="173"/>
    </row>
    <row r="298" spans="1:19" ht="19.95" customHeight="1" x14ac:dyDescent="0.35">
      <c r="A298" s="11" t="s">
        <v>274</v>
      </c>
    </row>
    <row r="300" spans="1:19" ht="19.05" customHeight="1" x14ac:dyDescent="0.3">
      <c r="A300" s="12" t="s">
        <v>228</v>
      </c>
      <c r="B300" s="12" t="s">
        <v>178</v>
      </c>
      <c r="D300" s="94">
        <f t="shared" ref="D300:D309" si="43">IFERROR(INDEX(C$274:C$280, MATCH(A300, A$274:A$280, 0)), 0)</f>
        <v>0</v>
      </c>
    </row>
    <row r="301" spans="1:19" ht="19.05" customHeight="1" x14ac:dyDescent="0.3">
      <c r="A301" s="12" t="s">
        <v>229</v>
      </c>
      <c r="B301" s="12" t="s">
        <v>179</v>
      </c>
      <c r="D301" s="94">
        <f t="shared" si="43"/>
        <v>0</v>
      </c>
    </row>
    <row r="302" spans="1:19" ht="19.05" customHeight="1" x14ac:dyDescent="0.3">
      <c r="A302" s="12" t="s">
        <v>230</v>
      </c>
      <c r="B302" s="12" t="s">
        <v>180</v>
      </c>
      <c r="D302" s="94">
        <f t="shared" si="43"/>
        <v>7.3810620007075764E-2</v>
      </c>
    </row>
    <row r="303" spans="1:19" ht="19.05" customHeight="1" x14ac:dyDescent="0.3">
      <c r="A303" s="12" t="s">
        <v>231</v>
      </c>
      <c r="B303" s="12" t="s">
        <v>181</v>
      </c>
      <c r="D303" s="94">
        <f t="shared" si="43"/>
        <v>-0.36377027534881723</v>
      </c>
    </row>
    <row r="304" spans="1:19" ht="19.05" customHeight="1" x14ac:dyDescent="0.3">
      <c r="A304" s="12" t="s">
        <v>232</v>
      </c>
      <c r="B304" s="12" t="s">
        <v>182</v>
      </c>
      <c r="D304" s="94">
        <f t="shared" si="43"/>
        <v>0.19302358297003877</v>
      </c>
    </row>
    <row r="305" spans="1:19" ht="19.05" customHeight="1" x14ac:dyDescent="0.3">
      <c r="A305" s="12" t="s">
        <v>234</v>
      </c>
      <c r="B305" s="12" t="s">
        <v>183</v>
      </c>
      <c r="D305" s="94">
        <f t="shared" si="43"/>
        <v>0</v>
      </c>
    </row>
    <row r="306" spans="1:19" ht="19.05" customHeight="1" x14ac:dyDescent="0.3">
      <c r="A306" s="12" t="s">
        <v>235</v>
      </c>
      <c r="B306" s="12" t="s">
        <v>184</v>
      </c>
      <c r="D306" s="94">
        <f t="shared" si="43"/>
        <v>0.25329020230905952</v>
      </c>
    </row>
    <row r="307" spans="1:19" ht="19.05" customHeight="1" x14ac:dyDescent="0.3">
      <c r="A307" s="12" t="s">
        <v>236</v>
      </c>
      <c r="B307" s="12" t="s">
        <v>185</v>
      </c>
      <c r="D307" s="94">
        <f t="shared" si="43"/>
        <v>-3.3356823396162076E-2</v>
      </c>
    </row>
    <row r="308" spans="1:19" ht="19.05" customHeight="1" x14ac:dyDescent="0.3">
      <c r="A308" s="12" t="s">
        <v>237</v>
      </c>
      <c r="B308" s="12" t="s">
        <v>186</v>
      </c>
      <c r="D308" s="94">
        <f t="shared" si="43"/>
        <v>0.18011008157539446</v>
      </c>
    </row>
    <row r="309" spans="1:19" ht="19.05" customHeight="1" x14ac:dyDescent="0.3">
      <c r="A309" s="12" t="s">
        <v>238</v>
      </c>
      <c r="B309" s="12" t="s">
        <v>187</v>
      </c>
      <c r="D309" s="94">
        <f t="shared" si="43"/>
        <v>-0.33282963942785065</v>
      </c>
    </row>
    <row r="312" spans="1:19" ht="19.95" customHeight="1" x14ac:dyDescent="0.35">
      <c r="A312" s="11" t="s">
        <v>275</v>
      </c>
      <c r="N312" s="216" t="s">
        <v>276</v>
      </c>
      <c r="O312" s="172"/>
      <c r="P312" s="172"/>
      <c r="Q312" s="172"/>
      <c r="R312" s="172"/>
      <c r="S312" s="173"/>
    </row>
    <row r="313" spans="1:19" ht="16.95" customHeight="1" x14ac:dyDescent="0.3">
      <c r="N313" s="215" t="s">
        <v>395</v>
      </c>
      <c r="O313" s="172"/>
      <c r="P313" s="172"/>
      <c r="Q313" s="172"/>
      <c r="R313" s="172"/>
      <c r="S313" s="173"/>
    </row>
    <row r="314" spans="1:19" ht="16.95" customHeight="1" x14ac:dyDescent="0.3">
      <c r="A314" s="19" t="s">
        <v>278</v>
      </c>
      <c r="C314" s="19" t="s">
        <v>279</v>
      </c>
      <c r="D314" s="19" t="s">
        <v>280</v>
      </c>
      <c r="E314" s="19" t="s">
        <v>279</v>
      </c>
      <c r="F314" s="19" t="s">
        <v>280</v>
      </c>
      <c r="G314" s="19" t="s">
        <v>249</v>
      </c>
      <c r="N314" s="215" t="s">
        <v>396</v>
      </c>
      <c r="O314" s="172"/>
      <c r="P314" s="172"/>
      <c r="Q314" s="172"/>
      <c r="R314" s="172"/>
      <c r="S314" s="173"/>
    </row>
    <row r="315" spans="1:19" ht="16.95" customHeight="1" x14ac:dyDescent="0.3">
      <c r="C315" s="19" t="s">
        <v>282</v>
      </c>
      <c r="D315" s="19" t="s">
        <v>282</v>
      </c>
      <c r="E315" s="19" t="s">
        <v>283</v>
      </c>
      <c r="F315" s="19" t="s">
        <v>283</v>
      </c>
      <c r="N315" s="215" t="s">
        <v>397</v>
      </c>
      <c r="O315" s="172"/>
      <c r="P315" s="172"/>
      <c r="Q315" s="172"/>
      <c r="R315" s="172"/>
      <c r="S315" s="173"/>
    </row>
    <row r="316" spans="1:19" ht="16.95" customHeight="1" x14ac:dyDescent="0.3">
      <c r="A316" s="17">
        <f>N6</f>
        <v>72000</v>
      </c>
      <c r="C316" s="92">
        <f>-J6</f>
        <v>-1</v>
      </c>
      <c r="D316" s="92">
        <f>-K6</f>
        <v>0</v>
      </c>
      <c r="E316" s="92">
        <f>J6</f>
        <v>1</v>
      </c>
      <c r="F316" s="92">
        <f>K6</f>
        <v>0</v>
      </c>
      <c r="G316" s="96">
        <f>IFERROR(VLOOKUP(H316, A$300:D$309, 4, FALSE), 0)</f>
        <v>0</v>
      </c>
      <c r="H316" s="12" t="str">
        <f>"D" &amp; C18 &amp; "X"</f>
        <v>D1X</v>
      </c>
      <c r="N316" s="215" t="s">
        <v>398</v>
      </c>
      <c r="O316" s="172"/>
      <c r="P316" s="172"/>
      <c r="Q316" s="172"/>
      <c r="R316" s="172"/>
      <c r="S316" s="173"/>
    </row>
    <row r="317" spans="1:19" ht="16.95" customHeight="1" x14ac:dyDescent="0.3">
      <c r="A317" s="99" t="s">
        <v>285</v>
      </c>
      <c r="B317" s="97">
        <f>(MMULT(C316:F316, G316:G319)*A316)</f>
        <v>5314.3646405094551</v>
      </c>
      <c r="G317" s="96">
        <f>IFERROR(VLOOKUP(H317, A$300:D$309, 4, FALSE), 0)</f>
        <v>0</v>
      </c>
      <c r="H317" s="12" t="str">
        <f>"D" &amp; D18 &amp; "Y"</f>
        <v>D1Y</v>
      </c>
      <c r="N317" s="215" t="s">
        <v>399</v>
      </c>
      <c r="O317" s="172"/>
      <c r="P317" s="172"/>
      <c r="Q317" s="172"/>
      <c r="R317" s="172"/>
      <c r="S317" s="173"/>
    </row>
    <row r="318" spans="1:19" ht="16.95" customHeight="1" x14ac:dyDescent="0.3">
      <c r="G318" s="96">
        <f>IFERROR(VLOOKUP(H318, A$300:D$309, 4, FALSE), 0)</f>
        <v>7.3810620007075764E-2</v>
      </c>
      <c r="H318" s="12" t="str">
        <f>"D" &amp; E18 &amp; "X"</f>
        <v>D2X</v>
      </c>
      <c r="N318" s="215" t="s">
        <v>400</v>
      </c>
      <c r="O318" s="172"/>
      <c r="P318" s="172"/>
      <c r="Q318" s="172"/>
      <c r="R318" s="172"/>
      <c r="S318" s="173"/>
    </row>
    <row r="319" spans="1:19" ht="16.95" customHeight="1" x14ac:dyDescent="0.3">
      <c r="G319" s="96">
        <f>IFERROR(VLOOKUP(H319, A$300:D$309, 4, FALSE), 0)</f>
        <v>-0.36377027534881723</v>
      </c>
      <c r="H319" s="12" t="str">
        <f>"D" &amp; F18 &amp; "Y"</f>
        <v>D2Y</v>
      </c>
      <c r="N319" s="215" t="s">
        <v>401</v>
      </c>
      <c r="O319" s="172"/>
      <c r="P319" s="172"/>
      <c r="Q319" s="172"/>
      <c r="R319" s="172"/>
      <c r="S319" s="173"/>
    </row>
    <row r="320" spans="1:19" ht="16.95" customHeight="1" x14ac:dyDescent="0.3">
      <c r="B320" s="99" t="s">
        <v>273</v>
      </c>
      <c r="C320" s="178" t="str">
        <f>IF(B317&gt;0.001,"BARRA A TRACCIÓN (+)",IF(B317&lt;-0.001,"BARRA A COMPRESIÓN (-)","BARRA DE FUERZA NULA"))</f>
        <v>BARRA A TRACCIÓN (+)</v>
      </c>
      <c r="D320" s="172"/>
      <c r="E320" s="172"/>
      <c r="F320" s="173"/>
      <c r="N320" s="215" t="s">
        <v>402</v>
      </c>
      <c r="O320" s="172"/>
      <c r="P320" s="172"/>
      <c r="Q320" s="172"/>
      <c r="R320" s="172"/>
      <c r="S320" s="173"/>
    </row>
    <row r="321" spans="1:19" ht="16.95" customHeight="1" x14ac:dyDescent="0.3">
      <c r="N321" s="215" t="s">
        <v>403</v>
      </c>
      <c r="O321" s="172"/>
      <c r="P321" s="172"/>
      <c r="Q321" s="172"/>
      <c r="R321" s="172"/>
      <c r="S321" s="173"/>
    </row>
    <row r="322" spans="1:19" ht="16.95" customHeight="1" x14ac:dyDescent="0.3">
      <c r="A322" s="19" t="s">
        <v>278</v>
      </c>
      <c r="C322" s="19" t="s">
        <v>279</v>
      </c>
      <c r="D322" s="19" t="s">
        <v>280</v>
      </c>
      <c r="E322" s="19" t="s">
        <v>279</v>
      </c>
      <c r="F322" s="19" t="s">
        <v>280</v>
      </c>
      <c r="G322" s="19" t="s">
        <v>249</v>
      </c>
      <c r="N322" s="215"/>
      <c r="O322" s="172"/>
      <c r="P322" s="172"/>
      <c r="Q322" s="172"/>
      <c r="R322" s="172"/>
      <c r="S322" s="173"/>
    </row>
    <row r="323" spans="1:19" ht="16.95" customHeight="1" x14ac:dyDescent="0.3">
      <c r="C323" s="19" t="s">
        <v>282</v>
      </c>
      <c r="D323" s="19" t="s">
        <v>282</v>
      </c>
      <c r="E323" s="19" t="s">
        <v>283</v>
      </c>
      <c r="F323" s="19" t="s">
        <v>283</v>
      </c>
      <c r="N323" s="215"/>
      <c r="O323" s="172"/>
      <c r="P323" s="172"/>
      <c r="Q323" s="172"/>
      <c r="R323" s="172"/>
      <c r="S323" s="173"/>
    </row>
    <row r="324" spans="1:19" ht="16.95" customHeight="1" x14ac:dyDescent="0.3">
      <c r="A324" s="17">
        <f>N7</f>
        <v>72000</v>
      </c>
      <c r="C324" s="92">
        <f>-J7</f>
        <v>-1</v>
      </c>
      <c r="D324" s="92">
        <f>-K7</f>
        <v>0</v>
      </c>
      <c r="E324" s="92">
        <f>J7</f>
        <v>1</v>
      </c>
      <c r="F324" s="92">
        <f>K7</f>
        <v>0</v>
      </c>
      <c r="G324" s="96">
        <f>IFERROR(VLOOKUP(H324, A$300:D$309, 4, FALSE), 0)</f>
        <v>7.3810620007075764E-2</v>
      </c>
      <c r="H324" s="12" t="str">
        <f>"D" &amp; C19 &amp; "X"</f>
        <v>D2X</v>
      </c>
      <c r="N324" s="215"/>
      <c r="O324" s="172"/>
      <c r="P324" s="172"/>
      <c r="Q324" s="172"/>
      <c r="R324" s="172"/>
      <c r="S324" s="173"/>
    </row>
    <row r="325" spans="1:19" ht="16.95" customHeight="1" x14ac:dyDescent="0.3">
      <c r="A325" s="99" t="s">
        <v>286</v>
      </c>
      <c r="B325" s="97">
        <f>(MMULT(C324:F324, G324:G327)*A324)</f>
        <v>8583.3333333333358</v>
      </c>
      <c r="G325" s="96">
        <f>IFERROR(VLOOKUP(H325, A$300:D$309, 4, FALSE), 0)</f>
        <v>-0.36377027534881723</v>
      </c>
      <c r="H325" s="12" t="str">
        <f>"D" &amp; D19 &amp; "Y"</f>
        <v>D2Y</v>
      </c>
      <c r="N325" s="215"/>
      <c r="O325" s="172"/>
      <c r="P325" s="172"/>
      <c r="Q325" s="172"/>
      <c r="R325" s="172"/>
      <c r="S325" s="173"/>
    </row>
    <row r="326" spans="1:19" ht="16.95" customHeight="1" x14ac:dyDescent="0.3">
      <c r="G326" s="96">
        <f>IFERROR(VLOOKUP(H326, A$300:D$309, 4, FALSE), 0)</f>
        <v>0.19302358297003877</v>
      </c>
      <c r="H326" s="12" t="str">
        <f>"D" &amp; E19 &amp; "X"</f>
        <v>D3X</v>
      </c>
      <c r="N326" s="215"/>
      <c r="O326" s="172"/>
      <c r="P326" s="172"/>
      <c r="Q326" s="172"/>
      <c r="R326" s="172"/>
      <c r="S326" s="173"/>
    </row>
    <row r="327" spans="1:19" ht="16.95" customHeight="1" x14ac:dyDescent="0.3">
      <c r="G327" s="96">
        <f>IFERROR(VLOOKUP(H327, A$300:D$309, 4, FALSE), 0)</f>
        <v>0</v>
      </c>
      <c r="H327" s="12" t="str">
        <f>"D" &amp; F19 &amp; "Y"</f>
        <v>D3Y</v>
      </c>
      <c r="N327" s="215"/>
      <c r="O327" s="172"/>
      <c r="P327" s="172"/>
      <c r="Q327" s="172"/>
      <c r="R327" s="172"/>
      <c r="S327" s="173"/>
    </row>
    <row r="328" spans="1:19" ht="16.95" customHeight="1" x14ac:dyDescent="0.3">
      <c r="B328" s="99" t="s">
        <v>273</v>
      </c>
      <c r="C328" s="178" t="str">
        <f>IF(B325&gt;0.001,"BARRA A TRACCIÓN (+)",IF(B325&lt;-0.001,"BARRA A COMPRESIÓN (-)","BARRA DE FUERZA NULA"))</f>
        <v>BARRA A TRACCIÓN (+)</v>
      </c>
      <c r="D328" s="172"/>
      <c r="E328" s="172"/>
      <c r="F328" s="173"/>
      <c r="N328" s="215"/>
      <c r="O328" s="172"/>
      <c r="P328" s="172"/>
      <c r="Q328" s="172"/>
      <c r="R328" s="172"/>
      <c r="S328" s="173"/>
    </row>
    <row r="329" spans="1:19" ht="16.95" customHeight="1" x14ac:dyDescent="0.3">
      <c r="N329" s="215"/>
      <c r="O329" s="172"/>
      <c r="P329" s="172"/>
      <c r="Q329" s="172"/>
      <c r="R329" s="172"/>
      <c r="S329" s="173"/>
    </row>
    <row r="330" spans="1:19" ht="16.95" customHeight="1" x14ac:dyDescent="0.3">
      <c r="A330" s="19" t="s">
        <v>278</v>
      </c>
      <c r="C330" s="19" t="s">
        <v>279</v>
      </c>
      <c r="D330" s="19" t="s">
        <v>280</v>
      </c>
      <c r="E330" s="19" t="s">
        <v>279</v>
      </c>
      <c r="F330" s="19" t="s">
        <v>280</v>
      </c>
      <c r="G330" s="19" t="s">
        <v>249</v>
      </c>
      <c r="N330" s="215"/>
      <c r="O330" s="172"/>
      <c r="P330" s="172"/>
      <c r="Q330" s="172"/>
      <c r="R330" s="172"/>
      <c r="S330" s="173"/>
    </row>
    <row r="331" spans="1:19" ht="16.95" customHeight="1" x14ac:dyDescent="0.3">
      <c r="C331" s="19" t="s">
        <v>282</v>
      </c>
      <c r="D331" s="19" t="s">
        <v>282</v>
      </c>
      <c r="E331" s="19" t="s">
        <v>283</v>
      </c>
      <c r="F331" s="19" t="s">
        <v>283</v>
      </c>
      <c r="N331" s="215"/>
      <c r="O331" s="172"/>
      <c r="P331" s="172"/>
      <c r="Q331" s="172"/>
      <c r="R331" s="172"/>
      <c r="S331" s="173"/>
    </row>
    <row r="332" spans="1:19" ht="16.95" customHeight="1" x14ac:dyDescent="0.3">
      <c r="A332" s="17">
        <f>N8</f>
        <v>72000</v>
      </c>
      <c r="C332" s="92">
        <f>-J8</f>
        <v>-1</v>
      </c>
      <c r="D332" s="92">
        <f>-K8</f>
        <v>0</v>
      </c>
      <c r="E332" s="92">
        <f>J8</f>
        <v>1</v>
      </c>
      <c r="F332" s="92">
        <f>K8</f>
        <v>0</v>
      </c>
      <c r="G332" s="96">
        <f>IFERROR(VLOOKUP(H332, A$300:D$309, 4, FALSE), 0)</f>
        <v>0.25329020230905952</v>
      </c>
      <c r="H332" s="12" t="str">
        <f>"D" &amp; C20 &amp; "X"</f>
        <v>D4X</v>
      </c>
      <c r="N332" s="215"/>
      <c r="O332" s="172"/>
      <c r="P332" s="172"/>
      <c r="Q332" s="172"/>
      <c r="R332" s="172"/>
      <c r="S332" s="173"/>
    </row>
    <row r="333" spans="1:19" ht="16.95" customHeight="1" x14ac:dyDescent="0.3">
      <c r="A333" s="99" t="s">
        <v>287</v>
      </c>
      <c r="B333" s="97">
        <f>(MMULT(C332:F332, G332:G335)*A332)</f>
        <v>-5268.9686928238843</v>
      </c>
      <c r="G333" s="96">
        <f>IFERROR(VLOOKUP(H333, A$300:D$309, 4, FALSE), 0)</f>
        <v>-3.3356823396162076E-2</v>
      </c>
      <c r="H333" s="12" t="str">
        <f>"D" &amp; D20 &amp; "Y"</f>
        <v>D4Y</v>
      </c>
      <c r="N333" s="215"/>
      <c r="O333" s="172"/>
      <c r="P333" s="172"/>
      <c r="Q333" s="172"/>
      <c r="R333" s="172"/>
      <c r="S333" s="173"/>
    </row>
    <row r="334" spans="1:19" ht="16.95" customHeight="1" x14ac:dyDescent="0.3">
      <c r="G334" s="96">
        <f>IFERROR(VLOOKUP(H334, A$300:D$309, 4, FALSE), 0)</f>
        <v>0.18011008157539446</v>
      </c>
      <c r="H334" s="12" t="str">
        <f>"D" &amp; E20 &amp; "X"</f>
        <v>D5X</v>
      </c>
      <c r="N334" s="215"/>
      <c r="O334" s="172"/>
      <c r="P334" s="172"/>
      <c r="Q334" s="172"/>
      <c r="R334" s="172"/>
      <c r="S334" s="173"/>
    </row>
    <row r="335" spans="1:19" ht="16.95" customHeight="1" x14ac:dyDescent="0.3">
      <c r="G335" s="96">
        <f>IFERROR(VLOOKUP(H335, A$300:D$309, 4, FALSE), 0)</f>
        <v>-0.33282963942785065</v>
      </c>
      <c r="H335" s="12" t="str">
        <f>"D" &amp; F20 &amp; "Y"</f>
        <v>D5Y</v>
      </c>
      <c r="N335" s="215"/>
      <c r="O335" s="172"/>
      <c r="P335" s="172"/>
      <c r="Q335" s="172"/>
      <c r="R335" s="172"/>
      <c r="S335" s="173"/>
    </row>
    <row r="336" spans="1:19" ht="16.95" customHeight="1" x14ac:dyDescent="0.3">
      <c r="B336" s="99" t="s">
        <v>273</v>
      </c>
      <c r="C336" s="178" t="str">
        <f>IF(B333&gt;0.001,"BARRA A TRACCIÓN (+)",IF(B333&lt;-0.001,"BARRA A COMPRESIÓN (-)","BARRA DE FUERZA NULA"))</f>
        <v>BARRA A COMPRESIÓN (-)</v>
      </c>
      <c r="D336" s="172"/>
      <c r="E336" s="172"/>
      <c r="F336" s="173"/>
      <c r="N336" s="215"/>
      <c r="O336" s="172"/>
      <c r="P336" s="172"/>
      <c r="Q336" s="172"/>
      <c r="R336" s="172"/>
      <c r="S336" s="173"/>
    </row>
    <row r="337" spans="1:19" ht="16.95" customHeight="1" x14ac:dyDescent="0.3">
      <c r="N337" s="215"/>
      <c r="O337" s="172"/>
      <c r="P337" s="172"/>
      <c r="Q337" s="172"/>
      <c r="R337" s="172"/>
      <c r="S337" s="173"/>
    </row>
    <row r="338" spans="1:19" ht="18" customHeight="1" x14ac:dyDescent="0.3">
      <c r="A338" s="19" t="s">
        <v>278</v>
      </c>
      <c r="C338" s="19" t="s">
        <v>279</v>
      </c>
      <c r="D338" s="19" t="s">
        <v>280</v>
      </c>
      <c r="E338" s="19" t="s">
        <v>279</v>
      </c>
      <c r="F338" s="19" t="s">
        <v>280</v>
      </c>
      <c r="G338" s="19" t="s">
        <v>249</v>
      </c>
    </row>
    <row r="339" spans="1:19" ht="16.05" customHeight="1" x14ac:dyDescent="0.3">
      <c r="C339" s="19" t="s">
        <v>282</v>
      </c>
      <c r="D339" s="19" t="s">
        <v>282</v>
      </c>
      <c r="E339" s="19" t="s">
        <v>283</v>
      </c>
      <c r="F339" s="19" t="s">
        <v>283</v>
      </c>
    </row>
    <row r="340" spans="1:19" ht="19.95" customHeight="1" x14ac:dyDescent="0.3">
      <c r="A340" s="17">
        <f>N9</f>
        <v>84000</v>
      </c>
      <c r="C340" s="92">
        <f>-J9</f>
        <v>0</v>
      </c>
      <c r="D340" s="92">
        <f>-K9</f>
        <v>-1</v>
      </c>
      <c r="E340" s="92">
        <f>J9</f>
        <v>0</v>
      </c>
      <c r="F340" s="92">
        <f>K9</f>
        <v>1</v>
      </c>
      <c r="G340" s="96">
        <f>IFERROR(VLOOKUP(H340, A$300:D$309, 4, FALSE), 0)</f>
        <v>0</v>
      </c>
      <c r="H340" s="12" t="str">
        <f>"D" &amp; C21 &amp; "X"</f>
        <v>D1X</v>
      </c>
    </row>
    <row r="341" spans="1:19" ht="19.95" customHeight="1" x14ac:dyDescent="0.3">
      <c r="A341" s="99" t="s">
        <v>288</v>
      </c>
      <c r="B341" s="97">
        <f>(MMULT(C340:F340, G340:G343)*A340)</f>
        <v>-2801.9731652776145</v>
      </c>
      <c r="G341" s="96">
        <f>IFERROR(VLOOKUP(H341, A$300:D$309, 4, FALSE), 0)</f>
        <v>0</v>
      </c>
      <c r="H341" s="12" t="str">
        <f>"D" &amp; D21 &amp; "Y"</f>
        <v>D1Y</v>
      </c>
    </row>
    <row r="342" spans="1:19" ht="19.95" customHeight="1" x14ac:dyDescent="0.3">
      <c r="G342" s="96">
        <f>IFERROR(VLOOKUP(H342, A$300:D$309, 4, FALSE), 0)</f>
        <v>0.25329020230905952</v>
      </c>
      <c r="H342" s="12" t="str">
        <f>"D" &amp; E21 &amp; "X"</f>
        <v>D4X</v>
      </c>
    </row>
    <row r="343" spans="1:19" ht="19.95" customHeight="1" x14ac:dyDescent="0.3">
      <c r="G343" s="96">
        <f>IFERROR(VLOOKUP(H343, A$300:D$309, 4, FALSE), 0)</f>
        <v>-3.3356823396162076E-2</v>
      </c>
      <c r="H343" s="12" t="str">
        <f>"D" &amp; F21 &amp; "Y"</f>
        <v>D4Y</v>
      </c>
    </row>
    <row r="344" spans="1:19" ht="19.95" customHeight="1" x14ac:dyDescent="0.3">
      <c r="B344" s="99" t="s">
        <v>273</v>
      </c>
      <c r="C344" s="178" t="str">
        <f>IF(B341&gt;0.001,"BARRA A TRACCIÓN (+)",IF(B341&lt;-0.001,"BARRA A COMPRESIÓN (-)","BARRA DE FUERZA NULA"))</f>
        <v>BARRA A COMPRESIÓN (-)</v>
      </c>
      <c r="D344" s="172"/>
      <c r="E344" s="172"/>
      <c r="F344" s="173"/>
    </row>
    <row r="346" spans="1:19" ht="18" customHeight="1" x14ac:dyDescent="0.3">
      <c r="A346" s="19" t="s">
        <v>278</v>
      </c>
      <c r="C346" s="19" t="s">
        <v>279</v>
      </c>
      <c r="D346" s="19" t="s">
        <v>280</v>
      </c>
      <c r="E346" s="19" t="s">
        <v>279</v>
      </c>
      <c r="F346" s="19" t="s">
        <v>280</v>
      </c>
      <c r="G346" s="19" t="s">
        <v>249</v>
      </c>
    </row>
    <row r="347" spans="1:19" ht="16.05" customHeight="1" x14ac:dyDescent="0.3">
      <c r="C347" s="19" t="s">
        <v>282</v>
      </c>
      <c r="D347" s="19" t="s">
        <v>282</v>
      </c>
      <c r="E347" s="19" t="s">
        <v>283</v>
      </c>
      <c r="F347" s="19" t="s">
        <v>283</v>
      </c>
    </row>
    <row r="348" spans="1:19" ht="19.95" customHeight="1" x14ac:dyDescent="0.3">
      <c r="A348" s="17">
        <f>N10</f>
        <v>84000</v>
      </c>
      <c r="C348" s="92">
        <f>-J10</f>
        <v>0</v>
      </c>
      <c r="D348" s="92">
        <f>-K10</f>
        <v>-1</v>
      </c>
      <c r="E348" s="92">
        <f>J10</f>
        <v>0</v>
      </c>
      <c r="F348" s="92">
        <f>K10</f>
        <v>1</v>
      </c>
      <c r="G348" s="96">
        <f>IFERROR(VLOOKUP(H348, A$300:D$309, 4, FALSE), 0)</f>
        <v>7.3810620007075764E-2</v>
      </c>
      <c r="H348" s="12" t="str">
        <f>"D" &amp; C22 &amp; "X"</f>
        <v>D2X</v>
      </c>
    </row>
    <row r="349" spans="1:19" ht="19.95" customHeight="1" x14ac:dyDescent="0.3">
      <c r="A349" s="99" t="s">
        <v>289</v>
      </c>
      <c r="B349" s="97">
        <f>(MMULT(C348:F348, G348:G351)*A348)</f>
        <v>2599.0134173611923</v>
      </c>
      <c r="G349" s="96">
        <f>IFERROR(VLOOKUP(H349, A$300:D$309, 4, FALSE), 0)</f>
        <v>-0.36377027534881723</v>
      </c>
      <c r="H349" s="12" t="str">
        <f>"D" &amp; D22 &amp; "Y"</f>
        <v>D2Y</v>
      </c>
    </row>
    <row r="350" spans="1:19" ht="19.95" customHeight="1" x14ac:dyDescent="0.3">
      <c r="G350" s="96">
        <f>IFERROR(VLOOKUP(H350, A$300:D$309, 4, FALSE), 0)</f>
        <v>0.18011008157539446</v>
      </c>
      <c r="H350" s="12" t="str">
        <f>"D" &amp; E22 &amp; "X"</f>
        <v>D5X</v>
      </c>
    </row>
    <row r="351" spans="1:19" ht="19.95" customHeight="1" x14ac:dyDescent="0.3">
      <c r="G351" s="96">
        <f>IFERROR(VLOOKUP(H351, A$300:D$309, 4, FALSE), 0)</f>
        <v>-0.33282963942785065</v>
      </c>
      <c r="H351" s="12" t="str">
        <f>"D" &amp; F22 &amp; "Y"</f>
        <v>D5Y</v>
      </c>
    </row>
    <row r="352" spans="1:19" ht="19.95" customHeight="1" x14ac:dyDescent="0.3">
      <c r="B352" s="99" t="s">
        <v>273</v>
      </c>
      <c r="C352" s="178" t="str">
        <f>IF(B349&gt;0.001,"BARRA A TRACCIÓN (+)",IF(B349&lt;-0.001,"BARRA A COMPRESIÓN (-)","BARRA DE FUERZA NULA"))</f>
        <v>BARRA A TRACCIÓN (+)</v>
      </c>
      <c r="D352" s="172"/>
      <c r="E352" s="172"/>
      <c r="F352" s="173"/>
    </row>
    <row r="354" spans="1:8" ht="18" customHeight="1" x14ac:dyDescent="0.3">
      <c r="A354" s="19" t="s">
        <v>278</v>
      </c>
      <c r="C354" s="19" t="s">
        <v>279</v>
      </c>
      <c r="D354" s="19" t="s">
        <v>280</v>
      </c>
      <c r="E354" s="19" t="s">
        <v>279</v>
      </c>
      <c r="F354" s="19" t="s">
        <v>280</v>
      </c>
      <c r="G354" s="19" t="s">
        <v>249</v>
      </c>
    </row>
    <row r="355" spans="1:8" ht="16.05" customHeight="1" x14ac:dyDescent="0.3">
      <c r="C355" s="19" t="s">
        <v>282</v>
      </c>
      <c r="D355" s="19" t="s">
        <v>282</v>
      </c>
      <c r="E355" s="19" t="s">
        <v>283</v>
      </c>
      <c r="F355" s="19" t="s">
        <v>283</v>
      </c>
    </row>
    <row r="356" spans="1:8" ht="19.95" customHeight="1" x14ac:dyDescent="0.3">
      <c r="A356" s="17">
        <f>N11</f>
        <v>54666.475370301356</v>
      </c>
      <c r="C356" s="92">
        <f>-J11</f>
        <v>-0.75925660236529657</v>
      </c>
      <c r="D356" s="92">
        <f>-K11</f>
        <v>-0.65079137345596849</v>
      </c>
      <c r="E356" s="92">
        <f>J11</f>
        <v>0.75925660236529657</v>
      </c>
      <c r="F356" s="92">
        <f>K11</f>
        <v>0.65079137345596849</v>
      </c>
      <c r="G356" s="96">
        <f>IFERROR(VLOOKUP(H356, A$300:D$309, 4, FALSE), 0)</f>
        <v>0</v>
      </c>
      <c r="H356" s="12" t="str">
        <f>"D" &amp; C23 &amp; "X"</f>
        <v>D1X</v>
      </c>
    </row>
    <row r="357" spans="1:8" ht="19.95" customHeight="1" x14ac:dyDescent="0.3">
      <c r="A357" s="99" t="s">
        <v>290</v>
      </c>
      <c r="B357" s="97">
        <f>(MMULT(C356:F356, G356:G359)*A356)</f>
        <v>-4365.2760215509252</v>
      </c>
      <c r="G357" s="96">
        <f>IFERROR(VLOOKUP(H357, A$300:D$309, 4, FALSE), 0)</f>
        <v>0</v>
      </c>
      <c r="H357" s="12" t="str">
        <f>"D" &amp; D23 &amp; "Y"</f>
        <v>D1Y</v>
      </c>
    </row>
    <row r="358" spans="1:8" ht="19.95" customHeight="1" x14ac:dyDescent="0.3">
      <c r="G358" s="96">
        <f>IFERROR(VLOOKUP(H358, A$300:D$309, 4, FALSE), 0)</f>
        <v>0.18011008157539446</v>
      </c>
      <c r="H358" s="12" t="str">
        <f>"D" &amp; E23 &amp; "X"</f>
        <v>D5X</v>
      </c>
    </row>
    <row r="359" spans="1:8" ht="19.95" customHeight="1" x14ac:dyDescent="0.3">
      <c r="G359" s="96">
        <f>IFERROR(VLOOKUP(H359, A$300:D$309, 4, FALSE), 0)</f>
        <v>-0.33282963942785065</v>
      </c>
      <c r="H359" s="12" t="str">
        <f>"D" &amp; F23 &amp; "Y"</f>
        <v>D5Y</v>
      </c>
    </row>
    <row r="360" spans="1:8" ht="19.95" customHeight="1" x14ac:dyDescent="0.3">
      <c r="B360" s="99" t="s">
        <v>273</v>
      </c>
      <c r="C360" s="178" t="str">
        <f>IF(B357&gt;0.001,"BARRA A TRACCIÓN (+)",IF(B357&lt;-0.001,"BARRA A COMPRESIÓN (-)","BARRA DE FUERZA NULA"))</f>
        <v>BARRA A COMPRESIÓN (-)</v>
      </c>
      <c r="D360" s="172"/>
      <c r="E360" s="172"/>
      <c r="F360" s="173"/>
    </row>
    <row r="362" spans="1:8" ht="18" customHeight="1" x14ac:dyDescent="0.3">
      <c r="A362" s="19" t="s">
        <v>278</v>
      </c>
      <c r="C362" s="19" t="s">
        <v>279</v>
      </c>
      <c r="D362" s="19" t="s">
        <v>280</v>
      </c>
      <c r="E362" s="19" t="s">
        <v>279</v>
      </c>
      <c r="F362" s="19" t="s">
        <v>280</v>
      </c>
      <c r="G362" s="19" t="s">
        <v>249</v>
      </c>
    </row>
    <row r="363" spans="1:8" ht="16.05" customHeight="1" x14ac:dyDescent="0.3">
      <c r="C363" s="19" t="s">
        <v>282</v>
      </c>
      <c r="D363" s="19" t="s">
        <v>282</v>
      </c>
      <c r="E363" s="19" t="s">
        <v>283</v>
      </c>
      <c r="F363" s="19" t="s">
        <v>283</v>
      </c>
    </row>
    <row r="364" spans="1:8" ht="19.95" customHeight="1" x14ac:dyDescent="0.3">
      <c r="A364" s="17">
        <f>N12</f>
        <v>54666.475370301356</v>
      </c>
      <c r="C364" s="92">
        <f>-J12</f>
        <v>-0.75925660236529657</v>
      </c>
      <c r="D364" s="92">
        <f>-K12</f>
        <v>0.65079137345596849</v>
      </c>
      <c r="E364" s="92">
        <f>J12</f>
        <v>0.75925660236529657</v>
      </c>
      <c r="F364" s="92">
        <f>K12</f>
        <v>-0.65079137345596849</v>
      </c>
      <c r="G364" s="96">
        <f>IFERROR(VLOOKUP(H364, A$300:D$309, 4, FALSE), 0)</f>
        <v>0.25329020230905952</v>
      </c>
      <c r="H364" s="12" t="str">
        <f>"D" &amp; C24 &amp; "X"</f>
        <v>D4X</v>
      </c>
    </row>
    <row r="365" spans="1:8" ht="19.95" customHeight="1" x14ac:dyDescent="0.3">
      <c r="A365" s="99" t="s">
        <v>291</v>
      </c>
      <c r="B365" s="97">
        <f>(MMULT(C364:F364, G364:G367)*A364)</f>
        <v>4305.4860275697702</v>
      </c>
      <c r="G365" s="96">
        <f>IFERROR(VLOOKUP(H365, A$300:D$309, 4, FALSE), 0)</f>
        <v>-3.3356823396162076E-2</v>
      </c>
      <c r="H365" s="12" t="str">
        <f>"D" &amp; D24 &amp; "Y"</f>
        <v>D4Y</v>
      </c>
    </row>
    <row r="366" spans="1:8" ht="19.95" customHeight="1" x14ac:dyDescent="0.3">
      <c r="G366" s="96">
        <f>IFERROR(VLOOKUP(H366, A$300:D$309, 4, FALSE), 0)</f>
        <v>7.3810620007075764E-2</v>
      </c>
      <c r="H366" s="12" t="str">
        <f>"D" &amp; E24 &amp; "X"</f>
        <v>D2X</v>
      </c>
    </row>
    <row r="367" spans="1:8" ht="19.95" customHeight="1" x14ac:dyDescent="0.3">
      <c r="G367" s="96">
        <f>IFERROR(VLOOKUP(H367, A$300:D$309, 4, FALSE), 0)</f>
        <v>-0.36377027534881723</v>
      </c>
      <c r="H367" s="12" t="str">
        <f>"D" &amp; F24 &amp; "Y"</f>
        <v>D2Y</v>
      </c>
    </row>
    <row r="368" spans="1:8" ht="19.95" customHeight="1" x14ac:dyDescent="0.3">
      <c r="B368" s="99" t="s">
        <v>273</v>
      </c>
      <c r="C368" s="178" t="str">
        <f>IF(B365&gt;0.001,"BARRA A TRACCIÓN (+)",IF(B365&lt;-0.001,"BARRA A COMPRESIÓN (-)","BARRA DE FUERZA NULA"))</f>
        <v>BARRA A TRACCIÓN (+)</v>
      </c>
      <c r="D368" s="172"/>
      <c r="E368" s="172"/>
      <c r="F368" s="173"/>
    </row>
    <row r="370" spans="1:8" ht="18" customHeight="1" x14ac:dyDescent="0.3">
      <c r="A370" s="19" t="s">
        <v>278</v>
      </c>
      <c r="C370" s="19" t="s">
        <v>279</v>
      </c>
      <c r="D370" s="19" t="s">
        <v>280</v>
      </c>
      <c r="E370" s="19" t="s">
        <v>279</v>
      </c>
      <c r="F370" s="19" t="s">
        <v>280</v>
      </c>
      <c r="G370" s="19" t="s">
        <v>249</v>
      </c>
    </row>
    <row r="371" spans="1:8" ht="16.05" customHeight="1" x14ac:dyDescent="0.3">
      <c r="C371" s="19" t="s">
        <v>282</v>
      </c>
      <c r="D371" s="19" t="s">
        <v>282</v>
      </c>
      <c r="E371" s="19" t="s">
        <v>283</v>
      </c>
      <c r="F371" s="19" t="s">
        <v>283</v>
      </c>
    </row>
    <row r="372" spans="1:8" ht="19.95" customHeight="1" x14ac:dyDescent="0.3">
      <c r="A372" s="17">
        <f>N13</f>
        <v>84000</v>
      </c>
      <c r="C372" s="92">
        <f>-J13</f>
        <v>0</v>
      </c>
      <c r="D372" s="92">
        <f>-K13</f>
        <v>-1</v>
      </c>
      <c r="E372" s="92">
        <f>J13</f>
        <v>0</v>
      </c>
      <c r="F372" s="92">
        <f>K13</f>
        <v>1</v>
      </c>
      <c r="G372" s="96">
        <f>IFERROR(VLOOKUP(H372, A$300:D$309, 4, FALSE), 0)</f>
        <v>7.3810620007075764E-2</v>
      </c>
      <c r="H372" s="12" t="str">
        <f>"D" &amp; C25 &amp; "X"</f>
        <v>D2X</v>
      </c>
    </row>
    <row r="373" spans="1:8" ht="19.95" customHeight="1" x14ac:dyDescent="0.3">
      <c r="A373" s="99" t="s">
        <v>292</v>
      </c>
      <c r="B373" s="97">
        <f>(MMULT(C372:F372, G372:G375)*A372)</f>
        <v>2599.0134173611923</v>
      </c>
      <c r="G373" s="96">
        <f>IFERROR(VLOOKUP(H373, A$300:D$309, 4, FALSE), 0)</f>
        <v>-0.36377027534881723</v>
      </c>
      <c r="H373" s="12" t="str">
        <f>"D" &amp; D25 &amp; "Y"</f>
        <v>D2Y</v>
      </c>
    </row>
    <row r="374" spans="1:8" ht="19.95" customHeight="1" x14ac:dyDescent="0.3">
      <c r="G374" s="96">
        <f>IFERROR(VLOOKUP(H374, A$300:D$309, 4, FALSE), 0)</f>
        <v>0.18011008157539446</v>
      </c>
      <c r="H374" s="12" t="str">
        <f>"D" &amp; E25 &amp; "X"</f>
        <v>D5X</v>
      </c>
    </row>
    <row r="375" spans="1:8" ht="19.95" customHeight="1" x14ac:dyDescent="0.3">
      <c r="G375" s="96">
        <f>IFERROR(VLOOKUP(H375, A$300:D$309, 4, FALSE), 0)</f>
        <v>-0.33282963942785065</v>
      </c>
      <c r="H375" s="12" t="str">
        <f>"D" &amp; F25 &amp; "Y"</f>
        <v>D5Y</v>
      </c>
    </row>
    <row r="376" spans="1:8" ht="19.95" customHeight="1" x14ac:dyDescent="0.3">
      <c r="B376" s="99" t="s">
        <v>273</v>
      </c>
      <c r="C376" s="178" t="str">
        <f>IF(B373&gt;0.001,"BARRA A TRACCIÓN (+)",IF(B373&lt;-0.001,"BARRA A COMPRESIÓN (-)","BARRA DE FUERZA NULA"))</f>
        <v>BARRA A TRACCIÓN (+)</v>
      </c>
      <c r="D376" s="172"/>
      <c r="E376" s="172"/>
      <c r="F376" s="173"/>
    </row>
    <row r="378" spans="1:8" ht="18" customHeight="1" x14ac:dyDescent="0.3">
      <c r="A378" s="19" t="s">
        <v>278</v>
      </c>
      <c r="C378" s="19" t="s">
        <v>279</v>
      </c>
      <c r="D378" s="19" t="s">
        <v>280</v>
      </c>
      <c r="E378" s="19" t="s">
        <v>279</v>
      </c>
      <c r="F378" s="19" t="s">
        <v>280</v>
      </c>
      <c r="G378" s="19" t="s">
        <v>249</v>
      </c>
    </row>
    <row r="379" spans="1:8" ht="16.05" customHeight="1" x14ac:dyDescent="0.3">
      <c r="C379" s="19" t="s">
        <v>282</v>
      </c>
      <c r="D379" s="19" t="s">
        <v>282</v>
      </c>
      <c r="E379" s="19" t="s">
        <v>283</v>
      </c>
      <c r="F379" s="19" t="s">
        <v>283</v>
      </c>
    </row>
    <row r="380" spans="1:8" ht="19.95" customHeight="1" x14ac:dyDescent="0.3">
      <c r="A380" s="17">
        <f>N14</f>
        <v>54666.475370301356</v>
      </c>
      <c r="C380" s="92">
        <f>-J14</f>
        <v>-0.75925660236529657</v>
      </c>
      <c r="D380" s="92">
        <f>-K14</f>
        <v>0.65079137345596849</v>
      </c>
      <c r="E380" s="92">
        <f>J14</f>
        <v>0.75925660236529657</v>
      </c>
      <c r="F380" s="92">
        <f>K14</f>
        <v>-0.65079137345596849</v>
      </c>
      <c r="G380" s="96">
        <f>IFERROR(VLOOKUP(H380, A$300:D$309, 4, FALSE), 0)</f>
        <v>0.18011008157539446</v>
      </c>
      <c r="H380" s="12" t="str">
        <f>"D" &amp; C26 &amp; "X"</f>
        <v>D5X</v>
      </c>
    </row>
    <row r="381" spans="1:8" ht="19.95" customHeight="1" x14ac:dyDescent="0.3">
      <c r="A381" s="99" t="s">
        <v>530</v>
      </c>
      <c r="B381" s="97">
        <f>(MMULT(C380:F380, G380:G383)*A380)</f>
        <v>-11304.917608347238</v>
      </c>
      <c r="G381" s="96">
        <f>IFERROR(VLOOKUP(H381, A$300:D$309, 4, FALSE), 0)</f>
        <v>-0.33282963942785065</v>
      </c>
      <c r="H381" s="12" t="str">
        <f>"D" &amp; D26 &amp; "Y"</f>
        <v>D5Y</v>
      </c>
    </row>
    <row r="382" spans="1:8" ht="19.95" customHeight="1" x14ac:dyDescent="0.3">
      <c r="G382" s="96">
        <f>IFERROR(VLOOKUP(H382, A$300:D$309, 4, FALSE), 0)</f>
        <v>0.19302358297003877</v>
      </c>
      <c r="H382" s="12" t="str">
        <f>"D" &amp; E26 &amp; "X"</f>
        <v>D3X</v>
      </c>
    </row>
    <row r="383" spans="1:8" ht="19.95" customHeight="1" x14ac:dyDescent="0.3">
      <c r="G383" s="96">
        <f>IFERROR(VLOOKUP(H383, A$300:D$309, 4, FALSE), 0)</f>
        <v>0</v>
      </c>
      <c r="H383" s="12" t="str">
        <f>"D" &amp; F26 &amp; "Y"</f>
        <v>D3Y</v>
      </c>
    </row>
    <row r="384" spans="1:8" ht="19.95" customHeight="1" x14ac:dyDescent="0.3">
      <c r="B384" s="99" t="s">
        <v>273</v>
      </c>
      <c r="C384" s="178" t="str">
        <f>IF(B381&gt;0.001,"BARRA A TRACCIÓN (+)",IF(B381&lt;-0.001,"BARRA A COMPRESIÓN (-)","BARRA DE FUERZA NULA"))</f>
        <v>BARRA A COMPRESIÓN (-)</v>
      </c>
      <c r="D384" s="172"/>
      <c r="E384" s="172"/>
      <c r="F384" s="173"/>
    </row>
    <row r="387" spans="2:8" ht="22.05" customHeight="1" x14ac:dyDescent="0.3">
      <c r="B387" s="217" t="s">
        <v>404</v>
      </c>
      <c r="C387" s="175"/>
      <c r="D387" s="175"/>
      <c r="E387" s="175"/>
      <c r="F387" s="175"/>
      <c r="G387" s="175"/>
      <c r="H387" s="175"/>
    </row>
    <row r="388" spans="2:8" ht="24" customHeight="1" x14ac:dyDescent="0.3">
      <c r="B388" s="87" t="s">
        <v>294</v>
      </c>
      <c r="C388" s="87" t="s">
        <v>295</v>
      </c>
      <c r="D388" s="87" t="s">
        <v>296</v>
      </c>
      <c r="E388" s="87" t="s">
        <v>297</v>
      </c>
      <c r="F388" s="87" t="s">
        <v>298</v>
      </c>
      <c r="G388" s="87" t="s">
        <v>299</v>
      </c>
      <c r="H388" s="87" t="s">
        <v>300</v>
      </c>
    </row>
    <row r="389" spans="2:8" ht="19.95" customHeight="1" x14ac:dyDescent="0.3">
      <c r="B389" s="85">
        <v>1</v>
      </c>
      <c r="C389" s="86">
        <f t="shared" ref="C389:C397" si="44">C18</f>
        <v>1</v>
      </c>
      <c r="D389" s="86">
        <f t="shared" ref="D389:D397" si="45">E18</f>
        <v>2</v>
      </c>
      <c r="E389" s="9">
        <f t="shared" ref="E389:E397" si="46">I6</f>
        <v>350</v>
      </c>
      <c r="F389" s="9">
        <f t="shared" ref="F389:F397" si="47">L6</f>
        <v>12</v>
      </c>
      <c r="G389" s="97">
        <f>B317</f>
        <v>5314.3646405094551</v>
      </c>
      <c r="H389" s="84" t="str">
        <f>C320</f>
        <v>BARRA A TRACCIÓN (+)</v>
      </c>
    </row>
    <row r="390" spans="2:8" ht="19.95" customHeight="1" x14ac:dyDescent="0.3">
      <c r="B390" s="25">
        <v>2</v>
      </c>
      <c r="C390" s="86">
        <f t="shared" si="44"/>
        <v>2</v>
      </c>
      <c r="D390" s="86">
        <f t="shared" si="45"/>
        <v>3</v>
      </c>
      <c r="E390" s="9">
        <f t="shared" si="46"/>
        <v>350</v>
      </c>
      <c r="F390" s="9">
        <f t="shared" si="47"/>
        <v>12</v>
      </c>
      <c r="G390" s="97">
        <f>B325</f>
        <v>8583.3333333333358</v>
      </c>
      <c r="H390" s="84" t="str">
        <f>C328</f>
        <v>BARRA A TRACCIÓN (+)</v>
      </c>
    </row>
    <row r="391" spans="2:8" ht="19.95" customHeight="1" x14ac:dyDescent="0.3">
      <c r="B391" s="26">
        <v>3</v>
      </c>
      <c r="C391" s="86">
        <f t="shared" si="44"/>
        <v>4</v>
      </c>
      <c r="D391" s="86">
        <f t="shared" si="45"/>
        <v>5</v>
      </c>
      <c r="E391" s="9">
        <f t="shared" si="46"/>
        <v>350</v>
      </c>
      <c r="F391" s="9">
        <f t="shared" si="47"/>
        <v>12</v>
      </c>
      <c r="G391" s="97">
        <f>B333</f>
        <v>-5268.9686928238843</v>
      </c>
      <c r="H391" s="84" t="str">
        <f>C336</f>
        <v>BARRA A COMPRESIÓN (-)</v>
      </c>
    </row>
    <row r="392" spans="2:8" ht="19.95" customHeight="1" x14ac:dyDescent="0.3">
      <c r="B392" s="43">
        <v>4</v>
      </c>
      <c r="C392" s="86">
        <f t="shared" si="44"/>
        <v>1</v>
      </c>
      <c r="D392" s="86">
        <f t="shared" si="45"/>
        <v>4</v>
      </c>
      <c r="E392" s="9">
        <f t="shared" si="46"/>
        <v>300</v>
      </c>
      <c r="F392" s="9">
        <f t="shared" si="47"/>
        <v>12</v>
      </c>
      <c r="G392" s="97">
        <f>B341</f>
        <v>-2801.9731652776145</v>
      </c>
      <c r="H392" s="84" t="str">
        <f>C344</f>
        <v>BARRA A COMPRESIÓN (-)</v>
      </c>
    </row>
    <row r="393" spans="2:8" ht="19.95" customHeight="1" x14ac:dyDescent="0.3">
      <c r="B393" s="44">
        <v>5</v>
      </c>
      <c r="C393" s="86">
        <f t="shared" si="44"/>
        <v>2</v>
      </c>
      <c r="D393" s="86">
        <f t="shared" si="45"/>
        <v>5</v>
      </c>
      <c r="E393" s="9">
        <f t="shared" si="46"/>
        <v>300</v>
      </c>
      <c r="F393" s="9">
        <f t="shared" si="47"/>
        <v>12</v>
      </c>
      <c r="G393" s="97">
        <f>B349</f>
        <v>2599.0134173611923</v>
      </c>
      <c r="H393" s="84" t="str">
        <f>C352</f>
        <v>BARRA A TRACCIÓN (+)</v>
      </c>
    </row>
    <row r="394" spans="2:8" ht="19.95" customHeight="1" x14ac:dyDescent="0.3">
      <c r="B394" s="51">
        <v>6</v>
      </c>
      <c r="C394" s="86">
        <f t="shared" si="44"/>
        <v>1</v>
      </c>
      <c r="D394" s="86">
        <f t="shared" si="45"/>
        <v>5</v>
      </c>
      <c r="E394" s="9">
        <f t="shared" si="46"/>
        <v>460.97722286464438</v>
      </c>
      <c r="F394" s="9">
        <f t="shared" si="47"/>
        <v>12</v>
      </c>
      <c r="G394" s="97">
        <f>B357</f>
        <v>-4365.2760215509252</v>
      </c>
      <c r="H394" s="84" t="str">
        <f>C360</f>
        <v>BARRA A COMPRESIÓN (-)</v>
      </c>
    </row>
    <row r="395" spans="2:8" ht="19.95" customHeight="1" x14ac:dyDescent="0.3">
      <c r="B395" s="52">
        <v>7</v>
      </c>
      <c r="C395" s="86">
        <f t="shared" si="44"/>
        <v>4</v>
      </c>
      <c r="D395" s="86">
        <f t="shared" si="45"/>
        <v>2</v>
      </c>
      <c r="E395" s="9">
        <f t="shared" si="46"/>
        <v>460.97722286464438</v>
      </c>
      <c r="F395" s="9">
        <f t="shared" si="47"/>
        <v>12</v>
      </c>
      <c r="G395" s="97">
        <f>B365</f>
        <v>4305.4860275697702</v>
      </c>
      <c r="H395" s="84" t="str">
        <f>C368</f>
        <v>BARRA A TRACCIÓN (+)</v>
      </c>
    </row>
    <row r="396" spans="2:8" ht="19.95" customHeight="1" x14ac:dyDescent="0.3">
      <c r="B396" s="59">
        <v>8</v>
      </c>
      <c r="C396" s="86">
        <f t="shared" si="44"/>
        <v>2</v>
      </c>
      <c r="D396" s="86">
        <f t="shared" si="45"/>
        <v>5</v>
      </c>
      <c r="E396" s="9">
        <f t="shared" si="46"/>
        <v>300</v>
      </c>
      <c r="F396" s="9">
        <f t="shared" si="47"/>
        <v>12</v>
      </c>
      <c r="G396" s="97">
        <f>B373</f>
        <v>2599.0134173611923</v>
      </c>
      <c r="H396" s="84" t="str">
        <f>C376</f>
        <v>BARRA A TRACCIÓN (+)</v>
      </c>
    </row>
    <row r="397" spans="2:8" ht="19.95" customHeight="1" x14ac:dyDescent="0.3">
      <c r="B397" s="60">
        <v>9</v>
      </c>
      <c r="C397" s="86">
        <f t="shared" si="44"/>
        <v>5</v>
      </c>
      <c r="D397" s="86">
        <f t="shared" si="45"/>
        <v>3</v>
      </c>
      <c r="E397" s="9">
        <f t="shared" si="46"/>
        <v>460.97722286464438</v>
      </c>
      <c r="F397" s="9">
        <f t="shared" si="47"/>
        <v>12</v>
      </c>
      <c r="G397" s="97">
        <f>B381</f>
        <v>-11304.917608347238</v>
      </c>
      <c r="H397" s="84" t="str">
        <f>C384</f>
        <v>BARRA A COMPRESIÓN (-)</v>
      </c>
    </row>
  </sheetData>
  <mergeCells count="136">
    <mergeCell ref="C352:F352"/>
    <mergeCell ref="N244:S244"/>
    <mergeCell ref="C376:F376"/>
    <mergeCell ref="N259:S259"/>
    <mergeCell ref="J4:J5"/>
    <mergeCell ref="N293:S293"/>
    <mergeCell ref="L4:L5"/>
    <mergeCell ref="N220:S220"/>
    <mergeCell ref="N261:S261"/>
    <mergeCell ref="N270:S270"/>
    <mergeCell ref="N335:S335"/>
    <mergeCell ref="N284:S284"/>
    <mergeCell ref="C368:F368"/>
    <mergeCell ref="N222:S222"/>
    <mergeCell ref="N254:S254"/>
    <mergeCell ref="N325:S325"/>
    <mergeCell ref="N334:S334"/>
    <mergeCell ref="N256:S256"/>
    <mergeCell ref="N213:S213"/>
    <mergeCell ref="N271:S271"/>
    <mergeCell ref="N327:S327"/>
    <mergeCell ref="C360:F360"/>
    <mergeCell ref="N337:S337"/>
    <mergeCell ref="N229:S229"/>
    <mergeCell ref="E3:H3"/>
    <mergeCell ref="N258:S258"/>
    <mergeCell ref="N324:S324"/>
    <mergeCell ref="N245:S245"/>
    <mergeCell ref="N285:S285"/>
    <mergeCell ref="N260:S260"/>
    <mergeCell ref="N217:S217"/>
    <mergeCell ref="C328:F328"/>
    <mergeCell ref="C262:I262"/>
    <mergeCell ref="N294:S294"/>
    <mergeCell ref="C263:I263"/>
    <mergeCell ref="N269:S269"/>
    <mergeCell ref="N316:S316"/>
    <mergeCell ref="N237:S237"/>
    <mergeCell ref="E16:F16"/>
    <mergeCell ref="N221:S221"/>
    <mergeCell ref="N287:S287"/>
    <mergeCell ref="H4:H5"/>
    <mergeCell ref="N239:S239"/>
    <mergeCell ref="N322:S322"/>
    <mergeCell ref="N263:S263"/>
    <mergeCell ref="N328:S328"/>
    <mergeCell ref="N215:S215"/>
    <mergeCell ref="N247:S247"/>
    <mergeCell ref="B16:B17"/>
    <mergeCell ref="N223:S223"/>
    <mergeCell ref="N232:S232"/>
    <mergeCell ref="N264:S264"/>
    <mergeCell ref="N273:S273"/>
    <mergeCell ref="K4:K5"/>
    <mergeCell ref="C16:D16"/>
    <mergeCell ref="N336:S336"/>
    <mergeCell ref="B1:N1"/>
    <mergeCell ref="C237:D237"/>
    <mergeCell ref="N246:S246"/>
    <mergeCell ref="N255:S255"/>
    <mergeCell ref="N233:S233"/>
    <mergeCell ref="N326:S326"/>
    <mergeCell ref="N295:S295"/>
    <mergeCell ref="N248:S248"/>
    <mergeCell ref="N235:S235"/>
    <mergeCell ref="N272:S272"/>
    <mergeCell ref="N219:S219"/>
    <mergeCell ref="N312:S312"/>
    <mergeCell ref="N290:S290"/>
    <mergeCell ref="C4:D4"/>
    <mergeCell ref="E4:F4"/>
    <mergeCell ref="N274:S274"/>
    <mergeCell ref="N265:S265"/>
    <mergeCell ref="N249:S249"/>
    <mergeCell ref="C344:F344"/>
    <mergeCell ref="N320:S320"/>
    <mergeCell ref="N314:S314"/>
    <mergeCell ref="N329:S329"/>
    <mergeCell ref="N313:S313"/>
    <mergeCell ref="N226:S226"/>
    <mergeCell ref="N238:S238"/>
    <mergeCell ref="N278:S278"/>
    <mergeCell ref="N253:S253"/>
    <mergeCell ref="N231:S231"/>
    <mergeCell ref="N262:S262"/>
    <mergeCell ref="N240:S240"/>
    <mergeCell ref="N333:S333"/>
    <mergeCell ref="N280:S280"/>
    <mergeCell ref="C384:F384"/>
    <mergeCell ref="C272:D272"/>
    <mergeCell ref="C336:F336"/>
    <mergeCell ref="N275:S275"/>
    <mergeCell ref="B2:N2"/>
    <mergeCell ref="N315:S315"/>
    <mergeCell ref="N228:S228"/>
    <mergeCell ref="B387:H387"/>
    <mergeCell ref="C320:F320"/>
    <mergeCell ref="B4:B5"/>
    <mergeCell ref="N268:S268"/>
    <mergeCell ref="N243:S243"/>
    <mergeCell ref="N283:S283"/>
    <mergeCell ref="N277:S277"/>
    <mergeCell ref="N4:N5"/>
    <mergeCell ref="N234:S234"/>
    <mergeCell ref="N292:S292"/>
    <mergeCell ref="N286:S286"/>
    <mergeCell ref="N267:S267"/>
    <mergeCell ref="N276:S276"/>
    <mergeCell ref="N214:S214"/>
    <mergeCell ref="N332:S332"/>
    <mergeCell ref="N224:S224"/>
    <mergeCell ref="N331:S331"/>
    <mergeCell ref="B3:D3"/>
    <mergeCell ref="N218:S218"/>
    <mergeCell ref="M4:M5"/>
    <mergeCell ref="N227:S227"/>
    <mergeCell ref="N321:S321"/>
    <mergeCell ref="N330:S330"/>
    <mergeCell ref="N242:S242"/>
    <mergeCell ref="N291:S291"/>
    <mergeCell ref="N252:S252"/>
    <mergeCell ref="N323:S323"/>
    <mergeCell ref="N317:S317"/>
    <mergeCell ref="N230:S230"/>
    <mergeCell ref="N289:S289"/>
    <mergeCell ref="N279:S279"/>
    <mergeCell ref="N319:S319"/>
    <mergeCell ref="N288:S288"/>
    <mergeCell ref="N241:S241"/>
    <mergeCell ref="G4:G5"/>
    <mergeCell ref="I4:I5"/>
    <mergeCell ref="N216:S216"/>
    <mergeCell ref="N225:S225"/>
    <mergeCell ref="N257:S257"/>
    <mergeCell ref="N266:S266"/>
    <mergeCell ref="N318:S318"/>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630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3</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300</v>
      </c>
      <c r="AC11" t="s">
        <v>324</v>
      </c>
    </row>
    <row r="12" spans="2:29" x14ac:dyDescent="0.3">
      <c r="AA12" s="20">
        <f>IF(G30="","",G30)</f>
        <v>400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400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-7000</v>
      </c>
      <c r="J15" s="205" t="s">
        <v>485</v>
      </c>
      <c r="K15" s="172"/>
      <c r="L15" s="172"/>
      <c r="M15" s="172"/>
      <c r="N15" s="172"/>
      <c r="O15" s="173"/>
      <c r="AA15" s="20">
        <f>IF(G31="","",G31)</f>
        <v>800</v>
      </c>
      <c r="AB15" s="20">
        <f>IF(H31="","",H31)</f>
        <v>300</v>
      </c>
      <c r="AC15" t="s">
        <v>331</v>
      </c>
    </row>
    <row r="16" spans="2:29" ht="19.05" customHeight="1" x14ac:dyDescent="0.3">
      <c r="B16" s="89">
        <v>3</v>
      </c>
      <c r="C16" s="21">
        <v>800</v>
      </c>
      <c r="D16" s="21">
        <v>0</v>
      </c>
      <c r="E16" s="21" t="s">
        <v>329</v>
      </c>
      <c r="F16" s="88">
        <f t="shared" si="0"/>
        <v>0</v>
      </c>
      <c r="G16" s="88">
        <f t="shared" si="1"/>
        <v>1</v>
      </c>
      <c r="H16" s="22">
        <v>0</v>
      </c>
      <c r="I16" s="22">
        <v>0</v>
      </c>
      <c r="J16" s="205" t="s">
        <v>407</v>
      </c>
      <c r="K16" s="172"/>
      <c r="L16" s="172"/>
      <c r="M16" s="172"/>
      <c r="N16" s="172"/>
      <c r="O16" s="173"/>
    </row>
    <row r="17" spans="2:29" ht="19.05" customHeight="1" x14ac:dyDescent="0.3">
      <c r="B17" s="89">
        <v>4</v>
      </c>
      <c r="C17" s="21">
        <v>0</v>
      </c>
      <c r="D17" s="21">
        <v>300</v>
      </c>
      <c r="E17" s="21" t="s">
        <v>326</v>
      </c>
      <c r="F17" s="88">
        <f t="shared" si="0"/>
        <v>0</v>
      </c>
      <c r="G17" s="88">
        <f t="shared" si="1"/>
        <v>0</v>
      </c>
      <c r="H17" s="22">
        <v>0</v>
      </c>
      <c r="I17" s="22">
        <v>0</v>
      </c>
      <c r="J17" s="205" t="s">
        <v>627</v>
      </c>
      <c r="K17" s="172"/>
      <c r="L17" s="172"/>
      <c r="M17" s="172"/>
      <c r="N17" s="172"/>
      <c r="O17" s="173"/>
      <c r="AA17" s="20">
        <f>IF(E32="","",E32)</f>
        <v>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-6000</v>
      </c>
      <c r="J18" s="205" t="s">
        <v>631</v>
      </c>
      <c r="K18" s="172"/>
      <c r="L18" s="172"/>
      <c r="M18" s="172"/>
      <c r="N18" s="172"/>
      <c r="O18" s="173"/>
      <c r="AA18" s="20">
        <f>IF(G32="","",G32)</f>
        <v>0</v>
      </c>
      <c r="AB18" s="20">
        <f>IF(H32="","",H32)</f>
        <v>300</v>
      </c>
      <c r="AC18" t="s">
        <v>335</v>
      </c>
    </row>
    <row r="19" spans="2:29" ht="19.05" customHeight="1" x14ac:dyDescent="0.3">
      <c r="B19" s="89">
        <v>6</v>
      </c>
      <c r="C19" s="21">
        <v>800</v>
      </c>
      <c r="D19" s="21">
        <v>300</v>
      </c>
      <c r="E19" s="21" t="s">
        <v>326</v>
      </c>
      <c r="F19" s="88">
        <f t="shared" si="0"/>
        <v>0</v>
      </c>
      <c r="G19" s="88">
        <f t="shared" si="1"/>
        <v>0</v>
      </c>
      <c r="H19" s="22">
        <v>0</v>
      </c>
      <c r="I19" s="22">
        <v>0</v>
      </c>
      <c r="J19" s="205" t="s">
        <v>632</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800</v>
      </c>
      <c r="AB23" s="20">
        <f>IF(F34="","",F34)</f>
        <v>0</v>
      </c>
      <c r="AC23" t="s">
        <v>338</v>
      </c>
    </row>
    <row r="24" spans="2:29" x14ac:dyDescent="0.3">
      <c r="AA24" s="20">
        <f>IF(G34="","",G34)</f>
        <v>800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400</v>
      </c>
      <c r="H30" s="5">
        <f t="shared" si="5"/>
        <v>300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300</v>
      </c>
      <c r="G31" s="5">
        <f t="shared" si="4"/>
        <v>800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300</v>
      </c>
      <c r="I33" s="9">
        <f t="shared" si="6"/>
        <v>0</v>
      </c>
      <c r="J33" s="9">
        <f t="shared" si="7"/>
        <v>300</v>
      </c>
      <c r="K33" s="9">
        <f t="shared" si="8"/>
        <v>300</v>
      </c>
      <c r="L33" s="92">
        <f t="shared" si="9"/>
        <v>0</v>
      </c>
      <c r="M33" s="92">
        <f t="shared" si="10"/>
        <v>1</v>
      </c>
      <c r="N33" s="22">
        <v>12</v>
      </c>
      <c r="O33" s="24">
        <v>2100000</v>
      </c>
      <c r="AA33" s="20">
        <f>IF(G37="","",G37)</f>
        <v>800</v>
      </c>
      <c r="AB33" s="20">
        <f>IF(H37="","",H37)</f>
        <v>300</v>
      </c>
      <c r="AC33" t="s">
        <v>356</v>
      </c>
    </row>
    <row r="34" spans="2:29" ht="19.05" customHeight="1" x14ac:dyDescent="0.3">
      <c r="B34" s="89">
        <v>7</v>
      </c>
      <c r="C34" s="23">
        <v>3</v>
      </c>
      <c r="D34" s="23">
        <v>6</v>
      </c>
      <c r="E34" s="5">
        <f t="shared" si="2"/>
        <v>800</v>
      </c>
      <c r="F34" s="5">
        <f t="shared" si="3"/>
        <v>0</v>
      </c>
      <c r="G34" s="5">
        <f t="shared" si="4"/>
        <v>800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300</v>
      </c>
      <c r="I35" s="9">
        <f t="shared" si="6"/>
        <v>400</v>
      </c>
      <c r="J35" s="9">
        <f t="shared" si="7"/>
        <v>300</v>
      </c>
      <c r="K35" s="9">
        <f t="shared" si="8"/>
        <v>500</v>
      </c>
      <c r="L35" s="92">
        <f t="shared" si="9"/>
        <v>0.8</v>
      </c>
      <c r="M35" s="92">
        <f t="shared" si="10"/>
        <v>0.6</v>
      </c>
      <c r="N35" s="22">
        <v>12</v>
      </c>
      <c r="O35" s="24">
        <v>2100000</v>
      </c>
      <c r="AA35" s="20">
        <f>IF(E38="","",E38)</f>
        <v>400</v>
      </c>
      <c r="AB35" s="20">
        <f>IF(F38="","",F38)</f>
        <v>300</v>
      </c>
      <c r="AC35" t="s">
        <v>357</v>
      </c>
    </row>
    <row r="36" spans="2:29" ht="19.05" customHeight="1" x14ac:dyDescent="0.3">
      <c r="B36" s="89">
        <v>9</v>
      </c>
      <c r="C36" s="23">
        <v>4</v>
      </c>
      <c r="D36" s="23">
        <v>2</v>
      </c>
      <c r="E36" s="5">
        <f t="shared" si="2"/>
        <v>0</v>
      </c>
      <c r="F36" s="5">
        <f t="shared" si="3"/>
        <v>300</v>
      </c>
      <c r="G36" s="5">
        <f t="shared" si="4"/>
        <v>400</v>
      </c>
      <c r="H36" s="5">
        <f t="shared" si="5"/>
        <v>0</v>
      </c>
      <c r="I36" s="9">
        <f t="shared" si="6"/>
        <v>400</v>
      </c>
      <c r="J36" s="9">
        <f t="shared" si="7"/>
        <v>-300</v>
      </c>
      <c r="K36" s="9">
        <f t="shared" si="8"/>
        <v>500</v>
      </c>
      <c r="L36" s="92">
        <f t="shared" si="9"/>
        <v>0.8</v>
      </c>
      <c r="M36" s="92">
        <f t="shared" si="10"/>
        <v>-0.6</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300</v>
      </c>
      <c r="I37" s="9">
        <f t="shared" si="6"/>
        <v>400</v>
      </c>
      <c r="J37" s="9">
        <f t="shared" si="7"/>
        <v>300</v>
      </c>
      <c r="K37" s="9">
        <f t="shared" si="8"/>
        <v>500</v>
      </c>
      <c r="L37" s="92">
        <f t="shared" si="9"/>
        <v>0.8</v>
      </c>
      <c r="M37" s="92">
        <f t="shared" si="10"/>
        <v>0.6</v>
      </c>
      <c r="N37" s="22">
        <v>12</v>
      </c>
      <c r="O37" s="24">
        <v>2100000</v>
      </c>
    </row>
    <row r="38" spans="2:29" ht="19.05" customHeight="1" x14ac:dyDescent="0.3">
      <c r="B38" s="89">
        <v>11</v>
      </c>
      <c r="C38" s="23">
        <v>5</v>
      </c>
      <c r="D38" s="23">
        <v>3</v>
      </c>
      <c r="E38" s="5">
        <f t="shared" si="2"/>
        <v>400</v>
      </c>
      <c r="F38" s="5">
        <f t="shared" si="3"/>
        <v>300</v>
      </c>
      <c r="G38" s="5">
        <f t="shared" si="4"/>
        <v>800</v>
      </c>
      <c r="H38" s="5">
        <f t="shared" si="5"/>
        <v>0</v>
      </c>
      <c r="I38" s="9">
        <f t="shared" si="6"/>
        <v>400</v>
      </c>
      <c r="J38" s="9">
        <f t="shared" si="7"/>
        <v>-300</v>
      </c>
      <c r="K38" s="9">
        <f t="shared" si="8"/>
        <v>500</v>
      </c>
      <c r="L38" s="92">
        <f t="shared" si="9"/>
        <v>0.8</v>
      </c>
      <c r="M38" s="92">
        <f t="shared" si="10"/>
        <v>-0.6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B00-000000000000}">
      <formula1>"Fijo (articulado),Rodillo Y (despl. X libre),Rodillo X (despl. Y libre),Libre (0 reac.)"</formula1>
    </dataValidation>
  </dataValidations>
  <pageMargins left="0.75" right="0.75" top="1" bottom="1" header="0.5" footer="0.5"/>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633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GRAFICA_45!E28</f>
        <v>0</v>
      </c>
      <c r="D6" s="22">
        <f>GRAFICA_45!F28</f>
        <v>0</v>
      </c>
      <c r="E6" s="22">
        <f>GRAFICA_45!G28</f>
        <v>400</v>
      </c>
      <c r="F6" s="22">
        <f>GRAFICA_45!H28</f>
        <v>0</v>
      </c>
      <c r="G6" s="9">
        <f t="shared" ref="G6:G16" si="0">E6-C6</f>
        <v>400</v>
      </c>
      <c r="H6" s="9">
        <f t="shared" ref="H6:H16" si="1">F6-D6</f>
        <v>0</v>
      </c>
      <c r="I6" s="9">
        <f t="shared" ref="I6:I16" si="2">SQRT(G6*G6+H6*H6)</f>
        <v>400</v>
      </c>
      <c r="J6" s="92">
        <f t="shared" ref="J6:J16" si="3">G6/I6</f>
        <v>1</v>
      </c>
      <c r="K6" s="92">
        <f t="shared" ref="K6:K16" si="4">H6/I6</f>
        <v>0</v>
      </c>
      <c r="L6" s="22">
        <f>GRAFICA_45!N28</f>
        <v>12</v>
      </c>
      <c r="M6" s="22">
        <f>GRAFICA_45!O28</f>
        <v>2100000</v>
      </c>
      <c r="N6" s="6">
        <f t="shared" ref="N6:N16" si="5">L6*M6/I6</f>
        <v>63000</v>
      </c>
    </row>
    <row r="7" spans="2:14" ht="19.05" customHeight="1" x14ac:dyDescent="0.3">
      <c r="B7" s="25">
        <v>2</v>
      </c>
      <c r="C7" s="22">
        <f>GRAFICA_45!E29</f>
        <v>400</v>
      </c>
      <c r="D7" s="22">
        <f>GRAFICA_45!F29</f>
        <v>0</v>
      </c>
      <c r="E7" s="22">
        <f>GRAFICA_45!G29</f>
        <v>800</v>
      </c>
      <c r="F7" s="22">
        <f>GRAFICA_45!H29</f>
        <v>0</v>
      </c>
      <c r="G7" s="9">
        <f t="shared" si="0"/>
        <v>400</v>
      </c>
      <c r="H7" s="9">
        <f t="shared" si="1"/>
        <v>0</v>
      </c>
      <c r="I7" s="9">
        <f t="shared" si="2"/>
        <v>400</v>
      </c>
      <c r="J7" s="92">
        <f t="shared" si="3"/>
        <v>1</v>
      </c>
      <c r="K7" s="92">
        <f t="shared" si="4"/>
        <v>0</v>
      </c>
      <c r="L7" s="22">
        <f>GRAFICA_45!N29</f>
        <v>12</v>
      </c>
      <c r="M7" s="22">
        <f>GRAFICA_45!O29</f>
        <v>2100000</v>
      </c>
      <c r="N7" s="6">
        <f t="shared" si="5"/>
        <v>63000</v>
      </c>
    </row>
    <row r="8" spans="2:14" ht="19.05" customHeight="1" x14ac:dyDescent="0.3">
      <c r="B8" s="26">
        <v>3</v>
      </c>
      <c r="C8" s="22">
        <f>GRAFICA_45!E30</f>
        <v>0</v>
      </c>
      <c r="D8" s="22">
        <f>GRAFICA_45!F30</f>
        <v>300</v>
      </c>
      <c r="E8" s="22">
        <f>GRAFICA_45!G30</f>
        <v>400</v>
      </c>
      <c r="F8" s="22">
        <f>GRAFICA_45!H30</f>
        <v>300</v>
      </c>
      <c r="G8" s="9">
        <f t="shared" si="0"/>
        <v>400</v>
      </c>
      <c r="H8" s="9">
        <f t="shared" si="1"/>
        <v>0</v>
      </c>
      <c r="I8" s="9">
        <f t="shared" si="2"/>
        <v>400</v>
      </c>
      <c r="J8" s="92">
        <f t="shared" si="3"/>
        <v>1</v>
      </c>
      <c r="K8" s="92">
        <f t="shared" si="4"/>
        <v>0</v>
      </c>
      <c r="L8" s="22">
        <f>GRAFICA_45!N30</f>
        <v>12</v>
      </c>
      <c r="M8" s="22">
        <f>GRAFICA_45!O30</f>
        <v>2100000</v>
      </c>
      <c r="N8" s="6">
        <f t="shared" si="5"/>
        <v>63000</v>
      </c>
    </row>
    <row r="9" spans="2:14" ht="19.05" customHeight="1" x14ac:dyDescent="0.3">
      <c r="B9" s="43">
        <v>4</v>
      </c>
      <c r="C9" s="22">
        <f>GRAFICA_45!E31</f>
        <v>400</v>
      </c>
      <c r="D9" s="22">
        <f>GRAFICA_45!F31</f>
        <v>300</v>
      </c>
      <c r="E9" s="22">
        <f>GRAFICA_45!G31</f>
        <v>800</v>
      </c>
      <c r="F9" s="22">
        <f>GRAFICA_45!H31</f>
        <v>300</v>
      </c>
      <c r="G9" s="9">
        <f t="shared" si="0"/>
        <v>400</v>
      </c>
      <c r="H9" s="9">
        <f t="shared" si="1"/>
        <v>0</v>
      </c>
      <c r="I9" s="9">
        <f t="shared" si="2"/>
        <v>400</v>
      </c>
      <c r="J9" s="92">
        <f t="shared" si="3"/>
        <v>1</v>
      </c>
      <c r="K9" s="92">
        <f t="shared" si="4"/>
        <v>0</v>
      </c>
      <c r="L9" s="22">
        <f>GRAFICA_45!N31</f>
        <v>12</v>
      </c>
      <c r="M9" s="22">
        <f>GRAFICA_45!O31</f>
        <v>2100000</v>
      </c>
      <c r="N9" s="6">
        <f t="shared" si="5"/>
        <v>63000</v>
      </c>
    </row>
    <row r="10" spans="2:14" ht="19.05" customHeight="1" x14ac:dyDescent="0.3">
      <c r="B10" s="44">
        <v>5</v>
      </c>
      <c r="C10" s="22">
        <f>GRAFICA_45!E32</f>
        <v>0</v>
      </c>
      <c r="D10" s="22">
        <f>GRAFICA_45!F32</f>
        <v>0</v>
      </c>
      <c r="E10" s="22">
        <f>GRAFICA_45!G32</f>
        <v>0</v>
      </c>
      <c r="F10" s="22">
        <f>GRAFICA_45!H32</f>
        <v>300</v>
      </c>
      <c r="G10" s="9">
        <f t="shared" si="0"/>
        <v>0</v>
      </c>
      <c r="H10" s="9">
        <f t="shared" si="1"/>
        <v>300</v>
      </c>
      <c r="I10" s="9">
        <f t="shared" si="2"/>
        <v>300</v>
      </c>
      <c r="J10" s="92">
        <f t="shared" si="3"/>
        <v>0</v>
      </c>
      <c r="K10" s="92">
        <f t="shared" si="4"/>
        <v>1</v>
      </c>
      <c r="L10" s="22">
        <f>GRAFICA_45!N32</f>
        <v>12</v>
      </c>
      <c r="M10" s="22">
        <f>GRAFICA_45!O32</f>
        <v>2100000</v>
      </c>
      <c r="N10" s="6">
        <f t="shared" si="5"/>
        <v>84000</v>
      </c>
    </row>
    <row r="11" spans="2:14" ht="19.05" customHeight="1" x14ac:dyDescent="0.3">
      <c r="B11" s="51">
        <v>6</v>
      </c>
      <c r="C11" s="22">
        <f>GRAFICA_45!E33</f>
        <v>400</v>
      </c>
      <c r="D11" s="22">
        <f>GRAFICA_45!F33</f>
        <v>0</v>
      </c>
      <c r="E11" s="22">
        <f>GRAFICA_45!G33</f>
        <v>400</v>
      </c>
      <c r="F11" s="22">
        <f>GRAFICA_45!H33</f>
        <v>300</v>
      </c>
      <c r="G11" s="9">
        <f t="shared" si="0"/>
        <v>0</v>
      </c>
      <c r="H11" s="9">
        <f t="shared" si="1"/>
        <v>300</v>
      </c>
      <c r="I11" s="9">
        <f t="shared" si="2"/>
        <v>300</v>
      </c>
      <c r="J11" s="92">
        <f t="shared" si="3"/>
        <v>0</v>
      </c>
      <c r="K11" s="92">
        <f t="shared" si="4"/>
        <v>1</v>
      </c>
      <c r="L11" s="22">
        <f>GRAFICA_45!N33</f>
        <v>12</v>
      </c>
      <c r="M11" s="22">
        <f>GRAFICA_45!O33</f>
        <v>2100000</v>
      </c>
      <c r="N11" s="6">
        <f t="shared" si="5"/>
        <v>84000</v>
      </c>
    </row>
    <row r="12" spans="2:14" ht="19.05" customHeight="1" x14ac:dyDescent="0.3">
      <c r="B12" s="52">
        <v>7</v>
      </c>
      <c r="C12" s="22">
        <f>GRAFICA_45!E34</f>
        <v>800</v>
      </c>
      <c r="D12" s="22">
        <f>GRAFICA_45!F34</f>
        <v>0</v>
      </c>
      <c r="E12" s="22">
        <f>GRAFICA_45!G34</f>
        <v>800</v>
      </c>
      <c r="F12" s="22">
        <f>GRAFICA_45!H34</f>
        <v>300</v>
      </c>
      <c r="G12" s="9">
        <f t="shared" si="0"/>
        <v>0</v>
      </c>
      <c r="H12" s="9">
        <f t="shared" si="1"/>
        <v>300</v>
      </c>
      <c r="I12" s="9">
        <f t="shared" si="2"/>
        <v>300</v>
      </c>
      <c r="J12" s="92">
        <f t="shared" si="3"/>
        <v>0</v>
      </c>
      <c r="K12" s="92">
        <f t="shared" si="4"/>
        <v>1</v>
      </c>
      <c r="L12" s="22">
        <f>GRAFICA_45!N34</f>
        <v>12</v>
      </c>
      <c r="M12" s="22">
        <f>GRAFICA_45!O34</f>
        <v>2100000</v>
      </c>
      <c r="N12" s="6">
        <f t="shared" si="5"/>
        <v>84000</v>
      </c>
    </row>
    <row r="13" spans="2:14" ht="19.05" customHeight="1" x14ac:dyDescent="0.3">
      <c r="B13" s="59">
        <v>8</v>
      </c>
      <c r="C13" s="22">
        <f>GRAFICA_45!E35</f>
        <v>0</v>
      </c>
      <c r="D13" s="22">
        <f>GRAFICA_45!F35</f>
        <v>0</v>
      </c>
      <c r="E13" s="22">
        <f>GRAFICA_45!G35</f>
        <v>400</v>
      </c>
      <c r="F13" s="22">
        <f>GRAFICA_45!H35</f>
        <v>300</v>
      </c>
      <c r="G13" s="9">
        <f t="shared" si="0"/>
        <v>400</v>
      </c>
      <c r="H13" s="9">
        <f t="shared" si="1"/>
        <v>300</v>
      </c>
      <c r="I13" s="9">
        <f t="shared" si="2"/>
        <v>500</v>
      </c>
      <c r="J13" s="92">
        <f t="shared" si="3"/>
        <v>0.8</v>
      </c>
      <c r="K13" s="92">
        <f t="shared" si="4"/>
        <v>0.6</v>
      </c>
      <c r="L13" s="22">
        <f>GRAFICA_45!N35</f>
        <v>12</v>
      </c>
      <c r="M13" s="22">
        <f>GRAFICA_45!O35</f>
        <v>2100000</v>
      </c>
      <c r="N13" s="6">
        <f t="shared" si="5"/>
        <v>50400</v>
      </c>
    </row>
    <row r="14" spans="2:14" ht="19.05" customHeight="1" x14ac:dyDescent="0.3">
      <c r="B14" s="60">
        <v>9</v>
      </c>
      <c r="C14" s="22">
        <f>GRAFICA_45!E36</f>
        <v>0</v>
      </c>
      <c r="D14" s="22">
        <f>GRAFICA_45!F36</f>
        <v>300</v>
      </c>
      <c r="E14" s="22">
        <f>GRAFICA_45!G36</f>
        <v>400</v>
      </c>
      <c r="F14" s="22">
        <f>GRAFICA_45!H36</f>
        <v>0</v>
      </c>
      <c r="G14" s="9">
        <f t="shared" si="0"/>
        <v>400</v>
      </c>
      <c r="H14" s="9">
        <f t="shared" si="1"/>
        <v>-300</v>
      </c>
      <c r="I14" s="9">
        <f t="shared" si="2"/>
        <v>500</v>
      </c>
      <c r="J14" s="92">
        <f t="shared" si="3"/>
        <v>0.8</v>
      </c>
      <c r="K14" s="92">
        <f t="shared" si="4"/>
        <v>-0.6</v>
      </c>
      <c r="L14" s="22">
        <f>GRAFICA_45!N36</f>
        <v>12</v>
      </c>
      <c r="M14" s="22">
        <f>GRAFICA_45!O36</f>
        <v>2100000</v>
      </c>
      <c r="N14" s="6">
        <f t="shared" si="5"/>
        <v>50400</v>
      </c>
    </row>
    <row r="15" spans="2:14" ht="19.05" customHeight="1" x14ac:dyDescent="0.3">
      <c r="B15" s="67">
        <v>10</v>
      </c>
      <c r="C15" s="22">
        <f>GRAFICA_45!E37</f>
        <v>400</v>
      </c>
      <c r="D15" s="22">
        <f>GRAFICA_45!F37</f>
        <v>0</v>
      </c>
      <c r="E15" s="22">
        <f>GRAFICA_45!G37</f>
        <v>800</v>
      </c>
      <c r="F15" s="22">
        <f>GRAFICA_45!H37</f>
        <v>300</v>
      </c>
      <c r="G15" s="9">
        <f t="shared" si="0"/>
        <v>400</v>
      </c>
      <c r="H15" s="9">
        <f t="shared" si="1"/>
        <v>300</v>
      </c>
      <c r="I15" s="9">
        <f t="shared" si="2"/>
        <v>500</v>
      </c>
      <c r="J15" s="92">
        <f t="shared" si="3"/>
        <v>0.8</v>
      </c>
      <c r="K15" s="92">
        <f t="shared" si="4"/>
        <v>0.6</v>
      </c>
      <c r="L15" s="22">
        <f>GRAFICA_45!N37</f>
        <v>12</v>
      </c>
      <c r="M15" s="22">
        <f>GRAFICA_45!O37</f>
        <v>2100000</v>
      </c>
      <c r="N15" s="6">
        <f t="shared" si="5"/>
        <v>50400</v>
      </c>
    </row>
    <row r="16" spans="2:14" ht="19.05" customHeight="1" x14ac:dyDescent="0.3">
      <c r="B16" s="68">
        <v>11</v>
      </c>
      <c r="C16" s="22">
        <f>GRAFICA_45!E38</f>
        <v>400</v>
      </c>
      <c r="D16" s="22">
        <f>GRAFICA_45!F38</f>
        <v>300</v>
      </c>
      <c r="E16" s="22">
        <f>GRAFICA_45!G38</f>
        <v>800</v>
      </c>
      <c r="F16" s="22">
        <f>GRAFICA_45!H38</f>
        <v>0</v>
      </c>
      <c r="G16" s="9">
        <f t="shared" si="0"/>
        <v>400</v>
      </c>
      <c r="H16" s="9">
        <f t="shared" si="1"/>
        <v>-300</v>
      </c>
      <c r="I16" s="9">
        <f t="shared" si="2"/>
        <v>500</v>
      </c>
      <c r="J16" s="92">
        <f t="shared" si="3"/>
        <v>0.8</v>
      </c>
      <c r="K16" s="92">
        <f t="shared" si="4"/>
        <v>-0.6</v>
      </c>
      <c r="L16" s="22">
        <f>GRAFICA_45!N38</f>
        <v>12</v>
      </c>
      <c r="M16" s="22">
        <f>GRAFICA_45!O38</f>
        <v>2100000</v>
      </c>
      <c r="N16" s="6">
        <f t="shared" si="5"/>
        <v>50400</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GRAFICA_45!C28</f>
        <v>1</v>
      </c>
      <c r="D20" s="23">
        <f>GRAFICA_45!C28</f>
        <v>1</v>
      </c>
      <c r="E20" s="23">
        <f>GRAFICA_45!D28</f>
        <v>2</v>
      </c>
      <c r="F20" s="23">
        <f>GRAFICA_45!D28</f>
        <v>2</v>
      </c>
    </row>
    <row r="21" spans="2:6" ht="19.05" customHeight="1" x14ac:dyDescent="0.3">
      <c r="B21" s="25">
        <v>2</v>
      </c>
      <c r="C21" s="23">
        <f>GRAFICA_45!C29</f>
        <v>2</v>
      </c>
      <c r="D21" s="23">
        <f>GRAFICA_45!C29</f>
        <v>2</v>
      </c>
      <c r="E21" s="23">
        <f>GRAFICA_45!D29</f>
        <v>3</v>
      </c>
      <c r="F21" s="23">
        <f>GRAFICA_45!D29</f>
        <v>3</v>
      </c>
    </row>
    <row r="22" spans="2:6" ht="19.05" customHeight="1" x14ac:dyDescent="0.3">
      <c r="B22" s="26">
        <v>3</v>
      </c>
      <c r="C22" s="23">
        <f>GRAFICA_45!C30</f>
        <v>4</v>
      </c>
      <c r="D22" s="23">
        <f>GRAFICA_45!C30</f>
        <v>4</v>
      </c>
      <c r="E22" s="23">
        <f>GRAFICA_45!D30</f>
        <v>5</v>
      </c>
      <c r="F22" s="23">
        <f>GRAFICA_45!D30</f>
        <v>5</v>
      </c>
    </row>
    <row r="23" spans="2:6" ht="19.05" customHeight="1" x14ac:dyDescent="0.3">
      <c r="B23" s="43">
        <v>4</v>
      </c>
      <c r="C23" s="23">
        <f>GRAFICA_45!C31</f>
        <v>5</v>
      </c>
      <c r="D23" s="23">
        <f>GRAFICA_45!C31</f>
        <v>5</v>
      </c>
      <c r="E23" s="23">
        <f>GRAFICA_45!D31</f>
        <v>6</v>
      </c>
      <c r="F23" s="23">
        <f>GRAFICA_45!D31</f>
        <v>6</v>
      </c>
    </row>
    <row r="24" spans="2:6" ht="19.05" customHeight="1" x14ac:dyDescent="0.3">
      <c r="B24" s="44">
        <v>5</v>
      </c>
      <c r="C24" s="23">
        <f>GRAFICA_45!C32</f>
        <v>1</v>
      </c>
      <c r="D24" s="23">
        <f>GRAFICA_45!C32</f>
        <v>1</v>
      </c>
      <c r="E24" s="23">
        <f>GRAFICA_45!D32</f>
        <v>4</v>
      </c>
      <c r="F24" s="23">
        <f>GRAFICA_45!D32</f>
        <v>4</v>
      </c>
    </row>
    <row r="25" spans="2:6" ht="19.05" customHeight="1" x14ac:dyDescent="0.3">
      <c r="B25" s="51">
        <v>6</v>
      </c>
      <c r="C25" s="23">
        <f>GRAFICA_45!C33</f>
        <v>2</v>
      </c>
      <c r="D25" s="23">
        <f>GRAFICA_45!C33</f>
        <v>2</v>
      </c>
      <c r="E25" s="23">
        <f>GRAFICA_45!D33</f>
        <v>5</v>
      </c>
      <c r="F25" s="23">
        <f>GRAFICA_45!D33</f>
        <v>5</v>
      </c>
    </row>
    <row r="26" spans="2:6" ht="19.05" customHeight="1" x14ac:dyDescent="0.3">
      <c r="B26" s="52">
        <v>7</v>
      </c>
      <c r="C26" s="23">
        <f>GRAFICA_45!C34</f>
        <v>3</v>
      </c>
      <c r="D26" s="23">
        <f>GRAFICA_45!C34</f>
        <v>3</v>
      </c>
      <c r="E26" s="23">
        <f>GRAFICA_45!D34</f>
        <v>6</v>
      </c>
      <c r="F26" s="23">
        <f>GRAFICA_45!D34</f>
        <v>6</v>
      </c>
    </row>
    <row r="27" spans="2:6" ht="19.05" customHeight="1" x14ac:dyDescent="0.3">
      <c r="B27" s="59">
        <v>8</v>
      </c>
      <c r="C27" s="23">
        <f>GRAFICA_45!C35</f>
        <v>1</v>
      </c>
      <c r="D27" s="23">
        <f>GRAFICA_45!C35</f>
        <v>1</v>
      </c>
      <c r="E27" s="23">
        <f>GRAFICA_45!D35</f>
        <v>5</v>
      </c>
      <c r="F27" s="23">
        <f>GRAFICA_45!D35</f>
        <v>5</v>
      </c>
    </row>
    <row r="28" spans="2:6" ht="19.05" customHeight="1" x14ac:dyDescent="0.3">
      <c r="B28" s="60">
        <v>9</v>
      </c>
      <c r="C28" s="23">
        <f>GRAFICA_45!C36</f>
        <v>4</v>
      </c>
      <c r="D28" s="23">
        <f>GRAFICA_45!C36</f>
        <v>4</v>
      </c>
      <c r="E28" s="23">
        <f>GRAFICA_45!D36</f>
        <v>2</v>
      </c>
      <c r="F28" s="23">
        <f>GRAFICA_45!D36</f>
        <v>2</v>
      </c>
    </row>
    <row r="29" spans="2:6" ht="19.05" customHeight="1" x14ac:dyDescent="0.3">
      <c r="B29" s="67">
        <v>10</v>
      </c>
      <c r="C29" s="23">
        <f>GRAFICA_45!C37</f>
        <v>2</v>
      </c>
      <c r="D29" s="23">
        <f>GRAFICA_45!C37</f>
        <v>2</v>
      </c>
      <c r="E29" s="23">
        <f>GRAFICA_45!D37</f>
        <v>6</v>
      </c>
      <c r="F29" s="23">
        <f>GRAFICA_45!D37</f>
        <v>6</v>
      </c>
    </row>
    <row r="30" spans="2:6" ht="19.05" customHeight="1" x14ac:dyDescent="0.3">
      <c r="B30" s="68">
        <v>11</v>
      </c>
      <c r="C30" s="23">
        <f>GRAFICA_45!C38</f>
        <v>5</v>
      </c>
      <c r="D30" s="23">
        <f>GRAFICA_45!C38</f>
        <v>5</v>
      </c>
      <c r="E30" s="23">
        <f>GRAFICA_45!D38</f>
        <v>3</v>
      </c>
      <c r="F30" s="23">
        <f>GRAFICA_45!D38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32256.000000000007</v>
      </c>
      <c r="C181" s="62">
        <f>J13*K13*N13</f>
        <v>24192</v>
      </c>
      <c r="D181" s="62">
        <f>-B181</f>
        <v>-32256.000000000007</v>
      </c>
      <c r="E181" s="62">
        <f>-C181</f>
        <v>-24192</v>
      </c>
      <c r="F181" s="61" t="str">
        <f>B180</f>
        <v>U1X</v>
      </c>
    </row>
    <row r="182" spans="1:14" ht="16.8" customHeight="1" x14ac:dyDescent="0.3">
      <c r="A182" s="28" t="s">
        <v>203</v>
      </c>
      <c r="B182" s="62">
        <f>C181</f>
        <v>24192</v>
      </c>
      <c r="C182" s="62">
        <f>K13*K13*N13</f>
        <v>18144</v>
      </c>
      <c r="D182" s="62">
        <f>-B182</f>
        <v>-24192</v>
      </c>
      <c r="E182" s="62">
        <f>-C182</f>
        <v>-18144</v>
      </c>
      <c r="F182" s="61" t="str">
        <f>C180</f>
        <v>U1Y</v>
      </c>
    </row>
    <row r="183" spans="1:14" x14ac:dyDescent="0.3">
      <c r="B183" s="62">
        <f>D181</f>
        <v>-32256.000000000007</v>
      </c>
      <c r="C183" s="62">
        <f>E181</f>
        <v>-24192</v>
      </c>
      <c r="D183" s="62">
        <f>B181</f>
        <v>32256.000000000007</v>
      </c>
      <c r="E183" s="62">
        <f>C181</f>
        <v>24192</v>
      </c>
      <c r="F183" s="61" t="str">
        <f>D180</f>
        <v>U5X</v>
      </c>
    </row>
    <row r="184" spans="1:14" x14ac:dyDescent="0.3">
      <c r="B184" s="62">
        <f>D182</f>
        <v>-24192</v>
      </c>
      <c r="C184" s="62">
        <f>E182</f>
        <v>-18144</v>
      </c>
      <c r="D184" s="62">
        <f>B182</f>
        <v>24192</v>
      </c>
      <c r="E184" s="62">
        <f>C182</f>
        <v>18144</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32256.000000000007</v>
      </c>
      <c r="C187" s="63">
        <f t="shared" si="13"/>
        <v>24192</v>
      </c>
      <c r="D187" s="9">
        <f t="shared" si="13"/>
        <v>0</v>
      </c>
      <c r="E187" s="9">
        <f t="shared" si="13"/>
        <v>0</v>
      </c>
      <c r="F187" s="9">
        <f t="shared" si="13"/>
        <v>0</v>
      </c>
      <c r="G187" s="9">
        <f t="shared" si="13"/>
        <v>0</v>
      </c>
      <c r="H187" s="9">
        <f t="shared" si="13"/>
        <v>0</v>
      </c>
      <c r="I187" s="9">
        <f t="shared" si="13"/>
        <v>0</v>
      </c>
      <c r="J187" s="63">
        <f t="shared" si="13"/>
        <v>-32256.000000000007</v>
      </c>
      <c r="K187" s="63">
        <f t="shared" si="13"/>
        <v>-24192</v>
      </c>
      <c r="L187" s="9">
        <f t="shared" si="13"/>
        <v>0</v>
      </c>
      <c r="M187" s="9">
        <f t="shared" si="13"/>
        <v>0</v>
      </c>
      <c r="N187" s="61" t="s">
        <v>178</v>
      </c>
    </row>
    <row r="188" spans="1:14" ht="19.05" customHeight="1" x14ac:dyDescent="0.3">
      <c r="B188" s="63">
        <f t="shared" si="13"/>
        <v>24192</v>
      </c>
      <c r="C188" s="63">
        <f t="shared" si="13"/>
        <v>18144</v>
      </c>
      <c r="D188" s="9">
        <f t="shared" si="13"/>
        <v>0</v>
      </c>
      <c r="E188" s="9">
        <f t="shared" si="13"/>
        <v>0</v>
      </c>
      <c r="F188" s="9">
        <f t="shared" si="13"/>
        <v>0</v>
      </c>
      <c r="G188" s="9">
        <f t="shared" si="13"/>
        <v>0</v>
      </c>
      <c r="H188" s="9">
        <f t="shared" si="13"/>
        <v>0</v>
      </c>
      <c r="I188" s="9">
        <f t="shared" si="13"/>
        <v>0</v>
      </c>
      <c r="J188" s="63">
        <f t="shared" si="13"/>
        <v>-24192</v>
      </c>
      <c r="K188" s="63">
        <f t="shared" si="13"/>
        <v>-18144</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-32256.000000000007</v>
      </c>
      <c r="C195" s="63">
        <f t="shared" si="13"/>
        <v>-24192</v>
      </c>
      <c r="D195" s="9">
        <f t="shared" si="13"/>
        <v>0</v>
      </c>
      <c r="E195" s="9">
        <f t="shared" si="13"/>
        <v>0</v>
      </c>
      <c r="F195" s="9">
        <f t="shared" si="13"/>
        <v>0</v>
      </c>
      <c r="G195" s="9">
        <f t="shared" si="13"/>
        <v>0</v>
      </c>
      <c r="H195" s="9">
        <f t="shared" si="13"/>
        <v>0</v>
      </c>
      <c r="I195" s="9">
        <f t="shared" si="13"/>
        <v>0</v>
      </c>
      <c r="J195" s="63">
        <f t="shared" si="13"/>
        <v>32256.000000000007</v>
      </c>
      <c r="K195" s="63">
        <f t="shared" si="13"/>
        <v>24192</v>
      </c>
      <c r="L195" s="9">
        <f t="shared" si="13"/>
        <v>0</v>
      </c>
      <c r="M195" s="9">
        <f t="shared" si="13"/>
        <v>0</v>
      </c>
      <c r="N195" s="61" t="s">
        <v>186</v>
      </c>
    </row>
    <row r="196" spans="1:14" ht="19.05" customHeight="1" x14ac:dyDescent="0.3">
      <c r="B196" s="63">
        <f t="shared" si="13"/>
        <v>-24192</v>
      </c>
      <c r="C196" s="63">
        <f t="shared" si="13"/>
        <v>-18144</v>
      </c>
      <c r="D196" s="9">
        <f t="shared" si="13"/>
        <v>0</v>
      </c>
      <c r="E196" s="9">
        <f t="shared" si="13"/>
        <v>0</v>
      </c>
      <c r="F196" s="9">
        <f t="shared" si="13"/>
        <v>0</v>
      </c>
      <c r="G196" s="9">
        <f t="shared" si="13"/>
        <v>0</v>
      </c>
      <c r="H196" s="9">
        <f t="shared" si="13"/>
        <v>0</v>
      </c>
      <c r="I196" s="9">
        <f t="shared" si="13"/>
        <v>0</v>
      </c>
      <c r="J196" s="63">
        <f t="shared" si="13"/>
        <v>24192</v>
      </c>
      <c r="K196" s="63">
        <f t="shared" si="13"/>
        <v>18144</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32256.000000000007</v>
      </c>
      <c r="C202" s="65">
        <f>J14*K14*N14</f>
        <v>-24192</v>
      </c>
      <c r="D202" s="65">
        <f>-B202</f>
        <v>-32256.000000000007</v>
      </c>
      <c r="E202" s="65">
        <f>-C202</f>
        <v>24192</v>
      </c>
      <c r="F202" s="64" t="str">
        <f>B201</f>
        <v>U4X</v>
      </c>
    </row>
    <row r="203" spans="1:14" ht="16.8" customHeight="1" x14ac:dyDescent="0.3">
      <c r="A203" s="28" t="s">
        <v>528</v>
      </c>
      <c r="B203" s="65">
        <f>C202</f>
        <v>-24192</v>
      </c>
      <c r="C203" s="65">
        <f>K14*K14*N14</f>
        <v>18144</v>
      </c>
      <c r="D203" s="65">
        <f>-B203</f>
        <v>24192</v>
      </c>
      <c r="E203" s="65">
        <f>-C203</f>
        <v>-18144</v>
      </c>
      <c r="F203" s="64" t="str">
        <f>C201</f>
        <v>U4Y</v>
      </c>
    </row>
    <row r="204" spans="1:14" x14ac:dyDescent="0.3">
      <c r="B204" s="65">
        <f>D202</f>
        <v>-32256.000000000007</v>
      </c>
      <c r="C204" s="65">
        <f>E202</f>
        <v>24192</v>
      </c>
      <c r="D204" s="65">
        <f>B202</f>
        <v>32256.000000000007</v>
      </c>
      <c r="E204" s="65">
        <f>C202</f>
        <v>-24192</v>
      </c>
      <c r="F204" s="64" t="str">
        <f>D201</f>
        <v>U2X</v>
      </c>
    </row>
    <row r="205" spans="1:14" x14ac:dyDescent="0.3">
      <c r="B205" s="65">
        <f>D203</f>
        <v>24192</v>
      </c>
      <c r="C205" s="65">
        <f>E203</f>
        <v>-18144</v>
      </c>
      <c r="D205" s="65">
        <f>B203</f>
        <v>-24192</v>
      </c>
      <c r="E205" s="65">
        <f>C203</f>
        <v>18144</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32256.000000000007</v>
      </c>
      <c r="E210" s="66">
        <f t="shared" si="14"/>
        <v>-24192</v>
      </c>
      <c r="F210" s="9">
        <f t="shared" si="14"/>
        <v>0</v>
      </c>
      <c r="G210" s="9">
        <f t="shared" si="14"/>
        <v>0</v>
      </c>
      <c r="H210" s="66">
        <f t="shared" si="14"/>
        <v>-32256.000000000007</v>
      </c>
      <c r="I210" s="66">
        <f t="shared" si="14"/>
        <v>24192</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-24192</v>
      </c>
      <c r="E211" s="66">
        <f t="shared" si="14"/>
        <v>18144</v>
      </c>
      <c r="F211" s="9">
        <f t="shared" si="14"/>
        <v>0</v>
      </c>
      <c r="G211" s="9">
        <f t="shared" si="14"/>
        <v>0</v>
      </c>
      <c r="H211" s="66">
        <f t="shared" si="14"/>
        <v>24192</v>
      </c>
      <c r="I211" s="66">
        <f t="shared" si="14"/>
        <v>-18144</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-32256.000000000007</v>
      </c>
      <c r="E214" s="66">
        <f t="shared" si="14"/>
        <v>24192</v>
      </c>
      <c r="F214" s="9">
        <f t="shared" si="14"/>
        <v>0</v>
      </c>
      <c r="G214" s="9">
        <f t="shared" si="14"/>
        <v>0</v>
      </c>
      <c r="H214" s="66">
        <f t="shared" si="14"/>
        <v>32256.000000000007</v>
      </c>
      <c r="I214" s="66">
        <f t="shared" si="14"/>
        <v>-24192</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24192</v>
      </c>
      <c r="E215" s="66">
        <f t="shared" si="14"/>
        <v>-18144</v>
      </c>
      <c r="F215" s="9">
        <f t="shared" si="14"/>
        <v>0</v>
      </c>
      <c r="G215" s="9">
        <f t="shared" si="14"/>
        <v>0</v>
      </c>
      <c r="H215" s="66">
        <f t="shared" si="14"/>
        <v>-24192</v>
      </c>
      <c r="I215" s="66">
        <f t="shared" si="14"/>
        <v>18144</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32256.000000000007</v>
      </c>
      <c r="C223" s="70">
        <f>J15*K15*N15</f>
        <v>24192</v>
      </c>
      <c r="D223" s="70">
        <f>-B223</f>
        <v>-32256.000000000007</v>
      </c>
      <c r="E223" s="70">
        <f>-C223</f>
        <v>-24192</v>
      </c>
      <c r="F223" s="69" t="str">
        <f>B222</f>
        <v>U2X</v>
      </c>
    </row>
    <row r="224" spans="1:14" ht="16.8" customHeight="1" x14ac:dyDescent="0.3">
      <c r="A224" s="28" t="s">
        <v>581</v>
      </c>
      <c r="B224" s="70">
        <f>C223</f>
        <v>24192</v>
      </c>
      <c r="C224" s="70">
        <f>K15*K15*N15</f>
        <v>18144</v>
      </c>
      <c r="D224" s="70">
        <f>-B224</f>
        <v>-24192</v>
      </c>
      <c r="E224" s="70">
        <f>-C224</f>
        <v>-18144</v>
      </c>
      <c r="F224" s="69" t="str">
        <f>C222</f>
        <v>U2Y</v>
      </c>
    </row>
    <row r="225" spans="1:14" x14ac:dyDescent="0.3">
      <c r="B225" s="70">
        <f>D223</f>
        <v>-32256.000000000007</v>
      </c>
      <c r="C225" s="70">
        <f>E223</f>
        <v>-24192</v>
      </c>
      <c r="D225" s="70">
        <f>B223</f>
        <v>32256.000000000007</v>
      </c>
      <c r="E225" s="70">
        <f>C223</f>
        <v>24192</v>
      </c>
      <c r="F225" s="69" t="str">
        <f>D222</f>
        <v>U6X</v>
      </c>
    </row>
    <row r="226" spans="1:14" x14ac:dyDescent="0.3">
      <c r="B226" s="70">
        <f>D224</f>
        <v>-24192</v>
      </c>
      <c r="C226" s="70">
        <f>E224</f>
        <v>-18144</v>
      </c>
      <c r="D226" s="70">
        <f>B224</f>
        <v>24192</v>
      </c>
      <c r="E226" s="70">
        <f>C224</f>
        <v>18144</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32256.000000000007</v>
      </c>
      <c r="E231" s="71">
        <f t="shared" si="15"/>
        <v>24192</v>
      </c>
      <c r="F231" s="9">
        <f t="shared" si="15"/>
        <v>0</v>
      </c>
      <c r="G231" s="9">
        <f t="shared" si="15"/>
        <v>0</v>
      </c>
      <c r="H231" s="9">
        <f t="shared" si="15"/>
        <v>0</v>
      </c>
      <c r="I231" s="9">
        <f t="shared" si="15"/>
        <v>0</v>
      </c>
      <c r="J231" s="9">
        <f t="shared" si="15"/>
        <v>0</v>
      </c>
      <c r="K231" s="9">
        <f t="shared" si="15"/>
        <v>0</v>
      </c>
      <c r="L231" s="71">
        <f t="shared" si="15"/>
        <v>-32256.000000000007</v>
      </c>
      <c r="M231" s="71">
        <f t="shared" si="15"/>
        <v>-24192</v>
      </c>
      <c r="N231" s="69" t="s">
        <v>180</v>
      </c>
    </row>
    <row r="232" spans="1:14" ht="19.05" customHeight="1" x14ac:dyDescent="0.3">
      <c r="B232" s="9">
        <f t="shared" si="15"/>
        <v>0</v>
      </c>
      <c r="C232" s="9">
        <f t="shared" si="15"/>
        <v>0</v>
      </c>
      <c r="D232" s="71">
        <f t="shared" si="15"/>
        <v>24192</v>
      </c>
      <c r="E232" s="71">
        <f t="shared" si="15"/>
        <v>18144</v>
      </c>
      <c r="F232" s="9">
        <f t="shared" si="15"/>
        <v>0</v>
      </c>
      <c r="G232" s="9">
        <f t="shared" si="15"/>
        <v>0</v>
      </c>
      <c r="H232" s="9">
        <f t="shared" si="15"/>
        <v>0</v>
      </c>
      <c r="I232" s="9">
        <f t="shared" si="15"/>
        <v>0</v>
      </c>
      <c r="J232" s="9">
        <f t="shared" si="15"/>
        <v>0</v>
      </c>
      <c r="K232" s="9">
        <f t="shared" si="15"/>
        <v>0</v>
      </c>
      <c r="L232" s="71">
        <f t="shared" si="15"/>
        <v>-24192</v>
      </c>
      <c r="M232" s="71">
        <f t="shared" si="15"/>
        <v>-18144</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-32256.000000000007</v>
      </c>
      <c r="E239" s="71">
        <f t="shared" si="15"/>
        <v>-24192</v>
      </c>
      <c r="F239" s="9">
        <f t="shared" si="15"/>
        <v>0</v>
      </c>
      <c r="G239" s="9">
        <f t="shared" si="15"/>
        <v>0</v>
      </c>
      <c r="H239" s="9">
        <f t="shared" si="15"/>
        <v>0</v>
      </c>
      <c r="I239" s="9">
        <f t="shared" si="15"/>
        <v>0</v>
      </c>
      <c r="J239" s="9">
        <f t="shared" si="15"/>
        <v>0</v>
      </c>
      <c r="K239" s="9">
        <f t="shared" si="15"/>
        <v>0</v>
      </c>
      <c r="L239" s="71">
        <f t="shared" si="15"/>
        <v>32256.000000000007</v>
      </c>
      <c r="M239" s="71">
        <f t="shared" si="15"/>
        <v>24192</v>
      </c>
      <c r="N239" s="69" t="s">
        <v>188</v>
      </c>
    </row>
    <row r="240" spans="1:14" ht="19.05" customHeight="1" x14ac:dyDescent="0.3">
      <c r="B240" s="9">
        <f t="shared" si="15"/>
        <v>0</v>
      </c>
      <c r="C240" s="9">
        <f t="shared" si="15"/>
        <v>0</v>
      </c>
      <c r="D240" s="71">
        <f t="shared" si="15"/>
        <v>-24192</v>
      </c>
      <c r="E240" s="71">
        <f t="shared" si="15"/>
        <v>-18144</v>
      </c>
      <c r="F240" s="9">
        <f t="shared" si="15"/>
        <v>0</v>
      </c>
      <c r="G240" s="9">
        <f t="shared" si="15"/>
        <v>0</v>
      </c>
      <c r="H240" s="9">
        <f t="shared" si="15"/>
        <v>0</v>
      </c>
      <c r="I240" s="9">
        <f t="shared" si="15"/>
        <v>0</v>
      </c>
      <c r="J240" s="9">
        <f t="shared" si="15"/>
        <v>0</v>
      </c>
      <c r="K240" s="9">
        <f t="shared" si="15"/>
        <v>0</v>
      </c>
      <c r="L240" s="71">
        <f t="shared" si="15"/>
        <v>24192</v>
      </c>
      <c r="M240" s="71">
        <f t="shared" si="15"/>
        <v>18144</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32256.000000000007</v>
      </c>
      <c r="C244" s="73">
        <f>J16*K16*N16</f>
        <v>-24192</v>
      </c>
      <c r="D244" s="73">
        <f>-B244</f>
        <v>-32256.000000000007</v>
      </c>
      <c r="E244" s="73">
        <f>-C244</f>
        <v>24192</v>
      </c>
      <c r="F244" s="72" t="str">
        <f>B243</f>
        <v>U5X</v>
      </c>
    </row>
    <row r="245" spans="1:14" ht="16.8" customHeight="1" x14ac:dyDescent="0.3">
      <c r="A245" s="28" t="s">
        <v>583</v>
      </c>
      <c r="B245" s="73">
        <f>C244</f>
        <v>-24192</v>
      </c>
      <c r="C245" s="73">
        <f>K16*K16*N16</f>
        <v>18144</v>
      </c>
      <c r="D245" s="73">
        <f>-B245</f>
        <v>24192</v>
      </c>
      <c r="E245" s="73">
        <f>-C245</f>
        <v>-18144</v>
      </c>
      <c r="F245" s="72" t="str">
        <f>C243</f>
        <v>U5Y</v>
      </c>
    </row>
    <row r="246" spans="1:14" x14ac:dyDescent="0.3">
      <c r="B246" s="73">
        <f>D244</f>
        <v>-32256.000000000007</v>
      </c>
      <c r="C246" s="73">
        <f>E244</f>
        <v>24192</v>
      </c>
      <c r="D246" s="73">
        <f>B244</f>
        <v>32256.000000000007</v>
      </c>
      <c r="E246" s="73">
        <f>C244</f>
        <v>-24192</v>
      </c>
      <c r="F246" s="72" t="str">
        <f>D243</f>
        <v>U3X</v>
      </c>
    </row>
    <row r="247" spans="1:14" x14ac:dyDescent="0.3">
      <c r="B247" s="73">
        <f>D245</f>
        <v>24192</v>
      </c>
      <c r="C247" s="73">
        <f>E245</f>
        <v>-18144</v>
      </c>
      <c r="D247" s="73">
        <f>B245</f>
        <v>-24192</v>
      </c>
      <c r="E247" s="73">
        <f>C245</f>
        <v>18144</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32256.000000000007</v>
      </c>
      <c r="G254" s="74">
        <f t="shared" si="16"/>
        <v>-24192</v>
      </c>
      <c r="H254" s="9">
        <f t="shared" si="16"/>
        <v>0</v>
      </c>
      <c r="I254" s="9">
        <f t="shared" si="16"/>
        <v>0</v>
      </c>
      <c r="J254" s="74">
        <f t="shared" si="16"/>
        <v>-32256.000000000007</v>
      </c>
      <c r="K254" s="74">
        <f t="shared" si="16"/>
        <v>24192</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-24192</v>
      </c>
      <c r="G255" s="74">
        <f t="shared" si="16"/>
        <v>18144</v>
      </c>
      <c r="H255" s="9">
        <f t="shared" si="16"/>
        <v>0</v>
      </c>
      <c r="I255" s="9">
        <f t="shared" si="16"/>
        <v>0</v>
      </c>
      <c r="J255" s="74">
        <f t="shared" si="16"/>
        <v>24192</v>
      </c>
      <c r="K255" s="74">
        <f t="shared" si="16"/>
        <v>-18144</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-32256.000000000007</v>
      </c>
      <c r="G258" s="74">
        <f t="shared" si="16"/>
        <v>24192</v>
      </c>
      <c r="H258" s="9">
        <f t="shared" si="16"/>
        <v>0</v>
      </c>
      <c r="I258" s="9">
        <f t="shared" si="16"/>
        <v>0</v>
      </c>
      <c r="J258" s="74">
        <f t="shared" si="16"/>
        <v>32256.000000000007</v>
      </c>
      <c r="K258" s="74">
        <f t="shared" si="16"/>
        <v>-24192</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24192</v>
      </c>
      <c r="G259" s="74">
        <f t="shared" si="16"/>
        <v>-18144</v>
      </c>
      <c r="H259" s="9">
        <f t="shared" si="16"/>
        <v>0</v>
      </c>
      <c r="I259" s="9">
        <f t="shared" si="16"/>
        <v>0</v>
      </c>
      <c r="J259" s="74">
        <f t="shared" si="16"/>
        <v>-24192</v>
      </c>
      <c r="K259" s="74">
        <f t="shared" si="16"/>
        <v>18144</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95256</v>
      </c>
      <c r="C265" s="36">
        <f t="shared" si="17"/>
        <v>24192</v>
      </c>
      <c r="D265" s="9">
        <f t="shared" si="17"/>
        <v>-63000</v>
      </c>
      <c r="E265" s="9">
        <f t="shared" si="17"/>
        <v>0</v>
      </c>
      <c r="F265" s="9">
        <f t="shared" si="17"/>
        <v>0</v>
      </c>
      <c r="G265" s="9">
        <f t="shared" si="17"/>
        <v>0</v>
      </c>
      <c r="H265" s="9">
        <f t="shared" si="17"/>
        <v>0</v>
      </c>
      <c r="I265" s="9">
        <f t="shared" si="17"/>
        <v>0</v>
      </c>
      <c r="J265" s="9">
        <f t="shared" si="17"/>
        <v>-32256.000000000007</v>
      </c>
      <c r="K265" s="9">
        <f t="shared" si="17"/>
        <v>-24192</v>
      </c>
      <c r="L265" s="9">
        <f t="shared" si="17"/>
        <v>0</v>
      </c>
      <c r="M265" s="9">
        <f t="shared" si="17"/>
        <v>0</v>
      </c>
      <c r="N265" s="89" t="s">
        <v>178</v>
      </c>
    </row>
    <row r="266" spans="1:14" ht="19.95" customHeight="1" x14ac:dyDescent="0.3">
      <c r="B266" s="36">
        <f t="shared" ref="B266:M266" si="18">B41+B62+B83+B104+B125+B146+B167+B188+B209+B230+B251</f>
        <v>24192</v>
      </c>
      <c r="C266" s="35">
        <f t="shared" si="18"/>
        <v>102144</v>
      </c>
      <c r="D266" s="9">
        <f t="shared" si="18"/>
        <v>0</v>
      </c>
      <c r="E266" s="9">
        <f t="shared" si="18"/>
        <v>0</v>
      </c>
      <c r="F266" s="9">
        <f t="shared" si="18"/>
        <v>0</v>
      </c>
      <c r="G266" s="9">
        <f t="shared" si="18"/>
        <v>0</v>
      </c>
      <c r="H266" s="9">
        <f t="shared" si="18"/>
        <v>0</v>
      </c>
      <c r="I266" s="9">
        <f t="shared" si="18"/>
        <v>-84000</v>
      </c>
      <c r="J266" s="9">
        <f t="shared" si="18"/>
        <v>-24192</v>
      </c>
      <c r="K266" s="9">
        <f t="shared" si="18"/>
        <v>-18144</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190512</v>
      </c>
      <c r="E267" s="36">
        <f t="shared" si="19"/>
        <v>0</v>
      </c>
      <c r="F267" s="9">
        <f t="shared" si="19"/>
        <v>-63000</v>
      </c>
      <c r="G267" s="9">
        <f t="shared" si="19"/>
        <v>0</v>
      </c>
      <c r="H267" s="9">
        <f t="shared" si="19"/>
        <v>-32256.000000000007</v>
      </c>
      <c r="I267" s="9">
        <f t="shared" si="19"/>
        <v>24192</v>
      </c>
      <c r="J267" s="9">
        <f t="shared" si="19"/>
        <v>0</v>
      </c>
      <c r="K267" s="9">
        <f t="shared" si="19"/>
        <v>0</v>
      </c>
      <c r="L267" s="9">
        <f t="shared" si="19"/>
        <v>-32256.000000000007</v>
      </c>
      <c r="M267" s="9">
        <f t="shared" si="19"/>
        <v>-24192</v>
      </c>
      <c r="N267" s="89" t="s">
        <v>180</v>
      </c>
    </row>
    <row r="268" spans="1:14" ht="19.95" customHeight="1" x14ac:dyDescent="0.3">
      <c r="B268" s="9">
        <f t="shared" ref="B268:M268" si="20">B43+B64+B85+B106+B127+B148+B169+B190+B211+B232+B253</f>
        <v>0</v>
      </c>
      <c r="C268" s="9">
        <f t="shared" si="20"/>
        <v>0</v>
      </c>
      <c r="D268" s="36">
        <f t="shared" si="20"/>
        <v>0</v>
      </c>
      <c r="E268" s="35">
        <f t="shared" si="20"/>
        <v>120288</v>
      </c>
      <c r="F268" s="9">
        <f t="shared" si="20"/>
        <v>0</v>
      </c>
      <c r="G268" s="9">
        <f t="shared" si="20"/>
        <v>0</v>
      </c>
      <c r="H268" s="9">
        <f t="shared" si="20"/>
        <v>24192</v>
      </c>
      <c r="I268" s="9">
        <f t="shared" si="20"/>
        <v>-18144</v>
      </c>
      <c r="J268" s="9">
        <f t="shared" si="20"/>
        <v>0</v>
      </c>
      <c r="K268" s="9">
        <f t="shared" si="20"/>
        <v>-84000</v>
      </c>
      <c r="L268" s="9">
        <f t="shared" si="20"/>
        <v>-24192</v>
      </c>
      <c r="M268" s="9">
        <f t="shared" si="20"/>
        <v>-18144</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95256</v>
      </c>
      <c r="G269" s="36">
        <f t="shared" si="21"/>
        <v>-24192</v>
      </c>
      <c r="H269" s="9">
        <f t="shared" si="21"/>
        <v>0</v>
      </c>
      <c r="I269" s="9">
        <f t="shared" si="21"/>
        <v>0</v>
      </c>
      <c r="J269" s="9">
        <f t="shared" si="21"/>
        <v>-32256.000000000007</v>
      </c>
      <c r="K269" s="9">
        <f t="shared" si="21"/>
        <v>24192</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-24192</v>
      </c>
      <c r="G270" s="35">
        <f t="shared" si="22"/>
        <v>102144</v>
      </c>
      <c r="H270" s="9">
        <f t="shared" si="22"/>
        <v>0</v>
      </c>
      <c r="I270" s="9">
        <f t="shared" si="22"/>
        <v>0</v>
      </c>
      <c r="J270" s="9">
        <f t="shared" si="22"/>
        <v>24192</v>
      </c>
      <c r="K270" s="9">
        <f t="shared" si="22"/>
        <v>-18144</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-32256.000000000007</v>
      </c>
      <c r="E271" s="9">
        <f t="shared" si="23"/>
        <v>24192</v>
      </c>
      <c r="F271" s="9">
        <f t="shared" si="23"/>
        <v>0</v>
      </c>
      <c r="G271" s="9">
        <f t="shared" si="23"/>
        <v>0</v>
      </c>
      <c r="H271" s="35">
        <f t="shared" si="23"/>
        <v>95256</v>
      </c>
      <c r="I271" s="36">
        <f t="shared" si="23"/>
        <v>-24192</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24192</v>
      </c>
      <c r="E272" s="9">
        <f t="shared" si="24"/>
        <v>-18144</v>
      </c>
      <c r="F272" s="9">
        <f t="shared" si="24"/>
        <v>0</v>
      </c>
      <c r="G272" s="9">
        <f t="shared" si="24"/>
        <v>0</v>
      </c>
      <c r="H272" s="36">
        <f t="shared" si="24"/>
        <v>-24192</v>
      </c>
      <c r="I272" s="35">
        <f t="shared" si="24"/>
        <v>102144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-32256.000000000007</v>
      </c>
      <c r="C273" s="9">
        <f t="shared" si="25"/>
        <v>-24192</v>
      </c>
      <c r="D273" s="9">
        <f t="shared" si="25"/>
        <v>0</v>
      </c>
      <c r="E273" s="9">
        <f t="shared" si="25"/>
        <v>0</v>
      </c>
      <c r="F273" s="9">
        <f t="shared" si="25"/>
        <v>-32256.000000000007</v>
      </c>
      <c r="G273" s="9">
        <f t="shared" si="25"/>
        <v>24192</v>
      </c>
      <c r="H273" s="9">
        <f t="shared" si="25"/>
        <v>-63000</v>
      </c>
      <c r="I273" s="9">
        <f t="shared" si="25"/>
        <v>0</v>
      </c>
      <c r="J273" s="35">
        <f t="shared" si="25"/>
        <v>190512</v>
      </c>
      <c r="K273" s="36">
        <f t="shared" si="25"/>
        <v>0</v>
      </c>
      <c r="L273" s="9">
        <f t="shared" si="25"/>
        <v>-63000</v>
      </c>
      <c r="M273" s="9">
        <f t="shared" si="25"/>
        <v>0</v>
      </c>
      <c r="N273" s="89" t="s">
        <v>186</v>
      </c>
    </row>
    <row r="274" spans="1:21" ht="19.95" customHeight="1" x14ac:dyDescent="0.3">
      <c r="B274" s="9">
        <f t="shared" ref="B274:M274" si="26">B49+B70+B91+B112+B133+B154+B175+B196+B217+B238+B259</f>
        <v>-24192</v>
      </c>
      <c r="C274" s="9">
        <f t="shared" si="26"/>
        <v>-18144</v>
      </c>
      <c r="D274" s="9">
        <f t="shared" si="26"/>
        <v>0</v>
      </c>
      <c r="E274" s="9">
        <f t="shared" si="26"/>
        <v>-84000</v>
      </c>
      <c r="F274" s="9">
        <f t="shared" si="26"/>
        <v>24192</v>
      </c>
      <c r="G274" s="9">
        <f t="shared" si="26"/>
        <v>-18144</v>
      </c>
      <c r="H274" s="9">
        <f t="shared" si="26"/>
        <v>0</v>
      </c>
      <c r="I274" s="9">
        <f t="shared" si="26"/>
        <v>0</v>
      </c>
      <c r="J274" s="36">
        <f t="shared" si="26"/>
        <v>0</v>
      </c>
      <c r="K274" s="35">
        <f t="shared" si="26"/>
        <v>120288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-32256.000000000007</v>
      </c>
      <c r="E275" s="9">
        <f t="shared" si="27"/>
        <v>-24192</v>
      </c>
      <c r="F275" s="9">
        <f t="shared" si="27"/>
        <v>0</v>
      </c>
      <c r="G275" s="9">
        <f t="shared" si="27"/>
        <v>0</v>
      </c>
      <c r="H275" s="9">
        <f t="shared" si="27"/>
        <v>0</v>
      </c>
      <c r="I275" s="9">
        <f t="shared" si="27"/>
        <v>0</v>
      </c>
      <c r="J275" s="9">
        <f t="shared" si="27"/>
        <v>-63000</v>
      </c>
      <c r="K275" s="9">
        <f t="shared" si="27"/>
        <v>0</v>
      </c>
      <c r="L275" s="35">
        <f t="shared" si="27"/>
        <v>95256</v>
      </c>
      <c r="M275" s="36">
        <f t="shared" si="27"/>
        <v>24192</v>
      </c>
      <c r="N275" s="89" t="s">
        <v>188</v>
      </c>
    </row>
    <row r="276" spans="1:21" ht="19.95" customHeight="1" x14ac:dyDescent="0.3">
      <c r="B276" s="9">
        <f t="shared" ref="B276:M276" si="28">B51+B72+B93+B114+B135+B156+B177+B198+B219+B240+B261</f>
        <v>0</v>
      </c>
      <c r="C276" s="9">
        <f t="shared" si="28"/>
        <v>0</v>
      </c>
      <c r="D276" s="9">
        <f t="shared" si="28"/>
        <v>-24192</v>
      </c>
      <c r="E276" s="9">
        <f t="shared" si="28"/>
        <v>-18144</v>
      </c>
      <c r="F276" s="9">
        <f t="shared" si="28"/>
        <v>0</v>
      </c>
      <c r="G276" s="9">
        <f t="shared" si="28"/>
        <v>-84000</v>
      </c>
      <c r="H276" s="9">
        <f t="shared" si="28"/>
        <v>0</v>
      </c>
      <c r="I276" s="9">
        <f t="shared" si="28"/>
        <v>0</v>
      </c>
      <c r="J276" s="9">
        <f t="shared" si="28"/>
        <v>0</v>
      </c>
      <c r="K276" s="9">
        <f t="shared" si="28"/>
        <v>0</v>
      </c>
      <c r="L276" s="36">
        <f t="shared" si="28"/>
        <v>24192</v>
      </c>
      <c r="M276" s="35">
        <f t="shared" si="28"/>
        <v>102144</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IF(GRAFICA_45!F14=1, B280, GRAFICA_45!H14)</f>
        <v>C1X</v>
      </c>
      <c r="P280" s="215" t="s">
        <v>376</v>
      </c>
      <c r="Q280" s="172"/>
      <c r="R280" s="172"/>
      <c r="S280" s="172"/>
      <c r="T280" s="172"/>
      <c r="U280" s="173"/>
    </row>
    <row r="281" spans="1:21" ht="16.95" customHeight="1" x14ac:dyDescent="0.3">
      <c r="B281" s="12" t="s">
        <v>210</v>
      </c>
      <c r="C281" s="12" t="s">
        <v>179</v>
      </c>
      <c r="E281" s="37" t="str">
        <f>IF(GRAFICA_45!G14=1, B281, GRAFICA_45!I14)</f>
        <v>C1Y</v>
      </c>
      <c r="P281" s="215" t="s">
        <v>211</v>
      </c>
      <c r="Q281" s="172"/>
      <c r="R281" s="172"/>
      <c r="S281" s="172"/>
      <c r="T281" s="172"/>
      <c r="U281" s="173"/>
    </row>
    <row r="282" spans="1:21" ht="16.95" customHeight="1" x14ac:dyDescent="0.3">
      <c r="B282" s="12" t="s">
        <v>212</v>
      </c>
      <c r="C282" s="12" t="s">
        <v>180</v>
      </c>
      <c r="E282" s="37">
        <f>IF(GRAFICA_45!F15=1, B282, GRAFICA_45!H15)</f>
        <v>0</v>
      </c>
      <c r="P282" s="215" t="s">
        <v>377</v>
      </c>
      <c r="Q282" s="172"/>
      <c r="R282" s="172"/>
      <c r="S282" s="172"/>
      <c r="T282" s="172"/>
      <c r="U282" s="173"/>
    </row>
    <row r="283" spans="1:21" ht="16.95" customHeight="1" x14ac:dyDescent="0.3">
      <c r="B283" s="12" t="s">
        <v>214</v>
      </c>
      <c r="C283" s="12" t="s">
        <v>181</v>
      </c>
      <c r="E283" s="37">
        <f>IF(GRAFICA_45!G15=1, B283, GRAFICA_45!I15)</f>
        <v>-7000</v>
      </c>
      <c r="P283" s="215" t="s">
        <v>215</v>
      </c>
      <c r="Q283" s="172"/>
      <c r="R283" s="172"/>
      <c r="S283" s="172"/>
      <c r="T283" s="172"/>
      <c r="U283" s="173"/>
    </row>
    <row r="284" spans="1:21" ht="16.95" customHeight="1" x14ac:dyDescent="0.3">
      <c r="B284" s="12" t="s">
        <v>216</v>
      </c>
      <c r="C284" s="12" t="s">
        <v>182</v>
      </c>
      <c r="E284" s="37">
        <f>IF(GRAFICA_45!F16=1, B284, GRAFICA_45!H16)</f>
        <v>0</v>
      </c>
      <c r="P284" s="215" t="s">
        <v>378</v>
      </c>
      <c r="Q284" s="172"/>
      <c r="R284" s="172"/>
      <c r="S284" s="172"/>
      <c r="T284" s="172"/>
      <c r="U284" s="173"/>
    </row>
    <row r="285" spans="1:21" ht="16.95" customHeight="1" x14ac:dyDescent="0.3">
      <c r="A285" s="38" t="s">
        <v>218</v>
      </c>
      <c r="B285" s="12" t="s">
        <v>219</v>
      </c>
      <c r="C285" s="12" t="s">
        <v>183</v>
      </c>
      <c r="D285" s="13" t="s">
        <v>220</v>
      </c>
      <c r="E285" s="37" t="str">
        <f>IF(GRAFICA_45!G16=1, B285, GRAFICA_45!I16)</f>
        <v>C3Y</v>
      </c>
      <c r="P285" s="215" t="s">
        <v>379</v>
      </c>
      <c r="Q285" s="172"/>
      <c r="R285" s="172"/>
      <c r="S285" s="172"/>
      <c r="T285" s="172"/>
      <c r="U285" s="173"/>
    </row>
    <row r="286" spans="1:21" ht="16.95" customHeight="1" x14ac:dyDescent="0.3">
      <c r="B286" s="12" t="s">
        <v>221</v>
      </c>
      <c r="C286" s="12" t="s">
        <v>184</v>
      </c>
      <c r="E286" s="37">
        <f>IF(GRAFICA_45!F17=1, B286, GRAFICA_45!H17)</f>
        <v>0</v>
      </c>
      <c r="P286" s="215"/>
      <c r="Q286" s="172"/>
      <c r="R286" s="172"/>
      <c r="S286" s="172"/>
      <c r="T286" s="172"/>
      <c r="U286" s="173"/>
    </row>
    <row r="287" spans="1:21" ht="16.95" customHeight="1" x14ac:dyDescent="0.3">
      <c r="B287" s="12" t="s">
        <v>222</v>
      </c>
      <c r="C287" s="12" t="s">
        <v>185</v>
      </c>
      <c r="E287" s="37">
        <f>IF(GRAFICA_45!G17=1, B287, GRAFICA_45!I17)</f>
        <v>0</v>
      </c>
      <c r="P287" s="215"/>
      <c r="Q287" s="172"/>
      <c r="R287" s="172"/>
      <c r="S287" s="172"/>
      <c r="T287" s="172"/>
      <c r="U287" s="173"/>
    </row>
    <row r="288" spans="1:21" ht="16.95" customHeight="1" x14ac:dyDescent="0.3">
      <c r="B288" s="12" t="s">
        <v>223</v>
      </c>
      <c r="C288" s="12" t="s">
        <v>186</v>
      </c>
      <c r="E288" s="37">
        <f>IF(GRAFICA_45!F18=1, B288, GRAFICA_45!H18)</f>
        <v>0</v>
      </c>
      <c r="P288" s="215"/>
      <c r="Q288" s="172"/>
      <c r="R288" s="172"/>
      <c r="S288" s="172"/>
      <c r="T288" s="172"/>
      <c r="U288" s="173"/>
    </row>
    <row r="289" spans="1:21" ht="16.95" customHeight="1" x14ac:dyDescent="0.3">
      <c r="B289" s="12" t="s">
        <v>224</v>
      </c>
      <c r="C289" s="12" t="s">
        <v>187</v>
      </c>
      <c r="E289" s="37">
        <f>IF(GRAFICA_45!G18=1, B289, GRAFICA_45!I18)</f>
        <v>-6000</v>
      </c>
      <c r="P289" s="215"/>
      <c r="Q289" s="172"/>
      <c r="R289" s="172"/>
      <c r="S289" s="172"/>
      <c r="T289" s="172"/>
      <c r="U289" s="173"/>
    </row>
    <row r="290" spans="1:21" ht="16.95" customHeight="1" x14ac:dyDescent="0.3">
      <c r="B290" s="12" t="s">
        <v>225</v>
      </c>
      <c r="C290" s="12" t="s">
        <v>188</v>
      </c>
      <c r="E290" s="37">
        <f>IF(GRAFICA_45!F19=1, B290, GRAFICA_45!H19)</f>
        <v>0</v>
      </c>
      <c r="P290" s="215"/>
      <c r="Q290" s="172"/>
      <c r="R290" s="172"/>
      <c r="S290" s="172"/>
      <c r="T290" s="172"/>
      <c r="U290" s="173"/>
    </row>
    <row r="291" spans="1:21" ht="16.95" customHeight="1" x14ac:dyDescent="0.3">
      <c r="B291" s="12" t="s">
        <v>226</v>
      </c>
      <c r="C291" s="12" t="s">
        <v>189</v>
      </c>
      <c r="E291" s="37">
        <f>IF(GRAFICA_45!G19=1, B291, GRAFICA_45!I19)</f>
        <v>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IF(GRAFICA_45!F14=1,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IF(GRAFICA_45!G14=1,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t="str">
        <f>IF(GRAFICA_45!F15=1, 0, B296)</f>
        <v>D2X</v>
      </c>
      <c r="F296" s="14">
        <f>IF(E296&lt;&gt;0, COUNTIF(E$294:E296, "&lt;&gt;0"), "")</f>
        <v>1</v>
      </c>
      <c r="G296" s="14" t="str">
        <f>IF(E296=0, COUNTIF(E$294:E296, 0), "")</f>
        <v/>
      </c>
      <c r="P296" s="215"/>
      <c r="Q296" s="172"/>
      <c r="R296" s="172"/>
      <c r="S296" s="172"/>
      <c r="T296" s="172"/>
      <c r="U296" s="173"/>
    </row>
    <row r="297" spans="1:21" ht="16.95" customHeight="1" x14ac:dyDescent="0.3">
      <c r="B297" s="12" t="s">
        <v>231</v>
      </c>
      <c r="C297" s="12" t="s">
        <v>181</v>
      </c>
      <c r="E297" s="39" t="str">
        <f>IF(GRAFICA_45!G15=1, 0, B297)</f>
        <v>D2Y</v>
      </c>
      <c r="F297" s="14">
        <f>IF(E297&lt;&gt;0, COUNTIF(E$294:E297, "&lt;&gt;0"), "")</f>
        <v>2</v>
      </c>
      <c r="G297" s="14" t="str">
        <f>IF(E297=0, COUNTIF(E$294:E297, 0), "")</f>
        <v/>
      </c>
      <c r="P297" s="215"/>
      <c r="Q297" s="172"/>
      <c r="R297" s="172"/>
      <c r="S297" s="172"/>
      <c r="T297" s="172"/>
      <c r="U297" s="173"/>
    </row>
    <row r="298" spans="1:21" ht="16.95" customHeight="1" x14ac:dyDescent="0.3">
      <c r="B298" s="12" t="s">
        <v>232</v>
      </c>
      <c r="C298" s="12" t="s">
        <v>182</v>
      </c>
      <c r="E298" s="39" t="str">
        <f>IF(GRAFICA_45!F16=1, 0, B298)</f>
        <v>D3X</v>
      </c>
      <c r="F298" s="14">
        <f>IF(E298&lt;&gt;0, COUNTIF(E$294:E298, "&lt;&gt;0"), "")</f>
        <v>3</v>
      </c>
      <c r="G298" s="14" t="str">
        <f>IF(E298=0, COUNTIF(E$294:E298, 0), "")</f>
        <v/>
      </c>
      <c r="P298" s="215"/>
      <c r="Q298" s="172"/>
      <c r="R298" s="172"/>
      <c r="S298" s="172"/>
      <c r="T298" s="172"/>
      <c r="U298" s="173"/>
    </row>
    <row r="299" spans="1:21" ht="16.95" customHeight="1" x14ac:dyDescent="0.3">
      <c r="A299" s="38" t="s">
        <v>233</v>
      </c>
      <c r="B299" s="12" t="s">
        <v>234</v>
      </c>
      <c r="C299" s="12" t="s">
        <v>183</v>
      </c>
      <c r="D299" s="13" t="s">
        <v>220</v>
      </c>
      <c r="E299" s="39">
        <f>IF(GRAFICA_45!G16=1, 0, B299)</f>
        <v>0</v>
      </c>
      <c r="F299" s="14" t="str">
        <f>IF(E299&lt;&gt;0, COUNTIF(E$294:E299, "&lt;&gt;0"), "")</f>
        <v/>
      </c>
      <c r="G299" s="14">
        <f>IF(E299=0, COUNTIF(E$294:E299, 0), "")</f>
        <v>3</v>
      </c>
      <c r="P299" s="215"/>
      <c r="Q299" s="172"/>
      <c r="R299" s="172"/>
      <c r="S299" s="172"/>
      <c r="T299" s="172"/>
      <c r="U299" s="173"/>
    </row>
    <row r="300" spans="1:21" ht="16.95" customHeight="1" x14ac:dyDescent="0.3">
      <c r="B300" s="12" t="s">
        <v>235</v>
      </c>
      <c r="C300" s="12" t="s">
        <v>184</v>
      </c>
      <c r="E300" s="39" t="str">
        <f>IF(GRAFICA_45!F17=1, 0, B300)</f>
        <v>D4X</v>
      </c>
      <c r="F300" s="14">
        <f>IF(E300&lt;&gt;0, COUNTIF(E$294:E300, "&lt;&gt;0"), "")</f>
        <v>4</v>
      </c>
      <c r="G300" s="14" t="str">
        <f>IF(E300=0, COUNTIF(E$294:E300, 0), "")</f>
        <v/>
      </c>
      <c r="P300" s="215"/>
      <c r="Q300" s="172"/>
      <c r="R300" s="172"/>
      <c r="S300" s="172"/>
      <c r="T300" s="172"/>
      <c r="U300" s="173"/>
    </row>
    <row r="301" spans="1:21" ht="16.95" customHeight="1" x14ac:dyDescent="0.3">
      <c r="B301" s="12" t="s">
        <v>236</v>
      </c>
      <c r="C301" s="12" t="s">
        <v>185</v>
      </c>
      <c r="E301" s="39" t="str">
        <f>IF(GRAFICA_45!G17=1, 0, B301)</f>
        <v>D4Y</v>
      </c>
      <c r="F301" s="14">
        <f>IF(E301&lt;&gt;0, COUNTIF(E$294:E301, "&lt;&gt;0"), "")</f>
        <v>5</v>
      </c>
      <c r="G301" s="14" t="str">
        <f>IF(E301=0, COUNTIF(E$294:E301, 0), "")</f>
        <v/>
      </c>
      <c r="P301" s="215"/>
      <c r="Q301" s="172"/>
      <c r="R301" s="172"/>
      <c r="S301" s="172"/>
      <c r="T301" s="172"/>
      <c r="U301" s="173"/>
    </row>
    <row r="302" spans="1:21" ht="16.95" customHeight="1" x14ac:dyDescent="0.3">
      <c r="B302" s="12" t="s">
        <v>237</v>
      </c>
      <c r="C302" s="12" t="s">
        <v>186</v>
      </c>
      <c r="E302" s="39" t="str">
        <f>IF(GRAFICA_45!F18=1, 0, B302)</f>
        <v>D5X</v>
      </c>
      <c r="F302" s="14">
        <f>IF(E302&lt;&gt;0, COUNTIF(E$294:E302, "&lt;&gt;0"), "")</f>
        <v>6</v>
      </c>
      <c r="G302" s="14" t="str">
        <f>IF(E302=0, COUNTIF(E$294:E302, 0), "")</f>
        <v/>
      </c>
      <c r="P302" s="215"/>
      <c r="Q302" s="172"/>
      <c r="R302" s="172"/>
      <c r="S302" s="172"/>
      <c r="T302" s="172"/>
      <c r="U302" s="173"/>
    </row>
    <row r="303" spans="1:21" ht="16.95" customHeight="1" x14ac:dyDescent="0.3">
      <c r="B303" s="12" t="s">
        <v>238</v>
      </c>
      <c r="C303" s="12" t="s">
        <v>187</v>
      </c>
      <c r="E303" s="39" t="str">
        <f>IF(GRAFICA_45!G18=1, 0, B303)</f>
        <v>D5Y</v>
      </c>
      <c r="F303" s="14">
        <f>IF(E303&lt;&gt;0, COUNTIF(E$294:E303, "&lt;&gt;0"), "")</f>
        <v>7</v>
      </c>
      <c r="G303" s="14" t="str">
        <f>IF(E303=0, COUNTIF(E$294:E303, 0), "")</f>
        <v/>
      </c>
      <c r="P303" s="215"/>
      <c r="Q303" s="172"/>
      <c r="R303" s="172"/>
      <c r="S303" s="172"/>
      <c r="T303" s="172"/>
      <c r="U303" s="173"/>
    </row>
    <row r="304" spans="1:21" ht="16.95" customHeight="1" x14ac:dyDescent="0.3">
      <c r="B304" s="12" t="s">
        <v>239</v>
      </c>
      <c r="C304" s="12" t="s">
        <v>188</v>
      </c>
      <c r="E304" s="39" t="str">
        <f>IF(GRAFICA_45!F19=1, 0, B304)</f>
        <v>D6X</v>
      </c>
      <c r="F304" s="14">
        <f>IF(E304&lt;&gt;0, COUNTIF(E$294:E304, "&lt;&gt;0"), "")</f>
        <v>8</v>
      </c>
      <c r="G304" s="14" t="str">
        <f>IF(E304=0, COUNTIF(E$294:E304, 0), "")</f>
        <v/>
      </c>
      <c r="P304" s="215"/>
      <c r="Q304" s="172"/>
      <c r="R304" s="172"/>
      <c r="S304" s="172"/>
      <c r="T304" s="172"/>
      <c r="U304" s="173"/>
    </row>
    <row r="305" spans="1:21" ht="16.95" customHeight="1" x14ac:dyDescent="0.3">
      <c r="B305" s="12" t="s">
        <v>240</v>
      </c>
      <c r="C305" s="12" t="s">
        <v>189</v>
      </c>
      <c r="E305" s="39" t="str">
        <f>IF(GRAFICA_45!G19=1, 0, B305)</f>
        <v>D6Y</v>
      </c>
      <c r="F305" s="14">
        <f>IF(E305&lt;&gt;0, COUNTIF(E$294:E305, "&lt;&gt;0"), "")</f>
        <v>9</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95256</v>
      </c>
      <c r="D310" s="9">
        <f t="shared" si="30"/>
        <v>24192</v>
      </c>
      <c r="E310" s="9">
        <f t="shared" si="30"/>
        <v>-63000</v>
      </c>
      <c r="F310" s="9">
        <f t="shared" si="30"/>
        <v>0</v>
      </c>
      <c r="G310" s="9">
        <f t="shared" si="30"/>
        <v>0</v>
      </c>
      <c r="H310" s="9">
        <f t="shared" si="30"/>
        <v>0</v>
      </c>
      <c r="I310" s="9">
        <f t="shared" si="30"/>
        <v>0</v>
      </c>
      <c r="J310" s="9">
        <f t="shared" si="30"/>
        <v>0</v>
      </c>
      <c r="K310" s="9">
        <f t="shared" si="30"/>
        <v>-32256.000000000007</v>
      </c>
      <c r="L310" s="9">
        <f t="shared" si="30"/>
        <v>-24192</v>
      </c>
      <c r="M310" s="9">
        <f t="shared" si="30"/>
        <v>0</v>
      </c>
      <c r="N310" s="9">
        <f t="shared" si="30"/>
        <v>0</v>
      </c>
      <c r="O310" s="13" t="s">
        <v>251</v>
      </c>
      <c r="P310" s="219" t="s">
        <v>380</v>
      </c>
      <c r="Q310" s="172"/>
      <c r="R310" s="172"/>
      <c r="S310" s="172"/>
      <c r="T310" s="172"/>
      <c r="U310" s="173"/>
    </row>
    <row r="311" spans="1:21" ht="16.95" customHeight="1" x14ac:dyDescent="0.3">
      <c r="A311" s="12" t="str">
        <f t="shared" si="29"/>
        <v>C1Y</v>
      </c>
      <c r="C311" s="9">
        <f t="shared" ref="C311:N311" si="31">B266</f>
        <v>24192</v>
      </c>
      <c r="D311" s="9">
        <f t="shared" si="31"/>
        <v>102144</v>
      </c>
      <c r="E311" s="9">
        <f t="shared" si="31"/>
        <v>0</v>
      </c>
      <c r="F311" s="9">
        <f t="shared" si="31"/>
        <v>0</v>
      </c>
      <c r="G311" s="9">
        <f t="shared" si="31"/>
        <v>0</v>
      </c>
      <c r="H311" s="9">
        <f t="shared" si="31"/>
        <v>0</v>
      </c>
      <c r="I311" s="9">
        <f t="shared" si="31"/>
        <v>0</v>
      </c>
      <c r="J311" s="9">
        <f t="shared" si="31"/>
        <v>-84000</v>
      </c>
      <c r="K311" s="9">
        <f t="shared" si="31"/>
        <v>-24192</v>
      </c>
      <c r="L311" s="9">
        <f t="shared" si="31"/>
        <v>-18144</v>
      </c>
      <c r="M311" s="9">
        <f t="shared" si="31"/>
        <v>0</v>
      </c>
      <c r="N311" s="9">
        <f t="shared" si="31"/>
        <v>0</v>
      </c>
      <c r="O311" s="13" t="s">
        <v>251</v>
      </c>
      <c r="P311" s="219" t="s">
        <v>253</v>
      </c>
      <c r="Q311" s="172"/>
      <c r="R311" s="172"/>
      <c r="S311" s="172"/>
      <c r="T311" s="172"/>
      <c r="U311" s="173"/>
    </row>
    <row r="312" spans="1:21" ht="16.95" customHeight="1" x14ac:dyDescent="0.3">
      <c r="A312" s="41">
        <f t="shared" si="29"/>
        <v>0</v>
      </c>
      <c r="C312" s="9">
        <f t="shared" ref="C312:N312" si="32">B267</f>
        <v>-63000</v>
      </c>
      <c r="D312" s="9">
        <f t="shared" si="32"/>
        <v>0</v>
      </c>
      <c r="E312" s="41">
        <f t="shared" si="32"/>
        <v>190512</v>
      </c>
      <c r="F312" s="41">
        <f t="shared" si="32"/>
        <v>0</v>
      </c>
      <c r="G312" s="41">
        <f t="shared" si="32"/>
        <v>-63000</v>
      </c>
      <c r="H312" s="9">
        <f t="shared" si="32"/>
        <v>0</v>
      </c>
      <c r="I312" s="41">
        <f t="shared" si="32"/>
        <v>-32256.000000000007</v>
      </c>
      <c r="J312" s="41">
        <f t="shared" si="32"/>
        <v>24192</v>
      </c>
      <c r="K312" s="41">
        <f t="shared" si="32"/>
        <v>0</v>
      </c>
      <c r="L312" s="41">
        <f t="shared" si="32"/>
        <v>0</v>
      </c>
      <c r="M312" s="41">
        <f t="shared" si="32"/>
        <v>-32256.000000000007</v>
      </c>
      <c r="N312" s="41">
        <f t="shared" si="32"/>
        <v>-24192</v>
      </c>
      <c r="O312" s="13" t="s">
        <v>251</v>
      </c>
      <c r="P312" s="215" t="s">
        <v>254</v>
      </c>
      <c r="Q312" s="172"/>
      <c r="R312" s="172"/>
      <c r="S312" s="172"/>
      <c r="T312" s="172"/>
      <c r="U312" s="173"/>
    </row>
    <row r="313" spans="1:21" ht="16.95" customHeight="1" x14ac:dyDescent="0.3">
      <c r="A313" s="41">
        <f t="shared" si="29"/>
        <v>-7000</v>
      </c>
      <c r="C313" s="9">
        <f t="shared" ref="C313:N313" si="33">B268</f>
        <v>0</v>
      </c>
      <c r="D313" s="9">
        <f t="shared" si="33"/>
        <v>0</v>
      </c>
      <c r="E313" s="41">
        <f t="shared" si="33"/>
        <v>0</v>
      </c>
      <c r="F313" s="41">
        <f t="shared" si="33"/>
        <v>120288</v>
      </c>
      <c r="G313" s="41">
        <f t="shared" si="33"/>
        <v>0</v>
      </c>
      <c r="H313" s="9">
        <f t="shared" si="33"/>
        <v>0</v>
      </c>
      <c r="I313" s="41">
        <f t="shared" si="33"/>
        <v>24192</v>
      </c>
      <c r="J313" s="41">
        <f t="shared" si="33"/>
        <v>-18144</v>
      </c>
      <c r="K313" s="41">
        <f t="shared" si="33"/>
        <v>0</v>
      </c>
      <c r="L313" s="41">
        <f t="shared" si="33"/>
        <v>-84000</v>
      </c>
      <c r="M313" s="41">
        <f t="shared" si="33"/>
        <v>-24192</v>
      </c>
      <c r="N313" s="41">
        <f t="shared" si="33"/>
        <v>-18144</v>
      </c>
      <c r="O313" s="13" t="s">
        <v>251</v>
      </c>
      <c r="P313" s="215" t="s">
        <v>381</v>
      </c>
      <c r="Q313" s="172"/>
      <c r="R313" s="172"/>
      <c r="S313" s="172"/>
      <c r="T313" s="172"/>
      <c r="U313" s="173"/>
    </row>
    <row r="314" spans="1:21" ht="16.95" customHeight="1" x14ac:dyDescent="0.3">
      <c r="A314" s="41">
        <f t="shared" si="29"/>
        <v>0</v>
      </c>
      <c r="C314" s="9">
        <f t="shared" ref="C314:N314" si="34">B269</f>
        <v>0</v>
      </c>
      <c r="D314" s="9">
        <f t="shared" si="34"/>
        <v>0</v>
      </c>
      <c r="E314" s="41">
        <f t="shared" si="34"/>
        <v>-63000</v>
      </c>
      <c r="F314" s="41">
        <f t="shared" si="34"/>
        <v>0</v>
      </c>
      <c r="G314" s="41">
        <f t="shared" si="34"/>
        <v>95256</v>
      </c>
      <c r="H314" s="9">
        <f t="shared" si="34"/>
        <v>-24192</v>
      </c>
      <c r="I314" s="41">
        <f t="shared" si="34"/>
        <v>0</v>
      </c>
      <c r="J314" s="41">
        <f t="shared" si="34"/>
        <v>0</v>
      </c>
      <c r="K314" s="41">
        <f t="shared" si="34"/>
        <v>-32256.000000000007</v>
      </c>
      <c r="L314" s="41">
        <f t="shared" si="34"/>
        <v>24192</v>
      </c>
      <c r="M314" s="41">
        <f t="shared" si="34"/>
        <v>0</v>
      </c>
      <c r="N314" s="41">
        <f t="shared" si="34"/>
        <v>0</v>
      </c>
      <c r="O314" s="13" t="s">
        <v>251</v>
      </c>
      <c r="P314" s="215" t="s">
        <v>382</v>
      </c>
      <c r="Q314" s="172"/>
      <c r="R314" s="172"/>
      <c r="S314" s="172"/>
      <c r="T314" s="172"/>
      <c r="U314" s="173"/>
    </row>
    <row r="315" spans="1:21" ht="16.95" customHeight="1" x14ac:dyDescent="0.3">
      <c r="A315" s="12" t="str">
        <f t="shared" si="29"/>
        <v>C3Y</v>
      </c>
      <c r="C315" s="9">
        <f t="shared" ref="C315:N315" si="35">B270</f>
        <v>0</v>
      </c>
      <c r="D315" s="9">
        <f t="shared" si="35"/>
        <v>0</v>
      </c>
      <c r="E315" s="9">
        <f t="shared" si="35"/>
        <v>0</v>
      </c>
      <c r="F315" s="9">
        <f t="shared" si="35"/>
        <v>0</v>
      </c>
      <c r="G315" s="9">
        <f t="shared" si="35"/>
        <v>-24192</v>
      </c>
      <c r="H315" s="9">
        <f t="shared" si="35"/>
        <v>102144</v>
      </c>
      <c r="I315" s="9">
        <f t="shared" si="35"/>
        <v>0</v>
      </c>
      <c r="J315" s="9">
        <f t="shared" si="35"/>
        <v>0</v>
      </c>
      <c r="K315" s="9">
        <f t="shared" si="35"/>
        <v>24192</v>
      </c>
      <c r="L315" s="9">
        <f t="shared" si="35"/>
        <v>-18144</v>
      </c>
      <c r="M315" s="9">
        <f t="shared" si="35"/>
        <v>0</v>
      </c>
      <c r="N315" s="9">
        <f t="shared" si="35"/>
        <v>-84000</v>
      </c>
      <c r="O315" s="13" t="s">
        <v>251</v>
      </c>
      <c r="P315" s="219">
        <f t="shared" ref="P315:P321" si="36">E299</f>
        <v>0</v>
      </c>
      <c r="Q315" s="172"/>
      <c r="R315" s="172"/>
      <c r="S315" s="172"/>
      <c r="T315" s="172"/>
      <c r="U315" s="173"/>
    </row>
    <row r="316" spans="1:21" ht="16.95" customHeight="1" x14ac:dyDescent="0.3">
      <c r="A316" s="41">
        <f t="shared" si="29"/>
        <v>0</v>
      </c>
      <c r="B316" s="13" t="s">
        <v>220</v>
      </c>
      <c r="C316" s="9">
        <f t="shared" ref="C316:N316" si="37">B271</f>
        <v>0</v>
      </c>
      <c r="D316" s="9">
        <f t="shared" si="37"/>
        <v>0</v>
      </c>
      <c r="E316" s="41">
        <f t="shared" si="37"/>
        <v>-32256.000000000007</v>
      </c>
      <c r="F316" s="41">
        <f t="shared" si="37"/>
        <v>24192</v>
      </c>
      <c r="G316" s="41">
        <f t="shared" si="37"/>
        <v>0</v>
      </c>
      <c r="H316" s="9">
        <f t="shared" si="37"/>
        <v>0</v>
      </c>
      <c r="I316" s="41">
        <f t="shared" si="37"/>
        <v>95256</v>
      </c>
      <c r="J316" s="41">
        <f t="shared" si="37"/>
        <v>-24192</v>
      </c>
      <c r="K316" s="41">
        <f t="shared" si="37"/>
        <v>-63000</v>
      </c>
      <c r="L316" s="41">
        <f t="shared" si="37"/>
        <v>0</v>
      </c>
      <c r="M316" s="41">
        <f t="shared" si="37"/>
        <v>0</v>
      </c>
      <c r="N316" s="41">
        <f t="shared" si="37"/>
        <v>0</v>
      </c>
      <c r="O316" s="13" t="s">
        <v>251</v>
      </c>
      <c r="P316" s="215" t="str">
        <f t="shared" si="36"/>
        <v>D4X</v>
      </c>
      <c r="Q316" s="172"/>
      <c r="R316" s="172"/>
      <c r="S316" s="172"/>
      <c r="T316" s="172"/>
      <c r="U316" s="173"/>
    </row>
    <row r="317" spans="1:21" ht="16.95" customHeight="1" x14ac:dyDescent="0.3">
      <c r="A317" s="41">
        <f t="shared" si="29"/>
        <v>0</v>
      </c>
      <c r="C317" s="9">
        <f t="shared" ref="C317:N317" si="38">B272</f>
        <v>0</v>
      </c>
      <c r="D317" s="9">
        <f t="shared" si="38"/>
        <v>-84000</v>
      </c>
      <c r="E317" s="41">
        <f t="shared" si="38"/>
        <v>24192</v>
      </c>
      <c r="F317" s="41">
        <f t="shared" si="38"/>
        <v>-18144</v>
      </c>
      <c r="G317" s="41">
        <f t="shared" si="38"/>
        <v>0</v>
      </c>
      <c r="H317" s="9">
        <f t="shared" si="38"/>
        <v>0</v>
      </c>
      <c r="I317" s="41">
        <f t="shared" si="38"/>
        <v>-24192</v>
      </c>
      <c r="J317" s="41">
        <f t="shared" si="38"/>
        <v>102144</v>
      </c>
      <c r="K317" s="41">
        <f t="shared" si="38"/>
        <v>0</v>
      </c>
      <c r="L317" s="41">
        <f t="shared" si="38"/>
        <v>0</v>
      </c>
      <c r="M317" s="41">
        <f t="shared" si="38"/>
        <v>0</v>
      </c>
      <c r="N317" s="41">
        <f t="shared" si="38"/>
        <v>0</v>
      </c>
      <c r="O317" s="13" t="s">
        <v>251</v>
      </c>
      <c r="P317" s="215" t="str">
        <f t="shared" si="36"/>
        <v>D4Y</v>
      </c>
      <c r="Q317" s="172"/>
      <c r="R317" s="172"/>
      <c r="S317" s="172"/>
      <c r="T317" s="172"/>
      <c r="U317" s="173"/>
    </row>
    <row r="318" spans="1:21" ht="16.95" customHeight="1" x14ac:dyDescent="0.3">
      <c r="A318" s="41">
        <f t="shared" si="29"/>
        <v>0</v>
      </c>
      <c r="C318" s="9">
        <f t="shared" ref="C318:N318" si="39">B273</f>
        <v>-32256.000000000007</v>
      </c>
      <c r="D318" s="9">
        <f t="shared" si="39"/>
        <v>-24192</v>
      </c>
      <c r="E318" s="41">
        <f t="shared" si="39"/>
        <v>0</v>
      </c>
      <c r="F318" s="41">
        <f t="shared" si="39"/>
        <v>0</v>
      </c>
      <c r="G318" s="41">
        <f t="shared" si="39"/>
        <v>-32256.000000000007</v>
      </c>
      <c r="H318" s="9">
        <f t="shared" si="39"/>
        <v>24192</v>
      </c>
      <c r="I318" s="41">
        <f t="shared" si="39"/>
        <v>-63000</v>
      </c>
      <c r="J318" s="41">
        <f t="shared" si="39"/>
        <v>0</v>
      </c>
      <c r="K318" s="41">
        <f t="shared" si="39"/>
        <v>190512</v>
      </c>
      <c r="L318" s="41">
        <f t="shared" si="39"/>
        <v>0</v>
      </c>
      <c r="M318" s="41">
        <f t="shared" si="39"/>
        <v>-63000</v>
      </c>
      <c r="N318" s="41">
        <f t="shared" si="39"/>
        <v>0</v>
      </c>
      <c r="O318" s="13" t="s">
        <v>251</v>
      </c>
      <c r="P318" s="215" t="str">
        <f t="shared" si="36"/>
        <v>D5X</v>
      </c>
      <c r="Q318" s="172"/>
      <c r="R318" s="172"/>
      <c r="S318" s="172"/>
      <c r="T318" s="172"/>
      <c r="U318" s="173"/>
    </row>
    <row r="319" spans="1:21" ht="16.95" customHeight="1" x14ac:dyDescent="0.3">
      <c r="A319" s="41">
        <f t="shared" si="29"/>
        <v>-6000</v>
      </c>
      <c r="C319" s="9">
        <f t="shared" ref="C319:N319" si="40">B274</f>
        <v>-24192</v>
      </c>
      <c r="D319" s="9">
        <f t="shared" si="40"/>
        <v>-18144</v>
      </c>
      <c r="E319" s="41">
        <f t="shared" si="40"/>
        <v>0</v>
      </c>
      <c r="F319" s="41">
        <f t="shared" si="40"/>
        <v>-84000</v>
      </c>
      <c r="G319" s="41">
        <f t="shared" si="40"/>
        <v>24192</v>
      </c>
      <c r="H319" s="9">
        <f t="shared" si="40"/>
        <v>-18144</v>
      </c>
      <c r="I319" s="41">
        <f t="shared" si="40"/>
        <v>0</v>
      </c>
      <c r="J319" s="41">
        <f t="shared" si="40"/>
        <v>0</v>
      </c>
      <c r="K319" s="41">
        <f t="shared" si="40"/>
        <v>0</v>
      </c>
      <c r="L319" s="41">
        <f t="shared" si="40"/>
        <v>120288</v>
      </c>
      <c r="M319" s="41">
        <f t="shared" si="40"/>
        <v>0</v>
      </c>
      <c r="N319" s="41">
        <f t="shared" si="40"/>
        <v>0</v>
      </c>
      <c r="O319" s="13" t="s">
        <v>251</v>
      </c>
      <c r="P319" s="215" t="str">
        <f t="shared" si="36"/>
        <v>D5Y</v>
      </c>
      <c r="Q319" s="172"/>
      <c r="R319" s="172"/>
      <c r="S319" s="172"/>
      <c r="T319" s="172"/>
      <c r="U319" s="173"/>
    </row>
    <row r="320" spans="1:21" ht="16.95" customHeight="1" x14ac:dyDescent="0.3">
      <c r="A320" s="41">
        <f t="shared" si="29"/>
        <v>0</v>
      </c>
      <c r="C320" s="9">
        <f t="shared" ref="C320:N320" si="41">B275</f>
        <v>0</v>
      </c>
      <c r="D320" s="9">
        <f t="shared" si="41"/>
        <v>0</v>
      </c>
      <c r="E320" s="41">
        <f t="shared" si="41"/>
        <v>-32256.000000000007</v>
      </c>
      <c r="F320" s="41">
        <f t="shared" si="41"/>
        <v>-24192</v>
      </c>
      <c r="G320" s="41">
        <f t="shared" si="41"/>
        <v>0</v>
      </c>
      <c r="H320" s="9">
        <f t="shared" si="41"/>
        <v>0</v>
      </c>
      <c r="I320" s="41">
        <f t="shared" si="41"/>
        <v>0</v>
      </c>
      <c r="J320" s="41">
        <f t="shared" si="41"/>
        <v>0</v>
      </c>
      <c r="K320" s="41">
        <f t="shared" si="41"/>
        <v>-63000</v>
      </c>
      <c r="L320" s="41">
        <f t="shared" si="41"/>
        <v>0</v>
      </c>
      <c r="M320" s="41">
        <f t="shared" si="41"/>
        <v>95256</v>
      </c>
      <c r="N320" s="41">
        <f t="shared" si="41"/>
        <v>24192</v>
      </c>
      <c r="O320" s="13" t="s">
        <v>251</v>
      </c>
      <c r="P320" s="215" t="str">
        <f t="shared" si="36"/>
        <v>D6X</v>
      </c>
      <c r="Q320" s="172"/>
      <c r="R320" s="172"/>
      <c r="S320" s="172"/>
      <c r="T320" s="172"/>
      <c r="U320" s="173"/>
    </row>
    <row r="321" spans="1:21" ht="16.95" customHeight="1" x14ac:dyDescent="0.3">
      <c r="A321" s="41">
        <f t="shared" si="29"/>
        <v>0</v>
      </c>
      <c r="C321" s="9">
        <f t="shared" ref="C321:N321" si="42">B276</f>
        <v>0</v>
      </c>
      <c r="D321" s="9">
        <f t="shared" si="42"/>
        <v>0</v>
      </c>
      <c r="E321" s="41">
        <f t="shared" si="42"/>
        <v>-24192</v>
      </c>
      <c r="F321" s="41">
        <f t="shared" si="42"/>
        <v>-18144</v>
      </c>
      <c r="G321" s="41">
        <f t="shared" si="42"/>
        <v>0</v>
      </c>
      <c r="H321" s="9">
        <f t="shared" si="42"/>
        <v>-84000</v>
      </c>
      <c r="I321" s="41">
        <f t="shared" si="42"/>
        <v>0</v>
      </c>
      <c r="J321" s="41">
        <f t="shared" si="42"/>
        <v>0</v>
      </c>
      <c r="K321" s="41">
        <f t="shared" si="42"/>
        <v>0</v>
      </c>
      <c r="L321" s="41">
        <f t="shared" si="42"/>
        <v>0</v>
      </c>
      <c r="M321" s="41">
        <f t="shared" si="42"/>
        <v>24192</v>
      </c>
      <c r="N321" s="41">
        <f t="shared" si="42"/>
        <v>102144</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U4X</v>
      </c>
      <c r="G325" s="38" t="str">
        <f>INDEX(C$294:C$305, MATCH(5, F$294:F$305, 0))</f>
        <v>U4Y</v>
      </c>
      <c r="H325" s="38" t="str">
        <f>INDEX(C$294:C$305, MATCH(6, F$294:F$305, 0))</f>
        <v>U5X</v>
      </c>
      <c r="I325" s="38" t="str">
        <f>INDEX(C$294:C$305, MATCH(7, F$294:F$305, 0))</f>
        <v>U5Y</v>
      </c>
      <c r="J325" s="38" t="str">
        <f>INDEX(C$294:C$305, MATCH(8, F$294:F$305, 0))</f>
        <v>U6X</v>
      </c>
      <c r="K325" s="38" t="str">
        <f>INDEX(C$294:C$305, MATCH(9, F$294:F$305, 0))</f>
        <v>U6Y</v>
      </c>
      <c r="P325" s="215" t="s">
        <v>383</v>
      </c>
      <c r="Q325" s="172"/>
      <c r="R325" s="172"/>
      <c r="S325" s="172"/>
      <c r="T325" s="172"/>
      <c r="U325" s="173"/>
    </row>
    <row r="326" spans="1:21" ht="16.95" customHeight="1" x14ac:dyDescent="0.3">
      <c r="A326" s="41">
        <f t="shared" ref="A326:A334" si="43">INDEX(E$280:E$291, MATCH(N326, C$280:C$291, 0))</f>
        <v>0</v>
      </c>
      <c r="C326" s="41">
        <f t="shared" ref="C326:K334" si="44">INDEX($B$265:$M$276, MATCH($N326, $N$265:$N$276, 0), MATCH(C$325, $B$264:$M$264, 0))</f>
        <v>190512</v>
      </c>
      <c r="D326" s="41">
        <f t="shared" si="44"/>
        <v>0</v>
      </c>
      <c r="E326" s="41">
        <f t="shared" si="44"/>
        <v>-63000</v>
      </c>
      <c r="F326" s="41">
        <f t="shared" si="44"/>
        <v>-32256.000000000007</v>
      </c>
      <c r="G326" s="41">
        <f t="shared" si="44"/>
        <v>24192</v>
      </c>
      <c r="H326" s="41">
        <f t="shared" si="44"/>
        <v>0</v>
      </c>
      <c r="I326" s="41">
        <f t="shared" si="44"/>
        <v>0</v>
      </c>
      <c r="J326" s="41">
        <f t="shared" si="44"/>
        <v>-32256.000000000007</v>
      </c>
      <c r="K326" s="41">
        <f t="shared" si="44"/>
        <v>-24192</v>
      </c>
      <c r="L326" s="13" t="s">
        <v>251</v>
      </c>
      <c r="M326" s="38" t="str">
        <f>INDEX(B$294:B$305, MATCH(1, F$294:F$305, 0))</f>
        <v>D2X</v>
      </c>
      <c r="N326" s="14" t="str">
        <f>INDEX(C$294:C$305, MATCH(1, F$294:F$305, 0))</f>
        <v>U2X</v>
      </c>
      <c r="P326" s="215" t="s">
        <v>384</v>
      </c>
      <c r="Q326" s="172"/>
      <c r="R326" s="172"/>
      <c r="S326" s="172"/>
      <c r="T326" s="172"/>
      <c r="U326" s="173"/>
    </row>
    <row r="327" spans="1:21" ht="16.95" customHeight="1" x14ac:dyDescent="0.3">
      <c r="A327" s="41">
        <f t="shared" si="43"/>
        <v>-7000</v>
      </c>
      <c r="C327" s="41">
        <f t="shared" si="44"/>
        <v>0</v>
      </c>
      <c r="D327" s="41">
        <f t="shared" si="44"/>
        <v>120288</v>
      </c>
      <c r="E327" s="41">
        <f t="shared" si="44"/>
        <v>0</v>
      </c>
      <c r="F327" s="41">
        <f t="shared" si="44"/>
        <v>24192</v>
      </c>
      <c r="G327" s="41">
        <f t="shared" si="44"/>
        <v>-18144</v>
      </c>
      <c r="H327" s="41">
        <f t="shared" si="44"/>
        <v>0</v>
      </c>
      <c r="I327" s="41">
        <f t="shared" si="44"/>
        <v>-84000</v>
      </c>
      <c r="J327" s="41">
        <f t="shared" si="44"/>
        <v>-24192</v>
      </c>
      <c r="K327" s="41">
        <f t="shared" si="44"/>
        <v>-18144</v>
      </c>
      <c r="L327" s="13" t="s">
        <v>251</v>
      </c>
      <c r="M327" s="38" t="str">
        <f>INDEX(B$294:B$305, MATCH(2, F$294:F$305, 0))</f>
        <v>D2Y</v>
      </c>
      <c r="N327" s="14" t="str">
        <f>INDEX(C$294:C$305, MATCH(2, F$294:F$305, 0))</f>
        <v>U2Y</v>
      </c>
      <c r="P327" s="215" t="s">
        <v>385</v>
      </c>
      <c r="Q327" s="172"/>
      <c r="R327" s="172"/>
      <c r="S327" s="172"/>
      <c r="T327" s="172"/>
      <c r="U327" s="173"/>
    </row>
    <row r="328" spans="1:21" ht="16.95" customHeight="1" x14ac:dyDescent="0.3">
      <c r="A328" s="41">
        <f t="shared" si="43"/>
        <v>0</v>
      </c>
      <c r="C328" s="41">
        <f t="shared" si="44"/>
        <v>-63000</v>
      </c>
      <c r="D328" s="41">
        <f t="shared" si="44"/>
        <v>0</v>
      </c>
      <c r="E328" s="41">
        <f t="shared" si="44"/>
        <v>95256</v>
      </c>
      <c r="F328" s="41">
        <f t="shared" si="44"/>
        <v>0</v>
      </c>
      <c r="G328" s="41">
        <f t="shared" si="44"/>
        <v>0</v>
      </c>
      <c r="H328" s="41">
        <f t="shared" si="44"/>
        <v>-32256.000000000007</v>
      </c>
      <c r="I328" s="41">
        <f t="shared" si="44"/>
        <v>24192</v>
      </c>
      <c r="J328" s="41">
        <f t="shared" si="44"/>
        <v>0</v>
      </c>
      <c r="K328" s="41">
        <f t="shared" si="44"/>
        <v>0</v>
      </c>
      <c r="L328" s="13" t="s">
        <v>251</v>
      </c>
      <c r="M328" s="38" t="str">
        <f>INDEX(B$294:B$305, MATCH(3, F$294:F$305, 0))</f>
        <v>D3X</v>
      </c>
      <c r="N328" s="14" t="str">
        <f>INDEX(C$294:C$305, MATCH(3, F$294:F$305, 0))</f>
        <v>U3X</v>
      </c>
      <c r="P328" s="215" t="s">
        <v>386</v>
      </c>
      <c r="Q328" s="172"/>
      <c r="R328" s="172"/>
      <c r="S328" s="172"/>
      <c r="T328" s="172"/>
      <c r="U328" s="173"/>
    </row>
    <row r="329" spans="1:21" ht="16.95" customHeight="1" x14ac:dyDescent="0.3">
      <c r="A329" s="41">
        <f t="shared" si="43"/>
        <v>0</v>
      </c>
      <c r="C329" s="41">
        <f t="shared" si="44"/>
        <v>-32256.000000000007</v>
      </c>
      <c r="D329" s="41">
        <f t="shared" si="44"/>
        <v>24192</v>
      </c>
      <c r="E329" s="41">
        <f t="shared" si="44"/>
        <v>0</v>
      </c>
      <c r="F329" s="41">
        <f t="shared" si="44"/>
        <v>95256</v>
      </c>
      <c r="G329" s="41">
        <f t="shared" si="44"/>
        <v>-24192</v>
      </c>
      <c r="H329" s="41">
        <f t="shared" si="44"/>
        <v>-63000</v>
      </c>
      <c r="I329" s="41">
        <f t="shared" si="44"/>
        <v>0</v>
      </c>
      <c r="J329" s="41">
        <f t="shared" si="44"/>
        <v>0</v>
      </c>
      <c r="K329" s="41">
        <f t="shared" si="44"/>
        <v>0</v>
      </c>
      <c r="L329" s="13" t="s">
        <v>251</v>
      </c>
      <c r="M329" s="38" t="str">
        <f>INDEX(B$294:B$305, MATCH(4, F$294:F$305, 0))</f>
        <v>D4X</v>
      </c>
      <c r="N329" s="14" t="str">
        <f>INDEX(C$294:C$305, MATCH(4, F$294:F$305, 0))</f>
        <v>U4X</v>
      </c>
      <c r="P329" s="215" t="s">
        <v>387</v>
      </c>
      <c r="Q329" s="172"/>
      <c r="R329" s="172"/>
      <c r="S329" s="172"/>
      <c r="T329" s="172"/>
      <c r="U329" s="173"/>
    </row>
    <row r="330" spans="1:21" ht="16.95" customHeight="1" x14ac:dyDescent="0.3">
      <c r="A330" s="41">
        <f t="shared" si="43"/>
        <v>0</v>
      </c>
      <c r="B330" s="13" t="s">
        <v>220</v>
      </c>
      <c r="C330" s="41">
        <f t="shared" si="44"/>
        <v>24192</v>
      </c>
      <c r="D330" s="41">
        <f t="shared" si="44"/>
        <v>-18144</v>
      </c>
      <c r="E330" s="41">
        <f t="shared" si="44"/>
        <v>0</v>
      </c>
      <c r="F330" s="41">
        <f t="shared" si="44"/>
        <v>-24192</v>
      </c>
      <c r="G330" s="41">
        <f t="shared" si="44"/>
        <v>102144</v>
      </c>
      <c r="H330" s="41">
        <f t="shared" si="44"/>
        <v>0</v>
      </c>
      <c r="I330" s="41">
        <f t="shared" si="44"/>
        <v>0</v>
      </c>
      <c r="J330" s="41">
        <f t="shared" si="44"/>
        <v>0</v>
      </c>
      <c r="K330" s="41">
        <f t="shared" si="44"/>
        <v>0</v>
      </c>
      <c r="L330" s="13" t="s">
        <v>251</v>
      </c>
      <c r="M330" s="38" t="str">
        <f>INDEX(B$294:B$305, MATCH(5, F$294:F$305, 0))</f>
        <v>D4Y</v>
      </c>
      <c r="N330" s="14" t="str">
        <f>INDEX(C$294:C$305, MATCH(5, F$294:F$305, 0))</f>
        <v>U4Y</v>
      </c>
      <c r="P330" s="215" t="s">
        <v>388</v>
      </c>
      <c r="Q330" s="172"/>
      <c r="R330" s="172"/>
      <c r="S330" s="172"/>
      <c r="T330" s="172"/>
      <c r="U330" s="173"/>
    </row>
    <row r="331" spans="1:21" ht="16.95" customHeight="1" x14ac:dyDescent="0.3">
      <c r="A331" s="41">
        <f t="shared" si="43"/>
        <v>0</v>
      </c>
      <c r="C331" s="41">
        <f t="shared" si="44"/>
        <v>0</v>
      </c>
      <c r="D331" s="41">
        <f t="shared" si="44"/>
        <v>0</v>
      </c>
      <c r="E331" s="41">
        <f t="shared" si="44"/>
        <v>-32256.000000000007</v>
      </c>
      <c r="F331" s="41">
        <f t="shared" si="44"/>
        <v>-63000</v>
      </c>
      <c r="G331" s="41">
        <f t="shared" si="44"/>
        <v>0</v>
      </c>
      <c r="H331" s="41">
        <f t="shared" si="44"/>
        <v>190512</v>
      </c>
      <c r="I331" s="41">
        <f t="shared" si="44"/>
        <v>0</v>
      </c>
      <c r="J331" s="41">
        <f t="shared" si="44"/>
        <v>-63000</v>
      </c>
      <c r="K331" s="41">
        <f t="shared" si="44"/>
        <v>0</v>
      </c>
      <c r="L331" s="13" t="s">
        <v>251</v>
      </c>
      <c r="M331" s="38" t="str">
        <f>INDEX(B$294:B$305, MATCH(6, F$294:F$305, 0))</f>
        <v>D5X</v>
      </c>
      <c r="N331" s="14" t="str">
        <f>INDEX(C$294:C$305, MATCH(6, F$294:F$305, 0))</f>
        <v>U5X</v>
      </c>
      <c r="P331" s="215"/>
      <c r="Q331" s="172"/>
      <c r="R331" s="172"/>
      <c r="S331" s="172"/>
      <c r="T331" s="172"/>
      <c r="U331" s="173"/>
    </row>
    <row r="332" spans="1:21" ht="16.95" customHeight="1" x14ac:dyDescent="0.3">
      <c r="A332" s="41">
        <f t="shared" si="43"/>
        <v>-6000</v>
      </c>
      <c r="C332" s="41">
        <f t="shared" si="44"/>
        <v>0</v>
      </c>
      <c r="D332" s="41">
        <f t="shared" si="44"/>
        <v>-84000</v>
      </c>
      <c r="E332" s="41">
        <f t="shared" si="44"/>
        <v>24192</v>
      </c>
      <c r="F332" s="41">
        <f t="shared" si="44"/>
        <v>0</v>
      </c>
      <c r="G332" s="41">
        <f t="shared" si="44"/>
        <v>0</v>
      </c>
      <c r="H332" s="41">
        <f t="shared" si="44"/>
        <v>0</v>
      </c>
      <c r="I332" s="41">
        <f t="shared" si="44"/>
        <v>120288</v>
      </c>
      <c r="J332" s="41">
        <f t="shared" si="44"/>
        <v>0</v>
      </c>
      <c r="K332" s="41">
        <f t="shared" si="44"/>
        <v>0</v>
      </c>
      <c r="L332" s="13" t="s">
        <v>251</v>
      </c>
      <c r="M332" s="38" t="str">
        <f>INDEX(B$294:B$305, MATCH(7, F$294:F$305, 0))</f>
        <v>D5Y</v>
      </c>
      <c r="N332" s="14" t="str">
        <f>INDEX(C$294:C$305, MATCH(7, F$294:F$305, 0))</f>
        <v>U5Y</v>
      </c>
      <c r="P332" s="215"/>
      <c r="Q332" s="172"/>
      <c r="R332" s="172"/>
      <c r="S332" s="172"/>
      <c r="T332" s="172"/>
      <c r="U332" s="173"/>
    </row>
    <row r="333" spans="1:21" ht="16.95" customHeight="1" x14ac:dyDescent="0.3">
      <c r="A333" s="41">
        <f t="shared" si="43"/>
        <v>0</v>
      </c>
      <c r="C333" s="41">
        <f t="shared" si="44"/>
        <v>-32256.000000000007</v>
      </c>
      <c r="D333" s="41">
        <f t="shared" si="44"/>
        <v>-24192</v>
      </c>
      <c r="E333" s="41">
        <f t="shared" si="44"/>
        <v>0</v>
      </c>
      <c r="F333" s="41">
        <f t="shared" si="44"/>
        <v>0</v>
      </c>
      <c r="G333" s="41">
        <f t="shared" si="44"/>
        <v>0</v>
      </c>
      <c r="H333" s="41">
        <f t="shared" si="44"/>
        <v>-63000</v>
      </c>
      <c r="I333" s="41">
        <f t="shared" si="44"/>
        <v>0</v>
      </c>
      <c r="J333" s="41">
        <f t="shared" si="44"/>
        <v>95256</v>
      </c>
      <c r="K333" s="41">
        <f t="shared" si="44"/>
        <v>24192</v>
      </c>
      <c r="L333" s="13" t="s">
        <v>251</v>
      </c>
      <c r="M333" s="38" t="str">
        <f>INDEX(B$294:B$305, MATCH(8, F$294:F$305, 0))</f>
        <v>D6X</v>
      </c>
      <c r="N333" s="14" t="str">
        <f>INDEX(C$294:C$305, MATCH(8, F$294:F$305, 0))</f>
        <v>U6X</v>
      </c>
      <c r="P333" s="215"/>
      <c r="Q333" s="172"/>
      <c r="R333" s="172"/>
      <c r="S333" s="172"/>
      <c r="T333" s="172"/>
      <c r="U333" s="173"/>
    </row>
    <row r="334" spans="1:21" ht="16.95" customHeight="1" x14ac:dyDescent="0.3">
      <c r="A334" s="41">
        <f t="shared" si="43"/>
        <v>0</v>
      </c>
      <c r="C334" s="41">
        <f t="shared" si="44"/>
        <v>-24192</v>
      </c>
      <c r="D334" s="41">
        <f t="shared" si="44"/>
        <v>-18144</v>
      </c>
      <c r="E334" s="41">
        <f t="shared" si="44"/>
        <v>0</v>
      </c>
      <c r="F334" s="41">
        <f t="shared" si="44"/>
        <v>0</v>
      </c>
      <c r="G334" s="41">
        <f t="shared" si="44"/>
        <v>0</v>
      </c>
      <c r="H334" s="41">
        <f t="shared" si="44"/>
        <v>0</v>
      </c>
      <c r="I334" s="41">
        <f t="shared" si="44"/>
        <v>0</v>
      </c>
      <c r="J334" s="41">
        <f t="shared" si="44"/>
        <v>24192</v>
      </c>
      <c r="K334" s="41">
        <f t="shared" si="44"/>
        <v>102144</v>
      </c>
      <c r="L334" s="13" t="s">
        <v>251</v>
      </c>
      <c r="M334" s="38" t="str">
        <f>INDEX(B$294:B$305, MATCH(9, F$294:F$305, 0))</f>
        <v>D6Y</v>
      </c>
      <c r="N334" s="14" t="str">
        <f>INDEX(C$294:C$305, MATCH(9, F$294:F$305, 0))</f>
        <v>U6Y</v>
      </c>
      <c r="P334" s="215"/>
      <c r="Q334" s="172"/>
      <c r="R334" s="172"/>
      <c r="S334" s="172"/>
      <c r="T334" s="172"/>
      <c r="U334" s="173"/>
    </row>
    <row r="335" spans="1:21" ht="16.95" customHeight="1" x14ac:dyDescent="0.3">
      <c r="P335" s="215"/>
      <c r="Q335" s="172"/>
      <c r="R335" s="172"/>
      <c r="S335" s="172"/>
      <c r="T335" s="172"/>
      <c r="U335" s="173"/>
    </row>
    <row r="336" spans="1:21" ht="16.95" customHeight="1" x14ac:dyDescent="0.3">
      <c r="C336" s="218" t="s">
        <v>263</v>
      </c>
      <c r="D336" s="172"/>
      <c r="E336" s="172"/>
      <c r="F336" s="172"/>
      <c r="G336" s="172"/>
      <c r="H336" s="172"/>
      <c r="I336" s="172"/>
      <c r="J336" s="172"/>
      <c r="K336" s="173"/>
      <c r="P336" s="215"/>
      <c r="Q336" s="172"/>
      <c r="R336" s="172"/>
      <c r="S336" s="172"/>
      <c r="T336" s="172"/>
      <c r="U336" s="173"/>
    </row>
    <row r="337" spans="1:21" ht="16.95" customHeight="1" x14ac:dyDescent="0.3">
      <c r="A337" s="99" t="s">
        <v>249</v>
      </c>
      <c r="C337" s="193" t="s">
        <v>264</v>
      </c>
      <c r="D337" s="175"/>
      <c r="E337" s="175"/>
      <c r="F337" s="175"/>
      <c r="G337" s="175"/>
      <c r="H337" s="175"/>
      <c r="I337" s="175"/>
      <c r="J337" s="175"/>
      <c r="K337" s="175"/>
      <c r="M337" s="99" t="s">
        <v>247</v>
      </c>
      <c r="P337" s="215"/>
      <c r="Q337" s="172"/>
      <c r="R337" s="172"/>
      <c r="S337" s="172"/>
      <c r="T337" s="172"/>
      <c r="U337" s="173"/>
    </row>
    <row r="338" spans="1:21" ht="16.95" customHeight="1" x14ac:dyDescent="0.3">
      <c r="A338" s="12" t="str">
        <f t="shared" ref="A338:A346" si="45">M326</f>
        <v>D2X</v>
      </c>
      <c r="C338" s="93">
        <f t="array" ref="C338:K346">MINVERSE(C326:K334)</f>
        <v>1.3512236170188246E-5</v>
      </c>
      <c r="D338" s="93">
        <v>-4.9797696856520436E-6</v>
      </c>
      <c r="E338" s="93">
        <v>1.3659784901614975E-5</v>
      </c>
      <c r="F338" s="93">
        <v>1.1640211640211648E-5</v>
      </c>
      <c r="G338" s="93">
        <v>-1.3279385828405434E-6</v>
      </c>
      <c r="H338" s="93">
        <v>9.2794319373840148E-6</v>
      </c>
      <c r="I338" s="93">
        <v>-6.2247121070650537E-6</v>
      </c>
      <c r="J338" s="93">
        <v>9.4269806688107387E-6</v>
      </c>
      <c r="K338" s="93">
        <v>8.299616142753313E-8</v>
      </c>
      <c r="M338" s="17">
        <f t="shared" ref="M338:M346" si="46">A326</f>
        <v>0</v>
      </c>
      <c r="P338" s="215"/>
      <c r="Q338" s="172"/>
      <c r="R338" s="172"/>
      <c r="S338" s="172"/>
      <c r="T338" s="172"/>
      <c r="U338" s="173"/>
    </row>
    <row r="339" spans="1:21" ht="16.95" customHeight="1" x14ac:dyDescent="0.3">
      <c r="A339" s="12" t="str">
        <f t="shared" si="45"/>
        <v>D2Y</v>
      </c>
      <c r="C339" s="93">
        <v>-4.9797696856520419E-6</v>
      </c>
      <c r="D339" s="93">
        <v>2.5210084033613446E-5</v>
      </c>
      <c r="E339" s="93">
        <v>-9.9595393713040839E-6</v>
      </c>
      <c r="F339" s="93">
        <v>-1.0582010582010589E-5</v>
      </c>
      <c r="G339" s="93">
        <v>3.1512605042016812E-6</v>
      </c>
      <c r="H339" s="93">
        <v>-4.9797696856520436E-6</v>
      </c>
      <c r="I339" s="93">
        <v>1.9607843137254909E-5</v>
      </c>
      <c r="J339" s="93">
        <v>6.2247121070650122E-7</v>
      </c>
      <c r="K339" s="93">
        <v>3.1512605042016808E-6</v>
      </c>
      <c r="M339" s="17">
        <f t="shared" si="46"/>
        <v>-7000</v>
      </c>
      <c r="P339" s="215"/>
      <c r="Q339" s="172"/>
      <c r="R339" s="172"/>
      <c r="S339" s="172"/>
      <c r="T339" s="172"/>
      <c r="U339" s="173"/>
    </row>
    <row r="340" spans="1:21" ht="16.95" customHeight="1" x14ac:dyDescent="0.3">
      <c r="A340" s="12" t="str">
        <f t="shared" si="45"/>
        <v>D3X</v>
      </c>
      <c r="C340" s="93">
        <v>1.3659784901614973E-5</v>
      </c>
      <c r="D340" s="93">
        <v>-9.9595393713040839E-6</v>
      </c>
      <c r="E340" s="93">
        <v>2.7319569803229947E-5</v>
      </c>
      <c r="F340" s="93">
        <v>1.5873015873015886E-5</v>
      </c>
      <c r="G340" s="93">
        <v>-1.2449424214130094E-6</v>
      </c>
      <c r="H340" s="93">
        <v>1.3659784901614975E-5</v>
      </c>
      <c r="I340" s="93">
        <v>-1.2449424214130104E-5</v>
      </c>
      <c r="J340" s="93">
        <v>1.1446553930214069E-5</v>
      </c>
      <c r="K340" s="93">
        <v>-1.2449424214130105E-6</v>
      </c>
      <c r="M340" s="17">
        <f t="shared" si="46"/>
        <v>0</v>
      </c>
      <c r="P340" s="215"/>
      <c r="Q340" s="172"/>
      <c r="R340" s="172"/>
      <c r="S340" s="172"/>
      <c r="T340" s="172"/>
      <c r="U340" s="173"/>
    </row>
    <row r="341" spans="1:21" ht="16.95" customHeight="1" x14ac:dyDescent="0.3">
      <c r="A341" s="12" t="str">
        <f t="shared" si="45"/>
        <v>D4X</v>
      </c>
      <c r="C341" s="93">
        <v>1.1640211640211646E-5</v>
      </c>
      <c r="D341" s="93">
        <v>-1.0582010582010589E-5</v>
      </c>
      <c r="E341" s="93">
        <v>1.5873015873015886E-5</v>
      </c>
      <c r="F341" s="93">
        <v>2.8373015873015885E-5</v>
      </c>
      <c r="G341" s="93">
        <v>2.083333333333333E-6</v>
      </c>
      <c r="H341" s="93">
        <v>1.6203703703703711E-5</v>
      </c>
      <c r="I341" s="93">
        <v>-1.0582010582010591E-5</v>
      </c>
      <c r="J341" s="93">
        <v>1.2500000000000007E-5</v>
      </c>
      <c r="K341" s="93">
        <v>-2.0833333333333339E-6</v>
      </c>
      <c r="M341" s="17">
        <f t="shared" si="46"/>
        <v>0</v>
      </c>
      <c r="P341" s="215"/>
      <c r="Q341" s="172"/>
      <c r="R341" s="172"/>
      <c r="S341" s="172"/>
      <c r="T341" s="172"/>
      <c r="U341" s="173"/>
    </row>
    <row r="342" spans="1:21" ht="16.95" customHeight="1" x14ac:dyDescent="0.3">
      <c r="A342" s="12" t="str">
        <f t="shared" si="45"/>
        <v>D4Y</v>
      </c>
      <c r="B342" s="13" t="s">
        <v>220</v>
      </c>
      <c r="C342" s="93">
        <v>-1.3279385828405438E-6</v>
      </c>
      <c r="D342" s="93">
        <v>3.1512605042016812E-6</v>
      </c>
      <c r="E342" s="93">
        <v>-1.2449424214130103E-6</v>
      </c>
      <c r="F342" s="93">
        <v>2.083333333333333E-6</v>
      </c>
      <c r="G342" s="93">
        <v>1.1157796451914099E-5</v>
      </c>
      <c r="H342" s="93">
        <v>7.5539475049278917E-7</v>
      </c>
      <c r="I342" s="93">
        <v>2.4509803921568632E-6</v>
      </c>
      <c r="J342" s="93">
        <v>8.3839091192032316E-7</v>
      </c>
      <c r="K342" s="93">
        <v>4.6685340802988002E-8</v>
      </c>
      <c r="M342" s="17">
        <f t="shared" si="46"/>
        <v>0</v>
      </c>
      <c r="P342" s="215"/>
      <c r="Q342" s="172"/>
      <c r="R342" s="172"/>
      <c r="S342" s="172"/>
      <c r="T342" s="172"/>
      <c r="U342" s="173"/>
    </row>
    <row r="343" spans="1:21" ht="16.95" customHeight="1" x14ac:dyDescent="0.3">
      <c r="A343" s="12" t="str">
        <f t="shared" si="45"/>
        <v>D5X</v>
      </c>
      <c r="C343" s="93">
        <v>9.2794319373840114E-6</v>
      </c>
      <c r="D343" s="93">
        <v>-4.9797696856520436E-6</v>
      </c>
      <c r="E343" s="93">
        <v>1.3659784901614973E-5</v>
      </c>
      <c r="F343" s="93">
        <v>1.6203703703703714E-5</v>
      </c>
      <c r="G343" s="93">
        <v>7.553947504927897E-7</v>
      </c>
      <c r="H343" s="93">
        <v>1.7546627704579779E-5</v>
      </c>
      <c r="I343" s="93">
        <v>-6.2247121070650537E-6</v>
      </c>
      <c r="J343" s="93">
        <v>1.3990472732302801E-5</v>
      </c>
      <c r="K343" s="93">
        <v>-2.0003371719057997E-6</v>
      </c>
      <c r="M343" s="17">
        <f t="shared" si="46"/>
        <v>0</v>
      </c>
      <c r="P343" s="215"/>
      <c r="Q343" s="172"/>
      <c r="R343" s="172"/>
      <c r="S343" s="172"/>
      <c r="T343" s="172"/>
      <c r="U343" s="173"/>
    </row>
    <row r="344" spans="1:21" ht="16.95" customHeight="1" x14ac:dyDescent="0.3">
      <c r="A344" s="12" t="str">
        <f t="shared" si="45"/>
        <v>D5Y</v>
      </c>
      <c r="C344" s="93">
        <v>-6.224712107065052E-6</v>
      </c>
      <c r="D344" s="93">
        <v>1.9607843137254906E-5</v>
      </c>
      <c r="E344" s="93">
        <v>-1.2449424214130104E-5</v>
      </c>
      <c r="F344" s="93">
        <v>-1.0582010582010591E-5</v>
      </c>
      <c r="G344" s="93">
        <v>2.4509803921568628E-6</v>
      </c>
      <c r="H344" s="93">
        <v>-6.2247121070650545E-6</v>
      </c>
      <c r="I344" s="93">
        <v>2.4509803921568633E-5</v>
      </c>
      <c r="J344" s="93">
        <v>-1.8674136321195183E-6</v>
      </c>
      <c r="K344" s="93">
        <v>2.4509803921568632E-6</v>
      </c>
      <c r="M344" s="17">
        <f t="shared" si="46"/>
        <v>-6000</v>
      </c>
      <c r="P344" s="215"/>
      <c r="Q344" s="172"/>
      <c r="R344" s="172"/>
      <c r="S344" s="172"/>
      <c r="T344" s="172"/>
      <c r="U344" s="173"/>
    </row>
    <row r="345" spans="1:21" ht="16.95" customHeight="1" x14ac:dyDescent="0.3">
      <c r="A345" s="12" t="str">
        <f t="shared" si="45"/>
        <v>D6X</v>
      </c>
      <c r="C345" s="93">
        <v>9.4269806688107387E-6</v>
      </c>
      <c r="D345" s="93">
        <v>6.2247121070650122E-7</v>
      </c>
      <c r="E345" s="93">
        <v>1.1446553930214067E-5</v>
      </c>
      <c r="F345" s="93">
        <v>1.2500000000000009E-5</v>
      </c>
      <c r="G345" s="93">
        <v>8.383909119203238E-7</v>
      </c>
      <c r="H345" s="93">
        <v>1.3990472732302801E-5</v>
      </c>
      <c r="I345" s="93">
        <v>-1.8674136321195185E-6</v>
      </c>
      <c r="J345" s="93">
        <v>2.3946553930214063E-5</v>
      </c>
      <c r="K345" s="93">
        <v>-3.3282757547463431E-6</v>
      </c>
      <c r="M345" s="17">
        <f t="shared" si="46"/>
        <v>0</v>
      </c>
      <c r="P345" s="215"/>
      <c r="Q345" s="172"/>
      <c r="R345" s="172"/>
      <c r="S345" s="172"/>
      <c r="T345" s="172"/>
      <c r="U345" s="173"/>
    </row>
    <row r="346" spans="1:21" ht="16.95" customHeight="1" x14ac:dyDescent="0.3">
      <c r="A346" s="12" t="str">
        <f t="shared" si="45"/>
        <v>D6Y</v>
      </c>
      <c r="C346" s="93">
        <v>8.2996161427533619E-8</v>
      </c>
      <c r="D346" s="93">
        <v>3.1512605042016816E-6</v>
      </c>
      <c r="E346" s="93">
        <v>-1.2449424214130101E-6</v>
      </c>
      <c r="F346" s="93">
        <v>-2.0833333333333343E-6</v>
      </c>
      <c r="G346" s="93">
        <v>4.6685340802987902E-8</v>
      </c>
      <c r="H346" s="93">
        <v>-2.0003371719057997E-6</v>
      </c>
      <c r="I346" s="93">
        <v>2.4509803921568632E-6</v>
      </c>
      <c r="J346" s="93">
        <v>-3.3282757547463431E-6</v>
      </c>
      <c r="K346" s="93">
        <v>1.1157796451914098E-5</v>
      </c>
      <c r="M346" s="17">
        <f t="shared" si="46"/>
        <v>0</v>
      </c>
      <c r="P346" s="215"/>
      <c r="Q346" s="172"/>
      <c r="R346" s="172"/>
      <c r="S346" s="172"/>
      <c r="T346" s="172"/>
      <c r="U346" s="173"/>
    </row>
    <row r="347" spans="1:21" ht="16.95" customHeight="1" x14ac:dyDescent="0.3">
      <c r="P347" s="215"/>
      <c r="Q347" s="172"/>
      <c r="R347" s="172"/>
      <c r="S347" s="172"/>
      <c r="T347" s="172"/>
      <c r="U347" s="173"/>
    </row>
    <row r="348" spans="1:21" ht="16.95" customHeight="1" x14ac:dyDescent="0.3">
      <c r="C348" s="218" t="s">
        <v>265</v>
      </c>
      <c r="D348" s="173"/>
      <c r="P348" s="215"/>
      <c r="Q348" s="172"/>
      <c r="R348" s="172"/>
      <c r="S348" s="172"/>
      <c r="T348" s="172"/>
      <c r="U348" s="173"/>
    </row>
    <row r="349" spans="1:21" ht="16.95" customHeight="1" x14ac:dyDescent="0.3">
      <c r="A349" s="99" t="s">
        <v>249</v>
      </c>
      <c r="C349" s="99" t="s">
        <v>266</v>
      </c>
      <c r="P349" s="215"/>
      <c r="Q349" s="172"/>
      <c r="R349" s="172"/>
      <c r="S349" s="172"/>
      <c r="T349" s="172"/>
      <c r="U349" s="173"/>
    </row>
    <row r="350" spans="1:21" ht="16.95" customHeight="1" x14ac:dyDescent="0.3">
      <c r="A350" s="12" t="str">
        <f t="shared" ref="A350:A358" si="47">A338</f>
        <v>D2X</v>
      </c>
      <c r="C350" s="94">
        <f t="array" ref="C350:C358">MMULT(C338:K346, M338:M346)</f>
        <v>7.2206660441954632E-2</v>
      </c>
      <c r="D350" s="12" t="s">
        <v>267</v>
      </c>
      <c r="P350" s="215"/>
      <c r="Q350" s="172"/>
      <c r="R350" s="172"/>
      <c r="S350" s="172"/>
      <c r="T350" s="172"/>
      <c r="U350" s="173"/>
    </row>
    <row r="351" spans="1:21" ht="16.95" customHeight="1" x14ac:dyDescent="0.3">
      <c r="A351" s="12" t="str">
        <f t="shared" si="47"/>
        <v>D2Y</v>
      </c>
      <c r="C351" s="94">
        <v>-0.29411764705882359</v>
      </c>
      <c r="D351" s="12" t="s">
        <v>267</v>
      </c>
      <c r="P351" s="215"/>
      <c r="Q351" s="172"/>
      <c r="R351" s="172"/>
      <c r="S351" s="172"/>
      <c r="T351" s="172"/>
      <c r="U351" s="173"/>
    </row>
    <row r="352" spans="1:21" ht="16.95" customHeight="1" x14ac:dyDescent="0.3">
      <c r="A352" s="12" t="str">
        <f t="shared" si="47"/>
        <v>D3X</v>
      </c>
      <c r="C352" s="94">
        <v>0.14441332088390921</v>
      </c>
      <c r="D352" s="12" t="s">
        <v>267</v>
      </c>
      <c r="P352" s="215"/>
      <c r="Q352" s="172"/>
      <c r="R352" s="172"/>
      <c r="S352" s="172"/>
      <c r="T352" s="172"/>
      <c r="U352" s="173"/>
    </row>
    <row r="353" spans="1:21" ht="16.95" customHeight="1" x14ac:dyDescent="0.3">
      <c r="A353" s="12" t="str">
        <f t="shared" si="47"/>
        <v>D4X</v>
      </c>
      <c r="C353" s="94">
        <v>0.13756613756613767</v>
      </c>
      <c r="D353" s="12" t="s">
        <v>267</v>
      </c>
      <c r="P353" s="215"/>
      <c r="Q353" s="172"/>
      <c r="R353" s="172"/>
      <c r="S353" s="172"/>
      <c r="T353" s="172"/>
      <c r="U353" s="173"/>
    </row>
    <row r="354" spans="1:21" ht="16.95" customHeight="1" x14ac:dyDescent="0.3">
      <c r="A354" s="12" t="str">
        <f t="shared" si="47"/>
        <v>D4Y</v>
      </c>
      <c r="B354" s="13" t="s">
        <v>220</v>
      </c>
      <c r="C354" s="94">
        <v>-3.6764705882352949E-2</v>
      </c>
      <c r="D354" s="12" t="s">
        <v>267</v>
      </c>
      <c r="P354" s="215"/>
      <c r="Q354" s="172"/>
      <c r="R354" s="172"/>
      <c r="S354" s="172"/>
      <c r="T354" s="172"/>
      <c r="U354" s="173"/>
    </row>
    <row r="355" spans="1:21" ht="16.95" customHeight="1" x14ac:dyDescent="0.3">
      <c r="A355" s="12" t="str">
        <f t="shared" si="47"/>
        <v>D5X</v>
      </c>
      <c r="C355" s="94">
        <v>7.2206660441954632E-2</v>
      </c>
      <c r="D355" s="12" t="s">
        <v>267</v>
      </c>
      <c r="P355" s="215"/>
      <c r="Q355" s="172"/>
      <c r="R355" s="172"/>
      <c r="S355" s="172"/>
      <c r="T355" s="172"/>
      <c r="U355" s="173"/>
    </row>
    <row r="356" spans="1:21" ht="16.95" customHeight="1" x14ac:dyDescent="0.3">
      <c r="A356" s="12" t="str">
        <f t="shared" si="47"/>
        <v>D5Y</v>
      </c>
      <c r="C356" s="94">
        <v>-0.28431372549019618</v>
      </c>
      <c r="D356" s="12" t="s">
        <v>267</v>
      </c>
      <c r="P356" s="215"/>
      <c r="Q356" s="172"/>
      <c r="R356" s="172"/>
      <c r="S356" s="172"/>
      <c r="T356" s="172"/>
      <c r="U356" s="173"/>
    </row>
    <row r="357" spans="1:21" ht="16.95" customHeight="1" x14ac:dyDescent="0.3">
      <c r="A357" s="12" t="str">
        <f t="shared" si="47"/>
        <v>D6X</v>
      </c>
      <c r="C357" s="94">
        <v>6.847183317771603E-3</v>
      </c>
      <c r="D357" s="12" t="s">
        <v>267</v>
      </c>
      <c r="P357" s="215"/>
      <c r="Q357" s="172"/>
      <c r="R357" s="172"/>
      <c r="S357" s="172"/>
      <c r="T357" s="172"/>
      <c r="U357" s="173"/>
    </row>
    <row r="358" spans="1:21" ht="16.95" customHeight="1" x14ac:dyDescent="0.3">
      <c r="A358" s="12" t="str">
        <f t="shared" si="47"/>
        <v>D6Y</v>
      </c>
      <c r="C358" s="94">
        <v>-3.6764705882352949E-2</v>
      </c>
      <c r="D358" s="12" t="s">
        <v>267</v>
      </c>
      <c r="P358" s="215"/>
      <c r="Q358" s="172"/>
      <c r="R358" s="172"/>
      <c r="S358" s="172"/>
      <c r="T358" s="172"/>
      <c r="U358" s="173"/>
    </row>
    <row r="361" spans="1:21" ht="19.95" customHeight="1" x14ac:dyDescent="0.35">
      <c r="A361" s="11" t="s">
        <v>268</v>
      </c>
      <c r="P361" s="216" t="s">
        <v>269</v>
      </c>
      <c r="Q361" s="172"/>
      <c r="R361" s="172"/>
      <c r="S361" s="172"/>
      <c r="T361" s="172"/>
      <c r="U361" s="173"/>
    </row>
    <row r="362" spans="1:21" ht="16.95" customHeight="1" x14ac:dyDescent="0.3">
      <c r="A362" s="99" t="s">
        <v>247</v>
      </c>
      <c r="M362" s="99" t="s">
        <v>249</v>
      </c>
      <c r="P362" s="215" t="s">
        <v>389</v>
      </c>
      <c r="Q362" s="172"/>
      <c r="R362" s="172"/>
      <c r="S362" s="172"/>
      <c r="T362" s="172"/>
      <c r="U362" s="173"/>
    </row>
    <row r="363" spans="1:21" ht="16.95" customHeight="1" x14ac:dyDescent="0.3">
      <c r="A363" s="18" t="str">
        <f>INDEX(B$280:B$291, MATCH(N363, C$280:C$291, 0))</f>
        <v>C1X</v>
      </c>
      <c r="C363" s="9">
        <f t="shared" ref="C363:K365" si="48">INDEX($B$265:$M$276, MATCH($N363, $N$265:$N$276, 0), MATCH(C$325, $B$264:$M$264, 0))</f>
        <v>-63000</v>
      </c>
      <c r="D363" s="9">
        <f t="shared" si="48"/>
        <v>0</v>
      </c>
      <c r="E363" s="9">
        <f t="shared" si="48"/>
        <v>0</v>
      </c>
      <c r="F363" s="9">
        <f t="shared" si="48"/>
        <v>0</v>
      </c>
      <c r="G363" s="9">
        <f t="shared" si="48"/>
        <v>0</v>
      </c>
      <c r="H363" s="9">
        <f t="shared" si="48"/>
        <v>-32256.000000000007</v>
      </c>
      <c r="I363" s="9">
        <f t="shared" si="48"/>
        <v>-24192</v>
      </c>
      <c r="J363" s="9">
        <f t="shared" si="48"/>
        <v>0</v>
      </c>
      <c r="K363" s="9">
        <f t="shared" si="48"/>
        <v>0</v>
      </c>
      <c r="M363" s="95">
        <f t="shared" ref="M363:M371" si="49">C350</f>
        <v>7.2206660441954632E-2</v>
      </c>
      <c r="N363" s="14" t="str">
        <f>INDEX(C$294:C$305, MATCH(1, G$294:G$305, 0))</f>
        <v>U1X</v>
      </c>
      <c r="P363" s="215" t="s">
        <v>390</v>
      </c>
      <c r="Q363" s="172"/>
      <c r="R363" s="172"/>
      <c r="S363" s="172"/>
      <c r="T363" s="172"/>
      <c r="U363" s="173"/>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-84000</v>
      </c>
      <c r="H364" s="9">
        <f t="shared" si="48"/>
        <v>-24192</v>
      </c>
      <c r="I364" s="9">
        <f t="shared" si="48"/>
        <v>-18144</v>
      </c>
      <c r="J364" s="9">
        <f t="shared" si="48"/>
        <v>0</v>
      </c>
      <c r="K364" s="9">
        <f t="shared" si="48"/>
        <v>0</v>
      </c>
      <c r="M364" s="95">
        <f t="shared" si="49"/>
        <v>-0.29411764705882359</v>
      </c>
      <c r="N364" s="14" t="str">
        <f>INDEX(C$294:C$305, MATCH(2, G$294:G$305, 0))</f>
        <v>U1Y</v>
      </c>
      <c r="P364" s="215" t="s">
        <v>391</v>
      </c>
      <c r="Q364" s="172"/>
      <c r="R364" s="172"/>
      <c r="S364" s="172"/>
      <c r="T364" s="172"/>
      <c r="U364" s="173"/>
    </row>
    <row r="365" spans="1:21" ht="16.95" customHeight="1" x14ac:dyDescent="0.3">
      <c r="A365" s="18" t="str">
        <f>INDEX(B$280:B$291, MATCH(N365, C$280:C$291, 0))</f>
        <v>C3Y</v>
      </c>
      <c r="C365" s="9">
        <f t="shared" si="48"/>
        <v>0</v>
      </c>
      <c r="D365" s="9">
        <f t="shared" si="48"/>
        <v>0</v>
      </c>
      <c r="E365" s="9">
        <f t="shared" si="48"/>
        <v>-24192</v>
      </c>
      <c r="F365" s="9">
        <f t="shared" si="48"/>
        <v>0</v>
      </c>
      <c r="G365" s="9">
        <f t="shared" si="48"/>
        <v>0</v>
      </c>
      <c r="H365" s="9">
        <f t="shared" si="48"/>
        <v>24192</v>
      </c>
      <c r="I365" s="9">
        <f t="shared" si="48"/>
        <v>-18144</v>
      </c>
      <c r="J365" s="9">
        <f t="shared" si="48"/>
        <v>0</v>
      </c>
      <c r="K365" s="9">
        <f t="shared" si="48"/>
        <v>-84000</v>
      </c>
      <c r="M365" s="95">
        <f t="shared" si="49"/>
        <v>0.14441332088390921</v>
      </c>
      <c r="N365" s="14" t="str">
        <f>INDEX(C$294:C$305, MATCH(3, G$294:G$305, 0))</f>
        <v>U3Y</v>
      </c>
      <c r="P365" s="215" t="s">
        <v>392</v>
      </c>
      <c r="Q365" s="172"/>
      <c r="R365" s="172"/>
      <c r="S365" s="172"/>
      <c r="T365" s="172"/>
      <c r="U365" s="173"/>
    </row>
    <row r="366" spans="1:21" ht="16.95" customHeight="1" x14ac:dyDescent="0.3">
      <c r="M366" s="95">
        <f t="shared" si="49"/>
        <v>0.13756613756613767</v>
      </c>
      <c r="P366" s="215" t="s">
        <v>393</v>
      </c>
      <c r="Q366" s="172"/>
      <c r="R366" s="172"/>
      <c r="S366" s="172"/>
      <c r="T366" s="172"/>
      <c r="U366" s="173"/>
    </row>
    <row r="367" spans="1:21" ht="16.95" customHeight="1" x14ac:dyDescent="0.3">
      <c r="M367" s="95">
        <f t="shared" si="49"/>
        <v>-3.6764705882352949E-2</v>
      </c>
      <c r="P367" s="215" t="s">
        <v>394</v>
      </c>
      <c r="Q367" s="172"/>
      <c r="R367" s="172"/>
      <c r="S367" s="172"/>
      <c r="T367" s="172"/>
      <c r="U367" s="173"/>
    </row>
    <row r="368" spans="1:21" ht="16.95" customHeight="1" x14ac:dyDescent="0.3">
      <c r="M368" s="95">
        <f t="shared" si="49"/>
        <v>7.2206660441954632E-2</v>
      </c>
      <c r="P368" s="215"/>
      <c r="Q368" s="172"/>
      <c r="R368" s="172"/>
      <c r="S368" s="172"/>
      <c r="T368" s="172"/>
      <c r="U368" s="173"/>
    </row>
    <row r="369" spans="1:21" ht="16.95" customHeight="1" x14ac:dyDescent="0.3">
      <c r="M369" s="95">
        <f t="shared" si="49"/>
        <v>-0.28431372549019618</v>
      </c>
      <c r="P369" s="215"/>
      <c r="Q369" s="172"/>
      <c r="R369" s="172"/>
      <c r="S369" s="172"/>
      <c r="T369" s="172"/>
      <c r="U369" s="173"/>
    </row>
    <row r="370" spans="1:21" ht="16.95" customHeight="1" x14ac:dyDescent="0.3">
      <c r="M370" s="95">
        <f t="shared" si="49"/>
        <v>6.847183317771603E-3</v>
      </c>
      <c r="P370" s="215"/>
      <c r="Q370" s="172"/>
      <c r="R370" s="172"/>
      <c r="S370" s="172"/>
      <c r="T370" s="172"/>
      <c r="U370" s="173"/>
    </row>
    <row r="371" spans="1:21" ht="16.95" customHeight="1" x14ac:dyDescent="0.3">
      <c r="M371" s="95">
        <f t="shared" si="49"/>
        <v>-3.6764705882352949E-2</v>
      </c>
      <c r="P371" s="215"/>
      <c r="Q371" s="172"/>
      <c r="R371" s="172"/>
      <c r="S371" s="172"/>
      <c r="T371" s="172"/>
      <c r="U371" s="173"/>
    </row>
    <row r="372" spans="1:21" ht="16.95" customHeight="1" x14ac:dyDescent="0.3">
      <c r="P372" s="215"/>
      <c r="Q372" s="172"/>
      <c r="R372" s="172"/>
      <c r="S372" s="172"/>
      <c r="T372" s="172"/>
      <c r="U372" s="173"/>
    </row>
    <row r="373" spans="1:21" ht="16.95" customHeight="1" x14ac:dyDescent="0.3">
      <c r="A373" s="12" t="str">
        <f>A363</f>
        <v>C1X</v>
      </c>
      <c r="C373" s="17">
        <f t="array" ref="C373:C375">MMULT(C363:K365, M363:M371)</f>
        <v>-4.5474735088646412E-12</v>
      </c>
      <c r="D373" s="12" t="s">
        <v>273</v>
      </c>
      <c r="P373" s="215"/>
      <c r="Q373" s="172"/>
      <c r="R373" s="172"/>
      <c r="S373" s="172"/>
      <c r="T373" s="172"/>
      <c r="U373" s="173"/>
    </row>
    <row r="374" spans="1:21" ht="16.95" customHeight="1" x14ac:dyDescent="0.3">
      <c r="A374" s="12" t="str">
        <f>A364</f>
        <v>C1Y</v>
      </c>
      <c r="B374" s="13" t="s">
        <v>220</v>
      </c>
      <c r="C374" s="17">
        <v>6500.0000000000009</v>
      </c>
      <c r="D374" s="12" t="s">
        <v>273</v>
      </c>
      <c r="P374" s="215"/>
      <c r="Q374" s="172"/>
      <c r="R374" s="172"/>
      <c r="S374" s="172"/>
      <c r="T374" s="172"/>
      <c r="U374" s="173"/>
    </row>
    <row r="375" spans="1:21" ht="16.95" customHeight="1" x14ac:dyDescent="0.3">
      <c r="A375" s="12" t="str">
        <f>A365</f>
        <v>C3Y</v>
      </c>
      <c r="C375" s="17">
        <v>6500.0000000000027</v>
      </c>
      <c r="D375" s="12" t="s">
        <v>273</v>
      </c>
      <c r="P375" s="215"/>
      <c r="Q375" s="172"/>
      <c r="R375" s="172"/>
      <c r="S375" s="172"/>
      <c r="T375" s="172"/>
      <c r="U375" s="173"/>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7.2206660441954632E-2</v>
      </c>
    </row>
    <row r="383" spans="1:21" ht="19.05" customHeight="1" x14ac:dyDescent="0.3">
      <c r="A383" s="12" t="s">
        <v>231</v>
      </c>
      <c r="B383" s="12" t="s">
        <v>181</v>
      </c>
      <c r="D383" s="94">
        <f t="shared" si="50"/>
        <v>-0.29411764705882359</v>
      </c>
    </row>
    <row r="384" spans="1:21" ht="19.05" customHeight="1" x14ac:dyDescent="0.3">
      <c r="A384" s="12" t="s">
        <v>232</v>
      </c>
      <c r="B384" s="12" t="s">
        <v>182</v>
      </c>
      <c r="D384" s="94">
        <f t="shared" si="50"/>
        <v>0.14441332088390921</v>
      </c>
    </row>
    <row r="385" spans="1:21" ht="19.05" customHeight="1" x14ac:dyDescent="0.3">
      <c r="A385" s="12" t="s">
        <v>234</v>
      </c>
      <c r="B385" s="12" t="s">
        <v>183</v>
      </c>
      <c r="D385" s="94">
        <f t="shared" si="50"/>
        <v>0</v>
      </c>
    </row>
    <row r="386" spans="1:21" ht="19.05" customHeight="1" x14ac:dyDescent="0.3">
      <c r="A386" s="12" t="s">
        <v>235</v>
      </c>
      <c r="B386" s="12" t="s">
        <v>184</v>
      </c>
      <c r="D386" s="94">
        <f t="shared" si="50"/>
        <v>0.13756613756613767</v>
      </c>
    </row>
    <row r="387" spans="1:21" ht="19.05" customHeight="1" x14ac:dyDescent="0.3">
      <c r="A387" s="12" t="s">
        <v>236</v>
      </c>
      <c r="B387" s="12" t="s">
        <v>185</v>
      </c>
      <c r="D387" s="94">
        <f t="shared" si="50"/>
        <v>-3.6764705882352949E-2</v>
      </c>
    </row>
    <row r="388" spans="1:21" ht="19.05" customHeight="1" x14ac:dyDescent="0.3">
      <c r="A388" s="12" t="s">
        <v>237</v>
      </c>
      <c r="B388" s="12" t="s">
        <v>186</v>
      </c>
      <c r="D388" s="94">
        <f t="shared" si="50"/>
        <v>7.2206660441954632E-2</v>
      </c>
    </row>
    <row r="389" spans="1:21" ht="19.05" customHeight="1" x14ac:dyDescent="0.3">
      <c r="A389" s="12" t="s">
        <v>238</v>
      </c>
      <c r="B389" s="12" t="s">
        <v>187</v>
      </c>
      <c r="D389" s="94">
        <f t="shared" si="50"/>
        <v>-0.28431372549019618</v>
      </c>
    </row>
    <row r="390" spans="1:21" ht="19.05" customHeight="1" x14ac:dyDescent="0.3">
      <c r="A390" s="12" t="s">
        <v>239</v>
      </c>
      <c r="B390" s="12" t="s">
        <v>188</v>
      </c>
      <c r="D390" s="94">
        <f t="shared" si="50"/>
        <v>6.847183317771603E-3</v>
      </c>
    </row>
    <row r="391" spans="1:21" ht="19.05" customHeight="1" x14ac:dyDescent="0.3">
      <c r="A391" s="12" t="s">
        <v>240</v>
      </c>
      <c r="B391" s="12" t="s">
        <v>189</v>
      </c>
      <c r="D391" s="94">
        <f t="shared" si="50"/>
        <v>-3.6764705882352949E-2</v>
      </c>
    </row>
    <row r="394" spans="1:21" ht="19.95" customHeight="1" x14ac:dyDescent="0.35">
      <c r="A394" s="11" t="s">
        <v>275</v>
      </c>
      <c r="P394" s="216" t="s">
        <v>276</v>
      </c>
      <c r="Q394" s="172"/>
      <c r="R394" s="172"/>
      <c r="S394" s="172"/>
      <c r="T394" s="172"/>
      <c r="U394" s="173"/>
    </row>
    <row r="395" spans="1:21" ht="16.95" customHeight="1" x14ac:dyDescent="0.3">
      <c r="P395" s="215" t="s">
        <v>395</v>
      </c>
      <c r="Q395" s="172"/>
      <c r="R395" s="172"/>
      <c r="S395" s="172"/>
      <c r="T395" s="172"/>
      <c r="U395" s="173"/>
    </row>
    <row r="396" spans="1:21" ht="16.95" customHeight="1" x14ac:dyDescent="0.3">
      <c r="A396" s="19" t="s">
        <v>278</v>
      </c>
      <c r="C396" s="19" t="s">
        <v>279</v>
      </c>
      <c r="D396" s="19" t="s">
        <v>280</v>
      </c>
      <c r="E396" s="19" t="s">
        <v>279</v>
      </c>
      <c r="F396" s="19" t="s">
        <v>280</v>
      </c>
      <c r="G396" s="19" t="s">
        <v>249</v>
      </c>
      <c r="P396" s="215" t="s">
        <v>396</v>
      </c>
      <c r="Q396" s="172"/>
      <c r="R396" s="172"/>
      <c r="S396" s="172"/>
      <c r="T396" s="172"/>
      <c r="U396" s="173"/>
    </row>
    <row r="397" spans="1:21" ht="16.95" customHeight="1" x14ac:dyDescent="0.3">
      <c r="C397" s="19" t="s">
        <v>282</v>
      </c>
      <c r="D397" s="19" t="s">
        <v>282</v>
      </c>
      <c r="E397" s="19" t="s">
        <v>283</v>
      </c>
      <c r="F397" s="19" t="s">
        <v>283</v>
      </c>
      <c r="P397" s="215" t="s">
        <v>397</v>
      </c>
      <c r="Q397" s="172"/>
      <c r="R397" s="172"/>
      <c r="S397" s="172"/>
      <c r="T397" s="172"/>
      <c r="U397" s="173"/>
    </row>
    <row r="398" spans="1:21" ht="16.95" customHeight="1" x14ac:dyDescent="0.3">
      <c r="A398" s="17">
        <f>N6</f>
        <v>63000</v>
      </c>
      <c r="C398" s="92">
        <f>-J6</f>
        <v>-1</v>
      </c>
      <c r="D398" s="92">
        <f>-K6</f>
        <v>0</v>
      </c>
      <c r="E398" s="92">
        <f>J6</f>
        <v>1</v>
      </c>
      <c r="F398" s="92">
        <f>K6</f>
        <v>0</v>
      </c>
      <c r="G398" s="96">
        <f>IFERROR(VLOOKUP(H398, A$380:D$391, 4, FALSE), 0)</f>
        <v>0</v>
      </c>
      <c r="H398" s="12" t="str">
        <f>"D" &amp; C20 &amp; "X"</f>
        <v>D1X</v>
      </c>
      <c r="P398" s="215" t="s">
        <v>398</v>
      </c>
      <c r="Q398" s="172"/>
      <c r="R398" s="172"/>
      <c r="S398" s="172"/>
      <c r="T398" s="172"/>
      <c r="U398" s="173"/>
    </row>
    <row r="399" spans="1:21" ht="16.95" customHeight="1" x14ac:dyDescent="0.3">
      <c r="A399" s="99" t="s">
        <v>285</v>
      </c>
      <c r="B399" s="97">
        <f>(MMULT(C398:F398, G398:G401)*A398)</f>
        <v>4549.0196078431418</v>
      </c>
      <c r="G399" s="96">
        <f>IFERROR(VLOOKUP(H399, A$380:D$391, 4, FALSE), 0)</f>
        <v>0</v>
      </c>
      <c r="H399" s="12" t="str">
        <f>"D" &amp; D20 &amp; "Y"</f>
        <v>D1Y</v>
      </c>
      <c r="P399" s="215" t="s">
        <v>399</v>
      </c>
      <c r="Q399" s="172"/>
      <c r="R399" s="172"/>
      <c r="S399" s="172"/>
      <c r="T399" s="172"/>
      <c r="U399" s="173"/>
    </row>
    <row r="400" spans="1:21" ht="16.95" customHeight="1" x14ac:dyDescent="0.3">
      <c r="G400" s="96">
        <f>IFERROR(VLOOKUP(H400, A$380:D$391, 4, FALSE), 0)</f>
        <v>7.2206660441954632E-2</v>
      </c>
      <c r="H400" s="12" t="str">
        <f>"D" &amp; E20 &amp; "X"</f>
        <v>D2X</v>
      </c>
      <c r="P400" s="215" t="s">
        <v>400</v>
      </c>
      <c r="Q400" s="172"/>
      <c r="R400" s="172"/>
      <c r="S400" s="172"/>
      <c r="T400" s="172"/>
      <c r="U400" s="173"/>
    </row>
    <row r="401" spans="1:21" ht="16.95" customHeight="1" x14ac:dyDescent="0.3">
      <c r="G401" s="96">
        <f>IFERROR(VLOOKUP(H401, A$380:D$391, 4, FALSE), 0)</f>
        <v>-0.29411764705882359</v>
      </c>
      <c r="H401" s="12" t="str">
        <f>"D" &amp; F20 &amp; "Y"</f>
        <v>D2Y</v>
      </c>
      <c r="P401" s="215" t="s">
        <v>401</v>
      </c>
      <c r="Q401" s="172"/>
      <c r="R401" s="172"/>
      <c r="S401" s="172"/>
      <c r="T401" s="172"/>
      <c r="U401" s="173"/>
    </row>
    <row r="402" spans="1:21" ht="16.95" customHeight="1" x14ac:dyDescent="0.3">
      <c r="B402" s="99" t="s">
        <v>273</v>
      </c>
      <c r="C402" s="178" t="str">
        <f>IF(B399&gt;0.001,"BARRA A TRACCIÓN (+)",IF(B399&lt;-0.001,"BARRA A COMPRESIÓN (-)","BARRA DE FUERZA NULA"))</f>
        <v>BARRA A TRACCIÓN (+)</v>
      </c>
      <c r="D402" s="172"/>
      <c r="E402" s="172"/>
      <c r="F402" s="173"/>
      <c r="P402" s="215" t="s">
        <v>402</v>
      </c>
      <c r="Q402" s="172"/>
      <c r="R402" s="172"/>
      <c r="S402" s="172"/>
      <c r="T402" s="172"/>
      <c r="U402" s="173"/>
    </row>
    <row r="403" spans="1:21" ht="16.95" customHeight="1" x14ac:dyDescent="0.3">
      <c r="P403" s="215" t="s">
        <v>403</v>
      </c>
      <c r="Q403" s="172"/>
      <c r="R403" s="172"/>
      <c r="S403" s="172"/>
      <c r="T403" s="172"/>
      <c r="U403" s="173"/>
    </row>
    <row r="404" spans="1:21" ht="16.95" customHeight="1" x14ac:dyDescent="0.3">
      <c r="A404" s="19" t="s">
        <v>278</v>
      </c>
      <c r="C404" s="19" t="s">
        <v>279</v>
      </c>
      <c r="D404" s="19" t="s">
        <v>280</v>
      </c>
      <c r="E404" s="19" t="s">
        <v>279</v>
      </c>
      <c r="F404" s="19" t="s">
        <v>280</v>
      </c>
      <c r="G404" s="19" t="s">
        <v>249</v>
      </c>
      <c r="P404" s="215"/>
      <c r="Q404" s="172"/>
      <c r="R404" s="172"/>
      <c r="S404" s="172"/>
      <c r="T404" s="172"/>
      <c r="U404" s="173"/>
    </row>
    <row r="405" spans="1:21" ht="16.95" customHeight="1" x14ac:dyDescent="0.3">
      <c r="C405" s="19" t="s">
        <v>282</v>
      </c>
      <c r="D405" s="19" t="s">
        <v>282</v>
      </c>
      <c r="E405" s="19" t="s">
        <v>283</v>
      </c>
      <c r="F405" s="19" t="s">
        <v>283</v>
      </c>
      <c r="P405" s="215"/>
      <c r="Q405" s="172"/>
      <c r="R405" s="172"/>
      <c r="S405" s="172"/>
      <c r="T405" s="172"/>
      <c r="U405" s="173"/>
    </row>
    <row r="406" spans="1:21" ht="16.95" customHeight="1" x14ac:dyDescent="0.3">
      <c r="A406" s="17">
        <f>N7</f>
        <v>63000</v>
      </c>
      <c r="C406" s="92">
        <f>-J7</f>
        <v>-1</v>
      </c>
      <c r="D406" s="92">
        <f>-K7</f>
        <v>0</v>
      </c>
      <c r="E406" s="92">
        <f>J7</f>
        <v>1</v>
      </c>
      <c r="F406" s="92">
        <f>K7</f>
        <v>0</v>
      </c>
      <c r="G406" s="96">
        <f>IFERROR(VLOOKUP(H406, A$380:D$391, 4, FALSE), 0)</f>
        <v>7.2206660441954632E-2</v>
      </c>
      <c r="H406" s="12" t="str">
        <f>"D" &amp; C21 &amp; "X"</f>
        <v>D2X</v>
      </c>
      <c r="P406" s="215"/>
      <c r="Q406" s="172"/>
      <c r="R406" s="172"/>
      <c r="S406" s="172"/>
      <c r="T406" s="172"/>
      <c r="U406" s="173"/>
    </row>
    <row r="407" spans="1:21" ht="16.95" customHeight="1" x14ac:dyDescent="0.3">
      <c r="A407" s="99" t="s">
        <v>286</v>
      </c>
      <c r="B407" s="97">
        <f>(MMULT(C406:F406, G406:G409)*A406)</f>
        <v>4549.0196078431381</v>
      </c>
      <c r="G407" s="96">
        <f>IFERROR(VLOOKUP(H407, A$380:D$391, 4, FALSE), 0)</f>
        <v>-0.29411764705882359</v>
      </c>
      <c r="H407" s="12" t="str">
        <f>"D" &amp; D21 &amp; "Y"</f>
        <v>D2Y</v>
      </c>
      <c r="P407" s="215"/>
      <c r="Q407" s="172"/>
      <c r="R407" s="172"/>
      <c r="S407" s="172"/>
      <c r="T407" s="172"/>
      <c r="U407" s="173"/>
    </row>
    <row r="408" spans="1:21" ht="16.95" customHeight="1" x14ac:dyDescent="0.3">
      <c r="G408" s="96">
        <f>IFERROR(VLOOKUP(H408, A$380:D$391, 4, FALSE), 0)</f>
        <v>0.14441332088390921</v>
      </c>
      <c r="H408" s="12" t="str">
        <f>"D" &amp; E21 &amp; "X"</f>
        <v>D3X</v>
      </c>
      <c r="P408" s="215"/>
      <c r="Q408" s="172"/>
      <c r="R408" s="172"/>
      <c r="S408" s="172"/>
      <c r="T408" s="172"/>
      <c r="U408" s="173"/>
    </row>
    <row r="409" spans="1:21" ht="16.95" customHeight="1" x14ac:dyDescent="0.3">
      <c r="G409" s="96">
        <f>IFERROR(VLOOKUP(H409, A$380:D$391, 4, FALSE), 0)</f>
        <v>0</v>
      </c>
      <c r="H409" s="12" t="str">
        <f>"D" &amp; F21 &amp; "Y"</f>
        <v>D3Y</v>
      </c>
      <c r="P409" s="215"/>
      <c r="Q409" s="172"/>
      <c r="R409" s="172"/>
      <c r="S409" s="172"/>
      <c r="T409" s="172"/>
      <c r="U409" s="173"/>
    </row>
    <row r="410" spans="1:21" ht="16.95" customHeight="1" x14ac:dyDescent="0.3">
      <c r="B410" s="99" t="s">
        <v>273</v>
      </c>
      <c r="C410" s="178" t="str">
        <f>IF(B407&gt;0.001,"BARRA A TRACCIÓN (+)",IF(B407&lt;-0.001,"BARRA A COMPRESIÓN (-)","BARRA DE FUERZA NULA"))</f>
        <v>BARRA A TRACCIÓN (+)</v>
      </c>
      <c r="D410" s="172"/>
      <c r="E410" s="172"/>
      <c r="F410" s="173"/>
      <c r="P410" s="215"/>
      <c r="Q410" s="172"/>
      <c r="R410" s="172"/>
      <c r="S410" s="172"/>
      <c r="T410" s="172"/>
      <c r="U410" s="173"/>
    </row>
    <row r="411" spans="1:21" ht="16.95" customHeight="1" x14ac:dyDescent="0.3">
      <c r="P411" s="215"/>
      <c r="Q411" s="172"/>
      <c r="R411" s="172"/>
      <c r="S411" s="172"/>
      <c r="T411" s="172"/>
      <c r="U411" s="173"/>
    </row>
    <row r="412" spans="1:21" ht="16.95" customHeight="1" x14ac:dyDescent="0.3">
      <c r="A412" s="19" t="s">
        <v>278</v>
      </c>
      <c r="C412" s="19" t="s">
        <v>279</v>
      </c>
      <c r="D412" s="19" t="s">
        <v>280</v>
      </c>
      <c r="E412" s="19" t="s">
        <v>279</v>
      </c>
      <c r="F412" s="19" t="s">
        <v>280</v>
      </c>
      <c r="G412" s="19" t="s">
        <v>249</v>
      </c>
      <c r="P412" s="215"/>
      <c r="Q412" s="172"/>
      <c r="R412" s="172"/>
      <c r="S412" s="172"/>
      <c r="T412" s="172"/>
      <c r="U412" s="173"/>
    </row>
    <row r="413" spans="1:21" ht="16.95" customHeight="1" x14ac:dyDescent="0.3">
      <c r="C413" s="19" t="s">
        <v>282</v>
      </c>
      <c r="D413" s="19" t="s">
        <v>282</v>
      </c>
      <c r="E413" s="19" t="s">
        <v>283</v>
      </c>
      <c r="F413" s="19" t="s">
        <v>283</v>
      </c>
      <c r="P413" s="215"/>
      <c r="Q413" s="172"/>
      <c r="R413" s="172"/>
      <c r="S413" s="172"/>
      <c r="T413" s="172"/>
      <c r="U413" s="173"/>
    </row>
    <row r="414" spans="1:21" ht="16.95" customHeight="1" x14ac:dyDescent="0.3">
      <c r="A414" s="17">
        <f>N8</f>
        <v>63000</v>
      </c>
      <c r="C414" s="92">
        <f>-J8</f>
        <v>-1</v>
      </c>
      <c r="D414" s="92">
        <f>-K8</f>
        <v>0</v>
      </c>
      <c r="E414" s="92">
        <f>J8</f>
        <v>1</v>
      </c>
      <c r="F414" s="92">
        <f>K8</f>
        <v>0</v>
      </c>
      <c r="G414" s="96">
        <f>IFERROR(VLOOKUP(H414, A$380:D$391, 4, FALSE), 0)</f>
        <v>0.13756613756613767</v>
      </c>
      <c r="H414" s="12" t="str">
        <f>"D" &amp; C22 &amp; "X"</f>
        <v>D4X</v>
      </c>
      <c r="P414" s="215"/>
      <c r="Q414" s="172"/>
      <c r="R414" s="172"/>
      <c r="S414" s="172"/>
      <c r="T414" s="172"/>
      <c r="U414" s="173"/>
    </row>
    <row r="415" spans="1:21" ht="16.95" customHeight="1" x14ac:dyDescent="0.3">
      <c r="A415" s="99" t="s">
        <v>287</v>
      </c>
      <c r="B415" s="97">
        <f>(MMULT(C414:F414, G414:G417)*A414)</f>
        <v>-4117.6470588235316</v>
      </c>
      <c r="G415" s="96">
        <f>IFERROR(VLOOKUP(H415, A$380:D$391, 4, FALSE), 0)</f>
        <v>-3.6764705882352949E-2</v>
      </c>
      <c r="H415" s="12" t="str">
        <f>"D" &amp; D22 &amp; "Y"</f>
        <v>D4Y</v>
      </c>
      <c r="P415" s="215"/>
      <c r="Q415" s="172"/>
      <c r="R415" s="172"/>
      <c r="S415" s="172"/>
      <c r="T415" s="172"/>
      <c r="U415" s="173"/>
    </row>
    <row r="416" spans="1:21" ht="16.95" customHeight="1" x14ac:dyDescent="0.3">
      <c r="G416" s="96">
        <f>IFERROR(VLOOKUP(H416, A$380:D$391, 4, FALSE), 0)</f>
        <v>7.2206660441954632E-2</v>
      </c>
      <c r="H416" s="12" t="str">
        <f>"D" &amp; E22 &amp; "X"</f>
        <v>D5X</v>
      </c>
      <c r="P416" s="215"/>
      <c r="Q416" s="172"/>
      <c r="R416" s="172"/>
      <c r="S416" s="172"/>
      <c r="T416" s="172"/>
      <c r="U416" s="173"/>
    </row>
    <row r="417" spans="1:21" ht="16.95" customHeight="1" x14ac:dyDescent="0.3">
      <c r="G417" s="96">
        <f>IFERROR(VLOOKUP(H417, A$380:D$391, 4, FALSE), 0)</f>
        <v>-0.28431372549019618</v>
      </c>
      <c r="H417" s="12" t="str">
        <f>"D" &amp; F22 &amp; "Y"</f>
        <v>D5Y</v>
      </c>
      <c r="P417" s="215"/>
      <c r="Q417" s="172"/>
      <c r="R417" s="172"/>
      <c r="S417" s="172"/>
      <c r="T417" s="172"/>
      <c r="U417" s="173"/>
    </row>
    <row r="418" spans="1:21" ht="16.95" customHeight="1" x14ac:dyDescent="0.3">
      <c r="B418" s="99" t="s">
        <v>273</v>
      </c>
      <c r="C418" s="178" t="str">
        <f>IF(B415&gt;0.001,"BARRA A TRACCIÓN (+)",IF(B415&lt;-0.001,"BARRA A COMPRESIÓN (-)","BARRA DE FUERZA NULA"))</f>
        <v>BARRA A COMPRESIÓN (-)</v>
      </c>
      <c r="D418" s="172"/>
      <c r="E418" s="172"/>
      <c r="F418" s="173"/>
      <c r="P418" s="215"/>
      <c r="Q418" s="172"/>
      <c r="R418" s="172"/>
      <c r="S418" s="172"/>
      <c r="T418" s="172"/>
      <c r="U418" s="173"/>
    </row>
    <row r="419" spans="1:21" ht="16.95" customHeight="1" x14ac:dyDescent="0.3">
      <c r="P419" s="215"/>
      <c r="Q419" s="172"/>
      <c r="R419" s="172"/>
      <c r="S419" s="172"/>
      <c r="T419" s="172"/>
      <c r="U419" s="173"/>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63000</v>
      </c>
      <c r="C422" s="92">
        <f>-J9</f>
        <v>-1</v>
      </c>
      <c r="D422" s="92">
        <f>-K9</f>
        <v>0</v>
      </c>
      <c r="E422" s="92">
        <f>J9</f>
        <v>1</v>
      </c>
      <c r="F422" s="92">
        <f>K9</f>
        <v>0</v>
      </c>
      <c r="G422" s="96">
        <f>IFERROR(VLOOKUP(H422, A$380:D$391, 4, FALSE), 0)</f>
        <v>7.2206660441954632E-2</v>
      </c>
      <c r="H422" s="12" t="str">
        <f>"D" &amp; C23 &amp; "X"</f>
        <v>D5X</v>
      </c>
    </row>
    <row r="423" spans="1:21" ht="19.95" customHeight="1" x14ac:dyDescent="0.3">
      <c r="A423" s="99" t="s">
        <v>288</v>
      </c>
      <c r="B423" s="97">
        <f>(MMULT(C422:F422, G422:G425)*A422)</f>
        <v>-4117.6470588235306</v>
      </c>
      <c r="G423" s="96">
        <f>IFERROR(VLOOKUP(H423, A$380:D$391, 4, FALSE), 0)</f>
        <v>-0.28431372549019618</v>
      </c>
      <c r="H423" s="12" t="str">
        <f>"D" &amp; D23 &amp; "Y"</f>
        <v>D5Y</v>
      </c>
    </row>
    <row r="424" spans="1:21" ht="19.95" customHeight="1" x14ac:dyDescent="0.3">
      <c r="G424" s="96">
        <f>IFERROR(VLOOKUP(H424, A$380:D$391, 4, FALSE), 0)</f>
        <v>6.847183317771603E-3</v>
      </c>
      <c r="H424" s="12" t="str">
        <f>"D" &amp; E23 &amp; "X"</f>
        <v>D6X</v>
      </c>
    </row>
    <row r="425" spans="1:21" ht="19.95" customHeight="1" x14ac:dyDescent="0.3">
      <c r="G425" s="96">
        <f>IFERROR(VLOOKUP(H425, A$380:D$391, 4, FALSE), 0)</f>
        <v>-3.6764705882352949E-2</v>
      </c>
      <c r="H425" s="12" t="str">
        <f>"D" &amp; F23 &amp; "Y"</f>
        <v>D6Y</v>
      </c>
    </row>
    <row r="426" spans="1:21" ht="19.95" customHeight="1" x14ac:dyDescent="0.3">
      <c r="B426" s="99" t="s">
        <v>273</v>
      </c>
      <c r="C426" s="178" t="str">
        <f>IF(B423&gt;0.001,"BARRA A TRACCIÓN (+)",IF(B423&lt;-0.001,"BARRA A COMPRESIÓN (-)","BARRA DE FUERZA NULA"))</f>
        <v>BARRA A COMPRESIÓN (-)</v>
      </c>
      <c r="D426" s="172"/>
      <c r="E426" s="172"/>
      <c r="F426" s="173"/>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84000</v>
      </c>
      <c r="C430" s="92">
        <f>-J10</f>
        <v>0</v>
      </c>
      <c r="D430" s="92">
        <f>-K10</f>
        <v>-1</v>
      </c>
      <c r="E430" s="92">
        <f>J10</f>
        <v>0</v>
      </c>
      <c r="F430" s="92">
        <f>K10</f>
        <v>1</v>
      </c>
      <c r="G430" s="96">
        <f>IFERROR(VLOOKUP(H430, A$380:D$391, 4, FALSE), 0)</f>
        <v>0</v>
      </c>
      <c r="H430" s="12" t="str">
        <f>"D" &amp; C24 &amp; "X"</f>
        <v>D1X</v>
      </c>
    </row>
    <row r="431" spans="1:21" ht="19.95" customHeight="1" x14ac:dyDescent="0.3">
      <c r="A431" s="99" t="s">
        <v>289</v>
      </c>
      <c r="B431" s="97">
        <f>(MMULT(C430:F430, G430:G433)*A430)</f>
        <v>-3088.2352941176478</v>
      </c>
      <c r="G431" s="96">
        <f>IFERROR(VLOOKUP(H431, A$380:D$391, 4, FALSE), 0)</f>
        <v>0</v>
      </c>
      <c r="H431" s="12" t="str">
        <f>"D" &amp; D24 &amp; "Y"</f>
        <v>D1Y</v>
      </c>
    </row>
    <row r="432" spans="1:21" ht="19.95" customHeight="1" x14ac:dyDescent="0.3">
      <c r="G432" s="96">
        <f>IFERROR(VLOOKUP(H432, A$380:D$391, 4, FALSE), 0)</f>
        <v>0.13756613756613767</v>
      </c>
      <c r="H432" s="12" t="str">
        <f>"D" &amp; E24 &amp; "X"</f>
        <v>D4X</v>
      </c>
    </row>
    <row r="433" spans="1:8" ht="19.95" customHeight="1" x14ac:dyDescent="0.3">
      <c r="G433" s="96">
        <f>IFERROR(VLOOKUP(H433, A$380:D$391, 4, FALSE), 0)</f>
        <v>-3.6764705882352949E-2</v>
      </c>
      <c r="H433" s="12" t="str">
        <f>"D" &amp; F24 &amp; "Y"</f>
        <v>D4Y</v>
      </c>
    </row>
    <row r="434" spans="1:8" ht="19.95" customHeight="1" x14ac:dyDescent="0.3">
      <c r="B434" s="99" t="s">
        <v>273</v>
      </c>
      <c r="C434" s="178" t="str">
        <f>IF(B431&gt;0.001,"BARRA A TRACCIÓN (+)",IF(B431&lt;-0.001,"BARRA A COMPRESIÓN (-)","BARRA DE FUERZA NULA"))</f>
        <v>BARRA A COMPRESIÓN (-)</v>
      </c>
      <c r="D434" s="172"/>
      <c r="E434" s="172"/>
      <c r="F434" s="173"/>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7.2206660441954632E-2</v>
      </c>
      <c r="H438" s="12" t="str">
        <f>"D" &amp; C25 &amp; "X"</f>
        <v>D2X</v>
      </c>
    </row>
    <row r="439" spans="1:8" ht="19.95" customHeight="1" x14ac:dyDescent="0.3">
      <c r="A439" s="99" t="s">
        <v>290</v>
      </c>
      <c r="B439" s="97">
        <f>(MMULT(C438:F438, G438:G441)*A438)</f>
        <v>823.5294117647029</v>
      </c>
      <c r="G439" s="96">
        <f>IFERROR(VLOOKUP(H439, A$380:D$391, 4, FALSE), 0)</f>
        <v>-0.29411764705882359</v>
      </c>
      <c r="H439" s="12" t="str">
        <f>"D" &amp; D25 &amp; "Y"</f>
        <v>D2Y</v>
      </c>
    </row>
    <row r="440" spans="1:8" ht="19.95" customHeight="1" x14ac:dyDescent="0.3">
      <c r="G440" s="96">
        <f>IFERROR(VLOOKUP(H440, A$380:D$391, 4, FALSE), 0)</f>
        <v>7.2206660441954632E-2</v>
      </c>
      <c r="H440" s="12" t="str">
        <f>"D" &amp; E25 &amp; "X"</f>
        <v>D5X</v>
      </c>
    </row>
    <row r="441" spans="1:8" ht="19.95" customHeight="1" x14ac:dyDescent="0.3">
      <c r="G441" s="96">
        <f>IFERROR(VLOOKUP(H441, A$380:D$391, 4, FALSE), 0)</f>
        <v>-0.28431372549019618</v>
      </c>
      <c r="H441" s="12" t="str">
        <f>"D" &amp; F25 &amp; "Y"</f>
        <v>D5Y</v>
      </c>
    </row>
    <row r="442" spans="1:8" ht="19.95" customHeight="1" x14ac:dyDescent="0.3">
      <c r="B442" s="99" t="s">
        <v>273</v>
      </c>
      <c r="C442" s="178" t="str">
        <f>IF(B439&gt;0.001,"BARRA A TRACCIÓN (+)",IF(B439&lt;-0.001,"BARRA A COMPRESIÓN (-)","BARRA DE FUERZA NULA"))</f>
        <v>BARRA A TRACCIÓN (+)</v>
      </c>
      <c r="D442" s="172"/>
      <c r="E442" s="172"/>
      <c r="F442" s="173"/>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84000</v>
      </c>
      <c r="C446" s="92">
        <f>-J12</f>
        <v>0</v>
      </c>
      <c r="D446" s="92">
        <f>-K12</f>
        <v>-1</v>
      </c>
      <c r="E446" s="92">
        <f>J12</f>
        <v>0</v>
      </c>
      <c r="F446" s="92">
        <f>K12</f>
        <v>1</v>
      </c>
      <c r="G446" s="96">
        <f>IFERROR(VLOOKUP(H446, A$380:D$391, 4, FALSE), 0)</f>
        <v>0.14441332088390921</v>
      </c>
      <c r="H446" s="12" t="str">
        <f>"D" &amp; C26 &amp; "X"</f>
        <v>D3X</v>
      </c>
    </row>
    <row r="447" spans="1:8" ht="19.95" customHeight="1" x14ac:dyDescent="0.3">
      <c r="A447" s="99" t="s">
        <v>291</v>
      </c>
      <c r="B447" s="97">
        <f>(MMULT(C446:F446, G446:G449)*A446)</f>
        <v>-3088.2352941176478</v>
      </c>
      <c r="G447" s="96">
        <f>IFERROR(VLOOKUP(H447, A$380:D$391, 4, FALSE), 0)</f>
        <v>0</v>
      </c>
      <c r="H447" s="12" t="str">
        <f>"D" &amp; D26 &amp; "Y"</f>
        <v>D3Y</v>
      </c>
    </row>
    <row r="448" spans="1:8" ht="19.95" customHeight="1" x14ac:dyDescent="0.3">
      <c r="G448" s="96">
        <f>IFERROR(VLOOKUP(H448, A$380:D$391, 4, FALSE), 0)</f>
        <v>6.847183317771603E-3</v>
      </c>
      <c r="H448" s="12" t="str">
        <f>"D" &amp; E26 &amp; "X"</f>
        <v>D6X</v>
      </c>
    </row>
    <row r="449" spans="1:8" ht="19.95" customHeight="1" x14ac:dyDescent="0.3">
      <c r="G449" s="96">
        <f>IFERROR(VLOOKUP(H449, A$380:D$391, 4, FALSE), 0)</f>
        <v>-3.6764705882352949E-2</v>
      </c>
      <c r="H449" s="12" t="str">
        <f>"D" &amp; F26 &amp; "Y"</f>
        <v>D6Y</v>
      </c>
    </row>
    <row r="450" spans="1:8" ht="19.95" customHeight="1" x14ac:dyDescent="0.3">
      <c r="B450" s="99" t="s">
        <v>273</v>
      </c>
      <c r="C450" s="178" t="str">
        <f>IF(B447&gt;0.001,"BARRA A TRACCIÓN (+)",IF(B447&lt;-0.001,"BARRA A COMPRESIÓN (-)","BARRA DE FUERZA NULA"))</f>
        <v>BARRA A COMPRESIÓN (-)</v>
      </c>
      <c r="D450" s="172"/>
      <c r="E450" s="172"/>
      <c r="F450" s="173"/>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50400</v>
      </c>
      <c r="C454" s="92">
        <f>-J13</f>
        <v>-0.8</v>
      </c>
      <c r="D454" s="92">
        <f>-K13</f>
        <v>-0.6</v>
      </c>
      <c r="E454" s="92">
        <f>J13</f>
        <v>0.8</v>
      </c>
      <c r="F454" s="92">
        <f>K13</f>
        <v>0.6</v>
      </c>
      <c r="G454" s="96">
        <f>IFERROR(VLOOKUP(H454, A$380:D$391, 4, FALSE), 0)</f>
        <v>0</v>
      </c>
      <c r="H454" s="12" t="str">
        <f>"D" &amp; C27 &amp; "X"</f>
        <v>D1X</v>
      </c>
    </row>
    <row r="455" spans="1:8" ht="19.95" customHeight="1" x14ac:dyDescent="0.3">
      <c r="A455" s="99" t="s">
        <v>292</v>
      </c>
      <c r="B455" s="97">
        <f>(MMULT(C454:F454, G454:G457)*A454)</f>
        <v>-5686.2745098039213</v>
      </c>
      <c r="G455" s="96">
        <f>IFERROR(VLOOKUP(H455, A$380:D$391, 4, FALSE), 0)</f>
        <v>0</v>
      </c>
      <c r="H455" s="12" t="str">
        <f>"D" &amp; D27 &amp; "Y"</f>
        <v>D1Y</v>
      </c>
    </row>
    <row r="456" spans="1:8" ht="19.95" customHeight="1" x14ac:dyDescent="0.3">
      <c r="G456" s="96">
        <f>IFERROR(VLOOKUP(H456, A$380:D$391, 4, FALSE), 0)</f>
        <v>7.2206660441954632E-2</v>
      </c>
      <c r="H456" s="12" t="str">
        <f>"D" &amp; E27 &amp; "X"</f>
        <v>D5X</v>
      </c>
    </row>
    <row r="457" spans="1:8" ht="19.95" customHeight="1" x14ac:dyDescent="0.3">
      <c r="G457" s="96">
        <f>IFERROR(VLOOKUP(H457, A$380:D$391, 4, FALSE), 0)</f>
        <v>-0.28431372549019618</v>
      </c>
      <c r="H457" s="12" t="str">
        <f>"D" &amp; F27 &amp; "Y"</f>
        <v>D5Y</v>
      </c>
    </row>
    <row r="458" spans="1:8" ht="19.95" customHeight="1" x14ac:dyDescent="0.3">
      <c r="B458" s="99" t="s">
        <v>273</v>
      </c>
      <c r="C458" s="178" t="str">
        <f>IF(B455&gt;0.001,"BARRA A TRACCIÓN (+)",IF(B455&lt;-0.001,"BARRA A COMPRESIÓN (-)","BARRA DE FUERZA NULA"))</f>
        <v>BARRA A COMPRESIÓN (-)</v>
      </c>
      <c r="D458" s="172"/>
      <c r="E458" s="172"/>
      <c r="F458" s="173"/>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50400</v>
      </c>
      <c r="C462" s="92">
        <f>-J14</f>
        <v>-0.8</v>
      </c>
      <c r="D462" s="92">
        <f>-K14</f>
        <v>0.6</v>
      </c>
      <c r="E462" s="92">
        <f>J14</f>
        <v>0.8</v>
      </c>
      <c r="F462" s="92">
        <f>K14</f>
        <v>-0.6</v>
      </c>
      <c r="G462" s="96">
        <f>IFERROR(VLOOKUP(H462, A$380:D$391, 4, FALSE), 0)</f>
        <v>0.13756613756613767</v>
      </c>
      <c r="H462" s="12" t="str">
        <f>"D" &amp; C28 &amp; "X"</f>
        <v>D4X</v>
      </c>
    </row>
    <row r="463" spans="1:8" ht="19.95" customHeight="1" x14ac:dyDescent="0.3">
      <c r="A463" s="99" t="s">
        <v>530</v>
      </c>
      <c r="B463" s="97">
        <f>(MMULT(C462:F462, G462:G465)*A462)</f>
        <v>5147.0588235294117</v>
      </c>
      <c r="G463" s="96">
        <f>IFERROR(VLOOKUP(H463, A$380:D$391, 4, FALSE), 0)</f>
        <v>-3.6764705882352949E-2</v>
      </c>
      <c r="H463" s="12" t="str">
        <f>"D" &amp; D28 &amp; "Y"</f>
        <v>D4Y</v>
      </c>
    </row>
    <row r="464" spans="1:8" ht="19.95" customHeight="1" x14ac:dyDescent="0.3">
      <c r="G464" s="96">
        <f>IFERROR(VLOOKUP(H464, A$380:D$391, 4, FALSE), 0)</f>
        <v>7.2206660441954632E-2</v>
      </c>
      <c r="H464" s="12" t="str">
        <f>"D" &amp; E28 &amp; "X"</f>
        <v>D2X</v>
      </c>
    </row>
    <row r="465" spans="1:8" ht="19.95" customHeight="1" x14ac:dyDescent="0.3">
      <c r="G465" s="96">
        <f>IFERROR(VLOOKUP(H465, A$380:D$391, 4, FALSE), 0)</f>
        <v>-0.29411764705882359</v>
      </c>
      <c r="H465" s="12" t="str">
        <f>"D" &amp; F28 &amp; "Y"</f>
        <v>D2Y</v>
      </c>
    </row>
    <row r="466" spans="1:8" ht="19.95" customHeight="1" x14ac:dyDescent="0.3">
      <c r="B466" s="99" t="s">
        <v>273</v>
      </c>
      <c r="C466" s="178" t="str">
        <f>IF(B463&gt;0.001,"BARRA A TRACCIÓN (+)",IF(B463&lt;-0.001,"BARRA A COMPRESIÓN (-)","BARRA DE FUERZA NULA"))</f>
        <v>BARRA A TRACCIÓN (+)</v>
      </c>
      <c r="D466" s="172"/>
      <c r="E466" s="172"/>
      <c r="F466" s="173"/>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50400</v>
      </c>
      <c r="C470" s="92">
        <f>-J15</f>
        <v>-0.8</v>
      </c>
      <c r="D470" s="92">
        <f>-K15</f>
        <v>-0.6</v>
      </c>
      <c r="E470" s="92">
        <f>J15</f>
        <v>0.8</v>
      </c>
      <c r="F470" s="92">
        <f>K15</f>
        <v>0.6</v>
      </c>
      <c r="G470" s="96">
        <f>IFERROR(VLOOKUP(H470, A$380:D$391, 4, FALSE), 0)</f>
        <v>7.2206660441954632E-2</v>
      </c>
      <c r="H470" s="12" t="str">
        <f>"D" &amp; C29 &amp; "X"</f>
        <v>D2X</v>
      </c>
    </row>
    <row r="471" spans="1:8" ht="19.95" customHeight="1" x14ac:dyDescent="0.3">
      <c r="A471" s="99" t="s">
        <v>589</v>
      </c>
      <c r="B471" s="97">
        <f>(MMULT(C470:F470, G470:G473)*A470)</f>
        <v>5147.0588235294126</v>
      </c>
      <c r="G471" s="96">
        <f>IFERROR(VLOOKUP(H471, A$380:D$391, 4, FALSE), 0)</f>
        <v>-0.29411764705882359</v>
      </c>
      <c r="H471" s="12" t="str">
        <f>"D" &amp; D29 &amp; "Y"</f>
        <v>D2Y</v>
      </c>
    </row>
    <row r="472" spans="1:8" ht="19.95" customHeight="1" x14ac:dyDescent="0.3">
      <c r="G472" s="96">
        <f>IFERROR(VLOOKUP(H472, A$380:D$391, 4, FALSE), 0)</f>
        <v>6.847183317771603E-3</v>
      </c>
      <c r="H472" s="12" t="str">
        <f>"D" &amp; E29 &amp; "X"</f>
        <v>D6X</v>
      </c>
    </row>
    <row r="473" spans="1:8" ht="19.95" customHeight="1" x14ac:dyDescent="0.3">
      <c r="G473" s="96">
        <f>IFERROR(VLOOKUP(H473, A$380:D$391, 4, FALSE), 0)</f>
        <v>-3.6764705882352949E-2</v>
      </c>
      <c r="H473" s="12" t="str">
        <f>"D" &amp; F29 &amp; "Y"</f>
        <v>D6Y</v>
      </c>
    </row>
    <row r="474" spans="1:8" ht="19.95" customHeight="1" x14ac:dyDescent="0.3">
      <c r="B474" s="99" t="s">
        <v>273</v>
      </c>
      <c r="C474" s="178" t="str">
        <f>IF(B471&gt;0.001,"BARRA A TRACCIÓN (+)",IF(B471&lt;-0.001,"BARRA A COMPRESIÓN (-)","BARRA DE FUERZA NULA"))</f>
        <v>BARRA A TRACCIÓN (+)</v>
      </c>
      <c r="D474" s="172"/>
      <c r="E474" s="172"/>
      <c r="F474" s="173"/>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50400</v>
      </c>
      <c r="C478" s="92">
        <f>-J16</f>
        <v>-0.8</v>
      </c>
      <c r="D478" s="92">
        <f>-K16</f>
        <v>0.6</v>
      </c>
      <c r="E478" s="92">
        <f>J16</f>
        <v>0.8</v>
      </c>
      <c r="F478" s="92">
        <f>K16</f>
        <v>-0.6</v>
      </c>
      <c r="G478" s="96">
        <f>IFERROR(VLOOKUP(H478, A$380:D$391, 4, FALSE), 0)</f>
        <v>7.2206660441954632E-2</v>
      </c>
      <c r="H478" s="12" t="str">
        <f>"D" &amp; C30 &amp; "X"</f>
        <v>D5X</v>
      </c>
    </row>
    <row r="479" spans="1:8" ht="19.95" customHeight="1" x14ac:dyDescent="0.3">
      <c r="A479" s="99" t="s">
        <v>590</v>
      </c>
      <c r="B479" s="97">
        <f>(MMULT(C478:F478, G478:G481)*A478)</f>
        <v>-5686.274509803924</v>
      </c>
      <c r="G479" s="96">
        <f>IFERROR(VLOOKUP(H479, A$380:D$391, 4, FALSE), 0)</f>
        <v>-0.28431372549019618</v>
      </c>
      <c r="H479" s="12" t="str">
        <f>"D" &amp; D30 &amp; "Y"</f>
        <v>D5Y</v>
      </c>
    </row>
    <row r="480" spans="1:8" ht="19.95" customHeight="1" x14ac:dyDescent="0.3">
      <c r="G480" s="96">
        <f>IFERROR(VLOOKUP(H480, A$380:D$391, 4, FALSE), 0)</f>
        <v>0.14441332088390921</v>
      </c>
      <c r="H480" s="12" t="str">
        <f>"D" &amp; E30 &amp; "X"</f>
        <v>D3X</v>
      </c>
    </row>
    <row r="481" spans="2:8" ht="19.95" customHeight="1" x14ac:dyDescent="0.3">
      <c r="G481" s="96">
        <f>IFERROR(VLOOKUP(H481, A$380:D$391, 4, FALSE), 0)</f>
        <v>0</v>
      </c>
      <c r="H481" s="12" t="str">
        <f>"D" &amp; F30 &amp; "Y"</f>
        <v>D3Y</v>
      </c>
    </row>
    <row r="482" spans="2:8" ht="19.95" customHeight="1" x14ac:dyDescent="0.3">
      <c r="B482" s="99" t="s">
        <v>273</v>
      </c>
      <c r="C482" s="178" t="str">
        <f>IF(B479&gt;0.001,"BARRA A TRACCIÓN (+)",IF(B479&lt;-0.001,"BARRA A COMPRESIÓN (-)","BARRA DE FUERZA NULA"))</f>
        <v>BARRA A COMPRESIÓN (-)</v>
      </c>
      <c r="D482" s="172"/>
      <c r="E482" s="172"/>
      <c r="F482" s="173"/>
    </row>
    <row r="485" spans="2:8" ht="22.05" customHeight="1" x14ac:dyDescent="0.3">
      <c r="B485" s="217" t="s">
        <v>404</v>
      </c>
      <c r="C485" s="175"/>
      <c r="D485" s="175"/>
      <c r="E485" s="175"/>
      <c r="F485" s="175"/>
      <c r="G485" s="175"/>
      <c r="H485" s="175"/>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400</v>
      </c>
      <c r="F487" s="9">
        <f t="shared" ref="F487:F497" si="54">L6</f>
        <v>12</v>
      </c>
      <c r="G487" s="97">
        <f>B399</f>
        <v>4549.0196078431418</v>
      </c>
      <c r="H487" s="84" t="str">
        <f>C402</f>
        <v>BARRA A TRACCIÓN (+)</v>
      </c>
    </row>
    <row r="488" spans="2:8" ht="19.95" customHeight="1" x14ac:dyDescent="0.3">
      <c r="B488" s="25">
        <v>2</v>
      </c>
      <c r="C488" s="86">
        <f t="shared" si="51"/>
        <v>2</v>
      </c>
      <c r="D488" s="86">
        <f t="shared" si="52"/>
        <v>3</v>
      </c>
      <c r="E488" s="9">
        <f t="shared" si="53"/>
        <v>400</v>
      </c>
      <c r="F488" s="9">
        <f t="shared" si="54"/>
        <v>12</v>
      </c>
      <c r="G488" s="97">
        <f>B407</f>
        <v>4549.0196078431381</v>
      </c>
      <c r="H488" s="84" t="str">
        <f>C410</f>
        <v>BARRA A TRACCIÓN (+)</v>
      </c>
    </row>
    <row r="489" spans="2:8" ht="19.95" customHeight="1" x14ac:dyDescent="0.3">
      <c r="B489" s="26">
        <v>3</v>
      </c>
      <c r="C489" s="86">
        <f t="shared" si="51"/>
        <v>4</v>
      </c>
      <c r="D489" s="86">
        <f t="shared" si="52"/>
        <v>5</v>
      </c>
      <c r="E489" s="9">
        <f t="shared" si="53"/>
        <v>400</v>
      </c>
      <c r="F489" s="9">
        <f t="shared" si="54"/>
        <v>12</v>
      </c>
      <c r="G489" s="97">
        <f>B415</f>
        <v>-4117.6470588235316</v>
      </c>
      <c r="H489" s="84" t="str">
        <f>C418</f>
        <v>BARRA A COMPRESIÓN (-)</v>
      </c>
    </row>
    <row r="490" spans="2:8" ht="19.95" customHeight="1" x14ac:dyDescent="0.3">
      <c r="B490" s="43">
        <v>4</v>
      </c>
      <c r="C490" s="86">
        <f t="shared" si="51"/>
        <v>5</v>
      </c>
      <c r="D490" s="86">
        <f t="shared" si="52"/>
        <v>6</v>
      </c>
      <c r="E490" s="9">
        <f t="shared" si="53"/>
        <v>400</v>
      </c>
      <c r="F490" s="9">
        <f t="shared" si="54"/>
        <v>12</v>
      </c>
      <c r="G490" s="97">
        <f>B423</f>
        <v>-4117.6470588235306</v>
      </c>
      <c r="H490" s="84" t="str">
        <f>C426</f>
        <v>BARRA A COMPRESIÓN (-)</v>
      </c>
    </row>
    <row r="491" spans="2:8" ht="19.95" customHeight="1" x14ac:dyDescent="0.3">
      <c r="B491" s="44">
        <v>5</v>
      </c>
      <c r="C491" s="86">
        <f t="shared" si="51"/>
        <v>1</v>
      </c>
      <c r="D491" s="86">
        <f t="shared" si="52"/>
        <v>4</v>
      </c>
      <c r="E491" s="9">
        <f t="shared" si="53"/>
        <v>300</v>
      </c>
      <c r="F491" s="9">
        <f t="shared" si="54"/>
        <v>12</v>
      </c>
      <c r="G491" s="97">
        <f>B431</f>
        <v>-3088.2352941176478</v>
      </c>
      <c r="H491" s="84" t="str">
        <f>C434</f>
        <v>BARRA A COMPRESIÓN (-)</v>
      </c>
    </row>
    <row r="492" spans="2:8" ht="19.95" customHeight="1" x14ac:dyDescent="0.3">
      <c r="B492" s="51">
        <v>6</v>
      </c>
      <c r="C492" s="86">
        <f t="shared" si="51"/>
        <v>2</v>
      </c>
      <c r="D492" s="86">
        <f t="shared" si="52"/>
        <v>5</v>
      </c>
      <c r="E492" s="9">
        <f t="shared" si="53"/>
        <v>300</v>
      </c>
      <c r="F492" s="9">
        <f t="shared" si="54"/>
        <v>12</v>
      </c>
      <c r="G492" s="97">
        <f>B439</f>
        <v>823.5294117647029</v>
      </c>
      <c r="H492" s="84" t="str">
        <f>C442</f>
        <v>BARRA A TRACCIÓN (+)</v>
      </c>
    </row>
    <row r="493" spans="2:8" ht="19.95" customHeight="1" x14ac:dyDescent="0.3">
      <c r="B493" s="52">
        <v>7</v>
      </c>
      <c r="C493" s="86">
        <f t="shared" si="51"/>
        <v>3</v>
      </c>
      <c r="D493" s="86">
        <f t="shared" si="52"/>
        <v>6</v>
      </c>
      <c r="E493" s="9">
        <f t="shared" si="53"/>
        <v>300</v>
      </c>
      <c r="F493" s="9">
        <f t="shared" si="54"/>
        <v>12</v>
      </c>
      <c r="G493" s="97">
        <f>B447</f>
        <v>-3088.2352941176478</v>
      </c>
      <c r="H493" s="84" t="str">
        <f>C450</f>
        <v>BARRA A COMPRESIÓN (-)</v>
      </c>
    </row>
    <row r="494" spans="2:8" ht="19.95" customHeight="1" x14ac:dyDescent="0.3">
      <c r="B494" s="59">
        <v>8</v>
      </c>
      <c r="C494" s="86">
        <f t="shared" si="51"/>
        <v>1</v>
      </c>
      <c r="D494" s="86">
        <f t="shared" si="52"/>
        <v>5</v>
      </c>
      <c r="E494" s="9">
        <f t="shared" si="53"/>
        <v>500</v>
      </c>
      <c r="F494" s="9">
        <f t="shared" si="54"/>
        <v>12</v>
      </c>
      <c r="G494" s="97">
        <f>B455</f>
        <v>-5686.2745098039213</v>
      </c>
      <c r="H494" s="84" t="str">
        <f>C458</f>
        <v>BARRA A COMPRESIÓN (-)</v>
      </c>
    </row>
    <row r="495" spans="2:8" ht="19.95" customHeight="1" x14ac:dyDescent="0.3">
      <c r="B495" s="60">
        <v>9</v>
      </c>
      <c r="C495" s="86">
        <f t="shared" si="51"/>
        <v>4</v>
      </c>
      <c r="D495" s="86">
        <f t="shared" si="52"/>
        <v>2</v>
      </c>
      <c r="E495" s="9">
        <f t="shared" si="53"/>
        <v>500</v>
      </c>
      <c r="F495" s="9">
        <f t="shared" si="54"/>
        <v>12</v>
      </c>
      <c r="G495" s="97">
        <f>B463</f>
        <v>5147.0588235294117</v>
      </c>
      <c r="H495" s="84" t="str">
        <f>C466</f>
        <v>BARRA A TRACCIÓN (+)</v>
      </c>
    </row>
    <row r="496" spans="2:8" ht="19.95" customHeight="1" x14ac:dyDescent="0.3">
      <c r="B496" s="67">
        <v>10</v>
      </c>
      <c r="C496" s="86">
        <f t="shared" si="51"/>
        <v>2</v>
      </c>
      <c r="D496" s="86">
        <f t="shared" si="52"/>
        <v>6</v>
      </c>
      <c r="E496" s="9">
        <f t="shared" si="53"/>
        <v>500</v>
      </c>
      <c r="F496" s="9">
        <f t="shared" si="54"/>
        <v>12</v>
      </c>
      <c r="G496" s="97">
        <f>B471</f>
        <v>5147.0588235294126</v>
      </c>
      <c r="H496" s="84" t="str">
        <f>C474</f>
        <v>BARRA A TRACCIÓN (+)</v>
      </c>
    </row>
    <row r="497" spans="2:8" ht="19.95" customHeight="1" x14ac:dyDescent="0.3">
      <c r="B497" s="68">
        <v>11</v>
      </c>
      <c r="C497" s="86">
        <f t="shared" si="51"/>
        <v>5</v>
      </c>
      <c r="D497" s="86">
        <f t="shared" si="52"/>
        <v>3</v>
      </c>
      <c r="E497" s="9">
        <f t="shared" si="53"/>
        <v>500</v>
      </c>
      <c r="F497" s="9">
        <f t="shared" si="54"/>
        <v>12</v>
      </c>
      <c r="G497" s="97">
        <f>B479</f>
        <v>-5686.274509803924</v>
      </c>
      <c r="H497" s="84" t="str">
        <f>C482</f>
        <v>BARRA A COMPRESIÓN (-)</v>
      </c>
    </row>
  </sheetData>
  <mergeCells count="152">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 ref="P342:U342"/>
    <mergeCell ref="P396:U396"/>
    <mergeCell ref="P330:U330"/>
    <mergeCell ref="P364:U364"/>
    <mergeCell ref="P404:U404"/>
    <mergeCell ref="P332:U332"/>
    <mergeCell ref="P331:U331"/>
    <mergeCell ref="P411:U411"/>
    <mergeCell ref="P345:U345"/>
    <mergeCell ref="P288:U288"/>
    <mergeCell ref="P366:U366"/>
    <mergeCell ref="B4:B5"/>
    <mergeCell ref="N4:N5"/>
    <mergeCell ref="P286:U286"/>
    <mergeCell ref="J4:J5"/>
    <mergeCell ref="L4:L5"/>
    <mergeCell ref="B3:D3"/>
    <mergeCell ref="P280:U280"/>
    <mergeCell ref="M4:M5"/>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304:U304"/>
    <mergeCell ref="P417:U417"/>
    <mergeCell ref="C337:K337"/>
    <mergeCell ref="C450:F450"/>
    <mergeCell ref="P348:U348"/>
    <mergeCell ref="P338:U338"/>
    <mergeCell ref="P398:U398"/>
    <mergeCell ref="P373:U373"/>
    <mergeCell ref="P309:U309"/>
    <mergeCell ref="C474:F474"/>
    <mergeCell ref="P395:U395"/>
    <mergeCell ref="C458:F458"/>
    <mergeCell ref="P370:U370"/>
    <mergeCell ref="P279:U279"/>
    <mergeCell ref="P353:U353"/>
    <mergeCell ref="G4:G5"/>
    <mergeCell ref="I4:I5"/>
    <mergeCell ref="P289:U289"/>
    <mergeCell ref="P285:U285"/>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634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6</v>
      </c>
      <c r="E6" s="173"/>
      <c r="F6" s="206">
        <f>SUM(F14:G23)</f>
        <v>3</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600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600</v>
      </c>
      <c r="AB8" s="20">
        <f>IF(F29="","",F29)</f>
        <v>0</v>
      </c>
      <c r="AC8" t="s">
        <v>316</v>
      </c>
    </row>
    <row r="9" spans="2:29" x14ac:dyDescent="0.3">
      <c r="AA9" s="20">
        <f>IF(G29="","",G29)</f>
        <v>300</v>
      </c>
      <c r="AB9" s="20">
        <f>IF(H29="","",H29)</f>
        <v>450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300</v>
      </c>
      <c r="AB11" s="20">
        <f>IF(F30="","",F30)</f>
        <v>450</v>
      </c>
      <c r="AC11" t="s">
        <v>324</v>
      </c>
    </row>
    <row r="12" spans="2:29" x14ac:dyDescent="0.3">
      <c r="AA12" s="20">
        <f>IF(G30="","",G30)</f>
        <v>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0</v>
      </c>
      <c r="AB14" s="20">
        <f>IF(F31="","",F31)</f>
        <v>0</v>
      </c>
      <c r="AC14" t="s">
        <v>328</v>
      </c>
    </row>
    <row r="15" spans="2:29" ht="19.05" customHeight="1" x14ac:dyDescent="0.3">
      <c r="B15" s="89">
        <v>2</v>
      </c>
      <c r="C15" s="21">
        <v>600</v>
      </c>
      <c r="D15" s="21">
        <v>0</v>
      </c>
      <c r="E15" s="21" t="s">
        <v>329</v>
      </c>
      <c r="F15" s="88">
        <f t="shared" si="0"/>
        <v>0</v>
      </c>
      <c r="G15" s="88">
        <f t="shared" si="1"/>
        <v>1</v>
      </c>
      <c r="H15" s="22">
        <v>0</v>
      </c>
      <c r="I15" s="22">
        <v>0</v>
      </c>
      <c r="J15" s="205" t="s">
        <v>407</v>
      </c>
      <c r="K15" s="172"/>
      <c r="L15" s="172"/>
      <c r="M15" s="172"/>
      <c r="N15" s="172"/>
      <c r="O15" s="173"/>
      <c r="AA15" s="20">
        <f>IF(G31="","",G31)</f>
        <v>300</v>
      </c>
      <c r="AB15" s="20">
        <f>IF(H31="","",H31)</f>
        <v>150</v>
      </c>
      <c r="AC15" t="s">
        <v>331</v>
      </c>
    </row>
    <row r="16" spans="2:29" ht="19.05" customHeight="1" x14ac:dyDescent="0.3">
      <c r="B16" s="89">
        <v>3</v>
      </c>
      <c r="C16" s="21">
        <v>300</v>
      </c>
      <c r="D16" s="21">
        <v>450</v>
      </c>
      <c r="E16" s="21" t="s">
        <v>326</v>
      </c>
      <c r="F16" s="88">
        <f t="shared" si="0"/>
        <v>0</v>
      </c>
      <c r="G16" s="88">
        <f t="shared" si="1"/>
        <v>0</v>
      </c>
      <c r="H16" s="22">
        <v>0</v>
      </c>
      <c r="I16" s="22">
        <v>-8000</v>
      </c>
      <c r="J16" s="205" t="s">
        <v>635</v>
      </c>
      <c r="K16" s="172"/>
      <c r="L16" s="172"/>
      <c r="M16" s="172"/>
      <c r="N16" s="172"/>
      <c r="O16" s="173"/>
    </row>
    <row r="17" spans="2:29" ht="19.05" customHeight="1" x14ac:dyDescent="0.3">
      <c r="B17" s="89">
        <v>4</v>
      </c>
      <c r="C17" s="21">
        <v>300</v>
      </c>
      <c r="D17" s="21">
        <v>150</v>
      </c>
      <c r="E17" s="21" t="s">
        <v>326</v>
      </c>
      <c r="F17" s="88">
        <f t="shared" si="0"/>
        <v>0</v>
      </c>
      <c r="G17" s="88">
        <f t="shared" si="1"/>
        <v>0</v>
      </c>
      <c r="H17" s="22">
        <v>0</v>
      </c>
      <c r="I17" s="22">
        <v>-4000</v>
      </c>
      <c r="J17" s="205" t="s">
        <v>636</v>
      </c>
      <c r="K17" s="172"/>
      <c r="L17" s="172"/>
      <c r="M17" s="172"/>
      <c r="N17" s="172"/>
      <c r="O17" s="173"/>
      <c r="AA17" s="20">
        <f>IF(E32="","",E32)</f>
        <v>600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300</v>
      </c>
      <c r="AB18" s="20">
        <f>IF(H32="","",H32)</f>
        <v>150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450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150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600</v>
      </c>
      <c r="F29" s="5">
        <f t="shared" si="3"/>
        <v>0</v>
      </c>
      <c r="G29" s="5">
        <f t="shared" si="4"/>
        <v>300</v>
      </c>
      <c r="H29" s="5">
        <f t="shared" si="5"/>
        <v>450</v>
      </c>
      <c r="I29" s="9">
        <f t="shared" si="6"/>
        <v>-300</v>
      </c>
      <c r="J29" s="9">
        <f t="shared" si="7"/>
        <v>450</v>
      </c>
      <c r="K29" s="9">
        <f t="shared" si="8"/>
        <v>540.83269131959844</v>
      </c>
      <c r="L29" s="92">
        <f t="shared" si="9"/>
        <v>-0.55470019622522904</v>
      </c>
      <c r="M29" s="92">
        <f t="shared" si="10"/>
        <v>0.83205029433784361</v>
      </c>
      <c r="N29" s="22">
        <v>12</v>
      </c>
      <c r="O29" s="24">
        <v>2100000</v>
      </c>
      <c r="AA29" s="20" t="str">
        <f>IF(E36="","",E36)</f>
        <v/>
      </c>
      <c r="AB29" s="20" t="str">
        <f>IF(F36="","",F36)</f>
        <v/>
      </c>
      <c r="AC29" t="s">
        <v>353</v>
      </c>
    </row>
    <row r="30" spans="2:29" ht="19.05" customHeight="1" x14ac:dyDescent="0.3">
      <c r="B30" s="89">
        <v>3</v>
      </c>
      <c r="C30" s="23">
        <v>3</v>
      </c>
      <c r="D30" s="23">
        <v>1</v>
      </c>
      <c r="E30" s="5">
        <f t="shared" si="2"/>
        <v>300</v>
      </c>
      <c r="F30" s="5">
        <f t="shared" si="3"/>
        <v>450</v>
      </c>
      <c r="G30" s="5">
        <f t="shared" si="4"/>
        <v>0</v>
      </c>
      <c r="H30" s="5">
        <f t="shared" si="5"/>
        <v>0</v>
      </c>
      <c r="I30" s="9">
        <f t="shared" si="6"/>
        <v>-300</v>
      </c>
      <c r="J30" s="9">
        <f t="shared" si="7"/>
        <v>-450</v>
      </c>
      <c r="K30" s="9">
        <f t="shared" si="8"/>
        <v>540.83269131959844</v>
      </c>
      <c r="L30" s="92">
        <f t="shared" si="9"/>
        <v>-0.55470019622522904</v>
      </c>
      <c r="M30" s="92">
        <f t="shared" si="10"/>
        <v>-0.83205029433784361</v>
      </c>
      <c r="N30" s="22">
        <v>12</v>
      </c>
      <c r="O30" s="24">
        <v>2100000</v>
      </c>
      <c r="AA30" s="20" t="str">
        <f>IF(G36="","",G36)</f>
        <v/>
      </c>
      <c r="AB30" s="20" t="str">
        <f>IF(H36="","",H36)</f>
        <v/>
      </c>
      <c r="AC30" t="s">
        <v>354</v>
      </c>
    </row>
    <row r="31" spans="2:29" ht="19.05" customHeight="1" x14ac:dyDescent="0.3">
      <c r="B31" s="89">
        <v>4</v>
      </c>
      <c r="C31" s="23">
        <v>1</v>
      </c>
      <c r="D31" s="23">
        <v>4</v>
      </c>
      <c r="E31" s="5">
        <f t="shared" si="2"/>
        <v>0</v>
      </c>
      <c r="F31" s="5">
        <f t="shared" si="3"/>
        <v>0</v>
      </c>
      <c r="G31" s="5">
        <f t="shared" si="4"/>
        <v>300</v>
      </c>
      <c r="H31" s="5">
        <f t="shared" si="5"/>
        <v>150</v>
      </c>
      <c r="I31" s="9">
        <f t="shared" si="6"/>
        <v>300</v>
      </c>
      <c r="J31" s="9">
        <f t="shared" si="7"/>
        <v>150</v>
      </c>
      <c r="K31" s="9">
        <f t="shared" si="8"/>
        <v>335.41019662496848</v>
      </c>
      <c r="L31" s="92">
        <f t="shared" si="9"/>
        <v>0.89442719099991586</v>
      </c>
      <c r="M31" s="92">
        <f t="shared" si="10"/>
        <v>0.44721359549995793</v>
      </c>
      <c r="N31" s="22">
        <v>12</v>
      </c>
      <c r="O31" s="24">
        <v>2100000</v>
      </c>
    </row>
    <row r="32" spans="2:29" ht="19.05" customHeight="1" x14ac:dyDescent="0.3">
      <c r="B32" s="89">
        <v>5</v>
      </c>
      <c r="C32" s="23">
        <v>2</v>
      </c>
      <c r="D32" s="23">
        <v>4</v>
      </c>
      <c r="E32" s="5">
        <f t="shared" si="2"/>
        <v>600</v>
      </c>
      <c r="F32" s="5">
        <f t="shared" si="3"/>
        <v>0</v>
      </c>
      <c r="G32" s="5">
        <f t="shared" si="4"/>
        <v>300</v>
      </c>
      <c r="H32" s="5">
        <f t="shared" si="5"/>
        <v>150</v>
      </c>
      <c r="I32" s="9">
        <f t="shared" si="6"/>
        <v>-300</v>
      </c>
      <c r="J32" s="9">
        <f t="shared" si="7"/>
        <v>150</v>
      </c>
      <c r="K32" s="9">
        <f t="shared" si="8"/>
        <v>335.41019662496848</v>
      </c>
      <c r="L32" s="92">
        <f t="shared" si="9"/>
        <v>-0.89442719099991586</v>
      </c>
      <c r="M32" s="92">
        <f t="shared" si="10"/>
        <v>0.44721359549995793</v>
      </c>
      <c r="N32" s="22">
        <v>12</v>
      </c>
      <c r="O32" s="24">
        <v>2100000</v>
      </c>
      <c r="AA32" s="20" t="str">
        <f>IF(E37="","",E37)</f>
        <v/>
      </c>
      <c r="AB32" s="20" t="str">
        <f>IF(F37="","",F37)</f>
        <v/>
      </c>
      <c r="AC32" t="s">
        <v>355</v>
      </c>
    </row>
    <row r="33" spans="2:29" ht="19.05" customHeight="1" x14ac:dyDescent="0.3">
      <c r="B33" s="89">
        <v>6</v>
      </c>
      <c r="C33" s="23">
        <v>3</v>
      </c>
      <c r="D33" s="23">
        <v>4</v>
      </c>
      <c r="E33" s="5">
        <f t="shared" si="2"/>
        <v>300</v>
      </c>
      <c r="F33" s="5">
        <f t="shared" si="3"/>
        <v>450</v>
      </c>
      <c r="G33" s="5">
        <f t="shared" si="4"/>
        <v>300</v>
      </c>
      <c r="H33" s="5">
        <f t="shared" si="5"/>
        <v>150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D00-000000000000}">
      <formula1>"Fijo (articulado),Rodillo Y (despl. X libre),Rodillo X (despl. Y libre),Libre (0 reac.)"</formula1>
    </dataValidation>
  </dataValidations>
  <pageMargins left="0.75" right="0.75" top="1" bottom="1" header="0.5" footer="0.5"/>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637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GRAFICA_46!E28</f>
        <v>0</v>
      </c>
      <c r="D6" s="22">
        <f>GRAFICA_46!F28</f>
        <v>0</v>
      </c>
      <c r="E6" s="22">
        <f>GRAFICA_46!G28</f>
        <v>600</v>
      </c>
      <c r="F6" s="22">
        <f>GRAFICA_46!H28</f>
        <v>0</v>
      </c>
      <c r="G6" s="9">
        <f t="shared" ref="G6:H11" si="0">E6-C6</f>
        <v>600</v>
      </c>
      <c r="H6" s="9">
        <f t="shared" si="0"/>
        <v>0</v>
      </c>
      <c r="I6" s="9">
        <f t="shared" ref="I6:I11" si="1">SQRT(G6*G6+H6*H6)</f>
        <v>600</v>
      </c>
      <c r="J6" s="92">
        <f t="shared" ref="J6:J11" si="2">G6/I6</f>
        <v>1</v>
      </c>
      <c r="K6" s="92">
        <f t="shared" ref="K6:K11" si="3">H6/I6</f>
        <v>0</v>
      </c>
      <c r="L6" s="22">
        <f>GRAFICA_46!N28</f>
        <v>12</v>
      </c>
      <c r="M6" s="22">
        <f>GRAFICA_46!O28</f>
        <v>2100000</v>
      </c>
      <c r="N6" s="6">
        <f t="shared" ref="N6:N11" si="4">L6*M6/I6</f>
        <v>42000</v>
      </c>
    </row>
    <row r="7" spans="2:14" ht="19.05" customHeight="1" x14ac:dyDescent="0.3">
      <c r="B7" s="25">
        <v>2</v>
      </c>
      <c r="C7" s="22">
        <f>GRAFICA_46!E29</f>
        <v>600</v>
      </c>
      <c r="D7" s="22">
        <f>GRAFICA_46!F29</f>
        <v>0</v>
      </c>
      <c r="E7" s="22">
        <f>GRAFICA_46!G29</f>
        <v>300</v>
      </c>
      <c r="F7" s="22">
        <f>GRAFICA_46!H29</f>
        <v>450</v>
      </c>
      <c r="G7" s="9">
        <f t="shared" si="0"/>
        <v>-300</v>
      </c>
      <c r="H7" s="9">
        <f t="shared" si="0"/>
        <v>450</v>
      </c>
      <c r="I7" s="9">
        <f t="shared" si="1"/>
        <v>540.83269131959844</v>
      </c>
      <c r="J7" s="92">
        <f t="shared" si="2"/>
        <v>-0.55470019622522904</v>
      </c>
      <c r="K7" s="92">
        <f t="shared" si="3"/>
        <v>0.83205029433784361</v>
      </c>
      <c r="L7" s="22">
        <f>GRAFICA_46!N29</f>
        <v>12</v>
      </c>
      <c r="M7" s="22">
        <f>GRAFICA_46!O29</f>
        <v>2100000</v>
      </c>
      <c r="N7" s="6">
        <f t="shared" si="4"/>
        <v>46594.816482919239</v>
      </c>
    </row>
    <row r="8" spans="2:14" ht="19.05" customHeight="1" x14ac:dyDescent="0.3">
      <c r="B8" s="26">
        <v>3</v>
      </c>
      <c r="C8" s="22">
        <f>GRAFICA_46!E30</f>
        <v>300</v>
      </c>
      <c r="D8" s="22">
        <f>GRAFICA_46!F30</f>
        <v>450</v>
      </c>
      <c r="E8" s="22">
        <f>GRAFICA_46!G30</f>
        <v>0</v>
      </c>
      <c r="F8" s="22">
        <f>GRAFICA_46!H30</f>
        <v>0</v>
      </c>
      <c r="G8" s="9">
        <f t="shared" si="0"/>
        <v>-300</v>
      </c>
      <c r="H8" s="9">
        <f t="shared" si="0"/>
        <v>-450</v>
      </c>
      <c r="I8" s="9">
        <f t="shared" si="1"/>
        <v>540.83269131959844</v>
      </c>
      <c r="J8" s="92">
        <f t="shared" si="2"/>
        <v>-0.55470019622522904</v>
      </c>
      <c r="K8" s="92">
        <f t="shared" si="3"/>
        <v>-0.83205029433784361</v>
      </c>
      <c r="L8" s="22">
        <f>GRAFICA_46!N30</f>
        <v>12</v>
      </c>
      <c r="M8" s="22">
        <f>GRAFICA_46!O30</f>
        <v>2100000</v>
      </c>
      <c r="N8" s="6">
        <f t="shared" si="4"/>
        <v>46594.816482919239</v>
      </c>
    </row>
    <row r="9" spans="2:14" ht="19.05" customHeight="1" x14ac:dyDescent="0.3">
      <c r="B9" s="43">
        <v>4</v>
      </c>
      <c r="C9" s="22">
        <f>GRAFICA_46!E31</f>
        <v>0</v>
      </c>
      <c r="D9" s="22">
        <f>GRAFICA_46!F31</f>
        <v>0</v>
      </c>
      <c r="E9" s="22">
        <f>GRAFICA_46!G31</f>
        <v>300</v>
      </c>
      <c r="F9" s="22">
        <f>GRAFICA_46!H31</f>
        <v>150</v>
      </c>
      <c r="G9" s="9">
        <f t="shared" si="0"/>
        <v>300</v>
      </c>
      <c r="H9" s="9">
        <f t="shared" si="0"/>
        <v>150</v>
      </c>
      <c r="I9" s="9">
        <f t="shared" si="1"/>
        <v>335.41019662496848</v>
      </c>
      <c r="J9" s="92">
        <f t="shared" si="2"/>
        <v>0.89442719099991586</v>
      </c>
      <c r="K9" s="92">
        <f t="shared" si="3"/>
        <v>0.44721359549995793</v>
      </c>
      <c r="L9" s="22">
        <f>GRAFICA_46!N31</f>
        <v>12</v>
      </c>
      <c r="M9" s="22">
        <f>GRAFICA_46!O31</f>
        <v>2100000</v>
      </c>
      <c r="N9" s="6">
        <f t="shared" si="4"/>
        <v>75131.884043992934</v>
      </c>
    </row>
    <row r="10" spans="2:14" ht="19.05" customHeight="1" x14ac:dyDescent="0.3">
      <c r="B10" s="44">
        <v>5</v>
      </c>
      <c r="C10" s="22">
        <f>GRAFICA_46!E32</f>
        <v>600</v>
      </c>
      <c r="D10" s="22">
        <f>GRAFICA_46!F32</f>
        <v>0</v>
      </c>
      <c r="E10" s="22">
        <f>GRAFICA_46!G32</f>
        <v>300</v>
      </c>
      <c r="F10" s="22">
        <f>GRAFICA_46!H32</f>
        <v>150</v>
      </c>
      <c r="G10" s="9">
        <f t="shared" si="0"/>
        <v>-300</v>
      </c>
      <c r="H10" s="9">
        <f t="shared" si="0"/>
        <v>150</v>
      </c>
      <c r="I10" s="9">
        <f t="shared" si="1"/>
        <v>335.41019662496848</v>
      </c>
      <c r="J10" s="92">
        <f t="shared" si="2"/>
        <v>-0.89442719099991586</v>
      </c>
      <c r="K10" s="92">
        <f t="shared" si="3"/>
        <v>0.44721359549995793</v>
      </c>
      <c r="L10" s="22">
        <f>GRAFICA_46!N32</f>
        <v>12</v>
      </c>
      <c r="M10" s="22">
        <f>GRAFICA_46!O32</f>
        <v>2100000</v>
      </c>
      <c r="N10" s="6">
        <f t="shared" si="4"/>
        <v>75131.884043992934</v>
      </c>
    </row>
    <row r="11" spans="2:14" ht="19.05" customHeight="1" x14ac:dyDescent="0.3">
      <c r="B11" s="51">
        <v>6</v>
      </c>
      <c r="C11" s="22">
        <f>GRAFICA_46!E33</f>
        <v>300</v>
      </c>
      <c r="D11" s="22">
        <f>GRAFICA_46!F33</f>
        <v>450</v>
      </c>
      <c r="E11" s="22">
        <f>GRAFICA_46!G33</f>
        <v>300</v>
      </c>
      <c r="F11" s="22">
        <f>GRAFICA_46!H33</f>
        <v>150</v>
      </c>
      <c r="G11" s="9">
        <f t="shared" si="0"/>
        <v>0</v>
      </c>
      <c r="H11" s="9">
        <f t="shared" si="0"/>
        <v>-300</v>
      </c>
      <c r="I11" s="9">
        <f t="shared" si="1"/>
        <v>300</v>
      </c>
      <c r="J11" s="92">
        <f t="shared" si="2"/>
        <v>0</v>
      </c>
      <c r="K11" s="92">
        <f t="shared" si="3"/>
        <v>-1</v>
      </c>
      <c r="L11" s="22">
        <f>GRAFICA_46!N33</f>
        <v>12</v>
      </c>
      <c r="M11" s="22">
        <f>GRAFICA_46!O33</f>
        <v>2100000</v>
      </c>
      <c r="N11" s="6">
        <f t="shared" si="4"/>
        <v>84000</v>
      </c>
    </row>
    <row r="13" spans="2:14" ht="18" customHeight="1" x14ac:dyDescent="0.3">
      <c r="B13" s="202" t="s">
        <v>145</v>
      </c>
      <c r="C13" s="202" t="s">
        <v>369</v>
      </c>
      <c r="D13" s="173"/>
      <c r="E13" s="202" t="s">
        <v>370</v>
      </c>
      <c r="F13" s="173"/>
    </row>
    <row r="14" spans="2:14" ht="18" customHeight="1" x14ac:dyDescent="0.3">
      <c r="B14" s="203"/>
      <c r="C14" s="81" t="s">
        <v>157</v>
      </c>
      <c r="D14" s="81" t="s">
        <v>158</v>
      </c>
      <c r="E14" s="81" t="s">
        <v>157</v>
      </c>
      <c r="F14" s="81" t="s">
        <v>158</v>
      </c>
    </row>
    <row r="15" spans="2:14" ht="19.05" customHeight="1" x14ac:dyDescent="0.3">
      <c r="B15" s="85">
        <v>1</v>
      </c>
      <c r="C15" s="23">
        <f>GRAFICA_46!C28</f>
        <v>1</v>
      </c>
      <c r="D15" s="23">
        <f>GRAFICA_46!C28</f>
        <v>1</v>
      </c>
      <c r="E15" s="23">
        <f>GRAFICA_46!D28</f>
        <v>2</v>
      </c>
      <c r="F15" s="23">
        <f>GRAFICA_46!D28</f>
        <v>2</v>
      </c>
    </row>
    <row r="16" spans="2:14" ht="19.05" customHeight="1" x14ac:dyDescent="0.3">
      <c r="B16" s="25">
        <v>2</v>
      </c>
      <c r="C16" s="23">
        <f>GRAFICA_46!C29</f>
        <v>2</v>
      </c>
      <c r="D16" s="23">
        <f>GRAFICA_46!C29</f>
        <v>2</v>
      </c>
      <c r="E16" s="23">
        <f>GRAFICA_46!D29</f>
        <v>3</v>
      </c>
      <c r="F16" s="23">
        <f>GRAFICA_46!D29</f>
        <v>3</v>
      </c>
    </row>
    <row r="17" spans="1:10" ht="19.05" customHeight="1" x14ac:dyDescent="0.3">
      <c r="B17" s="26">
        <v>3</v>
      </c>
      <c r="C17" s="23">
        <f>GRAFICA_46!C30</f>
        <v>3</v>
      </c>
      <c r="D17" s="23">
        <f>GRAFICA_46!C30</f>
        <v>3</v>
      </c>
      <c r="E17" s="23">
        <f>GRAFICA_46!D30</f>
        <v>1</v>
      </c>
      <c r="F17" s="23">
        <f>GRAFICA_46!D30</f>
        <v>1</v>
      </c>
    </row>
    <row r="18" spans="1:10" ht="19.05" customHeight="1" x14ac:dyDescent="0.3">
      <c r="B18" s="43">
        <v>4</v>
      </c>
      <c r="C18" s="23">
        <f>GRAFICA_46!C31</f>
        <v>1</v>
      </c>
      <c r="D18" s="23">
        <f>GRAFICA_46!C31</f>
        <v>1</v>
      </c>
      <c r="E18" s="23">
        <f>GRAFICA_46!D31</f>
        <v>4</v>
      </c>
      <c r="F18" s="23">
        <f>GRAFICA_46!D31</f>
        <v>4</v>
      </c>
    </row>
    <row r="19" spans="1:10" ht="19.05" customHeight="1" x14ac:dyDescent="0.3">
      <c r="B19" s="44">
        <v>5</v>
      </c>
      <c r="C19" s="23">
        <f>GRAFICA_46!C32</f>
        <v>2</v>
      </c>
      <c r="D19" s="23">
        <f>GRAFICA_46!C32</f>
        <v>2</v>
      </c>
      <c r="E19" s="23">
        <f>GRAFICA_46!D32</f>
        <v>4</v>
      </c>
      <c r="F19" s="23">
        <f>GRAFICA_46!D32</f>
        <v>4</v>
      </c>
    </row>
    <row r="20" spans="1:10" ht="19.05" customHeight="1" x14ac:dyDescent="0.3">
      <c r="B20" s="51">
        <v>6</v>
      </c>
      <c r="C20" s="23">
        <f>GRAFICA_46!C33</f>
        <v>3</v>
      </c>
      <c r="D20" s="23">
        <f>GRAFICA_46!C33</f>
        <v>3</v>
      </c>
      <c r="E20" s="23">
        <f>GRAFICA_46!D33</f>
        <v>4</v>
      </c>
      <c r="F20" s="23">
        <f>GRAFICA_46!D33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42000</v>
      </c>
      <c r="C24" s="7">
        <f>J6*K6*N6</f>
        <v>0</v>
      </c>
      <c r="D24" s="7">
        <f>-B24</f>
        <v>-42000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-42000</v>
      </c>
      <c r="C26" s="7">
        <f>E24</f>
        <v>0</v>
      </c>
      <c r="D26" s="7">
        <f>B24</f>
        <v>42000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42000</v>
      </c>
      <c r="C30" s="8">
        <f t="shared" si="5"/>
        <v>0</v>
      </c>
      <c r="D30" s="8">
        <f t="shared" si="5"/>
        <v>-42000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-42000</v>
      </c>
      <c r="C32" s="8">
        <f t="shared" si="5"/>
        <v>0</v>
      </c>
      <c r="D32" s="8">
        <f t="shared" si="5"/>
        <v>42000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14336.866610128993</v>
      </c>
      <c r="C41" s="30">
        <f>J7*K7*N7</f>
        <v>-21505.299915193493</v>
      </c>
      <c r="D41" s="30">
        <f>-B41</f>
        <v>-14336.866610128993</v>
      </c>
      <c r="E41" s="30">
        <f>-C41</f>
        <v>21505.299915193493</v>
      </c>
      <c r="F41" s="29" t="str">
        <f>B40</f>
        <v>U2X</v>
      </c>
    </row>
    <row r="42" spans="1:10" ht="16.8" customHeight="1" x14ac:dyDescent="0.3">
      <c r="A42" s="28" t="s">
        <v>191</v>
      </c>
      <c r="B42" s="30">
        <f>C41</f>
        <v>-21505.299915193493</v>
      </c>
      <c r="C42" s="30">
        <f>K7*K7*N7</f>
        <v>32257.949872790236</v>
      </c>
      <c r="D42" s="30">
        <f>-B42</f>
        <v>21505.299915193493</v>
      </c>
      <c r="E42" s="30">
        <f>-C42</f>
        <v>-32257.949872790236</v>
      </c>
      <c r="F42" s="29" t="str">
        <f>C40</f>
        <v>U2Y</v>
      </c>
    </row>
    <row r="43" spans="1:10" x14ac:dyDescent="0.3">
      <c r="B43" s="30">
        <f>D41</f>
        <v>-14336.866610128993</v>
      </c>
      <c r="C43" s="30">
        <f>E41</f>
        <v>21505.299915193493</v>
      </c>
      <c r="D43" s="30">
        <f>B41</f>
        <v>14336.866610128993</v>
      </c>
      <c r="E43" s="30">
        <f>C41</f>
        <v>-21505.299915193493</v>
      </c>
      <c r="F43" s="29" t="str">
        <f>D40</f>
        <v>U3X</v>
      </c>
    </row>
    <row r="44" spans="1:10" x14ac:dyDescent="0.3">
      <c r="B44" s="30">
        <f>D42</f>
        <v>21505.299915193493</v>
      </c>
      <c r="C44" s="30">
        <f>E42</f>
        <v>-32257.949872790236</v>
      </c>
      <c r="D44" s="30">
        <f>B42</f>
        <v>-21505.299915193493</v>
      </c>
      <c r="E44" s="30">
        <f>C42</f>
        <v>32257.949872790236</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14336.866610128993</v>
      </c>
      <c r="E49" s="31">
        <f t="shared" si="6"/>
        <v>-21505.299915193493</v>
      </c>
      <c r="F49" s="31">
        <f t="shared" si="6"/>
        <v>-14336.866610128993</v>
      </c>
      <c r="G49" s="31">
        <f t="shared" si="6"/>
        <v>21505.299915193493</v>
      </c>
      <c r="H49" s="9">
        <f t="shared" si="6"/>
        <v>0</v>
      </c>
      <c r="I49" s="9">
        <f t="shared" si="6"/>
        <v>0</v>
      </c>
      <c r="J49" s="29" t="s">
        <v>180</v>
      </c>
    </row>
    <row r="50" spans="1:10" ht="19.05" customHeight="1" x14ac:dyDescent="0.3">
      <c r="A50" s="28" t="s">
        <v>192</v>
      </c>
      <c r="B50" s="9">
        <f t="shared" si="6"/>
        <v>0</v>
      </c>
      <c r="C50" s="9">
        <f t="shared" si="6"/>
        <v>0</v>
      </c>
      <c r="D50" s="31">
        <f t="shared" si="6"/>
        <v>-21505.299915193493</v>
      </c>
      <c r="E50" s="31">
        <f t="shared" si="6"/>
        <v>32257.949872790236</v>
      </c>
      <c r="F50" s="31">
        <f t="shared" si="6"/>
        <v>21505.299915193493</v>
      </c>
      <c r="G50" s="31">
        <f t="shared" si="6"/>
        <v>-32257.949872790236</v>
      </c>
      <c r="H50" s="9">
        <f t="shared" si="6"/>
        <v>0</v>
      </c>
      <c r="I50" s="9">
        <f t="shared" si="6"/>
        <v>0</v>
      </c>
      <c r="J50" s="29" t="s">
        <v>181</v>
      </c>
    </row>
    <row r="51" spans="1:10" ht="19.05" customHeight="1" x14ac:dyDescent="0.3">
      <c r="B51" s="9">
        <f t="shared" si="6"/>
        <v>0</v>
      </c>
      <c r="C51" s="9">
        <f t="shared" si="6"/>
        <v>0</v>
      </c>
      <c r="D51" s="31">
        <f t="shared" si="6"/>
        <v>-14336.866610128993</v>
      </c>
      <c r="E51" s="31">
        <f t="shared" si="6"/>
        <v>21505.299915193493</v>
      </c>
      <c r="F51" s="31">
        <f t="shared" si="6"/>
        <v>14336.866610128993</v>
      </c>
      <c r="G51" s="31">
        <f t="shared" si="6"/>
        <v>-21505.299915193493</v>
      </c>
      <c r="H51" s="9">
        <f t="shared" si="6"/>
        <v>0</v>
      </c>
      <c r="I51" s="9">
        <f t="shared" si="6"/>
        <v>0</v>
      </c>
      <c r="J51" s="29" t="s">
        <v>182</v>
      </c>
    </row>
    <row r="52" spans="1:10" ht="19.05" customHeight="1" x14ac:dyDescent="0.3">
      <c r="B52" s="9">
        <f t="shared" si="6"/>
        <v>0</v>
      </c>
      <c r="C52" s="9">
        <f t="shared" si="6"/>
        <v>0</v>
      </c>
      <c r="D52" s="31">
        <f t="shared" si="6"/>
        <v>21505.299915193493</v>
      </c>
      <c r="E52" s="31">
        <f t="shared" si="6"/>
        <v>-32257.949872790236</v>
      </c>
      <c r="F52" s="31">
        <f t="shared" si="6"/>
        <v>-21505.299915193493</v>
      </c>
      <c r="G52" s="31">
        <f t="shared" si="6"/>
        <v>32257.949872790236</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U1X</v>
      </c>
      <c r="E57" s="32" t="str">
        <f>CONCATENATE("U",F17,F$14)</f>
        <v>U1Y</v>
      </c>
    </row>
    <row r="58" spans="1:10" x14ac:dyDescent="0.3">
      <c r="B58" s="33">
        <f>J8*J8*N8</f>
        <v>14336.866610128993</v>
      </c>
      <c r="C58" s="33">
        <f>J8*K8*N8</f>
        <v>21505.299915193493</v>
      </c>
      <c r="D58" s="33">
        <f>-B58</f>
        <v>-14336.866610128993</v>
      </c>
      <c r="E58" s="33">
        <f>-C58</f>
        <v>-21505.299915193493</v>
      </c>
      <c r="F58" s="32" t="str">
        <f>B57</f>
        <v>U3X</v>
      </c>
    </row>
    <row r="59" spans="1:10" ht="16.8" customHeight="1" x14ac:dyDescent="0.3">
      <c r="A59" s="28" t="s">
        <v>193</v>
      </c>
      <c r="B59" s="33">
        <f>C58</f>
        <v>21505.299915193493</v>
      </c>
      <c r="C59" s="33">
        <f>K8*K8*N8</f>
        <v>32257.949872790236</v>
      </c>
      <c r="D59" s="33">
        <f>-B59</f>
        <v>-21505.299915193493</v>
      </c>
      <c r="E59" s="33">
        <f>-C59</f>
        <v>-32257.949872790236</v>
      </c>
      <c r="F59" s="32" t="str">
        <f>C57</f>
        <v>U3Y</v>
      </c>
    </row>
    <row r="60" spans="1:10" x14ac:dyDescent="0.3">
      <c r="B60" s="33">
        <f>D58</f>
        <v>-14336.866610128993</v>
      </c>
      <c r="C60" s="33">
        <f>E58</f>
        <v>-21505.299915193493</v>
      </c>
      <c r="D60" s="33">
        <f>B58</f>
        <v>14336.866610128993</v>
      </c>
      <c r="E60" s="33">
        <f>C58</f>
        <v>21505.299915193493</v>
      </c>
      <c r="F60" s="32" t="str">
        <f>D57</f>
        <v>U1X</v>
      </c>
    </row>
    <row r="61" spans="1:10" x14ac:dyDescent="0.3">
      <c r="B61" s="33">
        <f>D59</f>
        <v>-21505.299915193493</v>
      </c>
      <c r="C61" s="33">
        <f>E59</f>
        <v>-32257.949872790236</v>
      </c>
      <c r="D61" s="33">
        <f>B59</f>
        <v>21505.299915193493</v>
      </c>
      <c r="E61" s="33">
        <f>C59</f>
        <v>32257.949872790236</v>
      </c>
      <c r="F61" s="32" t="str">
        <f>E57</f>
        <v>U1Y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34">
        <f t="shared" ref="B64:I71" si="7">IFERROR(INDEX($B$58:$E$61, MATCH($J64, $B$57:$E$57, 0), MATCH(B$63, $B$57:$E$57, 0)), 0)</f>
        <v>14336.866610128993</v>
      </c>
      <c r="C64" s="34">
        <f t="shared" si="7"/>
        <v>21505.299915193493</v>
      </c>
      <c r="D64" s="9">
        <f t="shared" si="7"/>
        <v>0</v>
      </c>
      <c r="E64" s="9">
        <f t="shared" si="7"/>
        <v>0</v>
      </c>
      <c r="F64" s="34">
        <f t="shared" si="7"/>
        <v>-14336.866610128993</v>
      </c>
      <c r="G64" s="34">
        <f t="shared" si="7"/>
        <v>-21505.299915193493</v>
      </c>
      <c r="H64" s="9">
        <f t="shared" si="7"/>
        <v>0</v>
      </c>
      <c r="I64" s="9">
        <f t="shared" si="7"/>
        <v>0</v>
      </c>
      <c r="J64" s="32" t="s">
        <v>178</v>
      </c>
    </row>
    <row r="65" spans="1:10" ht="19.05" customHeight="1" x14ac:dyDescent="0.3">
      <c r="B65" s="34">
        <f t="shared" si="7"/>
        <v>21505.299915193493</v>
      </c>
      <c r="C65" s="34">
        <f t="shared" si="7"/>
        <v>32257.949872790236</v>
      </c>
      <c r="D65" s="9">
        <f t="shared" si="7"/>
        <v>0</v>
      </c>
      <c r="E65" s="9">
        <f t="shared" si="7"/>
        <v>0</v>
      </c>
      <c r="F65" s="34">
        <f t="shared" si="7"/>
        <v>-21505.299915193493</v>
      </c>
      <c r="G65" s="34">
        <f t="shared" si="7"/>
        <v>-32257.949872790236</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34">
        <f t="shared" si="7"/>
        <v>-14336.866610128993</v>
      </c>
      <c r="C68" s="34">
        <f t="shared" si="7"/>
        <v>-21505.299915193493</v>
      </c>
      <c r="D68" s="9">
        <f t="shared" si="7"/>
        <v>0</v>
      </c>
      <c r="E68" s="9">
        <f t="shared" si="7"/>
        <v>0</v>
      </c>
      <c r="F68" s="34">
        <f t="shared" si="7"/>
        <v>14336.866610128993</v>
      </c>
      <c r="G68" s="34">
        <f t="shared" si="7"/>
        <v>21505.299915193493</v>
      </c>
      <c r="H68" s="9">
        <f t="shared" si="7"/>
        <v>0</v>
      </c>
      <c r="I68" s="9">
        <f t="shared" si="7"/>
        <v>0</v>
      </c>
      <c r="J68" s="32" t="s">
        <v>182</v>
      </c>
    </row>
    <row r="69" spans="1:10" ht="19.05" customHeight="1" x14ac:dyDescent="0.3">
      <c r="B69" s="34">
        <f t="shared" si="7"/>
        <v>-21505.299915193493</v>
      </c>
      <c r="C69" s="34">
        <f t="shared" si="7"/>
        <v>-32257.949872790236</v>
      </c>
      <c r="D69" s="9">
        <f t="shared" si="7"/>
        <v>0</v>
      </c>
      <c r="E69" s="9">
        <f t="shared" si="7"/>
        <v>0</v>
      </c>
      <c r="F69" s="34">
        <f t="shared" si="7"/>
        <v>21505.299915193493</v>
      </c>
      <c r="G69" s="34">
        <f t="shared" si="7"/>
        <v>32257.949872790236</v>
      </c>
      <c r="H69" s="9">
        <f t="shared" si="7"/>
        <v>0</v>
      </c>
      <c r="I69" s="9">
        <f t="shared" si="7"/>
        <v>0</v>
      </c>
      <c r="J69" s="32" t="s">
        <v>183</v>
      </c>
    </row>
    <row r="70" spans="1:10"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32" t="s">
        <v>184</v>
      </c>
    </row>
    <row r="71" spans="1:10"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32" t="s">
        <v>185</v>
      </c>
    </row>
    <row r="74" spans="1:10" ht="18" customHeight="1" x14ac:dyDescent="0.3">
      <c r="B74" s="45" t="str">
        <f>CONCATENATE("U",C18,C$14)</f>
        <v>U1X</v>
      </c>
      <c r="C74" s="45" t="str">
        <f>CONCATENATE("U",D18,D$14)</f>
        <v>U1Y</v>
      </c>
      <c r="D74" s="45" t="str">
        <f>CONCATENATE("U",E18,E$14)</f>
        <v>U4X</v>
      </c>
      <c r="E74" s="45" t="str">
        <f>CONCATENATE("U",F18,F$14)</f>
        <v>U4Y</v>
      </c>
    </row>
    <row r="75" spans="1:10" x14ac:dyDescent="0.3">
      <c r="B75" s="46">
        <f>J9*J9*N9</f>
        <v>60105.507235194345</v>
      </c>
      <c r="C75" s="46">
        <f>J9*K9*N9</f>
        <v>30052.753617597173</v>
      </c>
      <c r="D75" s="46">
        <f>-B75</f>
        <v>-60105.507235194345</v>
      </c>
      <c r="E75" s="46">
        <f>-C75</f>
        <v>-30052.753617597173</v>
      </c>
      <c r="F75" s="45" t="str">
        <f>B74</f>
        <v>U1X</v>
      </c>
    </row>
    <row r="76" spans="1:10" ht="16.8" customHeight="1" x14ac:dyDescent="0.3">
      <c r="A76" s="28" t="s">
        <v>195</v>
      </c>
      <c r="B76" s="46">
        <f>C75</f>
        <v>30052.753617597173</v>
      </c>
      <c r="C76" s="46">
        <f>K9*K9*N9</f>
        <v>15026.376808798586</v>
      </c>
      <c r="D76" s="46">
        <f>-B76</f>
        <v>-30052.753617597173</v>
      </c>
      <c r="E76" s="46">
        <f>-C76</f>
        <v>-15026.376808798586</v>
      </c>
      <c r="F76" s="45" t="str">
        <f>C74</f>
        <v>U1Y</v>
      </c>
    </row>
    <row r="77" spans="1:10" x14ac:dyDescent="0.3">
      <c r="B77" s="46">
        <f>D75</f>
        <v>-60105.507235194345</v>
      </c>
      <c r="C77" s="46">
        <f>E75</f>
        <v>-30052.753617597173</v>
      </c>
      <c r="D77" s="46">
        <f>B75</f>
        <v>60105.507235194345</v>
      </c>
      <c r="E77" s="46">
        <f>C75</f>
        <v>30052.753617597173</v>
      </c>
      <c r="F77" s="45" t="str">
        <f>D74</f>
        <v>U4X</v>
      </c>
    </row>
    <row r="78" spans="1:10" x14ac:dyDescent="0.3">
      <c r="B78" s="46">
        <f>D76</f>
        <v>-30052.753617597173</v>
      </c>
      <c r="C78" s="46">
        <f>E76</f>
        <v>-15026.376808798586</v>
      </c>
      <c r="D78" s="46">
        <f>B76</f>
        <v>30052.753617597173</v>
      </c>
      <c r="E78" s="46">
        <f>C76</f>
        <v>15026.376808798586</v>
      </c>
      <c r="F78" s="45" t="str">
        <f>E74</f>
        <v>U4Y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60105.507235194345</v>
      </c>
      <c r="C81" s="47">
        <f t="shared" si="8"/>
        <v>30052.753617597173</v>
      </c>
      <c r="D81" s="9">
        <f t="shared" si="8"/>
        <v>0</v>
      </c>
      <c r="E81" s="9">
        <f t="shared" si="8"/>
        <v>0</v>
      </c>
      <c r="F81" s="9">
        <f t="shared" si="8"/>
        <v>0</v>
      </c>
      <c r="G81" s="9">
        <f t="shared" si="8"/>
        <v>0</v>
      </c>
      <c r="H81" s="47">
        <f t="shared" si="8"/>
        <v>-60105.507235194345</v>
      </c>
      <c r="I81" s="47">
        <f t="shared" si="8"/>
        <v>-30052.753617597173</v>
      </c>
      <c r="J81" s="45" t="s">
        <v>178</v>
      </c>
    </row>
    <row r="82" spans="1:10" ht="19.05" customHeight="1" x14ac:dyDescent="0.3">
      <c r="B82" s="47">
        <f t="shared" si="8"/>
        <v>30052.753617597173</v>
      </c>
      <c r="C82" s="47">
        <f t="shared" si="8"/>
        <v>15026.376808798586</v>
      </c>
      <c r="D82" s="9">
        <f t="shared" si="8"/>
        <v>0</v>
      </c>
      <c r="E82" s="9">
        <f t="shared" si="8"/>
        <v>0</v>
      </c>
      <c r="F82" s="9">
        <f t="shared" si="8"/>
        <v>0</v>
      </c>
      <c r="G82" s="9">
        <f t="shared" si="8"/>
        <v>0</v>
      </c>
      <c r="H82" s="47">
        <f t="shared" si="8"/>
        <v>-30052.753617597173</v>
      </c>
      <c r="I82" s="47">
        <f t="shared" si="8"/>
        <v>-15026.376808798586</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-60105.507235194345</v>
      </c>
      <c r="C87" s="47">
        <f t="shared" si="8"/>
        <v>-30052.753617597173</v>
      </c>
      <c r="D87" s="9">
        <f t="shared" si="8"/>
        <v>0</v>
      </c>
      <c r="E87" s="9">
        <f t="shared" si="8"/>
        <v>0</v>
      </c>
      <c r="F87" s="9">
        <f t="shared" si="8"/>
        <v>0</v>
      </c>
      <c r="G87" s="9">
        <f t="shared" si="8"/>
        <v>0</v>
      </c>
      <c r="H87" s="47">
        <f t="shared" si="8"/>
        <v>60105.507235194345</v>
      </c>
      <c r="I87" s="47">
        <f t="shared" si="8"/>
        <v>30052.753617597173</v>
      </c>
      <c r="J87" s="45" t="s">
        <v>184</v>
      </c>
    </row>
    <row r="88" spans="1:10" ht="19.05" customHeight="1" x14ac:dyDescent="0.3">
      <c r="B88" s="47">
        <f t="shared" si="8"/>
        <v>-30052.753617597173</v>
      </c>
      <c r="C88" s="47">
        <f t="shared" si="8"/>
        <v>-15026.376808798586</v>
      </c>
      <c r="D88" s="9">
        <f t="shared" si="8"/>
        <v>0</v>
      </c>
      <c r="E88" s="9">
        <f t="shared" si="8"/>
        <v>0</v>
      </c>
      <c r="F88" s="9">
        <f t="shared" si="8"/>
        <v>0</v>
      </c>
      <c r="G88" s="9">
        <f t="shared" si="8"/>
        <v>0</v>
      </c>
      <c r="H88" s="47">
        <f t="shared" si="8"/>
        <v>30052.753617597173</v>
      </c>
      <c r="I88" s="47">
        <f t="shared" si="8"/>
        <v>15026.376808798586</v>
      </c>
      <c r="J88" s="45" t="s">
        <v>185</v>
      </c>
    </row>
    <row r="91" spans="1:10" ht="18" customHeight="1" x14ac:dyDescent="0.3">
      <c r="B91" s="48" t="str">
        <f>CONCATENATE("U",C19,C$14)</f>
        <v>U2X</v>
      </c>
      <c r="C91" s="48" t="str">
        <f>CONCATENATE("U",D19,D$14)</f>
        <v>U2Y</v>
      </c>
      <c r="D91" s="48" t="str">
        <f>CONCATENATE("U",E19,E$14)</f>
        <v>U4X</v>
      </c>
      <c r="E91" s="48" t="str">
        <f>CONCATENATE("U",F19,F$14)</f>
        <v>U4Y</v>
      </c>
    </row>
    <row r="92" spans="1:10" x14ac:dyDescent="0.3">
      <c r="B92" s="49">
        <f>J10*J10*N10</f>
        <v>60105.507235194345</v>
      </c>
      <c r="C92" s="49">
        <f>J10*K10*N10</f>
        <v>-30052.753617597173</v>
      </c>
      <c r="D92" s="49">
        <f>-B92</f>
        <v>-60105.507235194345</v>
      </c>
      <c r="E92" s="49">
        <f>-C92</f>
        <v>30052.753617597173</v>
      </c>
      <c r="F92" s="48" t="str">
        <f>B91</f>
        <v>U2X</v>
      </c>
    </row>
    <row r="93" spans="1:10" ht="16.8" customHeight="1" x14ac:dyDescent="0.3">
      <c r="A93" s="28" t="s">
        <v>197</v>
      </c>
      <c r="B93" s="49">
        <f>C92</f>
        <v>-30052.753617597173</v>
      </c>
      <c r="C93" s="49">
        <f>K10*K10*N10</f>
        <v>15026.376808798586</v>
      </c>
      <c r="D93" s="49">
        <f>-B93</f>
        <v>30052.753617597173</v>
      </c>
      <c r="E93" s="49">
        <f>-C93</f>
        <v>-15026.376808798586</v>
      </c>
      <c r="F93" s="48" t="str">
        <f>C91</f>
        <v>U2Y</v>
      </c>
    </row>
    <row r="94" spans="1:10" x14ac:dyDescent="0.3">
      <c r="B94" s="49">
        <f>D92</f>
        <v>-60105.507235194345</v>
      </c>
      <c r="C94" s="49">
        <f>E92</f>
        <v>30052.753617597173</v>
      </c>
      <c r="D94" s="49">
        <f>B92</f>
        <v>60105.507235194345</v>
      </c>
      <c r="E94" s="49">
        <f>C92</f>
        <v>-30052.753617597173</v>
      </c>
      <c r="F94" s="48" t="str">
        <f>D91</f>
        <v>U4X</v>
      </c>
    </row>
    <row r="95" spans="1:10" x14ac:dyDescent="0.3">
      <c r="B95" s="49">
        <f>D93</f>
        <v>30052.753617597173</v>
      </c>
      <c r="C95" s="49">
        <f>E93</f>
        <v>-15026.376808798586</v>
      </c>
      <c r="D95" s="49">
        <f>B93</f>
        <v>-30052.753617597173</v>
      </c>
      <c r="E95" s="49">
        <f>C93</f>
        <v>15026.376808798586</v>
      </c>
      <c r="F95" s="48" t="str">
        <f>E91</f>
        <v>U4Y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9">
        <f t="shared" ref="B98:I105" si="9">IFERROR(INDEX($B$92:$E$95, MATCH($J98, $B$91:$E$91, 0), MATCH(B$97, $B$91:$E$91, 0)), 0)</f>
        <v>0</v>
      </c>
      <c r="C98" s="9">
        <f t="shared" si="9"/>
        <v>0</v>
      </c>
      <c r="D98" s="9">
        <f t="shared" si="9"/>
        <v>0</v>
      </c>
      <c r="E98" s="9">
        <f t="shared" si="9"/>
        <v>0</v>
      </c>
      <c r="F98" s="9">
        <f t="shared" si="9"/>
        <v>0</v>
      </c>
      <c r="G98" s="9">
        <f t="shared" si="9"/>
        <v>0</v>
      </c>
      <c r="H98" s="9">
        <f t="shared" si="9"/>
        <v>0</v>
      </c>
      <c r="I98" s="9">
        <f t="shared" si="9"/>
        <v>0</v>
      </c>
      <c r="J98" s="48" t="s">
        <v>178</v>
      </c>
    </row>
    <row r="99" spans="1:10" ht="19.05" customHeight="1" x14ac:dyDescent="0.3">
      <c r="B99" s="9">
        <f t="shared" si="9"/>
        <v>0</v>
      </c>
      <c r="C99" s="9">
        <f t="shared" si="9"/>
        <v>0</v>
      </c>
      <c r="D99" s="9">
        <f t="shared" si="9"/>
        <v>0</v>
      </c>
      <c r="E99" s="9">
        <f t="shared" si="9"/>
        <v>0</v>
      </c>
      <c r="F99" s="9">
        <f t="shared" si="9"/>
        <v>0</v>
      </c>
      <c r="G99" s="9">
        <f t="shared" si="9"/>
        <v>0</v>
      </c>
      <c r="H99" s="9">
        <f t="shared" si="9"/>
        <v>0</v>
      </c>
      <c r="I99" s="9">
        <f t="shared" si="9"/>
        <v>0</v>
      </c>
      <c r="J99" s="48" t="s">
        <v>179</v>
      </c>
    </row>
    <row r="100" spans="1:10" ht="19.05" customHeight="1" x14ac:dyDescent="0.3">
      <c r="B100" s="9">
        <f t="shared" si="9"/>
        <v>0</v>
      </c>
      <c r="C100" s="9">
        <f t="shared" si="9"/>
        <v>0</v>
      </c>
      <c r="D100" s="50">
        <f t="shared" si="9"/>
        <v>60105.507235194345</v>
      </c>
      <c r="E100" s="50">
        <f t="shared" si="9"/>
        <v>-30052.753617597173</v>
      </c>
      <c r="F100" s="9">
        <f t="shared" si="9"/>
        <v>0</v>
      </c>
      <c r="G100" s="9">
        <f t="shared" si="9"/>
        <v>0</v>
      </c>
      <c r="H100" s="50">
        <f t="shared" si="9"/>
        <v>-60105.507235194345</v>
      </c>
      <c r="I100" s="50">
        <f t="shared" si="9"/>
        <v>30052.753617597173</v>
      </c>
      <c r="J100" s="48" t="s">
        <v>180</v>
      </c>
    </row>
    <row r="101" spans="1:10" ht="19.05" customHeight="1" x14ac:dyDescent="0.3">
      <c r="A101" s="28" t="s">
        <v>198</v>
      </c>
      <c r="B101" s="9">
        <f t="shared" si="9"/>
        <v>0</v>
      </c>
      <c r="C101" s="9">
        <f t="shared" si="9"/>
        <v>0</v>
      </c>
      <c r="D101" s="50">
        <f t="shared" si="9"/>
        <v>-30052.753617597173</v>
      </c>
      <c r="E101" s="50">
        <f t="shared" si="9"/>
        <v>15026.376808798586</v>
      </c>
      <c r="F101" s="9">
        <f t="shared" si="9"/>
        <v>0</v>
      </c>
      <c r="G101" s="9">
        <f t="shared" si="9"/>
        <v>0</v>
      </c>
      <c r="H101" s="50">
        <f t="shared" si="9"/>
        <v>30052.753617597173</v>
      </c>
      <c r="I101" s="50">
        <f t="shared" si="9"/>
        <v>-15026.376808798586</v>
      </c>
      <c r="J101" s="48" t="s">
        <v>181</v>
      </c>
    </row>
    <row r="102" spans="1:10"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48" t="s">
        <v>182</v>
      </c>
    </row>
    <row r="103" spans="1:10"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48" t="s">
        <v>183</v>
      </c>
    </row>
    <row r="104" spans="1:10" ht="19.05" customHeight="1" x14ac:dyDescent="0.3">
      <c r="B104" s="9">
        <f t="shared" si="9"/>
        <v>0</v>
      </c>
      <c r="C104" s="9">
        <f t="shared" si="9"/>
        <v>0</v>
      </c>
      <c r="D104" s="50">
        <f t="shared" si="9"/>
        <v>-60105.507235194345</v>
      </c>
      <c r="E104" s="50">
        <f t="shared" si="9"/>
        <v>30052.753617597173</v>
      </c>
      <c r="F104" s="9">
        <f t="shared" si="9"/>
        <v>0</v>
      </c>
      <c r="G104" s="9">
        <f t="shared" si="9"/>
        <v>0</v>
      </c>
      <c r="H104" s="50">
        <f t="shared" si="9"/>
        <v>60105.507235194345</v>
      </c>
      <c r="I104" s="50">
        <f t="shared" si="9"/>
        <v>-30052.753617597173</v>
      </c>
      <c r="J104" s="48" t="s">
        <v>184</v>
      </c>
    </row>
    <row r="105" spans="1:10" ht="19.05" customHeight="1" x14ac:dyDescent="0.3">
      <c r="B105" s="9">
        <f t="shared" si="9"/>
        <v>0</v>
      </c>
      <c r="C105" s="9">
        <f t="shared" si="9"/>
        <v>0</v>
      </c>
      <c r="D105" s="50">
        <f t="shared" si="9"/>
        <v>30052.753617597173</v>
      </c>
      <c r="E105" s="50">
        <f t="shared" si="9"/>
        <v>-15026.376808798586</v>
      </c>
      <c r="F105" s="9">
        <f t="shared" si="9"/>
        <v>0</v>
      </c>
      <c r="G105" s="9">
        <f t="shared" si="9"/>
        <v>0</v>
      </c>
      <c r="H105" s="50">
        <f t="shared" si="9"/>
        <v>-30052.753617597173</v>
      </c>
      <c r="I105" s="50">
        <f t="shared" si="9"/>
        <v>15026.376808798586</v>
      </c>
      <c r="J105" s="48" t="s">
        <v>185</v>
      </c>
    </row>
    <row r="108" spans="1:10" ht="18" customHeight="1" x14ac:dyDescent="0.3">
      <c r="B108" s="53" t="str">
        <f>CONCATENATE("U",C20,C$14)</f>
        <v>U3X</v>
      </c>
      <c r="C108" s="53" t="str">
        <f>CONCATENATE("U",D20,D$14)</f>
        <v>U3Y</v>
      </c>
      <c r="D108" s="53" t="str">
        <f>CONCATENATE("U",E20,E$14)</f>
        <v>U4X</v>
      </c>
      <c r="E108" s="53" t="str">
        <f>CONCATENATE("U",F20,F$14)</f>
        <v>U4Y</v>
      </c>
    </row>
    <row r="109" spans="1:10" x14ac:dyDescent="0.3">
      <c r="B109" s="54">
        <f>J11*J11*N11</f>
        <v>0</v>
      </c>
      <c r="C109" s="54">
        <f>J11*K11*N11</f>
        <v>0</v>
      </c>
      <c r="D109" s="54">
        <f>-B109</f>
        <v>0</v>
      </c>
      <c r="E109" s="54">
        <f>-C109</f>
        <v>0</v>
      </c>
      <c r="F109" s="53" t="str">
        <f>B108</f>
        <v>U3X</v>
      </c>
    </row>
    <row r="110" spans="1:10" ht="16.8" customHeight="1" x14ac:dyDescent="0.3">
      <c r="A110" s="28" t="s">
        <v>199</v>
      </c>
      <c r="B110" s="54">
        <f>C109</f>
        <v>0</v>
      </c>
      <c r="C110" s="54">
        <f>K11*K11*N11</f>
        <v>84000</v>
      </c>
      <c r="D110" s="54">
        <f>-B110</f>
        <v>0</v>
      </c>
      <c r="E110" s="54">
        <f>-C110</f>
        <v>-84000</v>
      </c>
      <c r="F110" s="53" t="str">
        <f>C108</f>
        <v>U3Y</v>
      </c>
    </row>
    <row r="111" spans="1:10" x14ac:dyDescent="0.3">
      <c r="B111" s="54">
        <f>D109</f>
        <v>0</v>
      </c>
      <c r="C111" s="54">
        <f>E109</f>
        <v>0</v>
      </c>
      <c r="D111" s="54">
        <f>B109</f>
        <v>0</v>
      </c>
      <c r="E111" s="54">
        <f>C109</f>
        <v>0</v>
      </c>
      <c r="F111" s="53" t="str">
        <f>D108</f>
        <v>U4X</v>
      </c>
    </row>
    <row r="112" spans="1:10" x14ac:dyDescent="0.3">
      <c r="B112" s="54">
        <f>D110</f>
        <v>0</v>
      </c>
      <c r="C112" s="54">
        <f>E110</f>
        <v>-84000</v>
      </c>
      <c r="D112" s="54">
        <f>B110</f>
        <v>0</v>
      </c>
      <c r="E112" s="54">
        <f>C110</f>
        <v>84000</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9">
        <f t="shared" si="10"/>
        <v>0</v>
      </c>
      <c r="E117" s="9">
        <f t="shared" si="10"/>
        <v>0</v>
      </c>
      <c r="F117" s="9">
        <f t="shared" si="10"/>
        <v>0</v>
      </c>
      <c r="G117" s="9">
        <f t="shared" si="10"/>
        <v>0</v>
      </c>
      <c r="H117" s="9">
        <f t="shared" si="10"/>
        <v>0</v>
      </c>
      <c r="I117" s="9">
        <f t="shared" si="10"/>
        <v>0</v>
      </c>
      <c r="J117" s="53" t="s">
        <v>180</v>
      </c>
    </row>
    <row r="118" spans="1:10" ht="19.05" customHeight="1" x14ac:dyDescent="0.3">
      <c r="A118" s="28" t="s">
        <v>200</v>
      </c>
      <c r="B118" s="9">
        <f t="shared" si="10"/>
        <v>0</v>
      </c>
      <c r="C118" s="9">
        <f t="shared" si="10"/>
        <v>0</v>
      </c>
      <c r="D118" s="9">
        <f t="shared" si="10"/>
        <v>0</v>
      </c>
      <c r="E118" s="9">
        <f t="shared" si="10"/>
        <v>0</v>
      </c>
      <c r="F118" s="9">
        <f t="shared" si="10"/>
        <v>0</v>
      </c>
      <c r="G118" s="9">
        <f t="shared" si="10"/>
        <v>0</v>
      </c>
      <c r="H118" s="9">
        <f t="shared" si="10"/>
        <v>0</v>
      </c>
      <c r="I118" s="9">
        <f t="shared" si="10"/>
        <v>0</v>
      </c>
      <c r="J118" s="53" t="s">
        <v>181</v>
      </c>
    </row>
    <row r="119" spans="1:10" ht="19.05" customHeight="1" x14ac:dyDescent="0.3">
      <c r="B119" s="9">
        <f t="shared" si="10"/>
        <v>0</v>
      </c>
      <c r="C119" s="9">
        <f t="shared" si="10"/>
        <v>0</v>
      </c>
      <c r="D119" s="9">
        <f t="shared" si="10"/>
        <v>0</v>
      </c>
      <c r="E119" s="9">
        <f t="shared" si="10"/>
        <v>0</v>
      </c>
      <c r="F119" s="55">
        <f t="shared" si="10"/>
        <v>0</v>
      </c>
      <c r="G119" s="55">
        <f t="shared" si="10"/>
        <v>0</v>
      </c>
      <c r="H119" s="55">
        <f t="shared" si="10"/>
        <v>0</v>
      </c>
      <c r="I119" s="55">
        <f t="shared" si="10"/>
        <v>0</v>
      </c>
      <c r="J119" s="53" t="s">
        <v>182</v>
      </c>
    </row>
    <row r="120" spans="1:10" ht="19.05" customHeight="1" x14ac:dyDescent="0.3">
      <c r="B120" s="9">
        <f t="shared" si="10"/>
        <v>0</v>
      </c>
      <c r="C120" s="9">
        <f t="shared" si="10"/>
        <v>0</v>
      </c>
      <c r="D120" s="9">
        <f t="shared" si="10"/>
        <v>0</v>
      </c>
      <c r="E120" s="9">
        <f t="shared" si="10"/>
        <v>0</v>
      </c>
      <c r="F120" s="55">
        <f t="shared" si="10"/>
        <v>0</v>
      </c>
      <c r="G120" s="55">
        <f t="shared" si="10"/>
        <v>84000</v>
      </c>
      <c r="H120" s="55">
        <f t="shared" si="10"/>
        <v>0</v>
      </c>
      <c r="I120" s="55">
        <f t="shared" si="10"/>
        <v>-84000</v>
      </c>
      <c r="J120" s="53" t="s">
        <v>183</v>
      </c>
    </row>
    <row r="121" spans="1:10" ht="19.05" customHeight="1" x14ac:dyDescent="0.3">
      <c r="B121" s="9">
        <f t="shared" si="10"/>
        <v>0</v>
      </c>
      <c r="C121" s="9">
        <f t="shared" si="10"/>
        <v>0</v>
      </c>
      <c r="D121" s="9">
        <f t="shared" si="10"/>
        <v>0</v>
      </c>
      <c r="E121" s="9">
        <f t="shared" si="10"/>
        <v>0</v>
      </c>
      <c r="F121" s="55">
        <f t="shared" si="10"/>
        <v>0</v>
      </c>
      <c r="G121" s="55">
        <f t="shared" si="10"/>
        <v>0</v>
      </c>
      <c r="H121" s="55">
        <f t="shared" si="10"/>
        <v>0</v>
      </c>
      <c r="I121" s="55">
        <f t="shared" si="10"/>
        <v>0</v>
      </c>
      <c r="J121" s="53" t="s">
        <v>184</v>
      </c>
    </row>
    <row r="122" spans="1:10" ht="19.05" customHeight="1" x14ac:dyDescent="0.3">
      <c r="B122" s="9">
        <f t="shared" si="10"/>
        <v>0</v>
      </c>
      <c r="C122" s="9">
        <f t="shared" si="10"/>
        <v>0</v>
      </c>
      <c r="D122" s="9">
        <f t="shared" si="10"/>
        <v>0</v>
      </c>
      <c r="E122" s="9">
        <f t="shared" si="10"/>
        <v>0</v>
      </c>
      <c r="F122" s="55">
        <f t="shared" si="10"/>
        <v>0</v>
      </c>
      <c r="G122" s="55">
        <f t="shared" si="10"/>
        <v>-84000</v>
      </c>
      <c r="H122" s="55">
        <f t="shared" si="10"/>
        <v>0</v>
      </c>
      <c r="I122" s="55">
        <f t="shared" si="10"/>
        <v>84000</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116442.37384532334</v>
      </c>
      <c r="C126" s="36">
        <f t="shared" si="11"/>
        <v>51558.053532790669</v>
      </c>
      <c r="D126" s="9">
        <f t="shared" si="11"/>
        <v>-42000</v>
      </c>
      <c r="E126" s="9">
        <f t="shared" si="11"/>
        <v>0</v>
      </c>
      <c r="F126" s="9">
        <f t="shared" si="11"/>
        <v>-14336.866610128993</v>
      </c>
      <c r="G126" s="9">
        <f t="shared" si="11"/>
        <v>-21505.299915193493</v>
      </c>
      <c r="H126" s="9">
        <f t="shared" si="11"/>
        <v>-60105.507235194345</v>
      </c>
      <c r="I126" s="9">
        <f t="shared" si="11"/>
        <v>-30052.753617597173</v>
      </c>
      <c r="J126" s="89" t="s">
        <v>178</v>
      </c>
    </row>
    <row r="127" spans="1:10" ht="19.95" customHeight="1" x14ac:dyDescent="0.3">
      <c r="B127" s="36">
        <f t="shared" si="11"/>
        <v>51558.053532790669</v>
      </c>
      <c r="C127" s="35">
        <f t="shared" si="11"/>
        <v>47284.32668158882</v>
      </c>
      <c r="D127" s="9">
        <f t="shared" si="11"/>
        <v>0</v>
      </c>
      <c r="E127" s="9">
        <f t="shared" si="11"/>
        <v>0</v>
      </c>
      <c r="F127" s="9">
        <f t="shared" si="11"/>
        <v>-21505.299915193493</v>
      </c>
      <c r="G127" s="9">
        <f t="shared" si="11"/>
        <v>-32257.949872790236</v>
      </c>
      <c r="H127" s="9">
        <f t="shared" si="11"/>
        <v>-30052.753617597173</v>
      </c>
      <c r="I127" s="9">
        <f t="shared" si="11"/>
        <v>-15026.376808798586</v>
      </c>
      <c r="J127" s="89" t="s">
        <v>179</v>
      </c>
    </row>
    <row r="128" spans="1:10" ht="19.95" customHeight="1" x14ac:dyDescent="0.3">
      <c r="B128" s="9">
        <f t="shared" si="11"/>
        <v>-42000</v>
      </c>
      <c r="C128" s="9">
        <f t="shared" si="11"/>
        <v>0</v>
      </c>
      <c r="D128" s="35">
        <f t="shared" si="11"/>
        <v>116442.37384532334</v>
      </c>
      <c r="E128" s="36">
        <f t="shared" si="11"/>
        <v>-51558.053532790669</v>
      </c>
      <c r="F128" s="9">
        <f t="shared" si="11"/>
        <v>-14336.866610128993</v>
      </c>
      <c r="G128" s="9">
        <f t="shared" si="11"/>
        <v>21505.299915193493</v>
      </c>
      <c r="H128" s="9">
        <f t="shared" si="11"/>
        <v>-60105.507235194345</v>
      </c>
      <c r="I128" s="9">
        <f t="shared" si="11"/>
        <v>30052.753617597173</v>
      </c>
      <c r="J128" s="89" t="s">
        <v>180</v>
      </c>
    </row>
    <row r="129" spans="1:17" ht="19.95" customHeight="1" x14ac:dyDescent="0.3">
      <c r="A129" s="28" t="s">
        <v>205</v>
      </c>
      <c r="B129" s="9">
        <f t="shared" si="11"/>
        <v>0</v>
      </c>
      <c r="C129" s="9">
        <f t="shared" si="11"/>
        <v>0</v>
      </c>
      <c r="D129" s="36">
        <f t="shared" si="11"/>
        <v>-51558.053532790669</v>
      </c>
      <c r="E129" s="35">
        <f t="shared" si="11"/>
        <v>47284.32668158882</v>
      </c>
      <c r="F129" s="9">
        <f t="shared" si="11"/>
        <v>21505.299915193493</v>
      </c>
      <c r="G129" s="9">
        <f t="shared" si="11"/>
        <v>-32257.949872790236</v>
      </c>
      <c r="H129" s="9">
        <f t="shared" si="11"/>
        <v>30052.753617597173</v>
      </c>
      <c r="I129" s="9">
        <f t="shared" si="11"/>
        <v>-15026.376808798586</v>
      </c>
      <c r="J129" s="89" t="s">
        <v>181</v>
      </c>
    </row>
    <row r="130" spans="1:17" ht="19.95" customHeight="1" x14ac:dyDescent="0.3">
      <c r="B130" s="9">
        <f t="shared" si="11"/>
        <v>-14336.866610128993</v>
      </c>
      <c r="C130" s="9">
        <f t="shared" si="11"/>
        <v>-21505.299915193493</v>
      </c>
      <c r="D130" s="9">
        <f t="shared" si="11"/>
        <v>-14336.866610128993</v>
      </c>
      <c r="E130" s="9">
        <f t="shared" si="11"/>
        <v>21505.299915193493</v>
      </c>
      <c r="F130" s="35">
        <f t="shared" si="11"/>
        <v>28673.733220257986</v>
      </c>
      <c r="G130" s="36">
        <f t="shared" si="11"/>
        <v>0</v>
      </c>
      <c r="H130" s="9">
        <f t="shared" si="11"/>
        <v>0</v>
      </c>
      <c r="I130" s="9">
        <f t="shared" si="11"/>
        <v>0</v>
      </c>
      <c r="J130" s="89" t="s">
        <v>182</v>
      </c>
    </row>
    <row r="131" spans="1:17" ht="19.95" customHeight="1" x14ac:dyDescent="0.3">
      <c r="B131" s="9">
        <f t="shared" si="11"/>
        <v>-21505.299915193493</v>
      </c>
      <c r="C131" s="9">
        <f t="shared" si="11"/>
        <v>-32257.949872790236</v>
      </c>
      <c r="D131" s="9">
        <f t="shared" si="11"/>
        <v>21505.299915193493</v>
      </c>
      <c r="E131" s="9">
        <f t="shared" si="11"/>
        <v>-32257.949872790236</v>
      </c>
      <c r="F131" s="36">
        <f t="shared" si="11"/>
        <v>0</v>
      </c>
      <c r="G131" s="35">
        <f t="shared" si="11"/>
        <v>148515.89974558048</v>
      </c>
      <c r="H131" s="9">
        <f t="shared" si="11"/>
        <v>0</v>
      </c>
      <c r="I131" s="9">
        <f t="shared" si="11"/>
        <v>-84000</v>
      </c>
      <c r="J131" s="89" t="s">
        <v>183</v>
      </c>
    </row>
    <row r="132" spans="1:17" ht="19.95" customHeight="1" x14ac:dyDescent="0.3">
      <c r="B132" s="9">
        <f t="shared" si="11"/>
        <v>-60105.507235194345</v>
      </c>
      <c r="C132" s="9">
        <f t="shared" si="11"/>
        <v>-30052.753617597173</v>
      </c>
      <c r="D132" s="9">
        <f t="shared" si="11"/>
        <v>-60105.507235194345</v>
      </c>
      <c r="E132" s="9">
        <f t="shared" si="11"/>
        <v>30052.753617597173</v>
      </c>
      <c r="F132" s="9">
        <f t="shared" si="11"/>
        <v>0</v>
      </c>
      <c r="G132" s="9">
        <f t="shared" si="11"/>
        <v>0</v>
      </c>
      <c r="H132" s="35">
        <f t="shared" si="11"/>
        <v>120211.01447038869</v>
      </c>
      <c r="I132" s="36">
        <f t="shared" si="11"/>
        <v>0</v>
      </c>
      <c r="J132" s="89" t="s">
        <v>184</v>
      </c>
    </row>
    <row r="133" spans="1:17" ht="19.95" customHeight="1" x14ac:dyDescent="0.3">
      <c r="B133" s="9">
        <f t="shared" si="11"/>
        <v>-30052.753617597173</v>
      </c>
      <c r="C133" s="9">
        <f t="shared" si="11"/>
        <v>-15026.376808798586</v>
      </c>
      <c r="D133" s="9">
        <f t="shared" si="11"/>
        <v>30052.753617597173</v>
      </c>
      <c r="E133" s="9">
        <f t="shared" si="11"/>
        <v>-15026.376808798586</v>
      </c>
      <c r="F133" s="9">
        <f t="shared" si="11"/>
        <v>0</v>
      </c>
      <c r="G133" s="9">
        <f t="shared" si="11"/>
        <v>-84000</v>
      </c>
      <c r="H133" s="36">
        <f t="shared" si="11"/>
        <v>0</v>
      </c>
      <c r="I133" s="35">
        <f t="shared" si="11"/>
        <v>114052.75361759718</v>
      </c>
      <c r="J133" s="89" t="s">
        <v>185</v>
      </c>
    </row>
    <row r="136" spans="1:17" ht="19.95" customHeight="1" x14ac:dyDescent="0.35">
      <c r="A136" s="11" t="s">
        <v>206</v>
      </c>
      <c r="L136" s="216" t="s">
        <v>207</v>
      </c>
      <c r="M136" s="172"/>
      <c r="N136" s="172"/>
      <c r="O136" s="172"/>
      <c r="P136" s="172"/>
      <c r="Q136" s="173"/>
    </row>
    <row r="137" spans="1:17" ht="16.95" customHeight="1" x14ac:dyDescent="0.3">
      <c r="B137" s="12" t="s">
        <v>208</v>
      </c>
      <c r="C137" s="12" t="s">
        <v>178</v>
      </c>
      <c r="E137" s="37" t="str">
        <f>IF(GRAFICA_46!F14=1, B137, GRAFICA_46!H14)</f>
        <v>C1X</v>
      </c>
      <c r="L137" s="215" t="s">
        <v>376</v>
      </c>
      <c r="M137" s="172"/>
      <c r="N137" s="172"/>
      <c r="O137" s="172"/>
      <c r="P137" s="172"/>
      <c r="Q137" s="173"/>
    </row>
    <row r="138" spans="1:17" ht="16.95" customHeight="1" x14ac:dyDescent="0.3">
      <c r="B138" s="12" t="s">
        <v>210</v>
      </c>
      <c r="C138" s="12" t="s">
        <v>179</v>
      </c>
      <c r="E138" s="37" t="str">
        <f>IF(GRAFICA_46!G14=1, B138, GRAFICA_46!I14)</f>
        <v>C1Y</v>
      </c>
      <c r="L138" s="215" t="s">
        <v>211</v>
      </c>
      <c r="M138" s="172"/>
      <c r="N138" s="172"/>
      <c r="O138" s="172"/>
      <c r="P138" s="172"/>
      <c r="Q138" s="173"/>
    </row>
    <row r="139" spans="1:17" ht="16.95" customHeight="1" x14ac:dyDescent="0.3">
      <c r="B139" s="12" t="s">
        <v>212</v>
      </c>
      <c r="C139" s="12" t="s">
        <v>180</v>
      </c>
      <c r="E139" s="37">
        <f>IF(GRAFICA_46!F15=1, B139, GRAFICA_46!H15)</f>
        <v>0</v>
      </c>
      <c r="L139" s="215" t="s">
        <v>377</v>
      </c>
      <c r="M139" s="172"/>
      <c r="N139" s="172"/>
      <c r="O139" s="172"/>
      <c r="P139" s="172"/>
      <c r="Q139" s="173"/>
    </row>
    <row r="140" spans="1:17" ht="16.95" customHeight="1" x14ac:dyDescent="0.3">
      <c r="A140" s="38" t="s">
        <v>218</v>
      </c>
      <c r="B140" s="12" t="s">
        <v>214</v>
      </c>
      <c r="C140" s="12" t="s">
        <v>181</v>
      </c>
      <c r="D140" s="13" t="s">
        <v>220</v>
      </c>
      <c r="E140" s="37" t="str">
        <f>IF(GRAFICA_46!G15=1, B140, GRAFICA_46!I15)</f>
        <v>C2Y</v>
      </c>
      <c r="L140" s="215" t="s">
        <v>215</v>
      </c>
      <c r="M140" s="172"/>
      <c r="N140" s="172"/>
      <c r="O140" s="172"/>
      <c r="P140" s="172"/>
      <c r="Q140" s="173"/>
    </row>
    <row r="141" spans="1:17" ht="16.95" customHeight="1" x14ac:dyDescent="0.3">
      <c r="B141" s="12" t="s">
        <v>216</v>
      </c>
      <c r="C141" s="12" t="s">
        <v>182</v>
      </c>
      <c r="E141" s="37">
        <f>IF(GRAFICA_46!F16=1, B141, GRAFICA_46!H16)</f>
        <v>0</v>
      </c>
      <c r="L141" s="215" t="s">
        <v>378</v>
      </c>
      <c r="M141" s="172"/>
      <c r="N141" s="172"/>
      <c r="O141" s="172"/>
      <c r="P141" s="172"/>
      <c r="Q141" s="173"/>
    </row>
    <row r="142" spans="1:17" ht="16.95" customHeight="1" x14ac:dyDescent="0.3">
      <c r="B142" s="12" t="s">
        <v>219</v>
      </c>
      <c r="C142" s="12" t="s">
        <v>183</v>
      </c>
      <c r="E142" s="37">
        <f>IF(GRAFICA_46!G16=1, B142, GRAFICA_46!I16)</f>
        <v>-8000</v>
      </c>
      <c r="L142" s="215" t="s">
        <v>379</v>
      </c>
      <c r="M142" s="172"/>
      <c r="N142" s="172"/>
      <c r="O142" s="172"/>
      <c r="P142" s="172"/>
      <c r="Q142" s="173"/>
    </row>
    <row r="143" spans="1:17" ht="16.95" customHeight="1" x14ac:dyDescent="0.3">
      <c r="B143" s="12" t="s">
        <v>221</v>
      </c>
      <c r="C143" s="12" t="s">
        <v>184</v>
      </c>
      <c r="E143" s="37">
        <f>IF(GRAFICA_46!F17=1, B143, GRAFICA_46!H17)</f>
        <v>0</v>
      </c>
      <c r="L143" s="215"/>
      <c r="M143" s="172"/>
      <c r="N143" s="172"/>
      <c r="O143" s="172"/>
      <c r="P143" s="172"/>
      <c r="Q143" s="173"/>
    </row>
    <row r="144" spans="1:17" ht="16.95" customHeight="1" x14ac:dyDescent="0.3">
      <c r="B144" s="12" t="s">
        <v>222</v>
      </c>
      <c r="C144" s="12" t="s">
        <v>185</v>
      </c>
      <c r="E144" s="37">
        <f>IF(GRAFICA_46!G17=1, B144, GRAFICA_46!I17)</f>
        <v>-4000</v>
      </c>
      <c r="L144" s="215"/>
      <c r="M144" s="172"/>
      <c r="N144" s="172"/>
      <c r="O144" s="172"/>
      <c r="P144" s="172"/>
      <c r="Q144" s="173"/>
    </row>
    <row r="145" spans="1:17" ht="16.95" customHeight="1" x14ac:dyDescent="0.3">
      <c r="L145" s="215"/>
      <c r="M145" s="172"/>
      <c r="N145" s="172"/>
      <c r="O145" s="172"/>
      <c r="P145" s="172"/>
      <c r="Q145" s="173"/>
    </row>
    <row r="146" spans="1:17" ht="16.95" customHeight="1" x14ac:dyDescent="0.35">
      <c r="A146" s="11" t="s">
        <v>227</v>
      </c>
      <c r="L146" s="215"/>
      <c r="M146" s="172"/>
      <c r="N146" s="172"/>
      <c r="O146" s="172"/>
      <c r="P146" s="172"/>
      <c r="Q146" s="173"/>
    </row>
    <row r="147" spans="1:17" ht="16.95" customHeight="1" x14ac:dyDescent="0.3">
      <c r="B147" s="12" t="s">
        <v>228</v>
      </c>
      <c r="C147" s="12" t="s">
        <v>178</v>
      </c>
      <c r="E147" s="39">
        <f>IF(GRAFICA_46!F14=1, 0, B147)</f>
        <v>0</v>
      </c>
      <c r="F147" s="14" t="str">
        <f>IF(E147&lt;&gt;0, COUNTIF(E$147:E147, "&lt;&gt;0"), "")</f>
        <v/>
      </c>
      <c r="G147" s="14">
        <f>IF(E147=0, COUNTIF(E$147:E147, 0), "")</f>
        <v>1</v>
      </c>
      <c r="L147" s="215"/>
      <c r="M147" s="172"/>
      <c r="N147" s="172"/>
      <c r="O147" s="172"/>
      <c r="P147" s="172"/>
      <c r="Q147" s="173"/>
    </row>
    <row r="148" spans="1:17" ht="16.95" customHeight="1" x14ac:dyDescent="0.3">
      <c r="B148" s="12" t="s">
        <v>229</v>
      </c>
      <c r="C148" s="12" t="s">
        <v>179</v>
      </c>
      <c r="E148" s="39">
        <f>IF(GRAFICA_46!G14=1, 0, B148)</f>
        <v>0</v>
      </c>
      <c r="F148" s="14" t="str">
        <f>IF(E148&lt;&gt;0, COUNTIF(E$147:E148, "&lt;&gt;0"), "")</f>
        <v/>
      </c>
      <c r="G148" s="14">
        <f>IF(E148=0, COUNTIF(E$147:E148, 0), "")</f>
        <v>2</v>
      </c>
      <c r="L148" s="215"/>
      <c r="M148" s="172"/>
      <c r="N148" s="172"/>
      <c r="O148" s="172"/>
      <c r="P148" s="172"/>
      <c r="Q148" s="173"/>
    </row>
    <row r="149" spans="1:17" ht="16.95" customHeight="1" x14ac:dyDescent="0.3">
      <c r="B149" s="12" t="s">
        <v>230</v>
      </c>
      <c r="C149" s="12" t="s">
        <v>180</v>
      </c>
      <c r="E149" s="39" t="str">
        <f>IF(GRAFICA_46!F15=1, 0, B149)</f>
        <v>D2X</v>
      </c>
      <c r="F149" s="14">
        <f>IF(E149&lt;&gt;0, COUNTIF(E$147:E149, "&lt;&gt;0"), "")</f>
        <v>1</v>
      </c>
      <c r="G149" s="14" t="str">
        <f>IF(E149=0, COUNTIF(E$147:E149, 0), "")</f>
        <v/>
      </c>
      <c r="L149" s="215"/>
      <c r="M149" s="172"/>
      <c r="N149" s="172"/>
      <c r="O149" s="172"/>
      <c r="P149" s="172"/>
      <c r="Q149" s="173"/>
    </row>
    <row r="150" spans="1:17" ht="16.95" customHeight="1" x14ac:dyDescent="0.3">
      <c r="A150" s="38" t="s">
        <v>233</v>
      </c>
      <c r="B150" s="12" t="s">
        <v>231</v>
      </c>
      <c r="C150" s="12" t="s">
        <v>181</v>
      </c>
      <c r="D150" s="13" t="s">
        <v>220</v>
      </c>
      <c r="E150" s="39">
        <f>IF(GRAFICA_46!G15=1, 0, B150)</f>
        <v>0</v>
      </c>
      <c r="F150" s="14" t="str">
        <f>IF(E150&lt;&gt;0, COUNTIF(E$147:E150, "&lt;&gt;0"), "")</f>
        <v/>
      </c>
      <c r="G150" s="14">
        <f>IF(E150=0, COUNTIF(E$147:E150, 0), "")</f>
        <v>3</v>
      </c>
      <c r="L150" s="215"/>
      <c r="M150" s="172"/>
      <c r="N150" s="172"/>
      <c r="O150" s="172"/>
      <c r="P150" s="172"/>
      <c r="Q150" s="173"/>
    </row>
    <row r="151" spans="1:17" ht="16.95" customHeight="1" x14ac:dyDescent="0.3">
      <c r="B151" s="12" t="s">
        <v>232</v>
      </c>
      <c r="C151" s="12" t="s">
        <v>182</v>
      </c>
      <c r="E151" s="39" t="str">
        <f>IF(GRAFICA_46!F16=1, 0, B151)</f>
        <v>D3X</v>
      </c>
      <c r="F151" s="14">
        <f>IF(E151&lt;&gt;0, COUNTIF(E$147:E151, "&lt;&gt;0"), "")</f>
        <v>2</v>
      </c>
      <c r="G151" s="14" t="str">
        <f>IF(E151=0, COUNTIF(E$147:E151, 0), "")</f>
        <v/>
      </c>
      <c r="L151" s="215"/>
      <c r="M151" s="172"/>
      <c r="N151" s="172"/>
      <c r="O151" s="172"/>
      <c r="P151" s="172"/>
      <c r="Q151" s="173"/>
    </row>
    <row r="152" spans="1:17" ht="16.95" customHeight="1" x14ac:dyDescent="0.3">
      <c r="B152" s="12" t="s">
        <v>234</v>
      </c>
      <c r="C152" s="12" t="s">
        <v>183</v>
      </c>
      <c r="E152" s="39" t="str">
        <f>IF(GRAFICA_46!G16=1, 0, B152)</f>
        <v>D3Y</v>
      </c>
      <c r="F152" s="14">
        <f>IF(E152&lt;&gt;0, COUNTIF(E$147:E152, "&lt;&gt;0"), "")</f>
        <v>3</v>
      </c>
      <c r="G152" s="14" t="str">
        <f>IF(E152=0, COUNTIF(E$147:E152, 0), "")</f>
        <v/>
      </c>
      <c r="L152" s="215"/>
      <c r="M152" s="172"/>
      <c r="N152" s="172"/>
      <c r="O152" s="172"/>
      <c r="P152" s="172"/>
      <c r="Q152" s="173"/>
    </row>
    <row r="153" spans="1:17" ht="16.95" customHeight="1" x14ac:dyDescent="0.3">
      <c r="B153" s="12" t="s">
        <v>235</v>
      </c>
      <c r="C153" s="12" t="s">
        <v>184</v>
      </c>
      <c r="E153" s="39" t="str">
        <f>IF(GRAFICA_46!F17=1, 0, B153)</f>
        <v>D4X</v>
      </c>
      <c r="F153" s="14">
        <f>IF(E153&lt;&gt;0, COUNTIF(E$147:E153, "&lt;&gt;0"), "")</f>
        <v>4</v>
      </c>
      <c r="G153" s="14" t="str">
        <f>IF(E153=0, COUNTIF(E$147:E153, 0), "")</f>
        <v/>
      </c>
      <c r="L153" s="215"/>
      <c r="M153" s="172"/>
      <c r="N153" s="172"/>
      <c r="O153" s="172"/>
      <c r="P153" s="172"/>
      <c r="Q153" s="173"/>
    </row>
    <row r="154" spans="1:17" ht="16.95" customHeight="1" x14ac:dyDescent="0.3">
      <c r="B154" s="12" t="s">
        <v>236</v>
      </c>
      <c r="C154" s="12" t="s">
        <v>185</v>
      </c>
      <c r="E154" s="39" t="str">
        <f>IF(GRAFICA_46!G17=1, 0, B154)</f>
        <v>D4Y</v>
      </c>
      <c r="F154" s="14">
        <f>IF(E154&lt;&gt;0, COUNTIF(E$147:E154, "&lt;&gt;0"), "")</f>
        <v>5</v>
      </c>
      <c r="G154" s="14" t="str">
        <f>IF(E154=0, COUNTIF(E$147:E154, 0), "")</f>
        <v/>
      </c>
      <c r="L154" s="215"/>
      <c r="M154" s="172"/>
      <c r="N154" s="172"/>
      <c r="O154" s="172"/>
      <c r="P154" s="172"/>
      <c r="Q154" s="173"/>
    </row>
    <row r="156" spans="1:17" ht="19.95" customHeight="1" x14ac:dyDescent="0.35">
      <c r="A156" s="15" t="s">
        <v>241</v>
      </c>
      <c r="C156" s="218" t="s">
        <v>242</v>
      </c>
      <c r="D156" s="173"/>
      <c r="E156" s="40" t="s">
        <v>243</v>
      </c>
      <c r="L156" s="216" t="s">
        <v>244</v>
      </c>
      <c r="M156" s="172"/>
      <c r="N156" s="172"/>
      <c r="O156" s="172"/>
      <c r="P156" s="172"/>
      <c r="Q156" s="173"/>
    </row>
    <row r="157" spans="1:17" ht="16.95" customHeight="1" x14ac:dyDescent="0.3">
      <c r="E157" s="40" t="s">
        <v>245</v>
      </c>
      <c r="L157" s="215" t="s">
        <v>246</v>
      </c>
      <c r="M157" s="172"/>
      <c r="N157" s="172"/>
      <c r="O157" s="172"/>
      <c r="P157" s="172"/>
      <c r="Q157" s="173"/>
    </row>
    <row r="158" spans="1:17" ht="16.95" customHeight="1" x14ac:dyDescent="0.3">
      <c r="A158" s="99" t="s">
        <v>247</v>
      </c>
      <c r="C158" s="99" t="s">
        <v>248</v>
      </c>
      <c r="L158" s="215" t="s">
        <v>250</v>
      </c>
      <c r="M158" s="172"/>
      <c r="N158" s="172"/>
      <c r="O158" s="172"/>
      <c r="P158" s="172"/>
      <c r="Q158" s="173"/>
    </row>
    <row r="159" spans="1:17" ht="16.95" customHeight="1" x14ac:dyDescent="0.3">
      <c r="A159" s="12" t="str">
        <f t="shared" ref="A159:A166" si="12">E137</f>
        <v>C1X</v>
      </c>
      <c r="C159" s="9">
        <f t="shared" ref="C159:J166" si="13">B126</f>
        <v>116442.37384532334</v>
      </c>
      <c r="D159" s="9">
        <f t="shared" si="13"/>
        <v>51558.053532790669</v>
      </c>
      <c r="E159" s="9">
        <f t="shared" si="13"/>
        <v>-42000</v>
      </c>
      <c r="F159" s="9">
        <f t="shared" si="13"/>
        <v>0</v>
      </c>
      <c r="G159" s="9">
        <f t="shared" si="13"/>
        <v>-14336.866610128993</v>
      </c>
      <c r="H159" s="9">
        <f t="shared" si="13"/>
        <v>-21505.299915193493</v>
      </c>
      <c r="I159" s="9">
        <f t="shared" si="13"/>
        <v>-60105.507235194345</v>
      </c>
      <c r="J159" s="9">
        <f t="shared" si="13"/>
        <v>-30052.753617597173</v>
      </c>
      <c r="K159" s="13" t="s">
        <v>251</v>
      </c>
      <c r="L159" s="219" t="s">
        <v>380</v>
      </c>
      <c r="M159" s="172"/>
      <c r="N159" s="172"/>
      <c r="O159" s="172"/>
      <c r="P159" s="172"/>
      <c r="Q159" s="173"/>
    </row>
    <row r="160" spans="1:17" ht="16.95" customHeight="1" x14ac:dyDescent="0.3">
      <c r="A160" s="12" t="str">
        <f t="shared" si="12"/>
        <v>C1Y</v>
      </c>
      <c r="C160" s="9">
        <f t="shared" si="13"/>
        <v>51558.053532790669</v>
      </c>
      <c r="D160" s="9">
        <f t="shared" si="13"/>
        <v>47284.32668158882</v>
      </c>
      <c r="E160" s="9">
        <f t="shared" si="13"/>
        <v>0</v>
      </c>
      <c r="F160" s="9">
        <f t="shared" si="13"/>
        <v>0</v>
      </c>
      <c r="G160" s="9">
        <f t="shared" si="13"/>
        <v>-21505.299915193493</v>
      </c>
      <c r="H160" s="9">
        <f t="shared" si="13"/>
        <v>-32257.949872790236</v>
      </c>
      <c r="I160" s="9">
        <f t="shared" si="13"/>
        <v>-30052.753617597173</v>
      </c>
      <c r="J160" s="9">
        <f t="shared" si="13"/>
        <v>-15026.376808798586</v>
      </c>
      <c r="K160" s="13" t="s">
        <v>251</v>
      </c>
      <c r="L160" s="219" t="s">
        <v>253</v>
      </c>
      <c r="M160" s="172"/>
      <c r="N160" s="172"/>
      <c r="O160" s="172"/>
      <c r="P160" s="172"/>
      <c r="Q160" s="173"/>
    </row>
    <row r="161" spans="1:17" ht="16.95" customHeight="1" x14ac:dyDescent="0.3">
      <c r="A161" s="41">
        <f t="shared" si="12"/>
        <v>0</v>
      </c>
      <c r="C161" s="9">
        <f t="shared" si="13"/>
        <v>-42000</v>
      </c>
      <c r="D161" s="9">
        <f t="shared" si="13"/>
        <v>0</v>
      </c>
      <c r="E161" s="41">
        <f t="shared" si="13"/>
        <v>116442.37384532334</v>
      </c>
      <c r="F161" s="9">
        <f t="shared" si="13"/>
        <v>-51558.053532790669</v>
      </c>
      <c r="G161" s="41">
        <f t="shared" si="13"/>
        <v>-14336.866610128993</v>
      </c>
      <c r="H161" s="41">
        <f t="shared" si="13"/>
        <v>21505.299915193493</v>
      </c>
      <c r="I161" s="41">
        <f t="shared" si="13"/>
        <v>-60105.507235194345</v>
      </c>
      <c r="J161" s="41">
        <f t="shared" si="13"/>
        <v>30052.753617597173</v>
      </c>
      <c r="K161" s="13" t="s">
        <v>251</v>
      </c>
      <c r="L161" s="215" t="s">
        <v>254</v>
      </c>
      <c r="M161" s="172"/>
      <c r="N161" s="172"/>
      <c r="O161" s="172"/>
      <c r="P161" s="172"/>
      <c r="Q161" s="173"/>
    </row>
    <row r="162" spans="1:17" ht="16.95" customHeight="1" x14ac:dyDescent="0.3">
      <c r="A162" s="12" t="str">
        <f t="shared" si="12"/>
        <v>C2Y</v>
      </c>
      <c r="C162" s="9">
        <f t="shared" si="13"/>
        <v>0</v>
      </c>
      <c r="D162" s="9">
        <f t="shared" si="13"/>
        <v>0</v>
      </c>
      <c r="E162" s="9">
        <f t="shared" si="13"/>
        <v>-51558.053532790669</v>
      </c>
      <c r="F162" s="9">
        <f t="shared" si="13"/>
        <v>47284.32668158882</v>
      </c>
      <c r="G162" s="9">
        <f t="shared" si="13"/>
        <v>21505.299915193493</v>
      </c>
      <c r="H162" s="9">
        <f t="shared" si="13"/>
        <v>-32257.949872790236</v>
      </c>
      <c r="I162" s="9">
        <f t="shared" si="13"/>
        <v>30052.753617597173</v>
      </c>
      <c r="J162" s="9">
        <f t="shared" si="13"/>
        <v>-15026.376808798586</v>
      </c>
      <c r="K162" s="13" t="s">
        <v>251</v>
      </c>
      <c r="L162" s="219" t="s">
        <v>381</v>
      </c>
      <c r="M162" s="172"/>
      <c r="N162" s="172"/>
      <c r="O162" s="172"/>
      <c r="P162" s="172"/>
      <c r="Q162" s="173"/>
    </row>
    <row r="163" spans="1:17" ht="16.95" customHeight="1" x14ac:dyDescent="0.3">
      <c r="A163" s="41">
        <f t="shared" si="12"/>
        <v>0</v>
      </c>
      <c r="B163" s="13" t="s">
        <v>220</v>
      </c>
      <c r="C163" s="9">
        <f t="shared" si="13"/>
        <v>-14336.866610128993</v>
      </c>
      <c r="D163" s="9">
        <f t="shared" si="13"/>
        <v>-21505.299915193493</v>
      </c>
      <c r="E163" s="41">
        <f t="shared" si="13"/>
        <v>-14336.866610128993</v>
      </c>
      <c r="F163" s="9">
        <f t="shared" si="13"/>
        <v>21505.299915193493</v>
      </c>
      <c r="G163" s="41">
        <f t="shared" si="13"/>
        <v>28673.733220257986</v>
      </c>
      <c r="H163" s="41">
        <f t="shared" si="13"/>
        <v>0</v>
      </c>
      <c r="I163" s="41">
        <f t="shared" si="13"/>
        <v>0</v>
      </c>
      <c r="J163" s="41">
        <f t="shared" si="13"/>
        <v>0</v>
      </c>
      <c r="K163" s="13" t="s">
        <v>251</v>
      </c>
      <c r="L163" s="215" t="s">
        <v>382</v>
      </c>
      <c r="M163" s="172"/>
      <c r="N163" s="172"/>
      <c r="O163" s="172"/>
      <c r="P163" s="172"/>
      <c r="Q163" s="173"/>
    </row>
    <row r="164" spans="1:17" ht="16.95" customHeight="1" x14ac:dyDescent="0.3">
      <c r="A164" s="41">
        <f t="shared" si="12"/>
        <v>-8000</v>
      </c>
      <c r="C164" s="9">
        <f t="shared" si="13"/>
        <v>-21505.299915193493</v>
      </c>
      <c r="D164" s="9">
        <f t="shared" si="13"/>
        <v>-32257.949872790236</v>
      </c>
      <c r="E164" s="41">
        <f t="shared" si="13"/>
        <v>21505.299915193493</v>
      </c>
      <c r="F164" s="9">
        <f t="shared" si="13"/>
        <v>-32257.949872790236</v>
      </c>
      <c r="G164" s="41">
        <f t="shared" si="13"/>
        <v>0</v>
      </c>
      <c r="H164" s="41">
        <f t="shared" si="13"/>
        <v>148515.89974558048</v>
      </c>
      <c r="I164" s="41">
        <f t="shared" si="13"/>
        <v>0</v>
      </c>
      <c r="J164" s="41">
        <f t="shared" si="13"/>
        <v>-84000</v>
      </c>
      <c r="K164" s="13" t="s">
        <v>251</v>
      </c>
      <c r="L164" s="215" t="str">
        <f>E152</f>
        <v>D3Y</v>
      </c>
      <c r="M164" s="172"/>
      <c r="N164" s="172"/>
      <c r="O164" s="172"/>
      <c r="P164" s="172"/>
      <c r="Q164" s="173"/>
    </row>
    <row r="165" spans="1:17" ht="16.95" customHeight="1" x14ac:dyDescent="0.3">
      <c r="A165" s="41">
        <f t="shared" si="12"/>
        <v>0</v>
      </c>
      <c r="C165" s="9">
        <f t="shared" si="13"/>
        <v>-60105.507235194345</v>
      </c>
      <c r="D165" s="9">
        <f t="shared" si="13"/>
        <v>-30052.753617597173</v>
      </c>
      <c r="E165" s="41">
        <f t="shared" si="13"/>
        <v>-60105.507235194345</v>
      </c>
      <c r="F165" s="9">
        <f t="shared" si="13"/>
        <v>30052.753617597173</v>
      </c>
      <c r="G165" s="41">
        <f t="shared" si="13"/>
        <v>0</v>
      </c>
      <c r="H165" s="41">
        <f t="shared" si="13"/>
        <v>0</v>
      </c>
      <c r="I165" s="41">
        <f t="shared" si="13"/>
        <v>120211.01447038869</v>
      </c>
      <c r="J165" s="41">
        <f t="shared" si="13"/>
        <v>0</v>
      </c>
      <c r="K165" s="13" t="s">
        <v>251</v>
      </c>
      <c r="L165" s="215" t="str">
        <f>E153</f>
        <v>D4X</v>
      </c>
      <c r="M165" s="172"/>
      <c r="N165" s="172"/>
      <c r="O165" s="172"/>
      <c r="P165" s="172"/>
      <c r="Q165" s="173"/>
    </row>
    <row r="166" spans="1:17" ht="16.95" customHeight="1" x14ac:dyDescent="0.3">
      <c r="A166" s="41">
        <f t="shared" si="12"/>
        <v>-4000</v>
      </c>
      <c r="C166" s="9">
        <f t="shared" si="13"/>
        <v>-30052.753617597173</v>
      </c>
      <c r="D166" s="9">
        <f t="shared" si="13"/>
        <v>-15026.376808798586</v>
      </c>
      <c r="E166" s="41">
        <f t="shared" si="13"/>
        <v>30052.753617597173</v>
      </c>
      <c r="F166" s="9">
        <f t="shared" si="13"/>
        <v>-15026.376808798586</v>
      </c>
      <c r="G166" s="41">
        <f t="shared" si="13"/>
        <v>0</v>
      </c>
      <c r="H166" s="41">
        <f t="shared" si="13"/>
        <v>-84000</v>
      </c>
      <c r="I166" s="41">
        <f t="shared" si="13"/>
        <v>0</v>
      </c>
      <c r="J166" s="41">
        <f t="shared" si="13"/>
        <v>114052.75361759718</v>
      </c>
      <c r="K166" s="13" t="s">
        <v>251</v>
      </c>
      <c r="L166" s="215" t="str">
        <f>E154</f>
        <v>D4Y</v>
      </c>
      <c r="M166" s="172"/>
      <c r="N166" s="172"/>
      <c r="O166" s="172"/>
      <c r="P166" s="172"/>
      <c r="Q166" s="173"/>
    </row>
    <row r="169" spans="1:17" ht="19.95" customHeight="1" x14ac:dyDescent="0.35">
      <c r="A169" s="15" t="s">
        <v>257</v>
      </c>
      <c r="L169" s="216" t="s">
        <v>258</v>
      </c>
      <c r="M169" s="172"/>
      <c r="N169" s="172"/>
      <c r="O169" s="172"/>
      <c r="P169" s="172"/>
      <c r="Q169" s="173"/>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215" t="s">
        <v>383</v>
      </c>
      <c r="M170" s="172"/>
      <c r="N170" s="172"/>
      <c r="O170" s="172"/>
      <c r="P170" s="172"/>
      <c r="Q170" s="173"/>
    </row>
    <row r="171" spans="1:17" ht="16.95" customHeight="1" x14ac:dyDescent="0.3">
      <c r="A171" s="41">
        <f>INDEX(E$137:E$144, MATCH(J171, C$137:C$144, 0))</f>
        <v>0</v>
      </c>
      <c r="C171" s="41">
        <f t="shared" ref="C171:G175" si="14">INDEX($B$126:$I$133, MATCH($J171, $J$126:$J$133, 0), MATCH(C$170, $B$125:$I$125, 0))</f>
        <v>116442.37384532334</v>
      </c>
      <c r="D171" s="41">
        <f t="shared" si="14"/>
        <v>-14336.866610128993</v>
      </c>
      <c r="E171" s="41">
        <f t="shared" si="14"/>
        <v>21505.299915193493</v>
      </c>
      <c r="F171" s="41">
        <f t="shared" si="14"/>
        <v>-60105.507235194345</v>
      </c>
      <c r="G171" s="41">
        <f t="shared" si="14"/>
        <v>30052.753617597173</v>
      </c>
      <c r="H171" s="13" t="s">
        <v>251</v>
      </c>
      <c r="I171" s="38" t="str">
        <f>INDEX(B$147:B$154, MATCH(1, F$147:F$154, 0))</f>
        <v>D2X</v>
      </c>
      <c r="J171" s="14" t="str">
        <f>INDEX(C$147:C$154, MATCH(1, F$147:F$154, 0))</f>
        <v>U2X</v>
      </c>
      <c r="L171" s="215" t="s">
        <v>384</v>
      </c>
      <c r="M171" s="172"/>
      <c r="N171" s="172"/>
      <c r="O171" s="172"/>
      <c r="P171" s="172"/>
      <c r="Q171" s="173"/>
    </row>
    <row r="172" spans="1:17" ht="16.95" customHeight="1" x14ac:dyDescent="0.3">
      <c r="A172" s="41">
        <f>INDEX(E$137:E$144, MATCH(J172, C$137:C$144, 0))</f>
        <v>0</v>
      </c>
      <c r="C172" s="41">
        <f t="shared" si="14"/>
        <v>-14336.866610128993</v>
      </c>
      <c r="D172" s="41">
        <f t="shared" si="14"/>
        <v>28673.733220257986</v>
      </c>
      <c r="E172" s="41">
        <f t="shared" si="14"/>
        <v>0</v>
      </c>
      <c r="F172" s="41">
        <f t="shared" si="14"/>
        <v>0</v>
      </c>
      <c r="G172" s="41">
        <f t="shared" si="14"/>
        <v>0</v>
      </c>
      <c r="H172" s="13" t="s">
        <v>251</v>
      </c>
      <c r="I172" s="38" t="str">
        <f>INDEX(B$147:B$154, MATCH(2, F$147:F$154, 0))</f>
        <v>D3X</v>
      </c>
      <c r="J172" s="14" t="str">
        <f>INDEX(C$147:C$154, MATCH(2, F$147:F$154, 0))</f>
        <v>U3X</v>
      </c>
      <c r="L172" s="215" t="s">
        <v>385</v>
      </c>
      <c r="M172" s="172"/>
      <c r="N172" s="172"/>
      <c r="O172" s="172"/>
      <c r="P172" s="172"/>
      <c r="Q172" s="173"/>
    </row>
    <row r="173" spans="1:17" ht="16.95" customHeight="1" x14ac:dyDescent="0.3">
      <c r="A173" s="41">
        <f>INDEX(E$137:E$144, MATCH(J173, C$137:C$144, 0))</f>
        <v>-8000</v>
      </c>
      <c r="B173" s="13" t="s">
        <v>220</v>
      </c>
      <c r="C173" s="41">
        <f t="shared" si="14"/>
        <v>21505.299915193493</v>
      </c>
      <c r="D173" s="41">
        <f t="shared" si="14"/>
        <v>0</v>
      </c>
      <c r="E173" s="41">
        <f t="shared" si="14"/>
        <v>148515.89974558048</v>
      </c>
      <c r="F173" s="41">
        <f t="shared" si="14"/>
        <v>0</v>
      </c>
      <c r="G173" s="41">
        <f t="shared" si="14"/>
        <v>-84000</v>
      </c>
      <c r="H173" s="13" t="s">
        <v>251</v>
      </c>
      <c r="I173" s="38" t="str">
        <f>INDEX(B$147:B$154, MATCH(3, F$147:F$154, 0))</f>
        <v>D3Y</v>
      </c>
      <c r="J173" s="14" t="str">
        <f>INDEX(C$147:C$154, MATCH(3, F$147:F$154, 0))</f>
        <v>U3Y</v>
      </c>
      <c r="L173" s="215" t="s">
        <v>386</v>
      </c>
      <c r="M173" s="172"/>
      <c r="N173" s="172"/>
      <c r="O173" s="172"/>
      <c r="P173" s="172"/>
      <c r="Q173" s="173"/>
    </row>
    <row r="174" spans="1:17" ht="16.95" customHeight="1" x14ac:dyDescent="0.3">
      <c r="A174" s="41">
        <f>INDEX(E$137:E$144, MATCH(J174, C$137:C$144, 0))</f>
        <v>0</v>
      </c>
      <c r="C174" s="41">
        <f t="shared" si="14"/>
        <v>-60105.507235194345</v>
      </c>
      <c r="D174" s="41">
        <f t="shared" si="14"/>
        <v>0</v>
      </c>
      <c r="E174" s="41">
        <f t="shared" si="14"/>
        <v>0</v>
      </c>
      <c r="F174" s="41">
        <f t="shared" si="14"/>
        <v>120211.01447038869</v>
      </c>
      <c r="G174" s="41">
        <f t="shared" si="14"/>
        <v>0</v>
      </c>
      <c r="H174" s="13" t="s">
        <v>251</v>
      </c>
      <c r="I174" s="38" t="str">
        <f>INDEX(B$147:B$154, MATCH(4, F$147:F$154, 0))</f>
        <v>D4X</v>
      </c>
      <c r="J174" s="14" t="str">
        <f>INDEX(C$147:C$154, MATCH(4, F$147:F$154, 0))</f>
        <v>U4X</v>
      </c>
      <c r="L174" s="215" t="s">
        <v>387</v>
      </c>
      <c r="M174" s="172"/>
      <c r="N174" s="172"/>
      <c r="O174" s="172"/>
      <c r="P174" s="172"/>
      <c r="Q174" s="173"/>
    </row>
    <row r="175" spans="1:17" ht="16.95" customHeight="1" x14ac:dyDescent="0.3">
      <c r="A175" s="41">
        <f>INDEX(E$137:E$144, MATCH(J175, C$137:C$144, 0))</f>
        <v>-4000</v>
      </c>
      <c r="C175" s="41">
        <f t="shared" si="14"/>
        <v>30052.753617597173</v>
      </c>
      <c r="D175" s="41">
        <f t="shared" si="14"/>
        <v>0</v>
      </c>
      <c r="E175" s="41">
        <f t="shared" si="14"/>
        <v>-84000</v>
      </c>
      <c r="F175" s="41">
        <f t="shared" si="14"/>
        <v>0</v>
      </c>
      <c r="G175" s="41">
        <f t="shared" si="14"/>
        <v>114052.75361759718</v>
      </c>
      <c r="H175" s="13" t="s">
        <v>251</v>
      </c>
      <c r="I175" s="38" t="str">
        <f>INDEX(B$147:B$154, MATCH(5, F$147:F$154, 0))</f>
        <v>D4Y</v>
      </c>
      <c r="J175" s="14" t="str">
        <f>INDEX(C$147:C$154, MATCH(5, F$147:F$154, 0))</f>
        <v>U4Y</v>
      </c>
      <c r="L175" s="215" t="s">
        <v>388</v>
      </c>
      <c r="M175" s="172"/>
      <c r="N175" s="172"/>
      <c r="O175" s="172"/>
      <c r="P175" s="172"/>
      <c r="Q175" s="173"/>
    </row>
    <row r="176" spans="1:17" ht="16.95" customHeight="1" x14ac:dyDescent="0.3">
      <c r="L176" s="215"/>
      <c r="M176" s="172"/>
      <c r="N176" s="172"/>
      <c r="O176" s="172"/>
      <c r="P176" s="172"/>
      <c r="Q176" s="173"/>
    </row>
    <row r="177" spans="1:17" ht="16.95" customHeight="1" x14ac:dyDescent="0.3">
      <c r="C177" s="218" t="s">
        <v>263</v>
      </c>
      <c r="D177" s="172"/>
      <c r="E177" s="172"/>
      <c r="F177" s="172"/>
      <c r="G177" s="173"/>
      <c r="L177" s="215"/>
      <c r="M177" s="172"/>
      <c r="N177" s="172"/>
      <c r="O177" s="172"/>
      <c r="P177" s="172"/>
      <c r="Q177" s="173"/>
    </row>
    <row r="178" spans="1:17" ht="16.95" customHeight="1" x14ac:dyDescent="0.3">
      <c r="A178" s="99" t="s">
        <v>249</v>
      </c>
      <c r="C178" s="193" t="s">
        <v>264</v>
      </c>
      <c r="D178" s="175"/>
      <c r="E178" s="175"/>
      <c r="F178" s="175"/>
      <c r="G178" s="175"/>
      <c r="I178" s="99" t="s">
        <v>247</v>
      </c>
      <c r="L178" s="215"/>
      <c r="M178" s="172"/>
      <c r="N178" s="172"/>
      <c r="O178" s="172"/>
      <c r="P178" s="172"/>
      <c r="Q178" s="173"/>
    </row>
    <row r="179" spans="1:17" ht="16.95" customHeight="1" x14ac:dyDescent="0.3">
      <c r="A179" s="12" t="str">
        <f>I171</f>
        <v>D2X</v>
      </c>
      <c r="C179" s="93">
        <f t="array" ref="C179:G183">MINVERSE(C171:G175)</f>
        <v>2.0273924540933551E-5</v>
      </c>
      <c r="D179" s="93">
        <v>1.0136962270466776E-5</v>
      </c>
      <c r="E179" s="93">
        <v>-1.0210499802834879E-5</v>
      </c>
      <c r="F179" s="93">
        <v>1.0136962270466776E-5</v>
      </c>
      <c r="G179" s="93">
        <v>-1.2862199254277576E-5</v>
      </c>
      <c r="I179" s="17">
        <f>A171</f>
        <v>0</v>
      </c>
      <c r="L179" s="215"/>
      <c r="M179" s="172"/>
      <c r="N179" s="172"/>
      <c r="O179" s="172"/>
      <c r="P179" s="172"/>
      <c r="Q179" s="173"/>
    </row>
    <row r="180" spans="1:17" ht="16.95" customHeight="1" x14ac:dyDescent="0.3">
      <c r="A180" s="12" t="str">
        <f>I172</f>
        <v>D3X</v>
      </c>
      <c r="C180" s="93">
        <v>1.0136962270466776E-5</v>
      </c>
      <c r="D180" s="93">
        <v>3.9943605079453536E-5</v>
      </c>
      <c r="E180" s="93">
        <v>-5.1052499014174393E-6</v>
      </c>
      <c r="F180" s="93">
        <v>5.0684811352333861E-6</v>
      </c>
      <c r="G180" s="93">
        <v>-6.4310996271387869E-6</v>
      </c>
      <c r="I180" s="17">
        <f>A172</f>
        <v>0</v>
      </c>
      <c r="L180" s="215"/>
      <c r="M180" s="172"/>
      <c r="N180" s="172"/>
      <c r="O180" s="172"/>
      <c r="P180" s="172"/>
      <c r="Q180" s="173"/>
    </row>
    <row r="181" spans="1:17" ht="16.95" customHeight="1" x14ac:dyDescent="0.3">
      <c r="A181" s="12" t="str">
        <f>I173</f>
        <v>D3Y</v>
      </c>
      <c r="B181" s="13" t="s">
        <v>220</v>
      </c>
      <c r="C181" s="93">
        <v>-1.021049980283488E-5</v>
      </c>
      <c r="D181" s="93">
        <v>-5.1052499014174402E-6</v>
      </c>
      <c r="E181" s="93">
        <v>1.6682994071381946E-5</v>
      </c>
      <c r="F181" s="93">
        <v>-5.1052499014174402E-6</v>
      </c>
      <c r="G181" s="93">
        <v>1.4977500171636739E-5</v>
      </c>
      <c r="I181" s="17">
        <f>A173</f>
        <v>-8000</v>
      </c>
      <c r="L181" s="215"/>
      <c r="M181" s="172"/>
      <c r="N181" s="172"/>
      <c r="O181" s="172"/>
      <c r="P181" s="172"/>
      <c r="Q181" s="173"/>
    </row>
    <row r="182" spans="1:17" ht="16.95" customHeight="1" x14ac:dyDescent="0.3">
      <c r="A182" s="12" t="str">
        <f>I174</f>
        <v>D4X</v>
      </c>
      <c r="C182" s="93">
        <v>1.0136962270466776E-5</v>
      </c>
      <c r="D182" s="93">
        <v>5.0684811352333878E-6</v>
      </c>
      <c r="E182" s="93">
        <v>-5.1052499014174393E-6</v>
      </c>
      <c r="F182" s="93">
        <v>1.3387186408670105E-5</v>
      </c>
      <c r="G182" s="93">
        <v>-6.4310996271387878E-6</v>
      </c>
      <c r="I182" s="17">
        <f>A174</f>
        <v>0</v>
      </c>
      <c r="L182" s="215"/>
      <c r="M182" s="172"/>
      <c r="N182" s="172"/>
      <c r="O182" s="172"/>
      <c r="P182" s="172"/>
      <c r="Q182" s="173"/>
    </row>
    <row r="183" spans="1:17" ht="16.95" customHeight="1" x14ac:dyDescent="0.3">
      <c r="A183" s="12" t="str">
        <f>I175</f>
        <v>D4Y</v>
      </c>
      <c r="C183" s="93">
        <v>-1.2862199254277577E-5</v>
      </c>
      <c r="D183" s="93">
        <v>-6.4310996271387886E-6</v>
      </c>
      <c r="E183" s="93">
        <v>1.4977500171636741E-5</v>
      </c>
      <c r="F183" s="93">
        <v>-6.4310996271387886E-6</v>
      </c>
      <c r="G183" s="93">
        <v>2.3187993588071414E-5</v>
      </c>
      <c r="I183" s="17">
        <f>A175</f>
        <v>-4000</v>
      </c>
      <c r="L183" s="215"/>
      <c r="M183" s="172"/>
      <c r="N183" s="172"/>
      <c r="O183" s="172"/>
      <c r="P183" s="172"/>
      <c r="Q183" s="173"/>
    </row>
    <row r="184" spans="1:17" ht="16.95" customHeight="1" x14ac:dyDescent="0.3">
      <c r="L184" s="215"/>
      <c r="M184" s="172"/>
      <c r="N184" s="172"/>
      <c r="O184" s="172"/>
      <c r="P184" s="172"/>
      <c r="Q184" s="173"/>
    </row>
    <row r="185" spans="1:17" ht="16.95" customHeight="1" x14ac:dyDescent="0.3">
      <c r="C185" s="218" t="s">
        <v>265</v>
      </c>
      <c r="D185" s="173"/>
      <c r="L185" s="215"/>
      <c r="M185" s="172"/>
      <c r="N185" s="172"/>
      <c r="O185" s="172"/>
      <c r="P185" s="172"/>
      <c r="Q185" s="173"/>
    </row>
    <row r="186" spans="1:17" ht="16.95" customHeight="1" x14ac:dyDescent="0.3">
      <c r="A186" s="99" t="s">
        <v>249</v>
      </c>
      <c r="C186" s="99" t="s">
        <v>266</v>
      </c>
      <c r="L186" s="215"/>
      <c r="M186" s="172"/>
      <c r="N186" s="172"/>
      <c r="O186" s="172"/>
      <c r="P186" s="172"/>
      <c r="Q186" s="173"/>
    </row>
    <row r="187" spans="1:17" ht="16.95" customHeight="1" x14ac:dyDescent="0.3">
      <c r="A187" s="12" t="str">
        <f>A179</f>
        <v>D2X</v>
      </c>
      <c r="C187" s="94">
        <f t="array" ref="C187:C191">MMULT(C179:G183, I179:I183)</f>
        <v>0.13313279543978934</v>
      </c>
      <c r="D187" s="12" t="s">
        <v>267</v>
      </c>
      <c r="L187" s="215"/>
      <c r="M187" s="172"/>
      <c r="N187" s="172"/>
      <c r="O187" s="172"/>
      <c r="P187" s="172"/>
      <c r="Q187" s="173"/>
    </row>
    <row r="188" spans="1:17" ht="16.95" customHeight="1" x14ac:dyDescent="0.3">
      <c r="A188" s="12" t="str">
        <f>A180</f>
        <v>D3X</v>
      </c>
      <c r="C188" s="94">
        <v>6.6566397719894657E-2</v>
      </c>
      <c r="D188" s="12" t="s">
        <v>267</v>
      </c>
      <c r="L188" s="215"/>
      <c r="M188" s="172"/>
      <c r="N188" s="172"/>
      <c r="O188" s="172"/>
      <c r="P188" s="172"/>
      <c r="Q188" s="173"/>
    </row>
    <row r="189" spans="1:17" ht="16.95" customHeight="1" x14ac:dyDescent="0.3">
      <c r="A189" s="12" t="str">
        <f>A181</f>
        <v>D3Y</v>
      </c>
      <c r="B189" s="13" t="s">
        <v>220</v>
      </c>
      <c r="C189" s="94">
        <v>-0.19337395325760251</v>
      </c>
      <c r="D189" s="12" t="s">
        <v>267</v>
      </c>
      <c r="L189" s="215"/>
      <c r="M189" s="172"/>
      <c r="N189" s="172"/>
      <c r="O189" s="172"/>
      <c r="P189" s="172"/>
      <c r="Q189" s="173"/>
    </row>
    <row r="190" spans="1:17" ht="16.95" customHeight="1" x14ac:dyDescent="0.3">
      <c r="A190" s="12" t="str">
        <f>A182</f>
        <v>D4X</v>
      </c>
      <c r="C190" s="94">
        <v>6.6566397719894671E-2</v>
      </c>
      <c r="D190" s="12" t="s">
        <v>267</v>
      </c>
      <c r="L190" s="215"/>
      <c r="M190" s="172"/>
      <c r="N190" s="172"/>
      <c r="O190" s="172"/>
      <c r="P190" s="172"/>
      <c r="Q190" s="173"/>
    </row>
    <row r="191" spans="1:17" ht="16.95" customHeight="1" x14ac:dyDescent="0.3">
      <c r="A191" s="12" t="str">
        <f>A183</f>
        <v>D4Y</v>
      </c>
      <c r="C191" s="94">
        <v>-0.21257197572537959</v>
      </c>
      <c r="D191" s="12" t="s">
        <v>267</v>
      </c>
      <c r="L191" s="215"/>
      <c r="M191" s="172"/>
      <c r="N191" s="172"/>
      <c r="O191" s="172"/>
      <c r="P191" s="172"/>
      <c r="Q191" s="173"/>
    </row>
    <row r="194" spans="1:17" ht="19.95" customHeight="1" x14ac:dyDescent="0.35">
      <c r="A194" s="11" t="s">
        <v>268</v>
      </c>
      <c r="L194" s="216" t="s">
        <v>269</v>
      </c>
      <c r="M194" s="172"/>
      <c r="N194" s="172"/>
      <c r="O194" s="172"/>
      <c r="P194" s="172"/>
      <c r="Q194" s="173"/>
    </row>
    <row r="195" spans="1:17" ht="16.95" customHeight="1" x14ac:dyDescent="0.3">
      <c r="A195" s="99" t="s">
        <v>247</v>
      </c>
      <c r="I195" s="99" t="s">
        <v>249</v>
      </c>
      <c r="L195" s="215" t="s">
        <v>389</v>
      </c>
      <c r="M195" s="172"/>
      <c r="N195" s="172"/>
      <c r="O195" s="172"/>
      <c r="P195" s="172"/>
      <c r="Q195" s="173"/>
    </row>
    <row r="196" spans="1:17" ht="16.95" customHeight="1" x14ac:dyDescent="0.3">
      <c r="A196" s="18" t="str">
        <f>INDEX(B$137:B$144, MATCH(J196, C$137:C$144, 0))</f>
        <v>C1X</v>
      </c>
      <c r="C196" s="9">
        <f t="shared" ref="C196:G198" si="15">INDEX($B$126:$I$133, MATCH($J196, $J$126:$J$133, 0), MATCH(C$170, $B$125:$I$125, 0))</f>
        <v>-42000</v>
      </c>
      <c r="D196" s="9">
        <f t="shared" si="15"/>
        <v>-14336.866610128993</v>
      </c>
      <c r="E196" s="9">
        <f t="shared" si="15"/>
        <v>-21505.299915193493</v>
      </c>
      <c r="F196" s="9">
        <f t="shared" si="15"/>
        <v>-60105.507235194345</v>
      </c>
      <c r="G196" s="9">
        <f t="shared" si="15"/>
        <v>-30052.753617597173</v>
      </c>
      <c r="I196" s="95">
        <f>C187</f>
        <v>0.13313279543978934</v>
      </c>
      <c r="J196" s="14" t="str">
        <f>INDEX(C$147:C$154, MATCH(1, G$147:G$154, 0))</f>
        <v>U1X</v>
      </c>
      <c r="L196" s="215" t="s">
        <v>390</v>
      </c>
      <c r="M196" s="172"/>
      <c r="N196" s="172"/>
      <c r="O196" s="172"/>
      <c r="P196" s="172"/>
      <c r="Q196" s="173"/>
    </row>
    <row r="197" spans="1:17" ht="16.95" customHeight="1" x14ac:dyDescent="0.3">
      <c r="A197" s="18" t="str">
        <f>INDEX(B$137:B$144, MATCH(J197, C$137:C$144, 0))</f>
        <v>C1Y</v>
      </c>
      <c r="B197" s="13" t="s">
        <v>220</v>
      </c>
      <c r="C197" s="9">
        <f t="shared" si="15"/>
        <v>0</v>
      </c>
      <c r="D197" s="9">
        <f t="shared" si="15"/>
        <v>-21505.299915193493</v>
      </c>
      <c r="E197" s="9">
        <f t="shared" si="15"/>
        <v>-32257.949872790236</v>
      </c>
      <c r="F197" s="9">
        <f t="shared" si="15"/>
        <v>-30052.753617597173</v>
      </c>
      <c r="G197" s="9">
        <f t="shared" si="15"/>
        <v>-15026.376808798586</v>
      </c>
      <c r="I197" s="95">
        <f>C188</f>
        <v>6.6566397719894657E-2</v>
      </c>
      <c r="J197" s="14" t="str">
        <f>INDEX(C$147:C$154, MATCH(2, G$147:G$154, 0))</f>
        <v>U1Y</v>
      </c>
      <c r="L197" s="215" t="s">
        <v>391</v>
      </c>
      <c r="M197" s="172"/>
      <c r="N197" s="172"/>
      <c r="O197" s="172"/>
      <c r="P197" s="172"/>
      <c r="Q197" s="173"/>
    </row>
    <row r="198" spans="1:17" ht="16.95" customHeight="1" x14ac:dyDescent="0.3">
      <c r="A198" s="18" t="str">
        <f>INDEX(B$137:B$144, MATCH(J198, C$137:C$144, 0))</f>
        <v>C2Y</v>
      </c>
      <c r="C198" s="9">
        <f t="shared" si="15"/>
        <v>-51558.053532790669</v>
      </c>
      <c r="D198" s="9">
        <f t="shared" si="15"/>
        <v>21505.299915193493</v>
      </c>
      <c r="E198" s="9">
        <f t="shared" si="15"/>
        <v>-32257.949872790236</v>
      </c>
      <c r="F198" s="9">
        <f t="shared" si="15"/>
        <v>30052.753617597173</v>
      </c>
      <c r="G198" s="9">
        <f t="shared" si="15"/>
        <v>-15026.376808798586</v>
      </c>
      <c r="I198" s="95">
        <f>C189</f>
        <v>-0.19337395325760251</v>
      </c>
      <c r="J198" s="14" t="str">
        <f>INDEX(C$147:C$154, MATCH(3, G$147:G$154, 0))</f>
        <v>U2Y</v>
      </c>
      <c r="L198" s="215" t="s">
        <v>392</v>
      </c>
      <c r="M198" s="172"/>
      <c r="N198" s="172"/>
      <c r="O198" s="172"/>
      <c r="P198" s="172"/>
      <c r="Q198" s="173"/>
    </row>
    <row r="199" spans="1:17" ht="16.95" customHeight="1" x14ac:dyDescent="0.3">
      <c r="I199" s="95">
        <f>C190</f>
        <v>6.6566397719894671E-2</v>
      </c>
      <c r="L199" s="215" t="s">
        <v>393</v>
      </c>
      <c r="M199" s="172"/>
      <c r="N199" s="172"/>
      <c r="O199" s="172"/>
      <c r="P199" s="172"/>
      <c r="Q199" s="173"/>
    </row>
    <row r="200" spans="1:17" ht="16.95" customHeight="1" x14ac:dyDescent="0.3">
      <c r="I200" s="95">
        <f>C191</f>
        <v>-0.21257197572537959</v>
      </c>
      <c r="L200" s="215" t="s">
        <v>394</v>
      </c>
      <c r="M200" s="172"/>
      <c r="N200" s="172"/>
      <c r="O200" s="172"/>
      <c r="P200" s="172"/>
      <c r="Q200" s="173"/>
    </row>
    <row r="201" spans="1:17" ht="16.95" customHeight="1" x14ac:dyDescent="0.3">
      <c r="L201" s="215"/>
      <c r="M201" s="172"/>
      <c r="N201" s="172"/>
      <c r="O201" s="172"/>
      <c r="P201" s="172"/>
      <c r="Q201" s="173"/>
    </row>
    <row r="202" spans="1:17" ht="16.95" customHeight="1" x14ac:dyDescent="0.3">
      <c r="A202" s="12" t="str">
        <f>A196</f>
        <v>C1X</v>
      </c>
      <c r="C202" s="17">
        <f t="array" ref="C202:C204">MMULT(C196:G198, I196:I200)</f>
        <v>-1.8189894035458565E-12</v>
      </c>
      <c r="D202" s="12" t="s">
        <v>273</v>
      </c>
      <c r="L202" s="215"/>
      <c r="M202" s="172"/>
      <c r="N202" s="172"/>
      <c r="O202" s="172"/>
      <c r="P202" s="172"/>
      <c r="Q202" s="173"/>
    </row>
    <row r="203" spans="1:17" ht="16.95" customHeight="1" x14ac:dyDescent="0.3">
      <c r="A203" s="12" t="str">
        <f>A197</f>
        <v>C1Y</v>
      </c>
      <c r="B203" s="13" t="s">
        <v>220</v>
      </c>
      <c r="C203" s="17">
        <v>6000</v>
      </c>
      <c r="D203" s="12" t="s">
        <v>273</v>
      </c>
      <c r="L203" s="215"/>
      <c r="M203" s="172"/>
      <c r="N203" s="172"/>
      <c r="O203" s="172"/>
      <c r="P203" s="172"/>
      <c r="Q203" s="173"/>
    </row>
    <row r="204" spans="1:17" ht="16.95" customHeight="1" x14ac:dyDescent="0.3">
      <c r="A204" s="12" t="str">
        <f>A198</f>
        <v>C2Y</v>
      </c>
      <c r="C204" s="17">
        <v>5999.9999999999982</v>
      </c>
      <c r="D204" s="12" t="s">
        <v>273</v>
      </c>
      <c r="L204" s="215"/>
      <c r="M204" s="172"/>
      <c r="N204" s="172"/>
      <c r="O204" s="172"/>
      <c r="P204" s="172"/>
      <c r="Q204" s="173"/>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0.13313279543978934</v>
      </c>
    </row>
    <row r="212" spans="1:17" ht="19.05" customHeight="1" x14ac:dyDescent="0.3">
      <c r="A212" s="12" t="s">
        <v>231</v>
      </c>
      <c r="B212" s="12" t="s">
        <v>181</v>
      </c>
      <c r="D212" s="94">
        <f t="shared" si="16"/>
        <v>0</v>
      </c>
    </row>
    <row r="213" spans="1:17" ht="19.05" customHeight="1" x14ac:dyDescent="0.3">
      <c r="A213" s="12" t="s">
        <v>232</v>
      </c>
      <c r="B213" s="12" t="s">
        <v>182</v>
      </c>
      <c r="D213" s="94">
        <f t="shared" si="16"/>
        <v>6.6566397719894657E-2</v>
      </c>
    </row>
    <row r="214" spans="1:17" ht="19.05" customHeight="1" x14ac:dyDescent="0.3">
      <c r="A214" s="12" t="s">
        <v>234</v>
      </c>
      <c r="B214" s="12" t="s">
        <v>183</v>
      </c>
      <c r="D214" s="94">
        <f t="shared" si="16"/>
        <v>-0.19337395325760251</v>
      </c>
    </row>
    <row r="215" spans="1:17" ht="19.05" customHeight="1" x14ac:dyDescent="0.3">
      <c r="A215" s="12" t="s">
        <v>235</v>
      </c>
      <c r="B215" s="12" t="s">
        <v>184</v>
      </c>
      <c r="D215" s="94">
        <f t="shared" si="16"/>
        <v>6.6566397719894671E-2</v>
      </c>
    </row>
    <row r="216" spans="1:17" ht="19.05" customHeight="1" x14ac:dyDescent="0.3">
      <c r="A216" s="12" t="s">
        <v>236</v>
      </c>
      <c r="B216" s="12" t="s">
        <v>185</v>
      </c>
      <c r="D216" s="94">
        <f t="shared" si="16"/>
        <v>-0.21257197572537959</v>
      </c>
    </row>
    <row r="219" spans="1:17" ht="19.95" customHeight="1" x14ac:dyDescent="0.35">
      <c r="A219" s="11" t="s">
        <v>275</v>
      </c>
      <c r="L219" s="216" t="s">
        <v>276</v>
      </c>
      <c r="M219" s="172"/>
      <c r="N219" s="172"/>
      <c r="O219" s="172"/>
      <c r="P219" s="172"/>
      <c r="Q219" s="173"/>
    </row>
    <row r="220" spans="1:17" ht="16.95" customHeight="1" x14ac:dyDescent="0.3">
      <c r="L220" s="215" t="s">
        <v>395</v>
      </c>
      <c r="M220" s="172"/>
      <c r="N220" s="172"/>
      <c r="O220" s="172"/>
      <c r="P220" s="172"/>
      <c r="Q220" s="173"/>
    </row>
    <row r="221" spans="1:17" ht="16.95" customHeight="1" x14ac:dyDescent="0.3">
      <c r="A221" s="19" t="s">
        <v>278</v>
      </c>
      <c r="C221" s="19" t="s">
        <v>279</v>
      </c>
      <c r="D221" s="19" t="s">
        <v>280</v>
      </c>
      <c r="E221" s="19" t="s">
        <v>279</v>
      </c>
      <c r="F221" s="19" t="s">
        <v>280</v>
      </c>
      <c r="G221" s="19" t="s">
        <v>249</v>
      </c>
      <c r="L221" s="215" t="s">
        <v>396</v>
      </c>
      <c r="M221" s="172"/>
      <c r="N221" s="172"/>
      <c r="O221" s="172"/>
      <c r="P221" s="172"/>
      <c r="Q221" s="173"/>
    </row>
    <row r="222" spans="1:17" ht="16.95" customHeight="1" x14ac:dyDescent="0.3">
      <c r="C222" s="19" t="s">
        <v>282</v>
      </c>
      <c r="D222" s="19" t="s">
        <v>282</v>
      </c>
      <c r="E222" s="19" t="s">
        <v>283</v>
      </c>
      <c r="F222" s="19" t="s">
        <v>283</v>
      </c>
      <c r="L222" s="215" t="s">
        <v>397</v>
      </c>
      <c r="M222" s="172"/>
      <c r="N222" s="172"/>
      <c r="O222" s="172"/>
      <c r="P222" s="172"/>
      <c r="Q222" s="173"/>
    </row>
    <row r="223" spans="1:17" ht="16.95" customHeight="1" x14ac:dyDescent="0.3">
      <c r="A223" s="17">
        <f>N6</f>
        <v>42000</v>
      </c>
      <c r="C223" s="92">
        <f>-J6</f>
        <v>-1</v>
      </c>
      <c r="D223" s="92">
        <f>-K6</f>
        <v>0</v>
      </c>
      <c r="E223" s="92">
        <f>J6</f>
        <v>1</v>
      </c>
      <c r="F223" s="92">
        <f>K6</f>
        <v>0</v>
      </c>
      <c r="G223" s="96">
        <f>IFERROR(VLOOKUP(H223, A$209:D$216, 4, FALSE), 0)</f>
        <v>0</v>
      </c>
      <c r="H223" s="12" t="str">
        <f>"D" &amp; C15 &amp; "X"</f>
        <v>D1X</v>
      </c>
      <c r="L223" s="215" t="s">
        <v>398</v>
      </c>
      <c r="M223" s="172"/>
      <c r="N223" s="172"/>
      <c r="O223" s="172"/>
      <c r="P223" s="172"/>
      <c r="Q223" s="173"/>
    </row>
    <row r="224" spans="1:17" ht="16.95" customHeight="1" x14ac:dyDescent="0.3">
      <c r="A224" s="99" t="s">
        <v>285</v>
      </c>
      <c r="B224" s="97">
        <f>(MMULT(C223:F223, G223:G226)*A223)</f>
        <v>5591.577408471152</v>
      </c>
      <c r="G224" s="96">
        <f>IFERROR(VLOOKUP(H224, A$209:D$216, 4, FALSE), 0)</f>
        <v>0</v>
      </c>
      <c r="H224" s="12" t="str">
        <f>"D" &amp; D15 &amp; "Y"</f>
        <v>D1Y</v>
      </c>
      <c r="L224" s="215" t="s">
        <v>399</v>
      </c>
      <c r="M224" s="172"/>
      <c r="N224" s="172"/>
      <c r="O224" s="172"/>
      <c r="P224" s="172"/>
      <c r="Q224" s="173"/>
    </row>
    <row r="225" spans="1:17" ht="16.95" customHeight="1" x14ac:dyDescent="0.3">
      <c r="G225" s="96">
        <f>IFERROR(VLOOKUP(H225, A$209:D$216, 4, FALSE), 0)</f>
        <v>0.13313279543978934</v>
      </c>
      <c r="H225" s="12" t="str">
        <f>"D" &amp; E15 &amp; "X"</f>
        <v>D2X</v>
      </c>
      <c r="L225" s="215" t="s">
        <v>400</v>
      </c>
      <c r="M225" s="172"/>
      <c r="N225" s="172"/>
      <c r="O225" s="172"/>
      <c r="P225" s="172"/>
      <c r="Q225" s="173"/>
    </row>
    <row r="226" spans="1:17" ht="16.95" customHeight="1" x14ac:dyDescent="0.3">
      <c r="G226" s="96">
        <f>IFERROR(VLOOKUP(H226, A$209:D$216, 4, FALSE), 0)</f>
        <v>0</v>
      </c>
      <c r="H226" s="12" t="str">
        <f>"D" &amp; F15 &amp; "Y"</f>
        <v>D2Y</v>
      </c>
      <c r="L226" s="215" t="s">
        <v>401</v>
      </c>
      <c r="M226" s="172"/>
      <c r="N226" s="172"/>
      <c r="O226" s="172"/>
      <c r="P226" s="172"/>
      <c r="Q226" s="173"/>
    </row>
    <row r="227" spans="1:17" ht="16.95" customHeight="1" x14ac:dyDescent="0.3">
      <c r="B227" s="99" t="s">
        <v>273</v>
      </c>
      <c r="C227" s="178" t="str">
        <f>IF(B224&gt;0.001,"BARRA A TRACCIÓN (+)",IF(B224&lt;-0.001,"BARRA A COMPRESIÓN (-)","BARRA DE FUERZA NULA"))</f>
        <v>BARRA A TRACCIÓN (+)</v>
      </c>
      <c r="D227" s="172"/>
      <c r="E227" s="172"/>
      <c r="F227" s="173"/>
      <c r="L227" s="215" t="s">
        <v>402</v>
      </c>
      <c r="M227" s="172"/>
      <c r="N227" s="172"/>
      <c r="O227" s="172"/>
      <c r="P227" s="172"/>
      <c r="Q227" s="173"/>
    </row>
    <row r="228" spans="1:17" ht="16.95" customHeight="1" x14ac:dyDescent="0.3">
      <c r="L228" s="215" t="s">
        <v>403</v>
      </c>
      <c r="M228" s="172"/>
      <c r="N228" s="172"/>
      <c r="O228" s="172"/>
      <c r="P228" s="172"/>
      <c r="Q228" s="173"/>
    </row>
    <row r="229" spans="1:17" ht="16.95" customHeight="1" x14ac:dyDescent="0.3">
      <c r="A229" s="19" t="s">
        <v>278</v>
      </c>
      <c r="C229" s="19" t="s">
        <v>279</v>
      </c>
      <c r="D229" s="19" t="s">
        <v>280</v>
      </c>
      <c r="E229" s="19" t="s">
        <v>279</v>
      </c>
      <c r="F229" s="19" t="s">
        <v>280</v>
      </c>
      <c r="G229" s="19" t="s">
        <v>249</v>
      </c>
      <c r="L229" s="215"/>
      <c r="M229" s="172"/>
      <c r="N229" s="172"/>
      <c r="O229" s="172"/>
      <c r="P229" s="172"/>
      <c r="Q229" s="173"/>
    </row>
    <row r="230" spans="1:17" ht="16.95" customHeight="1" x14ac:dyDescent="0.3">
      <c r="C230" s="19" t="s">
        <v>282</v>
      </c>
      <c r="D230" s="19" t="s">
        <v>282</v>
      </c>
      <c r="E230" s="19" t="s">
        <v>283</v>
      </c>
      <c r="F230" s="19" t="s">
        <v>283</v>
      </c>
      <c r="L230" s="215"/>
      <c r="M230" s="172"/>
      <c r="N230" s="172"/>
      <c r="O230" s="172"/>
      <c r="P230" s="172"/>
      <c r="Q230" s="173"/>
    </row>
    <row r="231" spans="1:17" ht="16.95" customHeight="1" x14ac:dyDescent="0.3">
      <c r="A231" s="17">
        <f>N7</f>
        <v>46594.816482919239</v>
      </c>
      <c r="C231" s="92">
        <f>-J7</f>
        <v>0.55470019622522904</v>
      </c>
      <c r="D231" s="92">
        <f>-K7</f>
        <v>-0.83205029433784361</v>
      </c>
      <c r="E231" s="92">
        <f>J7</f>
        <v>-0.55470019622522904</v>
      </c>
      <c r="F231" s="92">
        <f>K7</f>
        <v>0.83205029433784361</v>
      </c>
      <c r="G231" s="96">
        <f>IFERROR(VLOOKUP(H231, A$209:D$216, 4, FALSE), 0)</f>
        <v>0.13313279543978934</v>
      </c>
      <c r="H231" s="12" t="str">
        <f>"D" &amp; C16 &amp; "X"</f>
        <v>D2X</v>
      </c>
      <c r="L231" s="215"/>
      <c r="M231" s="172"/>
      <c r="N231" s="172"/>
      <c r="O231" s="172"/>
      <c r="P231" s="172"/>
      <c r="Q231" s="173"/>
    </row>
    <row r="232" spans="1:17" ht="16.95" customHeight="1" x14ac:dyDescent="0.3">
      <c r="A232" s="99" t="s">
        <v>286</v>
      </c>
      <c r="B232" s="97">
        <f>(MMULT(C231:F231, G231:G234)*A231)</f>
        <v>-5776.4740621497722</v>
      </c>
      <c r="G232" s="96">
        <f>IFERROR(VLOOKUP(H232, A$209:D$216, 4, FALSE), 0)</f>
        <v>0</v>
      </c>
      <c r="H232" s="12" t="str">
        <f>"D" &amp; D16 &amp; "Y"</f>
        <v>D2Y</v>
      </c>
      <c r="L232" s="215"/>
      <c r="M232" s="172"/>
      <c r="N232" s="172"/>
      <c r="O232" s="172"/>
      <c r="P232" s="172"/>
      <c r="Q232" s="173"/>
    </row>
    <row r="233" spans="1:17" ht="16.95" customHeight="1" x14ac:dyDescent="0.3">
      <c r="G233" s="96">
        <f>IFERROR(VLOOKUP(H233, A$209:D$216, 4, FALSE), 0)</f>
        <v>6.6566397719894657E-2</v>
      </c>
      <c r="H233" s="12" t="str">
        <f>"D" &amp; E16 &amp; "X"</f>
        <v>D3X</v>
      </c>
      <c r="L233" s="215"/>
      <c r="M233" s="172"/>
      <c r="N233" s="172"/>
      <c r="O233" s="172"/>
      <c r="P233" s="172"/>
      <c r="Q233" s="173"/>
    </row>
    <row r="234" spans="1:17" ht="16.95" customHeight="1" x14ac:dyDescent="0.3">
      <c r="G234" s="96">
        <f>IFERROR(VLOOKUP(H234, A$209:D$216, 4, FALSE), 0)</f>
        <v>-0.19337395325760251</v>
      </c>
      <c r="H234" s="12" t="str">
        <f>"D" &amp; F16 &amp; "Y"</f>
        <v>D3Y</v>
      </c>
      <c r="L234" s="215"/>
      <c r="M234" s="172"/>
      <c r="N234" s="172"/>
      <c r="O234" s="172"/>
      <c r="P234" s="172"/>
      <c r="Q234" s="173"/>
    </row>
    <row r="235" spans="1:17" ht="16.95" customHeight="1" x14ac:dyDescent="0.3">
      <c r="B235" s="99" t="s">
        <v>273</v>
      </c>
      <c r="C235" s="178" t="str">
        <f>IF(B232&gt;0.001,"BARRA A TRACCIÓN (+)",IF(B232&lt;-0.001,"BARRA A COMPRESIÓN (-)","BARRA DE FUERZA NULA"))</f>
        <v>BARRA A COMPRESIÓN (-)</v>
      </c>
      <c r="D235" s="172"/>
      <c r="E235" s="172"/>
      <c r="F235" s="173"/>
      <c r="L235" s="215"/>
      <c r="M235" s="172"/>
      <c r="N235" s="172"/>
      <c r="O235" s="172"/>
      <c r="P235" s="172"/>
      <c r="Q235" s="173"/>
    </row>
    <row r="236" spans="1:17" ht="16.95" customHeight="1" x14ac:dyDescent="0.3">
      <c r="L236" s="215"/>
      <c r="M236" s="172"/>
      <c r="N236" s="172"/>
      <c r="O236" s="172"/>
      <c r="P236" s="172"/>
      <c r="Q236" s="173"/>
    </row>
    <row r="237" spans="1:17" ht="16.95" customHeight="1" x14ac:dyDescent="0.3">
      <c r="A237" s="19" t="s">
        <v>278</v>
      </c>
      <c r="C237" s="19" t="s">
        <v>279</v>
      </c>
      <c r="D237" s="19" t="s">
        <v>280</v>
      </c>
      <c r="E237" s="19" t="s">
        <v>279</v>
      </c>
      <c r="F237" s="19" t="s">
        <v>280</v>
      </c>
      <c r="G237" s="19" t="s">
        <v>249</v>
      </c>
      <c r="L237" s="215"/>
      <c r="M237" s="172"/>
      <c r="N237" s="172"/>
      <c r="O237" s="172"/>
      <c r="P237" s="172"/>
      <c r="Q237" s="173"/>
    </row>
    <row r="238" spans="1:17" ht="16.95" customHeight="1" x14ac:dyDescent="0.3">
      <c r="C238" s="19" t="s">
        <v>282</v>
      </c>
      <c r="D238" s="19" t="s">
        <v>282</v>
      </c>
      <c r="E238" s="19" t="s">
        <v>283</v>
      </c>
      <c r="F238" s="19" t="s">
        <v>283</v>
      </c>
      <c r="L238" s="215"/>
      <c r="M238" s="172"/>
      <c r="N238" s="172"/>
      <c r="O238" s="172"/>
      <c r="P238" s="172"/>
      <c r="Q238" s="173"/>
    </row>
    <row r="239" spans="1:17" ht="16.95" customHeight="1" x14ac:dyDescent="0.3">
      <c r="A239" s="17">
        <f>N8</f>
        <v>46594.816482919239</v>
      </c>
      <c r="C239" s="92">
        <f>-J8</f>
        <v>0.55470019622522904</v>
      </c>
      <c r="D239" s="92">
        <f>-K8</f>
        <v>0.83205029433784361</v>
      </c>
      <c r="E239" s="92">
        <f>J8</f>
        <v>-0.55470019622522904</v>
      </c>
      <c r="F239" s="92">
        <f>K8</f>
        <v>-0.83205029433784361</v>
      </c>
      <c r="G239" s="96">
        <f>IFERROR(VLOOKUP(H239, A$209:D$216, 4, FALSE), 0)</f>
        <v>6.6566397719894657E-2</v>
      </c>
      <c r="H239" s="12" t="str">
        <f>"D" &amp; C17 &amp; "X"</f>
        <v>D3X</v>
      </c>
      <c r="L239" s="215"/>
      <c r="M239" s="172"/>
      <c r="N239" s="172"/>
      <c r="O239" s="172"/>
      <c r="P239" s="172"/>
      <c r="Q239" s="173"/>
    </row>
    <row r="240" spans="1:17" ht="16.95" customHeight="1" x14ac:dyDescent="0.3">
      <c r="A240" s="99" t="s">
        <v>287</v>
      </c>
      <c r="B240" s="97">
        <f>(MMULT(C239:F239, G239:G242)*A239)</f>
        <v>-5776.4740621497722</v>
      </c>
      <c r="G240" s="96">
        <f>IFERROR(VLOOKUP(H240, A$209:D$216, 4, FALSE), 0)</f>
        <v>-0.19337395325760251</v>
      </c>
      <c r="H240" s="12" t="str">
        <f>"D" &amp; D17 &amp; "Y"</f>
        <v>D3Y</v>
      </c>
      <c r="L240" s="215"/>
      <c r="M240" s="172"/>
      <c r="N240" s="172"/>
      <c r="O240" s="172"/>
      <c r="P240" s="172"/>
      <c r="Q240" s="173"/>
    </row>
    <row r="241" spans="1:17" ht="16.95" customHeight="1" x14ac:dyDescent="0.3">
      <c r="G241" s="96">
        <f>IFERROR(VLOOKUP(H241, A$209:D$216, 4, FALSE), 0)</f>
        <v>0</v>
      </c>
      <c r="H241" s="12" t="str">
        <f>"D" &amp; E17 &amp; "X"</f>
        <v>D1X</v>
      </c>
      <c r="L241" s="215"/>
      <c r="M241" s="172"/>
      <c r="N241" s="172"/>
      <c r="O241" s="172"/>
      <c r="P241" s="172"/>
      <c r="Q241" s="173"/>
    </row>
    <row r="242" spans="1:17" ht="16.95" customHeight="1" x14ac:dyDescent="0.3">
      <c r="G242" s="96">
        <f>IFERROR(VLOOKUP(H242, A$209:D$216, 4, FALSE), 0)</f>
        <v>0</v>
      </c>
      <c r="H242" s="12" t="str">
        <f>"D" &amp; F17 &amp; "Y"</f>
        <v>D1Y</v>
      </c>
      <c r="L242" s="215"/>
      <c r="M242" s="172"/>
      <c r="N242" s="172"/>
      <c r="O242" s="172"/>
      <c r="P242" s="172"/>
      <c r="Q242" s="173"/>
    </row>
    <row r="243" spans="1:17" ht="16.95" customHeight="1" x14ac:dyDescent="0.3">
      <c r="B243" s="99" t="s">
        <v>273</v>
      </c>
      <c r="C243" s="178" t="str">
        <f>IF(B240&gt;0.001,"BARRA A TRACCIÓN (+)",IF(B240&lt;-0.001,"BARRA A COMPRESIÓN (-)","BARRA DE FUERZA NULA"))</f>
        <v>BARRA A COMPRESIÓN (-)</v>
      </c>
      <c r="D243" s="172"/>
      <c r="E243" s="172"/>
      <c r="F243" s="173"/>
      <c r="L243" s="215"/>
      <c r="M243" s="172"/>
      <c r="N243" s="172"/>
      <c r="O243" s="172"/>
      <c r="P243" s="172"/>
      <c r="Q243" s="173"/>
    </row>
    <row r="244" spans="1:17" ht="16.95" customHeight="1" x14ac:dyDescent="0.3">
      <c r="L244" s="215"/>
      <c r="M244" s="172"/>
      <c r="N244" s="172"/>
      <c r="O244" s="172"/>
      <c r="P244" s="172"/>
      <c r="Q244" s="173"/>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75131.884043992934</v>
      </c>
      <c r="C247" s="92">
        <f>-J9</f>
        <v>-0.89442719099991586</v>
      </c>
      <c r="D247" s="92">
        <f>-K9</f>
        <v>-0.44721359549995793</v>
      </c>
      <c r="E247" s="92">
        <f>J9</f>
        <v>0.89442719099991586</v>
      </c>
      <c r="F247" s="92">
        <f>K9</f>
        <v>0.44721359549995793</v>
      </c>
      <c r="G247" s="96">
        <f>IFERROR(VLOOKUP(H247, A$209:D$216, 4, FALSE), 0)</f>
        <v>0</v>
      </c>
      <c r="H247" s="12" t="str">
        <f>"D" &amp; C18 &amp; "X"</f>
        <v>D1X</v>
      </c>
    </row>
    <row r="248" spans="1:17" ht="19.95" customHeight="1" x14ac:dyDescent="0.3">
      <c r="A248" s="99" t="s">
        <v>288</v>
      </c>
      <c r="B248" s="97">
        <f>(MMULT(C247:F247, G247:G250)*A247)</f>
        <v>-2669.1564575958323</v>
      </c>
      <c r="G248" s="96">
        <f>IFERROR(VLOOKUP(H248, A$209:D$216, 4, FALSE), 0)</f>
        <v>0</v>
      </c>
      <c r="H248" s="12" t="str">
        <f>"D" &amp; D18 &amp; "Y"</f>
        <v>D1Y</v>
      </c>
    </row>
    <row r="249" spans="1:17" ht="19.95" customHeight="1" x14ac:dyDescent="0.3">
      <c r="G249" s="96">
        <f>IFERROR(VLOOKUP(H249, A$209:D$216, 4, FALSE), 0)</f>
        <v>6.6566397719894671E-2</v>
      </c>
      <c r="H249" s="12" t="str">
        <f>"D" &amp; E18 &amp; "X"</f>
        <v>D4X</v>
      </c>
    </row>
    <row r="250" spans="1:17" ht="19.95" customHeight="1" x14ac:dyDescent="0.3">
      <c r="G250" s="96">
        <f>IFERROR(VLOOKUP(H250, A$209:D$216, 4, FALSE), 0)</f>
        <v>-0.21257197572537959</v>
      </c>
      <c r="H250" s="12" t="str">
        <f>"D" &amp; F18 &amp; "Y"</f>
        <v>D4Y</v>
      </c>
    </row>
    <row r="251" spans="1:17" ht="19.95" customHeight="1" x14ac:dyDescent="0.3">
      <c r="B251" s="99" t="s">
        <v>273</v>
      </c>
      <c r="C251" s="178" t="str">
        <f>IF(B248&gt;0.001,"BARRA A TRACCIÓN (+)",IF(B248&lt;-0.001,"BARRA A COMPRESIÓN (-)","BARRA DE FUERZA NULA"))</f>
        <v>BARRA A COMPRESIÓN (-)</v>
      </c>
      <c r="D251" s="172"/>
      <c r="E251" s="172"/>
      <c r="F251" s="173"/>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75131.884043992934</v>
      </c>
      <c r="C255" s="92">
        <f>-J10</f>
        <v>0.89442719099991586</v>
      </c>
      <c r="D255" s="92">
        <f>-K10</f>
        <v>-0.44721359549995793</v>
      </c>
      <c r="E255" s="92">
        <f>J10</f>
        <v>-0.89442719099991586</v>
      </c>
      <c r="F255" s="92">
        <f>K10</f>
        <v>0.44721359549995793</v>
      </c>
      <c r="G255" s="96">
        <f>IFERROR(VLOOKUP(H255, A$209:D$216, 4, FALSE), 0)</f>
        <v>0.13313279543978934</v>
      </c>
      <c r="H255" s="12" t="str">
        <f>"D" &amp; C19 &amp; "X"</f>
        <v>D2X</v>
      </c>
    </row>
    <row r="256" spans="1:17" ht="19.95" customHeight="1" x14ac:dyDescent="0.3">
      <c r="A256" s="99" t="s">
        <v>289</v>
      </c>
      <c r="B256" s="97">
        <f>(MMULT(C255:F255, G255:G258)*A255)</f>
        <v>-2669.1564575958323</v>
      </c>
      <c r="G256" s="96">
        <f>IFERROR(VLOOKUP(H256, A$209:D$216, 4, FALSE), 0)</f>
        <v>0</v>
      </c>
      <c r="H256" s="12" t="str">
        <f>"D" &amp; D19 &amp; "Y"</f>
        <v>D2Y</v>
      </c>
    </row>
    <row r="257" spans="1:8" ht="19.95" customHeight="1" x14ac:dyDescent="0.3">
      <c r="G257" s="96">
        <f>IFERROR(VLOOKUP(H257, A$209:D$216, 4, FALSE), 0)</f>
        <v>6.6566397719894671E-2</v>
      </c>
      <c r="H257" s="12" t="str">
        <f>"D" &amp; E19 &amp; "X"</f>
        <v>D4X</v>
      </c>
    </row>
    <row r="258" spans="1:8" ht="19.95" customHeight="1" x14ac:dyDescent="0.3">
      <c r="G258" s="96">
        <f>IFERROR(VLOOKUP(H258, A$209:D$216, 4, FALSE), 0)</f>
        <v>-0.21257197572537959</v>
      </c>
      <c r="H258" s="12" t="str">
        <f>"D" &amp; F19 &amp; "Y"</f>
        <v>D4Y</v>
      </c>
    </row>
    <row r="259" spans="1:8" ht="19.95" customHeight="1" x14ac:dyDescent="0.3">
      <c r="B259" s="99" t="s">
        <v>273</v>
      </c>
      <c r="C259" s="178" t="str">
        <f>IF(B256&gt;0.001,"BARRA A TRACCIÓN (+)",IF(B256&lt;-0.001,"BARRA A COMPRESIÓN (-)","BARRA DE FUERZA NULA"))</f>
        <v>BARRA A COMPRESIÓN (-)</v>
      </c>
      <c r="D259" s="172"/>
      <c r="E259" s="172"/>
      <c r="F259" s="173"/>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84000</v>
      </c>
      <c r="C263" s="92">
        <f>-J11</f>
        <v>0</v>
      </c>
      <c r="D263" s="92">
        <f>-K11</f>
        <v>1</v>
      </c>
      <c r="E263" s="92">
        <f>J11</f>
        <v>0</v>
      </c>
      <c r="F263" s="92">
        <f>K11</f>
        <v>-1</v>
      </c>
      <c r="G263" s="96">
        <f>IFERROR(VLOOKUP(H263, A$209:D$216, 4, FALSE), 0)</f>
        <v>6.6566397719894657E-2</v>
      </c>
      <c r="H263" s="12" t="str">
        <f>"D" &amp; C20 &amp; "X"</f>
        <v>D3X</v>
      </c>
    </row>
    <row r="264" spans="1:8" ht="19.95" customHeight="1" x14ac:dyDescent="0.3">
      <c r="A264" s="99" t="s">
        <v>290</v>
      </c>
      <c r="B264" s="97">
        <f>(MMULT(C263:F263, G263:G266)*A263)</f>
        <v>1612.6338872932745</v>
      </c>
      <c r="G264" s="96">
        <f>IFERROR(VLOOKUP(H264, A$209:D$216, 4, FALSE), 0)</f>
        <v>-0.19337395325760251</v>
      </c>
      <c r="H264" s="12" t="str">
        <f>"D" &amp; D20 &amp; "Y"</f>
        <v>D3Y</v>
      </c>
    </row>
    <row r="265" spans="1:8" ht="19.95" customHeight="1" x14ac:dyDescent="0.3">
      <c r="G265" s="96">
        <f>IFERROR(VLOOKUP(H265, A$209:D$216, 4, FALSE), 0)</f>
        <v>6.6566397719894671E-2</v>
      </c>
      <c r="H265" s="12" t="str">
        <f>"D" &amp; E20 &amp; "X"</f>
        <v>D4X</v>
      </c>
    </row>
    <row r="266" spans="1:8" ht="19.95" customHeight="1" x14ac:dyDescent="0.3">
      <c r="G266" s="96">
        <f>IFERROR(VLOOKUP(H266, A$209:D$216, 4, FALSE), 0)</f>
        <v>-0.21257197572537959</v>
      </c>
      <c r="H266" s="12" t="str">
        <f>"D" &amp; F20 &amp; "Y"</f>
        <v>D4Y</v>
      </c>
    </row>
    <row r="267" spans="1:8" ht="19.95" customHeight="1" x14ac:dyDescent="0.3">
      <c r="B267" s="99" t="s">
        <v>273</v>
      </c>
      <c r="C267" s="178" t="str">
        <f>IF(B264&gt;0.001,"BARRA A TRACCIÓN (+)",IF(B264&lt;-0.001,"BARRA A COMPRESIÓN (-)","BARRA DE FUERZA NULA"))</f>
        <v>BARRA A TRACCIÓN (+)</v>
      </c>
      <c r="D267" s="172"/>
      <c r="E267" s="172"/>
      <c r="F267" s="173"/>
    </row>
    <row r="270" spans="1:8" ht="22.05" customHeight="1" x14ac:dyDescent="0.3">
      <c r="B270" s="217" t="s">
        <v>404</v>
      </c>
      <c r="C270" s="175"/>
      <c r="D270" s="175"/>
      <c r="E270" s="175"/>
      <c r="F270" s="175"/>
      <c r="G270" s="175"/>
      <c r="H270" s="175"/>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600</v>
      </c>
      <c r="F272" s="9">
        <f t="shared" ref="F272:F277" si="20">L6</f>
        <v>12</v>
      </c>
      <c r="G272" s="97">
        <f>B224</f>
        <v>5591.577408471152</v>
      </c>
      <c r="H272" s="84" t="str">
        <f>C227</f>
        <v>BARRA A TRACCIÓN (+)</v>
      </c>
    </row>
    <row r="273" spans="2:8" ht="19.95" customHeight="1" x14ac:dyDescent="0.3">
      <c r="B273" s="25">
        <v>2</v>
      </c>
      <c r="C273" s="86">
        <f t="shared" si="17"/>
        <v>2</v>
      </c>
      <c r="D273" s="86">
        <f t="shared" si="18"/>
        <v>3</v>
      </c>
      <c r="E273" s="9">
        <f t="shared" si="19"/>
        <v>540.83269131959844</v>
      </c>
      <c r="F273" s="9">
        <f t="shared" si="20"/>
        <v>12</v>
      </c>
      <c r="G273" s="97">
        <f>B232</f>
        <v>-5776.4740621497722</v>
      </c>
      <c r="H273" s="84" t="str">
        <f>C235</f>
        <v>BARRA A COMPRESIÓN (-)</v>
      </c>
    </row>
    <row r="274" spans="2:8" ht="19.95" customHeight="1" x14ac:dyDescent="0.3">
      <c r="B274" s="26">
        <v>3</v>
      </c>
      <c r="C274" s="86">
        <f t="shared" si="17"/>
        <v>3</v>
      </c>
      <c r="D274" s="86">
        <f t="shared" si="18"/>
        <v>1</v>
      </c>
      <c r="E274" s="9">
        <f t="shared" si="19"/>
        <v>540.83269131959844</v>
      </c>
      <c r="F274" s="9">
        <f t="shared" si="20"/>
        <v>12</v>
      </c>
      <c r="G274" s="97">
        <f>B240</f>
        <v>-5776.4740621497722</v>
      </c>
      <c r="H274" s="84" t="str">
        <f>C243</f>
        <v>BARRA A COMPRESIÓN (-)</v>
      </c>
    </row>
    <row r="275" spans="2:8" ht="19.95" customHeight="1" x14ac:dyDescent="0.3">
      <c r="B275" s="43">
        <v>4</v>
      </c>
      <c r="C275" s="86">
        <f t="shared" si="17"/>
        <v>1</v>
      </c>
      <c r="D275" s="86">
        <f t="shared" si="18"/>
        <v>4</v>
      </c>
      <c r="E275" s="9">
        <f t="shared" si="19"/>
        <v>335.41019662496848</v>
      </c>
      <c r="F275" s="9">
        <f t="shared" si="20"/>
        <v>12</v>
      </c>
      <c r="G275" s="97">
        <f>B248</f>
        <v>-2669.1564575958323</v>
      </c>
      <c r="H275" s="84" t="str">
        <f>C251</f>
        <v>BARRA A COMPRESIÓN (-)</v>
      </c>
    </row>
    <row r="276" spans="2:8" ht="19.95" customHeight="1" x14ac:dyDescent="0.3">
      <c r="B276" s="44">
        <v>5</v>
      </c>
      <c r="C276" s="86">
        <f t="shared" si="17"/>
        <v>2</v>
      </c>
      <c r="D276" s="86">
        <f t="shared" si="18"/>
        <v>4</v>
      </c>
      <c r="E276" s="9">
        <f t="shared" si="19"/>
        <v>335.41019662496848</v>
      </c>
      <c r="F276" s="9">
        <f t="shared" si="20"/>
        <v>12</v>
      </c>
      <c r="G276" s="97">
        <f>B256</f>
        <v>-2669.1564575958323</v>
      </c>
      <c r="H276" s="84" t="str">
        <f>C259</f>
        <v>BARRA A COMPRESIÓN (-)</v>
      </c>
    </row>
    <row r="277" spans="2:8" ht="19.95" customHeight="1" x14ac:dyDescent="0.3">
      <c r="B277" s="51">
        <v>6</v>
      </c>
      <c r="C277" s="86">
        <f t="shared" si="17"/>
        <v>3</v>
      </c>
      <c r="D277" s="86">
        <f t="shared" si="18"/>
        <v>4</v>
      </c>
      <c r="E277" s="9">
        <f t="shared" si="19"/>
        <v>300</v>
      </c>
      <c r="F277" s="9">
        <f t="shared" si="20"/>
        <v>12</v>
      </c>
      <c r="G277" s="97">
        <f>B264</f>
        <v>1612.6338872932745</v>
      </c>
      <c r="H277" s="84" t="str">
        <f>C267</f>
        <v>BARRA A TRACCIÓN (+)</v>
      </c>
    </row>
  </sheetData>
  <mergeCells count="119">
    <mergeCell ref="L244:Q244"/>
    <mergeCell ref="L156:Q156"/>
    <mergeCell ref="L171:Q171"/>
    <mergeCell ref="L153:Q153"/>
    <mergeCell ref="L236:Q236"/>
    <mergeCell ref="L189:Q189"/>
    <mergeCell ref="L146:Q146"/>
    <mergeCell ref="L198:Q198"/>
    <mergeCell ref="L229:Q229"/>
    <mergeCell ref="L238:Q238"/>
    <mergeCell ref="L241:Q241"/>
    <mergeCell ref="L228:Q228"/>
    <mergeCell ref="L179:Q179"/>
    <mergeCell ref="C227:F227"/>
    <mergeCell ref="L237:Q237"/>
    <mergeCell ref="L160:Q160"/>
    <mergeCell ref="L187:Q187"/>
    <mergeCell ref="L174:Q174"/>
    <mergeCell ref="H4:H5"/>
    <mergeCell ref="L137:Q137"/>
    <mergeCell ref="L142:Q142"/>
    <mergeCell ref="L234:Q234"/>
    <mergeCell ref="L172:Q172"/>
    <mergeCell ref="L162:Q162"/>
    <mergeCell ref="L220:Q220"/>
    <mergeCell ref="L143:Q143"/>
    <mergeCell ref="L139:Q139"/>
    <mergeCell ref="L222:Q222"/>
    <mergeCell ref="L170:Q170"/>
    <mergeCell ref="L148:Q148"/>
    <mergeCell ref="L173:Q173"/>
    <mergeCell ref="L188:Q188"/>
    <mergeCell ref="L145:Q145"/>
    <mergeCell ref="L194:Q194"/>
    <mergeCell ref="L154:Q154"/>
    <mergeCell ref="L203:Q203"/>
    <mergeCell ref="L219:Q219"/>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3:B14"/>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J4:J5"/>
    <mergeCell ref="G4:G5"/>
    <mergeCell ref="I4:I5"/>
    <mergeCell ref="L169:Q169"/>
    <mergeCell ref="B3:D3"/>
    <mergeCell ref="M4:M5"/>
    <mergeCell ref="L150:Q150"/>
    <mergeCell ref="L199:Q199"/>
    <mergeCell ref="L186:Q186"/>
    <mergeCell ref="C13:D13"/>
    <mergeCell ref="L165:Q165"/>
    <mergeCell ref="K4:K5"/>
    <mergeCell ref="L4:L5"/>
    <mergeCell ref="C178:G178"/>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638</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12</v>
      </c>
      <c r="E6" s="173"/>
      <c r="F6" s="206">
        <f>SUM(F14:G23)</f>
        <v>3</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250</v>
      </c>
      <c r="AC11" t="s">
        <v>324</v>
      </c>
    </row>
    <row r="12" spans="2:29" x14ac:dyDescent="0.3">
      <c r="AA12" s="20">
        <f>IF(G30="","",G30)</f>
        <v>300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300</v>
      </c>
      <c r="AB14" s="20">
        <f>IF(F31="","",F31)</f>
        <v>250</v>
      </c>
      <c r="AC14" t="s">
        <v>328</v>
      </c>
    </row>
    <row r="15" spans="2:29" ht="19.05" customHeight="1" x14ac:dyDescent="0.3">
      <c r="B15" s="89">
        <v>2</v>
      </c>
      <c r="C15" s="21">
        <v>300</v>
      </c>
      <c r="D15" s="21">
        <v>0</v>
      </c>
      <c r="E15" s="21" t="s">
        <v>326</v>
      </c>
      <c r="F15" s="88">
        <f t="shared" si="0"/>
        <v>0</v>
      </c>
      <c r="G15" s="88">
        <f t="shared" si="1"/>
        <v>0</v>
      </c>
      <c r="H15" s="22">
        <v>0</v>
      </c>
      <c r="I15" s="22">
        <v>-6000</v>
      </c>
      <c r="J15" s="205" t="s">
        <v>573</v>
      </c>
      <c r="K15" s="172"/>
      <c r="L15" s="172"/>
      <c r="M15" s="172"/>
      <c r="N15" s="172"/>
      <c r="O15" s="173"/>
      <c r="AA15" s="20">
        <f>IF(G31="","",G31)</f>
        <v>600</v>
      </c>
      <c r="AB15" s="20">
        <f>IF(H31="","",H31)</f>
        <v>250</v>
      </c>
      <c r="AC15" t="s">
        <v>331</v>
      </c>
    </row>
    <row r="16" spans="2:29" ht="19.05" customHeight="1" x14ac:dyDescent="0.3">
      <c r="B16" s="89">
        <v>3</v>
      </c>
      <c r="C16" s="21">
        <v>600</v>
      </c>
      <c r="D16" s="21">
        <v>0</v>
      </c>
      <c r="E16" s="21" t="s">
        <v>329</v>
      </c>
      <c r="F16" s="88">
        <f t="shared" si="0"/>
        <v>0</v>
      </c>
      <c r="G16" s="88">
        <f t="shared" si="1"/>
        <v>1</v>
      </c>
      <c r="H16" s="22">
        <v>0</v>
      </c>
      <c r="I16" s="22">
        <v>0</v>
      </c>
      <c r="J16" s="205" t="s">
        <v>407</v>
      </c>
      <c r="K16" s="172"/>
      <c r="L16" s="172"/>
      <c r="M16" s="172"/>
      <c r="N16" s="172"/>
      <c r="O16" s="173"/>
    </row>
    <row r="17" spans="2:29" ht="19.05" customHeight="1" x14ac:dyDescent="0.3">
      <c r="B17" s="89">
        <v>4</v>
      </c>
      <c r="C17" s="21">
        <v>0</v>
      </c>
      <c r="D17" s="21">
        <v>250</v>
      </c>
      <c r="E17" s="21" t="s">
        <v>326</v>
      </c>
      <c r="F17" s="88">
        <f t="shared" si="0"/>
        <v>0</v>
      </c>
      <c r="G17" s="88">
        <f t="shared" si="1"/>
        <v>0</v>
      </c>
      <c r="H17" s="22">
        <v>0</v>
      </c>
      <c r="I17" s="22">
        <v>0</v>
      </c>
      <c r="J17" s="205" t="s">
        <v>596</v>
      </c>
      <c r="K17" s="172"/>
      <c r="L17" s="172"/>
      <c r="M17" s="172"/>
      <c r="N17" s="172"/>
      <c r="O17" s="173"/>
      <c r="AA17" s="20">
        <f>IF(E32="","",E32)</f>
        <v>0</v>
      </c>
      <c r="AB17" s="20">
        <f>IF(F32="","",F32)</f>
        <v>0</v>
      </c>
      <c r="AC17" t="s">
        <v>334</v>
      </c>
    </row>
    <row r="18" spans="2:29" ht="19.05" customHeight="1" x14ac:dyDescent="0.3">
      <c r="B18" s="89">
        <v>5</v>
      </c>
      <c r="C18" s="21">
        <v>300</v>
      </c>
      <c r="D18" s="21">
        <v>250</v>
      </c>
      <c r="E18" s="21" t="s">
        <v>326</v>
      </c>
      <c r="F18" s="88">
        <f t="shared" si="0"/>
        <v>0</v>
      </c>
      <c r="G18" s="88">
        <f t="shared" si="1"/>
        <v>0</v>
      </c>
      <c r="H18" s="22">
        <v>0</v>
      </c>
      <c r="I18" s="22">
        <v>-5000</v>
      </c>
      <c r="J18" s="205" t="s">
        <v>639</v>
      </c>
      <c r="K18" s="172"/>
      <c r="L18" s="172"/>
      <c r="M18" s="172"/>
      <c r="N18" s="172"/>
      <c r="O18" s="173"/>
      <c r="AA18" s="20">
        <f>IF(G32="","",G32)</f>
        <v>0</v>
      </c>
      <c r="AB18" s="20">
        <f>IF(H32="","",H32)</f>
        <v>250</v>
      </c>
      <c r="AC18" t="s">
        <v>335</v>
      </c>
    </row>
    <row r="19" spans="2:29" ht="19.05" customHeight="1" x14ac:dyDescent="0.3">
      <c r="B19" s="89">
        <v>6</v>
      </c>
      <c r="C19" s="21">
        <v>600</v>
      </c>
      <c r="D19" s="21">
        <v>250</v>
      </c>
      <c r="E19" s="21" t="s">
        <v>326</v>
      </c>
      <c r="F19" s="88">
        <f t="shared" si="0"/>
        <v>0</v>
      </c>
      <c r="G19" s="88">
        <f t="shared" si="1"/>
        <v>0</v>
      </c>
      <c r="H19" s="22">
        <v>0</v>
      </c>
      <c r="I19" s="22">
        <v>0</v>
      </c>
      <c r="J19" s="205" t="s">
        <v>640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250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0</v>
      </c>
      <c r="AC23" t="s">
        <v>338</v>
      </c>
    </row>
    <row r="24" spans="2:29" x14ac:dyDescent="0.3">
      <c r="AA24" s="20">
        <f>IF(G34="","",G34)</f>
        <v>600</v>
      </c>
      <c r="AB24" s="20">
        <f>IF(H34="","",H34)</f>
        <v>250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0</v>
      </c>
      <c r="AB29" s="20">
        <f>IF(F36="","",F36)</f>
        <v>250</v>
      </c>
      <c r="AC29" t="s">
        <v>353</v>
      </c>
    </row>
    <row r="30" spans="2:29" ht="19.05" customHeight="1" x14ac:dyDescent="0.3">
      <c r="B30" s="89">
        <v>3</v>
      </c>
      <c r="C30" s="23">
        <v>4</v>
      </c>
      <c r="D30" s="23">
        <v>5</v>
      </c>
      <c r="E30" s="5">
        <f t="shared" si="2"/>
        <v>0</v>
      </c>
      <c r="F30" s="5">
        <f t="shared" si="3"/>
        <v>250</v>
      </c>
      <c r="G30" s="5">
        <f t="shared" si="4"/>
        <v>300</v>
      </c>
      <c r="H30" s="5">
        <f t="shared" si="5"/>
        <v>250</v>
      </c>
      <c r="I30" s="9">
        <f t="shared" si="6"/>
        <v>300</v>
      </c>
      <c r="J30" s="9">
        <f t="shared" si="7"/>
        <v>0</v>
      </c>
      <c r="K30" s="9">
        <f t="shared" si="8"/>
        <v>300</v>
      </c>
      <c r="L30" s="92">
        <f t="shared" si="9"/>
        <v>1</v>
      </c>
      <c r="M30" s="92">
        <f t="shared" si="10"/>
        <v>0</v>
      </c>
      <c r="N30" s="22">
        <v>12</v>
      </c>
      <c r="O30" s="24">
        <v>2100000</v>
      </c>
      <c r="AA30" s="20">
        <f>IF(G36="","",G36)</f>
        <v>300</v>
      </c>
      <c r="AB30" s="20">
        <f>IF(H36="","",H36)</f>
        <v>0</v>
      </c>
      <c r="AC30" t="s">
        <v>354</v>
      </c>
    </row>
    <row r="31" spans="2:29" ht="19.05" customHeight="1" x14ac:dyDescent="0.3">
      <c r="B31" s="89">
        <v>4</v>
      </c>
      <c r="C31" s="23">
        <v>5</v>
      </c>
      <c r="D31" s="23">
        <v>6</v>
      </c>
      <c r="E31" s="5">
        <f t="shared" si="2"/>
        <v>300</v>
      </c>
      <c r="F31" s="5">
        <f t="shared" si="3"/>
        <v>250</v>
      </c>
      <c r="G31" s="5">
        <f t="shared" si="4"/>
        <v>600</v>
      </c>
      <c r="H31" s="5">
        <f t="shared" si="5"/>
        <v>250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f>IF(E37="","",E37)</f>
        <v>300</v>
      </c>
      <c r="AB32" s="20">
        <f>IF(F37="","",F37)</f>
        <v>0</v>
      </c>
      <c r="AC32" t="s">
        <v>355</v>
      </c>
    </row>
    <row r="33" spans="2:29" ht="19.05" customHeight="1" x14ac:dyDescent="0.3">
      <c r="B33" s="89">
        <v>6</v>
      </c>
      <c r="C33" s="23">
        <v>2</v>
      </c>
      <c r="D33" s="23">
        <v>5</v>
      </c>
      <c r="E33" s="5">
        <f t="shared" si="2"/>
        <v>300</v>
      </c>
      <c r="F33" s="5">
        <f t="shared" si="3"/>
        <v>0</v>
      </c>
      <c r="G33" s="5">
        <f t="shared" si="4"/>
        <v>300</v>
      </c>
      <c r="H33" s="5">
        <f t="shared" si="5"/>
        <v>250</v>
      </c>
      <c r="I33" s="9">
        <f t="shared" si="6"/>
        <v>0</v>
      </c>
      <c r="J33" s="9">
        <f t="shared" si="7"/>
        <v>250</v>
      </c>
      <c r="K33" s="9">
        <f t="shared" si="8"/>
        <v>250</v>
      </c>
      <c r="L33" s="92">
        <f t="shared" si="9"/>
        <v>0</v>
      </c>
      <c r="M33" s="92">
        <f t="shared" si="10"/>
        <v>1</v>
      </c>
      <c r="N33" s="22">
        <v>12</v>
      </c>
      <c r="O33" s="24">
        <v>2100000</v>
      </c>
      <c r="AA33" s="20">
        <f>IF(G37="","",G37)</f>
        <v>600</v>
      </c>
      <c r="AB33" s="20">
        <f>IF(H37="","",H37)</f>
        <v>250</v>
      </c>
      <c r="AC33" t="s">
        <v>356</v>
      </c>
    </row>
    <row r="34" spans="2:29" ht="19.05" customHeight="1" x14ac:dyDescent="0.3">
      <c r="B34" s="89">
        <v>7</v>
      </c>
      <c r="C34" s="23">
        <v>3</v>
      </c>
      <c r="D34" s="23">
        <v>6</v>
      </c>
      <c r="E34" s="5">
        <f t="shared" si="2"/>
        <v>600</v>
      </c>
      <c r="F34" s="5">
        <f t="shared" si="3"/>
        <v>0</v>
      </c>
      <c r="G34" s="5">
        <f t="shared" si="4"/>
        <v>600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300</v>
      </c>
      <c r="H35" s="5">
        <f t="shared" si="5"/>
        <v>250</v>
      </c>
      <c r="I35" s="9">
        <f t="shared" si="6"/>
        <v>300</v>
      </c>
      <c r="J35" s="9">
        <f t="shared" si="7"/>
        <v>250</v>
      </c>
      <c r="K35" s="9">
        <f t="shared" si="8"/>
        <v>390.51248379533274</v>
      </c>
      <c r="L35" s="92">
        <f t="shared" si="9"/>
        <v>0.76822127959737585</v>
      </c>
      <c r="M35" s="92">
        <f t="shared" si="10"/>
        <v>0.64018439966447982</v>
      </c>
      <c r="N35" s="22">
        <v>12</v>
      </c>
      <c r="O35" s="24">
        <v>2100000</v>
      </c>
      <c r="AA35" s="20">
        <f>IF(E38="","",E38)</f>
        <v>300</v>
      </c>
      <c r="AB35" s="20">
        <f>IF(F38="","",F38)</f>
        <v>250</v>
      </c>
      <c r="AC35" t="s">
        <v>357</v>
      </c>
    </row>
    <row r="36" spans="2:29" ht="19.05" customHeight="1" x14ac:dyDescent="0.3">
      <c r="B36" s="89">
        <v>9</v>
      </c>
      <c r="C36" s="23">
        <v>4</v>
      </c>
      <c r="D36" s="23">
        <v>2</v>
      </c>
      <c r="E36" s="5">
        <f t="shared" si="2"/>
        <v>0</v>
      </c>
      <c r="F36" s="5">
        <f t="shared" si="3"/>
        <v>250</v>
      </c>
      <c r="G36" s="5">
        <f t="shared" si="4"/>
        <v>300</v>
      </c>
      <c r="H36" s="5">
        <f t="shared" si="5"/>
        <v>0</v>
      </c>
      <c r="I36" s="9">
        <f t="shared" si="6"/>
        <v>300</v>
      </c>
      <c r="J36" s="9">
        <f t="shared" si="7"/>
        <v>-250</v>
      </c>
      <c r="K36" s="9">
        <f t="shared" si="8"/>
        <v>390.51248379533274</v>
      </c>
      <c r="L36" s="92">
        <f t="shared" si="9"/>
        <v>0.76822127959737585</v>
      </c>
      <c r="M36" s="92">
        <f t="shared" si="10"/>
        <v>-0.64018439966447982</v>
      </c>
      <c r="N36" s="22">
        <v>12</v>
      </c>
      <c r="O36" s="24">
        <v>2100000</v>
      </c>
      <c r="AA36" s="20">
        <f>IF(G38="","",G38)</f>
        <v>600</v>
      </c>
      <c r="AB36" s="20">
        <f>IF(H38="","",H38)</f>
        <v>0</v>
      </c>
      <c r="AC36" t="s">
        <v>358</v>
      </c>
    </row>
    <row r="37" spans="2:29" ht="19.05" customHeight="1" x14ac:dyDescent="0.3">
      <c r="B37" s="89">
        <v>10</v>
      </c>
      <c r="C37" s="23">
        <v>2</v>
      </c>
      <c r="D37" s="23">
        <v>6</v>
      </c>
      <c r="E37" s="5">
        <f t="shared" si="2"/>
        <v>300</v>
      </c>
      <c r="F37" s="5">
        <f t="shared" si="3"/>
        <v>0</v>
      </c>
      <c r="G37" s="5">
        <f t="shared" si="4"/>
        <v>600</v>
      </c>
      <c r="H37" s="5">
        <f t="shared" si="5"/>
        <v>250</v>
      </c>
      <c r="I37" s="9">
        <f t="shared" si="6"/>
        <v>300</v>
      </c>
      <c r="J37" s="9">
        <f t="shared" si="7"/>
        <v>250</v>
      </c>
      <c r="K37" s="9">
        <f t="shared" si="8"/>
        <v>390.51248379533274</v>
      </c>
      <c r="L37" s="92">
        <f t="shared" si="9"/>
        <v>0.76822127959737585</v>
      </c>
      <c r="M37" s="92">
        <f t="shared" si="10"/>
        <v>0.64018439966447982</v>
      </c>
      <c r="N37" s="22">
        <v>12</v>
      </c>
      <c r="O37" s="24">
        <v>2100000</v>
      </c>
    </row>
    <row r="38" spans="2:29" ht="19.05" customHeight="1" x14ac:dyDescent="0.3">
      <c r="B38" s="89">
        <v>11</v>
      </c>
      <c r="C38" s="23">
        <v>5</v>
      </c>
      <c r="D38" s="23">
        <v>3</v>
      </c>
      <c r="E38" s="5">
        <f t="shared" si="2"/>
        <v>300</v>
      </c>
      <c r="F38" s="5">
        <f t="shared" si="3"/>
        <v>250</v>
      </c>
      <c r="G38" s="5">
        <f t="shared" si="4"/>
        <v>600</v>
      </c>
      <c r="H38" s="5">
        <f t="shared" si="5"/>
        <v>0</v>
      </c>
      <c r="I38" s="9">
        <f t="shared" si="6"/>
        <v>300</v>
      </c>
      <c r="J38" s="9">
        <f t="shared" si="7"/>
        <v>-250</v>
      </c>
      <c r="K38" s="9">
        <f t="shared" si="8"/>
        <v>390.51248379533274</v>
      </c>
      <c r="L38" s="92">
        <f t="shared" si="9"/>
        <v>0.76822127959737585</v>
      </c>
      <c r="M38" s="92">
        <f t="shared" si="10"/>
        <v>-0.64018439966447982</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600</v>
      </c>
      <c r="H39" s="5">
        <f t="shared" si="5"/>
        <v>250</v>
      </c>
      <c r="I39" s="9">
        <f t="shared" si="6"/>
        <v>600</v>
      </c>
      <c r="J39" s="9">
        <f t="shared" si="7"/>
        <v>250</v>
      </c>
      <c r="K39" s="9">
        <f t="shared" si="8"/>
        <v>650</v>
      </c>
      <c r="L39" s="92">
        <f t="shared" si="9"/>
        <v>0.92307692307692313</v>
      </c>
      <c r="M39" s="92">
        <f t="shared" si="10"/>
        <v>0.38461538461538464</v>
      </c>
      <c r="N39" s="22">
        <v>12</v>
      </c>
      <c r="O39" s="24">
        <v>2100000</v>
      </c>
      <c r="AA39" s="20">
        <f>IF(G39="","",G39)</f>
        <v>600</v>
      </c>
      <c r="AB39" s="20">
        <f>IF(H39="","",H39)</f>
        <v>250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5F00-000000000000}">
      <formula1>"Fijo (articulado),Rodillo Y (despl. X libre),Rodillo X (despl. Y libre),Libre (0 reac.)"</formula1>
    </dataValidation>
  </dataValidations>
  <pageMargins left="0.75" right="0.75" top="1" bottom="1" header="0.5" footer="0.5"/>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U52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641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GRAFICA_47!E28</f>
        <v>0</v>
      </c>
      <c r="D6" s="22">
        <f>GRAFICA_47!F28</f>
        <v>0</v>
      </c>
      <c r="E6" s="22">
        <f>GRAFICA_47!G28</f>
        <v>300</v>
      </c>
      <c r="F6" s="22">
        <f>GRAFICA_47!H28</f>
        <v>0</v>
      </c>
      <c r="G6" s="9">
        <f t="shared" ref="G6:G17" si="0">E6-C6</f>
        <v>300</v>
      </c>
      <c r="H6" s="9">
        <f t="shared" ref="H6:H17" si="1">F6-D6</f>
        <v>0</v>
      </c>
      <c r="I6" s="9">
        <f t="shared" ref="I6:I17" si="2">SQRT(G6*G6+H6*H6)</f>
        <v>300</v>
      </c>
      <c r="J6" s="92">
        <f t="shared" ref="J6:J17" si="3">G6/I6</f>
        <v>1</v>
      </c>
      <c r="K6" s="92">
        <f t="shared" ref="K6:K17" si="4">H6/I6</f>
        <v>0</v>
      </c>
      <c r="L6" s="22">
        <f>GRAFICA_47!N28</f>
        <v>12</v>
      </c>
      <c r="M6" s="22">
        <f>GRAFICA_47!O28</f>
        <v>2100000</v>
      </c>
      <c r="N6" s="6">
        <f t="shared" ref="N6:N17" si="5">L6*M6/I6</f>
        <v>84000</v>
      </c>
    </row>
    <row r="7" spans="2:14" ht="19.05" customHeight="1" x14ac:dyDescent="0.3">
      <c r="B7" s="25">
        <v>2</v>
      </c>
      <c r="C7" s="22">
        <f>GRAFICA_47!E29</f>
        <v>300</v>
      </c>
      <c r="D7" s="22">
        <f>GRAFICA_47!F29</f>
        <v>0</v>
      </c>
      <c r="E7" s="22">
        <f>GRAFICA_47!G29</f>
        <v>600</v>
      </c>
      <c r="F7" s="22">
        <f>GRAFICA_47!H29</f>
        <v>0</v>
      </c>
      <c r="G7" s="9">
        <f t="shared" si="0"/>
        <v>300</v>
      </c>
      <c r="H7" s="9">
        <f t="shared" si="1"/>
        <v>0</v>
      </c>
      <c r="I7" s="9">
        <f t="shared" si="2"/>
        <v>300</v>
      </c>
      <c r="J7" s="92">
        <f t="shared" si="3"/>
        <v>1</v>
      </c>
      <c r="K7" s="92">
        <f t="shared" si="4"/>
        <v>0</v>
      </c>
      <c r="L7" s="22">
        <f>GRAFICA_47!N29</f>
        <v>12</v>
      </c>
      <c r="M7" s="22">
        <f>GRAFICA_47!O29</f>
        <v>2100000</v>
      </c>
      <c r="N7" s="6">
        <f t="shared" si="5"/>
        <v>84000</v>
      </c>
    </row>
    <row r="8" spans="2:14" ht="19.05" customHeight="1" x14ac:dyDescent="0.3">
      <c r="B8" s="26">
        <v>3</v>
      </c>
      <c r="C8" s="22">
        <f>GRAFICA_47!E30</f>
        <v>0</v>
      </c>
      <c r="D8" s="22">
        <f>GRAFICA_47!F30</f>
        <v>250</v>
      </c>
      <c r="E8" s="22">
        <f>GRAFICA_47!G30</f>
        <v>300</v>
      </c>
      <c r="F8" s="22">
        <f>GRAFICA_47!H30</f>
        <v>250</v>
      </c>
      <c r="G8" s="9">
        <f t="shared" si="0"/>
        <v>300</v>
      </c>
      <c r="H8" s="9">
        <f t="shared" si="1"/>
        <v>0</v>
      </c>
      <c r="I8" s="9">
        <f t="shared" si="2"/>
        <v>300</v>
      </c>
      <c r="J8" s="92">
        <f t="shared" si="3"/>
        <v>1</v>
      </c>
      <c r="K8" s="92">
        <f t="shared" si="4"/>
        <v>0</v>
      </c>
      <c r="L8" s="22">
        <f>GRAFICA_47!N30</f>
        <v>12</v>
      </c>
      <c r="M8" s="22">
        <f>GRAFICA_47!O30</f>
        <v>2100000</v>
      </c>
      <c r="N8" s="6">
        <f t="shared" si="5"/>
        <v>84000</v>
      </c>
    </row>
    <row r="9" spans="2:14" ht="19.05" customHeight="1" x14ac:dyDescent="0.3">
      <c r="B9" s="43">
        <v>4</v>
      </c>
      <c r="C9" s="22">
        <f>GRAFICA_47!E31</f>
        <v>300</v>
      </c>
      <c r="D9" s="22">
        <f>GRAFICA_47!F31</f>
        <v>250</v>
      </c>
      <c r="E9" s="22">
        <f>GRAFICA_47!G31</f>
        <v>600</v>
      </c>
      <c r="F9" s="22">
        <f>GRAFICA_47!H31</f>
        <v>250</v>
      </c>
      <c r="G9" s="9">
        <f t="shared" si="0"/>
        <v>300</v>
      </c>
      <c r="H9" s="9">
        <f t="shared" si="1"/>
        <v>0</v>
      </c>
      <c r="I9" s="9">
        <f t="shared" si="2"/>
        <v>300</v>
      </c>
      <c r="J9" s="92">
        <f t="shared" si="3"/>
        <v>1</v>
      </c>
      <c r="K9" s="92">
        <f t="shared" si="4"/>
        <v>0</v>
      </c>
      <c r="L9" s="22">
        <f>GRAFICA_47!N31</f>
        <v>12</v>
      </c>
      <c r="M9" s="22">
        <f>GRAFICA_47!O31</f>
        <v>2100000</v>
      </c>
      <c r="N9" s="6">
        <f t="shared" si="5"/>
        <v>84000</v>
      </c>
    </row>
    <row r="10" spans="2:14" ht="19.05" customHeight="1" x14ac:dyDescent="0.3">
      <c r="B10" s="44">
        <v>5</v>
      </c>
      <c r="C10" s="22">
        <f>GRAFICA_47!E32</f>
        <v>0</v>
      </c>
      <c r="D10" s="22">
        <f>GRAFICA_47!F32</f>
        <v>0</v>
      </c>
      <c r="E10" s="22">
        <f>GRAFICA_47!G32</f>
        <v>0</v>
      </c>
      <c r="F10" s="22">
        <f>GRAFICA_47!H32</f>
        <v>250</v>
      </c>
      <c r="G10" s="9">
        <f t="shared" si="0"/>
        <v>0</v>
      </c>
      <c r="H10" s="9">
        <f t="shared" si="1"/>
        <v>250</v>
      </c>
      <c r="I10" s="9">
        <f t="shared" si="2"/>
        <v>250</v>
      </c>
      <c r="J10" s="92">
        <f t="shared" si="3"/>
        <v>0</v>
      </c>
      <c r="K10" s="92">
        <f t="shared" si="4"/>
        <v>1</v>
      </c>
      <c r="L10" s="22">
        <f>GRAFICA_47!N32</f>
        <v>12</v>
      </c>
      <c r="M10" s="22">
        <f>GRAFICA_47!O32</f>
        <v>2100000</v>
      </c>
      <c r="N10" s="6">
        <f t="shared" si="5"/>
        <v>100800</v>
      </c>
    </row>
    <row r="11" spans="2:14" ht="19.05" customHeight="1" x14ac:dyDescent="0.3">
      <c r="B11" s="51">
        <v>6</v>
      </c>
      <c r="C11" s="22">
        <f>GRAFICA_47!E33</f>
        <v>300</v>
      </c>
      <c r="D11" s="22">
        <f>GRAFICA_47!F33</f>
        <v>0</v>
      </c>
      <c r="E11" s="22">
        <f>GRAFICA_47!G33</f>
        <v>300</v>
      </c>
      <c r="F11" s="22">
        <f>GRAFICA_47!H33</f>
        <v>250</v>
      </c>
      <c r="G11" s="9">
        <f t="shared" si="0"/>
        <v>0</v>
      </c>
      <c r="H11" s="9">
        <f t="shared" si="1"/>
        <v>250</v>
      </c>
      <c r="I11" s="9">
        <f t="shared" si="2"/>
        <v>250</v>
      </c>
      <c r="J11" s="92">
        <f t="shared" si="3"/>
        <v>0</v>
      </c>
      <c r="K11" s="92">
        <f t="shared" si="4"/>
        <v>1</v>
      </c>
      <c r="L11" s="22">
        <f>GRAFICA_47!N33</f>
        <v>12</v>
      </c>
      <c r="M11" s="22">
        <f>GRAFICA_47!O33</f>
        <v>2100000</v>
      </c>
      <c r="N11" s="6">
        <f t="shared" si="5"/>
        <v>100800</v>
      </c>
    </row>
    <row r="12" spans="2:14" ht="19.05" customHeight="1" x14ac:dyDescent="0.3">
      <c r="B12" s="52">
        <v>7</v>
      </c>
      <c r="C12" s="22">
        <f>GRAFICA_47!E34</f>
        <v>600</v>
      </c>
      <c r="D12" s="22">
        <f>GRAFICA_47!F34</f>
        <v>0</v>
      </c>
      <c r="E12" s="22">
        <f>GRAFICA_47!G34</f>
        <v>600</v>
      </c>
      <c r="F12" s="22">
        <f>GRAFICA_47!H34</f>
        <v>250</v>
      </c>
      <c r="G12" s="9">
        <f t="shared" si="0"/>
        <v>0</v>
      </c>
      <c r="H12" s="9">
        <f t="shared" si="1"/>
        <v>250</v>
      </c>
      <c r="I12" s="9">
        <f t="shared" si="2"/>
        <v>250</v>
      </c>
      <c r="J12" s="92">
        <f t="shared" si="3"/>
        <v>0</v>
      </c>
      <c r="K12" s="92">
        <f t="shared" si="4"/>
        <v>1</v>
      </c>
      <c r="L12" s="22">
        <f>GRAFICA_47!N34</f>
        <v>12</v>
      </c>
      <c r="M12" s="22">
        <f>GRAFICA_47!O34</f>
        <v>2100000</v>
      </c>
      <c r="N12" s="6">
        <f t="shared" si="5"/>
        <v>100800</v>
      </c>
    </row>
    <row r="13" spans="2:14" ht="19.05" customHeight="1" x14ac:dyDescent="0.3">
      <c r="B13" s="59">
        <v>8</v>
      </c>
      <c r="C13" s="22">
        <f>GRAFICA_47!E35</f>
        <v>0</v>
      </c>
      <c r="D13" s="22">
        <f>GRAFICA_47!F35</f>
        <v>0</v>
      </c>
      <c r="E13" s="22">
        <f>GRAFICA_47!G35</f>
        <v>300</v>
      </c>
      <c r="F13" s="22">
        <f>GRAFICA_47!H35</f>
        <v>250</v>
      </c>
      <c r="G13" s="9">
        <f t="shared" si="0"/>
        <v>300</v>
      </c>
      <c r="H13" s="9">
        <f t="shared" si="1"/>
        <v>250</v>
      </c>
      <c r="I13" s="9">
        <f t="shared" si="2"/>
        <v>390.51248379533274</v>
      </c>
      <c r="J13" s="92">
        <f t="shared" si="3"/>
        <v>0.76822127959737585</v>
      </c>
      <c r="K13" s="92">
        <f t="shared" si="4"/>
        <v>0.64018439966447982</v>
      </c>
      <c r="L13" s="22">
        <f>GRAFICA_47!N35</f>
        <v>12</v>
      </c>
      <c r="M13" s="22">
        <f>GRAFICA_47!O35</f>
        <v>2100000</v>
      </c>
      <c r="N13" s="6">
        <f t="shared" si="5"/>
        <v>64530.587486179567</v>
      </c>
    </row>
    <row r="14" spans="2:14" ht="19.05" customHeight="1" x14ac:dyDescent="0.3">
      <c r="B14" s="60">
        <v>9</v>
      </c>
      <c r="C14" s="22">
        <f>GRAFICA_47!E36</f>
        <v>0</v>
      </c>
      <c r="D14" s="22">
        <f>GRAFICA_47!F36</f>
        <v>250</v>
      </c>
      <c r="E14" s="22">
        <f>GRAFICA_47!G36</f>
        <v>300</v>
      </c>
      <c r="F14" s="22">
        <f>GRAFICA_47!H36</f>
        <v>0</v>
      </c>
      <c r="G14" s="9">
        <f t="shared" si="0"/>
        <v>300</v>
      </c>
      <c r="H14" s="9">
        <f t="shared" si="1"/>
        <v>-250</v>
      </c>
      <c r="I14" s="9">
        <f t="shared" si="2"/>
        <v>390.51248379533274</v>
      </c>
      <c r="J14" s="92">
        <f t="shared" si="3"/>
        <v>0.76822127959737585</v>
      </c>
      <c r="K14" s="92">
        <f t="shared" si="4"/>
        <v>-0.64018439966447982</v>
      </c>
      <c r="L14" s="22">
        <f>GRAFICA_47!N36</f>
        <v>12</v>
      </c>
      <c r="M14" s="22">
        <f>GRAFICA_47!O36</f>
        <v>2100000</v>
      </c>
      <c r="N14" s="6">
        <f t="shared" si="5"/>
        <v>64530.587486179567</v>
      </c>
    </row>
    <row r="15" spans="2:14" ht="19.05" customHeight="1" x14ac:dyDescent="0.3">
      <c r="B15" s="67">
        <v>10</v>
      </c>
      <c r="C15" s="22">
        <f>GRAFICA_47!E37</f>
        <v>300</v>
      </c>
      <c r="D15" s="22">
        <f>GRAFICA_47!F37</f>
        <v>0</v>
      </c>
      <c r="E15" s="22">
        <f>GRAFICA_47!G37</f>
        <v>600</v>
      </c>
      <c r="F15" s="22">
        <f>GRAFICA_47!H37</f>
        <v>250</v>
      </c>
      <c r="G15" s="9">
        <f t="shared" si="0"/>
        <v>300</v>
      </c>
      <c r="H15" s="9">
        <f t="shared" si="1"/>
        <v>250</v>
      </c>
      <c r="I15" s="9">
        <f t="shared" si="2"/>
        <v>390.51248379533274</v>
      </c>
      <c r="J15" s="92">
        <f t="shared" si="3"/>
        <v>0.76822127959737585</v>
      </c>
      <c r="K15" s="92">
        <f t="shared" si="4"/>
        <v>0.64018439966447982</v>
      </c>
      <c r="L15" s="22">
        <f>GRAFICA_47!N37</f>
        <v>12</v>
      </c>
      <c r="M15" s="22">
        <f>GRAFICA_47!O37</f>
        <v>2100000</v>
      </c>
      <c r="N15" s="6">
        <f t="shared" si="5"/>
        <v>64530.587486179567</v>
      </c>
    </row>
    <row r="16" spans="2:14" ht="19.05" customHeight="1" x14ac:dyDescent="0.3">
      <c r="B16" s="68">
        <v>11</v>
      </c>
      <c r="C16" s="22">
        <f>GRAFICA_47!E38</f>
        <v>300</v>
      </c>
      <c r="D16" s="22">
        <f>GRAFICA_47!F38</f>
        <v>250</v>
      </c>
      <c r="E16" s="22">
        <f>GRAFICA_47!G38</f>
        <v>600</v>
      </c>
      <c r="F16" s="22">
        <f>GRAFICA_47!H38</f>
        <v>0</v>
      </c>
      <c r="G16" s="9">
        <f t="shared" si="0"/>
        <v>300</v>
      </c>
      <c r="H16" s="9">
        <f t="shared" si="1"/>
        <v>-250</v>
      </c>
      <c r="I16" s="9">
        <f t="shared" si="2"/>
        <v>390.51248379533274</v>
      </c>
      <c r="J16" s="92">
        <f t="shared" si="3"/>
        <v>0.76822127959737585</v>
      </c>
      <c r="K16" s="92">
        <f t="shared" si="4"/>
        <v>-0.64018439966447982</v>
      </c>
      <c r="L16" s="22">
        <f>GRAFICA_47!N38</f>
        <v>12</v>
      </c>
      <c r="M16" s="22">
        <f>GRAFICA_47!O38</f>
        <v>2100000</v>
      </c>
      <c r="N16" s="6">
        <f t="shared" si="5"/>
        <v>64530.587486179567</v>
      </c>
    </row>
    <row r="17" spans="2:14" ht="19.05" customHeight="1" x14ac:dyDescent="0.3">
      <c r="B17" s="10">
        <v>12</v>
      </c>
      <c r="C17" s="22">
        <f>GRAFICA_47!E39</f>
        <v>0</v>
      </c>
      <c r="D17" s="22">
        <f>GRAFICA_47!F39</f>
        <v>0</v>
      </c>
      <c r="E17" s="22">
        <f>GRAFICA_47!G39</f>
        <v>600</v>
      </c>
      <c r="F17" s="22">
        <f>GRAFICA_47!H39</f>
        <v>250</v>
      </c>
      <c r="G17" s="9">
        <f t="shared" si="0"/>
        <v>600</v>
      </c>
      <c r="H17" s="9">
        <f t="shared" si="1"/>
        <v>250</v>
      </c>
      <c r="I17" s="9">
        <f t="shared" si="2"/>
        <v>650</v>
      </c>
      <c r="J17" s="92">
        <f t="shared" si="3"/>
        <v>0.92307692307692313</v>
      </c>
      <c r="K17" s="92">
        <f t="shared" si="4"/>
        <v>0.38461538461538464</v>
      </c>
      <c r="L17" s="22">
        <f>GRAFICA_47!N39</f>
        <v>12</v>
      </c>
      <c r="M17" s="22">
        <f>GRAFICA_47!O39</f>
        <v>2100000</v>
      </c>
      <c r="N17" s="6">
        <f t="shared" si="5"/>
        <v>38769.230769230766</v>
      </c>
    </row>
    <row r="19" spans="2:14" ht="18" customHeight="1" x14ac:dyDescent="0.3">
      <c r="B19" s="202" t="s">
        <v>145</v>
      </c>
      <c r="C19" s="202" t="s">
        <v>369</v>
      </c>
      <c r="D19" s="173"/>
      <c r="E19" s="202" t="s">
        <v>370</v>
      </c>
      <c r="F19" s="173"/>
    </row>
    <row r="20" spans="2:14" ht="18" customHeight="1" x14ac:dyDescent="0.3">
      <c r="B20" s="203"/>
      <c r="C20" s="81" t="s">
        <v>157</v>
      </c>
      <c r="D20" s="81" t="s">
        <v>158</v>
      </c>
      <c r="E20" s="81" t="s">
        <v>157</v>
      </c>
      <c r="F20" s="81" t="s">
        <v>158</v>
      </c>
    </row>
    <row r="21" spans="2:14" ht="19.05" customHeight="1" x14ac:dyDescent="0.3">
      <c r="B21" s="85">
        <v>1</v>
      </c>
      <c r="C21" s="23">
        <f>GRAFICA_47!C28</f>
        <v>1</v>
      </c>
      <c r="D21" s="23">
        <f>GRAFICA_47!C28</f>
        <v>1</v>
      </c>
      <c r="E21" s="23">
        <f>GRAFICA_47!D28</f>
        <v>2</v>
      </c>
      <c r="F21" s="23">
        <f>GRAFICA_47!D28</f>
        <v>2</v>
      </c>
    </row>
    <row r="22" spans="2:14" ht="19.05" customHeight="1" x14ac:dyDescent="0.3">
      <c r="B22" s="25">
        <v>2</v>
      </c>
      <c r="C22" s="23">
        <f>GRAFICA_47!C29</f>
        <v>2</v>
      </c>
      <c r="D22" s="23">
        <f>GRAFICA_47!C29</f>
        <v>2</v>
      </c>
      <c r="E22" s="23">
        <f>GRAFICA_47!D29</f>
        <v>3</v>
      </c>
      <c r="F22" s="23">
        <f>GRAFICA_47!D29</f>
        <v>3</v>
      </c>
    </row>
    <row r="23" spans="2:14" ht="19.05" customHeight="1" x14ac:dyDescent="0.3">
      <c r="B23" s="26">
        <v>3</v>
      </c>
      <c r="C23" s="23">
        <f>GRAFICA_47!C30</f>
        <v>4</v>
      </c>
      <c r="D23" s="23">
        <f>GRAFICA_47!C30</f>
        <v>4</v>
      </c>
      <c r="E23" s="23">
        <f>GRAFICA_47!D30</f>
        <v>5</v>
      </c>
      <c r="F23" s="23">
        <f>GRAFICA_47!D30</f>
        <v>5</v>
      </c>
    </row>
    <row r="24" spans="2:14" ht="19.05" customHeight="1" x14ac:dyDescent="0.3">
      <c r="B24" s="43">
        <v>4</v>
      </c>
      <c r="C24" s="23">
        <f>GRAFICA_47!C31</f>
        <v>5</v>
      </c>
      <c r="D24" s="23">
        <f>GRAFICA_47!C31</f>
        <v>5</v>
      </c>
      <c r="E24" s="23">
        <f>GRAFICA_47!D31</f>
        <v>6</v>
      </c>
      <c r="F24" s="23">
        <f>GRAFICA_47!D31</f>
        <v>6</v>
      </c>
    </row>
    <row r="25" spans="2:14" ht="19.05" customHeight="1" x14ac:dyDescent="0.3">
      <c r="B25" s="44">
        <v>5</v>
      </c>
      <c r="C25" s="23">
        <f>GRAFICA_47!C32</f>
        <v>1</v>
      </c>
      <c r="D25" s="23">
        <f>GRAFICA_47!C32</f>
        <v>1</v>
      </c>
      <c r="E25" s="23">
        <f>GRAFICA_47!D32</f>
        <v>4</v>
      </c>
      <c r="F25" s="23">
        <f>GRAFICA_47!D32</f>
        <v>4</v>
      </c>
    </row>
    <row r="26" spans="2:14" ht="19.05" customHeight="1" x14ac:dyDescent="0.3">
      <c r="B26" s="51">
        <v>6</v>
      </c>
      <c r="C26" s="23">
        <f>GRAFICA_47!C33</f>
        <v>2</v>
      </c>
      <c r="D26" s="23">
        <f>GRAFICA_47!C33</f>
        <v>2</v>
      </c>
      <c r="E26" s="23">
        <f>GRAFICA_47!D33</f>
        <v>5</v>
      </c>
      <c r="F26" s="23">
        <f>GRAFICA_47!D33</f>
        <v>5</v>
      </c>
    </row>
    <row r="27" spans="2:14" ht="19.05" customHeight="1" x14ac:dyDescent="0.3">
      <c r="B27" s="52">
        <v>7</v>
      </c>
      <c r="C27" s="23">
        <f>GRAFICA_47!C34</f>
        <v>3</v>
      </c>
      <c r="D27" s="23">
        <f>GRAFICA_47!C34</f>
        <v>3</v>
      </c>
      <c r="E27" s="23">
        <f>GRAFICA_47!D34</f>
        <v>6</v>
      </c>
      <c r="F27" s="23">
        <f>GRAFICA_47!D34</f>
        <v>6</v>
      </c>
    </row>
    <row r="28" spans="2:14" ht="19.05" customHeight="1" x14ac:dyDescent="0.3">
      <c r="B28" s="59">
        <v>8</v>
      </c>
      <c r="C28" s="23">
        <f>GRAFICA_47!C35</f>
        <v>1</v>
      </c>
      <c r="D28" s="23">
        <f>GRAFICA_47!C35</f>
        <v>1</v>
      </c>
      <c r="E28" s="23">
        <f>GRAFICA_47!D35</f>
        <v>5</v>
      </c>
      <c r="F28" s="23">
        <f>GRAFICA_47!D35</f>
        <v>5</v>
      </c>
    </row>
    <row r="29" spans="2:14" ht="19.05" customHeight="1" x14ac:dyDescent="0.3">
      <c r="B29" s="60">
        <v>9</v>
      </c>
      <c r="C29" s="23">
        <f>GRAFICA_47!C36</f>
        <v>4</v>
      </c>
      <c r="D29" s="23">
        <f>GRAFICA_47!C36</f>
        <v>4</v>
      </c>
      <c r="E29" s="23">
        <f>GRAFICA_47!D36</f>
        <v>2</v>
      </c>
      <c r="F29" s="23">
        <f>GRAFICA_47!D36</f>
        <v>2</v>
      </c>
    </row>
    <row r="30" spans="2:14" ht="19.05" customHeight="1" x14ac:dyDescent="0.3">
      <c r="B30" s="67">
        <v>10</v>
      </c>
      <c r="C30" s="23">
        <f>GRAFICA_47!C37</f>
        <v>2</v>
      </c>
      <c r="D30" s="23">
        <f>GRAFICA_47!C37</f>
        <v>2</v>
      </c>
      <c r="E30" s="23">
        <f>GRAFICA_47!D37</f>
        <v>6</v>
      </c>
      <c r="F30" s="23">
        <f>GRAFICA_47!D37</f>
        <v>6</v>
      </c>
    </row>
    <row r="31" spans="2:14" ht="19.05" customHeight="1" x14ac:dyDescent="0.3">
      <c r="B31" s="68">
        <v>11</v>
      </c>
      <c r="C31" s="23">
        <f>GRAFICA_47!C38</f>
        <v>5</v>
      </c>
      <c r="D31" s="23">
        <f>GRAFICA_47!C38</f>
        <v>5</v>
      </c>
      <c r="E31" s="23">
        <f>GRAFICA_47!D38</f>
        <v>3</v>
      </c>
      <c r="F31" s="23">
        <f>GRAFICA_47!D38</f>
        <v>3</v>
      </c>
    </row>
    <row r="32" spans="2:14" ht="19.05" customHeight="1" x14ac:dyDescent="0.3">
      <c r="B32" s="10">
        <v>12</v>
      </c>
      <c r="C32" s="23">
        <f>GRAFICA_47!C39</f>
        <v>1</v>
      </c>
      <c r="D32" s="23">
        <f>GRAFICA_47!C39</f>
        <v>1</v>
      </c>
      <c r="E32" s="23">
        <f>GRAFICA_47!D39</f>
        <v>6</v>
      </c>
      <c r="F32" s="23">
        <f>GRAFICA_47!D39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84000</v>
      </c>
      <c r="C36" s="7">
        <f>J6*K6*N6</f>
        <v>0</v>
      </c>
      <c r="D36" s="7">
        <f>-B36</f>
        <v>-84000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-84000</v>
      </c>
      <c r="C38" s="7">
        <f>E36</f>
        <v>0</v>
      </c>
      <c r="D38" s="7">
        <f>B36</f>
        <v>84000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84000</v>
      </c>
      <c r="C42" s="8">
        <f t="shared" si="6"/>
        <v>0</v>
      </c>
      <c r="D42" s="8">
        <f t="shared" si="6"/>
        <v>-84000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-84000</v>
      </c>
      <c r="C44" s="8">
        <f t="shared" si="6"/>
        <v>0</v>
      </c>
      <c r="D44" s="8">
        <f t="shared" si="6"/>
        <v>84000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84000</v>
      </c>
      <c r="C57" s="30">
        <f>J7*K7*N7</f>
        <v>0</v>
      </c>
      <c r="D57" s="30">
        <f>-B57</f>
        <v>-84000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-84000</v>
      </c>
      <c r="C59" s="30">
        <f>E57</f>
        <v>0</v>
      </c>
      <c r="D59" s="30">
        <f>B57</f>
        <v>84000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84000</v>
      </c>
      <c r="E65" s="31">
        <f t="shared" si="7"/>
        <v>0</v>
      </c>
      <c r="F65" s="31">
        <f t="shared" si="7"/>
        <v>-84000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-84000</v>
      </c>
      <c r="E67" s="31">
        <f t="shared" si="7"/>
        <v>0</v>
      </c>
      <c r="F67" s="31">
        <f t="shared" si="7"/>
        <v>84000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84000</v>
      </c>
      <c r="C78" s="33">
        <f>J8*K8*N8</f>
        <v>0</v>
      </c>
      <c r="D78" s="33">
        <f>-B78</f>
        <v>-84000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-84000</v>
      </c>
      <c r="C80" s="33">
        <f>E78</f>
        <v>0</v>
      </c>
      <c r="D80" s="33">
        <f>B78</f>
        <v>84000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84000</v>
      </c>
      <c r="I90" s="34">
        <f t="shared" si="8"/>
        <v>0</v>
      </c>
      <c r="J90" s="34">
        <f t="shared" si="8"/>
        <v>-84000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-84000</v>
      </c>
      <c r="I92" s="34">
        <f t="shared" si="8"/>
        <v>0</v>
      </c>
      <c r="J92" s="34">
        <f t="shared" si="8"/>
        <v>84000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84000</v>
      </c>
      <c r="C99" s="46">
        <f>J9*K9*N9</f>
        <v>0</v>
      </c>
      <c r="D99" s="46">
        <f>-B99</f>
        <v>-84000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-84000</v>
      </c>
      <c r="C101" s="46">
        <f>E99</f>
        <v>0</v>
      </c>
      <c r="D101" s="46">
        <f>B99</f>
        <v>84000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84000</v>
      </c>
      <c r="K113" s="47">
        <f t="shared" si="9"/>
        <v>0</v>
      </c>
      <c r="L113" s="47">
        <f t="shared" si="9"/>
        <v>-84000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-84000</v>
      </c>
      <c r="K115" s="47">
        <f t="shared" si="9"/>
        <v>0</v>
      </c>
      <c r="L115" s="47">
        <f t="shared" si="9"/>
        <v>84000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100800</v>
      </c>
      <c r="D121" s="49">
        <f>-B121</f>
        <v>0</v>
      </c>
      <c r="E121" s="49">
        <f>-C121</f>
        <v>-100800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-100800</v>
      </c>
      <c r="D123" s="49">
        <f>B121</f>
        <v>0</v>
      </c>
      <c r="E123" s="49">
        <f>C121</f>
        <v>100800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100800</v>
      </c>
      <c r="D127" s="9">
        <f t="shared" si="10"/>
        <v>0</v>
      </c>
      <c r="E127" s="9">
        <f t="shared" si="10"/>
        <v>0</v>
      </c>
      <c r="F127" s="9">
        <f t="shared" si="10"/>
        <v>0</v>
      </c>
      <c r="G127" s="9">
        <f t="shared" si="10"/>
        <v>0</v>
      </c>
      <c r="H127" s="50">
        <f t="shared" si="10"/>
        <v>0</v>
      </c>
      <c r="I127" s="50">
        <f t="shared" si="10"/>
        <v>-100800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-100800</v>
      </c>
      <c r="D133" s="9">
        <f t="shared" si="10"/>
        <v>0</v>
      </c>
      <c r="E133" s="9">
        <f t="shared" si="10"/>
        <v>0</v>
      </c>
      <c r="F133" s="9">
        <f t="shared" si="10"/>
        <v>0</v>
      </c>
      <c r="G133" s="9">
        <f t="shared" si="10"/>
        <v>0</v>
      </c>
      <c r="H133" s="50">
        <f t="shared" si="10"/>
        <v>0</v>
      </c>
      <c r="I133" s="50">
        <f t="shared" si="10"/>
        <v>100800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100800</v>
      </c>
      <c r="D142" s="54">
        <f>-B142</f>
        <v>0</v>
      </c>
      <c r="E142" s="54">
        <f>-C142</f>
        <v>-100800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-100800</v>
      </c>
      <c r="D144" s="54">
        <f>B142</f>
        <v>0</v>
      </c>
      <c r="E144" s="54">
        <f>C142</f>
        <v>100800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100800</v>
      </c>
      <c r="F150" s="9">
        <f t="shared" si="11"/>
        <v>0</v>
      </c>
      <c r="G150" s="9">
        <f t="shared" si="11"/>
        <v>0</v>
      </c>
      <c r="H150" s="9">
        <f t="shared" si="11"/>
        <v>0</v>
      </c>
      <c r="I150" s="9">
        <f t="shared" si="11"/>
        <v>0</v>
      </c>
      <c r="J150" s="55">
        <f t="shared" si="11"/>
        <v>0</v>
      </c>
      <c r="K150" s="55">
        <f t="shared" si="11"/>
        <v>-100800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-100800</v>
      </c>
      <c r="F156" s="9">
        <f t="shared" si="11"/>
        <v>0</v>
      </c>
      <c r="G156" s="9">
        <f t="shared" si="11"/>
        <v>0</v>
      </c>
      <c r="H156" s="9">
        <f t="shared" si="11"/>
        <v>0</v>
      </c>
      <c r="I156" s="9">
        <f t="shared" si="11"/>
        <v>0</v>
      </c>
      <c r="J156" s="55">
        <f t="shared" si="11"/>
        <v>0</v>
      </c>
      <c r="K156" s="55">
        <f t="shared" si="11"/>
        <v>100800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100800</v>
      </c>
      <c r="D163" s="57">
        <f>-B163</f>
        <v>0</v>
      </c>
      <c r="E163" s="57">
        <f>-C163</f>
        <v>-100800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-100800</v>
      </c>
      <c r="D165" s="57">
        <f>B163</f>
        <v>0</v>
      </c>
      <c r="E165" s="57">
        <f>C163</f>
        <v>100800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100800</v>
      </c>
      <c r="H173" s="9">
        <f t="shared" si="12"/>
        <v>0</v>
      </c>
      <c r="I173" s="9">
        <f t="shared" si="12"/>
        <v>0</v>
      </c>
      <c r="J173" s="9">
        <f t="shared" si="12"/>
        <v>0</v>
      </c>
      <c r="K173" s="9">
        <f t="shared" si="12"/>
        <v>0</v>
      </c>
      <c r="L173" s="58">
        <f t="shared" si="12"/>
        <v>0</v>
      </c>
      <c r="M173" s="58">
        <f t="shared" si="12"/>
        <v>-100800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-100800</v>
      </c>
      <c r="H179" s="9">
        <f t="shared" si="12"/>
        <v>0</v>
      </c>
      <c r="I179" s="9">
        <f t="shared" si="12"/>
        <v>0</v>
      </c>
      <c r="J179" s="9">
        <f t="shared" si="12"/>
        <v>0</v>
      </c>
      <c r="K179" s="9">
        <f t="shared" si="12"/>
        <v>0</v>
      </c>
      <c r="L179" s="58">
        <f t="shared" si="12"/>
        <v>0</v>
      </c>
      <c r="M179" s="58">
        <f t="shared" si="12"/>
        <v>100800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38083.625401679747</v>
      </c>
      <c r="C183" s="62">
        <f>J13*K13*N13</f>
        <v>31736.354501399786</v>
      </c>
      <c r="D183" s="62">
        <f>-B183</f>
        <v>-38083.625401679747</v>
      </c>
      <c r="E183" s="62">
        <f>-C183</f>
        <v>-31736.354501399786</v>
      </c>
      <c r="F183" s="61" t="str">
        <f>B182</f>
        <v>U1X</v>
      </c>
    </row>
    <row r="184" spans="1:14" ht="16.8" customHeight="1" x14ac:dyDescent="0.3">
      <c r="A184" s="28" t="s">
        <v>203</v>
      </c>
      <c r="B184" s="62">
        <f>C183</f>
        <v>31736.354501399786</v>
      </c>
      <c r="C184" s="62">
        <f>K13*K13*N13</f>
        <v>26446.962084499821</v>
      </c>
      <c r="D184" s="62">
        <f>-B184</f>
        <v>-31736.354501399786</v>
      </c>
      <c r="E184" s="62">
        <f>-C184</f>
        <v>-26446.962084499821</v>
      </c>
      <c r="F184" s="61" t="str">
        <f>C182</f>
        <v>U1Y</v>
      </c>
    </row>
    <row r="185" spans="1:14" x14ac:dyDescent="0.3">
      <c r="B185" s="62">
        <f>D183</f>
        <v>-38083.625401679747</v>
      </c>
      <c r="C185" s="62">
        <f>E183</f>
        <v>-31736.354501399786</v>
      </c>
      <c r="D185" s="62">
        <f>B183</f>
        <v>38083.625401679747</v>
      </c>
      <c r="E185" s="62">
        <f>C183</f>
        <v>31736.354501399786</v>
      </c>
      <c r="F185" s="61" t="str">
        <f>D182</f>
        <v>U5X</v>
      </c>
    </row>
    <row r="186" spans="1:14" x14ac:dyDescent="0.3">
      <c r="B186" s="62">
        <f>D184</f>
        <v>-31736.354501399786</v>
      </c>
      <c r="C186" s="62">
        <f>E184</f>
        <v>-26446.962084499821</v>
      </c>
      <c r="D186" s="62">
        <f>B184</f>
        <v>31736.354501399786</v>
      </c>
      <c r="E186" s="62">
        <f>C184</f>
        <v>26446.962084499821</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38083.625401679747</v>
      </c>
      <c r="C189" s="63">
        <f t="shared" si="13"/>
        <v>31736.354501399786</v>
      </c>
      <c r="D189" s="9">
        <f t="shared" si="13"/>
        <v>0</v>
      </c>
      <c r="E189" s="9">
        <f t="shared" si="13"/>
        <v>0</v>
      </c>
      <c r="F189" s="9">
        <f t="shared" si="13"/>
        <v>0</v>
      </c>
      <c r="G189" s="9">
        <f t="shared" si="13"/>
        <v>0</v>
      </c>
      <c r="H189" s="9">
        <f t="shared" si="13"/>
        <v>0</v>
      </c>
      <c r="I189" s="9">
        <f t="shared" si="13"/>
        <v>0</v>
      </c>
      <c r="J189" s="63">
        <f t="shared" si="13"/>
        <v>-38083.625401679747</v>
      </c>
      <c r="K189" s="63">
        <f t="shared" si="13"/>
        <v>-31736.354501399786</v>
      </c>
      <c r="L189" s="9">
        <f t="shared" si="13"/>
        <v>0</v>
      </c>
      <c r="M189" s="9">
        <f t="shared" si="13"/>
        <v>0</v>
      </c>
      <c r="N189" s="61" t="s">
        <v>178</v>
      </c>
    </row>
    <row r="190" spans="1:14" ht="19.05" customHeight="1" x14ac:dyDescent="0.3">
      <c r="B190" s="63">
        <f t="shared" si="13"/>
        <v>31736.354501399786</v>
      </c>
      <c r="C190" s="63">
        <f t="shared" si="13"/>
        <v>26446.962084499821</v>
      </c>
      <c r="D190" s="9">
        <f t="shared" si="13"/>
        <v>0</v>
      </c>
      <c r="E190" s="9">
        <f t="shared" si="13"/>
        <v>0</v>
      </c>
      <c r="F190" s="9">
        <f t="shared" si="13"/>
        <v>0</v>
      </c>
      <c r="G190" s="9">
        <f t="shared" si="13"/>
        <v>0</v>
      </c>
      <c r="H190" s="9">
        <f t="shared" si="13"/>
        <v>0</v>
      </c>
      <c r="I190" s="9">
        <f t="shared" si="13"/>
        <v>0</v>
      </c>
      <c r="J190" s="63">
        <f t="shared" si="13"/>
        <v>-31736.354501399786</v>
      </c>
      <c r="K190" s="63">
        <f t="shared" si="13"/>
        <v>-26446.962084499821</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-38083.625401679747</v>
      </c>
      <c r="C197" s="63">
        <f t="shared" si="13"/>
        <v>-31736.354501399786</v>
      </c>
      <c r="D197" s="9">
        <f t="shared" si="13"/>
        <v>0</v>
      </c>
      <c r="E197" s="9">
        <f t="shared" si="13"/>
        <v>0</v>
      </c>
      <c r="F197" s="9">
        <f t="shared" si="13"/>
        <v>0</v>
      </c>
      <c r="G197" s="9">
        <f t="shared" si="13"/>
        <v>0</v>
      </c>
      <c r="H197" s="9">
        <f t="shared" si="13"/>
        <v>0</v>
      </c>
      <c r="I197" s="9">
        <f t="shared" si="13"/>
        <v>0</v>
      </c>
      <c r="J197" s="63">
        <f t="shared" si="13"/>
        <v>38083.625401679747</v>
      </c>
      <c r="K197" s="63">
        <f t="shared" si="13"/>
        <v>31736.354501399786</v>
      </c>
      <c r="L197" s="9">
        <f t="shared" si="13"/>
        <v>0</v>
      </c>
      <c r="M197" s="9">
        <f t="shared" si="13"/>
        <v>0</v>
      </c>
      <c r="N197" s="61" t="s">
        <v>186</v>
      </c>
    </row>
    <row r="198" spans="1:14" ht="19.05" customHeight="1" x14ac:dyDescent="0.3">
      <c r="B198" s="63">
        <f t="shared" si="13"/>
        <v>-31736.354501399786</v>
      </c>
      <c r="C198" s="63">
        <f t="shared" si="13"/>
        <v>-26446.962084499821</v>
      </c>
      <c r="D198" s="9">
        <f t="shared" si="13"/>
        <v>0</v>
      </c>
      <c r="E198" s="9">
        <f t="shared" si="13"/>
        <v>0</v>
      </c>
      <c r="F198" s="9">
        <f t="shared" si="13"/>
        <v>0</v>
      </c>
      <c r="G198" s="9">
        <f t="shared" si="13"/>
        <v>0</v>
      </c>
      <c r="H198" s="9">
        <f t="shared" si="13"/>
        <v>0</v>
      </c>
      <c r="I198" s="9">
        <f t="shared" si="13"/>
        <v>0</v>
      </c>
      <c r="J198" s="63">
        <f t="shared" si="13"/>
        <v>31736.354501399786</v>
      </c>
      <c r="K198" s="63">
        <f t="shared" si="13"/>
        <v>26446.962084499821</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38083.625401679747</v>
      </c>
      <c r="C204" s="65">
        <f>J14*K14*N14</f>
        <v>-31736.354501399786</v>
      </c>
      <c r="D204" s="65">
        <f>-B204</f>
        <v>-38083.625401679747</v>
      </c>
      <c r="E204" s="65">
        <f>-C204</f>
        <v>31736.354501399786</v>
      </c>
      <c r="F204" s="64" t="str">
        <f>B203</f>
        <v>U4X</v>
      </c>
    </row>
    <row r="205" spans="1:14" ht="16.8" customHeight="1" x14ac:dyDescent="0.3">
      <c r="A205" s="28" t="s">
        <v>528</v>
      </c>
      <c r="B205" s="65">
        <f>C204</f>
        <v>-31736.354501399786</v>
      </c>
      <c r="C205" s="65">
        <f>K14*K14*N14</f>
        <v>26446.962084499821</v>
      </c>
      <c r="D205" s="65">
        <f>-B205</f>
        <v>31736.354501399786</v>
      </c>
      <c r="E205" s="65">
        <f>-C205</f>
        <v>-26446.962084499821</v>
      </c>
      <c r="F205" s="64" t="str">
        <f>C203</f>
        <v>U4Y</v>
      </c>
    </row>
    <row r="206" spans="1:14" x14ac:dyDescent="0.3">
      <c r="B206" s="65">
        <f>D204</f>
        <v>-38083.625401679747</v>
      </c>
      <c r="C206" s="65">
        <f>E204</f>
        <v>31736.354501399786</v>
      </c>
      <c r="D206" s="65">
        <f>B204</f>
        <v>38083.625401679747</v>
      </c>
      <c r="E206" s="65">
        <f>C204</f>
        <v>-31736.354501399786</v>
      </c>
      <c r="F206" s="64" t="str">
        <f>D203</f>
        <v>U2X</v>
      </c>
    </row>
    <row r="207" spans="1:14" x14ac:dyDescent="0.3">
      <c r="B207" s="65">
        <f>D205</f>
        <v>31736.354501399786</v>
      </c>
      <c r="C207" s="65">
        <f>E205</f>
        <v>-26446.962084499821</v>
      </c>
      <c r="D207" s="65">
        <f>B205</f>
        <v>-31736.354501399786</v>
      </c>
      <c r="E207" s="65">
        <f>C205</f>
        <v>26446.962084499821</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38083.625401679747</v>
      </c>
      <c r="E212" s="66">
        <f t="shared" si="14"/>
        <v>-31736.354501399786</v>
      </c>
      <c r="F212" s="9">
        <f t="shared" si="14"/>
        <v>0</v>
      </c>
      <c r="G212" s="9">
        <f t="shared" si="14"/>
        <v>0</v>
      </c>
      <c r="H212" s="66">
        <f t="shared" si="14"/>
        <v>-38083.625401679747</v>
      </c>
      <c r="I212" s="66">
        <f t="shared" si="14"/>
        <v>31736.354501399786</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-31736.354501399786</v>
      </c>
      <c r="E213" s="66">
        <f t="shared" si="14"/>
        <v>26446.962084499821</v>
      </c>
      <c r="F213" s="9">
        <f t="shared" si="14"/>
        <v>0</v>
      </c>
      <c r="G213" s="9">
        <f t="shared" si="14"/>
        <v>0</v>
      </c>
      <c r="H213" s="66">
        <f t="shared" si="14"/>
        <v>31736.354501399786</v>
      </c>
      <c r="I213" s="66">
        <f t="shared" si="14"/>
        <v>-26446.962084499821</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-38083.625401679747</v>
      </c>
      <c r="E216" s="66">
        <f t="shared" si="14"/>
        <v>31736.354501399786</v>
      </c>
      <c r="F216" s="9">
        <f t="shared" si="14"/>
        <v>0</v>
      </c>
      <c r="G216" s="9">
        <f t="shared" si="14"/>
        <v>0</v>
      </c>
      <c r="H216" s="66">
        <f t="shared" si="14"/>
        <v>38083.625401679747</v>
      </c>
      <c r="I216" s="66">
        <f t="shared" si="14"/>
        <v>-31736.354501399786</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31736.354501399786</v>
      </c>
      <c r="E217" s="66">
        <f t="shared" si="14"/>
        <v>-26446.962084499821</v>
      </c>
      <c r="F217" s="9">
        <f t="shared" si="14"/>
        <v>0</v>
      </c>
      <c r="G217" s="9">
        <f t="shared" si="14"/>
        <v>0</v>
      </c>
      <c r="H217" s="66">
        <f t="shared" si="14"/>
        <v>-31736.354501399786</v>
      </c>
      <c r="I217" s="66">
        <f t="shared" si="14"/>
        <v>26446.962084499821</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38083.625401679747</v>
      </c>
      <c r="C225" s="70">
        <f>J15*K15*N15</f>
        <v>31736.354501399786</v>
      </c>
      <c r="D225" s="70">
        <f>-B225</f>
        <v>-38083.625401679747</v>
      </c>
      <c r="E225" s="70">
        <f>-C225</f>
        <v>-31736.354501399786</v>
      </c>
      <c r="F225" s="69" t="str">
        <f>B224</f>
        <v>U2X</v>
      </c>
    </row>
    <row r="226" spans="1:14" ht="16.8" customHeight="1" x14ac:dyDescent="0.3">
      <c r="A226" s="28" t="s">
        <v>581</v>
      </c>
      <c r="B226" s="70">
        <f>C225</f>
        <v>31736.354501399786</v>
      </c>
      <c r="C226" s="70">
        <f>K15*K15*N15</f>
        <v>26446.962084499821</v>
      </c>
      <c r="D226" s="70">
        <f>-B226</f>
        <v>-31736.354501399786</v>
      </c>
      <c r="E226" s="70">
        <f>-C226</f>
        <v>-26446.962084499821</v>
      </c>
      <c r="F226" s="69" t="str">
        <f>C224</f>
        <v>U2Y</v>
      </c>
    </row>
    <row r="227" spans="1:14" x14ac:dyDescent="0.3">
      <c r="B227" s="70">
        <f>D225</f>
        <v>-38083.625401679747</v>
      </c>
      <c r="C227" s="70">
        <f>E225</f>
        <v>-31736.354501399786</v>
      </c>
      <c r="D227" s="70">
        <f>B225</f>
        <v>38083.625401679747</v>
      </c>
      <c r="E227" s="70">
        <f>C225</f>
        <v>31736.354501399786</v>
      </c>
      <c r="F227" s="69" t="str">
        <f>D224</f>
        <v>U6X</v>
      </c>
    </row>
    <row r="228" spans="1:14" x14ac:dyDescent="0.3">
      <c r="B228" s="70">
        <f>D226</f>
        <v>-31736.354501399786</v>
      </c>
      <c r="C228" s="70">
        <f>E226</f>
        <v>-26446.962084499821</v>
      </c>
      <c r="D228" s="70">
        <f>B226</f>
        <v>31736.354501399786</v>
      </c>
      <c r="E228" s="70">
        <f>C226</f>
        <v>26446.962084499821</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38083.625401679747</v>
      </c>
      <c r="E233" s="71">
        <f t="shared" si="15"/>
        <v>31736.354501399786</v>
      </c>
      <c r="F233" s="9">
        <f t="shared" si="15"/>
        <v>0</v>
      </c>
      <c r="G233" s="9">
        <f t="shared" si="15"/>
        <v>0</v>
      </c>
      <c r="H233" s="9">
        <f t="shared" si="15"/>
        <v>0</v>
      </c>
      <c r="I233" s="9">
        <f t="shared" si="15"/>
        <v>0</v>
      </c>
      <c r="J233" s="9">
        <f t="shared" si="15"/>
        <v>0</v>
      </c>
      <c r="K233" s="9">
        <f t="shared" si="15"/>
        <v>0</v>
      </c>
      <c r="L233" s="71">
        <f t="shared" si="15"/>
        <v>-38083.625401679747</v>
      </c>
      <c r="M233" s="71">
        <f t="shared" si="15"/>
        <v>-31736.354501399786</v>
      </c>
      <c r="N233" s="69" t="s">
        <v>180</v>
      </c>
    </row>
    <row r="234" spans="1:14" ht="19.05" customHeight="1" x14ac:dyDescent="0.3">
      <c r="B234" s="9">
        <f t="shared" si="15"/>
        <v>0</v>
      </c>
      <c r="C234" s="9">
        <f t="shared" si="15"/>
        <v>0</v>
      </c>
      <c r="D234" s="71">
        <f t="shared" si="15"/>
        <v>31736.354501399786</v>
      </c>
      <c r="E234" s="71">
        <f t="shared" si="15"/>
        <v>26446.962084499821</v>
      </c>
      <c r="F234" s="9">
        <f t="shared" si="15"/>
        <v>0</v>
      </c>
      <c r="G234" s="9">
        <f t="shared" si="15"/>
        <v>0</v>
      </c>
      <c r="H234" s="9">
        <f t="shared" si="15"/>
        <v>0</v>
      </c>
      <c r="I234" s="9">
        <f t="shared" si="15"/>
        <v>0</v>
      </c>
      <c r="J234" s="9">
        <f t="shared" si="15"/>
        <v>0</v>
      </c>
      <c r="K234" s="9">
        <f t="shared" si="15"/>
        <v>0</v>
      </c>
      <c r="L234" s="71">
        <f t="shared" si="15"/>
        <v>-31736.354501399786</v>
      </c>
      <c r="M234" s="71">
        <f t="shared" si="15"/>
        <v>-26446.962084499821</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-38083.625401679747</v>
      </c>
      <c r="E241" s="71">
        <f t="shared" si="15"/>
        <v>-31736.354501399786</v>
      </c>
      <c r="F241" s="9">
        <f t="shared" si="15"/>
        <v>0</v>
      </c>
      <c r="G241" s="9">
        <f t="shared" si="15"/>
        <v>0</v>
      </c>
      <c r="H241" s="9">
        <f t="shared" si="15"/>
        <v>0</v>
      </c>
      <c r="I241" s="9">
        <f t="shared" si="15"/>
        <v>0</v>
      </c>
      <c r="J241" s="9">
        <f t="shared" si="15"/>
        <v>0</v>
      </c>
      <c r="K241" s="9">
        <f t="shared" si="15"/>
        <v>0</v>
      </c>
      <c r="L241" s="71">
        <f t="shared" si="15"/>
        <v>38083.625401679747</v>
      </c>
      <c r="M241" s="71">
        <f t="shared" si="15"/>
        <v>31736.354501399786</v>
      </c>
      <c r="N241" s="69" t="s">
        <v>188</v>
      </c>
    </row>
    <row r="242" spans="1:14" ht="19.05" customHeight="1" x14ac:dyDescent="0.3">
      <c r="B242" s="9">
        <f t="shared" si="15"/>
        <v>0</v>
      </c>
      <c r="C242" s="9">
        <f t="shared" si="15"/>
        <v>0</v>
      </c>
      <c r="D242" s="71">
        <f t="shared" si="15"/>
        <v>-31736.354501399786</v>
      </c>
      <c r="E242" s="71">
        <f t="shared" si="15"/>
        <v>-26446.962084499821</v>
      </c>
      <c r="F242" s="9">
        <f t="shared" si="15"/>
        <v>0</v>
      </c>
      <c r="G242" s="9">
        <f t="shared" si="15"/>
        <v>0</v>
      </c>
      <c r="H242" s="9">
        <f t="shared" si="15"/>
        <v>0</v>
      </c>
      <c r="I242" s="9">
        <f t="shared" si="15"/>
        <v>0</v>
      </c>
      <c r="J242" s="9">
        <f t="shared" si="15"/>
        <v>0</v>
      </c>
      <c r="K242" s="9">
        <f t="shared" si="15"/>
        <v>0</v>
      </c>
      <c r="L242" s="71">
        <f t="shared" si="15"/>
        <v>31736.354501399786</v>
      </c>
      <c r="M242" s="71">
        <f t="shared" si="15"/>
        <v>26446.962084499821</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38083.625401679747</v>
      </c>
      <c r="C246" s="73">
        <f>J16*K16*N16</f>
        <v>-31736.354501399786</v>
      </c>
      <c r="D246" s="73">
        <f>-B246</f>
        <v>-38083.625401679747</v>
      </c>
      <c r="E246" s="73">
        <f>-C246</f>
        <v>31736.354501399786</v>
      </c>
      <c r="F246" s="72" t="str">
        <f>B245</f>
        <v>U5X</v>
      </c>
    </row>
    <row r="247" spans="1:14" ht="16.8" customHeight="1" x14ac:dyDescent="0.3">
      <c r="A247" s="28" t="s">
        <v>583</v>
      </c>
      <c r="B247" s="73">
        <f>C246</f>
        <v>-31736.354501399786</v>
      </c>
      <c r="C247" s="73">
        <f>K16*K16*N16</f>
        <v>26446.962084499821</v>
      </c>
      <c r="D247" s="73">
        <f>-B247</f>
        <v>31736.354501399786</v>
      </c>
      <c r="E247" s="73">
        <f>-C247</f>
        <v>-26446.962084499821</v>
      </c>
      <c r="F247" s="72" t="str">
        <f>C245</f>
        <v>U5Y</v>
      </c>
    </row>
    <row r="248" spans="1:14" x14ac:dyDescent="0.3">
      <c r="B248" s="73">
        <f>D246</f>
        <v>-38083.625401679747</v>
      </c>
      <c r="C248" s="73">
        <f>E246</f>
        <v>31736.354501399786</v>
      </c>
      <c r="D248" s="73">
        <f>B246</f>
        <v>38083.625401679747</v>
      </c>
      <c r="E248" s="73">
        <f>C246</f>
        <v>-31736.354501399786</v>
      </c>
      <c r="F248" s="72" t="str">
        <f>D245</f>
        <v>U3X</v>
      </c>
    </row>
    <row r="249" spans="1:14" x14ac:dyDescent="0.3">
      <c r="B249" s="73">
        <f>D247</f>
        <v>31736.354501399786</v>
      </c>
      <c r="C249" s="73">
        <f>E247</f>
        <v>-26446.962084499821</v>
      </c>
      <c r="D249" s="73">
        <f>B247</f>
        <v>-31736.354501399786</v>
      </c>
      <c r="E249" s="73">
        <f>C247</f>
        <v>26446.962084499821</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38083.625401679747</v>
      </c>
      <c r="G256" s="74">
        <f t="shared" si="16"/>
        <v>-31736.354501399786</v>
      </c>
      <c r="H256" s="9">
        <f t="shared" si="16"/>
        <v>0</v>
      </c>
      <c r="I256" s="9">
        <f t="shared" si="16"/>
        <v>0</v>
      </c>
      <c r="J256" s="74">
        <f t="shared" si="16"/>
        <v>-38083.625401679747</v>
      </c>
      <c r="K256" s="74">
        <f t="shared" si="16"/>
        <v>31736.354501399786</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-31736.354501399786</v>
      </c>
      <c r="G257" s="74">
        <f t="shared" si="16"/>
        <v>26446.962084499821</v>
      </c>
      <c r="H257" s="9">
        <f t="shared" si="16"/>
        <v>0</v>
      </c>
      <c r="I257" s="9">
        <f t="shared" si="16"/>
        <v>0</v>
      </c>
      <c r="J257" s="74">
        <f t="shared" si="16"/>
        <v>31736.354501399786</v>
      </c>
      <c r="K257" s="74">
        <f t="shared" si="16"/>
        <v>-26446.962084499821</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-38083.625401679747</v>
      </c>
      <c r="G260" s="74">
        <f t="shared" si="16"/>
        <v>31736.354501399786</v>
      </c>
      <c r="H260" s="9">
        <f t="shared" si="16"/>
        <v>0</v>
      </c>
      <c r="I260" s="9">
        <f t="shared" si="16"/>
        <v>0</v>
      </c>
      <c r="J260" s="74">
        <f t="shared" si="16"/>
        <v>38083.625401679747</v>
      </c>
      <c r="K260" s="74">
        <f t="shared" si="16"/>
        <v>-31736.354501399786</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31736.354501399786</v>
      </c>
      <c r="G261" s="74">
        <f t="shared" si="16"/>
        <v>-26446.962084499821</v>
      </c>
      <c r="H261" s="9">
        <f t="shared" si="16"/>
        <v>0</v>
      </c>
      <c r="I261" s="9">
        <f t="shared" si="16"/>
        <v>0</v>
      </c>
      <c r="J261" s="74">
        <f t="shared" si="16"/>
        <v>-31736.354501399786</v>
      </c>
      <c r="K261" s="74">
        <f t="shared" si="16"/>
        <v>26446.962084499821</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33034.137460172962</v>
      </c>
      <c r="C267" s="76">
        <f>J17*K17*N17</f>
        <v>13764.223941738735</v>
      </c>
      <c r="D267" s="76">
        <f>-B267</f>
        <v>-33034.137460172962</v>
      </c>
      <c r="E267" s="76">
        <f>-C267</f>
        <v>-13764.223941738735</v>
      </c>
      <c r="F267" s="89" t="str">
        <f>B266</f>
        <v>U1X</v>
      </c>
    </row>
    <row r="268" spans="1:14" ht="16.8" customHeight="1" x14ac:dyDescent="0.3">
      <c r="A268" s="28" t="s">
        <v>603</v>
      </c>
      <c r="B268" s="76">
        <f>C267</f>
        <v>13764.223941738735</v>
      </c>
      <c r="C268" s="76">
        <f>K17*K17*N17</f>
        <v>5735.0933090578055</v>
      </c>
      <c r="D268" s="76">
        <f>-B268</f>
        <v>-13764.223941738735</v>
      </c>
      <c r="E268" s="76">
        <f>-C268</f>
        <v>-5735.0933090578055</v>
      </c>
      <c r="F268" s="89" t="str">
        <f>C266</f>
        <v>U1Y</v>
      </c>
    </row>
    <row r="269" spans="1:14" x14ac:dyDescent="0.3">
      <c r="B269" s="76">
        <f>D267</f>
        <v>-33034.137460172962</v>
      </c>
      <c r="C269" s="76">
        <f>E267</f>
        <v>-13764.223941738735</v>
      </c>
      <c r="D269" s="76">
        <f>B267</f>
        <v>33034.137460172962</v>
      </c>
      <c r="E269" s="76">
        <f>C267</f>
        <v>13764.223941738735</v>
      </c>
      <c r="F269" s="89" t="str">
        <f>D266</f>
        <v>U6X</v>
      </c>
    </row>
    <row r="270" spans="1:14" x14ac:dyDescent="0.3">
      <c r="B270" s="76">
        <f>D268</f>
        <v>-13764.223941738735</v>
      </c>
      <c r="C270" s="76">
        <f>E268</f>
        <v>-5735.0933090578055</v>
      </c>
      <c r="D270" s="76">
        <f>B268</f>
        <v>13764.223941738735</v>
      </c>
      <c r="E270" s="76">
        <f>C268</f>
        <v>5735.0933090578055</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33034.137460172962</v>
      </c>
      <c r="C273" s="77">
        <f t="shared" si="17"/>
        <v>13764.223941738735</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-33034.137460172962</v>
      </c>
      <c r="M273" s="77">
        <f t="shared" si="17"/>
        <v>-13764.223941738735</v>
      </c>
      <c r="N273" s="89" t="s">
        <v>178</v>
      </c>
    </row>
    <row r="274" spans="1:14" ht="19.05" customHeight="1" x14ac:dyDescent="0.3">
      <c r="B274" s="77">
        <f t="shared" si="17"/>
        <v>13764.223941738735</v>
      </c>
      <c r="C274" s="77">
        <f t="shared" si="17"/>
        <v>5735.0933090578055</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-13764.223941738735</v>
      </c>
      <c r="M274" s="77">
        <f t="shared" si="17"/>
        <v>-5735.0933090578055</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-33034.137460172962</v>
      </c>
      <c r="C283" s="77">
        <f t="shared" si="17"/>
        <v>-13764.223941738735</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33034.137460172962</v>
      </c>
      <c r="M283" s="77">
        <f t="shared" si="17"/>
        <v>13764.223941738735</v>
      </c>
      <c r="N283" s="89" t="s">
        <v>188</v>
      </c>
    </row>
    <row r="284" spans="1:14" ht="19.05" customHeight="1" x14ac:dyDescent="0.3">
      <c r="B284" s="77">
        <f t="shared" si="17"/>
        <v>-13764.223941738735</v>
      </c>
      <c r="C284" s="77">
        <f t="shared" si="17"/>
        <v>-5735.0933090578055</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13764.223941738735</v>
      </c>
      <c r="M284" s="77">
        <f t="shared" si="17"/>
        <v>5735.0933090578055</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155117.76286185271</v>
      </c>
      <c r="C288" s="36">
        <f t="shared" si="18"/>
        <v>45500.578443138525</v>
      </c>
      <c r="D288" s="9">
        <f t="shared" si="18"/>
        <v>-84000</v>
      </c>
      <c r="E288" s="9">
        <f t="shared" si="18"/>
        <v>0</v>
      </c>
      <c r="F288" s="9">
        <f t="shared" si="18"/>
        <v>0</v>
      </c>
      <c r="G288" s="9">
        <f t="shared" si="18"/>
        <v>0</v>
      </c>
      <c r="H288" s="9">
        <f t="shared" si="18"/>
        <v>0</v>
      </c>
      <c r="I288" s="9">
        <f t="shared" si="18"/>
        <v>0</v>
      </c>
      <c r="J288" s="9">
        <f t="shared" si="18"/>
        <v>-38083.625401679747</v>
      </c>
      <c r="K288" s="9">
        <f t="shared" si="18"/>
        <v>-31736.354501399786</v>
      </c>
      <c r="L288" s="9">
        <f t="shared" si="18"/>
        <v>-33034.137460172962</v>
      </c>
      <c r="M288" s="9">
        <f t="shared" si="18"/>
        <v>-13764.223941738735</v>
      </c>
      <c r="N288" s="89" t="s">
        <v>178</v>
      </c>
    </row>
    <row r="289" spans="1:21" ht="19.95" customHeight="1" x14ac:dyDescent="0.3">
      <c r="B289" s="36">
        <f t="shared" ref="B289:M289" si="19">B43+B64+B85+B106+B127+B148+B169+B190+B211+B232+B253+B274</f>
        <v>45500.578443138525</v>
      </c>
      <c r="C289" s="35">
        <f t="shared" si="19"/>
        <v>132982.05539355765</v>
      </c>
      <c r="D289" s="9">
        <f t="shared" si="19"/>
        <v>0</v>
      </c>
      <c r="E289" s="9">
        <f t="shared" si="19"/>
        <v>0</v>
      </c>
      <c r="F289" s="9">
        <f t="shared" si="19"/>
        <v>0</v>
      </c>
      <c r="G289" s="9">
        <f t="shared" si="19"/>
        <v>0</v>
      </c>
      <c r="H289" s="9">
        <f t="shared" si="19"/>
        <v>0</v>
      </c>
      <c r="I289" s="9">
        <f t="shared" si="19"/>
        <v>-100800</v>
      </c>
      <c r="J289" s="9">
        <f t="shared" si="19"/>
        <v>-31736.354501399786</v>
      </c>
      <c r="K289" s="9">
        <f t="shared" si="19"/>
        <v>-26446.962084499821</v>
      </c>
      <c r="L289" s="9">
        <f t="shared" si="19"/>
        <v>-13764.223941738735</v>
      </c>
      <c r="M289" s="9">
        <f t="shared" si="19"/>
        <v>-5735.0933090578055</v>
      </c>
      <c r="N289" s="89" t="s">
        <v>179</v>
      </c>
    </row>
    <row r="290" spans="1:21" ht="19.95" customHeight="1" x14ac:dyDescent="0.3">
      <c r="B290" s="9">
        <f t="shared" ref="B290:M290" si="20">B44+B65+B86+B107+B128+B149+B170+B191+B212+B233+B254+B275</f>
        <v>-84000</v>
      </c>
      <c r="C290" s="9">
        <f t="shared" si="20"/>
        <v>0</v>
      </c>
      <c r="D290" s="35">
        <f t="shared" si="20"/>
        <v>244167.25080335949</v>
      </c>
      <c r="E290" s="36">
        <f t="shared" si="20"/>
        <v>0</v>
      </c>
      <c r="F290" s="9">
        <f t="shared" si="20"/>
        <v>-84000</v>
      </c>
      <c r="G290" s="9">
        <f t="shared" si="20"/>
        <v>0</v>
      </c>
      <c r="H290" s="9">
        <f t="shared" si="20"/>
        <v>-38083.625401679747</v>
      </c>
      <c r="I290" s="9">
        <f t="shared" si="20"/>
        <v>31736.354501399786</v>
      </c>
      <c r="J290" s="9">
        <f t="shared" si="20"/>
        <v>0</v>
      </c>
      <c r="K290" s="9">
        <f t="shared" si="20"/>
        <v>0</v>
      </c>
      <c r="L290" s="9">
        <f t="shared" si="20"/>
        <v>-38083.625401679747</v>
      </c>
      <c r="M290" s="9">
        <f t="shared" si="20"/>
        <v>-31736.354501399786</v>
      </c>
      <c r="N290" s="89" t="s">
        <v>180</v>
      </c>
    </row>
    <row r="291" spans="1:21" ht="19.95" customHeight="1" x14ac:dyDescent="0.3">
      <c r="B291" s="9">
        <f t="shared" ref="B291:M291" si="21">B45+B66+B87+B108+B129+B150+B171+B192+B213+B234+B255+B276</f>
        <v>0</v>
      </c>
      <c r="C291" s="9">
        <f t="shared" si="21"/>
        <v>0</v>
      </c>
      <c r="D291" s="36">
        <f t="shared" si="21"/>
        <v>0</v>
      </c>
      <c r="E291" s="35">
        <f t="shared" si="21"/>
        <v>153693.92416899966</v>
      </c>
      <c r="F291" s="9">
        <f t="shared" si="21"/>
        <v>0</v>
      </c>
      <c r="G291" s="9">
        <f t="shared" si="21"/>
        <v>0</v>
      </c>
      <c r="H291" s="9">
        <f t="shared" si="21"/>
        <v>31736.354501399786</v>
      </c>
      <c r="I291" s="9">
        <f t="shared" si="21"/>
        <v>-26446.962084499821</v>
      </c>
      <c r="J291" s="9">
        <f t="shared" si="21"/>
        <v>0</v>
      </c>
      <c r="K291" s="9">
        <f t="shared" si="21"/>
        <v>-100800</v>
      </c>
      <c r="L291" s="9">
        <f t="shared" si="21"/>
        <v>-31736.354501399786</v>
      </c>
      <c r="M291" s="9">
        <f t="shared" si="21"/>
        <v>-26446.962084499821</v>
      </c>
      <c r="N291" s="89" t="s">
        <v>181</v>
      </c>
    </row>
    <row r="292" spans="1:21" ht="19.95" customHeight="1" x14ac:dyDescent="0.3">
      <c r="B292" s="9">
        <f t="shared" ref="B292:M292" si="22">B46+B67+B88+B109+B130+B151+B172+B193+B214+B235+B256+B277</f>
        <v>0</v>
      </c>
      <c r="C292" s="9">
        <f t="shared" si="22"/>
        <v>0</v>
      </c>
      <c r="D292" s="9">
        <f t="shared" si="22"/>
        <v>-84000</v>
      </c>
      <c r="E292" s="9">
        <f t="shared" si="22"/>
        <v>0</v>
      </c>
      <c r="F292" s="35">
        <f t="shared" si="22"/>
        <v>122083.62540167975</v>
      </c>
      <c r="G292" s="36">
        <f t="shared" si="22"/>
        <v>-31736.354501399786</v>
      </c>
      <c r="H292" s="9">
        <f t="shared" si="22"/>
        <v>0</v>
      </c>
      <c r="I292" s="9">
        <f t="shared" si="22"/>
        <v>0</v>
      </c>
      <c r="J292" s="9">
        <f t="shared" si="22"/>
        <v>-38083.625401679747</v>
      </c>
      <c r="K292" s="9">
        <f t="shared" si="22"/>
        <v>31736.354501399786</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-31736.354501399786</v>
      </c>
      <c r="G293" s="35">
        <f t="shared" si="23"/>
        <v>127246.96208449983</v>
      </c>
      <c r="H293" s="9">
        <f t="shared" si="23"/>
        <v>0</v>
      </c>
      <c r="I293" s="9">
        <f t="shared" si="23"/>
        <v>0</v>
      </c>
      <c r="J293" s="9">
        <f t="shared" si="23"/>
        <v>31736.354501399786</v>
      </c>
      <c r="K293" s="9">
        <f t="shared" si="23"/>
        <v>-26446.962084499821</v>
      </c>
      <c r="L293" s="9">
        <f t="shared" si="23"/>
        <v>0</v>
      </c>
      <c r="M293" s="9">
        <f t="shared" si="23"/>
        <v>-100800</v>
      </c>
      <c r="N293" s="89" t="s">
        <v>183</v>
      </c>
    </row>
    <row r="294" spans="1:21" ht="19.95" customHeight="1" x14ac:dyDescent="0.3">
      <c r="B294" s="9">
        <f t="shared" ref="B294:M294" si="24">B48+B69+B90+B111+B132+B153+B174+B195+B216+B237+B258+B279</f>
        <v>0</v>
      </c>
      <c r="C294" s="9">
        <f t="shared" si="24"/>
        <v>0</v>
      </c>
      <c r="D294" s="9">
        <f t="shared" si="24"/>
        <v>-38083.625401679747</v>
      </c>
      <c r="E294" s="9">
        <f t="shared" si="24"/>
        <v>31736.354501399786</v>
      </c>
      <c r="F294" s="9">
        <f t="shared" si="24"/>
        <v>0</v>
      </c>
      <c r="G294" s="9">
        <f t="shared" si="24"/>
        <v>0</v>
      </c>
      <c r="H294" s="35">
        <f t="shared" si="24"/>
        <v>122083.62540167975</v>
      </c>
      <c r="I294" s="36">
        <f t="shared" si="24"/>
        <v>-31736.354501399786</v>
      </c>
      <c r="J294" s="9">
        <f t="shared" si="24"/>
        <v>-84000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-100800</v>
      </c>
      <c r="D295" s="9">
        <f t="shared" si="25"/>
        <v>31736.354501399786</v>
      </c>
      <c r="E295" s="9">
        <f t="shared" si="25"/>
        <v>-26446.962084499821</v>
      </c>
      <c r="F295" s="9">
        <f t="shared" si="25"/>
        <v>0</v>
      </c>
      <c r="G295" s="9">
        <f t="shared" si="25"/>
        <v>0</v>
      </c>
      <c r="H295" s="36">
        <f t="shared" si="25"/>
        <v>-31736.354501399786</v>
      </c>
      <c r="I295" s="35">
        <f t="shared" si="25"/>
        <v>127246.96208449983</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-38083.625401679747</v>
      </c>
      <c r="C296" s="9">
        <f t="shared" si="26"/>
        <v>-31736.354501399786</v>
      </c>
      <c r="D296" s="9">
        <f t="shared" si="26"/>
        <v>0</v>
      </c>
      <c r="E296" s="9">
        <f t="shared" si="26"/>
        <v>0</v>
      </c>
      <c r="F296" s="9">
        <f t="shared" si="26"/>
        <v>-38083.625401679747</v>
      </c>
      <c r="G296" s="9">
        <f t="shared" si="26"/>
        <v>31736.354501399786</v>
      </c>
      <c r="H296" s="9">
        <f t="shared" si="26"/>
        <v>-84000</v>
      </c>
      <c r="I296" s="9">
        <f t="shared" si="26"/>
        <v>0</v>
      </c>
      <c r="J296" s="35">
        <f t="shared" si="26"/>
        <v>244167.25080335949</v>
      </c>
      <c r="K296" s="36">
        <f t="shared" si="26"/>
        <v>0</v>
      </c>
      <c r="L296" s="9">
        <f t="shared" si="26"/>
        <v>-84000</v>
      </c>
      <c r="M296" s="9">
        <f t="shared" si="26"/>
        <v>0</v>
      </c>
      <c r="N296" s="89" t="s">
        <v>186</v>
      </c>
    </row>
    <row r="297" spans="1:21" ht="19.95" customHeight="1" x14ac:dyDescent="0.3">
      <c r="B297" s="9">
        <f t="shared" ref="B297:M297" si="27">B51+B72+B93+B114+B135+B156+B177+B198+B219+B240+B261+B282</f>
        <v>-31736.354501399786</v>
      </c>
      <c r="C297" s="9">
        <f t="shared" si="27"/>
        <v>-26446.962084499821</v>
      </c>
      <c r="D297" s="9">
        <f t="shared" si="27"/>
        <v>0</v>
      </c>
      <c r="E297" s="9">
        <f t="shared" si="27"/>
        <v>-100800</v>
      </c>
      <c r="F297" s="9">
        <f t="shared" si="27"/>
        <v>31736.354501399786</v>
      </c>
      <c r="G297" s="9">
        <f t="shared" si="27"/>
        <v>-26446.962084499821</v>
      </c>
      <c r="H297" s="9">
        <f t="shared" si="27"/>
        <v>0</v>
      </c>
      <c r="I297" s="9">
        <f t="shared" si="27"/>
        <v>0</v>
      </c>
      <c r="J297" s="36">
        <f t="shared" si="27"/>
        <v>0</v>
      </c>
      <c r="K297" s="35">
        <f t="shared" si="27"/>
        <v>153693.92416899966</v>
      </c>
      <c r="L297" s="9">
        <f t="shared" si="27"/>
        <v>0</v>
      </c>
      <c r="M297" s="9">
        <f t="shared" si="27"/>
        <v>0</v>
      </c>
      <c r="N297" s="89" t="s">
        <v>187</v>
      </c>
    </row>
    <row r="298" spans="1:21" ht="19.95" customHeight="1" x14ac:dyDescent="0.3">
      <c r="B298" s="9">
        <f t="shared" ref="B298:M298" si="28">B52+B73+B94+B115+B136+B157+B178+B199+B220+B241+B262+B283</f>
        <v>-33034.137460172962</v>
      </c>
      <c r="C298" s="9">
        <f t="shared" si="28"/>
        <v>-13764.223941738735</v>
      </c>
      <c r="D298" s="9">
        <f t="shared" si="28"/>
        <v>-38083.625401679747</v>
      </c>
      <c r="E298" s="9">
        <f t="shared" si="28"/>
        <v>-31736.354501399786</v>
      </c>
      <c r="F298" s="9">
        <f t="shared" si="28"/>
        <v>0</v>
      </c>
      <c r="G298" s="9">
        <f t="shared" si="28"/>
        <v>0</v>
      </c>
      <c r="H298" s="9">
        <f t="shared" si="28"/>
        <v>0</v>
      </c>
      <c r="I298" s="9">
        <f t="shared" si="28"/>
        <v>0</v>
      </c>
      <c r="J298" s="9">
        <f t="shared" si="28"/>
        <v>-84000</v>
      </c>
      <c r="K298" s="9">
        <f t="shared" si="28"/>
        <v>0</v>
      </c>
      <c r="L298" s="35">
        <f t="shared" si="28"/>
        <v>155117.76286185271</v>
      </c>
      <c r="M298" s="36">
        <f t="shared" si="28"/>
        <v>45500.578443138525</v>
      </c>
      <c r="N298" s="89" t="s">
        <v>188</v>
      </c>
    </row>
    <row r="299" spans="1:21" ht="19.95" customHeight="1" x14ac:dyDescent="0.3">
      <c r="B299" s="9">
        <f t="shared" ref="B299:M299" si="29">B53+B74+B95+B116+B137+B158+B179+B200+B221+B242+B263+B284</f>
        <v>-13764.223941738735</v>
      </c>
      <c r="C299" s="9">
        <f t="shared" si="29"/>
        <v>-5735.0933090578055</v>
      </c>
      <c r="D299" s="9">
        <f t="shared" si="29"/>
        <v>-31736.354501399786</v>
      </c>
      <c r="E299" s="9">
        <f t="shared" si="29"/>
        <v>-26446.962084499821</v>
      </c>
      <c r="F299" s="9">
        <f t="shared" si="29"/>
        <v>0</v>
      </c>
      <c r="G299" s="9">
        <f t="shared" si="29"/>
        <v>-100800</v>
      </c>
      <c r="H299" s="9">
        <f t="shared" si="29"/>
        <v>0</v>
      </c>
      <c r="I299" s="9">
        <f t="shared" si="29"/>
        <v>0</v>
      </c>
      <c r="J299" s="9">
        <f t="shared" si="29"/>
        <v>0</v>
      </c>
      <c r="K299" s="9">
        <f t="shared" si="29"/>
        <v>0</v>
      </c>
      <c r="L299" s="36">
        <f t="shared" si="29"/>
        <v>45500.578443138525</v>
      </c>
      <c r="M299" s="35">
        <f t="shared" si="29"/>
        <v>132982.05539355765</v>
      </c>
      <c r="N299" s="89" t="s">
        <v>189</v>
      </c>
    </row>
    <row r="302" spans="1:21" ht="19.95" customHeight="1" x14ac:dyDescent="0.35">
      <c r="A302" s="11" t="s">
        <v>206</v>
      </c>
      <c r="P302" s="216" t="s">
        <v>207</v>
      </c>
      <c r="Q302" s="172"/>
      <c r="R302" s="172"/>
      <c r="S302" s="172"/>
      <c r="T302" s="172"/>
      <c r="U302" s="173"/>
    </row>
    <row r="303" spans="1:21" ht="16.95" customHeight="1" x14ac:dyDescent="0.3">
      <c r="B303" s="12" t="s">
        <v>208</v>
      </c>
      <c r="C303" s="12" t="s">
        <v>178</v>
      </c>
      <c r="E303" s="37" t="str">
        <f>IF(GRAFICA_47!F14=1, B303, GRAFICA_47!H14)</f>
        <v>C1X</v>
      </c>
      <c r="P303" s="215" t="s">
        <v>376</v>
      </c>
      <c r="Q303" s="172"/>
      <c r="R303" s="172"/>
      <c r="S303" s="172"/>
      <c r="T303" s="172"/>
      <c r="U303" s="173"/>
    </row>
    <row r="304" spans="1:21" ht="16.95" customHeight="1" x14ac:dyDescent="0.3">
      <c r="B304" s="12" t="s">
        <v>210</v>
      </c>
      <c r="C304" s="12" t="s">
        <v>179</v>
      </c>
      <c r="E304" s="37" t="str">
        <f>IF(GRAFICA_47!G14=1, B304, GRAFICA_47!I14)</f>
        <v>C1Y</v>
      </c>
      <c r="P304" s="215" t="s">
        <v>211</v>
      </c>
      <c r="Q304" s="172"/>
      <c r="R304" s="172"/>
      <c r="S304" s="172"/>
      <c r="T304" s="172"/>
      <c r="U304" s="173"/>
    </row>
    <row r="305" spans="1:21" ht="16.95" customHeight="1" x14ac:dyDescent="0.3">
      <c r="B305" s="12" t="s">
        <v>212</v>
      </c>
      <c r="C305" s="12" t="s">
        <v>180</v>
      </c>
      <c r="E305" s="37">
        <f>IF(GRAFICA_47!F15=1, B305, GRAFICA_47!H15)</f>
        <v>0</v>
      </c>
      <c r="P305" s="215" t="s">
        <v>377</v>
      </c>
      <c r="Q305" s="172"/>
      <c r="R305" s="172"/>
      <c r="S305" s="172"/>
      <c r="T305" s="172"/>
      <c r="U305" s="173"/>
    </row>
    <row r="306" spans="1:21" ht="16.95" customHeight="1" x14ac:dyDescent="0.3">
      <c r="B306" s="12" t="s">
        <v>214</v>
      </c>
      <c r="C306" s="12" t="s">
        <v>181</v>
      </c>
      <c r="E306" s="37">
        <f>IF(GRAFICA_47!G15=1, B306, GRAFICA_47!I15)</f>
        <v>-6000</v>
      </c>
      <c r="P306" s="215" t="s">
        <v>215</v>
      </c>
      <c r="Q306" s="172"/>
      <c r="R306" s="172"/>
      <c r="S306" s="172"/>
      <c r="T306" s="172"/>
      <c r="U306" s="173"/>
    </row>
    <row r="307" spans="1:21" ht="16.95" customHeight="1" x14ac:dyDescent="0.3">
      <c r="B307" s="12" t="s">
        <v>216</v>
      </c>
      <c r="C307" s="12" t="s">
        <v>182</v>
      </c>
      <c r="E307" s="37">
        <f>IF(GRAFICA_47!F16=1, B307, GRAFICA_47!H16)</f>
        <v>0</v>
      </c>
      <c r="P307" s="215" t="s">
        <v>378</v>
      </c>
      <c r="Q307" s="172"/>
      <c r="R307" s="172"/>
      <c r="S307" s="172"/>
      <c r="T307" s="172"/>
      <c r="U307" s="173"/>
    </row>
    <row r="308" spans="1:21" ht="16.95" customHeight="1" x14ac:dyDescent="0.3">
      <c r="A308" s="38" t="s">
        <v>218</v>
      </c>
      <c r="B308" s="12" t="s">
        <v>219</v>
      </c>
      <c r="C308" s="12" t="s">
        <v>183</v>
      </c>
      <c r="D308" s="13" t="s">
        <v>220</v>
      </c>
      <c r="E308" s="37" t="str">
        <f>IF(GRAFICA_47!G16=1, B308, GRAFICA_47!I16)</f>
        <v>C3Y</v>
      </c>
      <c r="P308" s="215" t="s">
        <v>379</v>
      </c>
      <c r="Q308" s="172"/>
      <c r="R308" s="172"/>
      <c r="S308" s="172"/>
      <c r="T308" s="172"/>
      <c r="U308" s="173"/>
    </row>
    <row r="309" spans="1:21" ht="16.95" customHeight="1" x14ac:dyDescent="0.3">
      <c r="B309" s="12" t="s">
        <v>221</v>
      </c>
      <c r="C309" s="12" t="s">
        <v>184</v>
      </c>
      <c r="E309" s="37">
        <f>IF(GRAFICA_47!F17=1, B309, GRAFICA_47!H17)</f>
        <v>0</v>
      </c>
      <c r="P309" s="215"/>
      <c r="Q309" s="172"/>
      <c r="R309" s="172"/>
      <c r="S309" s="172"/>
      <c r="T309" s="172"/>
      <c r="U309" s="173"/>
    </row>
    <row r="310" spans="1:21" ht="16.95" customHeight="1" x14ac:dyDescent="0.3">
      <c r="B310" s="12" t="s">
        <v>222</v>
      </c>
      <c r="C310" s="12" t="s">
        <v>185</v>
      </c>
      <c r="E310" s="37">
        <f>IF(GRAFICA_47!G17=1, B310, GRAFICA_47!I17)</f>
        <v>0</v>
      </c>
      <c r="P310" s="215"/>
      <c r="Q310" s="172"/>
      <c r="R310" s="172"/>
      <c r="S310" s="172"/>
      <c r="T310" s="172"/>
      <c r="U310" s="173"/>
    </row>
    <row r="311" spans="1:21" ht="16.95" customHeight="1" x14ac:dyDescent="0.3">
      <c r="B311" s="12" t="s">
        <v>223</v>
      </c>
      <c r="C311" s="12" t="s">
        <v>186</v>
      </c>
      <c r="E311" s="37">
        <f>IF(GRAFICA_47!F18=1, B311, GRAFICA_47!H18)</f>
        <v>0</v>
      </c>
      <c r="P311" s="215"/>
      <c r="Q311" s="172"/>
      <c r="R311" s="172"/>
      <c r="S311" s="172"/>
      <c r="T311" s="172"/>
      <c r="U311" s="173"/>
    </row>
    <row r="312" spans="1:21" ht="16.95" customHeight="1" x14ac:dyDescent="0.3">
      <c r="B312" s="12" t="s">
        <v>224</v>
      </c>
      <c r="C312" s="12" t="s">
        <v>187</v>
      </c>
      <c r="E312" s="37">
        <f>IF(GRAFICA_47!G18=1, B312, GRAFICA_47!I18)</f>
        <v>-5000</v>
      </c>
      <c r="P312" s="215"/>
      <c r="Q312" s="172"/>
      <c r="R312" s="172"/>
      <c r="S312" s="172"/>
      <c r="T312" s="172"/>
      <c r="U312" s="173"/>
    </row>
    <row r="313" spans="1:21" ht="16.95" customHeight="1" x14ac:dyDescent="0.3">
      <c r="B313" s="12" t="s">
        <v>225</v>
      </c>
      <c r="C313" s="12" t="s">
        <v>188</v>
      </c>
      <c r="E313" s="37">
        <f>IF(GRAFICA_47!F19=1, B313, GRAFICA_47!H19)</f>
        <v>0</v>
      </c>
      <c r="P313" s="215"/>
      <c r="Q313" s="172"/>
      <c r="R313" s="172"/>
      <c r="S313" s="172"/>
      <c r="T313" s="172"/>
      <c r="U313" s="173"/>
    </row>
    <row r="314" spans="1:21" ht="16.95" customHeight="1" x14ac:dyDescent="0.3">
      <c r="B314" s="12" t="s">
        <v>226</v>
      </c>
      <c r="C314" s="12" t="s">
        <v>189</v>
      </c>
      <c r="E314" s="37">
        <f>IF(GRAFICA_47!G19=1, B314, GRAFICA_47!I19)</f>
        <v>0</v>
      </c>
      <c r="P314" s="215"/>
      <c r="Q314" s="172"/>
      <c r="R314" s="172"/>
      <c r="S314" s="172"/>
      <c r="T314" s="172"/>
      <c r="U314" s="173"/>
    </row>
    <row r="315" spans="1:21" ht="16.95" customHeight="1" x14ac:dyDescent="0.3">
      <c r="P315" s="215"/>
      <c r="Q315" s="172"/>
      <c r="R315" s="172"/>
      <c r="S315" s="172"/>
      <c r="T315" s="172"/>
      <c r="U315" s="173"/>
    </row>
    <row r="316" spans="1:21" ht="16.95" customHeight="1" x14ac:dyDescent="0.35">
      <c r="A316" s="11" t="s">
        <v>227</v>
      </c>
      <c r="P316" s="215"/>
      <c r="Q316" s="172"/>
      <c r="R316" s="172"/>
      <c r="S316" s="172"/>
      <c r="T316" s="172"/>
      <c r="U316" s="173"/>
    </row>
    <row r="317" spans="1:21" ht="16.95" customHeight="1" x14ac:dyDescent="0.3">
      <c r="B317" s="12" t="s">
        <v>228</v>
      </c>
      <c r="C317" s="12" t="s">
        <v>178</v>
      </c>
      <c r="E317" s="39">
        <f>IF(GRAFICA_47!F14=1, 0, B317)</f>
        <v>0</v>
      </c>
      <c r="F317" s="14" t="str">
        <f>IF(E317&lt;&gt;0, COUNTIF(E$317:E317, "&lt;&gt;0"), "")</f>
        <v/>
      </c>
      <c r="G317" s="14">
        <f>IF(E317=0, COUNTIF(E$317:E317, 0), "")</f>
        <v>1</v>
      </c>
      <c r="P317" s="215"/>
      <c r="Q317" s="172"/>
      <c r="R317" s="172"/>
      <c r="S317" s="172"/>
      <c r="T317" s="172"/>
      <c r="U317" s="173"/>
    </row>
    <row r="318" spans="1:21" ht="16.95" customHeight="1" x14ac:dyDescent="0.3">
      <c r="B318" s="12" t="s">
        <v>229</v>
      </c>
      <c r="C318" s="12" t="s">
        <v>179</v>
      </c>
      <c r="E318" s="39">
        <f>IF(GRAFICA_47!G14=1, 0, B318)</f>
        <v>0</v>
      </c>
      <c r="F318" s="14" t="str">
        <f>IF(E318&lt;&gt;0, COUNTIF(E$317:E318, "&lt;&gt;0"), "")</f>
        <v/>
      </c>
      <c r="G318" s="14">
        <f>IF(E318=0, COUNTIF(E$317:E318, 0), "")</f>
        <v>2</v>
      </c>
      <c r="P318" s="215"/>
      <c r="Q318" s="172"/>
      <c r="R318" s="172"/>
      <c r="S318" s="172"/>
      <c r="T318" s="172"/>
      <c r="U318" s="173"/>
    </row>
    <row r="319" spans="1:21" ht="16.95" customHeight="1" x14ac:dyDescent="0.3">
      <c r="B319" s="12" t="s">
        <v>230</v>
      </c>
      <c r="C319" s="12" t="s">
        <v>180</v>
      </c>
      <c r="E319" s="39" t="str">
        <f>IF(GRAFICA_47!F15=1, 0, B319)</f>
        <v>D2X</v>
      </c>
      <c r="F319" s="14">
        <f>IF(E319&lt;&gt;0, COUNTIF(E$317:E319, "&lt;&gt;0"), "")</f>
        <v>1</v>
      </c>
      <c r="G319" s="14" t="str">
        <f>IF(E319=0, COUNTIF(E$317:E319, 0), "")</f>
        <v/>
      </c>
      <c r="P319" s="215"/>
      <c r="Q319" s="172"/>
      <c r="R319" s="172"/>
      <c r="S319" s="172"/>
      <c r="T319" s="172"/>
      <c r="U319" s="173"/>
    </row>
    <row r="320" spans="1:21" ht="16.95" customHeight="1" x14ac:dyDescent="0.3">
      <c r="B320" s="12" t="s">
        <v>231</v>
      </c>
      <c r="C320" s="12" t="s">
        <v>181</v>
      </c>
      <c r="E320" s="39" t="str">
        <f>IF(GRAFICA_47!G15=1, 0, B320)</f>
        <v>D2Y</v>
      </c>
      <c r="F320" s="14">
        <f>IF(E320&lt;&gt;0, COUNTIF(E$317:E320, "&lt;&gt;0"), "")</f>
        <v>2</v>
      </c>
      <c r="G320" s="14" t="str">
        <f>IF(E320=0, COUNTIF(E$317:E320, 0), "")</f>
        <v/>
      </c>
      <c r="P320" s="215"/>
      <c r="Q320" s="172"/>
      <c r="R320" s="172"/>
      <c r="S320" s="172"/>
      <c r="T320" s="172"/>
      <c r="U320" s="173"/>
    </row>
    <row r="321" spans="1:21" ht="16.95" customHeight="1" x14ac:dyDescent="0.3">
      <c r="B321" s="12" t="s">
        <v>232</v>
      </c>
      <c r="C321" s="12" t="s">
        <v>182</v>
      </c>
      <c r="E321" s="39" t="str">
        <f>IF(GRAFICA_47!F16=1, 0, B321)</f>
        <v>D3X</v>
      </c>
      <c r="F321" s="14">
        <f>IF(E321&lt;&gt;0, COUNTIF(E$317:E321, "&lt;&gt;0"), "")</f>
        <v>3</v>
      </c>
      <c r="G321" s="14" t="str">
        <f>IF(E321=0, COUNTIF(E$317:E321, 0), "")</f>
        <v/>
      </c>
      <c r="P321" s="215"/>
      <c r="Q321" s="172"/>
      <c r="R321" s="172"/>
      <c r="S321" s="172"/>
      <c r="T321" s="172"/>
      <c r="U321" s="173"/>
    </row>
    <row r="322" spans="1:21" ht="16.95" customHeight="1" x14ac:dyDescent="0.3">
      <c r="A322" s="38" t="s">
        <v>233</v>
      </c>
      <c r="B322" s="12" t="s">
        <v>234</v>
      </c>
      <c r="C322" s="12" t="s">
        <v>183</v>
      </c>
      <c r="D322" s="13" t="s">
        <v>220</v>
      </c>
      <c r="E322" s="39">
        <f>IF(GRAFICA_47!G16=1, 0, B322)</f>
        <v>0</v>
      </c>
      <c r="F322" s="14" t="str">
        <f>IF(E322&lt;&gt;0, COUNTIF(E$317:E322, "&lt;&gt;0"), "")</f>
        <v/>
      </c>
      <c r="G322" s="14">
        <f>IF(E322=0, COUNTIF(E$317:E322, 0), "")</f>
        <v>3</v>
      </c>
      <c r="P322" s="215"/>
      <c r="Q322" s="172"/>
      <c r="R322" s="172"/>
      <c r="S322" s="172"/>
      <c r="T322" s="172"/>
      <c r="U322" s="173"/>
    </row>
    <row r="323" spans="1:21" ht="16.95" customHeight="1" x14ac:dyDescent="0.3">
      <c r="B323" s="12" t="s">
        <v>235</v>
      </c>
      <c r="C323" s="12" t="s">
        <v>184</v>
      </c>
      <c r="E323" s="39" t="str">
        <f>IF(GRAFICA_47!F17=1, 0, B323)</f>
        <v>D4X</v>
      </c>
      <c r="F323" s="14">
        <f>IF(E323&lt;&gt;0, COUNTIF(E$317:E323, "&lt;&gt;0"), "")</f>
        <v>4</v>
      </c>
      <c r="G323" s="14" t="str">
        <f>IF(E323=0, COUNTIF(E$317:E323, 0), "")</f>
        <v/>
      </c>
      <c r="P323" s="215"/>
      <c r="Q323" s="172"/>
      <c r="R323" s="172"/>
      <c r="S323" s="172"/>
      <c r="T323" s="172"/>
      <c r="U323" s="173"/>
    </row>
    <row r="324" spans="1:21" ht="16.95" customHeight="1" x14ac:dyDescent="0.3">
      <c r="B324" s="12" t="s">
        <v>236</v>
      </c>
      <c r="C324" s="12" t="s">
        <v>185</v>
      </c>
      <c r="E324" s="39" t="str">
        <f>IF(GRAFICA_47!G17=1, 0, B324)</f>
        <v>D4Y</v>
      </c>
      <c r="F324" s="14">
        <f>IF(E324&lt;&gt;0, COUNTIF(E$317:E324, "&lt;&gt;0"), "")</f>
        <v>5</v>
      </c>
      <c r="G324" s="14" t="str">
        <f>IF(E324=0, COUNTIF(E$317:E324, 0), "")</f>
        <v/>
      </c>
      <c r="P324" s="215"/>
      <c r="Q324" s="172"/>
      <c r="R324" s="172"/>
      <c r="S324" s="172"/>
      <c r="T324" s="172"/>
      <c r="U324" s="173"/>
    </row>
    <row r="325" spans="1:21" ht="16.95" customHeight="1" x14ac:dyDescent="0.3">
      <c r="B325" s="12" t="s">
        <v>237</v>
      </c>
      <c r="C325" s="12" t="s">
        <v>186</v>
      </c>
      <c r="E325" s="39" t="str">
        <f>IF(GRAFICA_47!F18=1, 0, B325)</f>
        <v>D5X</v>
      </c>
      <c r="F325" s="14">
        <f>IF(E325&lt;&gt;0, COUNTIF(E$317:E325, "&lt;&gt;0"), "")</f>
        <v>6</v>
      </c>
      <c r="G325" s="14" t="str">
        <f>IF(E325=0, COUNTIF(E$317:E325, 0), "")</f>
        <v/>
      </c>
      <c r="P325" s="215"/>
      <c r="Q325" s="172"/>
      <c r="R325" s="172"/>
      <c r="S325" s="172"/>
      <c r="T325" s="172"/>
      <c r="U325" s="173"/>
    </row>
    <row r="326" spans="1:21" ht="16.95" customHeight="1" x14ac:dyDescent="0.3">
      <c r="B326" s="12" t="s">
        <v>238</v>
      </c>
      <c r="C326" s="12" t="s">
        <v>187</v>
      </c>
      <c r="E326" s="39" t="str">
        <f>IF(GRAFICA_47!G18=1, 0, B326)</f>
        <v>D5Y</v>
      </c>
      <c r="F326" s="14">
        <f>IF(E326&lt;&gt;0, COUNTIF(E$317:E326, "&lt;&gt;0"), "")</f>
        <v>7</v>
      </c>
      <c r="G326" s="14" t="str">
        <f>IF(E326=0, COUNTIF(E$317:E326, 0), "")</f>
        <v/>
      </c>
      <c r="P326" s="215"/>
      <c r="Q326" s="172"/>
      <c r="R326" s="172"/>
      <c r="S326" s="172"/>
      <c r="T326" s="172"/>
      <c r="U326" s="173"/>
    </row>
    <row r="327" spans="1:21" ht="16.95" customHeight="1" x14ac:dyDescent="0.3">
      <c r="B327" s="12" t="s">
        <v>239</v>
      </c>
      <c r="C327" s="12" t="s">
        <v>188</v>
      </c>
      <c r="E327" s="39" t="str">
        <f>IF(GRAFICA_47!F19=1, 0, B327)</f>
        <v>D6X</v>
      </c>
      <c r="F327" s="14">
        <f>IF(E327&lt;&gt;0, COUNTIF(E$317:E327, "&lt;&gt;0"), "")</f>
        <v>8</v>
      </c>
      <c r="G327" s="14" t="str">
        <f>IF(E327=0, COUNTIF(E$317:E327, 0), "")</f>
        <v/>
      </c>
      <c r="P327" s="215"/>
      <c r="Q327" s="172"/>
      <c r="R327" s="172"/>
      <c r="S327" s="172"/>
      <c r="T327" s="172"/>
      <c r="U327" s="173"/>
    </row>
    <row r="328" spans="1:21" ht="16.95" customHeight="1" x14ac:dyDescent="0.3">
      <c r="B328" s="12" t="s">
        <v>240</v>
      </c>
      <c r="C328" s="12" t="s">
        <v>189</v>
      </c>
      <c r="E328" s="39" t="str">
        <f>IF(GRAFICA_47!G19=1, 0, B328)</f>
        <v>D6Y</v>
      </c>
      <c r="F328" s="14">
        <f>IF(E328&lt;&gt;0, COUNTIF(E$317:E328, "&lt;&gt;0"), "")</f>
        <v>9</v>
      </c>
      <c r="G328" s="14" t="str">
        <f>IF(E328=0, COUNTIF(E$317:E328, 0), "")</f>
        <v/>
      </c>
      <c r="P328" s="215"/>
      <c r="Q328" s="172"/>
      <c r="R328" s="172"/>
      <c r="S328" s="172"/>
      <c r="T328" s="172"/>
      <c r="U328" s="173"/>
    </row>
    <row r="330" spans="1:21" ht="19.95" customHeight="1" x14ac:dyDescent="0.35">
      <c r="A330" s="15" t="s">
        <v>241</v>
      </c>
      <c r="C330" s="218" t="s">
        <v>242</v>
      </c>
      <c r="D330" s="173"/>
      <c r="E330" s="40" t="s">
        <v>243</v>
      </c>
      <c r="P330" s="216" t="s">
        <v>244</v>
      </c>
      <c r="Q330" s="172"/>
      <c r="R330" s="172"/>
      <c r="S330" s="172"/>
      <c r="T330" s="172"/>
      <c r="U330" s="173"/>
    </row>
    <row r="331" spans="1:21" ht="16.95" customHeight="1" x14ac:dyDescent="0.3">
      <c r="E331" s="40" t="s">
        <v>245</v>
      </c>
      <c r="P331" s="215" t="s">
        <v>246</v>
      </c>
      <c r="Q331" s="172"/>
      <c r="R331" s="172"/>
      <c r="S331" s="172"/>
      <c r="T331" s="172"/>
      <c r="U331" s="173"/>
    </row>
    <row r="332" spans="1:21" ht="16.95" customHeight="1" x14ac:dyDescent="0.3">
      <c r="A332" s="99" t="s">
        <v>247</v>
      </c>
      <c r="C332" s="99" t="s">
        <v>248</v>
      </c>
      <c r="P332" s="215" t="s">
        <v>250</v>
      </c>
      <c r="Q332" s="172"/>
      <c r="R332" s="172"/>
      <c r="S332" s="172"/>
      <c r="T332" s="172"/>
      <c r="U332" s="173"/>
    </row>
    <row r="333" spans="1:21" ht="16.95" customHeight="1" x14ac:dyDescent="0.3">
      <c r="A333" s="12" t="str">
        <f t="shared" ref="A333:A344" si="30">E303</f>
        <v>C1X</v>
      </c>
      <c r="C333" s="9">
        <f t="shared" ref="C333:N333" si="31">B288</f>
        <v>155117.76286185271</v>
      </c>
      <c r="D333" s="9">
        <f t="shared" si="31"/>
        <v>45500.578443138525</v>
      </c>
      <c r="E333" s="9">
        <f t="shared" si="31"/>
        <v>-84000</v>
      </c>
      <c r="F333" s="9">
        <f t="shared" si="31"/>
        <v>0</v>
      </c>
      <c r="G333" s="9">
        <f t="shared" si="31"/>
        <v>0</v>
      </c>
      <c r="H333" s="9">
        <f t="shared" si="31"/>
        <v>0</v>
      </c>
      <c r="I333" s="9">
        <f t="shared" si="31"/>
        <v>0</v>
      </c>
      <c r="J333" s="9">
        <f t="shared" si="31"/>
        <v>0</v>
      </c>
      <c r="K333" s="9">
        <f t="shared" si="31"/>
        <v>-38083.625401679747</v>
      </c>
      <c r="L333" s="9">
        <f t="shared" si="31"/>
        <v>-31736.354501399786</v>
      </c>
      <c r="M333" s="9">
        <f t="shared" si="31"/>
        <v>-33034.137460172962</v>
      </c>
      <c r="N333" s="9">
        <f t="shared" si="31"/>
        <v>-13764.223941738735</v>
      </c>
      <c r="O333" s="13" t="s">
        <v>251</v>
      </c>
      <c r="P333" s="219" t="s">
        <v>380</v>
      </c>
      <c r="Q333" s="172"/>
      <c r="R333" s="172"/>
      <c r="S333" s="172"/>
      <c r="T333" s="172"/>
      <c r="U333" s="173"/>
    </row>
    <row r="334" spans="1:21" ht="16.95" customHeight="1" x14ac:dyDescent="0.3">
      <c r="A334" s="12" t="str">
        <f t="shared" si="30"/>
        <v>C1Y</v>
      </c>
      <c r="C334" s="9">
        <f t="shared" ref="C334:N334" si="32">B289</f>
        <v>45500.578443138525</v>
      </c>
      <c r="D334" s="9">
        <f t="shared" si="32"/>
        <v>132982.05539355765</v>
      </c>
      <c r="E334" s="9">
        <f t="shared" si="32"/>
        <v>0</v>
      </c>
      <c r="F334" s="9">
        <f t="shared" si="32"/>
        <v>0</v>
      </c>
      <c r="G334" s="9">
        <f t="shared" si="32"/>
        <v>0</v>
      </c>
      <c r="H334" s="9">
        <f t="shared" si="32"/>
        <v>0</v>
      </c>
      <c r="I334" s="9">
        <f t="shared" si="32"/>
        <v>0</v>
      </c>
      <c r="J334" s="9">
        <f t="shared" si="32"/>
        <v>-100800</v>
      </c>
      <c r="K334" s="9">
        <f t="shared" si="32"/>
        <v>-31736.354501399786</v>
      </c>
      <c r="L334" s="9">
        <f t="shared" si="32"/>
        <v>-26446.962084499821</v>
      </c>
      <c r="M334" s="9">
        <f t="shared" si="32"/>
        <v>-13764.223941738735</v>
      </c>
      <c r="N334" s="9">
        <f t="shared" si="32"/>
        <v>-5735.0933090578055</v>
      </c>
      <c r="O334" s="13" t="s">
        <v>251</v>
      </c>
      <c r="P334" s="219" t="s">
        <v>253</v>
      </c>
      <c r="Q334" s="172"/>
      <c r="R334" s="172"/>
      <c r="S334" s="172"/>
      <c r="T334" s="172"/>
      <c r="U334" s="173"/>
    </row>
    <row r="335" spans="1:21" ht="16.95" customHeight="1" x14ac:dyDescent="0.3">
      <c r="A335" s="41">
        <f t="shared" si="30"/>
        <v>0</v>
      </c>
      <c r="C335" s="9">
        <f t="shared" ref="C335:N335" si="33">B290</f>
        <v>-84000</v>
      </c>
      <c r="D335" s="9">
        <f t="shared" si="33"/>
        <v>0</v>
      </c>
      <c r="E335" s="41">
        <f t="shared" si="33"/>
        <v>244167.25080335949</v>
      </c>
      <c r="F335" s="41">
        <f t="shared" si="33"/>
        <v>0</v>
      </c>
      <c r="G335" s="41">
        <f t="shared" si="33"/>
        <v>-84000</v>
      </c>
      <c r="H335" s="9">
        <f t="shared" si="33"/>
        <v>0</v>
      </c>
      <c r="I335" s="41">
        <f t="shared" si="33"/>
        <v>-38083.625401679747</v>
      </c>
      <c r="J335" s="41">
        <f t="shared" si="33"/>
        <v>31736.354501399786</v>
      </c>
      <c r="K335" s="41">
        <f t="shared" si="33"/>
        <v>0</v>
      </c>
      <c r="L335" s="41">
        <f t="shared" si="33"/>
        <v>0</v>
      </c>
      <c r="M335" s="41">
        <f t="shared" si="33"/>
        <v>-38083.625401679747</v>
      </c>
      <c r="N335" s="41">
        <f t="shared" si="33"/>
        <v>-31736.354501399786</v>
      </c>
      <c r="O335" s="13" t="s">
        <v>251</v>
      </c>
      <c r="P335" s="215" t="s">
        <v>254</v>
      </c>
      <c r="Q335" s="172"/>
      <c r="R335" s="172"/>
      <c r="S335" s="172"/>
      <c r="T335" s="172"/>
      <c r="U335" s="173"/>
    </row>
    <row r="336" spans="1:21" ht="16.95" customHeight="1" x14ac:dyDescent="0.3">
      <c r="A336" s="41">
        <f t="shared" si="30"/>
        <v>-6000</v>
      </c>
      <c r="C336" s="9">
        <f t="shared" ref="C336:N336" si="34">B291</f>
        <v>0</v>
      </c>
      <c r="D336" s="9">
        <f t="shared" si="34"/>
        <v>0</v>
      </c>
      <c r="E336" s="41">
        <f t="shared" si="34"/>
        <v>0</v>
      </c>
      <c r="F336" s="41">
        <f t="shared" si="34"/>
        <v>153693.92416899966</v>
      </c>
      <c r="G336" s="41">
        <f t="shared" si="34"/>
        <v>0</v>
      </c>
      <c r="H336" s="9">
        <f t="shared" si="34"/>
        <v>0</v>
      </c>
      <c r="I336" s="41">
        <f t="shared" si="34"/>
        <v>31736.354501399786</v>
      </c>
      <c r="J336" s="41">
        <f t="shared" si="34"/>
        <v>-26446.962084499821</v>
      </c>
      <c r="K336" s="41">
        <f t="shared" si="34"/>
        <v>0</v>
      </c>
      <c r="L336" s="41">
        <f t="shared" si="34"/>
        <v>-100800</v>
      </c>
      <c r="M336" s="41">
        <f t="shared" si="34"/>
        <v>-31736.354501399786</v>
      </c>
      <c r="N336" s="41">
        <f t="shared" si="34"/>
        <v>-26446.962084499821</v>
      </c>
      <c r="O336" s="13" t="s">
        <v>251</v>
      </c>
      <c r="P336" s="215" t="s">
        <v>381</v>
      </c>
      <c r="Q336" s="172"/>
      <c r="R336" s="172"/>
      <c r="S336" s="172"/>
      <c r="T336" s="172"/>
      <c r="U336" s="173"/>
    </row>
    <row r="337" spans="1:21" ht="16.95" customHeight="1" x14ac:dyDescent="0.3">
      <c r="A337" s="41">
        <f t="shared" si="30"/>
        <v>0</v>
      </c>
      <c r="C337" s="9">
        <f t="shared" ref="C337:N337" si="35">B292</f>
        <v>0</v>
      </c>
      <c r="D337" s="9">
        <f t="shared" si="35"/>
        <v>0</v>
      </c>
      <c r="E337" s="41">
        <f t="shared" si="35"/>
        <v>-84000</v>
      </c>
      <c r="F337" s="41">
        <f t="shared" si="35"/>
        <v>0</v>
      </c>
      <c r="G337" s="41">
        <f t="shared" si="35"/>
        <v>122083.62540167975</v>
      </c>
      <c r="H337" s="9">
        <f t="shared" si="35"/>
        <v>-31736.354501399786</v>
      </c>
      <c r="I337" s="41">
        <f t="shared" si="35"/>
        <v>0</v>
      </c>
      <c r="J337" s="41">
        <f t="shared" si="35"/>
        <v>0</v>
      </c>
      <c r="K337" s="41">
        <f t="shared" si="35"/>
        <v>-38083.625401679747</v>
      </c>
      <c r="L337" s="41">
        <f t="shared" si="35"/>
        <v>31736.354501399786</v>
      </c>
      <c r="M337" s="41">
        <f t="shared" si="35"/>
        <v>0</v>
      </c>
      <c r="N337" s="41">
        <f t="shared" si="35"/>
        <v>0</v>
      </c>
      <c r="O337" s="13" t="s">
        <v>251</v>
      </c>
      <c r="P337" s="215" t="s">
        <v>382</v>
      </c>
      <c r="Q337" s="172"/>
      <c r="R337" s="172"/>
      <c r="S337" s="172"/>
      <c r="T337" s="172"/>
      <c r="U337" s="173"/>
    </row>
    <row r="338" spans="1:21" ht="16.95" customHeight="1" x14ac:dyDescent="0.3">
      <c r="A338" s="12" t="str">
        <f t="shared" si="30"/>
        <v>C3Y</v>
      </c>
      <c r="C338" s="9">
        <f t="shared" ref="C338:N338" si="36">B293</f>
        <v>0</v>
      </c>
      <c r="D338" s="9">
        <f t="shared" si="36"/>
        <v>0</v>
      </c>
      <c r="E338" s="9">
        <f t="shared" si="36"/>
        <v>0</v>
      </c>
      <c r="F338" s="9">
        <f t="shared" si="36"/>
        <v>0</v>
      </c>
      <c r="G338" s="9">
        <f t="shared" si="36"/>
        <v>-31736.354501399786</v>
      </c>
      <c r="H338" s="9">
        <f t="shared" si="36"/>
        <v>127246.96208449983</v>
      </c>
      <c r="I338" s="9">
        <f t="shared" si="36"/>
        <v>0</v>
      </c>
      <c r="J338" s="9">
        <f t="shared" si="36"/>
        <v>0</v>
      </c>
      <c r="K338" s="9">
        <f t="shared" si="36"/>
        <v>31736.354501399786</v>
      </c>
      <c r="L338" s="9">
        <f t="shared" si="36"/>
        <v>-26446.962084499821</v>
      </c>
      <c r="M338" s="9">
        <f t="shared" si="36"/>
        <v>0</v>
      </c>
      <c r="N338" s="9">
        <f t="shared" si="36"/>
        <v>-100800</v>
      </c>
      <c r="O338" s="13" t="s">
        <v>251</v>
      </c>
      <c r="P338" s="219">
        <f t="shared" ref="P338:P344" si="37">E322</f>
        <v>0</v>
      </c>
      <c r="Q338" s="172"/>
      <c r="R338" s="172"/>
      <c r="S338" s="172"/>
      <c r="T338" s="172"/>
      <c r="U338" s="173"/>
    </row>
    <row r="339" spans="1:21" ht="16.95" customHeight="1" x14ac:dyDescent="0.3">
      <c r="A339" s="41">
        <f t="shared" si="30"/>
        <v>0</v>
      </c>
      <c r="B339" s="13" t="s">
        <v>220</v>
      </c>
      <c r="C339" s="9">
        <f t="shared" ref="C339:N339" si="38">B294</f>
        <v>0</v>
      </c>
      <c r="D339" s="9">
        <f t="shared" si="38"/>
        <v>0</v>
      </c>
      <c r="E339" s="41">
        <f t="shared" si="38"/>
        <v>-38083.625401679747</v>
      </c>
      <c r="F339" s="41">
        <f t="shared" si="38"/>
        <v>31736.354501399786</v>
      </c>
      <c r="G339" s="41">
        <f t="shared" si="38"/>
        <v>0</v>
      </c>
      <c r="H339" s="9">
        <f t="shared" si="38"/>
        <v>0</v>
      </c>
      <c r="I339" s="41">
        <f t="shared" si="38"/>
        <v>122083.62540167975</v>
      </c>
      <c r="J339" s="41">
        <f t="shared" si="38"/>
        <v>-31736.354501399786</v>
      </c>
      <c r="K339" s="41">
        <f t="shared" si="38"/>
        <v>-84000</v>
      </c>
      <c r="L339" s="41">
        <f t="shared" si="38"/>
        <v>0</v>
      </c>
      <c r="M339" s="41">
        <f t="shared" si="38"/>
        <v>0</v>
      </c>
      <c r="N339" s="41">
        <f t="shared" si="38"/>
        <v>0</v>
      </c>
      <c r="O339" s="13" t="s">
        <v>251</v>
      </c>
      <c r="P339" s="215" t="str">
        <f t="shared" si="37"/>
        <v>D4X</v>
      </c>
      <c r="Q339" s="172"/>
      <c r="R339" s="172"/>
      <c r="S339" s="172"/>
      <c r="T339" s="172"/>
      <c r="U339" s="173"/>
    </row>
    <row r="340" spans="1:21" ht="16.95" customHeight="1" x14ac:dyDescent="0.3">
      <c r="A340" s="41">
        <f t="shared" si="30"/>
        <v>0</v>
      </c>
      <c r="C340" s="9">
        <f t="shared" ref="C340:N340" si="39">B295</f>
        <v>0</v>
      </c>
      <c r="D340" s="9">
        <f t="shared" si="39"/>
        <v>-100800</v>
      </c>
      <c r="E340" s="41">
        <f t="shared" si="39"/>
        <v>31736.354501399786</v>
      </c>
      <c r="F340" s="41">
        <f t="shared" si="39"/>
        <v>-26446.962084499821</v>
      </c>
      <c r="G340" s="41">
        <f t="shared" si="39"/>
        <v>0</v>
      </c>
      <c r="H340" s="9">
        <f t="shared" si="39"/>
        <v>0</v>
      </c>
      <c r="I340" s="41">
        <f t="shared" si="39"/>
        <v>-31736.354501399786</v>
      </c>
      <c r="J340" s="41">
        <f t="shared" si="39"/>
        <v>127246.96208449983</v>
      </c>
      <c r="K340" s="41">
        <f t="shared" si="39"/>
        <v>0</v>
      </c>
      <c r="L340" s="41">
        <f t="shared" si="39"/>
        <v>0</v>
      </c>
      <c r="M340" s="41">
        <f t="shared" si="39"/>
        <v>0</v>
      </c>
      <c r="N340" s="41">
        <f t="shared" si="39"/>
        <v>0</v>
      </c>
      <c r="O340" s="13" t="s">
        <v>251</v>
      </c>
      <c r="P340" s="215" t="str">
        <f t="shared" si="37"/>
        <v>D4Y</v>
      </c>
      <c r="Q340" s="172"/>
      <c r="R340" s="172"/>
      <c r="S340" s="172"/>
      <c r="T340" s="172"/>
      <c r="U340" s="173"/>
    </row>
    <row r="341" spans="1:21" ht="16.95" customHeight="1" x14ac:dyDescent="0.3">
      <c r="A341" s="41">
        <f t="shared" si="30"/>
        <v>0</v>
      </c>
      <c r="C341" s="9">
        <f t="shared" ref="C341:N341" si="40">B296</f>
        <v>-38083.625401679747</v>
      </c>
      <c r="D341" s="9">
        <f t="shared" si="40"/>
        <v>-31736.354501399786</v>
      </c>
      <c r="E341" s="41">
        <f t="shared" si="40"/>
        <v>0</v>
      </c>
      <c r="F341" s="41">
        <f t="shared" si="40"/>
        <v>0</v>
      </c>
      <c r="G341" s="41">
        <f t="shared" si="40"/>
        <v>-38083.625401679747</v>
      </c>
      <c r="H341" s="9">
        <f t="shared" si="40"/>
        <v>31736.354501399786</v>
      </c>
      <c r="I341" s="41">
        <f t="shared" si="40"/>
        <v>-84000</v>
      </c>
      <c r="J341" s="41">
        <f t="shared" si="40"/>
        <v>0</v>
      </c>
      <c r="K341" s="41">
        <f t="shared" si="40"/>
        <v>244167.25080335949</v>
      </c>
      <c r="L341" s="41">
        <f t="shared" si="40"/>
        <v>0</v>
      </c>
      <c r="M341" s="41">
        <f t="shared" si="40"/>
        <v>-84000</v>
      </c>
      <c r="N341" s="41">
        <f t="shared" si="40"/>
        <v>0</v>
      </c>
      <c r="O341" s="13" t="s">
        <v>251</v>
      </c>
      <c r="P341" s="215" t="str">
        <f t="shared" si="37"/>
        <v>D5X</v>
      </c>
      <c r="Q341" s="172"/>
      <c r="R341" s="172"/>
      <c r="S341" s="172"/>
      <c r="T341" s="172"/>
      <c r="U341" s="173"/>
    </row>
    <row r="342" spans="1:21" ht="16.95" customHeight="1" x14ac:dyDescent="0.3">
      <c r="A342" s="41">
        <f t="shared" si="30"/>
        <v>-5000</v>
      </c>
      <c r="C342" s="9">
        <f t="shared" ref="C342:N342" si="41">B297</f>
        <v>-31736.354501399786</v>
      </c>
      <c r="D342" s="9">
        <f t="shared" si="41"/>
        <v>-26446.962084499821</v>
      </c>
      <c r="E342" s="41">
        <f t="shared" si="41"/>
        <v>0</v>
      </c>
      <c r="F342" s="41">
        <f t="shared" si="41"/>
        <v>-100800</v>
      </c>
      <c r="G342" s="41">
        <f t="shared" si="41"/>
        <v>31736.354501399786</v>
      </c>
      <c r="H342" s="9">
        <f t="shared" si="41"/>
        <v>-26446.962084499821</v>
      </c>
      <c r="I342" s="41">
        <f t="shared" si="41"/>
        <v>0</v>
      </c>
      <c r="J342" s="41">
        <f t="shared" si="41"/>
        <v>0</v>
      </c>
      <c r="K342" s="41">
        <f t="shared" si="41"/>
        <v>0</v>
      </c>
      <c r="L342" s="41">
        <f t="shared" si="41"/>
        <v>153693.92416899966</v>
      </c>
      <c r="M342" s="41">
        <f t="shared" si="41"/>
        <v>0</v>
      </c>
      <c r="N342" s="41">
        <f t="shared" si="41"/>
        <v>0</v>
      </c>
      <c r="O342" s="13" t="s">
        <v>251</v>
      </c>
      <c r="P342" s="215" t="str">
        <f t="shared" si="37"/>
        <v>D5Y</v>
      </c>
      <c r="Q342" s="172"/>
      <c r="R342" s="172"/>
      <c r="S342" s="172"/>
      <c r="T342" s="172"/>
      <c r="U342" s="173"/>
    </row>
    <row r="343" spans="1:21" ht="16.95" customHeight="1" x14ac:dyDescent="0.3">
      <c r="A343" s="41">
        <f t="shared" si="30"/>
        <v>0</v>
      </c>
      <c r="C343" s="9">
        <f t="shared" ref="C343:N343" si="42">B298</f>
        <v>-33034.137460172962</v>
      </c>
      <c r="D343" s="9">
        <f t="shared" si="42"/>
        <v>-13764.223941738735</v>
      </c>
      <c r="E343" s="41">
        <f t="shared" si="42"/>
        <v>-38083.625401679747</v>
      </c>
      <c r="F343" s="41">
        <f t="shared" si="42"/>
        <v>-31736.354501399786</v>
      </c>
      <c r="G343" s="41">
        <f t="shared" si="42"/>
        <v>0</v>
      </c>
      <c r="H343" s="9">
        <f t="shared" si="42"/>
        <v>0</v>
      </c>
      <c r="I343" s="41">
        <f t="shared" si="42"/>
        <v>0</v>
      </c>
      <c r="J343" s="41">
        <f t="shared" si="42"/>
        <v>0</v>
      </c>
      <c r="K343" s="41">
        <f t="shared" si="42"/>
        <v>-84000</v>
      </c>
      <c r="L343" s="41">
        <f t="shared" si="42"/>
        <v>0</v>
      </c>
      <c r="M343" s="41">
        <f t="shared" si="42"/>
        <v>155117.76286185271</v>
      </c>
      <c r="N343" s="41">
        <f t="shared" si="42"/>
        <v>45500.578443138525</v>
      </c>
      <c r="O343" s="13" t="s">
        <v>251</v>
      </c>
      <c r="P343" s="215" t="str">
        <f t="shared" si="37"/>
        <v>D6X</v>
      </c>
      <c r="Q343" s="172"/>
      <c r="R343" s="172"/>
      <c r="S343" s="172"/>
      <c r="T343" s="172"/>
      <c r="U343" s="173"/>
    </row>
    <row r="344" spans="1:21" ht="16.95" customHeight="1" x14ac:dyDescent="0.3">
      <c r="A344" s="41">
        <f t="shared" si="30"/>
        <v>0</v>
      </c>
      <c r="C344" s="9">
        <f t="shared" ref="C344:N344" si="43">B299</f>
        <v>-13764.223941738735</v>
      </c>
      <c r="D344" s="9">
        <f t="shared" si="43"/>
        <v>-5735.0933090578055</v>
      </c>
      <c r="E344" s="41">
        <f t="shared" si="43"/>
        <v>-31736.354501399786</v>
      </c>
      <c r="F344" s="41">
        <f t="shared" si="43"/>
        <v>-26446.962084499821</v>
      </c>
      <c r="G344" s="41">
        <f t="shared" si="43"/>
        <v>0</v>
      </c>
      <c r="H344" s="9">
        <f t="shared" si="43"/>
        <v>-100800</v>
      </c>
      <c r="I344" s="41">
        <f t="shared" si="43"/>
        <v>0</v>
      </c>
      <c r="J344" s="41">
        <f t="shared" si="43"/>
        <v>0</v>
      </c>
      <c r="K344" s="41">
        <f t="shared" si="43"/>
        <v>0</v>
      </c>
      <c r="L344" s="41">
        <f t="shared" si="43"/>
        <v>0</v>
      </c>
      <c r="M344" s="41">
        <f t="shared" si="43"/>
        <v>45500.578443138525</v>
      </c>
      <c r="N344" s="41">
        <f t="shared" si="43"/>
        <v>132982.05539355765</v>
      </c>
      <c r="O344" s="13" t="s">
        <v>251</v>
      </c>
      <c r="P344" s="215" t="str">
        <f t="shared" si="37"/>
        <v>D6Y</v>
      </c>
      <c r="Q344" s="172"/>
      <c r="R344" s="172"/>
      <c r="S344" s="172"/>
      <c r="T344" s="172"/>
      <c r="U344" s="173"/>
    </row>
    <row r="347" spans="1:21" ht="19.95" customHeight="1" x14ac:dyDescent="0.35">
      <c r="A347" s="15" t="s">
        <v>257</v>
      </c>
      <c r="P347" s="216" t="s">
        <v>258</v>
      </c>
      <c r="Q347" s="172"/>
      <c r="R347" s="172"/>
      <c r="S347" s="172"/>
      <c r="T347" s="172"/>
      <c r="U347" s="173"/>
    </row>
    <row r="348" spans="1:21" ht="16.95" customHeight="1" x14ac:dyDescent="0.3">
      <c r="C348" s="38" t="str">
        <f>INDEX(C$317:C$328, MATCH(1, F$317:F$328, 0))</f>
        <v>U2X</v>
      </c>
      <c r="D348" s="38" t="str">
        <f>INDEX(C$317:C$328, MATCH(2, F$317:F$328, 0))</f>
        <v>U2Y</v>
      </c>
      <c r="E348" s="38" t="str">
        <f>INDEX(C$317:C$328, MATCH(3, F$317:F$328, 0))</f>
        <v>U3X</v>
      </c>
      <c r="F348" s="38" t="str">
        <f>INDEX(C$317:C$328, MATCH(4, F$317:F$328, 0))</f>
        <v>U4X</v>
      </c>
      <c r="G348" s="38" t="str">
        <f>INDEX(C$317:C$328, MATCH(5, F$317:F$328, 0))</f>
        <v>U4Y</v>
      </c>
      <c r="H348" s="38" t="str">
        <f>INDEX(C$317:C$328, MATCH(6, F$317:F$328, 0))</f>
        <v>U5X</v>
      </c>
      <c r="I348" s="38" t="str">
        <f>INDEX(C$317:C$328, MATCH(7, F$317:F$328, 0))</f>
        <v>U5Y</v>
      </c>
      <c r="J348" s="38" t="str">
        <f>INDEX(C$317:C$328, MATCH(8, F$317:F$328, 0))</f>
        <v>U6X</v>
      </c>
      <c r="K348" s="38" t="str">
        <f>INDEX(C$317:C$328, MATCH(9, F$317:F$328, 0))</f>
        <v>U6Y</v>
      </c>
      <c r="P348" s="215" t="s">
        <v>383</v>
      </c>
      <c r="Q348" s="172"/>
      <c r="R348" s="172"/>
      <c r="S348" s="172"/>
      <c r="T348" s="172"/>
      <c r="U348" s="173"/>
    </row>
    <row r="349" spans="1:21" ht="16.95" customHeight="1" x14ac:dyDescent="0.3">
      <c r="A349" s="41">
        <f t="shared" ref="A349:A357" si="44">INDEX(E$303:E$314, MATCH(N349, C$303:C$314, 0))</f>
        <v>0</v>
      </c>
      <c r="C349" s="41">
        <f t="shared" ref="C349:K357" si="45">INDEX($B$288:$M$299, MATCH($N349, $N$288:$N$299, 0), MATCH(C$348, $B$287:$M$287, 0))</f>
        <v>244167.25080335949</v>
      </c>
      <c r="D349" s="41">
        <f t="shared" si="45"/>
        <v>0</v>
      </c>
      <c r="E349" s="41">
        <f t="shared" si="45"/>
        <v>-84000</v>
      </c>
      <c r="F349" s="41">
        <f t="shared" si="45"/>
        <v>-38083.625401679747</v>
      </c>
      <c r="G349" s="41">
        <f t="shared" si="45"/>
        <v>31736.354501399786</v>
      </c>
      <c r="H349" s="41">
        <f t="shared" si="45"/>
        <v>0</v>
      </c>
      <c r="I349" s="41">
        <f t="shared" si="45"/>
        <v>0</v>
      </c>
      <c r="J349" s="41">
        <f t="shared" si="45"/>
        <v>-38083.625401679747</v>
      </c>
      <c r="K349" s="41">
        <f t="shared" si="45"/>
        <v>-31736.354501399786</v>
      </c>
      <c r="L349" s="13" t="s">
        <v>251</v>
      </c>
      <c r="M349" s="38" t="str">
        <f>INDEX(B$317:B$328, MATCH(1, F$317:F$328, 0))</f>
        <v>D2X</v>
      </c>
      <c r="N349" s="14" t="str">
        <f>INDEX(C$317:C$328, MATCH(1, F$317:F$328, 0))</f>
        <v>U2X</v>
      </c>
      <c r="P349" s="215" t="s">
        <v>384</v>
      </c>
      <c r="Q349" s="172"/>
      <c r="R349" s="172"/>
      <c r="S349" s="172"/>
      <c r="T349" s="172"/>
      <c r="U349" s="173"/>
    </row>
    <row r="350" spans="1:21" ht="16.95" customHeight="1" x14ac:dyDescent="0.3">
      <c r="A350" s="41">
        <f t="shared" si="44"/>
        <v>-6000</v>
      </c>
      <c r="C350" s="41">
        <f t="shared" si="45"/>
        <v>0</v>
      </c>
      <c r="D350" s="41">
        <f t="shared" si="45"/>
        <v>153693.92416899966</v>
      </c>
      <c r="E350" s="41">
        <f t="shared" si="45"/>
        <v>0</v>
      </c>
      <c r="F350" s="41">
        <f t="shared" si="45"/>
        <v>31736.354501399786</v>
      </c>
      <c r="G350" s="41">
        <f t="shared" si="45"/>
        <v>-26446.962084499821</v>
      </c>
      <c r="H350" s="41">
        <f t="shared" si="45"/>
        <v>0</v>
      </c>
      <c r="I350" s="41">
        <f t="shared" si="45"/>
        <v>-100800</v>
      </c>
      <c r="J350" s="41">
        <f t="shared" si="45"/>
        <v>-31736.354501399786</v>
      </c>
      <c r="K350" s="41">
        <f t="shared" si="45"/>
        <v>-26446.962084499821</v>
      </c>
      <c r="L350" s="13" t="s">
        <v>251</v>
      </c>
      <c r="M350" s="38" t="str">
        <f>INDEX(B$317:B$328, MATCH(2, F$317:F$328, 0))</f>
        <v>D2Y</v>
      </c>
      <c r="N350" s="14" t="str">
        <f>INDEX(C$317:C$328, MATCH(2, F$317:F$328, 0))</f>
        <v>U2Y</v>
      </c>
      <c r="P350" s="215" t="s">
        <v>385</v>
      </c>
      <c r="Q350" s="172"/>
      <c r="R350" s="172"/>
      <c r="S350" s="172"/>
      <c r="T350" s="172"/>
      <c r="U350" s="173"/>
    </row>
    <row r="351" spans="1:21" ht="16.95" customHeight="1" x14ac:dyDescent="0.3">
      <c r="A351" s="41">
        <f t="shared" si="44"/>
        <v>0</v>
      </c>
      <c r="C351" s="41">
        <f t="shared" si="45"/>
        <v>-84000</v>
      </c>
      <c r="D351" s="41">
        <f t="shared" si="45"/>
        <v>0</v>
      </c>
      <c r="E351" s="41">
        <f t="shared" si="45"/>
        <v>122083.62540167975</v>
      </c>
      <c r="F351" s="41">
        <f t="shared" si="45"/>
        <v>0</v>
      </c>
      <c r="G351" s="41">
        <f t="shared" si="45"/>
        <v>0</v>
      </c>
      <c r="H351" s="41">
        <f t="shared" si="45"/>
        <v>-38083.625401679747</v>
      </c>
      <c r="I351" s="41">
        <f t="shared" si="45"/>
        <v>31736.354501399786</v>
      </c>
      <c r="J351" s="41">
        <f t="shared" si="45"/>
        <v>0</v>
      </c>
      <c r="K351" s="41">
        <f t="shared" si="45"/>
        <v>0</v>
      </c>
      <c r="L351" s="13" t="s">
        <v>251</v>
      </c>
      <c r="M351" s="38" t="str">
        <f>INDEX(B$317:B$328, MATCH(3, F$317:F$328, 0))</f>
        <v>D3X</v>
      </c>
      <c r="N351" s="14" t="str">
        <f>INDEX(C$317:C$328, MATCH(3, F$317:F$328, 0))</f>
        <v>U3X</v>
      </c>
      <c r="P351" s="215" t="s">
        <v>386</v>
      </c>
      <c r="Q351" s="172"/>
      <c r="R351" s="172"/>
      <c r="S351" s="172"/>
      <c r="T351" s="172"/>
      <c r="U351" s="173"/>
    </row>
    <row r="352" spans="1:21" ht="16.95" customHeight="1" x14ac:dyDescent="0.3">
      <c r="A352" s="41">
        <f t="shared" si="44"/>
        <v>0</v>
      </c>
      <c r="C352" s="41">
        <f t="shared" si="45"/>
        <v>-38083.625401679747</v>
      </c>
      <c r="D352" s="41">
        <f t="shared" si="45"/>
        <v>31736.354501399786</v>
      </c>
      <c r="E352" s="41">
        <f t="shared" si="45"/>
        <v>0</v>
      </c>
      <c r="F352" s="41">
        <f t="shared" si="45"/>
        <v>122083.62540167975</v>
      </c>
      <c r="G352" s="41">
        <f t="shared" si="45"/>
        <v>-31736.354501399786</v>
      </c>
      <c r="H352" s="41">
        <f t="shared" si="45"/>
        <v>-84000</v>
      </c>
      <c r="I352" s="41">
        <f t="shared" si="45"/>
        <v>0</v>
      </c>
      <c r="J352" s="41">
        <f t="shared" si="45"/>
        <v>0</v>
      </c>
      <c r="K352" s="41">
        <f t="shared" si="45"/>
        <v>0</v>
      </c>
      <c r="L352" s="13" t="s">
        <v>251</v>
      </c>
      <c r="M352" s="38" t="str">
        <f>INDEX(B$317:B$328, MATCH(4, F$317:F$328, 0))</f>
        <v>D4X</v>
      </c>
      <c r="N352" s="14" t="str">
        <f>INDEX(C$317:C$328, MATCH(4, F$317:F$328, 0))</f>
        <v>U4X</v>
      </c>
      <c r="P352" s="215" t="s">
        <v>387</v>
      </c>
      <c r="Q352" s="172"/>
      <c r="R352" s="172"/>
      <c r="S352" s="172"/>
      <c r="T352" s="172"/>
      <c r="U352" s="173"/>
    </row>
    <row r="353" spans="1:21" ht="16.95" customHeight="1" x14ac:dyDescent="0.3">
      <c r="A353" s="41">
        <f t="shared" si="44"/>
        <v>0</v>
      </c>
      <c r="B353" s="13" t="s">
        <v>220</v>
      </c>
      <c r="C353" s="41">
        <f t="shared" si="45"/>
        <v>31736.354501399786</v>
      </c>
      <c r="D353" s="41">
        <f t="shared" si="45"/>
        <v>-26446.962084499821</v>
      </c>
      <c r="E353" s="41">
        <f t="shared" si="45"/>
        <v>0</v>
      </c>
      <c r="F353" s="41">
        <f t="shared" si="45"/>
        <v>-31736.354501399786</v>
      </c>
      <c r="G353" s="41">
        <f t="shared" si="45"/>
        <v>127246.96208449983</v>
      </c>
      <c r="H353" s="41">
        <f t="shared" si="45"/>
        <v>0</v>
      </c>
      <c r="I353" s="41">
        <f t="shared" si="45"/>
        <v>0</v>
      </c>
      <c r="J353" s="41">
        <f t="shared" si="45"/>
        <v>0</v>
      </c>
      <c r="K353" s="41">
        <f t="shared" si="45"/>
        <v>0</v>
      </c>
      <c r="L353" s="13" t="s">
        <v>251</v>
      </c>
      <c r="M353" s="38" t="str">
        <f>INDEX(B$317:B$328, MATCH(5, F$317:F$328, 0))</f>
        <v>D4Y</v>
      </c>
      <c r="N353" s="14" t="str">
        <f>INDEX(C$317:C$328, MATCH(5, F$317:F$328, 0))</f>
        <v>U4Y</v>
      </c>
      <c r="P353" s="215" t="s">
        <v>388</v>
      </c>
      <c r="Q353" s="172"/>
      <c r="R353" s="172"/>
      <c r="S353" s="172"/>
      <c r="T353" s="172"/>
      <c r="U353" s="173"/>
    </row>
    <row r="354" spans="1:21" ht="16.95" customHeight="1" x14ac:dyDescent="0.3">
      <c r="A354" s="41">
        <f t="shared" si="44"/>
        <v>0</v>
      </c>
      <c r="C354" s="41">
        <f t="shared" si="45"/>
        <v>0</v>
      </c>
      <c r="D354" s="41">
        <f t="shared" si="45"/>
        <v>0</v>
      </c>
      <c r="E354" s="41">
        <f t="shared" si="45"/>
        <v>-38083.625401679747</v>
      </c>
      <c r="F354" s="41">
        <f t="shared" si="45"/>
        <v>-84000</v>
      </c>
      <c r="G354" s="41">
        <f t="shared" si="45"/>
        <v>0</v>
      </c>
      <c r="H354" s="41">
        <f t="shared" si="45"/>
        <v>244167.25080335949</v>
      </c>
      <c r="I354" s="41">
        <f t="shared" si="45"/>
        <v>0</v>
      </c>
      <c r="J354" s="41">
        <f t="shared" si="45"/>
        <v>-84000</v>
      </c>
      <c r="K354" s="41">
        <f t="shared" si="45"/>
        <v>0</v>
      </c>
      <c r="L354" s="13" t="s">
        <v>251</v>
      </c>
      <c r="M354" s="38" t="str">
        <f>INDEX(B$317:B$328, MATCH(6, F$317:F$328, 0))</f>
        <v>D5X</v>
      </c>
      <c r="N354" s="14" t="str">
        <f>INDEX(C$317:C$328, MATCH(6, F$317:F$328, 0))</f>
        <v>U5X</v>
      </c>
      <c r="P354" s="215"/>
      <c r="Q354" s="172"/>
      <c r="R354" s="172"/>
      <c r="S354" s="172"/>
      <c r="T354" s="172"/>
      <c r="U354" s="173"/>
    </row>
    <row r="355" spans="1:21" ht="16.95" customHeight="1" x14ac:dyDescent="0.3">
      <c r="A355" s="41">
        <f t="shared" si="44"/>
        <v>-5000</v>
      </c>
      <c r="C355" s="41">
        <f t="shared" si="45"/>
        <v>0</v>
      </c>
      <c r="D355" s="41">
        <f t="shared" si="45"/>
        <v>-100800</v>
      </c>
      <c r="E355" s="41">
        <f t="shared" si="45"/>
        <v>31736.354501399786</v>
      </c>
      <c r="F355" s="41">
        <f t="shared" si="45"/>
        <v>0</v>
      </c>
      <c r="G355" s="41">
        <f t="shared" si="45"/>
        <v>0</v>
      </c>
      <c r="H355" s="41">
        <f t="shared" si="45"/>
        <v>0</v>
      </c>
      <c r="I355" s="41">
        <f t="shared" si="45"/>
        <v>153693.92416899966</v>
      </c>
      <c r="J355" s="41">
        <f t="shared" si="45"/>
        <v>0</v>
      </c>
      <c r="K355" s="41">
        <f t="shared" si="45"/>
        <v>0</v>
      </c>
      <c r="L355" s="13" t="s">
        <v>251</v>
      </c>
      <c r="M355" s="38" t="str">
        <f>INDEX(B$317:B$328, MATCH(7, F$317:F$328, 0))</f>
        <v>D5Y</v>
      </c>
      <c r="N355" s="14" t="str">
        <f>INDEX(C$317:C$328, MATCH(7, F$317:F$328, 0))</f>
        <v>U5Y</v>
      </c>
      <c r="P355" s="215"/>
      <c r="Q355" s="172"/>
      <c r="R355" s="172"/>
      <c r="S355" s="172"/>
      <c r="T355" s="172"/>
      <c r="U355" s="173"/>
    </row>
    <row r="356" spans="1:21" ht="16.95" customHeight="1" x14ac:dyDescent="0.3">
      <c r="A356" s="41">
        <f t="shared" si="44"/>
        <v>0</v>
      </c>
      <c r="C356" s="41">
        <f t="shared" si="45"/>
        <v>-38083.625401679747</v>
      </c>
      <c r="D356" s="41">
        <f t="shared" si="45"/>
        <v>-31736.354501399786</v>
      </c>
      <c r="E356" s="41">
        <f t="shared" si="45"/>
        <v>0</v>
      </c>
      <c r="F356" s="41">
        <f t="shared" si="45"/>
        <v>0</v>
      </c>
      <c r="G356" s="41">
        <f t="shared" si="45"/>
        <v>0</v>
      </c>
      <c r="H356" s="41">
        <f t="shared" si="45"/>
        <v>-84000</v>
      </c>
      <c r="I356" s="41">
        <f t="shared" si="45"/>
        <v>0</v>
      </c>
      <c r="J356" s="41">
        <f t="shared" si="45"/>
        <v>155117.76286185271</v>
      </c>
      <c r="K356" s="41">
        <f t="shared" si="45"/>
        <v>45500.578443138525</v>
      </c>
      <c r="L356" s="13" t="s">
        <v>251</v>
      </c>
      <c r="M356" s="38" t="str">
        <f>INDEX(B$317:B$328, MATCH(8, F$317:F$328, 0))</f>
        <v>D6X</v>
      </c>
      <c r="N356" s="14" t="str">
        <f>INDEX(C$317:C$328, MATCH(8, F$317:F$328, 0))</f>
        <v>U6X</v>
      </c>
      <c r="P356" s="215"/>
      <c r="Q356" s="172"/>
      <c r="R356" s="172"/>
      <c r="S356" s="172"/>
      <c r="T356" s="172"/>
      <c r="U356" s="173"/>
    </row>
    <row r="357" spans="1:21" ht="16.95" customHeight="1" x14ac:dyDescent="0.3">
      <c r="A357" s="41">
        <f t="shared" si="44"/>
        <v>0</v>
      </c>
      <c r="C357" s="41">
        <f t="shared" si="45"/>
        <v>-31736.354501399786</v>
      </c>
      <c r="D357" s="41">
        <f t="shared" si="45"/>
        <v>-26446.962084499821</v>
      </c>
      <c r="E357" s="41">
        <f t="shared" si="45"/>
        <v>0</v>
      </c>
      <c r="F357" s="41">
        <f t="shared" si="45"/>
        <v>0</v>
      </c>
      <c r="G357" s="41">
        <f t="shared" si="45"/>
        <v>0</v>
      </c>
      <c r="H357" s="41">
        <f t="shared" si="45"/>
        <v>0</v>
      </c>
      <c r="I357" s="41">
        <f t="shared" si="45"/>
        <v>0</v>
      </c>
      <c r="J357" s="41">
        <f t="shared" si="45"/>
        <v>45500.578443138525</v>
      </c>
      <c r="K357" s="41">
        <f t="shared" si="45"/>
        <v>132982.05539355765</v>
      </c>
      <c r="L357" s="13" t="s">
        <v>251</v>
      </c>
      <c r="M357" s="38" t="str">
        <f>INDEX(B$317:B$328, MATCH(9, F$317:F$328, 0))</f>
        <v>D6Y</v>
      </c>
      <c r="N357" s="14" t="str">
        <f>INDEX(C$317:C$328, MATCH(9, F$317:F$328, 0))</f>
        <v>U6Y</v>
      </c>
      <c r="P357" s="215"/>
      <c r="Q357" s="172"/>
      <c r="R357" s="172"/>
      <c r="S357" s="172"/>
      <c r="T357" s="172"/>
      <c r="U357" s="173"/>
    </row>
    <row r="358" spans="1:21" ht="16.95" customHeight="1" x14ac:dyDescent="0.3">
      <c r="P358" s="215"/>
      <c r="Q358" s="172"/>
      <c r="R358" s="172"/>
      <c r="S358" s="172"/>
      <c r="T358" s="172"/>
      <c r="U358" s="173"/>
    </row>
    <row r="359" spans="1:21" ht="16.95" customHeight="1" x14ac:dyDescent="0.3">
      <c r="C359" s="218" t="s">
        <v>263</v>
      </c>
      <c r="D359" s="172"/>
      <c r="E359" s="172"/>
      <c r="F359" s="172"/>
      <c r="G359" s="172"/>
      <c r="H359" s="172"/>
      <c r="I359" s="172"/>
      <c r="J359" s="172"/>
      <c r="K359" s="173"/>
      <c r="P359" s="215"/>
      <c r="Q359" s="172"/>
      <c r="R359" s="172"/>
      <c r="S359" s="172"/>
      <c r="T359" s="172"/>
      <c r="U359" s="173"/>
    </row>
    <row r="360" spans="1:21" ht="16.95" customHeight="1" x14ac:dyDescent="0.3">
      <c r="A360" s="99" t="s">
        <v>249</v>
      </c>
      <c r="C360" s="193" t="s">
        <v>264</v>
      </c>
      <c r="D360" s="175"/>
      <c r="E360" s="175"/>
      <c r="F360" s="175"/>
      <c r="G360" s="175"/>
      <c r="H360" s="175"/>
      <c r="I360" s="175"/>
      <c r="J360" s="175"/>
      <c r="K360" s="175"/>
      <c r="M360" s="99" t="s">
        <v>247</v>
      </c>
      <c r="P360" s="215"/>
      <c r="Q360" s="172"/>
      <c r="R360" s="172"/>
      <c r="S360" s="172"/>
      <c r="T360" s="172"/>
      <c r="U360" s="173"/>
    </row>
    <row r="361" spans="1:21" ht="16.95" customHeight="1" x14ac:dyDescent="0.3">
      <c r="A361" s="12" t="str">
        <f t="shared" ref="A361:A369" si="46">M349</f>
        <v>D2X</v>
      </c>
      <c r="C361" s="93">
        <f t="array" ref="C361:K369">MINVERSE(C349:K357)</f>
        <v>9.2426188130398713E-6</v>
      </c>
      <c r="D361" s="93">
        <v>-3.5580100730722859E-6</v>
      </c>
      <c r="E361" s="93">
        <v>9.1695507483079752E-6</v>
      </c>
      <c r="F361" s="93">
        <v>7.2621032054388867E-6</v>
      </c>
      <c r="G361" s="93">
        <v>-1.233451080843602E-6</v>
      </c>
      <c r="H361" s="93">
        <v>5.4859336490241005E-6</v>
      </c>
      <c r="I361" s="93">
        <v>-4.2269434660163402E-6</v>
      </c>
      <c r="J361" s="93">
        <v>4.5268920489849627E-6</v>
      </c>
      <c r="K361" s="93">
        <v>-5.0741711619371444E-8</v>
      </c>
      <c r="M361" s="17">
        <f t="shared" ref="M361:M369" si="47">A349</f>
        <v>0</v>
      </c>
      <c r="P361" s="215"/>
      <c r="Q361" s="172"/>
      <c r="R361" s="172"/>
      <c r="S361" s="172"/>
      <c r="T361" s="172"/>
      <c r="U361" s="173"/>
    </row>
    <row r="362" spans="1:21" ht="16.95" customHeight="1" x14ac:dyDescent="0.3">
      <c r="A362" s="12" t="str">
        <f t="shared" si="46"/>
        <v>D2Y</v>
      </c>
      <c r="C362" s="93">
        <v>-3.5580100730722859E-6</v>
      </c>
      <c r="D362" s="93">
        <v>1.7317306147490799E-5</v>
      </c>
      <c r="E362" s="93">
        <v>-6.9189293839864473E-6</v>
      </c>
      <c r="F362" s="93">
        <v>-7.4587613474025271E-6</v>
      </c>
      <c r="G362" s="93">
        <v>2.6263457166270691E-6</v>
      </c>
      <c r="H362" s="93">
        <v>-3.6768235154595479E-6</v>
      </c>
      <c r="I362" s="93">
        <v>1.278623124494205E-5</v>
      </c>
      <c r="J362" s="93">
        <v>-9.1976445674694157E-8</v>
      </c>
      <c r="K362" s="93">
        <v>2.6263457166270699E-6</v>
      </c>
      <c r="M362" s="17">
        <f t="shared" si="47"/>
        <v>-6000</v>
      </c>
      <c r="P362" s="215"/>
      <c r="Q362" s="172"/>
      <c r="R362" s="172"/>
      <c r="S362" s="172"/>
      <c r="T362" s="172"/>
      <c r="U362" s="173"/>
    </row>
    <row r="363" spans="1:21" ht="16.95" customHeight="1" x14ac:dyDescent="0.3">
      <c r="A363" s="12" t="str">
        <f t="shared" si="46"/>
        <v>D3X</v>
      </c>
      <c r="C363" s="93">
        <v>9.1695507483079768E-6</v>
      </c>
      <c r="D363" s="93">
        <v>-6.9189293839864439E-6</v>
      </c>
      <c r="E363" s="93">
        <v>1.9384251102069116E-5</v>
      </c>
      <c r="F363" s="93">
        <v>1.0229558302491023E-5</v>
      </c>
      <c r="G363" s="93">
        <v>-1.1736538548616406E-6</v>
      </c>
      <c r="H363" s="93">
        <v>8.5394967514902609E-6</v>
      </c>
      <c r="I363" s="93">
        <v>-8.5404387565894739E-6</v>
      </c>
      <c r="J363" s="93">
        <v>5.8042855950363352E-6</v>
      </c>
      <c r="K363" s="93">
        <v>-1.1736538548616415E-6</v>
      </c>
      <c r="M363" s="17">
        <f t="shared" si="47"/>
        <v>0</v>
      </c>
      <c r="P363" s="215"/>
      <c r="Q363" s="172"/>
      <c r="R363" s="172"/>
      <c r="S363" s="172"/>
      <c r="T363" s="172"/>
      <c r="U363" s="173"/>
    </row>
    <row r="364" spans="1:21" ht="16.95" customHeight="1" x14ac:dyDescent="0.3">
      <c r="A364" s="12" t="str">
        <f t="shared" si="46"/>
        <v>D4X</v>
      </c>
      <c r="C364" s="93">
        <v>7.2621032054388884E-6</v>
      </c>
      <c r="D364" s="93">
        <v>-7.4587613474025271E-6</v>
      </c>
      <c r="E364" s="93">
        <v>1.0229558302491025E-5</v>
      </c>
      <c r="F364" s="93">
        <v>2.0368120418515839E-5</v>
      </c>
      <c r="G364" s="93">
        <v>1.7185135600986389E-6</v>
      </c>
      <c r="H364" s="93">
        <v>1.093801804029598E-5</v>
      </c>
      <c r="I364" s="93">
        <v>-7.0041287469182713E-6</v>
      </c>
      <c r="J364" s="93">
        <v>6.7881549114830604E-6</v>
      </c>
      <c r="K364" s="93">
        <v>-2.0728651773116771E-6</v>
      </c>
      <c r="M364" s="17">
        <f t="shared" si="47"/>
        <v>0</v>
      </c>
      <c r="P364" s="215"/>
      <c r="Q364" s="172"/>
      <c r="R364" s="172"/>
      <c r="S364" s="172"/>
      <c r="T364" s="172"/>
      <c r="U364" s="173"/>
    </row>
    <row r="365" spans="1:21" ht="16.95" customHeight="1" x14ac:dyDescent="0.3">
      <c r="A365" s="12" t="str">
        <f t="shared" si="46"/>
        <v>D4Y</v>
      </c>
      <c r="B365" s="13" t="s">
        <v>220</v>
      </c>
      <c r="C365" s="93">
        <v>-1.2334510808436024E-6</v>
      </c>
      <c r="D365" s="93">
        <v>2.6263457166270699E-6</v>
      </c>
      <c r="E365" s="93">
        <v>-1.1736538548616409E-6</v>
      </c>
      <c r="F365" s="93">
        <v>1.7185135600986389E-6</v>
      </c>
      <c r="G365" s="93">
        <v>9.140834821161119E-6</v>
      </c>
      <c r="H365" s="93">
        <v>5.9560141685636885E-7</v>
      </c>
      <c r="I365" s="93">
        <v>1.9648346196416695E-6</v>
      </c>
      <c r="J365" s="93">
        <v>5.448597052369974E-7</v>
      </c>
      <c r="K365" s="93">
        <v>4.1525851376362003E-8</v>
      </c>
      <c r="M365" s="17">
        <f t="shared" si="47"/>
        <v>0</v>
      </c>
      <c r="P365" s="215"/>
      <c r="Q365" s="172"/>
      <c r="R365" s="172"/>
      <c r="S365" s="172"/>
      <c r="T365" s="172"/>
      <c r="U365" s="173"/>
    </row>
    <row r="366" spans="1:21" ht="16.95" customHeight="1" x14ac:dyDescent="0.3">
      <c r="A366" s="12" t="str">
        <f t="shared" si="46"/>
        <v>D5X</v>
      </c>
      <c r="C366" s="93">
        <v>5.4859336490241005E-6</v>
      </c>
      <c r="D366" s="93">
        <v>-3.6768235154595471E-6</v>
      </c>
      <c r="E366" s="93">
        <v>8.5394967514902626E-6</v>
      </c>
      <c r="F366" s="93">
        <v>1.0938018040295977E-5</v>
      </c>
      <c r="G366" s="93">
        <v>5.9560141685636917E-7</v>
      </c>
      <c r="H366" s="93">
        <v>1.179568408056915E-5</v>
      </c>
      <c r="I366" s="93">
        <v>-4.1747668946342665E-6</v>
      </c>
      <c r="J366" s="93">
        <v>7.5727528870243366E-6</v>
      </c>
      <c r="K366" s="93">
        <v>-2.0130679513297162E-6</v>
      </c>
      <c r="M366" s="17">
        <f t="shared" si="47"/>
        <v>0</v>
      </c>
      <c r="P366" s="215"/>
      <c r="Q366" s="172"/>
      <c r="R366" s="172"/>
      <c r="S366" s="172"/>
      <c r="T366" s="172"/>
      <c r="U366" s="173"/>
    </row>
    <row r="367" spans="1:21" ht="16.95" customHeight="1" x14ac:dyDescent="0.3">
      <c r="A367" s="12" t="str">
        <f t="shared" si="46"/>
        <v>D5Y</v>
      </c>
      <c r="C367" s="93">
        <v>-4.226943466016341E-6</v>
      </c>
      <c r="D367" s="93">
        <v>1.2786231244942051E-5</v>
      </c>
      <c r="E367" s="93">
        <v>-8.5404387565894773E-6</v>
      </c>
      <c r="F367" s="93">
        <v>-7.0041287469182721E-6</v>
      </c>
      <c r="G367" s="93">
        <v>1.9648346196416695E-6</v>
      </c>
      <c r="H367" s="93">
        <v>-4.1747668946342665E-6</v>
      </c>
      <c r="I367" s="93">
        <v>1.6655795050505397E-5</v>
      </c>
      <c r="J367" s="93">
        <v>-1.2588532177934682E-6</v>
      </c>
      <c r="K367" s="93">
        <v>1.9648346196416704E-6</v>
      </c>
      <c r="M367" s="17">
        <f t="shared" si="47"/>
        <v>-5000</v>
      </c>
      <c r="P367" s="215"/>
      <c r="Q367" s="172"/>
      <c r="R367" s="172"/>
      <c r="S367" s="172"/>
      <c r="T367" s="172"/>
      <c r="U367" s="173"/>
    </row>
    <row r="368" spans="1:21" ht="16.95" customHeight="1" x14ac:dyDescent="0.3">
      <c r="A368" s="12" t="str">
        <f t="shared" si="46"/>
        <v>D6X</v>
      </c>
      <c r="C368" s="93">
        <v>4.5268920489849619E-6</v>
      </c>
      <c r="D368" s="93">
        <v>-9.1976445674693733E-8</v>
      </c>
      <c r="E368" s="93">
        <v>5.804285595036336E-6</v>
      </c>
      <c r="F368" s="93">
        <v>6.7881549114830596E-6</v>
      </c>
      <c r="G368" s="93">
        <v>5.448597052369975E-7</v>
      </c>
      <c r="H368" s="93">
        <v>7.5727528870243349E-6</v>
      </c>
      <c r="I368" s="93">
        <v>-1.2588532177934682E-6</v>
      </c>
      <c r="J368" s="93">
        <v>1.2592440506519393E-5</v>
      </c>
      <c r="K368" s="93">
        <v>-3.2465190321733192E-6</v>
      </c>
      <c r="M368" s="17">
        <f t="shared" si="47"/>
        <v>0</v>
      </c>
      <c r="P368" s="215"/>
      <c r="Q368" s="172"/>
      <c r="R368" s="172"/>
      <c r="S368" s="172"/>
      <c r="T368" s="172"/>
      <c r="U368" s="173"/>
    </row>
    <row r="369" spans="1:21" ht="16.95" customHeight="1" x14ac:dyDescent="0.3">
      <c r="A369" s="12" t="str">
        <f t="shared" si="46"/>
        <v>D6Y</v>
      </c>
      <c r="C369" s="93">
        <v>-5.0741711619372252E-8</v>
      </c>
      <c r="D369" s="93">
        <v>2.6263457166270699E-6</v>
      </c>
      <c r="E369" s="93">
        <v>-1.1736538548616421E-6</v>
      </c>
      <c r="F369" s="93">
        <v>-2.0728651773116775E-6</v>
      </c>
      <c r="G369" s="93">
        <v>4.1525851376361884E-8</v>
      </c>
      <c r="H369" s="93">
        <v>-2.0130679513297166E-6</v>
      </c>
      <c r="I369" s="93">
        <v>1.9648346196416704E-6</v>
      </c>
      <c r="J369" s="93">
        <v>-3.2465190321733196E-6</v>
      </c>
      <c r="K369" s="93">
        <v>9.1408348211611207E-6</v>
      </c>
      <c r="M369" s="17">
        <f t="shared" si="47"/>
        <v>0</v>
      </c>
      <c r="P369" s="215"/>
      <c r="Q369" s="172"/>
      <c r="R369" s="172"/>
      <c r="S369" s="172"/>
      <c r="T369" s="172"/>
      <c r="U369" s="173"/>
    </row>
    <row r="370" spans="1:21" ht="16.95" customHeight="1" x14ac:dyDescent="0.3">
      <c r="P370" s="215"/>
      <c r="Q370" s="172"/>
      <c r="R370" s="172"/>
      <c r="S370" s="172"/>
      <c r="T370" s="172"/>
      <c r="U370" s="173"/>
    </row>
    <row r="371" spans="1:21" ht="16.95" customHeight="1" x14ac:dyDescent="0.3">
      <c r="C371" s="218" t="s">
        <v>265</v>
      </c>
      <c r="D371" s="173"/>
      <c r="P371" s="215"/>
      <c r="Q371" s="172"/>
      <c r="R371" s="172"/>
      <c r="S371" s="172"/>
      <c r="T371" s="172"/>
      <c r="U371" s="173"/>
    </row>
    <row r="372" spans="1:21" ht="16.95" customHeight="1" x14ac:dyDescent="0.3">
      <c r="A372" s="99" t="s">
        <v>249</v>
      </c>
      <c r="C372" s="99" t="s">
        <v>266</v>
      </c>
      <c r="P372" s="215"/>
      <c r="Q372" s="172"/>
      <c r="R372" s="172"/>
      <c r="S372" s="172"/>
      <c r="T372" s="172"/>
      <c r="U372" s="173"/>
    </row>
    <row r="373" spans="1:21" ht="16.95" customHeight="1" x14ac:dyDescent="0.3">
      <c r="A373" s="12" t="str">
        <f t="shared" ref="A373:A381" si="48">A361</f>
        <v>D2X</v>
      </c>
      <c r="C373" s="94">
        <f t="array" ref="C373:C381">MMULT(C361:K369, M361:M369)</f>
        <v>4.2482777768515417E-2</v>
      </c>
      <c r="D373" s="12" t="s">
        <v>267</v>
      </c>
      <c r="P373" s="215"/>
      <c r="Q373" s="172"/>
      <c r="R373" s="172"/>
      <c r="S373" s="172"/>
      <c r="T373" s="172"/>
      <c r="U373" s="173"/>
    </row>
    <row r="374" spans="1:21" ht="16.95" customHeight="1" x14ac:dyDescent="0.3">
      <c r="A374" s="12" t="str">
        <f t="shared" si="48"/>
        <v>D2Y</v>
      </c>
      <c r="C374" s="94">
        <v>-0.16783499310965505</v>
      </c>
      <c r="D374" s="12" t="s">
        <v>267</v>
      </c>
      <c r="P374" s="215"/>
      <c r="Q374" s="172"/>
      <c r="R374" s="172"/>
      <c r="S374" s="172"/>
      <c r="T374" s="172"/>
      <c r="U374" s="173"/>
    </row>
    <row r="375" spans="1:21" ht="16.95" customHeight="1" x14ac:dyDescent="0.3">
      <c r="A375" s="12" t="str">
        <f t="shared" si="48"/>
        <v>D3X</v>
      </c>
      <c r="C375" s="94">
        <v>8.4215770086866037E-2</v>
      </c>
      <c r="D375" s="12" t="s">
        <v>267</v>
      </c>
      <c r="P375" s="215"/>
      <c r="Q375" s="172"/>
      <c r="R375" s="172"/>
      <c r="S375" s="172"/>
      <c r="T375" s="172"/>
      <c r="U375" s="173"/>
    </row>
    <row r="376" spans="1:21" ht="16.95" customHeight="1" x14ac:dyDescent="0.3">
      <c r="A376" s="12" t="str">
        <f t="shared" si="48"/>
        <v>D4X</v>
      </c>
      <c r="C376" s="94">
        <v>7.9773211819006512E-2</v>
      </c>
      <c r="D376" s="12" t="s">
        <v>267</v>
      </c>
      <c r="P376" s="215"/>
      <c r="Q376" s="172"/>
      <c r="R376" s="172"/>
      <c r="S376" s="172"/>
      <c r="T376" s="172"/>
      <c r="U376" s="173"/>
    </row>
    <row r="377" spans="1:21" ht="16.95" customHeight="1" x14ac:dyDescent="0.3">
      <c r="A377" s="12" t="str">
        <f t="shared" si="48"/>
        <v>D4Y</v>
      </c>
      <c r="B377" s="13" t="s">
        <v>220</v>
      </c>
      <c r="C377" s="94">
        <v>-2.558224739797077E-2</v>
      </c>
      <c r="D377" s="12" t="s">
        <v>267</v>
      </c>
      <c r="P377" s="215"/>
      <c r="Q377" s="172"/>
      <c r="R377" s="172"/>
      <c r="S377" s="172"/>
      <c r="T377" s="172"/>
      <c r="U377" s="173"/>
    </row>
    <row r="378" spans="1:21" ht="16.95" customHeight="1" x14ac:dyDescent="0.3">
      <c r="A378" s="12" t="str">
        <f t="shared" si="48"/>
        <v>D5X</v>
      </c>
      <c r="C378" s="94">
        <v>4.2934775565928618E-2</v>
      </c>
      <c r="D378" s="12" t="s">
        <v>267</v>
      </c>
      <c r="P378" s="215"/>
      <c r="Q378" s="172"/>
      <c r="R378" s="172"/>
      <c r="S378" s="172"/>
      <c r="T378" s="172"/>
      <c r="U378" s="173"/>
    </row>
    <row r="379" spans="1:21" ht="16.95" customHeight="1" x14ac:dyDescent="0.3">
      <c r="A379" s="12" t="str">
        <f t="shared" si="48"/>
        <v>D5Y</v>
      </c>
      <c r="C379" s="94">
        <v>-0.15999636272217929</v>
      </c>
      <c r="D379" s="12" t="s">
        <v>267</v>
      </c>
      <c r="P379" s="215"/>
      <c r="Q379" s="172"/>
      <c r="R379" s="172"/>
      <c r="S379" s="172"/>
      <c r="T379" s="172"/>
      <c r="U379" s="173"/>
    </row>
    <row r="380" spans="1:21" ht="16.95" customHeight="1" x14ac:dyDescent="0.3">
      <c r="A380" s="12" t="str">
        <f t="shared" si="48"/>
        <v>D6X</v>
      </c>
      <c r="C380" s="94">
        <v>6.8461247630155035E-3</v>
      </c>
      <c r="D380" s="12" t="s">
        <v>267</v>
      </c>
      <c r="P380" s="215"/>
      <c r="Q380" s="172"/>
      <c r="R380" s="172"/>
      <c r="S380" s="172"/>
      <c r="T380" s="172"/>
      <c r="U380" s="173"/>
    </row>
    <row r="381" spans="1:21" ht="16.95" customHeight="1" x14ac:dyDescent="0.3">
      <c r="A381" s="12" t="str">
        <f t="shared" si="48"/>
        <v>D6Y</v>
      </c>
      <c r="C381" s="94">
        <v>-2.558224739797077E-2</v>
      </c>
      <c r="D381" s="12" t="s">
        <v>267</v>
      </c>
      <c r="P381" s="215"/>
      <c r="Q381" s="172"/>
      <c r="R381" s="172"/>
      <c r="S381" s="172"/>
      <c r="T381" s="172"/>
      <c r="U381" s="173"/>
    </row>
    <row r="384" spans="1:21" ht="19.95" customHeight="1" x14ac:dyDescent="0.35">
      <c r="A384" s="11" t="s">
        <v>268</v>
      </c>
      <c r="P384" s="216" t="s">
        <v>269</v>
      </c>
      <c r="Q384" s="172"/>
      <c r="R384" s="172"/>
      <c r="S384" s="172"/>
      <c r="T384" s="172"/>
      <c r="U384" s="173"/>
    </row>
    <row r="385" spans="1:21" ht="16.95" customHeight="1" x14ac:dyDescent="0.3">
      <c r="A385" s="99" t="s">
        <v>247</v>
      </c>
      <c r="M385" s="99" t="s">
        <v>249</v>
      </c>
      <c r="P385" s="215" t="s">
        <v>389</v>
      </c>
      <c r="Q385" s="172"/>
      <c r="R385" s="172"/>
      <c r="S385" s="172"/>
      <c r="T385" s="172"/>
      <c r="U385" s="173"/>
    </row>
    <row r="386" spans="1:21" ht="16.95" customHeight="1" x14ac:dyDescent="0.3">
      <c r="A386" s="18" t="str">
        <f>INDEX(B$303:B$314, MATCH(N386, C$303:C$314, 0))</f>
        <v>C1X</v>
      </c>
      <c r="C386" s="9">
        <f t="shared" ref="C386:K388" si="49">INDEX($B$288:$M$299, MATCH($N386, $N$288:$N$299, 0), MATCH(C$348, $B$287:$M$287, 0))</f>
        <v>-84000</v>
      </c>
      <c r="D386" s="9">
        <f t="shared" si="49"/>
        <v>0</v>
      </c>
      <c r="E386" s="9">
        <f t="shared" si="49"/>
        <v>0</v>
      </c>
      <c r="F386" s="9">
        <f t="shared" si="49"/>
        <v>0</v>
      </c>
      <c r="G386" s="9">
        <f t="shared" si="49"/>
        <v>0</v>
      </c>
      <c r="H386" s="9">
        <f t="shared" si="49"/>
        <v>-38083.625401679747</v>
      </c>
      <c r="I386" s="9">
        <f t="shared" si="49"/>
        <v>-31736.354501399786</v>
      </c>
      <c r="J386" s="9">
        <f t="shared" si="49"/>
        <v>-33034.137460172962</v>
      </c>
      <c r="K386" s="9">
        <f t="shared" si="49"/>
        <v>-13764.223941738735</v>
      </c>
      <c r="M386" s="95">
        <f t="shared" ref="M386:M394" si="50">C373</f>
        <v>4.2482777768515417E-2</v>
      </c>
      <c r="N386" s="14" t="str">
        <f>INDEX(C$317:C$328, MATCH(1, G$317:G$328, 0))</f>
        <v>U1X</v>
      </c>
      <c r="P386" s="215" t="s">
        <v>390</v>
      </c>
      <c r="Q386" s="172"/>
      <c r="R386" s="172"/>
      <c r="S386" s="172"/>
      <c r="T386" s="172"/>
      <c r="U386" s="173"/>
    </row>
    <row r="387" spans="1:21" ht="16.95" customHeight="1" x14ac:dyDescent="0.3">
      <c r="A387" s="18" t="str">
        <f>INDEX(B$303:B$314, MATCH(N387, C$303:C$314, 0))</f>
        <v>C1Y</v>
      </c>
      <c r="B387" s="13" t="s">
        <v>220</v>
      </c>
      <c r="C387" s="9">
        <f t="shared" si="49"/>
        <v>0</v>
      </c>
      <c r="D387" s="9">
        <f t="shared" si="49"/>
        <v>0</v>
      </c>
      <c r="E387" s="9">
        <f t="shared" si="49"/>
        <v>0</v>
      </c>
      <c r="F387" s="9">
        <f t="shared" si="49"/>
        <v>0</v>
      </c>
      <c r="G387" s="9">
        <f t="shared" si="49"/>
        <v>-100800</v>
      </c>
      <c r="H387" s="9">
        <f t="shared" si="49"/>
        <v>-31736.354501399786</v>
      </c>
      <c r="I387" s="9">
        <f t="shared" si="49"/>
        <v>-26446.962084499821</v>
      </c>
      <c r="J387" s="9">
        <f t="shared" si="49"/>
        <v>-13764.223941738735</v>
      </c>
      <c r="K387" s="9">
        <f t="shared" si="49"/>
        <v>-5735.0933090578055</v>
      </c>
      <c r="M387" s="95">
        <f t="shared" si="50"/>
        <v>-0.16783499310965505</v>
      </c>
      <c r="N387" s="14" t="str">
        <f>INDEX(C$317:C$328, MATCH(2, G$317:G$328, 0))</f>
        <v>U1Y</v>
      </c>
      <c r="P387" s="215" t="s">
        <v>391</v>
      </c>
      <c r="Q387" s="172"/>
      <c r="R387" s="172"/>
      <c r="S387" s="172"/>
      <c r="T387" s="172"/>
      <c r="U387" s="173"/>
    </row>
    <row r="388" spans="1:21" ht="16.95" customHeight="1" x14ac:dyDescent="0.3">
      <c r="A388" s="18" t="str">
        <f>INDEX(B$303:B$314, MATCH(N388, C$303:C$314, 0))</f>
        <v>C3Y</v>
      </c>
      <c r="C388" s="9">
        <f t="shared" si="49"/>
        <v>0</v>
      </c>
      <c r="D388" s="9">
        <f t="shared" si="49"/>
        <v>0</v>
      </c>
      <c r="E388" s="9">
        <f t="shared" si="49"/>
        <v>-31736.354501399786</v>
      </c>
      <c r="F388" s="9">
        <f t="shared" si="49"/>
        <v>0</v>
      </c>
      <c r="G388" s="9">
        <f t="shared" si="49"/>
        <v>0</v>
      </c>
      <c r="H388" s="9">
        <f t="shared" si="49"/>
        <v>31736.354501399786</v>
      </c>
      <c r="I388" s="9">
        <f t="shared" si="49"/>
        <v>-26446.962084499821</v>
      </c>
      <c r="J388" s="9">
        <f t="shared" si="49"/>
        <v>0</v>
      </c>
      <c r="K388" s="9">
        <f t="shared" si="49"/>
        <v>-100800</v>
      </c>
      <c r="M388" s="95">
        <f t="shared" si="50"/>
        <v>8.4215770086866037E-2</v>
      </c>
      <c r="N388" s="14" t="str">
        <f>INDEX(C$317:C$328, MATCH(3, G$317:G$328, 0))</f>
        <v>U3Y</v>
      </c>
      <c r="P388" s="215" t="s">
        <v>392</v>
      </c>
      <c r="Q388" s="172"/>
      <c r="R388" s="172"/>
      <c r="S388" s="172"/>
      <c r="T388" s="172"/>
      <c r="U388" s="173"/>
    </row>
    <row r="389" spans="1:21" ht="16.95" customHeight="1" x14ac:dyDescent="0.3">
      <c r="M389" s="95">
        <f t="shared" si="50"/>
        <v>7.9773211819006512E-2</v>
      </c>
      <c r="P389" s="215" t="s">
        <v>393</v>
      </c>
      <c r="Q389" s="172"/>
      <c r="R389" s="172"/>
      <c r="S389" s="172"/>
      <c r="T389" s="172"/>
      <c r="U389" s="173"/>
    </row>
    <row r="390" spans="1:21" ht="16.95" customHeight="1" x14ac:dyDescent="0.3">
      <c r="M390" s="95">
        <f t="shared" si="50"/>
        <v>-2.558224739797077E-2</v>
      </c>
      <c r="P390" s="215" t="s">
        <v>394</v>
      </c>
      <c r="Q390" s="172"/>
      <c r="R390" s="172"/>
      <c r="S390" s="172"/>
      <c r="T390" s="172"/>
      <c r="U390" s="173"/>
    </row>
    <row r="391" spans="1:21" ht="16.95" customHeight="1" x14ac:dyDescent="0.3">
      <c r="M391" s="95">
        <f t="shared" si="50"/>
        <v>4.2934775565928618E-2</v>
      </c>
      <c r="P391" s="215"/>
      <c r="Q391" s="172"/>
      <c r="R391" s="172"/>
      <c r="S391" s="172"/>
      <c r="T391" s="172"/>
      <c r="U391" s="173"/>
    </row>
    <row r="392" spans="1:21" ht="16.95" customHeight="1" x14ac:dyDescent="0.3">
      <c r="M392" s="95">
        <f t="shared" si="50"/>
        <v>-0.15999636272217929</v>
      </c>
      <c r="P392" s="215"/>
      <c r="Q392" s="172"/>
      <c r="R392" s="172"/>
      <c r="S392" s="172"/>
      <c r="T392" s="172"/>
      <c r="U392" s="173"/>
    </row>
    <row r="393" spans="1:21" ht="16.95" customHeight="1" x14ac:dyDescent="0.3">
      <c r="M393" s="95">
        <f t="shared" si="50"/>
        <v>6.8461247630155035E-3</v>
      </c>
      <c r="P393" s="215"/>
      <c r="Q393" s="172"/>
      <c r="R393" s="172"/>
      <c r="S393" s="172"/>
      <c r="T393" s="172"/>
      <c r="U393" s="173"/>
    </row>
    <row r="394" spans="1:21" ht="16.95" customHeight="1" x14ac:dyDescent="0.3">
      <c r="M394" s="95">
        <f t="shared" si="50"/>
        <v>-2.558224739797077E-2</v>
      </c>
      <c r="P394" s="215"/>
      <c r="Q394" s="172"/>
      <c r="R394" s="172"/>
      <c r="S394" s="172"/>
      <c r="T394" s="172"/>
      <c r="U394" s="173"/>
    </row>
    <row r="395" spans="1:21" ht="16.95" customHeight="1" x14ac:dyDescent="0.3">
      <c r="P395" s="215"/>
      <c r="Q395" s="172"/>
      <c r="R395" s="172"/>
      <c r="S395" s="172"/>
      <c r="T395" s="172"/>
      <c r="U395" s="173"/>
    </row>
    <row r="396" spans="1:21" ht="16.95" customHeight="1" x14ac:dyDescent="0.3">
      <c r="A396" s="12" t="str">
        <f>A386</f>
        <v>C1X</v>
      </c>
      <c r="C396" s="17">
        <f t="array" ref="C396:C398">MMULT(C386:K388, M386:M394)</f>
        <v>-6.8212102632969618E-13</v>
      </c>
      <c r="D396" s="12" t="s">
        <v>273</v>
      </c>
      <c r="P396" s="215"/>
      <c r="Q396" s="172"/>
      <c r="R396" s="172"/>
      <c r="S396" s="172"/>
      <c r="T396" s="172"/>
      <c r="U396" s="173"/>
    </row>
    <row r="397" spans="1:21" ht="16.95" customHeight="1" x14ac:dyDescent="0.3">
      <c r="A397" s="12" t="str">
        <f>A387</f>
        <v>C1Y</v>
      </c>
      <c r="B397" s="13" t="s">
        <v>220</v>
      </c>
      <c r="C397" s="17">
        <v>5499.9999999999964</v>
      </c>
      <c r="D397" s="12" t="s">
        <v>273</v>
      </c>
      <c r="P397" s="215"/>
      <c r="Q397" s="172"/>
      <c r="R397" s="172"/>
      <c r="S397" s="172"/>
      <c r="T397" s="172"/>
      <c r="U397" s="173"/>
    </row>
    <row r="398" spans="1:21" ht="16.95" customHeight="1" x14ac:dyDescent="0.3">
      <c r="A398" s="12" t="str">
        <f>A388</f>
        <v>C3Y</v>
      </c>
      <c r="C398" s="17">
        <v>5499.9999999999982</v>
      </c>
      <c r="D398" s="12" t="s">
        <v>273</v>
      </c>
      <c r="P398" s="215"/>
      <c r="Q398" s="172"/>
      <c r="R398" s="172"/>
      <c r="S398" s="172"/>
      <c r="T398" s="172"/>
      <c r="U398" s="173"/>
    </row>
    <row r="401" spans="1:4" ht="19.95" customHeight="1" x14ac:dyDescent="0.35">
      <c r="A401" s="11" t="s">
        <v>274</v>
      </c>
    </row>
    <row r="403" spans="1:4" ht="19.05" customHeight="1" x14ac:dyDescent="0.3">
      <c r="A403" s="12" t="s">
        <v>228</v>
      </c>
      <c r="B403" s="12" t="s">
        <v>178</v>
      </c>
      <c r="D403" s="94">
        <f t="shared" ref="D403:D414" si="51">IFERROR(INDEX(C$373:C$381, MATCH(A403, A$373:A$381, 0)), 0)</f>
        <v>0</v>
      </c>
    </row>
    <row r="404" spans="1:4" ht="19.05" customHeight="1" x14ac:dyDescent="0.3">
      <c r="A404" s="12" t="s">
        <v>229</v>
      </c>
      <c r="B404" s="12" t="s">
        <v>179</v>
      </c>
      <c r="D404" s="94">
        <f t="shared" si="51"/>
        <v>0</v>
      </c>
    </row>
    <row r="405" spans="1:4" ht="19.05" customHeight="1" x14ac:dyDescent="0.3">
      <c r="A405" s="12" t="s">
        <v>230</v>
      </c>
      <c r="B405" s="12" t="s">
        <v>180</v>
      </c>
      <c r="D405" s="94">
        <f t="shared" si="51"/>
        <v>4.2482777768515417E-2</v>
      </c>
    </row>
    <row r="406" spans="1:4" ht="19.05" customHeight="1" x14ac:dyDescent="0.3">
      <c r="A406" s="12" t="s">
        <v>231</v>
      </c>
      <c r="B406" s="12" t="s">
        <v>181</v>
      </c>
      <c r="D406" s="94">
        <f t="shared" si="51"/>
        <v>-0.16783499310965505</v>
      </c>
    </row>
    <row r="407" spans="1:4" ht="19.05" customHeight="1" x14ac:dyDescent="0.3">
      <c r="A407" s="12" t="s">
        <v>232</v>
      </c>
      <c r="B407" s="12" t="s">
        <v>182</v>
      </c>
      <c r="D407" s="94">
        <f t="shared" si="51"/>
        <v>8.4215770086866037E-2</v>
      </c>
    </row>
    <row r="408" spans="1:4" ht="19.05" customHeight="1" x14ac:dyDescent="0.3">
      <c r="A408" s="12" t="s">
        <v>234</v>
      </c>
      <c r="B408" s="12" t="s">
        <v>183</v>
      </c>
      <c r="D408" s="94">
        <f t="shared" si="51"/>
        <v>0</v>
      </c>
    </row>
    <row r="409" spans="1:4" ht="19.05" customHeight="1" x14ac:dyDescent="0.3">
      <c r="A409" s="12" t="s">
        <v>235</v>
      </c>
      <c r="B409" s="12" t="s">
        <v>184</v>
      </c>
      <c r="D409" s="94">
        <f t="shared" si="51"/>
        <v>7.9773211819006512E-2</v>
      </c>
    </row>
    <row r="410" spans="1:4" ht="19.05" customHeight="1" x14ac:dyDescent="0.3">
      <c r="A410" s="12" t="s">
        <v>236</v>
      </c>
      <c r="B410" s="12" t="s">
        <v>185</v>
      </c>
      <c r="D410" s="94">
        <f t="shared" si="51"/>
        <v>-2.558224739797077E-2</v>
      </c>
    </row>
    <row r="411" spans="1:4" ht="19.05" customHeight="1" x14ac:dyDescent="0.3">
      <c r="A411" s="12" t="s">
        <v>237</v>
      </c>
      <c r="B411" s="12" t="s">
        <v>186</v>
      </c>
      <c r="D411" s="94">
        <f t="shared" si="51"/>
        <v>4.2934775565928618E-2</v>
      </c>
    </row>
    <row r="412" spans="1:4" ht="19.05" customHeight="1" x14ac:dyDescent="0.3">
      <c r="A412" s="12" t="s">
        <v>238</v>
      </c>
      <c r="B412" s="12" t="s">
        <v>187</v>
      </c>
      <c r="D412" s="94">
        <f t="shared" si="51"/>
        <v>-0.15999636272217929</v>
      </c>
    </row>
    <row r="413" spans="1:4" ht="19.05" customHeight="1" x14ac:dyDescent="0.3">
      <c r="A413" s="12" t="s">
        <v>239</v>
      </c>
      <c r="B413" s="12" t="s">
        <v>188</v>
      </c>
      <c r="D413" s="94">
        <f t="shared" si="51"/>
        <v>6.8461247630155035E-3</v>
      </c>
    </row>
    <row r="414" spans="1:4" ht="19.05" customHeight="1" x14ac:dyDescent="0.3">
      <c r="A414" s="12" t="s">
        <v>240</v>
      </c>
      <c r="B414" s="12" t="s">
        <v>189</v>
      </c>
      <c r="D414" s="94">
        <f t="shared" si="51"/>
        <v>-2.558224739797077E-2</v>
      </c>
    </row>
    <row r="417" spans="1:21" ht="19.95" customHeight="1" x14ac:dyDescent="0.35">
      <c r="A417" s="11" t="s">
        <v>275</v>
      </c>
      <c r="P417" s="216" t="s">
        <v>276</v>
      </c>
      <c r="Q417" s="172"/>
      <c r="R417" s="172"/>
      <c r="S417" s="172"/>
      <c r="T417" s="172"/>
      <c r="U417" s="173"/>
    </row>
    <row r="418" spans="1:21" ht="16.95" customHeight="1" x14ac:dyDescent="0.3">
      <c r="P418" s="215" t="s">
        <v>395</v>
      </c>
      <c r="Q418" s="172"/>
      <c r="R418" s="172"/>
      <c r="S418" s="172"/>
      <c r="T418" s="172"/>
      <c r="U418" s="173"/>
    </row>
    <row r="419" spans="1:21" ht="16.95" customHeight="1" x14ac:dyDescent="0.3">
      <c r="A419" s="19" t="s">
        <v>278</v>
      </c>
      <c r="C419" s="19" t="s">
        <v>279</v>
      </c>
      <c r="D419" s="19" t="s">
        <v>280</v>
      </c>
      <c r="E419" s="19" t="s">
        <v>279</v>
      </c>
      <c r="F419" s="19" t="s">
        <v>280</v>
      </c>
      <c r="G419" s="19" t="s">
        <v>249</v>
      </c>
      <c r="P419" s="215" t="s">
        <v>396</v>
      </c>
      <c r="Q419" s="172"/>
      <c r="R419" s="172"/>
      <c r="S419" s="172"/>
      <c r="T419" s="172"/>
      <c r="U419" s="173"/>
    </row>
    <row r="420" spans="1:21" ht="16.95" customHeight="1" x14ac:dyDescent="0.3">
      <c r="C420" s="19" t="s">
        <v>282</v>
      </c>
      <c r="D420" s="19" t="s">
        <v>282</v>
      </c>
      <c r="E420" s="19" t="s">
        <v>283</v>
      </c>
      <c r="F420" s="19" t="s">
        <v>283</v>
      </c>
      <c r="P420" s="215" t="s">
        <v>397</v>
      </c>
      <c r="Q420" s="172"/>
      <c r="R420" s="172"/>
      <c r="S420" s="172"/>
      <c r="T420" s="172"/>
      <c r="U420" s="173"/>
    </row>
    <row r="421" spans="1:21" ht="16.95" customHeight="1" x14ac:dyDescent="0.3">
      <c r="A421" s="17">
        <f>N6</f>
        <v>84000</v>
      </c>
      <c r="C421" s="92">
        <f>-J6</f>
        <v>-1</v>
      </c>
      <c r="D421" s="92">
        <f>-K6</f>
        <v>0</v>
      </c>
      <c r="E421" s="92">
        <f>J6</f>
        <v>1</v>
      </c>
      <c r="F421" s="92">
        <f>K6</f>
        <v>0</v>
      </c>
      <c r="G421" s="96">
        <f>IFERROR(VLOOKUP(H421, A$403:D$414, 4, FALSE), 0)</f>
        <v>0</v>
      </c>
      <c r="H421" s="12" t="str">
        <f>"D" &amp; C21 &amp; "X"</f>
        <v>D1X</v>
      </c>
      <c r="P421" s="215" t="s">
        <v>398</v>
      </c>
      <c r="Q421" s="172"/>
      <c r="R421" s="172"/>
      <c r="S421" s="172"/>
      <c r="T421" s="172"/>
      <c r="U421" s="173"/>
    </row>
    <row r="422" spans="1:21" ht="16.95" customHeight="1" x14ac:dyDescent="0.3">
      <c r="A422" s="99" t="s">
        <v>285</v>
      </c>
      <c r="B422" s="97">
        <f>(MMULT(C421:F421, G421:G424)*A421)</f>
        <v>3568.5533325552951</v>
      </c>
      <c r="G422" s="96">
        <f>IFERROR(VLOOKUP(H422, A$403:D$414, 4, FALSE), 0)</f>
        <v>0</v>
      </c>
      <c r="H422" s="12" t="str">
        <f>"D" &amp; D21 &amp; "Y"</f>
        <v>D1Y</v>
      </c>
      <c r="P422" s="215" t="s">
        <v>399</v>
      </c>
      <c r="Q422" s="172"/>
      <c r="R422" s="172"/>
      <c r="S422" s="172"/>
      <c r="T422" s="172"/>
      <c r="U422" s="173"/>
    </row>
    <row r="423" spans="1:21" ht="16.95" customHeight="1" x14ac:dyDescent="0.3">
      <c r="G423" s="96">
        <f>IFERROR(VLOOKUP(H423, A$403:D$414, 4, FALSE), 0)</f>
        <v>4.2482777768515417E-2</v>
      </c>
      <c r="H423" s="12" t="str">
        <f>"D" &amp; E21 &amp; "X"</f>
        <v>D2X</v>
      </c>
      <c r="P423" s="215" t="s">
        <v>400</v>
      </c>
      <c r="Q423" s="172"/>
      <c r="R423" s="172"/>
      <c r="S423" s="172"/>
      <c r="T423" s="172"/>
      <c r="U423" s="173"/>
    </row>
    <row r="424" spans="1:21" ht="16.95" customHeight="1" x14ac:dyDescent="0.3">
      <c r="G424" s="96">
        <f>IFERROR(VLOOKUP(H424, A$403:D$414, 4, FALSE), 0)</f>
        <v>-0.16783499310965505</v>
      </c>
      <c r="H424" s="12" t="str">
        <f>"D" &amp; F21 &amp; "Y"</f>
        <v>D2Y</v>
      </c>
      <c r="P424" s="215" t="s">
        <v>401</v>
      </c>
      <c r="Q424" s="172"/>
      <c r="R424" s="172"/>
      <c r="S424" s="172"/>
      <c r="T424" s="172"/>
      <c r="U424" s="173"/>
    </row>
    <row r="425" spans="1:21" ht="16.95" customHeight="1" x14ac:dyDescent="0.3">
      <c r="B425" s="99" t="s">
        <v>273</v>
      </c>
      <c r="C425" s="178" t="str">
        <f>IF(B422&gt;0.001,"BARRA A TRACCIÓN (+)",IF(B422&lt;-0.001,"BARRA A COMPRESIÓN (-)","BARRA DE FUERZA NULA"))</f>
        <v>BARRA A TRACCIÓN (+)</v>
      </c>
      <c r="D425" s="172"/>
      <c r="E425" s="172"/>
      <c r="F425" s="173"/>
      <c r="P425" s="215" t="s">
        <v>402</v>
      </c>
      <c r="Q425" s="172"/>
      <c r="R425" s="172"/>
      <c r="S425" s="172"/>
      <c r="T425" s="172"/>
      <c r="U425" s="173"/>
    </row>
    <row r="426" spans="1:21" ht="16.95" customHeight="1" x14ac:dyDescent="0.3">
      <c r="P426" s="215" t="s">
        <v>403</v>
      </c>
      <c r="Q426" s="172"/>
      <c r="R426" s="172"/>
      <c r="S426" s="172"/>
      <c r="T426" s="172"/>
      <c r="U426" s="173"/>
    </row>
    <row r="427" spans="1:21" ht="16.95" customHeight="1" x14ac:dyDescent="0.3">
      <c r="A427" s="19" t="s">
        <v>278</v>
      </c>
      <c r="C427" s="19" t="s">
        <v>279</v>
      </c>
      <c r="D427" s="19" t="s">
        <v>280</v>
      </c>
      <c r="E427" s="19" t="s">
        <v>279</v>
      </c>
      <c r="F427" s="19" t="s">
        <v>280</v>
      </c>
      <c r="G427" s="19" t="s">
        <v>249</v>
      </c>
      <c r="P427" s="215"/>
      <c r="Q427" s="172"/>
      <c r="R427" s="172"/>
      <c r="S427" s="172"/>
      <c r="T427" s="172"/>
      <c r="U427" s="173"/>
    </row>
    <row r="428" spans="1:21" ht="16.95" customHeight="1" x14ac:dyDescent="0.3">
      <c r="C428" s="19" t="s">
        <v>282</v>
      </c>
      <c r="D428" s="19" t="s">
        <v>282</v>
      </c>
      <c r="E428" s="19" t="s">
        <v>283</v>
      </c>
      <c r="F428" s="19" t="s">
        <v>283</v>
      </c>
      <c r="P428" s="215"/>
      <c r="Q428" s="172"/>
      <c r="R428" s="172"/>
      <c r="S428" s="172"/>
      <c r="T428" s="172"/>
      <c r="U428" s="173"/>
    </row>
    <row r="429" spans="1:21" ht="16.95" customHeight="1" x14ac:dyDescent="0.3">
      <c r="A429" s="17">
        <f>N7</f>
        <v>84000</v>
      </c>
      <c r="C429" s="92">
        <f>-J7</f>
        <v>-1</v>
      </c>
      <c r="D429" s="92">
        <f>-K7</f>
        <v>0</v>
      </c>
      <c r="E429" s="92">
        <f>J7</f>
        <v>1</v>
      </c>
      <c r="F429" s="92">
        <f>K7</f>
        <v>0</v>
      </c>
      <c r="G429" s="96">
        <f>IFERROR(VLOOKUP(H429, A$403:D$414, 4, FALSE), 0)</f>
        <v>4.2482777768515417E-2</v>
      </c>
      <c r="H429" s="12" t="str">
        <f>"D" &amp; C22 &amp; "X"</f>
        <v>D2X</v>
      </c>
      <c r="P429" s="215"/>
      <c r="Q429" s="172"/>
      <c r="R429" s="172"/>
      <c r="S429" s="172"/>
      <c r="T429" s="172"/>
      <c r="U429" s="173"/>
    </row>
    <row r="430" spans="1:21" ht="16.95" customHeight="1" x14ac:dyDescent="0.3">
      <c r="A430" s="99" t="s">
        <v>286</v>
      </c>
      <c r="B430" s="97">
        <f>(MMULT(C429:F429, G429:G432)*A429)</f>
        <v>3505.5713547414521</v>
      </c>
      <c r="G430" s="96">
        <f>IFERROR(VLOOKUP(H430, A$403:D$414, 4, FALSE), 0)</f>
        <v>-0.16783499310965505</v>
      </c>
      <c r="H430" s="12" t="str">
        <f>"D" &amp; D22 &amp; "Y"</f>
        <v>D2Y</v>
      </c>
      <c r="P430" s="215"/>
      <c r="Q430" s="172"/>
      <c r="R430" s="172"/>
      <c r="S430" s="172"/>
      <c r="T430" s="172"/>
      <c r="U430" s="173"/>
    </row>
    <row r="431" spans="1:21" ht="16.95" customHeight="1" x14ac:dyDescent="0.3">
      <c r="G431" s="96">
        <f>IFERROR(VLOOKUP(H431, A$403:D$414, 4, FALSE), 0)</f>
        <v>8.4215770086866037E-2</v>
      </c>
      <c r="H431" s="12" t="str">
        <f>"D" &amp; E22 &amp; "X"</f>
        <v>D3X</v>
      </c>
      <c r="P431" s="215"/>
      <c r="Q431" s="172"/>
      <c r="R431" s="172"/>
      <c r="S431" s="172"/>
      <c r="T431" s="172"/>
      <c r="U431" s="173"/>
    </row>
    <row r="432" spans="1:21" ht="16.95" customHeight="1" x14ac:dyDescent="0.3">
      <c r="G432" s="96">
        <f>IFERROR(VLOOKUP(H432, A$403:D$414, 4, FALSE), 0)</f>
        <v>0</v>
      </c>
      <c r="H432" s="12" t="str">
        <f>"D" &amp; F22 &amp; "Y"</f>
        <v>D3Y</v>
      </c>
      <c r="P432" s="215"/>
      <c r="Q432" s="172"/>
      <c r="R432" s="172"/>
      <c r="S432" s="172"/>
      <c r="T432" s="172"/>
      <c r="U432" s="173"/>
    </row>
    <row r="433" spans="1:21" ht="16.95" customHeight="1" x14ac:dyDescent="0.3">
      <c r="B433" s="99" t="s">
        <v>273</v>
      </c>
      <c r="C433" s="178" t="str">
        <f>IF(B430&gt;0.001,"BARRA A TRACCIÓN (+)",IF(B430&lt;-0.001,"BARRA A COMPRESIÓN (-)","BARRA DE FUERZA NULA"))</f>
        <v>BARRA A TRACCIÓN (+)</v>
      </c>
      <c r="D433" s="172"/>
      <c r="E433" s="172"/>
      <c r="F433" s="173"/>
      <c r="P433" s="215"/>
      <c r="Q433" s="172"/>
      <c r="R433" s="172"/>
      <c r="S433" s="172"/>
      <c r="T433" s="172"/>
      <c r="U433" s="173"/>
    </row>
    <row r="434" spans="1:21" ht="16.95" customHeight="1" x14ac:dyDescent="0.3">
      <c r="P434" s="215"/>
      <c r="Q434" s="172"/>
      <c r="R434" s="172"/>
      <c r="S434" s="172"/>
      <c r="T434" s="172"/>
      <c r="U434" s="173"/>
    </row>
    <row r="435" spans="1:21" ht="16.95" customHeight="1" x14ac:dyDescent="0.3">
      <c r="A435" s="19" t="s">
        <v>278</v>
      </c>
      <c r="C435" s="19" t="s">
        <v>279</v>
      </c>
      <c r="D435" s="19" t="s">
        <v>280</v>
      </c>
      <c r="E435" s="19" t="s">
        <v>279</v>
      </c>
      <c r="F435" s="19" t="s">
        <v>280</v>
      </c>
      <c r="G435" s="19" t="s">
        <v>249</v>
      </c>
      <c r="P435" s="215"/>
      <c r="Q435" s="172"/>
      <c r="R435" s="172"/>
      <c r="S435" s="172"/>
      <c r="T435" s="172"/>
      <c r="U435" s="173"/>
    </row>
    <row r="436" spans="1:21" ht="16.95" customHeight="1" x14ac:dyDescent="0.3">
      <c r="C436" s="19" t="s">
        <v>282</v>
      </c>
      <c r="D436" s="19" t="s">
        <v>282</v>
      </c>
      <c r="E436" s="19" t="s">
        <v>283</v>
      </c>
      <c r="F436" s="19" t="s">
        <v>283</v>
      </c>
      <c r="P436" s="215"/>
      <c r="Q436" s="172"/>
      <c r="R436" s="172"/>
      <c r="S436" s="172"/>
      <c r="T436" s="172"/>
      <c r="U436" s="173"/>
    </row>
    <row r="437" spans="1:21" ht="16.95" customHeight="1" x14ac:dyDescent="0.3">
      <c r="A437" s="17">
        <f>N8</f>
        <v>84000</v>
      </c>
      <c r="C437" s="92">
        <f>-J8</f>
        <v>-1</v>
      </c>
      <c r="D437" s="92">
        <f>-K8</f>
        <v>0</v>
      </c>
      <c r="E437" s="92">
        <f>J8</f>
        <v>1</v>
      </c>
      <c r="F437" s="92">
        <f>K8</f>
        <v>0</v>
      </c>
      <c r="G437" s="96">
        <f>IFERROR(VLOOKUP(H437, A$403:D$414, 4, FALSE), 0)</f>
        <v>7.9773211819006512E-2</v>
      </c>
      <c r="H437" s="12" t="str">
        <f>"D" &amp; C23 &amp; "X"</f>
        <v>D4X</v>
      </c>
      <c r="P437" s="215"/>
      <c r="Q437" s="172"/>
      <c r="R437" s="172"/>
      <c r="S437" s="172"/>
      <c r="T437" s="172"/>
      <c r="U437" s="173"/>
    </row>
    <row r="438" spans="1:21" ht="16.95" customHeight="1" x14ac:dyDescent="0.3">
      <c r="A438" s="99" t="s">
        <v>287</v>
      </c>
      <c r="B438" s="97">
        <f>(MMULT(C437:F437, G437:G440)*A437)</f>
        <v>-3094.4286452585429</v>
      </c>
      <c r="G438" s="96">
        <f>IFERROR(VLOOKUP(H438, A$403:D$414, 4, FALSE), 0)</f>
        <v>-2.558224739797077E-2</v>
      </c>
      <c r="H438" s="12" t="str">
        <f>"D" &amp; D23 &amp; "Y"</f>
        <v>D4Y</v>
      </c>
      <c r="P438" s="215"/>
      <c r="Q438" s="172"/>
      <c r="R438" s="172"/>
      <c r="S438" s="172"/>
      <c r="T438" s="172"/>
      <c r="U438" s="173"/>
    </row>
    <row r="439" spans="1:21" ht="16.95" customHeight="1" x14ac:dyDescent="0.3">
      <c r="G439" s="96">
        <f>IFERROR(VLOOKUP(H439, A$403:D$414, 4, FALSE), 0)</f>
        <v>4.2934775565928618E-2</v>
      </c>
      <c r="H439" s="12" t="str">
        <f>"D" &amp; E23 &amp; "X"</f>
        <v>D5X</v>
      </c>
      <c r="P439" s="215"/>
      <c r="Q439" s="172"/>
      <c r="R439" s="172"/>
      <c r="S439" s="172"/>
      <c r="T439" s="172"/>
      <c r="U439" s="173"/>
    </row>
    <row r="440" spans="1:21" ht="16.95" customHeight="1" x14ac:dyDescent="0.3">
      <c r="G440" s="96">
        <f>IFERROR(VLOOKUP(H440, A$403:D$414, 4, FALSE), 0)</f>
        <v>-0.15999636272217929</v>
      </c>
      <c r="H440" s="12" t="str">
        <f>"D" &amp; F23 &amp; "Y"</f>
        <v>D5Y</v>
      </c>
      <c r="P440" s="215"/>
      <c r="Q440" s="172"/>
      <c r="R440" s="172"/>
      <c r="S440" s="172"/>
      <c r="T440" s="172"/>
      <c r="U440" s="173"/>
    </row>
    <row r="441" spans="1:21" ht="16.95" customHeight="1" x14ac:dyDescent="0.3">
      <c r="B441" s="99" t="s">
        <v>273</v>
      </c>
      <c r="C441" s="178" t="str">
        <f>IF(B438&gt;0.001,"BARRA A TRACCIÓN (+)",IF(B438&lt;-0.001,"BARRA A COMPRESIÓN (-)","BARRA DE FUERZA NULA"))</f>
        <v>BARRA A COMPRESIÓN (-)</v>
      </c>
      <c r="D441" s="172"/>
      <c r="E441" s="172"/>
      <c r="F441" s="173"/>
      <c r="P441" s="215"/>
      <c r="Q441" s="172"/>
      <c r="R441" s="172"/>
      <c r="S441" s="172"/>
      <c r="T441" s="172"/>
      <c r="U441" s="173"/>
    </row>
    <row r="442" spans="1:21" ht="16.95" customHeight="1" x14ac:dyDescent="0.3">
      <c r="P442" s="215"/>
      <c r="Q442" s="172"/>
      <c r="R442" s="172"/>
      <c r="S442" s="172"/>
      <c r="T442" s="172"/>
      <c r="U442" s="173"/>
    </row>
    <row r="443" spans="1:21" ht="18" customHeight="1" x14ac:dyDescent="0.3">
      <c r="A443" s="19" t="s">
        <v>278</v>
      </c>
      <c r="C443" s="19" t="s">
        <v>279</v>
      </c>
      <c r="D443" s="19" t="s">
        <v>280</v>
      </c>
      <c r="E443" s="19" t="s">
        <v>279</v>
      </c>
      <c r="F443" s="19" t="s">
        <v>280</v>
      </c>
      <c r="G443" s="19" t="s">
        <v>249</v>
      </c>
    </row>
    <row r="444" spans="1:21" ht="16.05" customHeight="1" x14ac:dyDescent="0.3">
      <c r="C444" s="19" t="s">
        <v>282</v>
      </c>
      <c r="D444" s="19" t="s">
        <v>282</v>
      </c>
      <c r="E444" s="19" t="s">
        <v>283</v>
      </c>
      <c r="F444" s="19" t="s">
        <v>283</v>
      </c>
    </row>
    <row r="445" spans="1:21" ht="19.95" customHeight="1" x14ac:dyDescent="0.3">
      <c r="A445" s="17">
        <f>N9</f>
        <v>84000</v>
      </c>
      <c r="C445" s="92">
        <f>-J9</f>
        <v>-1</v>
      </c>
      <c r="D445" s="92">
        <f>-K9</f>
        <v>0</v>
      </c>
      <c r="E445" s="92">
        <f>J9</f>
        <v>1</v>
      </c>
      <c r="F445" s="92">
        <f>K9</f>
        <v>0</v>
      </c>
      <c r="G445" s="96">
        <f>IFERROR(VLOOKUP(H445, A$403:D$414, 4, FALSE), 0)</f>
        <v>4.2934775565928618E-2</v>
      </c>
      <c r="H445" s="12" t="str">
        <f>"D" &amp; C24 &amp; "X"</f>
        <v>D5X</v>
      </c>
    </row>
    <row r="446" spans="1:21" ht="19.95" customHeight="1" x14ac:dyDescent="0.3">
      <c r="A446" s="99" t="s">
        <v>288</v>
      </c>
      <c r="B446" s="97">
        <f>(MMULT(C445:F445, G445:G448)*A445)</f>
        <v>-3031.4466674447012</v>
      </c>
      <c r="G446" s="96">
        <f>IFERROR(VLOOKUP(H446, A$403:D$414, 4, FALSE), 0)</f>
        <v>-0.15999636272217929</v>
      </c>
      <c r="H446" s="12" t="str">
        <f>"D" &amp; D24 &amp; "Y"</f>
        <v>D5Y</v>
      </c>
    </row>
    <row r="447" spans="1:21" ht="19.95" customHeight="1" x14ac:dyDescent="0.3">
      <c r="G447" s="96">
        <f>IFERROR(VLOOKUP(H447, A$403:D$414, 4, FALSE), 0)</f>
        <v>6.8461247630155035E-3</v>
      </c>
      <c r="H447" s="12" t="str">
        <f>"D" &amp; E24 &amp; "X"</f>
        <v>D6X</v>
      </c>
    </row>
    <row r="448" spans="1:21" ht="19.95" customHeight="1" x14ac:dyDescent="0.3">
      <c r="G448" s="96">
        <f>IFERROR(VLOOKUP(H448, A$403:D$414, 4, FALSE), 0)</f>
        <v>-2.558224739797077E-2</v>
      </c>
      <c r="H448" s="12" t="str">
        <f>"D" &amp; F24 &amp; "Y"</f>
        <v>D6Y</v>
      </c>
    </row>
    <row r="449" spans="1:8" ht="19.95" customHeight="1" x14ac:dyDescent="0.3">
      <c r="B449" s="99" t="s">
        <v>273</v>
      </c>
      <c r="C449" s="178" t="str">
        <f>IF(B446&gt;0.001,"BARRA A TRACCIÓN (+)",IF(B446&lt;-0.001,"BARRA A COMPRESIÓN (-)","BARRA DE FUERZA NULA"))</f>
        <v>BARRA A COMPRESIÓN (-)</v>
      </c>
      <c r="D449" s="172"/>
      <c r="E449" s="172"/>
      <c r="F449" s="173"/>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N10</f>
        <v>100800</v>
      </c>
      <c r="C453" s="92">
        <f>-J10</f>
        <v>0</v>
      </c>
      <c r="D453" s="92">
        <f>-K10</f>
        <v>-1</v>
      </c>
      <c r="E453" s="92">
        <f>J10</f>
        <v>0</v>
      </c>
      <c r="F453" s="92">
        <f>K10</f>
        <v>1</v>
      </c>
      <c r="G453" s="96">
        <f>IFERROR(VLOOKUP(H453, A$403:D$414, 4, FALSE), 0)</f>
        <v>0</v>
      </c>
      <c r="H453" s="12" t="str">
        <f>"D" &amp; C25 &amp; "X"</f>
        <v>D1X</v>
      </c>
    </row>
    <row r="454" spans="1:8" ht="19.95" customHeight="1" x14ac:dyDescent="0.3">
      <c r="A454" s="99" t="s">
        <v>289</v>
      </c>
      <c r="B454" s="97">
        <f>(MMULT(C453:F453, G453:G456)*A453)</f>
        <v>-2578.6905377154535</v>
      </c>
      <c r="G454" s="96">
        <f>IFERROR(VLOOKUP(H454, A$403:D$414, 4, FALSE), 0)</f>
        <v>0</v>
      </c>
      <c r="H454" s="12" t="str">
        <f>"D" &amp; D25 &amp; "Y"</f>
        <v>D1Y</v>
      </c>
    </row>
    <row r="455" spans="1:8" ht="19.95" customHeight="1" x14ac:dyDescent="0.3">
      <c r="G455" s="96">
        <f>IFERROR(VLOOKUP(H455, A$403:D$414, 4, FALSE), 0)</f>
        <v>7.9773211819006512E-2</v>
      </c>
      <c r="H455" s="12" t="str">
        <f>"D" &amp; E25 &amp; "X"</f>
        <v>D4X</v>
      </c>
    </row>
    <row r="456" spans="1:8" ht="19.95" customHeight="1" x14ac:dyDescent="0.3">
      <c r="G456" s="96">
        <f>IFERROR(VLOOKUP(H456, A$403:D$414, 4, FALSE), 0)</f>
        <v>-2.558224739797077E-2</v>
      </c>
      <c r="H456" s="12" t="str">
        <f>"D" &amp; F25 &amp; "Y"</f>
        <v>D4Y</v>
      </c>
    </row>
    <row r="457" spans="1:8" ht="19.95" customHeight="1" x14ac:dyDescent="0.3">
      <c r="B457" s="99" t="s">
        <v>273</v>
      </c>
      <c r="C457" s="178" t="str">
        <f>IF(B454&gt;0.001,"BARRA A TRACCIÓN (+)",IF(B454&lt;-0.001,"BARRA A COMPRESIÓN (-)","BARRA DE FUERZA NULA"))</f>
        <v>BARRA A COMPRESIÓN (-)</v>
      </c>
      <c r="D457" s="172"/>
      <c r="E457" s="172"/>
      <c r="F457" s="173"/>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N11</f>
        <v>100800</v>
      </c>
      <c r="C461" s="92">
        <f>-J11</f>
        <v>0</v>
      </c>
      <c r="D461" s="92">
        <f>-K11</f>
        <v>-1</v>
      </c>
      <c r="E461" s="92">
        <f>J11</f>
        <v>0</v>
      </c>
      <c r="F461" s="92">
        <f>K11</f>
        <v>1</v>
      </c>
      <c r="G461" s="96">
        <f>IFERROR(VLOOKUP(H461, A$403:D$414, 4, FALSE), 0)</f>
        <v>4.2482777768515417E-2</v>
      </c>
      <c r="H461" s="12" t="str">
        <f>"D" &amp; C26 &amp; "X"</f>
        <v>D2X</v>
      </c>
    </row>
    <row r="462" spans="1:8" ht="19.95" customHeight="1" x14ac:dyDescent="0.3">
      <c r="A462" s="99" t="s">
        <v>290</v>
      </c>
      <c r="B462" s="97">
        <f>(MMULT(C461:F461, G461:G464)*A461)</f>
        <v>790.13394305755651</v>
      </c>
      <c r="G462" s="96">
        <f>IFERROR(VLOOKUP(H462, A$403:D$414, 4, FALSE), 0)</f>
        <v>-0.16783499310965505</v>
      </c>
      <c r="H462" s="12" t="str">
        <f>"D" &amp; D26 &amp; "Y"</f>
        <v>D2Y</v>
      </c>
    </row>
    <row r="463" spans="1:8" ht="19.95" customHeight="1" x14ac:dyDescent="0.3">
      <c r="G463" s="96">
        <f>IFERROR(VLOOKUP(H463, A$403:D$414, 4, FALSE), 0)</f>
        <v>4.2934775565928618E-2</v>
      </c>
      <c r="H463" s="12" t="str">
        <f>"D" &amp; E26 &amp; "X"</f>
        <v>D5X</v>
      </c>
    </row>
    <row r="464" spans="1:8" ht="19.95" customHeight="1" x14ac:dyDescent="0.3">
      <c r="G464" s="96">
        <f>IFERROR(VLOOKUP(H464, A$403:D$414, 4, FALSE), 0)</f>
        <v>-0.15999636272217929</v>
      </c>
      <c r="H464" s="12" t="str">
        <f>"D" &amp; F26 &amp; "Y"</f>
        <v>D5Y</v>
      </c>
    </row>
    <row r="465" spans="1:8" ht="19.95" customHeight="1" x14ac:dyDescent="0.3">
      <c r="B465" s="99" t="s">
        <v>273</v>
      </c>
      <c r="C465" s="178" t="str">
        <f>IF(B462&gt;0.001,"BARRA A TRACCIÓN (+)",IF(B462&lt;-0.001,"BARRA A COMPRESIÓN (-)","BARRA DE FUERZA NULA"))</f>
        <v>BARRA A TRACCIÓN (+)</v>
      </c>
      <c r="D465" s="172"/>
      <c r="E465" s="172"/>
      <c r="F465" s="173"/>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N12</f>
        <v>100800</v>
      </c>
      <c r="C469" s="92">
        <f>-J12</f>
        <v>0</v>
      </c>
      <c r="D469" s="92">
        <f>-K12</f>
        <v>-1</v>
      </c>
      <c r="E469" s="92">
        <f>J12</f>
        <v>0</v>
      </c>
      <c r="F469" s="92">
        <f>K12</f>
        <v>1</v>
      </c>
      <c r="G469" s="96">
        <f>IFERROR(VLOOKUP(H469, A$403:D$414, 4, FALSE), 0)</f>
        <v>8.4215770086866037E-2</v>
      </c>
      <c r="H469" s="12" t="str">
        <f>"D" &amp; C27 &amp; "X"</f>
        <v>D3X</v>
      </c>
    </row>
    <row r="470" spans="1:8" ht="19.95" customHeight="1" x14ac:dyDescent="0.3">
      <c r="A470" s="99" t="s">
        <v>291</v>
      </c>
      <c r="B470" s="97">
        <f>(MMULT(C469:F469, G469:G472)*A469)</f>
        <v>-2578.6905377154535</v>
      </c>
      <c r="G470" s="96">
        <f>IFERROR(VLOOKUP(H470, A$403:D$414, 4, FALSE), 0)</f>
        <v>0</v>
      </c>
      <c r="H470" s="12" t="str">
        <f>"D" &amp; D27 &amp; "Y"</f>
        <v>D3Y</v>
      </c>
    </row>
    <row r="471" spans="1:8" ht="19.95" customHeight="1" x14ac:dyDescent="0.3">
      <c r="G471" s="96">
        <f>IFERROR(VLOOKUP(H471, A$403:D$414, 4, FALSE), 0)</f>
        <v>6.8461247630155035E-3</v>
      </c>
      <c r="H471" s="12" t="str">
        <f>"D" &amp; E27 &amp; "X"</f>
        <v>D6X</v>
      </c>
    </row>
    <row r="472" spans="1:8" ht="19.95" customHeight="1" x14ac:dyDescent="0.3">
      <c r="G472" s="96">
        <f>IFERROR(VLOOKUP(H472, A$403:D$414, 4, FALSE), 0)</f>
        <v>-2.558224739797077E-2</v>
      </c>
      <c r="H472" s="12" t="str">
        <f>"D" &amp; F27 &amp; "Y"</f>
        <v>D6Y</v>
      </c>
    </row>
    <row r="473" spans="1:8" ht="19.95" customHeight="1" x14ac:dyDescent="0.3">
      <c r="B473" s="99" t="s">
        <v>273</v>
      </c>
      <c r="C473" s="178" t="str">
        <f>IF(B470&gt;0.001,"BARRA A TRACCIÓN (+)",IF(B470&lt;-0.001,"BARRA A COMPRESIÓN (-)","BARRA DE FUERZA NULA"))</f>
        <v>BARRA A COMPRESIÓN (-)</v>
      </c>
      <c r="D473" s="172"/>
      <c r="E473" s="172"/>
      <c r="F473" s="173"/>
    </row>
    <row r="475" spans="1:8" ht="18" customHeight="1" x14ac:dyDescent="0.3">
      <c r="A475" s="19" t="s">
        <v>278</v>
      </c>
      <c r="C475" s="19" t="s">
        <v>279</v>
      </c>
      <c r="D475" s="19" t="s">
        <v>280</v>
      </c>
      <c r="E475" s="19" t="s">
        <v>279</v>
      </c>
      <c r="F475" s="19" t="s">
        <v>280</v>
      </c>
      <c r="G475" s="19" t="s">
        <v>249</v>
      </c>
    </row>
    <row r="476" spans="1:8" ht="16.05" customHeight="1" x14ac:dyDescent="0.3">
      <c r="C476" s="19" t="s">
        <v>282</v>
      </c>
      <c r="D476" s="19" t="s">
        <v>282</v>
      </c>
      <c r="E476" s="19" t="s">
        <v>283</v>
      </c>
      <c r="F476" s="19" t="s">
        <v>283</v>
      </c>
    </row>
    <row r="477" spans="1:8" ht="19.95" customHeight="1" x14ac:dyDescent="0.3">
      <c r="A477" s="17">
        <f>N13</f>
        <v>64530.587486179567</v>
      </c>
      <c r="C477" s="92">
        <f>-J13</f>
        <v>-0.76822127959737585</v>
      </c>
      <c r="D477" s="92">
        <f>-K13</f>
        <v>-0.64018439966447982</v>
      </c>
      <c r="E477" s="92">
        <f>J13</f>
        <v>0.76822127959737585</v>
      </c>
      <c r="F477" s="92">
        <f>K13</f>
        <v>0.64018439966447982</v>
      </c>
      <c r="G477" s="96">
        <f>IFERROR(VLOOKUP(H477, A$403:D$414, 4, FALSE), 0)</f>
        <v>0</v>
      </c>
      <c r="H477" s="12" t="str">
        <f>"D" &amp; C28 &amp; "X"</f>
        <v>D1X</v>
      </c>
    </row>
    <row r="478" spans="1:8" ht="19.95" customHeight="1" x14ac:dyDescent="0.3">
      <c r="A478" s="99" t="s">
        <v>292</v>
      </c>
      <c r="B478" s="97">
        <f>(MMULT(C477:F477, G477:G480)*A477)</f>
        <v>-4481.2470942380924</v>
      </c>
      <c r="G478" s="96">
        <f>IFERROR(VLOOKUP(H478, A$403:D$414, 4, FALSE), 0)</f>
        <v>0</v>
      </c>
      <c r="H478" s="12" t="str">
        <f>"D" &amp; D28 &amp; "Y"</f>
        <v>D1Y</v>
      </c>
    </row>
    <row r="479" spans="1:8" ht="19.95" customHeight="1" x14ac:dyDescent="0.3">
      <c r="G479" s="96">
        <f>IFERROR(VLOOKUP(H479, A$403:D$414, 4, FALSE), 0)</f>
        <v>4.2934775565928618E-2</v>
      </c>
      <c r="H479" s="12" t="str">
        <f>"D" &amp; E28 &amp; "X"</f>
        <v>D5X</v>
      </c>
    </row>
    <row r="480" spans="1:8" ht="19.95" customHeight="1" x14ac:dyDescent="0.3">
      <c r="G480" s="96">
        <f>IFERROR(VLOOKUP(H480, A$403:D$414, 4, FALSE), 0)</f>
        <v>-0.15999636272217929</v>
      </c>
      <c r="H480" s="12" t="str">
        <f>"D" &amp; F28 &amp; "Y"</f>
        <v>D5Y</v>
      </c>
    </row>
    <row r="481" spans="1:8" ht="19.95" customHeight="1" x14ac:dyDescent="0.3">
      <c r="B481" s="99" t="s">
        <v>273</v>
      </c>
      <c r="C481" s="178" t="str">
        <f>IF(B478&gt;0.001,"BARRA A TRACCIÓN (+)",IF(B478&lt;-0.001,"BARRA A COMPRESIÓN (-)","BARRA DE FUERZA NULA"))</f>
        <v>BARRA A COMPRESIÓN (-)</v>
      </c>
      <c r="D481" s="172"/>
      <c r="E481" s="172"/>
      <c r="F481" s="173"/>
    </row>
    <row r="483" spans="1:8" ht="18" customHeight="1" x14ac:dyDescent="0.3">
      <c r="A483" s="19" t="s">
        <v>278</v>
      </c>
      <c r="C483" s="19" t="s">
        <v>279</v>
      </c>
      <c r="D483" s="19" t="s">
        <v>280</v>
      </c>
      <c r="E483" s="19" t="s">
        <v>279</v>
      </c>
      <c r="F483" s="19" t="s">
        <v>280</v>
      </c>
      <c r="G483" s="19" t="s">
        <v>249</v>
      </c>
    </row>
    <row r="484" spans="1:8" ht="16.05" customHeight="1" x14ac:dyDescent="0.3">
      <c r="C484" s="19" t="s">
        <v>282</v>
      </c>
      <c r="D484" s="19" t="s">
        <v>282</v>
      </c>
      <c r="E484" s="19" t="s">
        <v>283</v>
      </c>
      <c r="F484" s="19" t="s">
        <v>283</v>
      </c>
    </row>
    <row r="485" spans="1:8" ht="19.95" customHeight="1" x14ac:dyDescent="0.3">
      <c r="A485" s="17">
        <f>N14</f>
        <v>64530.587486179567</v>
      </c>
      <c r="C485" s="92">
        <f>-J14</f>
        <v>-0.76822127959737585</v>
      </c>
      <c r="D485" s="92">
        <f>-K14</f>
        <v>0.64018439966447982</v>
      </c>
      <c r="E485" s="92">
        <f>J14</f>
        <v>0.76822127959737585</v>
      </c>
      <c r="F485" s="92">
        <f>K14</f>
        <v>-0.64018439966447982</v>
      </c>
      <c r="G485" s="96">
        <f>IFERROR(VLOOKUP(H485, A$403:D$414, 4, FALSE), 0)</f>
        <v>7.9773211819006512E-2</v>
      </c>
      <c r="H485" s="12" t="str">
        <f>"D" &amp; C29 &amp; "X"</f>
        <v>D4X</v>
      </c>
    </row>
    <row r="486" spans="1:8" ht="19.95" customHeight="1" x14ac:dyDescent="0.3">
      <c r="A486" s="99" t="s">
        <v>530</v>
      </c>
      <c r="B486" s="97">
        <f>(MMULT(C485:F485, G485:G488)*A485)</f>
        <v>4028.0433872911353</v>
      </c>
      <c r="G486" s="96">
        <f>IFERROR(VLOOKUP(H486, A$403:D$414, 4, FALSE), 0)</f>
        <v>-2.558224739797077E-2</v>
      </c>
      <c r="H486" s="12" t="str">
        <f>"D" &amp; D29 &amp; "Y"</f>
        <v>D4Y</v>
      </c>
    </row>
    <row r="487" spans="1:8" ht="19.95" customHeight="1" x14ac:dyDescent="0.3">
      <c r="G487" s="96">
        <f>IFERROR(VLOOKUP(H487, A$403:D$414, 4, FALSE), 0)</f>
        <v>4.2482777768515417E-2</v>
      </c>
      <c r="H487" s="12" t="str">
        <f>"D" &amp; E29 &amp; "X"</f>
        <v>D2X</v>
      </c>
    </row>
    <row r="488" spans="1:8" ht="19.95" customHeight="1" x14ac:dyDescent="0.3">
      <c r="G488" s="96">
        <f>IFERROR(VLOOKUP(H488, A$403:D$414, 4, FALSE), 0)</f>
        <v>-0.16783499310965505</v>
      </c>
      <c r="H488" s="12" t="str">
        <f>"D" &amp; F29 &amp; "Y"</f>
        <v>D2Y</v>
      </c>
    </row>
    <row r="489" spans="1:8" ht="19.95" customHeight="1" x14ac:dyDescent="0.3">
      <c r="B489" s="99" t="s">
        <v>273</v>
      </c>
      <c r="C489" s="178" t="str">
        <f>IF(B486&gt;0.001,"BARRA A TRACCIÓN (+)",IF(B486&lt;-0.001,"BARRA A COMPRESIÓN (-)","BARRA DE FUERZA NULA"))</f>
        <v>BARRA A TRACCIÓN (+)</v>
      </c>
      <c r="D489" s="172"/>
      <c r="E489" s="172"/>
      <c r="F489" s="173"/>
    </row>
    <row r="491" spans="1:8" ht="18" customHeight="1" x14ac:dyDescent="0.3">
      <c r="A491" s="19" t="s">
        <v>278</v>
      </c>
      <c r="C491" s="19" t="s">
        <v>279</v>
      </c>
      <c r="D491" s="19" t="s">
        <v>280</v>
      </c>
      <c r="E491" s="19" t="s">
        <v>279</v>
      </c>
      <c r="F491" s="19" t="s">
        <v>280</v>
      </c>
      <c r="G491" s="19" t="s">
        <v>249</v>
      </c>
    </row>
    <row r="492" spans="1:8" ht="16.05" customHeight="1" x14ac:dyDescent="0.3">
      <c r="C492" s="19" t="s">
        <v>282</v>
      </c>
      <c r="D492" s="19" t="s">
        <v>282</v>
      </c>
      <c r="E492" s="19" t="s">
        <v>283</v>
      </c>
      <c r="F492" s="19" t="s">
        <v>283</v>
      </c>
    </row>
    <row r="493" spans="1:8" ht="19.95" customHeight="1" x14ac:dyDescent="0.3">
      <c r="A493" s="17">
        <f>N15</f>
        <v>64530.587486179567</v>
      </c>
      <c r="C493" s="92">
        <f>-J15</f>
        <v>-0.76822127959737585</v>
      </c>
      <c r="D493" s="92">
        <f>-K15</f>
        <v>-0.64018439966447982</v>
      </c>
      <c r="E493" s="92">
        <f>J15</f>
        <v>0.76822127959737585</v>
      </c>
      <c r="F493" s="92">
        <f>K15</f>
        <v>0.64018439966447982</v>
      </c>
      <c r="G493" s="96">
        <f>IFERROR(VLOOKUP(H493, A$403:D$414, 4, FALSE), 0)</f>
        <v>4.2482777768515417E-2</v>
      </c>
      <c r="H493" s="12" t="str">
        <f>"D" &amp; C30 &amp; "X"</f>
        <v>D2X</v>
      </c>
    </row>
    <row r="494" spans="1:8" ht="19.95" customHeight="1" x14ac:dyDescent="0.3">
      <c r="A494" s="99" t="s">
        <v>589</v>
      </c>
      <c r="B494" s="97">
        <f>(MMULT(C493:F493, G493:G496)*A493)</f>
        <v>4110.0275492592227</v>
      </c>
      <c r="G494" s="96">
        <f>IFERROR(VLOOKUP(H494, A$403:D$414, 4, FALSE), 0)</f>
        <v>-0.16783499310965505</v>
      </c>
      <c r="H494" s="12" t="str">
        <f>"D" &amp; D30 &amp; "Y"</f>
        <v>D2Y</v>
      </c>
    </row>
    <row r="495" spans="1:8" ht="19.95" customHeight="1" x14ac:dyDescent="0.3">
      <c r="G495" s="96">
        <f>IFERROR(VLOOKUP(H495, A$403:D$414, 4, FALSE), 0)</f>
        <v>6.8461247630155035E-3</v>
      </c>
      <c r="H495" s="12" t="str">
        <f>"D" &amp; E30 &amp; "X"</f>
        <v>D6X</v>
      </c>
    </row>
    <row r="496" spans="1:8" ht="19.95" customHeight="1" x14ac:dyDescent="0.3">
      <c r="G496" s="96">
        <f>IFERROR(VLOOKUP(H496, A$403:D$414, 4, FALSE), 0)</f>
        <v>-2.558224739797077E-2</v>
      </c>
      <c r="H496" s="12" t="str">
        <f>"D" &amp; F30 &amp; "Y"</f>
        <v>D6Y</v>
      </c>
    </row>
    <row r="497" spans="1:8" ht="19.95" customHeight="1" x14ac:dyDescent="0.3">
      <c r="B497" s="99" t="s">
        <v>273</v>
      </c>
      <c r="C497" s="178" t="str">
        <f>IF(B494&gt;0.001,"BARRA A TRACCIÓN (+)",IF(B494&lt;-0.001,"BARRA A COMPRESIÓN (-)","BARRA DE FUERZA NULA"))</f>
        <v>BARRA A TRACCIÓN (+)</v>
      </c>
      <c r="D497" s="172"/>
      <c r="E497" s="172"/>
      <c r="F497" s="173"/>
    </row>
    <row r="499" spans="1:8" ht="18" customHeight="1" x14ac:dyDescent="0.3">
      <c r="A499" s="19" t="s">
        <v>278</v>
      </c>
      <c r="C499" s="19" t="s">
        <v>279</v>
      </c>
      <c r="D499" s="19" t="s">
        <v>280</v>
      </c>
      <c r="E499" s="19" t="s">
        <v>279</v>
      </c>
      <c r="F499" s="19" t="s">
        <v>280</v>
      </c>
      <c r="G499" s="19" t="s">
        <v>249</v>
      </c>
    </row>
    <row r="500" spans="1:8" ht="16.05" customHeight="1" x14ac:dyDescent="0.3">
      <c r="C500" s="19" t="s">
        <v>282</v>
      </c>
      <c r="D500" s="19" t="s">
        <v>282</v>
      </c>
      <c r="E500" s="19" t="s">
        <v>283</v>
      </c>
      <c r="F500" s="19" t="s">
        <v>283</v>
      </c>
    </row>
    <row r="501" spans="1:8" ht="19.95" customHeight="1" x14ac:dyDescent="0.3">
      <c r="A501" s="17">
        <f>N16</f>
        <v>64530.587486179567</v>
      </c>
      <c r="C501" s="92">
        <f>-J16</f>
        <v>-0.76822127959737585</v>
      </c>
      <c r="D501" s="92">
        <f>-K16</f>
        <v>0.64018439966447982</v>
      </c>
      <c r="E501" s="92">
        <f>J16</f>
        <v>0.76822127959737585</v>
      </c>
      <c r="F501" s="92">
        <f>K16</f>
        <v>-0.64018439966447982</v>
      </c>
      <c r="G501" s="96">
        <f>IFERROR(VLOOKUP(H501, A$403:D$414, 4, FALSE), 0)</f>
        <v>4.2934775565928618E-2</v>
      </c>
      <c r="H501" s="12" t="str">
        <f>"D" &amp; C31 &amp; "X"</f>
        <v>D5X</v>
      </c>
    </row>
    <row r="502" spans="1:8" ht="19.95" customHeight="1" x14ac:dyDescent="0.3">
      <c r="A502" s="99" t="s">
        <v>590</v>
      </c>
      <c r="B502" s="97">
        <f>(MMULT(C501:F501, G501:G504)*A501)</f>
        <v>-4563.2312562061807</v>
      </c>
      <c r="G502" s="96">
        <f>IFERROR(VLOOKUP(H502, A$403:D$414, 4, FALSE), 0)</f>
        <v>-0.15999636272217929</v>
      </c>
      <c r="H502" s="12" t="str">
        <f>"D" &amp; D31 &amp; "Y"</f>
        <v>D5Y</v>
      </c>
    </row>
    <row r="503" spans="1:8" ht="19.95" customHeight="1" x14ac:dyDescent="0.3">
      <c r="G503" s="96">
        <f>IFERROR(VLOOKUP(H503, A$403:D$414, 4, FALSE), 0)</f>
        <v>8.4215770086866037E-2</v>
      </c>
      <c r="H503" s="12" t="str">
        <f>"D" &amp; E31 &amp; "X"</f>
        <v>D3X</v>
      </c>
    </row>
    <row r="504" spans="1:8" ht="19.95" customHeight="1" x14ac:dyDescent="0.3">
      <c r="G504" s="96">
        <f>IFERROR(VLOOKUP(H504, A$403:D$414, 4, FALSE), 0)</f>
        <v>0</v>
      </c>
      <c r="H504" s="12" t="str">
        <f>"D" &amp; F31 &amp; "Y"</f>
        <v>D3Y</v>
      </c>
    </row>
    <row r="505" spans="1:8" ht="19.95" customHeight="1" x14ac:dyDescent="0.3">
      <c r="B505" s="99" t="s">
        <v>273</v>
      </c>
      <c r="C505" s="178" t="str">
        <f>IF(B502&gt;0.001,"BARRA A TRACCIÓN (+)",IF(B502&lt;-0.001,"BARRA A COMPRESIÓN (-)","BARRA DE FUERZA NULA"))</f>
        <v>BARRA A COMPRESIÓN (-)</v>
      </c>
      <c r="D505" s="172"/>
      <c r="E505" s="172"/>
      <c r="F505" s="173"/>
    </row>
    <row r="507" spans="1:8" ht="18" customHeight="1" x14ac:dyDescent="0.3">
      <c r="A507" s="19" t="s">
        <v>278</v>
      </c>
      <c r="C507" s="19" t="s">
        <v>279</v>
      </c>
      <c r="D507" s="19" t="s">
        <v>280</v>
      </c>
      <c r="E507" s="19" t="s">
        <v>279</v>
      </c>
      <c r="F507" s="19" t="s">
        <v>280</v>
      </c>
      <c r="G507" s="19" t="s">
        <v>249</v>
      </c>
    </row>
    <row r="508" spans="1:8" ht="16.05" customHeight="1" x14ac:dyDescent="0.3">
      <c r="C508" s="19" t="s">
        <v>282</v>
      </c>
      <c r="D508" s="19" t="s">
        <v>282</v>
      </c>
      <c r="E508" s="19" t="s">
        <v>283</v>
      </c>
      <c r="F508" s="19" t="s">
        <v>283</v>
      </c>
    </row>
    <row r="509" spans="1:8" ht="19.95" customHeight="1" x14ac:dyDescent="0.3">
      <c r="A509" s="17">
        <f>N17</f>
        <v>38769.230769230766</v>
      </c>
      <c r="C509" s="92">
        <f>-J17</f>
        <v>-0.92307692307692313</v>
      </c>
      <c r="D509" s="92">
        <f>-K17</f>
        <v>-0.38461538461538464</v>
      </c>
      <c r="E509" s="92">
        <f>J17</f>
        <v>0.92307692307692313</v>
      </c>
      <c r="F509" s="92">
        <f>K17</f>
        <v>0.38461538461538464</v>
      </c>
      <c r="G509" s="96">
        <f>IFERROR(VLOOKUP(H509, A$403:D$414, 4, FALSE), 0)</f>
        <v>0</v>
      </c>
      <c r="H509" s="12" t="str">
        <f>"D" &amp; C32 &amp; "X"</f>
        <v>D1X</v>
      </c>
    </row>
    <row r="510" spans="1:8" ht="19.95" customHeight="1" x14ac:dyDescent="0.3">
      <c r="A510" s="99" t="s">
        <v>611</v>
      </c>
      <c r="B510" s="97">
        <f>(MMULT(C509:F509, G509:G512)*A509)</f>
        <v>-136.46095192999155</v>
      </c>
      <c r="G510" s="96">
        <f>IFERROR(VLOOKUP(H510, A$403:D$414, 4, FALSE), 0)</f>
        <v>0</v>
      </c>
      <c r="H510" s="12" t="str">
        <f>"D" &amp; D32 &amp; "Y"</f>
        <v>D1Y</v>
      </c>
    </row>
    <row r="511" spans="1:8" ht="19.95" customHeight="1" x14ac:dyDescent="0.3">
      <c r="G511" s="96">
        <f>IFERROR(VLOOKUP(H511, A$403:D$414, 4, FALSE), 0)</f>
        <v>6.8461247630155035E-3</v>
      </c>
      <c r="H511" s="12" t="str">
        <f>"D" &amp; E32 &amp; "X"</f>
        <v>D6X</v>
      </c>
    </row>
    <row r="512" spans="1:8" ht="19.95" customHeight="1" x14ac:dyDescent="0.3">
      <c r="G512" s="96">
        <f>IFERROR(VLOOKUP(H512, A$403:D$414, 4, FALSE), 0)</f>
        <v>-2.558224739797077E-2</v>
      </c>
      <c r="H512" s="12" t="str">
        <f>"D" &amp; F32 &amp; "Y"</f>
        <v>D6Y</v>
      </c>
    </row>
    <row r="513" spans="2:8" ht="19.95" customHeight="1" x14ac:dyDescent="0.3">
      <c r="B513" s="99" t="s">
        <v>273</v>
      </c>
      <c r="C513" s="178" t="str">
        <f>IF(B510&gt;0.001,"BARRA A TRACCIÓN (+)",IF(B510&lt;-0.001,"BARRA A COMPRESIÓN (-)","BARRA DE FUERZA NULA"))</f>
        <v>BARRA A COMPRESIÓN (-)</v>
      </c>
      <c r="D513" s="172"/>
      <c r="E513" s="172"/>
      <c r="F513" s="173"/>
    </row>
    <row r="516" spans="2:8" ht="22.05" customHeight="1" x14ac:dyDescent="0.3">
      <c r="B516" s="217" t="s">
        <v>404</v>
      </c>
      <c r="C516" s="175"/>
      <c r="D516" s="175"/>
      <c r="E516" s="175"/>
      <c r="F516" s="175"/>
      <c r="G516" s="175"/>
      <c r="H516" s="175"/>
    </row>
    <row r="517" spans="2:8" ht="24" customHeight="1" x14ac:dyDescent="0.3">
      <c r="B517" s="87" t="s">
        <v>294</v>
      </c>
      <c r="C517" s="87" t="s">
        <v>295</v>
      </c>
      <c r="D517" s="87" t="s">
        <v>296</v>
      </c>
      <c r="E517" s="87" t="s">
        <v>297</v>
      </c>
      <c r="F517" s="87" t="s">
        <v>298</v>
      </c>
      <c r="G517" s="87" t="s">
        <v>299</v>
      </c>
      <c r="H517" s="87" t="s">
        <v>300</v>
      </c>
    </row>
    <row r="518" spans="2:8" ht="19.95" customHeight="1" x14ac:dyDescent="0.3">
      <c r="B518" s="85">
        <v>1</v>
      </c>
      <c r="C518" s="86">
        <f t="shared" ref="C518:C529" si="52">C21</f>
        <v>1</v>
      </c>
      <c r="D518" s="86">
        <f t="shared" ref="D518:D529" si="53">E21</f>
        <v>2</v>
      </c>
      <c r="E518" s="9">
        <f t="shared" ref="E518:E529" si="54">I6</f>
        <v>300</v>
      </c>
      <c r="F518" s="9">
        <f t="shared" ref="F518:F529" si="55">L6</f>
        <v>12</v>
      </c>
      <c r="G518" s="97">
        <f>B422</f>
        <v>3568.5533325552951</v>
      </c>
      <c r="H518" s="84" t="str">
        <f>C425</f>
        <v>BARRA A TRACCIÓN (+)</v>
      </c>
    </row>
    <row r="519" spans="2:8" ht="19.95" customHeight="1" x14ac:dyDescent="0.3">
      <c r="B519" s="25">
        <v>2</v>
      </c>
      <c r="C519" s="86">
        <f t="shared" si="52"/>
        <v>2</v>
      </c>
      <c r="D519" s="86">
        <f t="shared" si="53"/>
        <v>3</v>
      </c>
      <c r="E519" s="9">
        <f t="shared" si="54"/>
        <v>300</v>
      </c>
      <c r="F519" s="9">
        <f t="shared" si="55"/>
        <v>12</v>
      </c>
      <c r="G519" s="97">
        <f>B430</f>
        <v>3505.5713547414521</v>
      </c>
      <c r="H519" s="84" t="str">
        <f>C433</f>
        <v>BARRA A TRACCIÓN (+)</v>
      </c>
    </row>
    <row r="520" spans="2:8" ht="19.95" customHeight="1" x14ac:dyDescent="0.3">
      <c r="B520" s="26">
        <v>3</v>
      </c>
      <c r="C520" s="86">
        <f t="shared" si="52"/>
        <v>4</v>
      </c>
      <c r="D520" s="86">
        <f t="shared" si="53"/>
        <v>5</v>
      </c>
      <c r="E520" s="9">
        <f t="shared" si="54"/>
        <v>300</v>
      </c>
      <c r="F520" s="9">
        <f t="shared" si="55"/>
        <v>12</v>
      </c>
      <c r="G520" s="97">
        <f>B438</f>
        <v>-3094.4286452585429</v>
      </c>
      <c r="H520" s="84" t="str">
        <f>C441</f>
        <v>BARRA A COMPRESIÓN (-)</v>
      </c>
    </row>
    <row r="521" spans="2:8" ht="19.95" customHeight="1" x14ac:dyDescent="0.3">
      <c r="B521" s="43">
        <v>4</v>
      </c>
      <c r="C521" s="86">
        <f t="shared" si="52"/>
        <v>5</v>
      </c>
      <c r="D521" s="86">
        <f t="shared" si="53"/>
        <v>6</v>
      </c>
      <c r="E521" s="9">
        <f t="shared" si="54"/>
        <v>300</v>
      </c>
      <c r="F521" s="9">
        <f t="shared" si="55"/>
        <v>12</v>
      </c>
      <c r="G521" s="97">
        <f>B446</f>
        <v>-3031.4466674447012</v>
      </c>
      <c r="H521" s="84" t="str">
        <f>C449</f>
        <v>BARRA A COMPRESIÓN (-)</v>
      </c>
    </row>
    <row r="522" spans="2:8" ht="19.95" customHeight="1" x14ac:dyDescent="0.3">
      <c r="B522" s="44">
        <v>5</v>
      </c>
      <c r="C522" s="86">
        <f t="shared" si="52"/>
        <v>1</v>
      </c>
      <c r="D522" s="86">
        <f t="shared" si="53"/>
        <v>4</v>
      </c>
      <c r="E522" s="9">
        <f t="shared" si="54"/>
        <v>250</v>
      </c>
      <c r="F522" s="9">
        <f t="shared" si="55"/>
        <v>12</v>
      </c>
      <c r="G522" s="97">
        <f>B454</f>
        <v>-2578.6905377154535</v>
      </c>
      <c r="H522" s="84" t="str">
        <f>C457</f>
        <v>BARRA A COMPRESIÓN (-)</v>
      </c>
    </row>
    <row r="523" spans="2:8" ht="19.95" customHeight="1" x14ac:dyDescent="0.3">
      <c r="B523" s="51">
        <v>6</v>
      </c>
      <c r="C523" s="86">
        <f t="shared" si="52"/>
        <v>2</v>
      </c>
      <c r="D523" s="86">
        <f t="shared" si="53"/>
        <v>5</v>
      </c>
      <c r="E523" s="9">
        <f t="shared" si="54"/>
        <v>250</v>
      </c>
      <c r="F523" s="9">
        <f t="shared" si="55"/>
        <v>12</v>
      </c>
      <c r="G523" s="97">
        <f>B462</f>
        <v>790.13394305755651</v>
      </c>
      <c r="H523" s="84" t="str">
        <f>C465</f>
        <v>BARRA A TRACCIÓN (+)</v>
      </c>
    </row>
    <row r="524" spans="2:8" ht="19.95" customHeight="1" x14ac:dyDescent="0.3">
      <c r="B524" s="52">
        <v>7</v>
      </c>
      <c r="C524" s="86">
        <f t="shared" si="52"/>
        <v>3</v>
      </c>
      <c r="D524" s="86">
        <f t="shared" si="53"/>
        <v>6</v>
      </c>
      <c r="E524" s="9">
        <f t="shared" si="54"/>
        <v>250</v>
      </c>
      <c r="F524" s="9">
        <f t="shared" si="55"/>
        <v>12</v>
      </c>
      <c r="G524" s="97">
        <f>B470</f>
        <v>-2578.6905377154535</v>
      </c>
      <c r="H524" s="84" t="str">
        <f>C473</f>
        <v>BARRA A COMPRESIÓN (-)</v>
      </c>
    </row>
    <row r="525" spans="2:8" ht="19.95" customHeight="1" x14ac:dyDescent="0.3">
      <c r="B525" s="59">
        <v>8</v>
      </c>
      <c r="C525" s="86">
        <f t="shared" si="52"/>
        <v>1</v>
      </c>
      <c r="D525" s="86">
        <f t="shared" si="53"/>
        <v>5</v>
      </c>
      <c r="E525" s="9">
        <f t="shared" si="54"/>
        <v>390.51248379533274</v>
      </c>
      <c r="F525" s="9">
        <f t="shared" si="55"/>
        <v>12</v>
      </c>
      <c r="G525" s="97">
        <f>B478</f>
        <v>-4481.2470942380924</v>
      </c>
      <c r="H525" s="84" t="str">
        <f>C481</f>
        <v>BARRA A COMPRESIÓN (-)</v>
      </c>
    </row>
    <row r="526" spans="2:8" ht="19.95" customHeight="1" x14ac:dyDescent="0.3">
      <c r="B526" s="60">
        <v>9</v>
      </c>
      <c r="C526" s="86">
        <f t="shared" si="52"/>
        <v>4</v>
      </c>
      <c r="D526" s="86">
        <f t="shared" si="53"/>
        <v>2</v>
      </c>
      <c r="E526" s="9">
        <f t="shared" si="54"/>
        <v>390.51248379533274</v>
      </c>
      <c r="F526" s="9">
        <f t="shared" si="55"/>
        <v>12</v>
      </c>
      <c r="G526" s="97">
        <f>B486</f>
        <v>4028.0433872911353</v>
      </c>
      <c r="H526" s="84" t="str">
        <f>C489</f>
        <v>BARRA A TRACCIÓN (+)</v>
      </c>
    </row>
    <row r="527" spans="2:8" ht="19.95" customHeight="1" x14ac:dyDescent="0.3">
      <c r="B527" s="67">
        <v>10</v>
      </c>
      <c r="C527" s="86">
        <f t="shared" si="52"/>
        <v>2</v>
      </c>
      <c r="D527" s="86">
        <f t="shared" si="53"/>
        <v>6</v>
      </c>
      <c r="E527" s="9">
        <f t="shared" si="54"/>
        <v>390.51248379533274</v>
      </c>
      <c r="F527" s="9">
        <f t="shared" si="55"/>
        <v>12</v>
      </c>
      <c r="G527" s="97">
        <f>B494</f>
        <v>4110.0275492592227</v>
      </c>
      <c r="H527" s="84" t="str">
        <f>C497</f>
        <v>BARRA A TRACCIÓN (+)</v>
      </c>
    </row>
    <row r="528" spans="2:8" ht="19.95" customHeight="1" x14ac:dyDescent="0.3">
      <c r="B528" s="68">
        <v>11</v>
      </c>
      <c r="C528" s="86">
        <f t="shared" si="52"/>
        <v>5</v>
      </c>
      <c r="D528" s="86">
        <f t="shared" si="53"/>
        <v>3</v>
      </c>
      <c r="E528" s="9">
        <f t="shared" si="54"/>
        <v>390.51248379533274</v>
      </c>
      <c r="F528" s="9">
        <f t="shared" si="55"/>
        <v>12</v>
      </c>
      <c r="G528" s="97">
        <f>B502</f>
        <v>-4563.2312562061807</v>
      </c>
      <c r="H528" s="84" t="str">
        <f>C505</f>
        <v>BARRA A COMPRESIÓN (-)</v>
      </c>
    </row>
    <row r="529" spans="2:8" ht="19.95" customHeight="1" x14ac:dyDescent="0.3">
      <c r="B529" s="10">
        <v>12</v>
      </c>
      <c r="C529" s="86">
        <f t="shared" si="52"/>
        <v>1</v>
      </c>
      <c r="D529" s="86">
        <f t="shared" si="53"/>
        <v>6</v>
      </c>
      <c r="E529" s="9">
        <f t="shared" si="54"/>
        <v>650</v>
      </c>
      <c r="F529" s="9">
        <f t="shared" si="55"/>
        <v>12</v>
      </c>
      <c r="G529" s="97">
        <f>B510</f>
        <v>-136.46095192999155</v>
      </c>
      <c r="H529" s="84" t="str">
        <f>C513</f>
        <v>BARRA A COMPRESIÓN (-)</v>
      </c>
    </row>
  </sheetData>
  <mergeCells count="153">
    <mergeCell ref="C371:D371"/>
    <mergeCell ref="P374:U374"/>
    <mergeCell ref="C513:F513"/>
    <mergeCell ref="P434:U434"/>
    <mergeCell ref="P316:U316"/>
    <mergeCell ref="P381:U381"/>
    <mergeCell ref="P390:U390"/>
    <mergeCell ref="C457:F457"/>
    <mergeCell ref="C497:F497"/>
    <mergeCell ref="P437:U437"/>
    <mergeCell ref="P438:U438"/>
    <mergeCell ref="C473:F473"/>
    <mergeCell ref="C481:F481"/>
    <mergeCell ref="C465:F465"/>
    <mergeCell ref="P436:U436"/>
    <mergeCell ref="P358:U358"/>
    <mergeCell ref="P424:U424"/>
    <mergeCell ref="P394:U394"/>
    <mergeCell ref="P369:U369"/>
    <mergeCell ref="P343:U343"/>
    <mergeCell ref="P396:U396"/>
    <mergeCell ref="P348:U348"/>
    <mergeCell ref="C330:D330"/>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417:U417"/>
    <mergeCell ref="I4:I5"/>
    <mergeCell ref="P303:U303"/>
    <mergeCell ref="B1:N1"/>
    <mergeCell ref="P305:U305"/>
    <mergeCell ref="C19:D19"/>
    <mergeCell ref="P311:U311"/>
    <mergeCell ref="P439:U439"/>
    <mergeCell ref="P320:U320"/>
    <mergeCell ref="P433:U433"/>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37:U337"/>
    <mergeCell ref="P312:U312"/>
    <mergeCell ref="P321:U321"/>
    <mergeCell ref="P392:U392"/>
    <mergeCell ref="P386:U386"/>
    <mergeCell ref="P339:U339"/>
    <mergeCell ref="P307:U307"/>
    <mergeCell ref="K4:K5"/>
    <mergeCell ref="P351:U351"/>
    <mergeCell ref="P326:U326"/>
    <mergeCell ref="P324:U324"/>
    <mergeCell ref="P333:U333"/>
    <mergeCell ref="P388:U388"/>
    <mergeCell ref="P431:U431"/>
    <mergeCell ref="P327:U327"/>
    <mergeCell ref="P440:U440"/>
    <mergeCell ref="P336:U336"/>
    <mergeCell ref="B516:H516"/>
    <mergeCell ref="C449:F449"/>
    <mergeCell ref="P376:U376"/>
    <mergeCell ref="P323:U323"/>
    <mergeCell ref="P354:U354"/>
    <mergeCell ref="P363:U363"/>
    <mergeCell ref="C505:F505"/>
    <mergeCell ref="P426:U426"/>
    <mergeCell ref="P347:U347"/>
    <mergeCell ref="P378:U378"/>
    <mergeCell ref="P418:U418"/>
    <mergeCell ref="C441:F441"/>
    <mergeCell ref="P365:U365"/>
    <mergeCell ref="P367:U367"/>
    <mergeCell ref="P430:U430"/>
    <mergeCell ref="P377:U377"/>
    <mergeCell ref="P361:U361"/>
    <mergeCell ref="P429:U429"/>
    <mergeCell ref="P423:U423"/>
    <mergeCell ref="P425:U425"/>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G4:G5"/>
    <mergeCell ref="E19:F19"/>
    <mergeCell ref="B3:D3"/>
    <mergeCell ref="P393:U393"/>
    <mergeCell ref="M4:M5"/>
    <mergeCell ref="P370:U370"/>
    <mergeCell ref="P304:U304"/>
    <mergeCell ref="C359:K359"/>
    <mergeCell ref="P350:U350"/>
    <mergeCell ref="P325:U325"/>
    <mergeCell ref="P352:U352"/>
    <mergeCell ref="P375:U375"/>
    <mergeCell ref="P313:U313"/>
    <mergeCell ref="P317:U317"/>
    <mergeCell ref="P310:U310"/>
    <mergeCell ref="P366:U366"/>
    <mergeCell ref="P340:U340"/>
    <mergeCell ref="B19:B20"/>
    <mergeCell ref="P308:U308"/>
    <mergeCell ref="P371:U371"/>
    <mergeCell ref="P331:U331"/>
    <mergeCell ref="H4:H5"/>
    <mergeCell ref="P360:U360"/>
    <mergeCell ref="P391:U391"/>
    <mergeCell ref="P328:U328"/>
    <mergeCell ref="P384:U38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642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3</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450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450</v>
      </c>
      <c r="AB8" s="20">
        <f>IF(F29="","",F29)</f>
        <v>0</v>
      </c>
      <c r="AC8" t="s">
        <v>316</v>
      </c>
    </row>
    <row r="9" spans="2:29" x14ac:dyDescent="0.3">
      <c r="AA9" s="20">
        <f>IF(G29="","",G29)</f>
        <v>900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300</v>
      </c>
      <c r="AC11" t="s">
        <v>324</v>
      </c>
    </row>
    <row r="12" spans="2:29" x14ac:dyDescent="0.3">
      <c r="AA12" s="20">
        <f>IF(G30="","",G30)</f>
        <v>450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412</v>
      </c>
      <c r="K14" s="172"/>
      <c r="L14" s="172"/>
      <c r="M14" s="172"/>
      <c r="N14" s="172"/>
      <c r="O14" s="173"/>
      <c r="AA14" s="20">
        <f>IF(E31="","",E31)</f>
        <v>450</v>
      </c>
      <c r="AB14" s="20">
        <f>IF(F31="","",F31)</f>
        <v>300</v>
      </c>
      <c r="AC14" t="s">
        <v>328</v>
      </c>
    </row>
    <row r="15" spans="2:29" ht="19.05" customHeight="1" x14ac:dyDescent="0.3">
      <c r="B15" s="89">
        <v>2</v>
      </c>
      <c r="C15" s="21">
        <v>450</v>
      </c>
      <c r="D15" s="21">
        <v>0</v>
      </c>
      <c r="E15" s="21" t="s">
        <v>326</v>
      </c>
      <c r="F15" s="88">
        <f t="shared" si="0"/>
        <v>0</v>
      </c>
      <c r="G15" s="88">
        <f t="shared" si="1"/>
        <v>0</v>
      </c>
      <c r="H15" s="22">
        <v>0</v>
      </c>
      <c r="I15" s="22">
        <v>-9000</v>
      </c>
      <c r="J15" s="205" t="s">
        <v>626</v>
      </c>
      <c r="K15" s="172"/>
      <c r="L15" s="172"/>
      <c r="M15" s="172"/>
      <c r="N15" s="172"/>
      <c r="O15" s="173"/>
      <c r="AA15" s="20">
        <f>IF(G31="","",G31)</f>
        <v>900</v>
      </c>
      <c r="AB15" s="20">
        <f>IF(H31="","",H31)</f>
        <v>300</v>
      </c>
      <c r="AC15" t="s">
        <v>331</v>
      </c>
    </row>
    <row r="16" spans="2:29" ht="19.05" customHeight="1" x14ac:dyDescent="0.3">
      <c r="B16" s="89">
        <v>3</v>
      </c>
      <c r="C16" s="21">
        <v>900</v>
      </c>
      <c r="D16" s="21">
        <v>0</v>
      </c>
      <c r="E16" s="21" t="s">
        <v>329</v>
      </c>
      <c r="F16" s="88">
        <f t="shared" si="0"/>
        <v>0</v>
      </c>
      <c r="G16" s="88">
        <f t="shared" si="1"/>
        <v>1</v>
      </c>
      <c r="H16" s="22">
        <v>0</v>
      </c>
      <c r="I16" s="22">
        <v>0</v>
      </c>
      <c r="J16" s="205" t="s">
        <v>407</v>
      </c>
      <c r="K16" s="172"/>
      <c r="L16" s="172"/>
      <c r="M16" s="172"/>
      <c r="N16" s="172"/>
      <c r="O16" s="173"/>
    </row>
    <row r="17" spans="2:29" ht="19.05" customHeight="1" x14ac:dyDescent="0.3">
      <c r="B17" s="89">
        <v>4</v>
      </c>
      <c r="C17" s="21">
        <v>0</v>
      </c>
      <c r="D17" s="21">
        <v>300</v>
      </c>
      <c r="E17" s="21" t="s">
        <v>326</v>
      </c>
      <c r="F17" s="88">
        <f t="shared" si="0"/>
        <v>0</v>
      </c>
      <c r="G17" s="88">
        <f t="shared" si="1"/>
        <v>0</v>
      </c>
      <c r="H17" s="22">
        <v>2500</v>
      </c>
      <c r="I17" s="22">
        <v>0</v>
      </c>
      <c r="J17" s="205" t="s">
        <v>596</v>
      </c>
      <c r="K17" s="172"/>
      <c r="L17" s="172"/>
      <c r="M17" s="172"/>
      <c r="N17" s="172"/>
      <c r="O17" s="173"/>
      <c r="AA17" s="20">
        <f>IF(E32="","",E32)</f>
        <v>0</v>
      </c>
      <c r="AB17" s="20">
        <f>IF(F32="","",F32)</f>
        <v>0</v>
      </c>
      <c r="AC17" t="s">
        <v>334</v>
      </c>
    </row>
    <row r="18" spans="2:29" ht="19.05" customHeight="1" x14ac:dyDescent="0.3">
      <c r="B18" s="89">
        <v>5</v>
      </c>
      <c r="C18" s="21">
        <v>450</v>
      </c>
      <c r="D18" s="21">
        <v>300</v>
      </c>
      <c r="E18" s="21" t="s">
        <v>326</v>
      </c>
      <c r="F18" s="88">
        <f t="shared" si="0"/>
        <v>0</v>
      </c>
      <c r="G18" s="88">
        <f t="shared" si="1"/>
        <v>0</v>
      </c>
      <c r="H18" s="22">
        <v>0</v>
      </c>
      <c r="I18" s="22">
        <v>-4000</v>
      </c>
      <c r="J18" s="205" t="s">
        <v>639</v>
      </c>
      <c r="K18" s="172"/>
      <c r="L18" s="172"/>
      <c r="M18" s="172"/>
      <c r="N18" s="172"/>
      <c r="O18" s="173"/>
      <c r="AA18" s="20">
        <f>IF(G32="","",G32)</f>
        <v>0</v>
      </c>
      <c r="AB18" s="20">
        <f>IF(H32="","",H32)</f>
        <v>300</v>
      </c>
      <c r="AC18" t="s">
        <v>335</v>
      </c>
    </row>
    <row r="19" spans="2:29" ht="19.05" customHeight="1" x14ac:dyDescent="0.3">
      <c r="B19" s="89">
        <v>6</v>
      </c>
      <c r="C19" s="21">
        <v>900</v>
      </c>
      <c r="D19" s="21">
        <v>300</v>
      </c>
      <c r="E19" s="21" t="s">
        <v>326</v>
      </c>
      <c r="F19" s="88">
        <f t="shared" si="0"/>
        <v>0</v>
      </c>
      <c r="G19" s="88">
        <f t="shared" si="1"/>
        <v>0</v>
      </c>
      <c r="H19" s="22">
        <v>0</v>
      </c>
      <c r="I19" s="22">
        <v>0</v>
      </c>
      <c r="J19" s="205" t="s">
        <v>640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450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900</v>
      </c>
      <c r="AB23" s="20">
        <f>IF(F34="","",F34)</f>
        <v>0</v>
      </c>
      <c r="AC23" t="s">
        <v>338</v>
      </c>
    </row>
    <row r="24" spans="2:29" x14ac:dyDescent="0.3">
      <c r="AA24" s="20">
        <f>IF(G34="","",G34)</f>
        <v>900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450</v>
      </c>
      <c r="H30" s="5">
        <f t="shared" si="5"/>
        <v>300</v>
      </c>
      <c r="I30" s="9">
        <f t="shared" si="6"/>
        <v>450</v>
      </c>
      <c r="J30" s="9">
        <f t="shared" si="7"/>
        <v>0</v>
      </c>
      <c r="K30" s="9">
        <f t="shared" si="8"/>
        <v>450</v>
      </c>
      <c r="L30" s="92">
        <f t="shared" si="9"/>
        <v>1</v>
      </c>
      <c r="M30" s="92">
        <f t="shared" si="10"/>
        <v>0</v>
      </c>
      <c r="N30" s="22">
        <v>12</v>
      </c>
      <c r="O30" s="24">
        <v>2100000</v>
      </c>
      <c r="AA30" s="20">
        <f>IF(G36="","",G36)</f>
        <v>450</v>
      </c>
      <c r="AB30" s="20">
        <f>IF(H36="","",H36)</f>
        <v>0</v>
      </c>
      <c r="AC30" t="s">
        <v>354</v>
      </c>
    </row>
    <row r="31" spans="2:29" ht="19.05" customHeight="1" x14ac:dyDescent="0.3">
      <c r="B31" s="89">
        <v>4</v>
      </c>
      <c r="C31" s="23">
        <v>5</v>
      </c>
      <c r="D31" s="23">
        <v>6</v>
      </c>
      <c r="E31" s="5">
        <f t="shared" si="2"/>
        <v>450</v>
      </c>
      <c r="F31" s="5">
        <f t="shared" si="3"/>
        <v>300</v>
      </c>
      <c r="G31" s="5">
        <f t="shared" si="4"/>
        <v>900</v>
      </c>
      <c r="H31" s="5">
        <f t="shared" si="5"/>
        <v>300</v>
      </c>
      <c r="I31" s="9">
        <f t="shared" si="6"/>
        <v>450</v>
      </c>
      <c r="J31" s="9">
        <f t="shared" si="7"/>
        <v>0</v>
      </c>
      <c r="K31" s="9">
        <f t="shared" si="8"/>
        <v>450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450</v>
      </c>
      <c r="AB32" s="20">
        <f>IF(F37="","",F37)</f>
        <v>0</v>
      </c>
      <c r="AC32" t="s">
        <v>355</v>
      </c>
    </row>
    <row r="33" spans="2:29" ht="19.05" customHeight="1" x14ac:dyDescent="0.3">
      <c r="B33" s="89">
        <v>6</v>
      </c>
      <c r="C33" s="23">
        <v>2</v>
      </c>
      <c r="D33" s="23">
        <v>5</v>
      </c>
      <c r="E33" s="5">
        <f t="shared" si="2"/>
        <v>450</v>
      </c>
      <c r="F33" s="5">
        <f t="shared" si="3"/>
        <v>0</v>
      </c>
      <c r="G33" s="5">
        <f t="shared" si="4"/>
        <v>450</v>
      </c>
      <c r="H33" s="5">
        <f t="shared" si="5"/>
        <v>300</v>
      </c>
      <c r="I33" s="9">
        <f t="shared" si="6"/>
        <v>0</v>
      </c>
      <c r="J33" s="9">
        <f t="shared" si="7"/>
        <v>300</v>
      </c>
      <c r="K33" s="9">
        <f t="shared" si="8"/>
        <v>300</v>
      </c>
      <c r="L33" s="92">
        <f t="shared" si="9"/>
        <v>0</v>
      </c>
      <c r="M33" s="92">
        <f t="shared" si="10"/>
        <v>1</v>
      </c>
      <c r="N33" s="22">
        <v>12</v>
      </c>
      <c r="O33" s="24">
        <v>2100000</v>
      </c>
      <c r="AA33" s="20">
        <f>IF(G37="","",G37)</f>
        <v>900</v>
      </c>
      <c r="AB33" s="20">
        <f>IF(H37="","",H37)</f>
        <v>300</v>
      </c>
      <c r="AC33" t="s">
        <v>356</v>
      </c>
    </row>
    <row r="34" spans="2:29" ht="19.05" customHeight="1" x14ac:dyDescent="0.3">
      <c r="B34" s="89">
        <v>7</v>
      </c>
      <c r="C34" s="23">
        <v>3</v>
      </c>
      <c r="D34" s="23">
        <v>6</v>
      </c>
      <c r="E34" s="5">
        <f t="shared" si="2"/>
        <v>900</v>
      </c>
      <c r="F34" s="5">
        <f t="shared" si="3"/>
        <v>0</v>
      </c>
      <c r="G34" s="5">
        <f t="shared" si="4"/>
        <v>900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450</v>
      </c>
      <c r="H35" s="5">
        <f t="shared" si="5"/>
        <v>300</v>
      </c>
      <c r="I35" s="9">
        <f t="shared" si="6"/>
        <v>450</v>
      </c>
      <c r="J35" s="9">
        <f t="shared" si="7"/>
        <v>300</v>
      </c>
      <c r="K35" s="9">
        <f t="shared" si="8"/>
        <v>540.83269131959844</v>
      </c>
      <c r="L35" s="92">
        <f t="shared" si="9"/>
        <v>0.83205029433784361</v>
      </c>
      <c r="M35" s="92">
        <f t="shared" si="10"/>
        <v>0.55470019622522904</v>
      </c>
      <c r="N35" s="22">
        <v>12</v>
      </c>
      <c r="O35" s="24">
        <v>2100000</v>
      </c>
      <c r="AA35" s="20">
        <f>IF(E38="","",E38)</f>
        <v>450</v>
      </c>
      <c r="AB35" s="20">
        <f>IF(F38="","",F38)</f>
        <v>300</v>
      </c>
      <c r="AC35" t="s">
        <v>357</v>
      </c>
    </row>
    <row r="36" spans="2:29" ht="19.05" customHeight="1" x14ac:dyDescent="0.3">
      <c r="B36" s="89">
        <v>9</v>
      </c>
      <c r="C36" s="23">
        <v>4</v>
      </c>
      <c r="D36" s="23">
        <v>2</v>
      </c>
      <c r="E36" s="5">
        <f t="shared" si="2"/>
        <v>0</v>
      </c>
      <c r="F36" s="5">
        <f t="shared" si="3"/>
        <v>300</v>
      </c>
      <c r="G36" s="5">
        <f t="shared" si="4"/>
        <v>450</v>
      </c>
      <c r="H36" s="5">
        <f t="shared" si="5"/>
        <v>0</v>
      </c>
      <c r="I36" s="9">
        <f t="shared" si="6"/>
        <v>450</v>
      </c>
      <c r="J36" s="9">
        <f t="shared" si="7"/>
        <v>-300</v>
      </c>
      <c r="K36" s="9">
        <f t="shared" si="8"/>
        <v>540.83269131959844</v>
      </c>
      <c r="L36" s="92">
        <f t="shared" si="9"/>
        <v>0.83205029433784361</v>
      </c>
      <c r="M36" s="92">
        <f t="shared" si="10"/>
        <v>-0.55470019622522904</v>
      </c>
      <c r="N36" s="22">
        <v>12</v>
      </c>
      <c r="O36" s="24">
        <v>2100000</v>
      </c>
      <c r="AA36" s="20">
        <f>IF(G38="","",G38)</f>
        <v>900</v>
      </c>
      <c r="AB36" s="20">
        <f>IF(H38="","",H38)</f>
        <v>0</v>
      </c>
      <c r="AC36" t="s">
        <v>358</v>
      </c>
    </row>
    <row r="37" spans="2:29" ht="19.05" customHeight="1" x14ac:dyDescent="0.3">
      <c r="B37" s="89">
        <v>10</v>
      </c>
      <c r="C37" s="23">
        <v>2</v>
      </c>
      <c r="D37" s="23">
        <v>6</v>
      </c>
      <c r="E37" s="5">
        <f t="shared" si="2"/>
        <v>450</v>
      </c>
      <c r="F37" s="5">
        <f t="shared" si="3"/>
        <v>0</v>
      </c>
      <c r="G37" s="5">
        <f t="shared" si="4"/>
        <v>900</v>
      </c>
      <c r="H37" s="5">
        <f t="shared" si="5"/>
        <v>300</v>
      </c>
      <c r="I37" s="9">
        <f t="shared" si="6"/>
        <v>450</v>
      </c>
      <c r="J37" s="9">
        <f t="shared" si="7"/>
        <v>300</v>
      </c>
      <c r="K37" s="9">
        <f t="shared" si="8"/>
        <v>540.83269131959844</v>
      </c>
      <c r="L37" s="92">
        <f t="shared" si="9"/>
        <v>0.83205029433784361</v>
      </c>
      <c r="M37" s="92">
        <f t="shared" si="10"/>
        <v>0.55470019622522904</v>
      </c>
      <c r="N37" s="22">
        <v>12</v>
      </c>
      <c r="O37" s="24">
        <v>2100000</v>
      </c>
    </row>
    <row r="38" spans="2:29" ht="19.05" customHeight="1" x14ac:dyDescent="0.3">
      <c r="B38" s="89">
        <v>11</v>
      </c>
      <c r="C38" s="23">
        <v>5</v>
      </c>
      <c r="D38" s="23">
        <v>3</v>
      </c>
      <c r="E38" s="5">
        <f t="shared" si="2"/>
        <v>450</v>
      </c>
      <c r="F38" s="5">
        <f t="shared" si="3"/>
        <v>300</v>
      </c>
      <c r="G38" s="5">
        <f t="shared" si="4"/>
        <v>900</v>
      </c>
      <c r="H38" s="5">
        <f t="shared" si="5"/>
        <v>0</v>
      </c>
      <c r="I38" s="9">
        <f t="shared" si="6"/>
        <v>450</v>
      </c>
      <c r="J38" s="9">
        <f t="shared" si="7"/>
        <v>-300</v>
      </c>
      <c r="K38" s="9">
        <f t="shared" si="8"/>
        <v>540.83269131959844</v>
      </c>
      <c r="L38" s="92">
        <f t="shared" si="9"/>
        <v>0.83205029433784361</v>
      </c>
      <c r="M38" s="92">
        <f t="shared" si="10"/>
        <v>-0.55470019622522904</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100-000000000000}">
      <formula1>"Fijo (articulado),Rodillo Y (despl. X libre),Rodillo X (despl. Y libre),Libre (0 reac.)"</formula1>
    </dataValidation>
  </dataValidations>
  <pageMargins left="0.75" right="0.75" top="1" bottom="1" header="0.5" footer="0.5"/>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643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GRAFICA_48!E28</f>
        <v>0</v>
      </c>
      <c r="D6" s="22">
        <f>GRAFICA_48!F28</f>
        <v>0</v>
      </c>
      <c r="E6" s="22">
        <f>GRAFICA_48!G28</f>
        <v>450</v>
      </c>
      <c r="F6" s="22">
        <f>GRAFICA_48!H28</f>
        <v>0</v>
      </c>
      <c r="G6" s="9">
        <f t="shared" ref="G6:G16" si="0">E6-C6</f>
        <v>450</v>
      </c>
      <c r="H6" s="9">
        <f t="shared" ref="H6:H16" si="1">F6-D6</f>
        <v>0</v>
      </c>
      <c r="I6" s="9">
        <f t="shared" ref="I6:I16" si="2">SQRT(G6*G6+H6*H6)</f>
        <v>450</v>
      </c>
      <c r="J6" s="92">
        <f t="shared" ref="J6:J16" si="3">G6/I6</f>
        <v>1</v>
      </c>
      <c r="K6" s="92">
        <f t="shared" ref="K6:K16" si="4">H6/I6</f>
        <v>0</v>
      </c>
      <c r="L6" s="22">
        <f>GRAFICA_48!N28</f>
        <v>12</v>
      </c>
      <c r="M6" s="22">
        <f>GRAFICA_48!O28</f>
        <v>2100000</v>
      </c>
      <c r="N6" s="6">
        <f t="shared" ref="N6:N16" si="5">L6*M6/I6</f>
        <v>56000</v>
      </c>
    </row>
    <row r="7" spans="2:14" ht="19.05" customHeight="1" x14ac:dyDescent="0.3">
      <c r="B7" s="25">
        <v>2</v>
      </c>
      <c r="C7" s="22">
        <f>GRAFICA_48!E29</f>
        <v>450</v>
      </c>
      <c r="D7" s="22">
        <f>GRAFICA_48!F29</f>
        <v>0</v>
      </c>
      <c r="E7" s="22">
        <f>GRAFICA_48!G29</f>
        <v>900</v>
      </c>
      <c r="F7" s="22">
        <f>GRAFICA_48!H29</f>
        <v>0</v>
      </c>
      <c r="G7" s="9">
        <f t="shared" si="0"/>
        <v>450</v>
      </c>
      <c r="H7" s="9">
        <f t="shared" si="1"/>
        <v>0</v>
      </c>
      <c r="I7" s="9">
        <f t="shared" si="2"/>
        <v>450</v>
      </c>
      <c r="J7" s="92">
        <f t="shared" si="3"/>
        <v>1</v>
      </c>
      <c r="K7" s="92">
        <f t="shared" si="4"/>
        <v>0</v>
      </c>
      <c r="L7" s="22">
        <f>GRAFICA_48!N29</f>
        <v>12</v>
      </c>
      <c r="M7" s="22">
        <f>GRAFICA_48!O29</f>
        <v>2100000</v>
      </c>
      <c r="N7" s="6">
        <f t="shared" si="5"/>
        <v>56000</v>
      </c>
    </row>
    <row r="8" spans="2:14" ht="19.05" customHeight="1" x14ac:dyDescent="0.3">
      <c r="B8" s="26">
        <v>3</v>
      </c>
      <c r="C8" s="22">
        <f>GRAFICA_48!E30</f>
        <v>0</v>
      </c>
      <c r="D8" s="22">
        <f>GRAFICA_48!F30</f>
        <v>300</v>
      </c>
      <c r="E8" s="22">
        <f>GRAFICA_48!G30</f>
        <v>450</v>
      </c>
      <c r="F8" s="22">
        <f>GRAFICA_48!H30</f>
        <v>300</v>
      </c>
      <c r="G8" s="9">
        <f t="shared" si="0"/>
        <v>450</v>
      </c>
      <c r="H8" s="9">
        <f t="shared" si="1"/>
        <v>0</v>
      </c>
      <c r="I8" s="9">
        <f t="shared" si="2"/>
        <v>450</v>
      </c>
      <c r="J8" s="92">
        <f t="shared" si="3"/>
        <v>1</v>
      </c>
      <c r="K8" s="92">
        <f t="shared" si="4"/>
        <v>0</v>
      </c>
      <c r="L8" s="22">
        <f>GRAFICA_48!N30</f>
        <v>12</v>
      </c>
      <c r="M8" s="22">
        <f>GRAFICA_48!O30</f>
        <v>2100000</v>
      </c>
      <c r="N8" s="6">
        <f t="shared" si="5"/>
        <v>56000</v>
      </c>
    </row>
    <row r="9" spans="2:14" ht="19.05" customHeight="1" x14ac:dyDescent="0.3">
      <c r="B9" s="43">
        <v>4</v>
      </c>
      <c r="C9" s="22">
        <f>GRAFICA_48!E31</f>
        <v>450</v>
      </c>
      <c r="D9" s="22">
        <f>GRAFICA_48!F31</f>
        <v>300</v>
      </c>
      <c r="E9" s="22">
        <f>GRAFICA_48!G31</f>
        <v>900</v>
      </c>
      <c r="F9" s="22">
        <f>GRAFICA_48!H31</f>
        <v>300</v>
      </c>
      <c r="G9" s="9">
        <f t="shared" si="0"/>
        <v>450</v>
      </c>
      <c r="H9" s="9">
        <f t="shared" si="1"/>
        <v>0</v>
      </c>
      <c r="I9" s="9">
        <f t="shared" si="2"/>
        <v>450</v>
      </c>
      <c r="J9" s="92">
        <f t="shared" si="3"/>
        <v>1</v>
      </c>
      <c r="K9" s="92">
        <f t="shared" si="4"/>
        <v>0</v>
      </c>
      <c r="L9" s="22">
        <f>GRAFICA_48!N31</f>
        <v>12</v>
      </c>
      <c r="M9" s="22">
        <f>GRAFICA_48!O31</f>
        <v>2100000</v>
      </c>
      <c r="N9" s="6">
        <f t="shared" si="5"/>
        <v>56000</v>
      </c>
    </row>
    <row r="10" spans="2:14" ht="19.05" customHeight="1" x14ac:dyDescent="0.3">
      <c r="B10" s="44">
        <v>5</v>
      </c>
      <c r="C10" s="22">
        <f>GRAFICA_48!E32</f>
        <v>0</v>
      </c>
      <c r="D10" s="22">
        <f>GRAFICA_48!F32</f>
        <v>0</v>
      </c>
      <c r="E10" s="22">
        <f>GRAFICA_48!G32</f>
        <v>0</v>
      </c>
      <c r="F10" s="22">
        <f>GRAFICA_48!H32</f>
        <v>300</v>
      </c>
      <c r="G10" s="9">
        <f t="shared" si="0"/>
        <v>0</v>
      </c>
      <c r="H10" s="9">
        <f t="shared" si="1"/>
        <v>300</v>
      </c>
      <c r="I10" s="9">
        <f t="shared" si="2"/>
        <v>300</v>
      </c>
      <c r="J10" s="92">
        <f t="shared" si="3"/>
        <v>0</v>
      </c>
      <c r="K10" s="92">
        <f t="shared" si="4"/>
        <v>1</v>
      </c>
      <c r="L10" s="22">
        <f>GRAFICA_48!N32</f>
        <v>12</v>
      </c>
      <c r="M10" s="22">
        <f>GRAFICA_48!O32</f>
        <v>2100000</v>
      </c>
      <c r="N10" s="6">
        <f t="shared" si="5"/>
        <v>84000</v>
      </c>
    </row>
    <row r="11" spans="2:14" ht="19.05" customHeight="1" x14ac:dyDescent="0.3">
      <c r="B11" s="51">
        <v>6</v>
      </c>
      <c r="C11" s="22">
        <f>GRAFICA_48!E33</f>
        <v>450</v>
      </c>
      <c r="D11" s="22">
        <f>GRAFICA_48!F33</f>
        <v>0</v>
      </c>
      <c r="E11" s="22">
        <f>GRAFICA_48!G33</f>
        <v>450</v>
      </c>
      <c r="F11" s="22">
        <f>GRAFICA_48!H33</f>
        <v>300</v>
      </c>
      <c r="G11" s="9">
        <f t="shared" si="0"/>
        <v>0</v>
      </c>
      <c r="H11" s="9">
        <f t="shared" si="1"/>
        <v>300</v>
      </c>
      <c r="I11" s="9">
        <f t="shared" si="2"/>
        <v>300</v>
      </c>
      <c r="J11" s="92">
        <f t="shared" si="3"/>
        <v>0</v>
      </c>
      <c r="K11" s="92">
        <f t="shared" si="4"/>
        <v>1</v>
      </c>
      <c r="L11" s="22">
        <f>GRAFICA_48!N33</f>
        <v>12</v>
      </c>
      <c r="M11" s="22">
        <f>GRAFICA_48!O33</f>
        <v>2100000</v>
      </c>
      <c r="N11" s="6">
        <f t="shared" si="5"/>
        <v>84000</v>
      </c>
    </row>
    <row r="12" spans="2:14" ht="19.05" customHeight="1" x14ac:dyDescent="0.3">
      <c r="B12" s="52">
        <v>7</v>
      </c>
      <c r="C12" s="22">
        <f>GRAFICA_48!E34</f>
        <v>900</v>
      </c>
      <c r="D12" s="22">
        <f>GRAFICA_48!F34</f>
        <v>0</v>
      </c>
      <c r="E12" s="22">
        <f>GRAFICA_48!G34</f>
        <v>900</v>
      </c>
      <c r="F12" s="22">
        <f>GRAFICA_48!H34</f>
        <v>300</v>
      </c>
      <c r="G12" s="9">
        <f t="shared" si="0"/>
        <v>0</v>
      </c>
      <c r="H12" s="9">
        <f t="shared" si="1"/>
        <v>300</v>
      </c>
      <c r="I12" s="9">
        <f t="shared" si="2"/>
        <v>300</v>
      </c>
      <c r="J12" s="92">
        <f t="shared" si="3"/>
        <v>0</v>
      </c>
      <c r="K12" s="92">
        <f t="shared" si="4"/>
        <v>1</v>
      </c>
      <c r="L12" s="22">
        <f>GRAFICA_48!N34</f>
        <v>12</v>
      </c>
      <c r="M12" s="22">
        <f>GRAFICA_48!O34</f>
        <v>2100000</v>
      </c>
      <c r="N12" s="6">
        <f t="shared" si="5"/>
        <v>84000</v>
      </c>
    </row>
    <row r="13" spans="2:14" ht="19.05" customHeight="1" x14ac:dyDescent="0.3">
      <c r="B13" s="59">
        <v>8</v>
      </c>
      <c r="C13" s="22">
        <f>GRAFICA_48!E35</f>
        <v>0</v>
      </c>
      <c r="D13" s="22">
        <f>GRAFICA_48!F35</f>
        <v>0</v>
      </c>
      <c r="E13" s="22">
        <f>GRAFICA_48!G35</f>
        <v>450</v>
      </c>
      <c r="F13" s="22">
        <f>GRAFICA_48!H35</f>
        <v>300</v>
      </c>
      <c r="G13" s="9">
        <f t="shared" si="0"/>
        <v>450</v>
      </c>
      <c r="H13" s="9">
        <f t="shared" si="1"/>
        <v>300</v>
      </c>
      <c r="I13" s="9">
        <f t="shared" si="2"/>
        <v>540.83269131959844</v>
      </c>
      <c r="J13" s="92">
        <f t="shared" si="3"/>
        <v>0.83205029433784361</v>
      </c>
      <c r="K13" s="92">
        <f t="shared" si="4"/>
        <v>0.55470019622522904</v>
      </c>
      <c r="L13" s="22">
        <f>GRAFICA_48!N35</f>
        <v>12</v>
      </c>
      <c r="M13" s="22">
        <f>GRAFICA_48!O35</f>
        <v>2100000</v>
      </c>
      <c r="N13" s="6">
        <f t="shared" si="5"/>
        <v>46594.816482919239</v>
      </c>
    </row>
    <row r="14" spans="2:14" ht="19.05" customHeight="1" x14ac:dyDescent="0.3">
      <c r="B14" s="60">
        <v>9</v>
      </c>
      <c r="C14" s="22">
        <f>GRAFICA_48!E36</f>
        <v>0</v>
      </c>
      <c r="D14" s="22">
        <f>GRAFICA_48!F36</f>
        <v>300</v>
      </c>
      <c r="E14" s="22">
        <f>GRAFICA_48!G36</f>
        <v>450</v>
      </c>
      <c r="F14" s="22">
        <f>GRAFICA_48!H36</f>
        <v>0</v>
      </c>
      <c r="G14" s="9">
        <f t="shared" si="0"/>
        <v>450</v>
      </c>
      <c r="H14" s="9">
        <f t="shared" si="1"/>
        <v>-300</v>
      </c>
      <c r="I14" s="9">
        <f t="shared" si="2"/>
        <v>540.83269131959844</v>
      </c>
      <c r="J14" s="92">
        <f t="shared" si="3"/>
        <v>0.83205029433784361</v>
      </c>
      <c r="K14" s="92">
        <f t="shared" si="4"/>
        <v>-0.55470019622522904</v>
      </c>
      <c r="L14" s="22">
        <f>GRAFICA_48!N36</f>
        <v>12</v>
      </c>
      <c r="M14" s="22">
        <f>GRAFICA_48!O36</f>
        <v>2100000</v>
      </c>
      <c r="N14" s="6">
        <f t="shared" si="5"/>
        <v>46594.816482919239</v>
      </c>
    </row>
    <row r="15" spans="2:14" ht="19.05" customHeight="1" x14ac:dyDescent="0.3">
      <c r="B15" s="67">
        <v>10</v>
      </c>
      <c r="C15" s="22">
        <f>GRAFICA_48!E37</f>
        <v>450</v>
      </c>
      <c r="D15" s="22">
        <f>GRAFICA_48!F37</f>
        <v>0</v>
      </c>
      <c r="E15" s="22">
        <f>GRAFICA_48!G37</f>
        <v>900</v>
      </c>
      <c r="F15" s="22">
        <f>GRAFICA_48!H37</f>
        <v>300</v>
      </c>
      <c r="G15" s="9">
        <f t="shared" si="0"/>
        <v>450</v>
      </c>
      <c r="H15" s="9">
        <f t="shared" si="1"/>
        <v>300</v>
      </c>
      <c r="I15" s="9">
        <f t="shared" si="2"/>
        <v>540.83269131959844</v>
      </c>
      <c r="J15" s="92">
        <f t="shared" si="3"/>
        <v>0.83205029433784361</v>
      </c>
      <c r="K15" s="92">
        <f t="shared" si="4"/>
        <v>0.55470019622522904</v>
      </c>
      <c r="L15" s="22">
        <f>GRAFICA_48!N37</f>
        <v>12</v>
      </c>
      <c r="M15" s="22">
        <f>GRAFICA_48!O37</f>
        <v>2100000</v>
      </c>
      <c r="N15" s="6">
        <f t="shared" si="5"/>
        <v>46594.816482919239</v>
      </c>
    </row>
    <row r="16" spans="2:14" ht="19.05" customHeight="1" x14ac:dyDescent="0.3">
      <c r="B16" s="68">
        <v>11</v>
      </c>
      <c r="C16" s="22">
        <f>GRAFICA_48!E38</f>
        <v>450</v>
      </c>
      <c r="D16" s="22">
        <f>GRAFICA_48!F38</f>
        <v>300</v>
      </c>
      <c r="E16" s="22">
        <f>GRAFICA_48!G38</f>
        <v>900</v>
      </c>
      <c r="F16" s="22">
        <f>GRAFICA_48!H38</f>
        <v>0</v>
      </c>
      <c r="G16" s="9">
        <f t="shared" si="0"/>
        <v>450</v>
      </c>
      <c r="H16" s="9">
        <f t="shared" si="1"/>
        <v>-300</v>
      </c>
      <c r="I16" s="9">
        <f t="shared" si="2"/>
        <v>540.83269131959844</v>
      </c>
      <c r="J16" s="92">
        <f t="shared" si="3"/>
        <v>0.83205029433784361</v>
      </c>
      <c r="K16" s="92">
        <f t="shared" si="4"/>
        <v>-0.55470019622522904</v>
      </c>
      <c r="L16" s="22">
        <f>GRAFICA_48!N38</f>
        <v>12</v>
      </c>
      <c r="M16" s="22">
        <f>GRAFICA_48!O38</f>
        <v>2100000</v>
      </c>
      <c r="N16" s="6">
        <f t="shared" si="5"/>
        <v>46594.816482919239</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GRAFICA_48!C28</f>
        <v>1</v>
      </c>
      <c r="D20" s="23">
        <f>GRAFICA_48!C28</f>
        <v>1</v>
      </c>
      <c r="E20" s="23">
        <f>GRAFICA_48!D28</f>
        <v>2</v>
      </c>
      <c r="F20" s="23">
        <f>GRAFICA_48!D28</f>
        <v>2</v>
      </c>
    </row>
    <row r="21" spans="2:6" ht="19.05" customHeight="1" x14ac:dyDescent="0.3">
      <c r="B21" s="25">
        <v>2</v>
      </c>
      <c r="C21" s="23">
        <f>GRAFICA_48!C29</f>
        <v>2</v>
      </c>
      <c r="D21" s="23">
        <f>GRAFICA_48!C29</f>
        <v>2</v>
      </c>
      <c r="E21" s="23">
        <f>GRAFICA_48!D29</f>
        <v>3</v>
      </c>
      <c r="F21" s="23">
        <f>GRAFICA_48!D29</f>
        <v>3</v>
      </c>
    </row>
    <row r="22" spans="2:6" ht="19.05" customHeight="1" x14ac:dyDescent="0.3">
      <c r="B22" s="26">
        <v>3</v>
      </c>
      <c r="C22" s="23">
        <f>GRAFICA_48!C30</f>
        <v>4</v>
      </c>
      <c r="D22" s="23">
        <f>GRAFICA_48!C30</f>
        <v>4</v>
      </c>
      <c r="E22" s="23">
        <f>GRAFICA_48!D30</f>
        <v>5</v>
      </c>
      <c r="F22" s="23">
        <f>GRAFICA_48!D30</f>
        <v>5</v>
      </c>
    </row>
    <row r="23" spans="2:6" ht="19.05" customHeight="1" x14ac:dyDescent="0.3">
      <c r="B23" s="43">
        <v>4</v>
      </c>
      <c r="C23" s="23">
        <f>GRAFICA_48!C31</f>
        <v>5</v>
      </c>
      <c r="D23" s="23">
        <f>GRAFICA_48!C31</f>
        <v>5</v>
      </c>
      <c r="E23" s="23">
        <f>GRAFICA_48!D31</f>
        <v>6</v>
      </c>
      <c r="F23" s="23">
        <f>GRAFICA_48!D31</f>
        <v>6</v>
      </c>
    </row>
    <row r="24" spans="2:6" ht="19.05" customHeight="1" x14ac:dyDescent="0.3">
      <c r="B24" s="44">
        <v>5</v>
      </c>
      <c r="C24" s="23">
        <f>GRAFICA_48!C32</f>
        <v>1</v>
      </c>
      <c r="D24" s="23">
        <f>GRAFICA_48!C32</f>
        <v>1</v>
      </c>
      <c r="E24" s="23">
        <f>GRAFICA_48!D32</f>
        <v>4</v>
      </c>
      <c r="F24" s="23">
        <f>GRAFICA_48!D32</f>
        <v>4</v>
      </c>
    </row>
    <row r="25" spans="2:6" ht="19.05" customHeight="1" x14ac:dyDescent="0.3">
      <c r="B25" s="51">
        <v>6</v>
      </c>
      <c r="C25" s="23">
        <f>GRAFICA_48!C33</f>
        <v>2</v>
      </c>
      <c r="D25" s="23">
        <f>GRAFICA_48!C33</f>
        <v>2</v>
      </c>
      <c r="E25" s="23">
        <f>GRAFICA_48!D33</f>
        <v>5</v>
      </c>
      <c r="F25" s="23">
        <f>GRAFICA_48!D33</f>
        <v>5</v>
      </c>
    </row>
    <row r="26" spans="2:6" ht="19.05" customHeight="1" x14ac:dyDescent="0.3">
      <c r="B26" s="52">
        <v>7</v>
      </c>
      <c r="C26" s="23">
        <f>GRAFICA_48!C34</f>
        <v>3</v>
      </c>
      <c r="D26" s="23">
        <f>GRAFICA_48!C34</f>
        <v>3</v>
      </c>
      <c r="E26" s="23">
        <f>GRAFICA_48!D34</f>
        <v>6</v>
      </c>
      <c r="F26" s="23">
        <f>GRAFICA_48!D34</f>
        <v>6</v>
      </c>
    </row>
    <row r="27" spans="2:6" ht="19.05" customHeight="1" x14ac:dyDescent="0.3">
      <c r="B27" s="59">
        <v>8</v>
      </c>
      <c r="C27" s="23">
        <f>GRAFICA_48!C35</f>
        <v>1</v>
      </c>
      <c r="D27" s="23">
        <f>GRAFICA_48!C35</f>
        <v>1</v>
      </c>
      <c r="E27" s="23">
        <f>GRAFICA_48!D35</f>
        <v>5</v>
      </c>
      <c r="F27" s="23">
        <f>GRAFICA_48!D35</f>
        <v>5</v>
      </c>
    </row>
    <row r="28" spans="2:6" ht="19.05" customHeight="1" x14ac:dyDescent="0.3">
      <c r="B28" s="60">
        <v>9</v>
      </c>
      <c r="C28" s="23">
        <f>GRAFICA_48!C36</f>
        <v>4</v>
      </c>
      <c r="D28" s="23">
        <f>GRAFICA_48!C36</f>
        <v>4</v>
      </c>
      <c r="E28" s="23">
        <f>GRAFICA_48!D36</f>
        <v>2</v>
      </c>
      <c r="F28" s="23">
        <f>GRAFICA_48!D36</f>
        <v>2</v>
      </c>
    </row>
    <row r="29" spans="2:6" ht="19.05" customHeight="1" x14ac:dyDescent="0.3">
      <c r="B29" s="67">
        <v>10</v>
      </c>
      <c r="C29" s="23">
        <f>GRAFICA_48!C37</f>
        <v>2</v>
      </c>
      <c r="D29" s="23">
        <f>GRAFICA_48!C37</f>
        <v>2</v>
      </c>
      <c r="E29" s="23">
        <f>GRAFICA_48!D37</f>
        <v>6</v>
      </c>
      <c r="F29" s="23">
        <f>GRAFICA_48!D37</f>
        <v>6</v>
      </c>
    </row>
    <row r="30" spans="2:6" ht="19.05" customHeight="1" x14ac:dyDescent="0.3">
      <c r="B30" s="68">
        <v>11</v>
      </c>
      <c r="C30" s="23">
        <f>GRAFICA_48!C38</f>
        <v>5</v>
      </c>
      <c r="D30" s="23">
        <f>GRAFICA_48!C38</f>
        <v>5</v>
      </c>
      <c r="E30" s="23">
        <f>GRAFICA_48!D38</f>
        <v>3</v>
      </c>
      <c r="F30" s="23">
        <f>GRAFICA_48!D38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56000</v>
      </c>
      <c r="C34" s="7">
        <f>J6*K6*N6</f>
        <v>0</v>
      </c>
      <c r="D34" s="7">
        <f>-B34</f>
        <v>-56000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-56000</v>
      </c>
      <c r="C36" s="7">
        <f>E34</f>
        <v>0</v>
      </c>
      <c r="D36" s="7">
        <f>B34</f>
        <v>56000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56000</v>
      </c>
      <c r="C40" s="8">
        <f t="shared" si="6"/>
        <v>0</v>
      </c>
      <c r="D40" s="8">
        <f t="shared" si="6"/>
        <v>-56000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-56000</v>
      </c>
      <c r="C42" s="8">
        <f t="shared" si="6"/>
        <v>0</v>
      </c>
      <c r="D42" s="8">
        <f t="shared" si="6"/>
        <v>56000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56000</v>
      </c>
      <c r="C55" s="30">
        <f>J7*K7*N7</f>
        <v>0</v>
      </c>
      <c r="D55" s="30">
        <f>-B55</f>
        <v>-56000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-56000</v>
      </c>
      <c r="C57" s="30">
        <f>E55</f>
        <v>0</v>
      </c>
      <c r="D57" s="30">
        <f>B55</f>
        <v>56000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56000</v>
      </c>
      <c r="E63" s="31">
        <f t="shared" si="7"/>
        <v>0</v>
      </c>
      <c r="F63" s="31">
        <f t="shared" si="7"/>
        <v>-56000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-56000</v>
      </c>
      <c r="E65" s="31">
        <f t="shared" si="7"/>
        <v>0</v>
      </c>
      <c r="F65" s="31">
        <f t="shared" si="7"/>
        <v>56000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56000</v>
      </c>
      <c r="C76" s="33">
        <f>J8*K8*N8</f>
        <v>0</v>
      </c>
      <c r="D76" s="33">
        <f>-B76</f>
        <v>-56000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-56000</v>
      </c>
      <c r="C78" s="33">
        <f>E76</f>
        <v>0</v>
      </c>
      <c r="D78" s="33">
        <f>B76</f>
        <v>56000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56000</v>
      </c>
      <c r="I88" s="34">
        <f t="shared" si="8"/>
        <v>0</v>
      </c>
      <c r="J88" s="34">
        <f t="shared" si="8"/>
        <v>-56000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-56000</v>
      </c>
      <c r="I90" s="34">
        <f t="shared" si="8"/>
        <v>0</v>
      </c>
      <c r="J90" s="34">
        <f t="shared" si="8"/>
        <v>56000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56000</v>
      </c>
      <c r="C97" s="46">
        <f>J9*K9*N9</f>
        <v>0</v>
      </c>
      <c r="D97" s="46">
        <f>-B97</f>
        <v>-56000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-56000</v>
      </c>
      <c r="C99" s="46">
        <f>E97</f>
        <v>0</v>
      </c>
      <c r="D99" s="46">
        <f>B97</f>
        <v>56000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56000</v>
      </c>
      <c r="K111" s="47">
        <f t="shared" si="9"/>
        <v>0</v>
      </c>
      <c r="L111" s="47">
        <f t="shared" si="9"/>
        <v>-56000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-56000</v>
      </c>
      <c r="K113" s="47">
        <f t="shared" si="9"/>
        <v>0</v>
      </c>
      <c r="L113" s="47">
        <f t="shared" si="9"/>
        <v>56000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32257.949872790236</v>
      </c>
      <c r="C181" s="62">
        <f>J13*K13*N13</f>
        <v>21505.299915193493</v>
      </c>
      <c r="D181" s="62">
        <f>-B181</f>
        <v>-32257.949872790236</v>
      </c>
      <c r="E181" s="62">
        <f>-C181</f>
        <v>-21505.299915193493</v>
      </c>
      <c r="F181" s="61" t="str">
        <f>B180</f>
        <v>U1X</v>
      </c>
    </row>
    <row r="182" spans="1:14" ht="16.8" customHeight="1" x14ac:dyDescent="0.3">
      <c r="A182" s="28" t="s">
        <v>203</v>
      </c>
      <c r="B182" s="62">
        <f>C181</f>
        <v>21505.299915193493</v>
      </c>
      <c r="C182" s="62">
        <f>K13*K13*N13</f>
        <v>14336.866610128993</v>
      </c>
      <c r="D182" s="62">
        <f>-B182</f>
        <v>-21505.299915193493</v>
      </c>
      <c r="E182" s="62">
        <f>-C182</f>
        <v>-14336.866610128993</v>
      </c>
      <c r="F182" s="61" t="str">
        <f>C180</f>
        <v>U1Y</v>
      </c>
    </row>
    <row r="183" spans="1:14" x14ac:dyDescent="0.3">
      <c r="B183" s="62">
        <f>D181</f>
        <v>-32257.949872790236</v>
      </c>
      <c r="C183" s="62">
        <f>E181</f>
        <v>-21505.299915193493</v>
      </c>
      <c r="D183" s="62">
        <f>B181</f>
        <v>32257.949872790236</v>
      </c>
      <c r="E183" s="62">
        <f>C181</f>
        <v>21505.299915193493</v>
      </c>
      <c r="F183" s="61" t="str">
        <f>D180</f>
        <v>U5X</v>
      </c>
    </row>
    <row r="184" spans="1:14" x14ac:dyDescent="0.3">
      <c r="B184" s="62">
        <f>D182</f>
        <v>-21505.299915193493</v>
      </c>
      <c r="C184" s="62">
        <f>E182</f>
        <v>-14336.866610128993</v>
      </c>
      <c r="D184" s="62">
        <f>B182</f>
        <v>21505.299915193493</v>
      </c>
      <c r="E184" s="62">
        <f>C182</f>
        <v>14336.866610128993</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32257.949872790236</v>
      </c>
      <c r="C187" s="63">
        <f t="shared" si="13"/>
        <v>21505.299915193493</v>
      </c>
      <c r="D187" s="9">
        <f t="shared" si="13"/>
        <v>0</v>
      </c>
      <c r="E187" s="9">
        <f t="shared" si="13"/>
        <v>0</v>
      </c>
      <c r="F187" s="9">
        <f t="shared" si="13"/>
        <v>0</v>
      </c>
      <c r="G187" s="9">
        <f t="shared" si="13"/>
        <v>0</v>
      </c>
      <c r="H187" s="9">
        <f t="shared" si="13"/>
        <v>0</v>
      </c>
      <c r="I187" s="9">
        <f t="shared" si="13"/>
        <v>0</v>
      </c>
      <c r="J187" s="63">
        <f t="shared" si="13"/>
        <v>-32257.949872790236</v>
      </c>
      <c r="K187" s="63">
        <f t="shared" si="13"/>
        <v>-21505.299915193493</v>
      </c>
      <c r="L187" s="9">
        <f t="shared" si="13"/>
        <v>0</v>
      </c>
      <c r="M187" s="9">
        <f t="shared" si="13"/>
        <v>0</v>
      </c>
      <c r="N187" s="61" t="s">
        <v>178</v>
      </c>
    </row>
    <row r="188" spans="1:14" ht="19.05" customHeight="1" x14ac:dyDescent="0.3">
      <c r="B188" s="63">
        <f t="shared" si="13"/>
        <v>21505.299915193493</v>
      </c>
      <c r="C188" s="63">
        <f t="shared" si="13"/>
        <v>14336.866610128993</v>
      </c>
      <c r="D188" s="9">
        <f t="shared" si="13"/>
        <v>0</v>
      </c>
      <c r="E188" s="9">
        <f t="shared" si="13"/>
        <v>0</v>
      </c>
      <c r="F188" s="9">
        <f t="shared" si="13"/>
        <v>0</v>
      </c>
      <c r="G188" s="9">
        <f t="shared" si="13"/>
        <v>0</v>
      </c>
      <c r="H188" s="9">
        <f t="shared" si="13"/>
        <v>0</v>
      </c>
      <c r="I188" s="9">
        <f t="shared" si="13"/>
        <v>0</v>
      </c>
      <c r="J188" s="63">
        <f t="shared" si="13"/>
        <v>-21505.299915193493</v>
      </c>
      <c r="K188" s="63">
        <f t="shared" si="13"/>
        <v>-14336.866610128993</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-32257.949872790236</v>
      </c>
      <c r="C195" s="63">
        <f t="shared" si="13"/>
        <v>-21505.299915193493</v>
      </c>
      <c r="D195" s="9">
        <f t="shared" si="13"/>
        <v>0</v>
      </c>
      <c r="E195" s="9">
        <f t="shared" si="13"/>
        <v>0</v>
      </c>
      <c r="F195" s="9">
        <f t="shared" si="13"/>
        <v>0</v>
      </c>
      <c r="G195" s="9">
        <f t="shared" si="13"/>
        <v>0</v>
      </c>
      <c r="H195" s="9">
        <f t="shared" si="13"/>
        <v>0</v>
      </c>
      <c r="I195" s="9">
        <f t="shared" si="13"/>
        <v>0</v>
      </c>
      <c r="J195" s="63">
        <f t="shared" si="13"/>
        <v>32257.949872790236</v>
      </c>
      <c r="K195" s="63">
        <f t="shared" si="13"/>
        <v>21505.299915193493</v>
      </c>
      <c r="L195" s="9">
        <f t="shared" si="13"/>
        <v>0</v>
      </c>
      <c r="M195" s="9">
        <f t="shared" si="13"/>
        <v>0</v>
      </c>
      <c r="N195" s="61" t="s">
        <v>186</v>
      </c>
    </row>
    <row r="196" spans="1:14" ht="19.05" customHeight="1" x14ac:dyDescent="0.3">
      <c r="B196" s="63">
        <f t="shared" si="13"/>
        <v>-21505.299915193493</v>
      </c>
      <c r="C196" s="63">
        <f t="shared" si="13"/>
        <v>-14336.866610128993</v>
      </c>
      <c r="D196" s="9">
        <f t="shared" si="13"/>
        <v>0</v>
      </c>
      <c r="E196" s="9">
        <f t="shared" si="13"/>
        <v>0</v>
      </c>
      <c r="F196" s="9">
        <f t="shared" si="13"/>
        <v>0</v>
      </c>
      <c r="G196" s="9">
        <f t="shared" si="13"/>
        <v>0</v>
      </c>
      <c r="H196" s="9">
        <f t="shared" si="13"/>
        <v>0</v>
      </c>
      <c r="I196" s="9">
        <f t="shared" si="13"/>
        <v>0</v>
      </c>
      <c r="J196" s="63">
        <f t="shared" si="13"/>
        <v>21505.299915193493</v>
      </c>
      <c r="K196" s="63">
        <f t="shared" si="13"/>
        <v>14336.866610128993</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32257.949872790236</v>
      </c>
      <c r="C202" s="65">
        <f>J14*K14*N14</f>
        <v>-21505.299915193493</v>
      </c>
      <c r="D202" s="65">
        <f>-B202</f>
        <v>-32257.949872790236</v>
      </c>
      <c r="E202" s="65">
        <f>-C202</f>
        <v>21505.299915193493</v>
      </c>
      <c r="F202" s="64" t="str">
        <f>B201</f>
        <v>U4X</v>
      </c>
    </row>
    <row r="203" spans="1:14" ht="16.8" customHeight="1" x14ac:dyDescent="0.3">
      <c r="A203" s="28" t="s">
        <v>528</v>
      </c>
      <c r="B203" s="65">
        <f>C202</f>
        <v>-21505.299915193493</v>
      </c>
      <c r="C203" s="65">
        <f>K14*K14*N14</f>
        <v>14336.866610128993</v>
      </c>
      <c r="D203" s="65">
        <f>-B203</f>
        <v>21505.299915193493</v>
      </c>
      <c r="E203" s="65">
        <f>-C203</f>
        <v>-14336.866610128993</v>
      </c>
      <c r="F203" s="64" t="str">
        <f>C201</f>
        <v>U4Y</v>
      </c>
    </row>
    <row r="204" spans="1:14" x14ac:dyDescent="0.3">
      <c r="B204" s="65">
        <f>D202</f>
        <v>-32257.949872790236</v>
      </c>
      <c r="C204" s="65">
        <f>E202</f>
        <v>21505.299915193493</v>
      </c>
      <c r="D204" s="65">
        <f>B202</f>
        <v>32257.949872790236</v>
      </c>
      <c r="E204" s="65">
        <f>C202</f>
        <v>-21505.299915193493</v>
      </c>
      <c r="F204" s="64" t="str">
        <f>D201</f>
        <v>U2X</v>
      </c>
    </row>
    <row r="205" spans="1:14" x14ac:dyDescent="0.3">
      <c r="B205" s="65">
        <f>D203</f>
        <v>21505.299915193493</v>
      </c>
      <c r="C205" s="65">
        <f>E203</f>
        <v>-14336.866610128993</v>
      </c>
      <c r="D205" s="65">
        <f>B203</f>
        <v>-21505.299915193493</v>
      </c>
      <c r="E205" s="65">
        <f>C203</f>
        <v>14336.866610128993</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32257.949872790236</v>
      </c>
      <c r="E210" s="66">
        <f t="shared" si="14"/>
        <v>-21505.299915193493</v>
      </c>
      <c r="F210" s="9">
        <f t="shared" si="14"/>
        <v>0</v>
      </c>
      <c r="G210" s="9">
        <f t="shared" si="14"/>
        <v>0</v>
      </c>
      <c r="H210" s="66">
        <f t="shared" si="14"/>
        <v>-32257.949872790236</v>
      </c>
      <c r="I210" s="66">
        <f t="shared" si="14"/>
        <v>21505.299915193493</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-21505.299915193493</v>
      </c>
      <c r="E211" s="66">
        <f t="shared" si="14"/>
        <v>14336.866610128993</v>
      </c>
      <c r="F211" s="9">
        <f t="shared" si="14"/>
        <v>0</v>
      </c>
      <c r="G211" s="9">
        <f t="shared" si="14"/>
        <v>0</v>
      </c>
      <c r="H211" s="66">
        <f t="shared" si="14"/>
        <v>21505.299915193493</v>
      </c>
      <c r="I211" s="66">
        <f t="shared" si="14"/>
        <v>-14336.866610128993</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-32257.949872790236</v>
      </c>
      <c r="E214" s="66">
        <f t="shared" si="14"/>
        <v>21505.299915193493</v>
      </c>
      <c r="F214" s="9">
        <f t="shared" si="14"/>
        <v>0</v>
      </c>
      <c r="G214" s="9">
        <f t="shared" si="14"/>
        <v>0</v>
      </c>
      <c r="H214" s="66">
        <f t="shared" si="14"/>
        <v>32257.949872790236</v>
      </c>
      <c r="I214" s="66">
        <f t="shared" si="14"/>
        <v>-21505.299915193493</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21505.299915193493</v>
      </c>
      <c r="E215" s="66">
        <f t="shared" si="14"/>
        <v>-14336.866610128993</v>
      </c>
      <c r="F215" s="9">
        <f t="shared" si="14"/>
        <v>0</v>
      </c>
      <c r="G215" s="9">
        <f t="shared" si="14"/>
        <v>0</v>
      </c>
      <c r="H215" s="66">
        <f t="shared" si="14"/>
        <v>-21505.299915193493</v>
      </c>
      <c r="I215" s="66">
        <f t="shared" si="14"/>
        <v>14336.866610128993</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32257.949872790236</v>
      </c>
      <c r="C223" s="70">
        <f>J15*K15*N15</f>
        <v>21505.299915193493</v>
      </c>
      <c r="D223" s="70">
        <f>-B223</f>
        <v>-32257.949872790236</v>
      </c>
      <c r="E223" s="70">
        <f>-C223</f>
        <v>-21505.299915193493</v>
      </c>
      <c r="F223" s="69" t="str">
        <f>B222</f>
        <v>U2X</v>
      </c>
    </row>
    <row r="224" spans="1:14" ht="16.8" customHeight="1" x14ac:dyDescent="0.3">
      <c r="A224" s="28" t="s">
        <v>581</v>
      </c>
      <c r="B224" s="70">
        <f>C223</f>
        <v>21505.299915193493</v>
      </c>
      <c r="C224" s="70">
        <f>K15*K15*N15</f>
        <v>14336.866610128993</v>
      </c>
      <c r="D224" s="70">
        <f>-B224</f>
        <v>-21505.299915193493</v>
      </c>
      <c r="E224" s="70">
        <f>-C224</f>
        <v>-14336.866610128993</v>
      </c>
      <c r="F224" s="69" t="str">
        <f>C222</f>
        <v>U2Y</v>
      </c>
    </row>
    <row r="225" spans="1:14" x14ac:dyDescent="0.3">
      <c r="B225" s="70">
        <f>D223</f>
        <v>-32257.949872790236</v>
      </c>
      <c r="C225" s="70">
        <f>E223</f>
        <v>-21505.299915193493</v>
      </c>
      <c r="D225" s="70">
        <f>B223</f>
        <v>32257.949872790236</v>
      </c>
      <c r="E225" s="70">
        <f>C223</f>
        <v>21505.299915193493</v>
      </c>
      <c r="F225" s="69" t="str">
        <f>D222</f>
        <v>U6X</v>
      </c>
    </row>
    <row r="226" spans="1:14" x14ac:dyDescent="0.3">
      <c r="B226" s="70">
        <f>D224</f>
        <v>-21505.299915193493</v>
      </c>
      <c r="C226" s="70">
        <f>E224</f>
        <v>-14336.866610128993</v>
      </c>
      <c r="D226" s="70">
        <f>B224</f>
        <v>21505.299915193493</v>
      </c>
      <c r="E226" s="70">
        <f>C224</f>
        <v>14336.866610128993</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32257.949872790236</v>
      </c>
      <c r="E231" s="71">
        <f t="shared" si="15"/>
        <v>21505.299915193493</v>
      </c>
      <c r="F231" s="9">
        <f t="shared" si="15"/>
        <v>0</v>
      </c>
      <c r="G231" s="9">
        <f t="shared" si="15"/>
        <v>0</v>
      </c>
      <c r="H231" s="9">
        <f t="shared" si="15"/>
        <v>0</v>
      </c>
      <c r="I231" s="9">
        <f t="shared" si="15"/>
        <v>0</v>
      </c>
      <c r="J231" s="9">
        <f t="shared" si="15"/>
        <v>0</v>
      </c>
      <c r="K231" s="9">
        <f t="shared" si="15"/>
        <v>0</v>
      </c>
      <c r="L231" s="71">
        <f t="shared" si="15"/>
        <v>-32257.949872790236</v>
      </c>
      <c r="M231" s="71">
        <f t="shared" si="15"/>
        <v>-21505.299915193493</v>
      </c>
      <c r="N231" s="69" t="s">
        <v>180</v>
      </c>
    </row>
    <row r="232" spans="1:14" ht="19.05" customHeight="1" x14ac:dyDescent="0.3">
      <c r="B232" s="9">
        <f t="shared" si="15"/>
        <v>0</v>
      </c>
      <c r="C232" s="9">
        <f t="shared" si="15"/>
        <v>0</v>
      </c>
      <c r="D232" s="71">
        <f t="shared" si="15"/>
        <v>21505.299915193493</v>
      </c>
      <c r="E232" s="71">
        <f t="shared" si="15"/>
        <v>14336.866610128993</v>
      </c>
      <c r="F232" s="9">
        <f t="shared" si="15"/>
        <v>0</v>
      </c>
      <c r="G232" s="9">
        <f t="shared" si="15"/>
        <v>0</v>
      </c>
      <c r="H232" s="9">
        <f t="shared" si="15"/>
        <v>0</v>
      </c>
      <c r="I232" s="9">
        <f t="shared" si="15"/>
        <v>0</v>
      </c>
      <c r="J232" s="9">
        <f t="shared" si="15"/>
        <v>0</v>
      </c>
      <c r="K232" s="9">
        <f t="shared" si="15"/>
        <v>0</v>
      </c>
      <c r="L232" s="71">
        <f t="shared" si="15"/>
        <v>-21505.299915193493</v>
      </c>
      <c r="M232" s="71">
        <f t="shared" si="15"/>
        <v>-14336.866610128993</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-32257.949872790236</v>
      </c>
      <c r="E239" s="71">
        <f t="shared" si="15"/>
        <v>-21505.299915193493</v>
      </c>
      <c r="F239" s="9">
        <f t="shared" si="15"/>
        <v>0</v>
      </c>
      <c r="G239" s="9">
        <f t="shared" si="15"/>
        <v>0</v>
      </c>
      <c r="H239" s="9">
        <f t="shared" si="15"/>
        <v>0</v>
      </c>
      <c r="I239" s="9">
        <f t="shared" si="15"/>
        <v>0</v>
      </c>
      <c r="J239" s="9">
        <f t="shared" si="15"/>
        <v>0</v>
      </c>
      <c r="K239" s="9">
        <f t="shared" si="15"/>
        <v>0</v>
      </c>
      <c r="L239" s="71">
        <f t="shared" si="15"/>
        <v>32257.949872790236</v>
      </c>
      <c r="M239" s="71">
        <f t="shared" si="15"/>
        <v>21505.299915193493</v>
      </c>
      <c r="N239" s="69" t="s">
        <v>188</v>
      </c>
    </row>
    <row r="240" spans="1:14" ht="19.05" customHeight="1" x14ac:dyDescent="0.3">
      <c r="B240" s="9">
        <f t="shared" si="15"/>
        <v>0</v>
      </c>
      <c r="C240" s="9">
        <f t="shared" si="15"/>
        <v>0</v>
      </c>
      <c r="D240" s="71">
        <f t="shared" si="15"/>
        <v>-21505.299915193493</v>
      </c>
      <c r="E240" s="71">
        <f t="shared" si="15"/>
        <v>-14336.866610128993</v>
      </c>
      <c r="F240" s="9">
        <f t="shared" si="15"/>
        <v>0</v>
      </c>
      <c r="G240" s="9">
        <f t="shared" si="15"/>
        <v>0</v>
      </c>
      <c r="H240" s="9">
        <f t="shared" si="15"/>
        <v>0</v>
      </c>
      <c r="I240" s="9">
        <f t="shared" si="15"/>
        <v>0</v>
      </c>
      <c r="J240" s="9">
        <f t="shared" si="15"/>
        <v>0</v>
      </c>
      <c r="K240" s="9">
        <f t="shared" si="15"/>
        <v>0</v>
      </c>
      <c r="L240" s="71">
        <f t="shared" si="15"/>
        <v>21505.299915193493</v>
      </c>
      <c r="M240" s="71">
        <f t="shared" si="15"/>
        <v>14336.866610128993</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32257.949872790236</v>
      </c>
      <c r="C244" s="73">
        <f>J16*K16*N16</f>
        <v>-21505.299915193493</v>
      </c>
      <c r="D244" s="73">
        <f>-B244</f>
        <v>-32257.949872790236</v>
      </c>
      <c r="E244" s="73">
        <f>-C244</f>
        <v>21505.299915193493</v>
      </c>
      <c r="F244" s="72" t="str">
        <f>B243</f>
        <v>U5X</v>
      </c>
    </row>
    <row r="245" spans="1:14" ht="16.8" customHeight="1" x14ac:dyDescent="0.3">
      <c r="A245" s="28" t="s">
        <v>583</v>
      </c>
      <c r="B245" s="73">
        <f>C244</f>
        <v>-21505.299915193493</v>
      </c>
      <c r="C245" s="73">
        <f>K16*K16*N16</f>
        <v>14336.866610128993</v>
      </c>
      <c r="D245" s="73">
        <f>-B245</f>
        <v>21505.299915193493</v>
      </c>
      <c r="E245" s="73">
        <f>-C245</f>
        <v>-14336.866610128993</v>
      </c>
      <c r="F245" s="72" t="str">
        <f>C243</f>
        <v>U5Y</v>
      </c>
    </row>
    <row r="246" spans="1:14" x14ac:dyDescent="0.3">
      <c r="B246" s="73">
        <f>D244</f>
        <v>-32257.949872790236</v>
      </c>
      <c r="C246" s="73">
        <f>E244</f>
        <v>21505.299915193493</v>
      </c>
      <c r="D246" s="73">
        <f>B244</f>
        <v>32257.949872790236</v>
      </c>
      <c r="E246" s="73">
        <f>C244</f>
        <v>-21505.299915193493</v>
      </c>
      <c r="F246" s="72" t="str">
        <f>D243</f>
        <v>U3X</v>
      </c>
    </row>
    <row r="247" spans="1:14" x14ac:dyDescent="0.3">
      <c r="B247" s="73">
        <f>D245</f>
        <v>21505.299915193493</v>
      </c>
      <c r="C247" s="73">
        <f>E245</f>
        <v>-14336.866610128993</v>
      </c>
      <c r="D247" s="73">
        <f>B245</f>
        <v>-21505.299915193493</v>
      </c>
      <c r="E247" s="73">
        <f>C245</f>
        <v>14336.866610128993</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32257.949872790236</v>
      </c>
      <c r="G254" s="74">
        <f t="shared" si="16"/>
        <v>-21505.299915193493</v>
      </c>
      <c r="H254" s="9">
        <f t="shared" si="16"/>
        <v>0</v>
      </c>
      <c r="I254" s="9">
        <f t="shared" si="16"/>
        <v>0</v>
      </c>
      <c r="J254" s="74">
        <f t="shared" si="16"/>
        <v>-32257.949872790236</v>
      </c>
      <c r="K254" s="74">
        <f t="shared" si="16"/>
        <v>21505.299915193493</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-21505.299915193493</v>
      </c>
      <c r="G255" s="74">
        <f t="shared" si="16"/>
        <v>14336.866610128993</v>
      </c>
      <c r="H255" s="9">
        <f t="shared" si="16"/>
        <v>0</v>
      </c>
      <c r="I255" s="9">
        <f t="shared" si="16"/>
        <v>0</v>
      </c>
      <c r="J255" s="74">
        <f t="shared" si="16"/>
        <v>21505.299915193493</v>
      </c>
      <c r="K255" s="74">
        <f t="shared" si="16"/>
        <v>-14336.866610128993</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-32257.949872790236</v>
      </c>
      <c r="G258" s="74">
        <f t="shared" si="16"/>
        <v>21505.299915193493</v>
      </c>
      <c r="H258" s="9">
        <f t="shared" si="16"/>
        <v>0</v>
      </c>
      <c r="I258" s="9">
        <f t="shared" si="16"/>
        <v>0</v>
      </c>
      <c r="J258" s="74">
        <f t="shared" si="16"/>
        <v>32257.949872790236</v>
      </c>
      <c r="K258" s="74">
        <f t="shared" si="16"/>
        <v>-21505.299915193493</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21505.299915193493</v>
      </c>
      <c r="G259" s="74">
        <f t="shared" si="16"/>
        <v>-14336.866610128993</v>
      </c>
      <c r="H259" s="9">
        <f t="shared" si="16"/>
        <v>0</v>
      </c>
      <c r="I259" s="9">
        <f t="shared" si="16"/>
        <v>0</v>
      </c>
      <c r="J259" s="74">
        <f t="shared" si="16"/>
        <v>-21505.299915193493</v>
      </c>
      <c r="K259" s="74">
        <f t="shared" si="16"/>
        <v>14336.866610128993</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88257.949872790239</v>
      </c>
      <c r="C265" s="36">
        <f t="shared" si="17"/>
        <v>21505.299915193493</v>
      </c>
      <c r="D265" s="9">
        <f t="shared" si="17"/>
        <v>-56000</v>
      </c>
      <c r="E265" s="9">
        <f t="shared" si="17"/>
        <v>0</v>
      </c>
      <c r="F265" s="9">
        <f t="shared" si="17"/>
        <v>0</v>
      </c>
      <c r="G265" s="9">
        <f t="shared" si="17"/>
        <v>0</v>
      </c>
      <c r="H265" s="9">
        <f t="shared" si="17"/>
        <v>0</v>
      </c>
      <c r="I265" s="9">
        <f t="shared" si="17"/>
        <v>0</v>
      </c>
      <c r="J265" s="9">
        <f t="shared" si="17"/>
        <v>-32257.949872790236</v>
      </c>
      <c r="K265" s="9">
        <f t="shared" si="17"/>
        <v>-21505.299915193493</v>
      </c>
      <c r="L265" s="9">
        <f t="shared" si="17"/>
        <v>0</v>
      </c>
      <c r="M265" s="9">
        <f t="shared" si="17"/>
        <v>0</v>
      </c>
      <c r="N265" s="89" t="s">
        <v>178</v>
      </c>
    </row>
    <row r="266" spans="1:14" ht="19.95" customHeight="1" x14ac:dyDescent="0.3">
      <c r="B266" s="36">
        <f t="shared" ref="B266:M266" si="18">B41+B62+B83+B104+B125+B146+B167+B188+B209+B230+B251</f>
        <v>21505.299915193493</v>
      </c>
      <c r="C266" s="35">
        <f t="shared" si="18"/>
        <v>98336.866610128985</v>
      </c>
      <c r="D266" s="9">
        <f t="shared" si="18"/>
        <v>0</v>
      </c>
      <c r="E266" s="9">
        <f t="shared" si="18"/>
        <v>0</v>
      </c>
      <c r="F266" s="9">
        <f t="shared" si="18"/>
        <v>0</v>
      </c>
      <c r="G266" s="9">
        <f t="shared" si="18"/>
        <v>0</v>
      </c>
      <c r="H266" s="9">
        <f t="shared" si="18"/>
        <v>0</v>
      </c>
      <c r="I266" s="9">
        <f t="shared" si="18"/>
        <v>-84000</v>
      </c>
      <c r="J266" s="9">
        <f t="shared" si="18"/>
        <v>-21505.299915193493</v>
      </c>
      <c r="K266" s="9">
        <f t="shared" si="18"/>
        <v>-14336.866610128993</v>
      </c>
      <c r="L266" s="9">
        <f t="shared" si="18"/>
        <v>0</v>
      </c>
      <c r="M266" s="9">
        <f t="shared" si="18"/>
        <v>0</v>
      </c>
      <c r="N266" s="89" t="s">
        <v>179</v>
      </c>
    </row>
    <row r="267" spans="1:14" ht="19.95" customHeight="1" x14ac:dyDescent="0.3">
      <c r="B267" s="9">
        <f t="shared" ref="B267:M267" si="19">B42+B63+B84+B105+B126+B147+B168+B189+B210+B231+B252</f>
        <v>-56000</v>
      </c>
      <c r="C267" s="9">
        <f t="shared" si="19"/>
        <v>0</v>
      </c>
      <c r="D267" s="35">
        <f t="shared" si="19"/>
        <v>176515.89974558045</v>
      </c>
      <c r="E267" s="36">
        <f t="shared" si="19"/>
        <v>0</v>
      </c>
      <c r="F267" s="9">
        <f t="shared" si="19"/>
        <v>-56000</v>
      </c>
      <c r="G267" s="9">
        <f t="shared" si="19"/>
        <v>0</v>
      </c>
      <c r="H267" s="9">
        <f t="shared" si="19"/>
        <v>-32257.949872790236</v>
      </c>
      <c r="I267" s="9">
        <f t="shared" si="19"/>
        <v>21505.299915193493</v>
      </c>
      <c r="J267" s="9">
        <f t="shared" si="19"/>
        <v>0</v>
      </c>
      <c r="K267" s="9">
        <f t="shared" si="19"/>
        <v>0</v>
      </c>
      <c r="L267" s="9">
        <f t="shared" si="19"/>
        <v>-32257.949872790236</v>
      </c>
      <c r="M267" s="9">
        <f t="shared" si="19"/>
        <v>-21505.299915193493</v>
      </c>
      <c r="N267" s="89" t="s">
        <v>180</v>
      </c>
    </row>
    <row r="268" spans="1:14" ht="19.95" customHeight="1" x14ac:dyDescent="0.3">
      <c r="B268" s="9">
        <f t="shared" ref="B268:M268" si="20">B43+B64+B85+B106+B127+B148+B169+B190+B211+B232+B253</f>
        <v>0</v>
      </c>
      <c r="C268" s="9">
        <f t="shared" si="20"/>
        <v>0</v>
      </c>
      <c r="D268" s="36">
        <f t="shared" si="20"/>
        <v>0</v>
      </c>
      <c r="E268" s="35">
        <f t="shared" si="20"/>
        <v>112673.73322025797</v>
      </c>
      <c r="F268" s="9">
        <f t="shared" si="20"/>
        <v>0</v>
      </c>
      <c r="G268" s="9">
        <f t="shared" si="20"/>
        <v>0</v>
      </c>
      <c r="H268" s="9">
        <f t="shared" si="20"/>
        <v>21505.299915193493</v>
      </c>
      <c r="I268" s="9">
        <f t="shared" si="20"/>
        <v>-14336.866610128993</v>
      </c>
      <c r="J268" s="9">
        <f t="shared" si="20"/>
        <v>0</v>
      </c>
      <c r="K268" s="9">
        <f t="shared" si="20"/>
        <v>-84000</v>
      </c>
      <c r="L268" s="9">
        <f t="shared" si="20"/>
        <v>-21505.299915193493</v>
      </c>
      <c r="M268" s="9">
        <f t="shared" si="20"/>
        <v>-14336.866610128993</v>
      </c>
      <c r="N268" s="89" t="s">
        <v>181</v>
      </c>
    </row>
    <row r="269" spans="1:14" ht="19.95" customHeight="1" x14ac:dyDescent="0.3">
      <c r="B269" s="9">
        <f t="shared" ref="B269:M269" si="21">B44+B65+B86+B107+B128+B149+B170+B191+B212+B233+B254</f>
        <v>0</v>
      </c>
      <c r="C269" s="9">
        <f t="shared" si="21"/>
        <v>0</v>
      </c>
      <c r="D269" s="9">
        <f t="shared" si="21"/>
        <v>-56000</v>
      </c>
      <c r="E269" s="9">
        <f t="shared" si="21"/>
        <v>0</v>
      </c>
      <c r="F269" s="35">
        <f t="shared" si="21"/>
        <v>88257.949872790239</v>
      </c>
      <c r="G269" s="36">
        <f t="shared" si="21"/>
        <v>-21505.299915193493</v>
      </c>
      <c r="H269" s="9">
        <f t="shared" si="21"/>
        <v>0</v>
      </c>
      <c r="I269" s="9">
        <f t="shared" si="21"/>
        <v>0</v>
      </c>
      <c r="J269" s="9">
        <f t="shared" si="21"/>
        <v>-32257.949872790236</v>
      </c>
      <c r="K269" s="9">
        <f t="shared" si="21"/>
        <v>21505.299915193493</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-21505.299915193493</v>
      </c>
      <c r="G270" s="35">
        <f t="shared" si="22"/>
        <v>98336.866610128985</v>
      </c>
      <c r="H270" s="9">
        <f t="shared" si="22"/>
        <v>0</v>
      </c>
      <c r="I270" s="9">
        <f t="shared" si="22"/>
        <v>0</v>
      </c>
      <c r="J270" s="9">
        <f t="shared" si="22"/>
        <v>21505.299915193493</v>
      </c>
      <c r="K270" s="9">
        <f t="shared" si="22"/>
        <v>-14336.866610128993</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-32257.949872790236</v>
      </c>
      <c r="E271" s="9">
        <f t="shared" si="23"/>
        <v>21505.299915193493</v>
      </c>
      <c r="F271" s="9">
        <f t="shared" si="23"/>
        <v>0</v>
      </c>
      <c r="G271" s="9">
        <f t="shared" si="23"/>
        <v>0</v>
      </c>
      <c r="H271" s="35">
        <f t="shared" si="23"/>
        <v>88257.949872790239</v>
      </c>
      <c r="I271" s="36">
        <f t="shared" si="23"/>
        <v>-21505.299915193493</v>
      </c>
      <c r="J271" s="9">
        <f t="shared" si="23"/>
        <v>-56000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21505.299915193493</v>
      </c>
      <c r="E272" s="9">
        <f t="shared" si="24"/>
        <v>-14336.866610128993</v>
      </c>
      <c r="F272" s="9">
        <f t="shared" si="24"/>
        <v>0</v>
      </c>
      <c r="G272" s="9">
        <f t="shared" si="24"/>
        <v>0</v>
      </c>
      <c r="H272" s="36">
        <f t="shared" si="24"/>
        <v>-21505.299915193493</v>
      </c>
      <c r="I272" s="35">
        <f t="shared" si="24"/>
        <v>98336.866610128985</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-32257.949872790236</v>
      </c>
      <c r="C273" s="9">
        <f t="shared" si="25"/>
        <v>-21505.299915193493</v>
      </c>
      <c r="D273" s="9">
        <f t="shared" si="25"/>
        <v>0</v>
      </c>
      <c r="E273" s="9">
        <f t="shared" si="25"/>
        <v>0</v>
      </c>
      <c r="F273" s="9">
        <f t="shared" si="25"/>
        <v>-32257.949872790236</v>
      </c>
      <c r="G273" s="9">
        <f t="shared" si="25"/>
        <v>21505.299915193493</v>
      </c>
      <c r="H273" s="9">
        <f t="shared" si="25"/>
        <v>-56000</v>
      </c>
      <c r="I273" s="9">
        <f t="shared" si="25"/>
        <v>0</v>
      </c>
      <c r="J273" s="35">
        <f t="shared" si="25"/>
        <v>176515.89974558045</v>
      </c>
      <c r="K273" s="36">
        <f t="shared" si="25"/>
        <v>0</v>
      </c>
      <c r="L273" s="9">
        <f t="shared" si="25"/>
        <v>-56000</v>
      </c>
      <c r="M273" s="9">
        <f t="shared" si="25"/>
        <v>0</v>
      </c>
      <c r="N273" s="89" t="s">
        <v>186</v>
      </c>
    </row>
    <row r="274" spans="1:21" ht="19.95" customHeight="1" x14ac:dyDescent="0.3">
      <c r="B274" s="9">
        <f t="shared" ref="B274:M274" si="26">B49+B70+B91+B112+B133+B154+B175+B196+B217+B238+B259</f>
        <v>-21505.299915193493</v>
      </c>
      <c r="C274" s="9">
        <f t="shared" si="26"/>
        <v>-14336.866610128993</v>
      </c>
      <c r="D274" s="9">
        <f t="shared" si="26"/>
        <v>0</v>
      </c>
      <c r="E274" s="9">
        <f t="shared" si="26"/>
        <v>-84000</v>
      </c>
      <c r="F274" s="9">
        <f t="shared" si="26"/>
        <v>21505.299915193493</v>
      </c>
      <c r="G274" s="9">
        <f t="shared" si="26"/>
        <v>-14336.866610128993</v>
      </c>
      <c r="H274" s="9">
        <f t="shared" si="26"/>
        <v>0</v>
      </c>
      <c r="I274" s="9">
        <f t="shared" si="26"/>
        <v>0</v>
      </c>
      <c r="J274" s="36">
        <f t="shared" si="26"/>
        <v>0</v>
      </c>
      <c r="K274" s="35">
        <f t="shared" si="26"/>
        <v>112673.73322025797</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-32257.949872790236</v>
      </c>
      <c r="E275" s="9">
        <f t="shared" si="27"/>
        <v>-21505.299915193493</v>
      </c>
      <c r="F275" s="9">
        <f t="shared" si="27"/>
        <v>0</v>
      </c>
      <c r="G275" s="9">
        <f t="shared" si="27"/>
        <v>0</v>
      </c>
      <c r="H275" s="9">
        <f t="shared" si="27"/>
        <v>0</v>
      </c>
      <c r="I275" s="9">
        <f t="shared" si="27"/>
        <v>0</v>
      </c>
      <c r="J275" s="9">
        <f t="shared" si="27"/>
        <v>-56000</v>
      </c>
      <c r="K275" s="9">
        <f t="shared" si="27"/>
        <v>0</v>
      </c>
      <c r="L275" s="35">
        <f t="shared" si="27"/>
        <v>88257.949872790239</v>
      </c>
      <c r="M275" s="36">
        <f t="shared" si="27"/>
        <v>21505.299915193493</v>
      </c>
      <c r="N275" s="89" t="s">
        <v>188</v>
      </c>
    </row>
    <row r="276" spans="1:21" ht="19.95" customHeight="1" x14ac:dyDescent="0.3">
      <c r="B276" s="9">
        <f t="shared" ref="B276:M276" si="28">B51+B72+B93+B114+B135+B156+B177+B198+B219+B240+B261</f>
        <v>0</v>
      </c>
      <c r="C276" s="9">
        <f t="shared" si="28"/>
        <v>0</v>
      </c>
      <c r="D276" s="9">
        <f t="shared" si="28"/>
        <v>-21505.299915193493</v>
      </c>
      <c r="E276" s="9">
        <f t="shared" si="28"/>
        <v>-14336.866610128993</v>
      </c>
      <c r="F276" s="9">
        <f t="shared" si="28"/>
        <v>0</v>
      </c>
      <c r="G276" s="9">
        <f t="shared" si="28"/>
        <v>-84000</v>
      </c>
      <c r="H276" s="9">
        <f t="shared" si="28"/>
        <v>0</v>
      </c>
      <c r="I276" s="9">
        <f t="shared" si="28"/>
        <v>0</v>
      </c>
      <c r="J276" s="9">
        <f t="shared" si="28"/>
        <v>0</v>
      </c>
      <c r="K276" s="9">
        <f t="shared" si="28"/>
        <v>0</v>
      </c>
      <c r="L276" s="36">
        <f t="shared" si="28"/>
        <v>21505.299915193493</v>
      </c>
      <c r="M276" s="35">
        <f t="shared" si="28"/>
        <v>98336.866610128985</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IF(GRAFICA_48!F14=1, B280, GRAFICA_48!H14)</f>
        <v>C1X</v>
      </c>
      <c r="P280" s="215" t="s">
        <v>376</v>
      </c>
      <c r="Q280" s="172"/>
      <c r="R280" s="172"/>
      <c r="S280" s="172"/>
      <c r="T280" s="172"/>
      <c r="U280" s="173"/>
    </row>
    <row r="281" spans="1:21" ht="16.95" customHeight="1" x14ac:dyDescent="0.3">
      <c r="B281" s="12" t="s">
        <v>210</v>
      </c>
      <c r="C281" s="12" t="s">
        <v>179</v>
      </c>
      <c r="E281" s="37" t="str">
        <f>IF(GRAFICA_48!G14=1, B281, GRAFICA_48!I14)</f>
        <v>C1Y</v>
      </c>
      <c r="P281" s="215" t="s">
        <v>211</v>
      </c>
      <c r="Q281" s="172"/>
      <c r="R281" s="172"/>
      <c r="S281" s="172"/>
      <c r="T281" s="172"/>
      <c r="U281" s="173"/>
    </row>
    <row r="282" spans="1:21" ht="16.95" customHeight="1" x14ac:dyDescent="0.3">
      <c r="B282" s="12" t="s">
        <v>212</v>
      </c>
      <c r="C282" s="12" t="s">
        <v>180</v>
      </c>
      <c r="E282" s="37">
        <f>IF(GRAFICA_48!F15=1, B282, GRAFICA_48!H15)</f>
        <v>0</v>
      </c>
      <c r="P282" s="215" t="s">
        <v>377</v>
      </c>
      <c r="Q282" s="172"/>
      <c r="R282" s="172"/>
      <c r="S282" s="172"/>
      <c r="T282" s="172"/>
      <c r="U282" s="173"/>
    </row>
    <row r="283" spans="1:21" ht="16.95" customHeight="1" x14ac:dyDescent="0.3">
      <c r="B283" s="12" t="s">
        <v>214</v>
      </c>
      <c r="C283" s="12" t="s">
        <v>181</v>
      </c>
      <c r="E283" s="37">
        <f>IF(GRAFICA_48!G15=1, B283, GRAFICA_48!I15)</f>
        <v>-9000</v>
      </c>
      <c r="P283" s="215" t="s">
        <v>215</v>
      </c>
      <c r="Q283" s="172"/>
      <c r="R283" s="172"/>
      <c r="S283" s="172"/>
      <c r="T283" s="172"/>
      <c r="U283" s="173"/>
    </row>
    <row r="284" spans="1:21" ht="16.95" customHeight="1" x14ac:dyDescent="0.3">
      <c r="B284" s="12" t="s">
        <v>216</v>
      </c>
      <c r="C284" s="12" t="s">
        <v>182</v>
      </c>
      <c r="E284" s="37">
        <f>IF(GRAFICA_48!F16=1, B284, GRAFICA_48!H16)</f>
        <v>0</v>
      </c>
      <c r="P284" s="215" t="s">
        <v>378</v>
      </c>
      <c r="Q284" s="172"/>
      <c r="R284" s="172"/>
      <c r="S284" s="172"/>
      <c r="T284" s="172"/>
      <c r="U284" s="173"/>
    </row>
    <row r="285" spans="1:21" ht="16.95" customHeight="1" x14ac:dyDescent="0.3">
      <c r="A285" s="38" t="s">
        <v>218</v>
      </c>
      <c r="B285" s="12" t="s">
        <v>219</v>
      </c>
      <c r="C285" s="12" t="s">
        <v>183</v>
      </c>
      <c r="D285" s="13" t="s">
        <v>220</v>
      </c>
      <c r="E285" s="37" t="str">
        <f>IF(GRAFICA_48!G16=1, B285, GRAFICA_48!I16)</f>
        <v>C3Y</v>
      </c>
      <c r="P285" s="215" t="s">
        <v>379</v>
      </c>
      <c r="Q285" s="172"/>
      <c r="R285" s="172"/>
      <c r="S285" s="172"/>
      <c r="T285" s="172"/>
      <c r="U285" s="173"/>
    </row>
    <row r="286" spans="1:21" ht="16.95" customHeight="1" x14ac:dyDescent="0.3">
      <c r="B286" s="12" t="s">
        <v>221</v>
      </c>
      <c r="C286" s="12" t="s">
        <v>184</v>
      </c>
      <c r="E286" s="37">
        <f>IF(GRAFICA_48!F17=1, B286, GRAFICA_48!H17)</f>
        <v>2500</v>
      </c>
      <c r="P286" s="215"/>
      <c r="Q286" s="172"/>
      <c r="R286" s="172"/>
      <c r="S286" s="172"/>
      <c r="T286" s="172"/>
      <c r="U286" s="173"/>
    </row>
    <row r="287" spans="1:21" ht="16.95" customHeight="1" x14ac:dyDescent="0.3">
      <c r="B287" s="12" t="s">
        <v>222</v>
      </c>
      <c r="C287" s="12" t="s">
        <v>185</v>
      </c>
      <c r="E287" s="37">
        <f>IF(GRAFICA_48!G17=1, B287, GRAFICA_48!I17)</f>
        <v>0</v>
      </c>
      <c r="P287" s="215"/>
      <c r="Q287" s="172"/>
      <c r="R287" s="172"/>
      <c r="S287" s="172"/>
      <c r="T287" s="172"/>
      <c r="U287" s="173"/>
    </row>
    <row r="288" spans="1:21" ht="16.95" customHeight="1" x14ac:dyDescent="0.3">
      <c r="B288" s="12" t="s">
        <v>223</v>
      </c>
      <c r="C288" s="12" t="s">
        <v>186</v>
      </c>
      <c r="E288" s="37">
        <f>IF(GRAFICA_48!F18=1, B288, GRAFICA_48!H18)</f>
        <v>0</v>
      </c>
      <c r="P288" s="215"/>
      <c r="Q288" s="172"/>
      <c r="R288" s="172"/>
      <c r="S288" s="172"/>
      <c r="T288" s="172"/>
      <c r="U288" s="173"/>
    </row>
    <row r="289" spans="1:21" ht="16.95" customHeight="1" x14ac:dyDescent="0.3">
      <c r="B289" s="12" t="s">
        <v>224</v>
      </c>
      <c r="C289" s="12" t="s">
        <v>187</v>
      </c>
      <c r="E289" s="37">
        <f>IF(GRAFICA_48!G18=1, B289, GRAFICA_48!I18)</f>
        <v>-4000</v>
      </c>
      <c r="P289" s="215"/>
      <c r="Q289" s="172"/>
      <c r="R289" s="172"/>
      <c r="S289" s="172"/>
      <c r="T289" s="172"/>
      <c r="U289" s="173"/>
    </row>
    <row r="290" spans="1:21" ht="16.95" customHeight="1" x14ac:dyDescent="0.3">
      <c r="B290" s="12" t="s">
        <v>225</v>
      </c>
      <c r="C290" s="12" t="s">
        <v>188</v>
      </c>
      <c r="E290" s="37">
        <f>IF(GRAFICA_48!F19=1, B290, GRAFICA_48!H19)</f>
        <v>0</v>
      </c>
      <c r="P290" s="215"/>
      <c r="Q290" s="172"/>
      <c r="R290" s="172"/>
      <c r="S290" s="172"/>
      <c r="T290" s="172"/>
      <c r="U290" s="173"/>
    </row>
    <row r="291" spans="1:21" ht="16.95" customHeight="1" x14ac:dyDescent="0.3">
      <c r="B291" s="12" t="s">
        <v>226</v>
      </c>
      <c r="C291" s="12" t="s">
        <v>189</v>
      </c>
      <c r="E291" s="37">
        <f>IF(GRAFICA_48!G19=1, B291, GRAFICA_48!I19)</f>
        <v>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IF(GRAFICA_48!F14=1,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IF(GRAFICA_48!G14=1,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t="str">
        <f>IF(GRAFICA_48!F15=1, 0, B296)</f>
        <v>D2X</v>
      </c>
      <c r="F296" s="14">
        <f>IF(E296&lt;&gt;0, COUNTIF(E$294:E296, "&lt;&gt;0"), "")</f>
        <v>1</v>
      </c>
      <c r="G296" s="14" t="str">
        <f>IF(E296=0, COUNTIF(E$294:E296, 0), "")</f>
        <v/>
      </c>
      <c r="P296" s="215"/>
      <c r="Q296" s="172"/>
      <c r="R296" s="172"/>
      <c r="S296" s="172"/>
      <c r="T296" s="172"/>
      <c r="U296" s="173"/>
    </row>
    <row r="297" spans="1:21" ht="16.95" customHeight="1" x14ac:dyDescent="0.3">
      <c r="B297" s="12" t="s">
        <v>231</v>
      </c>
      <c r="C297" s="12" t="s">
        <v>181</v>
      </c>
      <c r="E297" s="39" t="str">
        <f>IF(GRAFICA_48!G15=1, 0, B297)</f>
        <v>D2Y</v>
      </c>
      <c r="F297" s="14">
        <f>IF(E297&lt;&gt;0, COUNTIF(E$294:E297, "&lt;&gt;0"), "")</f>
        <v>2</v>
      </c>
      <c r="G297" s="14" t="str">
        <f>IF(E297=0, COUNTIF(E$294:E297, 0), "")</f>
        <v/>
      </c>
      <c r="P297" s="215"/>
      <c r="Q297" s="172"/>
      <c r="R297" s="172"/>
      <c r="S297" s="172"/>
      <c r="T297" s="172"/>
      <c r="U297" s="173"/>
    </row>
    <row r="298" spans="1:21" ht="16.95" customHeight="1" x14ac:dyDescent="0.3">
      <c r="B298" s="12" t="s">
        <v>232</v>
      </c>
      <c r="C298" s="12" t="s">
        <v>182</v>
      </c>
      <c r="E298" s="39" t="str">
        <f>IF(GRAFICA_48!F16=1, 0, B298)</f>
        <v>D3X</v>
      </c>
      <c r="F298" s="14">
        <f>IF(E298&lt;&gt;0, COUNTIF(E$294:E298, "&lt;&gt;0"), "")</f>
        <v>3</v>
      </c>
      <c r="G298" s="14" t="str">
        <f>IF(E298=0, COUNTIF(E$294:E298, 0), "")</f>
        <v/>
      </c>
      <c r="P298" s="215"/>
      <c r="Q298" s="172"/>
      <c r="R298" s="172"/>
      <c r="S298" s="172"/>
      <c r="T298" s="172"/>
      <c r="U298" s="173"/>
    </row>
    <row r="299" spans="1:21" ht="16.95" customHeight="1" x14ac:dyDescent="0.3">
      <c r="A299" s="38" t="s">
        <v>233</v>
      </c>
      <c r="B299" s="12" t="s">
        <v>234</v>
      </c>
      <c r="C299" s="12" t="s">
        <v>183</v>
      </c>
      <c r="D299" s="13" t="s">
        <v>220</v>
      </c>
      <c r="E299" s="39">
        <f>IF(GRAFICA_48!G16=1, 0, B299)</f>
        <v>0</v>
      </c>
      <c r="F299" s="14" t="str">
        <f>IF(E299&lt;&gt;0, COUNTIF(E$294:E299, "&lt;&gt;0"), "")</f>
        <v/>
      </c>
      <c r="G299" s="14">
        <f>IF(E299=0, COUNTIF(E$294:E299, 0), "")</f>
        <v>3</v>
      </c>
      <c r="P299" s="215"/>
      <c r="Q299" s="172"/>
      <c r="R299" s="172"/>
      <c r="S299" s="172"/>
      <c r="T299" s="172"/>
      <c r="U299" s="173"/>
    </row>
    <row r="300" spans="1:21" ht="16.95" customHeight="1" x14ac:dyDescent="0.3">
      <c r="B300" s="12" t="s">
        <v>235</v>
      </c>
      <c r="C300" s="12" t="s">
        <v>184</v>
      </c>
      <c r="E300" s="39" t="str">
        <f>IF(GRAFICA_48!F17=1, 0, B300)</f>
        <v>D4X</v>
      </c>
      <c r="F300" s="14">
        <f>IF(E300&lt;&gt;0, COUNTIF(E$294:E300, "&lt;&gt;0"), "")</f>
        <v>4</v>
      </c>
      <c r="G300" s="14" t="str">
        <f>IF(E300=0, COUNTIF(E$294:E300, 0), "")</f>
        <v/>
      </c>
      <c r="P300" s="215"/>
      <c r="Q300" s="172"/>
      <c r="R300" s="172"/>
      <c r="S300" s="172"/>
      <c r="T300" s="172"/>
      <c r="U300" s="173"/>
    </row>
    <row r="301" spans="1:21" ht="16.95" customHeight="1" x14ac:dyDescent="0.3">
      <c r="B301" s="12" t="s">
        <v>236</v>
      </c>
      <c r="C301" s="12" t="s">
        <v>185</v>
      </c>
      <c r="E301" s="39" t="str">
        <f>IF(GRAFICA_48!G17=1, 0, B301)</f>
        <v>D4Y</v>
      </c>
      <c r="F301" s="14">
        <f>IF(E301&lt;&gt;0, COUNTIF(E$294:E301, "&lt;&gt;0"), "")</f>
        <v>5</v>
      </c>
      <c r="G301" s="14" t="str">
        <f>IF(E301=0, COUNTIF(E$294:E301, 0), "")</f>
        <v/>
      </c>
      <c r="P301" s="215"/>
      <c r="Q301" s="172"/>
      <c r="R301" s="172"/>
      <c r="S301" s="172"/>
      <c r="T301" s="172"/>
      <c r="U301" s="173"/>
    </row>
    <row r="302" spans="1:21" ht="16.95" customHeight="1" x14ac:dyDescent="0.3">
      <c r="B302" s="12" t="s">
        <v>237</v>
      </c>
      <c r="C302" s="12" t="s">
        <v>186</v>
      </c>
      <c r="E302" s="39" t="str">
        <f>IF(GRAFICA_48!F18=1, 0, B302)</f>
        <v>D5X</v>
      </c>
      <c r="F302" s="14">
        <f>IF(E302&lt;&gt;0, COUNTIF(E$294:E302, "&lt;&gt;0"), "")</f>
        <v>6</v>
      </c>
      <c r="G302" s="14" t="str">
        <f>IF(E302=0, COUNTIF(E$294:E302, 0), "")</f>
        <v/>
      </c>
      <c r="P302" s="215"/>
      <c r="Q302" s="172"/>
      <c r="R302" s="172"/>
      <c r="S302" s="172"/>
      <c r="T302" s="172"/>
      <c r="U302" s="173"/>
    </row>
    <row r="303" spans="1:21" ht="16.95" customHeight="1" x14ac:dyDescent="0.3">
      <c r="B303" s="12" t="s">
        <v>238</v>
      </c>
      <c r="C303" s="12" t="s">
        <v>187</v>
      </c>
      <c r="E303" s="39" t="str">
        <f>IF(GRAFICA_48!G18=1, 0, B303)</f>
        <v>D5Y</v>
      </c>
      <c r="F303" s="14">
        <f>IF(E303&lt;&gt;0, COUNTIF(E$294:E303, "&lt;&gt;0"), "")</f>
        <v>7</v>
      </c>
      <c r="G303" s="14" t="str">
        <f>IF(E303=0, COUNTIF(E$294:E303, 0), "")</f>
        <v/>
      </c>
      <c r="P303" s="215"/>
      <c r="Q303" s="172"/>
      <c r="R303" s="172"/>
      <c r="S303" s="172"/>
      <c r="T303" s="172"/>
      <c r="U303" s="173"/>
    </row>
    <row r="304" spans="1:21" ht="16.95" customHeight="1" x14ac:dyDescent="0.3">
      <c r="B304" s="12" t="s">
        <v>239</v>
      </c>
      <c r="C304" s="12" t="s">
        <v>188</v>
      </c>
      <c r="E304" s="39" t="str">
        <f>IF(GRAFICA_48!F19=1, 0, B304)</f>
        <v>D6X</v>
      </c>
      <c r="F304" s="14">
        <f>IF(E304&lt;&gt;0, COUNTIF(E$294:E304, "&lt;&gt;0"), "")</f>
        <v>8</v>
      </c>
      <c r="G304" s="14" t="str">
        <f>IF(E304=0, COUNTIF(E$294:E304, 0), "")</f>
        <v/>
      </c>
      <c r="P304" s="215"/>
      <c r="Q304" s="172"/>
      <c r="R304" s="172"/>
      <c r="S304" s="172"/>
      <c r="T304" s="172"/>
      <c r="U304" s="173"/>
    </row>
    <row r="305" spans="1:21" ht="16.95" customHeight="1" x14ac:dyDescent="0.3">
      <c r="B305" s="12" t="s">
        <v>240</v>
      </c>
      <c r="C305" s="12" t="s">
        <v>189</v>
      </c>
      <c r="E305" s="39" t="str">
        <f>IF(GRAFICA_48!G19=1, 0, B305)</f>
        <v>D6Y</v>
      </c>
      <c r="F305" s="14">
        <f>IF(E305&lt;&gt;0, COUNTIF(E$294:E305, "&lt;&gt;0"), "")</f>
        <v>9</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88257.949872790239</v>
      </c>
      <c r="D310" s="9">
        <f t="shared" si="30"/>
        <v>21505.299915193493</v>
      </c>
      <c r="E310" s="9">
        <f t="shared" si="30"/>
        <v>-56000</v>
      </c>
      <c r="F310" s="9">
        <f t="shared" si="30"/>
        <v>0</v>
      </c>
      <c r="G310" s="9">
        <f t="shared" si="30"/>
        <v>0</v>
      </c>
      <c r="H310" s="9">
        <f t="shared" si="30"/>
        <v>0</v>
      </c>
      <c r="I310" s="9">
        <f t="shared" si="30"/>
        <v>0</v>
      </c>
      <c r="J310" s="9">
        <f t="shared" si="30"/>
        <v>0</v>
      </c>
      <c r="K310" s="9">
        <f t="shared" si="30"/>
        <v>-32257.949872790236</v>
      </c>
      <c r="L310" s="9">
        <f t="shared" si="30"/>
        <v>-21505.299915193493</v>
      </c>
      <c r="M310" s="9">
        <f t="shared" si="30"/>
        <v>0</v>
      </c>
      <c r="N310" s="9">
        <f t="shared" si="30"/>
        <v>0</v>
      </c>
      <c r="O310" s="13" t="s">
        <v>251</v>
      </c>
      <c r="P310" s="219" t="s">
        <v>380</v>
      </c>
      <c r="Q310" s="172"/>
      <c r="R310" s="172"/>
      <c r="S310" s="172"/>
      <c r="T310" s="172"/>
      <c r="U310" s="173"/>
    </row>
    <row r="311" spans="1:21" ht="16.95" customHeight="1" x14ac:dyDescent="0.3">
      <c r="A311" s="12" t="str">
        <f t="shared" si="29"/>
        <v>C1Y</v>
      </c>
      <c r="C311" s="9">
        <f t="shared" ref="C311:N311" si="31">B266</f>
        <v>21505.299915193493</v>
      </c>
      <c r="D311" s="9">
        <f t="shared" si="31"/>
        <v>98336.866610128985</v>
      </c>
      <c r="E311" s="9">
        <f t="shared" si="31"/>
        <v>0</v>
      </c>
      <c r="F311" s="9">
        <f t="shared" si="31"/>
        <v>0</v>
      </c>
      <c r="G311" s="9">
        <f t="shared" si="31"/>
        <v>0</v>
      </c>
      <c r="H311" s="9">
        <f t="shared" si="31"/>
        <v>0</v>
      </c>
      <c r="I311" s="9">
        <f t="shared" si="31"/>
        <v>0</v>
      </c>
      <c r="J311" s="9">
        <f t="shared" si="31"/>
        <v>-84000</v>
      </c>
      <c r="K311" s="9">
        <f t="shared" si="31"/>
        <v>-21505.299915193493</v>
      </c>
      <c r="L311" s="9">
        <f t="shared" si="31"/>
        <v>-14336.866610128993</v>
      </c>
      <c r="M311" s="9">
        <f t="shared" si="31"/>
        <v>0</v>
      </c>
      <c r="N311" s="9">
        <f t="shared" si="31"/>
        <v>0</v>
      </c>
      <c r="O311" s="13" t="s">
        <v>251</v>
      </c>
      <c r="P311" s="219" t="s">
        <v>253</v>
      </c>
      <c r="Q311" s="172"/>
      <c r="R311" s="172"/>
      <c r="S311" s="172"/>
      <c r="T311" s="172"/>
      <c r="U311" s="173"/>
    </row>
    <row r="312" spans="1:21" ht="16.95" customHeight="1" x14ac:dyDescent="0.3">
      <c r="A312" s="41">
        <f t="shared" si="29"/>
        <v>0</v>
      </c>
      <c r="C312" s="9">
        <f t="shared" ref="C312:N312" si="32">B267</f>
        <v>-56000</v>
      </c>
      <c r="D312" s="9">
        <f t="shared" si="32"/>
        <v>0</v>
      </c>
      <c r="E312" s="41">
        <f t="shared" si="32"/>
        <v>176515.89974558045</v>
      </c>
      <c r="F312" s="41">
        <f t="shared" si="32"/>
        <v>0</v>
      </c>
      <c r="G312" s="41">
        <f t="shared" si="32"/>
        <v>-56000</v>
      </c>
      <c r="H312" s="9">
        <f t="shared" si="32"/>
        <v>0</v>
      </c>
      <c r="I312" s="41">
        <f t="shared" si="32"/>
        <v>-32257.949872790236</v>
      </c>
      <c r="J312" s="41">
        <f t="shared" si="32"/>
        <v>21505.299915193493</v>
      </c>
      <c r="K312" s="41">
        <f t="shared" si="32"/>
        <v>0</v>
      </c>
      <c r="L312" s="41">
        <f t="shared" si="32"/>
        <v>0</v>
      </c>
      <c r="M312" s="41">
        <f t="shared" si="32"/>
        <v>-32257.949872790236</v>
      </c>
      <c r="N312" s="41">
        <f t="shared" si="32"/>
        <v>-21505.299915193493</v>
      </c>
      <c r="O312" s="13" t="s">
        <v>251</v>
      </c>
      <c r="P312" s="215" t="s">
        <v>254</v>
      </c>
      <c r="Q312" s="172"/>
      <c r="R312" s="172"/>
      <c r="S312" s="172"/>
      <c r="T312" s="172"/>
      <c r="U312" s="173"/>
    </row>
    <row r="313" spans="1:21" ht="16.95" customHeight="1" x14ac:dyDescent="0.3">
      <c r="A313" s="41">
        <f t="shared" si="29"/>
        <v>-9000</v>
      </c>
      <c r="C313" s="9">
        <f t="shared" ref="C313:N313" si="33">B268</f>
        <v>0</v>
      </c>
      <c r="D313" s="9">
        <f t="shared" si="33"/>
        <v>0</v>
      </c>
      <c r="E313" s="41">
        <f t="shared" si="33"/>
        <v>0</v>
      </c>
      <c r="F313" s="41">
        <f t="shared" si="33"/>
        <v>112673.73322025797</v>
      </c>
      <c r="G313" s="41">
        <f t="shared" si="33"/>
        <v>0</v>
      </c>
      <c r="H313" s="9">
        <f t="shared" si="33"/>
        <v>0</v>
      </c>
      <c r="I313" s="41">
        <f t="shared" si="33"/>
        <v>21505.299915193493</v>
      </c>
      <c r="J313" s="41">
        <f t="shared" si="33"/>
        <v>-14336.866610128993</v>
      </c>
      <c r="K313" s="41">
        <f t="shared" si="33"/>
        <v>0</v>
      </c>
      <c r="L313" s="41">
        <f t="shared" si="33"/>
        <v>-84000</v>
      </c>
      <c r="M313" s="41">
        <f t="shared" si="33"/>
        <v>-21505.299915193493</v>
      </c>
      <c r="N313" s="41">
        <f t="shared" si="33"/>
        <v>-14336.866610128993</v>
      </c>
      <c r="O313" s="13" t="s">
        <v>251</v>
      </c>
      <c r="P313" s="215" t="s">
        <v>381</v>
      </c>
      <c r="Q313" s="172"/>
      <c r="R313" s="172"/>
      <c r="S313" s="172"/>
      <c r="T313" s="172"/>
      <c r="U313" s="173"/>
    </row>
    <row r="314" spans="1:21" ht="16.95" customHeight="1" x14ac:dyDescent="0.3">
      <c r="A314" s="41">
        <f t="shared" si="29"/>
        <v>0</v>
      </c>
      <c r="C314" s="9">
        <f t="shared" ref="C314:N314" si="34">B269</f>
        <v>0</v>
      </c>
      <c r="D314" s="9">
        <f t="shared" si="34"/>
        <v>0</v>
      </c>
      <c r="E314" s="41">
        <f t="shared" si="34"/>
        <v>-56000</v>
      </c>
      <c r="F314" s="41">
        <f t="shared" si="34"/>
        <v>0</v>
      </c>
      <c r="G314" s="41">
        <f t="shared" si="34"/>
        <v>88257.949872790239</v>
      </c>
      <c r="H314" s="9">
        <f t="shared" si="34"/>
        <v>-21505.299915193493</v>
      </c>
      <c r="I314" s="41">
        <f t="shared" si="34"/>
        <v>0</v>
      </c>
      <c r="J314" s="41">
        <f t="shared" si="34"/>
        <v>0</v>
      </c>
      <c r="K314" s="41">
        <f t="shared" si="34"/>
        <v>-32257.949872790236</v>
      </c>
      <c r="L314" s="41">
        <f t="shared" si="34"/>
        <v>21505.299915193493</v>
      </c>
      <c r="M314" s="41">
        <f t="shared" si="34"/>
        <v>0</v>
      </c>
      <c r="N314" s="41">
        <f t="shared" si="34"/>
        <v>0</v>
      </c>
      <c r="O314" s="13" t="s">
        <v>251</v>
      </c>
      <c r="P314" s="215" t="s">
        <v>382</v>
      </c>
      <c r="Q314" s="172"/>
      <c r="R314" s="172"/>
      <c r="S314" s="172"/>
      <c r="T314" s="172"/>
      <c r="U314" s="173"/>
    </row>
    <row r="315" spans="1:21" ht="16.95" customHeight="1" x14ac:dyDescent="0.3">
      <c r="A315" s="12" t="str">
        <f t="shared" si="29"/>
        <v>C3Y</v>
      </c>
      <c r="C315" s="9">
        <f t="shared" ref="C315:N315" si="35">B270</f>
        <v>0</v>
      </c>
      <c r="D315" s="9">
        <f t="shared" si="35"/>
        <v>0</v>
      </c>
      <c r="E315" s="9">
        <f t="shared" si="35"/>
        <v>0</v>
      </c>
      <c r="F315" s="9">
        <f t="shared" si="35"/>
        <v>0</v>
      </c>
      <c r="G315" s="9">
        <f t="shared" si="35"/>
        <v>-21505.299915193493</v>
      </c>
      <c r="H315" s="9">
        <f t="shared" si="35"/>
        <v>98336.866610128985</v>
      </c>
      <c r="I315" s="9">
        <f t="shared" si="35"/>
        <v>0</v>
      </c>
      <c r="J315" s="9">
        <f t="shared" si="35"/>
        <v>0</v>
      </c>
      <c r="K315" s="9">
        <f t="shared" si="35"/>
        <v>21505.299915193493</v>
      </c>
      <c r="L315" s="9">
        <f t="shared" si="35"/>
        <v>-14336.866610128993</v>
      </c>
      <c r="M315" s="9">
        <f t="shared" si="35"/>
        <v>0</v>
      </c>
      <c r="N315" s="9">
        <f t="shared" si="35"/>
        <v>-84000</v>
      </c>
      <c r="O315" s="13" t="s">
        <v>251</v>
      </c>
      <c r="P315" s="219">
        <f t="shared" ref="P315:P321" si="36">E299</f>
        <v>0</v>
      </c>
      <c r="Q315" s="172"/>
      <c r="R315" s="172"/>
      <c r="S315" s="172"/>
      <c r="T315" s="172"/>
      <c r="U315" s="173"/>
    </row>
    <row r="316" spans="1:21" ht="16.95" customHeight="1" x14ac:dyDescent="0.3">
      <c r="A316" s="41">
        <f t="shared" si="29"/>
        <v>2500</v>
      </c>
      <c r="B316" s="13" t="s">
        <v>220</v>
      </c>
      <c r="C316" s="9">
        <f t="shared" ref="C316:N316" si="37">B271</f>
        <v>0</v>
      </c>
      <c r="D316" s="9">
        <f t="shared" si="37"/>
        <v>0</v>
      </c>
      <c r="E316" s="41">
        <f t="shared" si="37"/>
        <v>-32257.949872790236</v>
      </c>
      <c r="F316" s="41">
        <f t="shared" si="37"/>
        <v>21505.299915193493</v>
      </c>
      <c r="G316" s="41">
        <f t="shared" si="37"/>
        <v>0</v>
      </c>
      <c r="H316" s="9">
        <f t="shared" si="37"/>
        <v>0</v>
      </c>
      <c r="I316" s="41">
        <f t="shared" si="37"/>
        <v>88257.949872790239</v>
      </c>
      <c r="J316" s="41">
        <f t="shared" si="37"/>
        <v>-21505.299915193493</v>
      </c>
      <c r="K316" s="41">
        <f t="shared" si="37"/>
        <v>-56000</v>
      </c>
      <c r="L316" s="41">
        <f t="shared" si="37"/>
        <v>0</v>
      </c>
      <c r="M316" s="41">
        <f t="shared" si="37"/>
        <v>0</v>
      </c>
      <c r="N316" s="41">
        <f t="shared" si="37"/>
        <v>0</v>
      </c>
      <c r="O316" s="13" t="s">
        <v>251</v>
      </c>
      <c r="P316" s="215" t="str">
        <f t="shared" si="36"/>
        <v>D4X</v>
      </c>
      <c r="Q316" s="172"/>
      <c r="R316" s="172"/>
      <c r="S316" s="172"/>
      <c r="T316" s="172"/>
      <c r="U316" s="173"/>
    </row>
    <row r="317" spans="1:21" ht="16.95" customHeight="1" x14ac:dyDescent="0.3">
      <c r="A317" s="41">
        <f t="shared" si="29"/>
        <v>0</v>
      </c>
      <c r="C317" s="9">
        <f t="shared" ref="C317:N317" si="38">B272</f>
        <v>0</v>
      </c>
      <c r="D317" s="9">
        <f t="shared" si="38"/>
        <v>-84000</v>
      </c>
      <c r="E317" s="41">
        <f t="shared" si="38"/>
        <v>21505.299915193493</v>
      </c>
      <c r="F317" s="41">
        <f t="shared" si="38"/>
        <v>-14336.866610128993</v>
      </c>
      <c r="G317" s="41">
        <f t="shared" si="38"/>
        <v>0</v>
      </c>
      <c r="H317" s="9">
        <f t="shared" si="38"/>
        <v>0</v>
      </c>
      <c r="I317" s="41">
        <f t="shared" si="38"/>
        <v>-21505.299915193493</v>
      </c>
      <c r="J317" s="41">
        <f t="shared" si="38"/>
        <v>98336.866610128985</v>
      </c>
      <c r="K317" s="41">
        <f t="shared" si="38"/>
        <v>0</v>
      </c>
      <c r="L317" s="41">
        <f t="shared" si="38"/>
        <v>0</v>
      </c>
      <c r="M317" s="41">
        <f t="shared" si="38"/>
        <v>0</v>
      </c>
      <c r="N317" s="41">
        <f t="shared" si="38"/>
        <v>0</v>
      </c>
      <c r="O317" s="13" t="s">
        <v>251</v>
      </c>
      <c r="P317" s="215" t="str">
        <f t="shared" si="36"/>
        <v>D4Y</v>
      </c>
      <c r="Q317" s="172"/>
      <c r="R317" s="172"/>
      <c r="S317" s="172"/>
      <c r="T317" s="172"/>
      <c r="U317" s="173"/>
    </row>
    <row r="318" spans="1:21" ht="16.95" customHeight="1" x14ac:dyDescent="0.3">
      <c r="A318" s="41">
        <f t="shared" si="29"/>
        <v>0</v>
      </c>
      <c r="C318" s="9">
        <f t="shared" ref="C318:N318" si="39">B273</f>
        <v>-32257.949872790236</v>
      </c>
      <c r="D318" s="9">
        <f t="shared" si="39"/>
        <v>-21505.299915193493</v>
      </c>
      <c r="E318" s="41">
        <f t="shared" si="39"/>
        <v>0</v>
      </c>
      <c r="F318" s="41">
        <f t="shared" si="39"/>
        <v>0</v>
      </c>
      <c r="G318" s="41">
        <f t="shared" si="39"/>
        <v>-32257.949872790236</v>
      </c>
      <c r="H318" s="9">
        <f t="shared" si="39"/>
        <v>21505.299915193493</v>
      </c>
      <c r="I318" s="41">
        <f t="shared" si="39"/>
        <v>-56000</v>
      </c>
      <c r="J318" s="41">
        <f t="shared" si="39"/>
        <v>0</v>
      </c>
      <c r="K318" s="41">
        <f t="shared" si="39"/>
        <v>176515.89974558045</v>
      </c>
      <c r="L318" s="41">
        <f t="shared" si="39"/>
        <v>0</v>
      </c>
      <c r="M318" s="41">
        <f t="shared" si="39"/>
        <v>-56000</v>
      </c>
      <c r="N318" s="41">
        <f t="shared" si="39"/>
        <v>0</v>
      </c>
      <c r="O318" s="13" t="s">
        <v>251</v>
      </c>
      <c r="P318" s="215" t="str">
        <f t="shared" si="36"/>
        <v>D5X</v>
      </c>
      <c r="Q318" s="172"/>
      <c r="R318" s="172"/>
      <c r="S318" s="172"/>
      <c r="T318" s="172"/>
      <c r="U318" s="173"/>
    </row>
    <row r="319" spans="1:21" ht="16.95" customHeight="1" x14ac:dyDescent="0.3">
      <c r="A319" s="41">
        <f t="shared" si="29"/>
        <v>-4000</v>
      </c>
      <c r="C319" s="9">
        <f t="shared" ref="C319:N319" si="40">B274</f>
        <v>-21505.299915193493</v>
      </c>
      <c r="D319" s="9">
        <f t="shared" si="40"/>
        <v>-14336.866610128993</v>
      </c>
      <c r="E319" s="41">
        <f t="shared" si="40"/>
        <v>0</v>
      </c>
      <c r="F319" s="41">
        <f t="shared" si="40"/>
        <v>-84000</v>
      </c>
      <c r="G319" s="41">
        <f t="shared" si="40"/>
        <v>21505.299915193493</v>
      </c>
      <c r="H319" s="9">
        <f t="shared" si="40"/>
        <v>-14336.866610128993</v>
      </c>
      <c r="I319" s="41">
        <f t="shared" si="40"/>
        <v>0</v>
      </c>
      <c r="J319" s="41">
        <f t="shared" si="40"/>
        <v>0</v>
      </c>
      <c r="K319" s="41">
        <f t="shared" si="40"/>
        <v>0</v>
      </c>
      <c r="L319" s="41">
        <f t="shared" si="40"/>
        <v>112673.73322025797</v>
      </c>
      <c r="M319" s="41">
        <f t="shared" si="40"/>
        <v>0</v>
      </c>
      <c r="N319" s="41">
        <f t="shared" si="40"/>
        <v>0</v>
      </c>
      <c r="O319" s="13" t="s">
        <v>251</v>
      </c>
      <c r="P319" s="215" t="str">
        <f t="shared" si="36"/>
        <v>D5Y</v>
      </c>
      <c r="Q319" s="172"/>
      <c r="R319" s="172"/>
      <c r="S319" s="172"/>
      <c r="T319" s="172"/>
      <c r="U319" s="173"/>
    </row>
    <row r="320" spans="1:21" ht="16.95" customHeight="1" x14ac:dyDescent="0.3">
      <c r="A320" s="41">
        <f t="shared" si="29"/>
        <v>0</v>
      </c>
      <c r="C320" s="9">
        <f t="shared" ref="C320:N320" si="41">B275</f>
        <v>0</v>
      </c>
      <c r="D320" s="9">
        <f t="shared" si="41"/>
        <v>0</v>
      </c>
      <c r="E320" s="41">
        <f t="shared" si="41"/>
        <v>-32257.949872790236</v>
      </c>
      <c r="F320" s="41">
        <f t="shared" si="41"/>
        <v>-21505.299915193493</v>
      </c>
      <c r="G320" s="41">
        <f t="shared" si="41"/>
        <v>0</v>
      </c>
      <c r="H320" s="9">
        <f t="shared" si="41"/>
        <v>0</v>
      </c>
      <c r="I320" s="41">
        <f t="shared" si="41"/>
        <v>0</v>
      </c>
      <c r="J320" s="41">
        <f t="shared" si="41"/>
        <v>0</v>
      </c>
      <c r="K320" s="41">
        <f t="shared" si="41"/>
        <v>-56000</v>
      </c>
      <c r="L320" s="41">
        <f t="shared" si="41"/>
        <v>0</v>
      </c>
      <c r="M320" s="41">
        <f t="shared" si="41"/>
        <v>88257.949872790239</v>
      </c>
      <c r="N320" s="41">
        <f t="shared" si="41"/>
        <v>21505.299915193493</v>
      </c>
      <c r="O320" s="13" t="s">
        <v>251</v>
      </c>
      <c r="P320" s="215" t="str">
        <f t="shared" si="36"/>
        <v>D6X</v>
      </c>
      <c r="Q320" s="172"/>
      <c r="R320" s="172"/>
      <c r="S320" s="172"/>
      <c r="T320" s="172"/>
      <c r="U320" s="173"/>
    </row>
    <row r="321" spans="1:21" ht="16.95" customHeight="1" x14ac:dyDescent="0.3">
      <c r="A321" s="41">
        <f t="shared" si="29"/>
        <v>0</v>
      </c>
      <c r="C321" s="9">
        <f t="shared" ref="C321:N321" si="42">B276</f>
        <v>0</v>
      </c>
      <c r="D321" s="9">
        <f t="shared" si="42"/>
        <v>0</v>
      </c>
      <c r="E321" s="41">
        <f t="shared" si="42"/>
        <v>-21505.299915193493</v>
      </c>
      <c r="F321" s="41">
        <f t="shared" si="42"/>
        <v>-14336.866610128993</v>
      </c>
      <c r="G321" s="41">
        <f t="shared" si="42"/>
        <v>0</v>
      </c>
      <c r="H321" s="9">
        <f t="shared" si="42"/>
        <v>-84000</v>
      </c>
      <c r="I321" s="41">
        <f t="shared" si="42"/>
        <v>0</v>
      </c>
      <c r="J321" s="41">
        <f t="shared" si="42"/>
        <v>0</v>
      </c>
      <c r="K321" s="41">
        <f t="shared" si="42"/>
        <v>0</v>
      </c>
      <c r="L321" s="41">
        <f t="shared" si="42"/>
        <v>0</v>
      </c>
      <c r="M321" s="41">
        <f t="shared" si="42"/>
        <v>21505.299915193493</v>
      </c>
      <c r="N321" s="41">
        <f t="shared" si="42"/>
        <v>98336.866610128985</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U4X</v>
      </c>
      <c r="G325" s="38" t="str">
        <f>INDEX(C$294:C$305, MATCH(5, F$294:F$305, 0))</f>
        <v>U4Y</v>
      </c>
      <c r="H325" s="38" t="str">
        <f>INDEX(C$294:C$305, MATCH(6, F$294:F$305, 0))</f>
        <v>U5X</v>
      </c>
      <c r="I325" s="38" t="str">
        <f>INDEX(C$294:C$305, MATCH(7, F$294:F$305, 0))</f>
        <v>U5Y</v>
      </c>
      <c r="J325" s="38" t="str">
        <f>INDEX(C$294:C$305, MATCH(8, F$294:F$305, 0))</f>
        <v>U6X</v>
      </c>
      <c r="K325" s="38" t="str">
        <f>INDEX(C$294:C$305, MATCH(9, F$294:F$305, 0))</f>
        <v>U6Y</v>
      </c>
      <c r="P325" s="215" t="s">
        <v>383</v>
      </c>
      <c r="Q325" s="172"/>
      <c r="R325" s="172"/>
      <c r="S325" s="172"/>
      <c r="T325" s="172"/>
      <c r="U325" s="173"/>
    </row>
    <row r="326" spans="1:21" ht="16.95" customHeight="1" x14ac:dyDescent="0.3">
      <c r="A326" s="41">
        <f t="shared" ref="A326:A334" si="43">INDEX(E$280:E$291, MATCH(N326, C$280:C$291, 0))</f>
        <v>0</v>
      </c>
      <c r="C326" s="41">
        <f t="shared" ref="C326:K334" si="44">INDEX($B$265:$M$276, MATCH($N326, $N$265:$N$276, 0), MATCH(C$325, $B$264:$M$264, 0))</f>
        <v>176515.89974558045</v>
      </c>
      <c r="D326" s="41">
        <f t="shared" si="44"/>
        <v>0</v>
      </c>
      <c r="E326" s="41">
        <f t="shared" si="44"/>
        <v>-56000</v>
      </c>
      <c r="F326" s="41">
        <f t="shared" si="44"/>
        <v>-32257.949872790236</v>
      </c>
      <c r="G326" s="41">
        <f t="shared" si="44"/>
        <v>21505.299915193493</v>
      </c>
      <c r="H326" s="41">
        <f t="shared" si="44"/>
        <v>0</v>
      </c>
      <c r="I326" s="41">
        <f t="shared" si="44"/>
        <v>0</v>
      </c>
      <c r="J326" s="41">
        <f t="shared" si="44"/>
        <v>-32257.949872790236</v>
      </c>
      <c r="K326" s="41">
        <f t="shared" si="44"/>
        <v>-21505.299915193493</v>
      </c>
      <c r="L326" s="13" t="s">
        <v>251</v>
      </c>
      <c r="M326" s="38" t="str">
        <f>INDEX(B$294:B$305, MATCH(1, F$294:F$305, 0))</f>
        <v>D2X</v>
      </c>
      <c r="N326" s="14" t="str">
        <f>INDEX(C$294:C$305, MATCH(1, F$294:F$305, 0))</f>
        <v>U2X</v>
      </c>
      <c r="P326" s="215" t="s">
        <v>384</v>
      </c>
      <c r="Q326" s="172"/>
      <c r="R326" s="172"/>
      <c r="S326" s="172"/>
      <c r="T326" s="172"/>
      <c r="U326" s="173"/>
    </row>
    <row r="327" spans="1:21" ht="16.95" customHeight="1" x14ac:dyDescent="0.3">
      <c r="A327" s="41">
        <f t="shared" si="43"/>
        <v>-9000</v>
      </c>
      <c r="C327" s="41">
        <f t="shared" si="44"/>
        <v>0</v>
      </c>
      <c r="D327" s="41">
        <f t="shared" si="44"/>
        <v>112673.73322025797</v>
      </c>
      <c r="E327" s="41">
        <f t="shared" si="44"/>
        <v>0</v>
      </c>
      <c r="F327" s="41">
        <f t="shared" si="44"/>
        <v>21505.299915193493</v>
      </c>
      <c r="G327" s="41">
        <f t="shared" si="44"/>
        <v>-14336.866610128993</v>
      </c>
      <c r="H327" s="41">
        <f t="shared" si="44"/>
        <v>0</v>
      </c>
      <c r="I327" s="41">
        <f t="shared" si="44"/>
        <v>-84000</v>
      </c>
      <c r="J327" s="41">
        <f t="shared" si="44"/>
        <v>-21505.299915193493</v>
      </c>
      <c r="K327" s="41">
        <f t="shared" si="44"/>
        <v>-14336.866610128993</v>
      </c>
      <c r="L327" s="13" t="s">
        <v>251</v>
      </c>
      <c r="M327" s="38" t="str">
        <f>INDEX(B$294:B$305, MATCH(2, F$294:F$305, 0))</f>
        <v>D2Y</v>
      </c>
      <c r="N327" s="14" t="str">
        <f>INDEX(C$294:C$305, MATCH(2, F$294:F$305, 0))</f>
        <v>U2Y</v>
      </c>
      <c r="P327" s="215" t="s">
        <v>385</v>
      </c>
      <c r="Q327" s="172"/>
      <c r="R327" s="172"/>
      <c r="S327" s="172"/>
      <c r="T327" s="172"/>
      <c r="U327" s="173"/>
    </row>
    <row r="328" spans="1:21" ht="16.95" customHeight="1" x14ac:dyDescent="0.3">
      <c r="A328" s="41">
        <f t="shared" si="43"/>
        <v>0</v>
      </c>
      <c r="C328" s="41">
        <f t="shared" si="44"/>
        <v>-56000</v>
      </c>
      <c r="D328" s="41">
        <f t="shared" si="44"/>
        <v>0</v>
      </c>
      <c r="E328" s="41">
        <f t="shared" si="44"/>
        <v>88257.949872790239</v>
      </c>
      <c r="F328" s="41">
        <f t="shared" si="44"/>
        <v>0</v>
      </c>
      <c r="G328" s="41">
        <f t="shared" si="44"/>
        <v>0</v>
      </c>
      <c r="H328" s="41">
        <f t="shared" si="44"/>
        <v>-32257.949872790236</v>
      </c>
      <c r="I328" s="41">
        <f t="shared" si="44"/>
        <v>21505.299915193493</v>
      </c>
      <c r="J328" s="41">
        <f t="shared" si="44"/>
        <v>0</v>
      </c>
      <c r="K328" s="41">
        <f t="shared" si="44"/>
        <v>0</v>
      </c>
      <c r="L328" s="13" t="s">
        <v>251</v>
      </c>
      <c r="M328" s="38" t="str">
        <f>INDEX(B$294:B$305, MATCH(3, F$294:F$305, 0))</f>
        <v>D3X</v>
      </c>
      <c r="N328" s="14" t="str">
        <f>INDEX(C$294:C$305, MATCH(3, F$294:F$305, 0))</f>
        <v>U3X</v>
      </c>
      <c r="P328" s="215" t="s">
        <v>386</v>
      </c>
      <c r="Q328" s="172"/>
      <c r="R328" s="172"/>
      <c r="S328" s="172"/>
      <c r="T328" s="172"/>
      <c r="U328" s="173"/>
    </row>
    <row r="329" spans="1:21" ht="16.95" customHeight="1" x14ac:dyDescent="0.3">
      <c r="A329" s="41">
        <f t="shared" si="43"/>
        <v>2500</v>
      </c>
      <c r="C329" s="41">
        <f t="shared" si="44"/>
        <v>-32257.949872790236</v>
      </c>
      <c r="D329" s="41">
        <f t="shared" si="44"/>
        <v>21505.299915193493</v>
      </c>
      <c r="E329" s="41">
        <f t="shared" si="44"/>
        <v>0</v>
      </c>
      <c r="F329" s="41">
        <f t="shared" si="44"/>
        <v>88257.949872790239</v>
      </c>
      <c r="G329" s="41">
        <f t="shared" si="44"/>
        <v>-21505.299915193493</v>
      </c>
      <c r="H329" s="41">
        <f t="shared" si="44"/>
        <v>-56000</v>
      </c>
      <c r="I329" s="41">
        <f t="shared" si="44"/>
        <v>0</v>
      </c>
      <c r="J329" s="41">
        <f t="shared" si="44"/>
        <v>0</v>
      </c>
      <c r="K329" s="41">
        <f t="shared" si="44"/>
        <v>0</v>
      </c>
      <c r="L329" s="13" t="s">
        <v>251</v>
      </c>
      <c r="M329" s="38" t="str">
        <f>INDEX(B$294:B$305, MATCH(4, F$294:F$305, 0))</f>
        <v>D4X</v>
      </c>
      <c r="N329" s="14" t="str">
        <f>INDEX(C$294:C$305, MATCH(4, F$294:F$305, 0))</f>
        <v>U4X</v>
      </c>
      <c r="P329" s="215" t="s">
        <v>387</v>
      </c>
      <c r="Q329" s="172"/>
      <c r="R329" s="172"/>
      <c r="S329" s="172"/>
      <c r="T329" s="172"/>
      <c r="U329" s="173"/>
    </row>
    <row r="330" spans="1:21" ht="16.95" customHeight="1" x14ac:dyDescent="0.3">
      <c r="A330" s="41">
        <f t="shared" si="43"/>
        <v>0</v>
      </c>
      <c r="B330" s="13" t="s">
        <v>220</v>
      </c>
      <c r="C330" s="41">
        <f t="shared" si="44"/>
        <v>21505.299915193493</v>
      </c>
      <c r="D330" s="41">
        <f t="shared" si="44"/>
        <v>-14336.866610128993</v>
      </c>
      <c r="E330" s="41">
        <f t="shared" si="44"/>
        <v>0</v>
      </c>
      <c r="F330" s="41">
        <f t="shared" si="44"/>
        <v>-21505.299915193493</v>
      </c>
      <c r="G330" s="41">
        <f t="shared" si="44"/>
        <v>98336.866610128985</v>
      </c>
      <c r="H330" s="41">
        <f t="shared" si="44"/>
        <v>0</v>
      </c>
      <c r="I330" s="41">
        <f t="shared" si="44"/>
        <v>0</v>
      </c>
      <c r="J330" s="41">
        <f t="shared" si="44"/>
        <v>0</v>
      </c>
      <c r="K330" s="41">
        <f t="shared" si="44"/>
        <v>0</v>
      </c>
      <c r="L330" s="13" t="s">
        <v>251</v>
      </c>
      <c r="M330" s="38" t="str">
        <f>INDEX(B$294:B$305, MATCH(5, F$294:F$305, 0))</f>
        <v>D4Y</v>
      </c>
      <c r="N330" s="14" t="str">
        <f>INDEX(C$294:C$305, MATCH(5, F$294:F$305, 0))</f>
        <v>U4Y</v>
      </c>
      <c r="P330" s="215" t="s">
        <v>388</v>
      </c>
      <c r="Q330" s="172"/>
      <c r="R330" s="172"/>
      <c r="S330" s="172"/>
      <c r="T330" s="172"/>
      <c r="U330" s="173"/>
    </row>
    <row r="331" spans="1:21" ht="16.95" customHeight="1" x14ac:dyDescent="0.3">
      <c r="A331" s="41">
        <f t="shared" si="43"/>
        <v>0</v>
      </c>
      <c r="C331" s="41">
        <f t="shared" si="44"/>
        <v>0</v>
      </c>
      <c r="D331" s="41">
        <f t="shared" si="44"/>
        <v>0</v>
      </c>
      <c r="E331" s="41">
        <f t="shared" si="44"/>
        <v>-32257.949872790236</v>
      </c>
      <c r="F331" s="41">
        <f t="shared" si="44"/>
        <v>-56000</v>
      </c>
      <c r="G331" s="41">
        <f t="shared" si="44"/>
        <v>0</v>
      </c>
      <c r="H331" s="41">
        <f t="shared" si="44"/>
        <v>176515.89974558045</v>
      </c>
      <c r="I331" s="41">
        <f t="shared" si="44"/>
        <v>0</v>
      </c>
      <c r="J331" s="41">
        <f t="shared" si="44"/>
        <v>-56000</v>
      </c>
      <c r="K331" s="41">
        <f t="shared" si="44"/>
        <v>0</v>
      </c>
      <c r="L331" s="13" t="s">
        <v>251</v>
      </c>
      <c r="M331" s="38" t="str">
        <f>INDEX(B$294:B$305, MATCH(6, F$294:F$305, 0))</f>
        <v>D5X</v>
      </c>
      <c r="N331" s="14" t="str">
        <f>INDEX(C$294:C$305, MATCH(6, F$294:F$305, 0))</f>
        <v>U5X</v>
      </c>
      <c r="P331" s="215"/>
      <c r="Q331" s="172"/>
      <c r="R331" s="172"/>
      <c r="S331" s="172"/>
      <c r="T331" s="172"/>
      <c r="U331" s="173"/>
    </row>
    <row r="332" spans="1:21" ht="16.95" customHeight="1" x14ac:dyDescent="0.3">
      <c r="A332" s="41">
        <f t="shared" si="43"/>
        <v>-4000</v>
      </c>
      <c r="C332" s="41">
        <f t="shared" si="44"/>
        <v>0</v>
      </c>
      <c r="D332" s="41">
        <f t="shared" si="44"/>
        <v>-84000</v>
      </c>
      <c r="E332" s="41">
        <f t="shared" si="44"/>
        <v>21505.299915193493</v>
      </c>
      <c r="F332" s="41">
        <f t="shared" si="44"/>
        <v>0</v>
      </c>
      <c r="G332" s="41">
        <f t="shared" si="44"/>
        <v>0</v>
      </c>
      <c r="H332" s="41">
        <f t="shared" si="44"/>
        <v>0</v>
      </c>
      <c r="I332" s="41">
        <f t="shared" si="44"/>
        <v>112673.73322025797</v>
      </c>
      <c r="J332" s="41">
        <f t="shared" si="44"/>
        <v>0</v>
      </c>
      <c r="K332" s="41">
        <f t="shared" si="44"/>
        <v>0</v>
      </c>
      <c r="L332" s="13" t="s">
        <v>251</v>
      </c>
      <c r="M332" s="38" t="str">
        <f>INDEX(B$294:B$305, MATCH(7, F$294:F$305, 0))</f>
        <v>D5Y</v>
      </c>
      <c r="N332" s="14" t="str">
        <f>INDEX(C$294:C$305, MATCH(7, F$294:F$305, 0))</f>
        <v>U5Y</v>
      </c>
      <c r="P332" s="215"/>
      <c r="Q332" s="172"/>
      <c r="R332" s="172"/>
      <c r="S332" s="172"/>
      <c r="T332" s="172"/>
      <c r="U332" s="173"/>
    </row>
    <row r="333" spans="1:21" ht="16.95" customHeight="1" x14ac:dyDescent="0.3">
      <c r="A333" s="41">
        <f t="shared" si="43"/>
        <v>0</v>
      </c>
      <c r="C333" s="41">
        <f t="shared" si="44"/>
        <v>-32257.949872790236</v>
      </c>
      <c r="D333" s="41">
        <f t="shared" si="44"/>
        <v>-21505.299915193493</v>
      </c>
      <c r="E333" s="41">
        <f t="shared" si="44"/>
        <v>0</v>
      </c>
      <c r="F333" s="41">
        <f t="shared" si="44"/>
        <v>0</v>
      </c>
      <c r="G333" s="41">
        <f t="shared" si="44"/>
        <v>0</v>
      </c>
      <c r="H333" s="41">
        <f t="shared" si="44"/>
        <v>-56000</v>
      </c>
      <c r="I333" s="41">
        <f t="shared" si="44"/>
        <v>0</v>
      </c>
      <c r="J333" s="41">
        <f t="shared" si="44"/>
        <v>88257.949872790239</v>
      </c>
      <c r="K333" s="41">
        <f t="shared" si="44"/>
        <v>21505.299915193493</v>
      </c>
      <c r="L333" s="13" t="s">
        <v>251</v>
      </c>
      <c r="M333" s="38" t="str">
        <f>INDEX(B$294:B$305, MATCH(8, F$294:F$305, 0))</f>
        <v>D6X</v>
      </c>
      <c r="N333" s="14" t="str">
        <f>INDEX(C$294:C$305, MATCH(8, F$294:F$305, 0))</f>
        <v>U6X</v>
      </c>
      <c r="P333" s="215"/>
      <c r="Q333" s="172"/>
      <c r="R333" s="172"/>
      <c r="S333" s="172"/>
      <c r="T333" s="172"/>
      <c r="U333" s="173"/>
    </row>
    <row r="334" spans="1:21" ht="16.95" customHeight="1" x14ac:dyDescent="0.3">
      <c r="A334" s="41">
        <f t="shared" si="43"/>
        <v>0</v>
      </c>
      <c r="C334" s="41">
        <f t="shared" si="44"/>
        <v>-21505.299915193493</v>
      </c>
      <c r="D334" s="41">
        <f t="shared" si="44"/>
        <v>-14336.866610128993</v>
      </c>
      <c r="E334" s="41">
        <f t="shared" si="44"/>
        <v>0</v>
      </c>
      <c r="F334" s="41">
        <f t="shared" si="44"/>
        <v>0</v>
      </c>
      <c r="G334" s="41">
        <f t="shared" si="44"/>
        <v>0</v>
      </c>
      <c r="H334" s="41">
        <f t="shared" si="44"/>
        <v>0</v>
      </c>
      <c r="I334" s="41">
        <f t="shared" si="44"/>
        <v>0</v>
      </c>
      <c r="J334" s="41">
        <f t="shared" si="44"/>
        <v>21505.299915193493</v>
      </c>
      <c r="K334" s="41">
        <f t="shared" si="44"/>
        <v>98336.866610128985</v>
      </c>
      <c r="L334" s="13" t="s">
        <v>251</v>
      </c>
      <c r="M334" s="38" t="str">
        <f>INDEX(B$294:B$305, MATCH(9, F$294:F$305, 0))</f>
        <v>D6Y</v>
      </c>
      <c r="N334" s="14" t="str">
        <f>INDEX(C$294:C$305, MATCH(9, F$294:F$305, 0))</f>
        <v>U6Y</v>
      </c>
      <c r="P334" s="215"/>
      <c r="Q334" s="172"/>
      <c r="R334" s="172"/>
      <c r="S334" s="172"/>
      <c r="T334" s="172"/>
      <c r="U334" s="173"/>
    </row>
    <row r="335" spans="1:21" ht="16.95" customHeight="1" x14ac:dyDescent="0.3">
      <c r="P335" s="215"/>
      <c r="Q335" s="172"/>
      <c r="R335" s="172"/>
      <c r="S335" s="172"/>
      <c r="T335" s="172"/>
      <c r="U335" s="173"/>
    </row>
    <row r="336" spans="1:21" ht="16.95" customHeight="1" x14ac:dyDescent="0.3">
      <c r="C336" s="218" t="s">
        <v>263</v>
      </c>
      <c r="D336" s="172"/>
      <c r="E336" s="172"/>
      <c r="F336" s="172"/>
      <c r="G336" s="172"/>
      <c r="H336" s="172"/>
      <c r="I336" s="172"/>
      <c r="J336" s="172"/>
      <c r="K336" s="173"/>
      <c r="P336" s="215"/>
      <c r="Q336" s="172"/>
      <c r="R336" s="172"/>
      <c r="S336" s="172"/>
      <c r="T336" s="172"/>
      <c r="U336" s="173"/>
    </row>
    <row r="337" spans="1:21" ht="16.95" customHeight="1" x14ac:dyDescent="0.3">
      <c r="A337" s="99" t="s">
        <v>249</v>
      </c>
      <c r="C337" s="193" t="s">
        <v>264</v>
      </c>
      <c r="D337" s="175"/>
      <c r="E337" s="175"/>
      <c r="F337" s="175"/>
      <c r="G337" s="175"/>
      <c r="H337" s="175"/>
      <c r="I337" s="175"/>
      <c r="J337" s="175"/>
      <c r="K337" s="175"/>
      <c r="M337" s="99" t="s">
        <v>247</v>
      </c>
      <c r="P337" s="215"/>
      <c r="Q337" s="172"/>
      <c r="R337" s="172"/>
      <c r="S337" s="172"/>
      <c r="T337" s="172"/>
      <c r="U337" s="173"/>
    </row>
    <row r="338" spans="1:21" ht="16.95" customHeight="1" x14ac:dyDescent="0.3">
      <c r="A338" s="12" t="str">
        <f t="shared" ref="A338:A346" si="45">M326</f>
        <v>D2X</v>
      </c>
      <c r="C338" s="93">
        <f t="array" ref="C338:K346">MINVERSE(C326:K334)</f>
        <v>1.4905611874661534E-5</v>
      </c>
      <c r="D338" s="93">
        <v>-6.3845031204684218E-6</v>
      </c>
      <c r="E338" s="93">
        <v>1.5049813798501431E-5</v>
      </c>
      <c r="F338" s="93">
        <v>1.3163543594240756E-5</v>
      </c>
      <c r="G338" s="93">
        <v>-1.3117915477694814E-6</v>
      </c>
      <c r="H338" s="93">
        <v>1.0212012611759427E-5</v>
      </c>
      <c r="I338" s="93">
        <v>-7.6322049243090595E-6</v>
      </c>
      <c r="J338" s="93">
        <v>1.0356214535599321E-5</v>
      </c>
      <c r="K338" s="93">
        <v>6.4089743928842851E-8</v>
      </c>
      <c r="M338" s="17">
        <f t="shared" ref="M338:M346" si="46">A326</f>
        <v>0</v>
      </c>
      <c r="P338" s="215"/>
      <c r="Q338" s="172"/>
      <c r="R338" s="172"/>
      <c r="S338" s="172"/>
      <c r="T338" s="172"/>
      <c r="U338" s="173"/>
    </row>
    <row r="339" spans="1:21" ht="16.95" customHeight="1" x14ac:dyDescent="0.3">
      <c r="A339" s="12" t="str">
        <f t="shared" si="45"/>
        <v>D2Y</v>
      </c>
      <c r="C339" s="93">
        <v>-6.3845031204684193E-6</v>
      </c>
      <c r="D339" s="93">
        <v>3.1877173776658644E-5</v>
      </c>
      <c r="E339" s="93">
        <v>-1.2769006240936839E-5</v>
      </c>
      <c r="F339" s="93">
        <v>-1.3392857142857152E-5</v>
      </c>
      <c r="G339" s="93">
        <v>3.1148240099505492E-6</v>
      </c>
      <c r="H339" s="93">
        <v>-6.3845031204684168E-6</v>
      </c>
      <c r="I339" s="93">
        <v>2.6202059891797824E-5</v>
      </c>
      <c r="J339" s="93">
        <v>6.2385090192031798E-7</v>
      </c>
      <c r="K339" s="93">
        <v>3.1148240099505497E-6</v>
      </c>
      <c r="M339" s="17">
        <f t="shared" si="46"/>
        <v>-9000</v>
      </c>
      <c r="P339" s="215"/>
      <c r="Q339" s="172"/>
      <c r="R339" s="172"/>
      <c r="S339" s="172"/>
      <c r="T339" s="172"/>
      <c r="U339" s="173"/>
    </row>
    <row r="340" spans="1:21" ht="16.95" customHeight="1" x14ac:dyDescent="0.3">
      <c r="A340" s="12" t="str">
        <f t="shared" si="45"/>
        <v>D3X</v>
      </c>
      <c r="C340" s="93">
        <v>1.5049813798501429E-5</v>
      </c>
      <c r="D340" s="93">
        <v>-1.2769006240936842E-5</v>
      </c>
      <c r="E340" s="93">
        <v>3.0099627597002858E-5</v>
      </c>
      <c r="F340" s="93">
        <v>1.7857142857142862E-5</v>
      </c>
      <c r="G340" s="93">
        <v>-1.2477018038406385E-6</v>
      </c>
      <c r="H340" s="93">
        <v>1.5049813798501425E-5</v>
      </c>
      <c r="I340" s="93">
        <v>-1.5264409848618112E-5</v>
      </c>
      <c r="J340" s="93">
        <v>1.2242484739859992E-5</v>
      </c>
      <c r="K340" s="93">
        <v>-1.2477018038406381E-6</v>
      </c>
      <c r="M340" s="17">
        <f t="shared" si="46"/>
        <v>0</v>
      </c>
      <c r="P340" s="215"/>
      <c r="Q340" s="172"/>
      <c r="R340" s="172"/>
      <c r="S340" s="172"/>
      <c r="T340" s="172"/>
      <c r="U340" s="173"/>
    </row>
    <row r="341" spans="1:21" ht="16.95" customHeight="1" x14ac:dyDescent="0.3">
      <c r="A341" s="12" t="str">
        <f t="shared" si="45"/>
        <v>D4X</v>
      </c>
      <c r="C341" s="93">
        <v>1.3163543594240761E-5</v>
      </c>
      <c r="D341" s="93">
        <v>-1.3392857142857161E-5</v>
      </c>
      <c r="E341" s="93">
        <v>1.7857142857142862E-5</v>
      </c>
      <c r="F341" s="93">
        <v>3.069885939839147E-5</v>
      </c>
      <c r="G341" s="93">
        <v>1.8822098514085884E-6</v>
      </c>
      <c r="H341" s="93">
        <v>1.7076688706917935E-5</v>
      </c>
      <c r="I341" s="93">
        <v>-1.3392857142857157E-5</v>
      </c>
      <c r="J341" s="93">
        <v>1.2841716541248608E-5</v>
      </c>
      <c r="K341" s="93">
        <v>-1.8822098514085909E-6</v>
      </c>
      <c r="M341" s="17">
        <f t="shared" si="46"/>
        <v>2500</v>
      </c>
      <c r="P341" s="215"/>
      <c r="Q341" s="172"/>
      <c r="R341" s="172"/>
      <c r="S341" s="172"/>
      <c r="T341" s="172"/>
      <c r="U341" s="173"/>
    </row>
    <row r="342" spans="1:21" ht="16.95" customHeight="1" x14ac:dyDescent="0.3">
      <c r="A342" s="12" t="str">
        <f t="shared" si="45"/>
        <v>D4Y</v>
      </c>
      <c r="B342" s="13" t="s">
        <v>220</v>
      </c>
      <c r="C342" s="93">
        <v>-1.3117915477694805E-6</v>
      </c>
      <c r="D342" s="93">
        <v>3.1148240099505488E-6</v>
      </c>
      <c r="E342" s="93">
        <v>-1.2477018038406379E-6</v>
      </c>
      <c r="F342" s="93">
        <v>1.8822098514085894E-6</v>
      </c>
      <c r="G342" s="93">
        <v>1.132174343908658E-5</v>
      </c>
      <c r="H342" s="93">
        <v>5.7041830363910921E-7</v>
      </c>
      <c r="I342" s="93">
        <v>2.5602898749102654E-6</v>
      </c>
      <c r="J342" s="93">
        <v>6.3450804756795274E-7</v>
      </c>
      <c r="K342" s="93">
        <v>2.8484330635041351E-8</v>
      </c>
      <c r="M342" s="17">
        <f t="shared" si="46"/>
        <v>0</v>
      </c>
      <c r="P342" s="215"/>
      <c r="Q342" s="172"/>
      <c r="R342" s="172"/>
      <c r="S342" s="172"/>
      <c r="T342" s="172"/>
      <c r="U342" s="173"/>
    </row>
    <row r="343" spans="1:21" ht="16.95" customHeight="1" x14ac:dyDescent="0.3">
      <c r="A343" s="12" t="str">
        <f t="shared" si="45"/>
        <v>D5X</v>
      </c>
      <c r="C343" s="93">
        <v>1.021201261175943E-5</v>
      </c>
      <c r="D343" s="93">
        <v>-6.3845031204684227E-6</v>
      </c>
      <c r="E343" s="93">
        <v>1.5049813798501431E-5</v>
      </c>
      <c r="F343" s="93">
        <v>1.7076688706917942E-5</v>
      </c>
      <c r="G343" s="93">
        <v>5.7041830363910879E-7</v>
      </c>
      <c r="H343" s="93">
        <v>1.8360129890105938E-5</v>
      </c>
      <c r="I343" s="93">
        <v>-7.6322049243090595E-6</v>
      </c>
      <c r="J343" s="93">
        <v>1.4269359648276506E-5</v>
      </c>
      <c r="K343" s="93">
        <v>-1.8181201074797478E-6</v>
      </c>
      <c r="M343" s="17">
        <f t="shared" si="46"/>
        <v>0</v>
      </c>
      <c r="P343" s="215"/>
      <c r="Q343" s="172"/>
      <c r="R343" s="172"/>
      <c r="S343" s="172"/>
      <c r="T343" s="172"/>
      <c r="U343" s="173"/>
    </row>
    <row r="344" spans="1:21" ht="16.95" customHeight="1" x14ac:dyDescent="0.3">
      <c r="A344" s="12" t="str">
        <f t="shared" si="45"/>
        <v>D5Y</v>
      </c>
      <c r="C344" s="93">
        <v>-7.6322049243090561E-6</v>
      </c>
      <c r="D344" s="93">
        <v>2.6202059891797831E-5</v>
      </c>
      <c r="E344" s="93">
        <v>-1.5264409848618112E-5</v>
      </c>
      <c r="F344" s="93">
        <v>-1.3392857142857152E-5</v>
      </c>
      <c r="G344" s="93">
        <v>2.5602898749102658E-6</v>
      </c>
      <c r="H344" s="93">
        <v>-7.6322049243090561E-6</v>
      </c>
      <c r="I344" s="93">
        <v>3.1322639641618354E-5</v>
      </c>
      <c r="J344" s="93">
        <v>-1.8715527057609556E-6</v>
      </c>
      <c r="K344" s="93">
        <v>2.5602898749102658E-6</v>
      </c>
      <c r="M344" s="17">
        <f t="shared" si="46"/>
        <v>-4000</v>
      </c>
      <c r="P344" s="215"/>
      <c r="Q344" s="172"/>
      <c r="R344" s="172"/>
      <c r="S344" s="172"/>
      <c r="T344" s="172"/>
      <c r="U344" s="173"/>
    </row>
    <row r="345" spans="1:21" ht="16.95" customHeight="1" x14ac:dyDescent="0.3">
      <c r="A345" s="12" t="str">
        <f t="shared" si="45"/>
        <v>D6X</v>
      </c>
      <c r="C345" s="93">
        <v>1.0356214535599321E-5</v>
      </c>
      <c r="D345" s="93">
        <v>6.2385090192031491E-7</v>
      </c>
      <c r="E345" s="93">
        <v>1.2242484739859992E-5</v>
      </c>
      <c r="F345" s="93">
        <v>1.284171654124861E-5</v>
      </c>
      <c r="G345" s="93">
        <v>6.3450804756795242E-7</v>
      </c>
      <c r="H345" s="93">
        <v>1.4269359648276507E-5</v>
      </c>
      <c r="I345" s="93">
        <v>-1.8715527057609596E-6</v>
      </c>
      <c r="J345" s="93">
        <v>2.5084201281108597E-5</v>
      </c>
      <c r="K345" s="93">
        <v>-3.1299116552492267E-6</v>
      </c>
      <c r="M345" s="17">
        <f t="shared" si="46"/>
        <v>0</v>
      </c>
      <c r="P345" s="215"/>
      <c r="Q345" s="172"/>
      <c r="R345" s="172"/>
      <c r="S345" s="172"/>
      <c r="T345" s="172"/>
      <c r="U345" s="173"/>
    </row>
    <row r="346" spans="1:21" ht="16.95" customHeight="1" x14ac:dyDescent="0.3">
      <c r="A346" s="12" t="str">
        <f t="shared" si="45"/>
        <v>D6Y</v>
      </c>
      <c r="C346" s="93">
        <v>6.4089743928842772E-8</v>
      </c>
      <c r="D346" s="93">
        <v>3.1148240099505497E-6</v>
      </c>
      <c r="E346" s="93">
        <v>-1.2477018038406385E-6</v>
      </c>
      <c r="F346" s="93">
        <v>-1.8822098514085907E-6</v>
      </c>
      <c r="G346" s="93">
        <v>2.848433063504149E-8</v>
      </c>
      <c r="H346" s="93">
        <v>-1.8181201074797474E-6</v>
      </c>
      <c r="I346" s="93">
        <v>2.5602898749102663E-6</v>
      </c>
      <c r="J346" s="93">
        <v>-3.1299116552492271E-6</v>
      </c>
      <c r="K346" s="93">
        <v>1.132174343908658E-5</v>
      </c>
      <c r="M346" s="17">
        <f t="shared" si="46"/>
        <v>0</v>
      </c>
      <c r="P346" s="215"/>
      <c r="Q346" s="172"/>
      <c r="R346" s="172"/>
      <c r="S346" s="172"/>
      <c r="T346" s="172"/>
      <c r="U346" s="173"/>
    </row>
    <row r="347" spans="1:21" ht="16.95" customHeight="1" x14ac:dyDescent="0.3">
      <c r="P347" s="215"/>
      <c r="Q347" s="172"/>
      <c r="R347" s="172"/>
      <c r="S347" s="172"/>
      <c r="T347" s="172"/>
      <c r="U347" s="173"/>
    </row>
    <row r="348" spans="1:21" ht="16.95" customHeight="1" x14ac:dyDescent="0.3">
      <c r="C348" s="218" t="s">
        <v>265</v>
      </c>
      <c r="D348" s="173"/>
      <c r="P348" s="215"/>
      <c r="Q348" s="172"/>
      <c r="R348" s="172"/>
      <c r="S348" s="172"/>
      <c r="T348" s="172"/>
      <c r="U348" s="173"/>
    </row>
    <row r="349" spans="1:21" ht="16.95" customHeight="1" x14ac:dyDescent="0.3">
      <c r="A349" s="99" t="s">
        <v>249</v>
      </c>
      <c r="C349" s="99" t="s">
        <v>266</v>
      </c>
      <c r="P349" s="215"/>
      <c r="Q349" s="172"/>
      <c r="R349" s="172"/>
      <c r="S349" s="172"/>
      <c r="T349" s="172"/>
      <c r="U349" s="173"/>
    </row>
    <row r="350" spans="1:21" ht="16.95" customHeight="1" x14ac:dyDescent="0.3">
      <c r="A350" s="12" t="str">
        <f t="shared" ref="A350:A358" si="47">A338</f>
        <v>D2X</v>
      </c>
      <c r="C350" s="94">
        <f t="array" ref="C350:C358">MMULT(C338:K346, M338:M346)</f>
        <v>0.12089820676705393</v>
      </c>
      <c r="D350" s="12" t="s">
        <v>267</v>
      </c>
      <c r="P350" s="215"/>
      <c r="Q350" s="172"/>
      <c r="R350" s="172"/>
      <c r="S350" s="172"/>
      <c r="T350" s="172"/>
      <c r="U350" s="173"/>
    </row>
    <row r="351" spans="1:21" ht="16.95" customHeight="1" x14ac:dyDescent="0.3">
      <c r="A351" s="12" t="str">
        <f t="shared" si="47"/>
        <v>D2Y</v>
      </c>
      <c r="C351" s="94">
        <v>-0.42518494641426197</v>
      </c>
      <c r="D351" s="12" t="s">
        <v>267</v>
      </c>
      <c r="P351" s="215"/>
      <c r="Q351" s="172"/>
      <c r="R351" s="172"/>
      <c r="S351" s="172"/>
      <c r="T351" s="172"/>
      <c r="U351" s="173"/>
    </row>
    <row r="352" spans="1:21" ht="16.95" customHeight="1" x14ac:dyDescent="0.3">
      <c r="A352" s="12" t="str">
        <f t="shared" si="47"/>
        <v>D3X</v>
      </c>
      <c r="C352" s="94">
        <v>0.2206215527057612</v>
      </c>
      <c r="D352" s="12" t="s">
        <v>267</v>
      </c>
      <c r="P352" s="215"/>
      <c r="Q352" s="172"/>
      <c r="R352" s="172"/>
      <c r="S352" s="172"/>
      <c r="T352" s="172"/>
      <c r="U352" s="173"/>
    </row>
    <row r="353" spans="1:21" ht="16.95" customHeight="1" x14ac:dyDescent="0.3">
      <c r="A353" s="12" t="str">
        <f t="shared" si="47"/>
        <v>D4X</v>
      </c>
      <c r="C353" s="94">
        <v>0.25085429135312176</v>
      </c>
      <c r="D353" s="12" t="s">
        <v>267</v>
      </c>
      <c r="P353" s="215"/>
      <c r="Q353" s="172"/>
      <c r="R353" s="172"/>
      <c r="S353" s="172"/>
      <c r="T353" s="172"/>
      <c r="U353" s="173"/>
    </row>
    <row r="354" spans="1:21" ht="16.95" customHeight="1" x14ac:dyDescent="0.3">
      <c r="A354" s="12" t="str">
        <f t="shared" si="47"/>
        <v>D4Y</v>
      </c>
      <c r="B354" s="13" t="s">
        <v>220</v>
      </c>
      <c r="C354" s="94">
        <v>-3.3569050960674529E-2</v>
      </c>
      <c r="D354" s="12" t="s">
        <v>267</v>
      </c>
      <c r="P354" s="215"/>
      <c r="Q354" s="172"/>
      <c r="R354" s="172"/>
      <c r="S354" s="172"/>
      <c r="T354" s="172"/>
      <c r="U354" s="173"/>
    </row>
    <row r="355" spans="1:21" ht="16.95" customHeight="1" x14ac:dyDescent="0.3">
      <c r="A355" s="12" t="str">
        <f t="shared" si="47"/>
        <v>D5X</v>
      </c>
      <c r="C355" s="94">
        <v>0.13068106954874692</v>
      </c>
      <c r="D355" s="12" t="s">
        <v>267</v>
      </c>
      <c r="P355" s="215"/>
      <c r="Q355" s="172"/>
      <c r="R355" s="172"/>
      <c r="S355" s="172"/>
      <c r="T355" s="172"/>
      <c r="U355" s="173"/>
    </row>
    <row r="356" spans="1:21" ht="16.95" customHeight="1" x14ac:dyDescent="0.3">
      <c r="A356" s="12" t="str">
        <f t="shared" si="47"/>
        <v>D5Y</v>
      </c>
      <c r="C356" s="94">
        <v>-0.39459124044979677</v>
      </c>
      <c r="D356" s="12" t="s">
        <v>267</v>
      </c>
      <c r="P356" s="215"/>
      <c r="Q356" s="172"/>
      <c r="R356" s="172"/>
      <c r="S356" s="172"/>
      <c r="T356" s="172"/>
      <c r="U356" s="173"/>
    </row>
    <row r="357" spans="1:21" ht="16.95" customHeight="1" x14ac:dyDescent="0.3">
      <c r="A357" s="12" t="str">
        <f t="shared" si="47"/>
        <v>D6X</v>
      </c>
      <c r="C357" s="94">
        <v>3.3975844058882529E-2</v>
      </c>
      <c r="D357" s="12" t="s">
        <v>267</v>
      </c>
      <c r="P357" s="215"/>
      <c r="Q357" s="172"/>
      <c r="R357" s="172"/>
      <c r="S357" s="172"/>
      <c r="T357" s="172"/>
      <c r="U357" s="173"/>
    </row>
    <row r="358" spans="1:21" ht="16.95" customHeight="1" x14ac:dyDescent="0.3">
      <c r="A358" s="12" t="str">
        <f t="shared" si="47"/>
        <v>D6Y</v>
      </c>
      <c r="C358" s="94">
        <v>-4.298010021771749E-2</v>
      </c>
      <c r="D358" s="12" t="s">
        <v>267</v>
      </c>
      <c r="P358" s="215"/>
      <c r="Q358" s="172"/>
      <c r="R358" s="172"/>
      <c r="S358" s="172"/>
      <c r="T358" s="172"/>
      <c r="U358" s="173"/>
    </row>
    <row r="361" spans="1:21" ht="19.95" customHeight="1" x14ac:dyDescent="0.35">
      <c r="A361" s="11" t="s">
        <v>268</v>
      </c>
      <c r="P361" s="216" t="s">
        <v>269</v>
      </c>
      <c r="Q361" s="172"/>
      <c r="R361" s="172"/>
      <c r="S361" s="172"/>
      <c r="T361" s="172"/>
      <c r="U361" s="173"/>
    </row>
    <row r="362" spans="1:21" ht="16.95" customHeight="1" x14ac:dyDescent="0.3">
      <c r="A362" s="99" t="s">
        <v>247</v>
      </c>
      <c r="M362" s="99" t="s">
        <v>249</v>
      </c>
      <c r="P362" s="215" t="s">
        <v>389</v>
      </c>
      <c r="Q362" s="172"/>
      <c r="R362" s="172"/>
      <c r="S362" s="172"/>
      <c r="T362" s="172"/>
      <c r="U362" s="173"/>
    </row>
    <row r="363" spans="1:21" ht="16.95" customHeight="1" x14ac:dyDescent="0.3">
      <c r="A363" s="18" t="str">
        <f>INDEX(B$280:B$291, MATCH(N363, C$280:C$291, 0))</f>
        <v>C1X</v>
      </c>
      <c r="C363" s="9">
        <f t="shared" ref="C363:K365" si="48">INDEX($B$265:$M$276, MATCH($N363, $N$265:$N$276, 0), MATCH(C$325, $B$264:$M$264, 0))</f>
        <v>-56000</v>
      </c>
      <c r="D363" s="9">
        <f t="shared" si="48"/>
        <v>0</v>
      </c>
      <c r="E363" s="9">
        <f t="shared" si="48"/>
        <v>0</v>
      </c>
      <c r="F363" s="9">
        <f t="shared" si="48"/>
        <v>0</v>
      </c>
      <c r="G363" s="9">
        <f t="shared" si="48"/>
        <v>0</v>
      </c>
      <c r="H363" s="9">
        <f t="shared" si="48"/>
        <v>-32257.949872790236</v>
      </c>
      <c r="I363" s="9">
        <f t="shared" si="48"/>
        <v>-21505.299915193493</v>
      </c>
      <c r="J363" s="9">
        <f t="shared" si="48"/>
        <v>0</v>
      </c>
      <c r="K363" s="9">
        <f t="shared" si="48"/>
        <v>0</v>
      </c>
      <c r="M363" s="95">
        <f t="shared" ref="M363:M371" si="49">C350</f>
        <v>0.12089820676705393</v>
      </c>
      <c r="N363" s="14" t="str">
        <f>INDEX(C$294:C$305, MATCH(1, G$294:G$305, 0))</f>
        <v>U1X</v>
      </c>
      <c r="P363" s="215" t="s">
        <v>390</v>
      </c>
      <c r="Q363" s="172"/>
      <c r="R363" s="172"/>
      <c r="S363" s="172"/>
      <c r="T363" s="172"/>
      <c r="U363" s="173"/>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-84000</v>
      </c>
      <c r="H364" s="9">
        <f t="shared" si="48"/>
        <v>-21505.299915193493</v>
      </c>
      <c r="I364" s="9">
        <f t="shared" si="48"/>
        <v>-14336.866610128993</v>
      </c>
      <c r="J364" s="9">
        <f t="shared" si="48"/>
        <v>0</v>
      </c>
      <c r="K364" s="9">
        <f t="shared" si="48"/>
        <v>0</v>
      </c>
      <c r="M364" s="95">
        <f t="shared" si="49"/>
        <v>-0.42518494641426197</v>
      </c>
      <c r="N364" s="14" t="str">
        <f>INDEX(C$294:C$305, MATCH(2, G$294:G$305, 0))</f>
        <v>U1Y</v>
      </c>
      <c r="P364" s="215" t="s">
        <v>391</v>
      </c>
      <c r="Q364" s="172"/>
      <c r="R364" s="172"/>
      <c r="S364" s="172"/>
      <c r="T364" s="172"/>
      <c r="U364" s="173"/>
    </row>
    <row r="365" spans="1:21" ht="16.95" customHeight="1" x14ac:dyDescent="0.3">
      <c r="A365" s="18" t="str">
        <f>INDEX(B$280:B$291, MATCH(N365, C$280:C$291, 0))</f>
        <v>C3Y</v>
      </c>
      <c r="C365" s="9">
        <f t="shared" si="48"/>
        <v>0</v>
      </c>
      <c r="D365" s="9">
        <f t="shared" si="48"/>
        <v>0</v>
      </c>
      <c r="E365" s="9">
        <f t="shared" si="48"/>
        <v>-21505.299915193493</v>
      </c>
      <c r="F365" s="9">
        <f t="shared" si="48"/>
        <v>0</v>
      </c>
      <c r="G365" s="9">
        <f t="shared" si="48"/>
        <v>0</v>
      </c>
      <c r="H365" s="9">
        <f t="shared" si="48"/>
        <v>21505.299915193493</v>
      </c>
      <c r="I365" s="9">
        <f t="shared" si="48"/>
        <v>-14336.866610128993</v>
      </c>
      <c r="J365" s="9">
        <f t="shared" si="48"/>
        <v>0</v>
      </c>
      <c r="K365" s="9">
        <f t="shared" si="48"/>
        <v>-84000</v>
      </c>
      <c r="M365" s="95">
        <f t="shared" si="49"/>
        <v>0.2206215527057612</v>
      </c>
      <c r="N365" s="14" t="str">
        <f>INDEX(C$294:C$305, MATCH(3, G$294:G$305, 0))</f>
        <v>U3Y</v>
      </c>
      <c r="P365" s="215" t="s">
        <v>392</v>
      </c>
      <c r="Q365" s="172"/>
      <c r="R365" s="172"/>
      <c r="S365" s="172"/>
      <c r="T365" s="172"/>
      <c r="U365" s="173"/>
    </row>
    <row r="366" spans="1:21" ht="16.95" customHeight="1" x14ac:dyDescent="0.3">
      <c r="M366" s="95">
        <f t="shared" si="49"/>
        <v>0.25085429135312176</v>
      </c>
      <c r="P366" s="215" t="s">
        <v>393</v>
      </c>
      <c r="Q366" s="172"/>
      <c r="R366" s="172"/>
      <c r="S366" s="172"/>
      <c r="T366" s="172"/>
      <c r="U366" s="173"/>
    </row>
    <row r="367" spans="1:21" ht="16.95" customHeight="1" x14ac:dyDescent="0.3">
      <c r="M367" s="95">
        <f t="shared" si="49"/>
        <v>-3.3569050960674529E-2</v>
      </c>
      <c r="P367" s="215" t="s">
        <v>394</v>
      </c>
      <c r="Q367" s="172"/>
      <c r="R367" s="172"/>
      <c r="S367" s="172"/>
      <c r="T367" s="172"/>
      <c r="U367" s="173"/>
    </row>
    <row r="368" spans="1:21" ht="16.95" customHeight="1" x14ac:dyDescent="0.3">
      <c r="M368" s="95">
        <f t="shared" si="49"/>
        <v>0.13068106954874692</v>
      </c>
      <c r="P368" s="215"/>
      <c r="Q368" s="172"/>
      <c r="R368" s="172"/>
      <c r="S368" s="172"/>
      <c r="T368" s="172"/>
      <c r="U368" s="173"/>
    </row>
    <row r="369" spans="1:21" ht="16.95" customHeight="1" x14ac:dyDescent="0.3">
      <c r="M369" s="95">
        <f t="shared" si="49"/>
        <v>-0.39459124044979677</v>
      </c>
      <c r="P369" s="215"/>
      <c r="Q369" s="172"/>
      <c r="R369" s="172"/>
      <c r="S369" s="172"/>
      <c r="T369" s="172"/>
      <c r="U369" s="173"/>
    </row>
    <row r="370" spans="1:21" ht="16.95" customHeight="1" x14ac:dyDescent="0.3">
      <c r="M370" s="95">
        <f t="shared" si="49"/>
        <v>3.3975844058882529E-2</v>
      </c>
      <c r="P370" s="215"/>
      <c r="Q370" s="172"/>
      <c r="R370" s="172"/>
      <c r="S370" s="172"/>
      <c r="T370" s="172"/>
      <c r="U370" s="173"/>
    </row>
    <row r="371" spans="1:21" ht="16.95" customHeight="1" x14ac:dyDescent="0.3">
      <c r="M371" s="95">
        <f t="shared" si="49"/>
        <v>-4.298010021771749E-2</v>
      </c>
      <c r="P371" s="215"/>
      <c r="Q371" s="172"/>
      <c r="R371" s="172"/>
      <c r="S371" s="172"/>
      <c r="T371" s="172"/>
      <c r="U371" s="173"/>
    </row>
    <row r="372" spans="1:21" ht="16.95" customHeight="1" x14ac:dyDescent="0.3">
      <c r="P372" s="215"/>
      <c r="Q372" s="172"/>
      <c r="R372" s="172"/>
      <c r="S372" s="172"/>
      <c r="T372" s="172"/>
      <c r="U372" s="173"/>
    </row>
    <row r="373" spans="1:21" ht="16.95" customHeight="1" x14ac:dyDescent="0.3">
      <c r="A373" s="12" t="str">
        <f>A363</f>
        <v>C1X</v>
      </c>
      <c r="C373" s="17">
        <f t="array" ref="C373:C375">MMULT(C363:K365, M363:M371)</f>
        <v>-2500.0000000000036</v>
      </c>
      <c r="D373" s="12" t="s">
        <v>273</v>
      </c>
      <c r="P373" s="215"/>
      <c r="Q373" s="172"/>
      <c r="R373" s="172"/>
      <c r="S373" s="172"/>
      <c r="T373" s="172"/>
      <c r="U373" s="173"/>
    </row>
    <row r="374" spans="1:21" ht="16.95" customHeight="1" x14ac:dyDescent="0.3">
      <c r="A374" s="12" t="str">
        <f>A364</f>
        <v>C1Y</v>
      </c>
      <c r="B374" s="13" t="s">
        <v>220</v>
      </c>
      <c r="C374" s="17">
        <v>5666.6666666666706</v>
      </c>
      <c r="D374" s="12" t="s">
        <v>273</v>
      </c>
      <c r="P374" s="215"/>
      <c r="Q374" s="172"/>
      <c r="R374" s="172"/>
      <c r="S374" s="172"/>
      <c r="T374" s="172"/>
      <c r="U374" s="173"/>
    </row>
    <row r="375" spans="1:21" ht="16.95" customHeight="1" x14ac:dyDescent="0.3">
      <c r="A375" s="12" t="str">
        <f>A365</f>
        <v>C3Y</v>
      </c>
      <c r="C375" s="17">
        <v>7333.3333333333403</v>
      </c>
      <c r="D375" s="12" t="s">
        <v>273</v>
      </c>
      <c r="P375" s="215"/>
      <c r="Q375" s="172"/>
      <c r="R375" s="172"/>
      <c r="S375" s="172"/>
      <c r="T375" s="172"/>
      <c r="U375" s="173"/>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0.12089820676705393</v>
      </c>
    </row>
    <row r="383" spans="1:21" ht="19.05" customHeight="1" x14ac:dyDescent="0.3">
      <c r="A383" s="12" t="s">
        <v>231</v>
      </c>
      <c r="B383" s="12" t="s">
        <v>181</v>
      </c>
      <c r="D383" s="94">
        <f t="shared" si="50"/>
        <v>-0.42518494641426197</v>
      </c>
    </row>
    <row r="384" spans="1:21" ht="19.05" customHeight="1" x14ac:dyDescent="0.3">
      <c r="A384" s="12" t="s">
        <v>232</v>
      </c>
      <c r="B384" s="12" t="s">
        <v>182</v>
      </c>
      <c r="D384" s="94">
        <f t="shared" si="50"/>
        <v>0.2206215527057612</v>
      </c>
    </row>
    <row r="385" spans="1:21" ht="19.05" customHeight="1" x14ac:dyDescent="0.3">
      <c r="A385" s="12" t="s">
        <v>234</v>
      </c>
      <c r="B385" s="12" t="s">
        <v>183</v>
      </c>
      <c r="D385" s="94">
        <f t="shared" si="50"/>
        <v>0</v>
      </c>
    </row>
    <row r="386" spans="1:21" ht="19.05" customHeight="1" x14ac:dyDescent="0.3">
      <c r="A386" s="12" t="s">
        <v>235</v>
      </c>
      <c r="B386" s="12" t="s">
        <v>184</v>
      </c>
      <c r="D386" s="94">
        <f t="shared" si="50"/>
        <v>0.25085429135312176</v>
      </c>
    </row>
    <row r="387" spans="1:21" ht="19.05" customHeight="1" x14ac:dyDescent="0.3">
      <c r="A387" s="12" t="s">
        <v>236</v>
      </c>
      <c r="B387" s="12" t="s">
        <v>185</v>
      </c>
      <c r="D387" s="94">
        <f t="shared" si="50"/>
        <v>-3.3569050960674529E-2</v>
      </c>
    </row>
    <row r="388" spans="1:21" ht="19.05" customHeight="1" x14ac:dyDescent="0.3">
      <c r="A388" s="12" t="s">
        <v>237</v>
      </c>
      <c r="B388" s="12" t="s">
        <v>186</v>
      </c>
      <c r="D388" s="94">
        <f t="shared" si="50"/>
        <v>0.13068106954874692</v>
      </c>
    </row>
    <row r="389" spans="1:21" ht="19.05" customHeight="1" x14ac:dyDescent="0.3">
      <c r="A389" s="12" t="s">
        <v>238</v>
      </c>
      <c r="B389" s="12" t="s">
        <v>187</v>
      </c>
      <c r="D389" s="94">
        <f t="shared" si="50"/>
        <v>-0.39459124044979677</v>
      </c>
    </row>
    <row r="390" spans="1:21" ht="19.05" customHeight="1" x14ac:dyDescent="0.3">
      <c r="A390" s="12" t="s">
        <v>239</v>
      </c>
      <c r="B390" s="12" t="s">
        <v>188</v>
      </c>
      <c r="D390" s="94">
        <f t="shared" si="50"/>
        <v>3.3975844058882529E-2</v>
      </c>
    </row>
    <row r="391" spans="1:21" ht="19.05" customHeight="1" x14ac:dyDescent="0.3">
      <c r="A391" s="12" t="s">
        <v>240</v>
      </c>
      <c r="B391" s="12" t="s">
        <v>189</v>
      </c>
      <c r="D391" s="94">
        <f t="shared" si="50"/>
        <v>-4.298010021771749E-2</v>
      </c>
    </row>
    <row r="394" spans="1:21" ht="19.95" customHeight="1" x14ac:dyDescent="0.35">
      <c r="A394" s="11" t="s">
        <v>275</v>
      </c>
      <c r="P394" s="216" t="s">
        <v>276</v>
      </c>
      <c r="Q394" s="172"/>
      <c r="R394" s="172"/>
      <c r="S394" s="172"/>
      <c r="T394" s="172"/>
      <c r="U394" s="173"/>
    </row>
    <row r="395" spans="1:21" ht="16.95" customHeight="1" x14ac:dyDescent="0.3">
      <c r="P395" s="215" t="s">
        <v>395</v>
      </c>
      <c r="Q395" s="172"/>
      <c r="R395" s="172"/>
      <c r="S395" s="172"/>
      <c r="T395" s="172"/>
      <c r="U395" s="173"/>
    </row>
    <row r="396" spans="1:21" ht="16.95" customHeight="1" x14ac:dyDescent="0.3">
      <c r="A396" s="19" t="s">
        <v>278</v>
      </c>
      <c r="C396" s="19" t="s">
        <v>279</v>
      </c>
      <c r="D396" s="19" t="s">
        <v>280</v>
      </c>
      <c r="E396" s="19" t="s">
        <v>279</v>
      </c>
      <c r="F396" s="19" t="s">
        <v>280</v>
      </c>
      <c r="G396" s="19" t="s">
        <v>249</v>
      </c>
      <c r="P396" s="215" t="s">
        <v>396</v>
      </c>
      <c r="Q396" s="172"/>
      <c r="R396" s="172"/>
      <c r="S396" s="172"/>
      <c r="T396" s="172"/>
      <c r="U396" s="173"/>
    </row>
    <row r="397" spans="1:21" ht="16.95" customHeight="1" x14ac:dyDescent="0.3">
      <c r="C397" s="19" t="s">
        <v>282</v>
      </c>
      <c r="D397" s="19" t="s">
        <v>282</v>
      </c>
      <c r="E397" s="19" t="s">
        <v>283</v>
      </c>
      <c r="F397" s="19" t="s">
        <v>283</v>
      </c>
      <c r="P397" s="215" t="s">
        <v>397</v>
      </c>
      <c r="Q397" s="172"/>
      <c r="R397" s="172"/>
      <c r="S397" s="172"/>
      <c r="T397" s="172"/>
      <c r="U397" s="173"/>
    </row>
    <row r="398" spans="1:21" ht="16.95" customHeight="1" x14ac:dyDescent="0.3">
      <c r="A398" s="17">
        <f>N6</f>
        <v>56000</v>
      </c>
      <c r="C398" s="92">
        <f>-J6</f>
        <v>-1</v>
      </c>
      <c r="D398" s="92">
        <f>-K6</f>
        <v>0</v>
      </c>
      <c r="E398" s="92">
        <f>J6</f>
        <v>1</v>
      </c>
      <c r="F398" s="92">
        <f>K6</f>
        <v>0</v>
      </c>
      <c r="G398" s="96">
        <f>IFERROR(VLOOKUP(H398, A$380:D$391, 4, FALSE), 0)</f>
        <v>0</v>
      </c>
      <c r="H398" s="12" t="str">
        <f>"D" &amp; C20 &amp; "X"</f>
        <v>D1X</v>
      </c>
      <c r="P398" s="215" t="s">
        <v>398</v>
      </c>
      <c r="Q398" s="172"/>
      <c r="R398" s="172"/>
      <c r="S398" s="172"/>
      <c r="T398" s="172"/>
      <c r="U398" s="173"/>
    </row>
    <row r="399" spans="1:21" ht="16.95" customHeight="1" x14ac:dyDescent="0.3">
      <c r="A399" s="99" t="s">
        <v>285</v>
      </c>
      <c r="B399" s="97">
        <f>(MMULT(C398:F398, G398:G401)*A398)</f>
        <v>6770.2995789550196</v>
      </c>
      <c r="G399" s="96">
        <f>IFERROR(VLOOKUP(H399, A$380:D$391, 4, FALSE), 0)</f>
        <v>0</v>
      </c>
      <c r="H399" s="12" t="str">
        <f>"D" &amp; D20 &amp; "Y"</f>
        <v>D1Y</v>
      </c>
      <c r="P399" s="215" t="s">
        <v>399</v>
      </c>
      <c r="Q399" s="172"/>
      <c r="R399" s="172"/>
      <c r="S399" s="172"/>
      <c r="T399" s="172"/>
      <c r="U399" s="173"/>
    </row>
    <row r="400" spans="1:21" ht="16.95" customHeight="1" x14ac:dyDescent="0.3">
      <c r="G400" s="96">
        <f>IFERROR(VLOOKUP(H400, A$380:D$391, 4, FALSE), 0)</f>
        <v>0.12089820676705393</v>
      </c>
      <c r="H400" s="12" t="str">
        <f>"D" &amp; E20 &amp; "X"</f>
        <v>D2X</v>
      </c>
      <c r="P400" s="215" t="s">
        <v>400</v>
      </c>
      <c r="Q400" s="172"/>
      <c r="R400" s="172"/>
      <c r="S400" s="172"/>
      <c r="T400" s="172"/>
      <c r="U400" s="173"/>
    </row>
    <row r="401" spans="1:21" ht="16.95" customHeight="1" x14ac:dyDescent="0.3">
      <c r="G401" s="96">
        <f>IFERROR(VLOOKUP(H401, A$380:D$391, 4, FALSE), 0)</f>
        <v>-0.42518494641426197</v>
      </c>
      <c r="H401" s="12" t="str">
        <f>"D" &amp; F20 &amp; "Y"</f>
        <v>D2Y</v>
      </c>
      <c r="P401" s="215" t="s">
        <v>401</v>
      </c>
      <c r="Q401" s="172"/>
      <c r="R401" s="172"/>
      <c r="S401" s="172"/>
      <c r="T401" s="172"/>
      <c r="U401" s="173"/>
    </row>
    <row r="402" spans="1:21" ht="16.95" customHeight="1" x14ac:dyDescent="0.3">
      <c r="B402" s="99" t="s">
        <v>273</v>
      </c>
      <c r="C402" s="178" t="str">
        <f>IF(B399&gt;0.001,"BARRA A TRACCIÓN (+)",IF(B399&lt;-0.001,"BARRA A COMPRESIÓN (-)","BARRA DE FUERZA NULA"))</f>
        <v>BARRA A TRACCIÓN (+)</v>
      </c>
      <c r="D402" s="172"/>
      <c r="E402" s="172"/>
      <c r="F402" s="173"/>
      <c r="P402" s="215" t="s">
        <v>402</v>
      </c>
      <c r="Q402" s="172"/>
      <c r="R402" s="172"/>
      <c r="S402" s="172"/>
      <c r="T402" s="172"/>
      <c r="U402" s="173"/>
    </row>
    <row r="403" spans="1:21" ht="16.95" customHeight="1" x14ac:dyDescent="0.3">
      <c r="P403" s="215" t="s">
        <v>403</v>
      </c>
      <c r="Q403" s="172"/>
      <c r="R403" s="172"/>
      <c r="S403" s="172"/>
      <c r="T403" s="172"/>
      <c r="U403" s="173"/>
    </row>
    <row r="404" spans="1:21" ht="16.95" customHeight="1" x14ac:dyDescent="0.3">
      <c r="A404" s="19" t="s">
        <v>278</v>
      </c>
      <c r="C404" s="19" t="s">
        <v>279</v>
      </c>
      <c r="D404" s="19" t="s">
        <v>280</v>
      </c>
      <c r="E404" s="19" t="s">
        <v>279</v>
      </c>
      <c r="F404" s="19" t="s">
        <v>280</v>
      </c>
      <c r="G404" s="19" t="s">
        <v>249</v>
      </c>
      <c r="P404" s="215"/>
      <c r="Q404" s="172"/>
      <c r="R404" s="172"/>
      <c r="S404" s="172"/>
      <c r="T404" s="172"/>
      <c r="U404" s="173"/>
    </row>
    <row r="405" spans="1:21" ht="16.95" customHeight="1" x14ac:dyDescent="0.3">
      <c r="C405" s="19" t="s">
        <v>282</v>
      </c>
      <c r="D405" s="19" t="s">
        <v>282</v>
      </c>
      <c r="E405" s="19" t="s">
        <v>283</v>
      </c>
      <c r="F405" s="19" t="s">
        <v>283</v>
      </c>
      <c r="P405" s="215"/>
      <c r="Q405" s="172"/>
      <c r="R405" s="172"/>
      <c r="S405" s="172"/>
      <c r="T405" s="172"/>
      <c r="U405" s="173"/>
    </row>
    <row r="406" spans="1:21" ht="16.95" customHeight="1" x14ac:dyDescent="0.3">
      <c r="A406" s="17">
        <f>N7</f>
        <v>56000</v>
      </c>
      <c r="C406" s="92">
        <f>-J7</f>
        <v>-1</v>
      </c>
      <c r="D406" s="92">
        <f>-K7</f>
        <v>0</v>
      </c>
      <c r="E406" s="92">
        <f>J7</f>
        <v>1</v>
      </c>
      <c r="F406" s="92">
        <f>K7</f>
        <v>0</v>
      </c>
      <c r="G406" s="96">
        <f>IFERROR(VLOOKUP(H406, A$380:D$391, 4, FALSE), 0)</f>
        <v>0.12089820676705393</v>
      </c>
      <c r="H406" s="12" t="str">
        <f>"D" &amp; C21 &amp; "X"</f>
        <v>D2X</v>
      </c>
      <c r="P406" s="215"/>
      <c r="Q406" s="172"/>
      <c r="R406" s="172"/>
      <c r="S406" s="172"/>
      <c r="T406" s="172"/>
      <c r="U406" s="173"/>
    </row>
    <row r="407" spans="1:21" ht="16.95" customHeight="1" x14ac:dyDescent="0.3">
      <c r="A407" s="99" t="s">
        <v>286</v>
      </c>
      <c r="B407" s="97">
        <f>(MMULT(C406:F406, G406:G409)*A406)</f>
        <v>5584.5073725676075</v>
      </c>
      <c r="G407" s="96">
        <f>IFERROR(VLOOKUP(H407, A$380:D$391, 4, FALSE), 0)</f>
        <v>-0.42518494641426197</v>
      </c>
      <c r="H407" s="12" t="str">
        <f>"D" &amp; D21 &amp; "Y"</f>
        <v>D2Y</v>
      </c>
      <c r="P407" s="215"/>
      <c r="Q407" s="172"/>
      <c r="R407" s="172"/>
      <c r="S407" s="172"/>
      <c r="T407" s="172"/>
      <c r="U407" s="173"/>
    </row>
    <row r="408" spans="1:21" ht="16.95" customHeight="1" x14ac:dyDescent="0.3">
      <c r="G408" s="96">
        <f>IFERROR(VLOOKUP(H408, A$380:D$391, 4, FALSE), 0)</f>
        <v>0.2206215527057612</v>
      </c>
      <c r="H408" s="12" t="str">
        <f>"D" &amp; E21 &amp; "X"</f>
        <v>D3X</v>
      </c>
      <c r="P408" s="215"/>
      <c r="Q408" s="172"/>
      <c r="R408" s="172"/>
      <c r="S408" s="172"/>
      <c r="T408" s="172"/>
      <c r="U408" s="173"/>
    </row>
    <row r="409" spans="1:21" ht="16.95" customHeight="1" x14ac:dyDescent="0.3">
      <c r="G409" s="96">
        <f>IFERROR(VLOOKUP(H409, A$380:D$391, 4, FALSE), 0)</f>
        <v>0</v>
      </c>
      <c r="H409" s="12" t="str">
        <f>"D" &amp; F21 &amp; "Y"</f>
        <v>D3Y</v>
      </c>
      <c r="P409" s="215"/>
      <c r="Q409" s="172"/>
      <c r="R409" s="172"/>
      <c r="S409" s="172"/>
      <c r="T409" s="172"/>
      <c r="U409" s="173"/>
    </row>
    <row r="410" spans="1:21" ht="16.95" customHeight="1" x14ac:dyDescent="0.3">
      <c r="B410" s="99" t="s">
        <v>273</v>
      </c>
      <c r="C410" s="178" t="str">
        <f>IF(B407&gt;0.001,"BARRA A TRACCIÓN (+)",IF(B407&lt;-0.001,"BARRA A COMPRESIÓN (-)","BARRA DE FUERZA NULA"))</f>
        <v>BARRA A TRACCIÓN (+)</v>
      </c>
      <c r="D410" s="172"/>
      <c r="E410" s="172"/>
      <c r="F410" s="173"/>
      <c r="P410" s="215"/>
      <c r="Q410" s="172"/>
      <c r="R410" s="172"/>
      <c r="S410" s="172"/>
      <c r="T410" s="172"/>
      <c r="U410" s="173"/>
    </row>
    <row r="411" spans="1:21" ht="16.95" customHeight="1" x14ac:dyDescent="0.3">
      <c r="P411" s="215"/>
      <c r="Q411" s="172"/>
      <c r="R411" s="172"/>
      <c r="S411" s="172"/>
      <c r="T411" s="172"/>
      <c r="U411" s="173"/>
    </row>
    <row r="412" spans="1:21" ht="16.95" customHeight="1" x14ac:dyDescent="0.3">
      <c r="A412" s="19" t="s">
        <v>278</v>
      </c>
      <c r="C412" s="19" t="s">
        <v>279</v>
      </c>
      <c r="D412" s="19" t="s">
        <v>280</v>
      </c>
      <c r="E412" s="19" t="s">
        <v>279</v>
      </c>
      <c r="F412" s="19" t="s">
        <v>280</v>
      </c>
      <c r="G412" s="19" t="s">
        <v>249</v>
      </c>
      <c r="P412" s="215"/>
      <c r="Q412" s="172"/>
      <c r="R412" s="172"/>
      <c r="S412" s="172"/>
      <c r="T412" s="172"/>
      <c r="U412" s="173"/>
    </row>
    <row r="413" spans="1:21" ht="16.95" customHeight="1" x14ac:dyDescent="0.3">
      <c r="C413" s="19" t="s">
        <v>282</v>
      </c>
      <c r="D413" s="19" t="s">
        <v>282</v>
      </c>
      <c r="E413" s="19" t="s">
        <v>283</v>
      </c>
      <c r="F413" s="19" t="s">
        <v>283</v>
      </c>
      <c r="P413" s="215"/>
      <c r="Q413" s="172"/>
      <c r="R413" s="172"/>
      <c r="S413" s="172"/>
      <c r="T413" s="172"/>
      <c r="U413" s="173"/>
    </row>
    <row r="414" spans="1:21" ht="16.95" customHeight="1" x14ac:dyDescent="0.3">
      <c r="A414" s="17">
        <f>N8</f>
        <v>56000</v>
      </c>
      <c r="C414" s="92">
        <f>-J8</f>
        <v>-1</v>
      </c>
      <c r="D414" s="92">
        <f>-K8</f>
        <v>0</v>
      </c>
      <c r="E414" s="92">
        <f>J8</f>
        <v>1</v>
      </c>
      <c r="F414" s="92">
        <f>K8</f>
        <v>0</v>
      </c>
      <c r="G414" s="96">
        <f>IFERROR(VLOOKUP(H414, A$380:D$391, 4, FALSE), 0)</f>
        <v>0.25085429135312176</v>
      </c>
      <c r="H414" s="12" t="str">
        <f>"D" &amp; C22 &amp; "X"</f>
        <v>D4X</v>
      </c>
      <c r="P414" s="215"/>
      <c r="Q414" s="172"/>
      <c r="R414" s="172"/>
      <c r="S414" s="172"/>
      <c r="T414" s="172"/>
      <c r="U414" s="173"/>
    </row>
    <row r="415" spans="1:21" ht="16.95" customHeight="1" x14ac:dyDescent="0.3">
      <c r="A415" s="99" t="s">
        <v>287</v>
      </c>
      <c r="B415" s="97">
        <f>(MMULT(C414:F414, G414:G417)*A414)</f>
        <v>-6729.7004210449913</v>
      </c>
      <c r="G415" s="96">
        <f>IFERROR(VLOOKUP(H415, A$380:D$391, 4, FALSE), 0)</f>
        <v>-3.3569050960674529E-2</v>
      </c>
      <c r="H415" s="12" t="str">
        <f>"D" &amp; D22 &amp; "Y"</f>
        <v>D4Y</v>
      </c>
      <c r="P415" s="215"/>
      <c r="Q415" s="172"/>
      <c r="R415" s="172"/>
      <c r="S415" s="172"/>
      <c r="T415" s="172"/>
      <c r="U415" s="173"/>
    </row>
    <row r="416" spans="1:21" ht="16.95" customHeight="1" x14ac:dyDescent="0.3">
      <c r="G416" s="96">
        <f>IFERROR(VLOOKUP(H416, A$380:D$391, 4, FALSE), 0)</f>
        <v>0.13068106954874692</v>
      </c>
      <c r="H416" s="12" t="str">
        <f>"D" &amp; E22 &amp; "X"</f>
        <v>D5X</v>
      </c>
      <c r="P416" s="215"/>
      <c r="Q416" s="172"/>
      <c r="R416" s="172"/>
      <c r="S416" s="172"/>
      <c r="T416" s="172"/>
      <c r="U416" s="173"/>
    </row>
    <row r="417" spans="1:21" ht="16.95" customHeight="1" x14ac:dyDescent="0.3">
      <c r="G417" s="96">
        <f>IFERROR(VLOOKUP(H417, A$380:D$391, 4, FALSE), 0)</f>
        <v>-0.39459124044979677</v>
      </c>
      <c r="H417" s="12" t="str">
        <f>"D" &amp; F22 &amp; "Y"</f>
        <v>D5Y</v>
      </c>
      <c r="P417" s="215"/>
      <c r="Q417" s="172"/>
      <c r="R417" s="172"/>
      <c r="S417" s="172"/>
      <c r="T417" s="172"/>
      <c r="U417" s="173"/>
    </row>
    <row r="418" spans="1:21" ht="16.95" customHeight="1" x14ac:dyDescent="0.3">
      <c r="B418" s="99" t="s">
        <v>273</v>
      </c>
      <c r="C418" s="178" t="str">
        <f>IF(B415&gt;0.001,"BARRA A TRACCIÓN (+)",IF(B415&lt;-0.001,"BARRA A COMPRESIÓN (-)","BARRA DE FUERZA NULA"))</f>
        <v>BARRA A COMPRESIÓN (-)</v>
      </c>
      <c r="D418" s="172"/>
      <c r="E418" s="172"/>
      <c r="F418" s="173"/>
      <c r="P418" s="215"/>
      <c r="Q418" s="172"/>
      <c r="R418" s="172"/>
      <c r="S418" s="172"/>
      <c r="T418" s="172"/>
      <c r="U418" s="173"/>
    </row>
    <row r="419" spans="1:21" ht="16.95" customHeight="1" x14ac:dyDescent="0.3">
      <c r="P419" s="215"/>
      <c r="Q419" s="172"/>
      <c r="R419" s="172"/>
      <c r="S419" s="172"/>
      <c r="T419" s="172"/>
      <c r="U419" s="173"/>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56000</v>
      </c>
      <c r="C422" s="92">
        <f>-J9</f>
        <v>-1</v>
      </c>
      <c r="D422" s="92">
        <f>-K9</f>
        <v>0</v>
      </c>
      <c r="E422" s="92">
        <f>J9</f>
        <v>1</v>
      </c>
      <c r="F422" s="92">
        <f>K9</f>
        <v>0</v>
      </c>
      <c r="G422" s="96">
        <f>IFERROR(VLOOKUP(H422, A$380:D$391, 4, FALSE), 0)</f>
        <v>0.13068106954874692</v>
      </c>
      <c r="H422" s="12" t="str">
        <f>"D" &amp; C23 &amp; "X"</f>
        <v>D5X</v>
      </c>
    </row>
    <row r="423" spans="1:21" ht="19.95" customHeight="1" x14ac:dyDescent="0.3">
      <c r="A423" s="99" t="s">
        <v>288</v>
      </c>
      <c r="B423" s="97">
        <f>(MMULT(C422:F422, G422:G425)*A422)</f>
        <v>-5415.4926274324062</v>
      </c>
      <c r="G423" s="96">
        <f>IFERROR(VLOOKUP(H423, A$380:D$391, 4, FALSE), 0)</f>
        <v>-0.39459124044979677</v>
      </c>
      <c r="H423" s="12" t="str">
        <f>"D" &amp; D23 &amp; "Y"</f>
        <v>D5Y</v>
      </c>
    </row>
    <row r="424" spans="1:21" ht="19.95" customHeight="1" x14ac:dyDescent="0.3">
      <c r="G424" s="96">
        <f>IFERROR(VLOOKUP(H424, A$380:D$391, 4, FALSE), 0)</f>
        <v>3.3975844058882529E-2</v>
      </c>
      <c r="H424" s="12" t="str">
        <f>"D" &amp; E23 &amp; "X"</f>
        <v>D6X</v>
      </c>
    </row>
    <row r="425" spans="1:21" ht="19.95" customHeight="1" x14ac:dyDescent="0.3">
      <c r="G425" s="96">
        <f>IFERROR(VLOOKUP(H425, A$380:D$391, 4, FALSE), 0)</f>
        <v>-4.298010021771749E-2</v>
      </c>
      <c r="H425" s="12" t="str">
        <f>"D" &amp; F23 &amp; "Y"</f>
        <v>D6Y</v>
      </c>
    </row>
    <row r="426" spans="1:21" ht="19.95" customHeight="1" x14ac:dyDescent="0.3">
      <c r="B426" s="99" t="s">
        <v>273</v>
      </c>
      <c r="C426" s="178" t="str">
        <f>IF(B423&gt;0.001,"BARRA A TRACCIÓN (+)",IF(B423&lt;-0.001,"BARRA A COMPRESIÓN (-)","BARRA DE FUERZA NULA"))</f>
        <v>BARRA A COMPRESIÓN (-)</v>
      </c>
      <c r="D426" s="172"/>
      <c r="E426" s="172"/>
      <c r="F426" s="173"/>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84000</v>
      </c>
      <c r="C430" s="92">
        <f>-J10</f>
        <v>0</v>
      </c>
      <c r="D430" s="92">
        <f>-K10</f>
        <v>-1</v>
      </c>
      <c r="E430" s="92">
        <f>J10</f>
        <v>0</v>
      </c>
      <c r="F430" s="92">
        <f>K10</f>
        <v>1</v>
      </c>
      <c r="G430" s="96">
        <f>IFERROR(VLOOKUP(H430, A$380:D$391, 4, FALSE), 0)</f>
        <v>0</v>
      </c>
      <c r="H430" s="12" t="str">
        <f>"D" &amp; C24 &amp; "X"</f>
        <v>D1X</v>
      </c>
    </row>
    <row r="431" spans="1:21" ht="19.95" customHeight="1" x14ac:dyDescent="0.3">
      <c r="A431" s="99" t="s">
        <v>289</v>
      </c>
      <c r="B431" s="97">
        <f>(MMULT(C430:F430, G430:G433)*A430)</f>
        <v>-2819.8002806966606</v>
      </c>
      <c r="G431" s="96">
        <f>IFERROR(VLOOKUP(H431, A$380:D$391, 4, FALSE), 0)</f>
        <v>0</v>
      </c>
      <c r="H431" s="12" t="str">
        <f>"D" &amp; D24 &amp; "Y"</f>
        <v>D1Y</v>
      </c>
    </row>
    <row r="432" spans="1:21" ht="19.95" customHeight="1" x14ac:dyDescent="0.3">
      <c r="G432" s="96">
        <f>IFERROR(VLOOKUP(H432, A$380:D$391, 4, FALSE), 0)</f>
        <v>0.25085429135312176</v>
      </c>
      <c r="H432" s="12" t="str">
        <f>"D" &amp; E24 &amp; "X"</f>
        <v>D4X</v>
      </c>
    </row>
    <row r="433" spans="1:8" ht="19.95" customHeight="1" x14ac:dyDescent="0.3">
      <c r="G433" s="96">
        <f>IFERROR(VLOOKUP(H433, A$380:D$391, 4, FALSE), 0)</f>
        <v>-3.3569050960674529E-2</v>
      </c>
      <c r="H433" s="12" t="str">
        <f>"D" &amp; F24 &amp; "Y"</f>
        <v>D4Y</v>
      </c>
    </row>
    <row r="434" spans="1:8" ht="19.95" customHeight="1" x14ac:dyDescent="0.3">
      <c r="B434" s="99" t="s">
        <v>273</v>
      </c>
      <c r="C434" s="178" t="str">
        <f>IF(B431&gt;0.001,"BARRA A TRACCIÓN (+)",IF(B431&lt;-0.001,"BARRA A COMPRESIÓN (-)","BARRA DE FUERZA NULA"))</f>
        <v>BARRA A COMPRESIÓN (-)</v>
      </c>
      <c r="D434" s="172"/>
      <c r="E434" s="172"/>
      <c r="F434" s="173"/>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0.12089820676705393</v>
      </c>
      <c r="H438" s="12" t="str">
        <f>"D" &amp; C25 &amp; "X"</f>
        <v>D2X</v>
      </c>
    </row>
    <row r="439" spans="1:8" ht="19.95" customHeight="1" x14ac:dyDescent="0.3">
      <c r="A439" s="99" t="s">
        <v>290</v>
      </c>
      <c r="B439" s="97">
        <f>(MMULT(C438:F438, G438:G441)*A438)</f>
        <v>2569.8713010150768</v>
      </c>
      <c r="G439" s="96">
        <f>IFERROR(VLOOKUP(H439, A$380:D$391, 4, FALSE), 0)</f>
        <v>-0.42518494641426197</v>
      </c>
      <c r="H439" s="12" t="str">
        <f>"D" &amp; D25 &amp; "Y"</f>
        <v>D2Y</v>
      </c>
    </row>
    <row r="440" spans="1:8" ht="19.95" customHeight="1" x14ac:dyDescent="0.3">
      <c r="G440" s="96">
        <f>IFERROR(VLOOKUP(H440, A$380:D$391, 4, FALSE), 0)</f>
        <v>0.13068106954874692</v>
      </c>
      <c r="H440" s="12" t="str">
        <f>"D" &amp; E25 &amp; "X"</f>
        <v>D5X</v>
      </c>
    </row>
    <row r="441" spans="1:8" ht="19.95" customHeight="1" x14ac:dyDescent="0.3">
      <c r="G441" s="96">
        <f>IFERROR(VLOOKUP(H441, A$380:D$391, 4, FALSE), 0)</f>
        <v>-0.39459124044979677</v>
      </c>
      <c r="H441" s="12" t="str">
        <f>"D" &amp; F25 &amp; "Y"</f>
        <v>D5Y</v>
      </c>
    </row>
    <row r="442" spans="1:8" ht="19.95" customHeight="1" x14ac:dyDescent="0.3">
      <c r="B442" s="99" t="s">
        <v>273</v>
      </c>
      <c r="C442" s="178" t="str">
        <f>IF(B439&gt;0.001,"BARRA A TRACCIÓN (+)",IF(B439&lt;-0.001,"BARRA A COMPRESIÓN (-)","BARRA DE FUERZA NULA"))</f>
        <v>BARRA A TRACCIÓN (+)</v>
      </c>
      <c r="D442" s="172"/>
      <c r="E442" s="172"/>
      <c r="F442" s="173"/>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84000</v>
      </c>
      <c r="C446" s="92">
        <f>-J12</f>
        <v>0</v>
      </c>
      <c r="D446" s="92">
        <f>-K12</f>
        <v>-1</v>
      </c>
      <c r="E446" s="92">
        <f>J12</f>
        <v>0</v>
      </c>
      <c r="F446" s="92">
        <f>K12</f>
        <v>1</v>
      </c>
      <c r="G446" s="96">
        <f>IFERROR(VLOOKUP(H446, A$380:D$391, 4, FALSE), 0)</f>
        <v>0.2206215527057612</v>
      </c>
      <c r="H446" s="12" t="str">
        <f>"D" &amp; C26 &amp; "X"</f>
        <v>D3X</v>
      </c>
    </row>
    <row r="447" spans="1:8" ht="19.95" customHeight="1" x14ac:dyDescent="0.3">
      <c r="A447" s="99" t="s">
        <v>291</v>
      </c>
      <c r="B447" s="97">
        <f>(MMULT(C446:F446, G446:G449)*A446)</f>
        <v>-3610.3284182882689</v>
      </c>
      <c r="G447" s="96">
        <f>IFERROR(VLOOKUP(H447, A$380:D$391, 4, FALSE), 0)</f>
        <v>0</v>
      </c>
      <c r="H447" s="12" t="str">
        <f>"D" &amp; D26 &amp; "Y"</f>
        <v>D3Y</v>
      </c>
    </row>
    <row r="448" spans="1:8" ht="19.95" customHeight="1" x14ac:dyDescent="0.3">
      <c r="G448" s="96">
        <f>IFERROR(VLOOKUP(H448, A$380:D$391, 4, FALSE), 0)</f>
        <v>3.3975844058882529E-2</v>
      </c>
      <c r="H448" s="12" t="str">
        <f>"D" &amp; E26 &amp; "X"</f>
        <v>D6X</v>
      </c>
    </row>
    <row r="449" spans="1:8" ht="19.95" customHeight="1" x14ac:dyDescent="0.3">
      <c r="G449" s="96">
        <f>IFERROR(VLOOKUP(H449, A$380:D$391, 4, FALSE), 0)</f>
        <v>-4.298010021771749E-2</v>
      </c>
      <c r="H449" s="12" t="str">
        <f>"D" &amp; F26 &amp; "Y"</f>
        <v>D6Y</v>
      </c>
    </row>
    <row r="450" spans="1:8" ht="19.95" customHeight="1" x14ac:dyDescent="0.3">
      <c r="B450" s="99" t="s">
        <v>273</v>
      </c>
      <c r="C450" s="178" t="str">
        <f>IF(B447&gt;0.001,"BARRA A TRACCIÓN (+)",IF(B447&lt;-0.001,"BARRA A COMPRESIÓN (-)","BARRA DE FUERZA NULA"))</f>
        <v>BARRA A COMPRESIÓN (-)</v>
      </c>
      <c r="D450" s="172"/>
      <c r="E450" s="172"/>
      <c r="F450" s="173"/>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46594.816482919239</v>
      </c>
      <c r="C454" s="92">
        <f>-J13</f>
        <v>-0.83205029433784361</v>
      </c>
      <c r="D454" s="92">
        <f>-K13</f>
        <v>-0.55470019622522904</v>
      </c>
      <c r="E454" s="92">
        <f>J13</f>
        <v>0.83205029433784361</v>
      </c>
      <c r="F454" s="92">
        <f>K13</f>
        <v>0.55470019622522904</v>
      </c>
      <c r="G454" s="96">
        <f>IFERROR(VLOOKUP(H454, A$380:D$391, 4, FALSE), 0)</f>
        <v>0</v>
      </c>
      <c r="H454" s="12" t="str">
        <f>"D" &amp; C27 &amp; "X"</f>
        <v>D1X</v>
      </c>
    </row>
    <row r="455" spans="1:8" ht="19.95" customHeight="1" x14ac:dyDescent="0.3">
      <c r="A455" s="99" t="s">
        <v>292</v>
      </c>
      <c r="B455" s="97">
        <f>(MMULT(C454:F454, G454:G457)*A454)</f>
        <v>-5132.261364504865</v>
      </c>
      <c r="G455" s="96">
        <f>IFERROR(VLOOKUP(H455, A$380:D$391, 4, FALSE), 0)</f>
        <v>0</v>
      </c>
      <c r="H455" s="12" t="str">
        <f>"D" &amp; D27 &amp; "Y"</f>
        <v>D1Y</v>
      </c>
    </row>
    <row r="456" spans="1:8" ht="19.95" customHeight="1" x14ac:dyDescent="0.3">
      <c r="G456" s="96">
        <f>IFERROR(VLOOKUP(H456, A$380:D$391, 4, FALSE), 0)</f>
        <v>0.13068106954874692</v>
      </c>
      <c r="H456" s="12" t="str">
        <f>"D" &amp; E27 &amp; "X"</f>
        <v>D5X</v>
      </c>
    </row>
    <row r="457" spans="1:8" ht="19.95" customHeight="1" x14ac:dyDescent="0.3">
      <c r="G457" s="96">
        <f>IFERROR(VLOOKUP(H457, A$380:D$391, 4, FALSE), 0)</f>
        <v>-0.39459124044979677</v>
      </c>
      <c r="H457" s="12" t="str">
        <f>"D" &amp; F27 &amp; "Y"</f>
        <v>D5Y</v>
      </c>
    </row>
    <row r="458" spans="1:8" ht="19.95" customHeight="1" x14ac:dyDescent="0.3">
      <c r="B458" s="99" t="s">
        <v>273</v>
      </c>
      <c r="C458" s="178" t="str">
        <f>IF(B455&gt;0.001,"BARRA A TRACCIÓN (+)",IF(B455&lt;-0.001,"BARRA A COMPRESIÓN (-)","BARRA DE FUERZA NULA"))</f>
        <v>BARRA A COMPRESIÓN (-)</v>
      </c>
      <c r="D458" s="172"/>
      <c r="E458" s="172"/>
      <c r="F458" s="173"/>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46594.816482919239</v>
      </c>
      <c r="C462" s="92">
        <f>-J14</f>
        <v>-0.83205029433784361</v>
      </c>
      <c r="D462" s="92">
        <f>-K14</f>
        <v>0.55470019622522904</v>
      </c>
      <c r="E462" s="92">
        <f>J14</f>
        <v>0.83205029433784361</v>
      </c>
      <c r="F462" s="92">
        <f>K14</f>
        <v>-0.55470019622522904</v>
      </c>
      <c r="G462" s="96">
        <f>IFERROR(VLOOKUP(H462, A$380:D$391, 4, FALSE), 0)</f>
        <v>0.25085429135312176</v>
      </c>
      <c r="H462" s="12" t="str">
        <f>"D" &amp; C28 &amp; "X"</f>
        <v>D4X</v>
      </c>
    </row>
    <row r="463" spans="1:8" ht="19.95" customHeight="1" x14ac:dyDescent="0.3">
      <c r="A463" s="99" t="s">
        <v>530</v>
      </c>
      <c r="B463" s="97">
        <f>(MMULT(C462:F462, G462:G465)*A462)</f>
        <v>5083.4672493097814</v>
      </c>
      <c r="G463" s="96">
        <f>IFERROR(VLOOKUP(H463, A$380:D$391, 4, FALSE), 0)</f>
        <v>-3.3569050960674529E-2</v>
      </c>
      <c r="H463" s="12" t="str">
        <f>"D" &amp; D28 &amp; "Y"</f>
        <v>D4Y</v>
      </c>
    </row>
    <row r="464" spans="1:8" ht="19.95" customHeight="1" x14ac:dyDescent="0.3">
      <c r="G464" s="96">
        <f>IFERROR(VLOOKUP(H464, A$380:D$391, 4, FALSE), 0)</f>
        <v>0.12089820676705393</v>
      </c>
      <c r="H464" s="12" t="str">
        <f>"D" &amp; E28 &amp; "X"</f>
        <v>D2X</v>
      </c>
    </row>
    <row r="465" spans="1:8" ht="19.95" customHeight="1" x14ac:dyDescent="0.3">
      <c r="G465" s="96">
        <f>IFERROR(VLOOKUP(H465, A$380:D$391, 4, FALSE), 0)</f>
        <v>-0.42518494641426197</v>
      </c>
      <c r="H465" s="12" t="str">
        <f>"D" &amp; F28 &amp; "Y"</f>
        <v>D2Y</v>
      </c>
    </row>
    <row r="466" spans="1:8" ht="19.95" customHeight="1" x14ac:dyDescent="0.3">
      <c r="B466" s="99" t="s">
        <v>273</v>
      </c>
      <c r="C466" s="178" t="str">
        <f>IF(B463&gt;0.001,"BARRA A TRACCIÓN (+)",IF(B463&lt;-0.001,"BARRA A COMPRESIÓN (-)","BARRA DE FUERZA NULA"))</f>
        <v>BARRA A TRACCIÓN (+)</v>
      </c>
      <c r="D466" s="172"/>
      <c r="E466" s="172"/>
      <c r="F466" s="173"/>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46594.816482919239</v>
      </c>
      <c r="C470" s="92">
        <f>-J15</f>
        <v>-0.83205029433784361</v>
      </c>
      <c r="D470" s="92">
        <f>-K15</f>
        <v>-0.55470019622522904</v>
      </c>
      <c r="E470" s="92">
        <f>J15</f>
        <v>0.83205029433784361</v>
      </c>
      <c r="F470" s="92">
        <f>K15</f>
        <v>0.55470019622522904</v>
      </c>
      <c r="G470" s="96">
        <f>IFERROR(VLOOKUP(H470, A$380:D$391, 4, FALSE), 0)</f>
        <v>0.12089820676705393</v>
      </c>
      <c r="H470" s="12" t="str">
        <f>"D" &amp; C29 &amp; "X"</f>
        <v>D2X</v>
      </c>
    </row>
    <row r="471" spans="1:8" ht="19.95" customHeight="1" x14ac:dyDescent="0.3">
      <c r="A471" s="99" t="s">
        <v>589</v>
      </c>
      <c r="B471" s="97">
        <f>(MMULT(C470:F470, G470:G473)*A470)</f>
        <v>6508.612116701579</v>
      </c>
      <c r="G471" s="96">
        <f>IFERROR(VLOOKUP(H471, A$380:D$391, 4, FALSE), 0)</f>
        <v>-0.42518494641426197</v>
      </c>
      <c r="H471" s="12" t="str">
        <f>"D" &amp; D29 &amp; "Y"</f>
        <v>D2Y</v>
      </c>
    </row>
    <row r="472" spans="1:8" ht="19.95" customHeight="1" x14ac:dyDescent="0.3">
      <c r="G472" s="96">
        <f>IFERROR(VLOOKUP(H472, A$380:D$391, 4, FALSE), 0)</f>
        <v>3.3975844058882529E-2</v>
      </c>
      <c r="H472" s="12" t="str">
        <f>"D" &amp; E29 &amp; "X"</f>
        <v>D6X</v>
      </c>
    </row>
    <row r="473" spans="1:8" ht="19.95" customHeight="1" x14ac:dyDescent="0.3">
      <c r="G473" s="96">
        <f>IFERROR(VLOOKUP(H473, A$380:D$391, 4, FALSE), 0)</f>
        <v>-4.298010021771749E-2</v>
      </c>
      <c r="H473" s="12" t="str">
        <f>"D" &amp; F29 &amp; "Y"</f>
        <v>D6Y</v>
      </c>
    </row>
    <row r="474" spans="1:8" ht="19.95" customHeight="1" x14ac:dyDescent="0.3">
      <c r="B474" s="99" t="s">
        <v>273</v>
      </c>
      <c r="C474" s="178" t="str">
        <f>IF(B471&gt;0.001,"BARRA A TRACCIÓN (+)",IF(B471&lt;-0.001,"BARRA A COMPRESIÓN (-)","BARRA DE FUERZA NULA"))</f>
        <v>BARRA A TRACCIÓN (+)</v>
      </c>
      <c r="D474" s="172"/>
      <c r="E474" s="172"/>
      <c r="F474" s="173"/>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46594.816482919239</v>
      </c>
      <c r="C478" s="92">
        <f>-J16</f>
        <v>-0.83205029433784361</v>
      </c>
      <c r="D478" s="92">
        <f>-K16</f>
        <v>0.55470019622522904</v>
      </c>
      <c r="E478" s="92">
        <f>J16</f>
        <v>0.83205029433784361</v>
      </c>
      <c r="F478" s="92">
        <f>K16</f>
        <v>-0.55470019622522904</v>
      </c>
      <c r="G478" s="96">
        <f>IFERROR(VLOOKUP(H478, A$380:D$391, 4, FALSE), 0)</f>
        <v>0.13068106954874692</v>
      </c>
      <c r="H478" s="12" t="str">
        <f>"D" &amp; C30 &amp; "X"</f>
        <v>D5X</v>
      </c>
    </row>
    <row r="479" spans="1:8" ht="19.95" customHeight="1" x14ac:dyDescent="0.3">
      <c r="A479" s="99" t="s">
        <v>590</v>
      </c>
      <c r="B479" s="97">
        <f>(MMULT(C478:F478, G478:G481)*A478)</f>
        <v>-6711.7425599997314</v>
      </c>
      <c r="G479" s="96">
        <f>IFERROR(VLOOKUP(H479, A$380:D$391, 4, FALSE), 0)</f>
        <v>-0.39459124044979677</v>
      </c>
      <c r="H479" s="12" t="str">
        <f>"D" &amp; D30 &amp; "Y"</f>
        <v>D5Y</v>
      </c>
    </row>
    <row r="480" spans="1:8" ht="19.95" customHeight="1" x14ac:dyDescent="0.3">
      <c r="G480" s="96">
        <f>IFERROR(VLOOKUP(H480, A$380:D$391, 4, FALSE), 0)</f>
        <v>0.2206215527057612</v>
      </c>
      <c r="H480" s="12" t="str">
        <f>"D" &amp; E30 &amp; "X"</f>
        <v>D3X</v>
      </c>
    </row>
    <row r="481" spans="2:8" ht="19.95" customHeight="1" x14ac:dyDescent="0.3">
      <c r="G481" s="96">
        <f>IFERROR(VLOOKUP(H481, A$380:D$391, 4, FALSE), 0)</f>
        <v>0</v>
      </c>
      <c r="H481" s="12" t="str">
        <f>"D" &amp; F30 &amp; "Y"</f>
        <v>D3Y</v>
      </c>
    </row>
    <row r="482" spans="2:8" ht="19.95" customHeight="1" x14ac:dyDescent="0.3">
      <c r="B482" s="99" t="s">
        <v>273</v>
      </c>
      <c r="C482" s="178" t="str">
        <f>IF(B479&gt;0.001,"BARRA A TRACCIÓN (+)",IF(B479&lt;-0.001,"BARRA A COMPRESIÓN (-)","BARRA DE FUERZA NULA"))</f>
        <v>BARRA A COMPRESIÓN (-)</v>
      </c>
      <c r="D482" s="172"/>
      <c r="E482" s="172"/>
      <c r="F482" s="173"/>
    </row>
    <row r="485" spans="2:8" ht="22.05" customHeight="1" x14ac:dyDescent="0.3">
      <c r="B485" s="217" t="s">
        <v>404</v>
      </c>
      <c r="C485" s="175"/>
      <c r="D485" s="175"/>
      <c r="E485" s="175"/>
      <c r="F485" s="175"/>
      <c r="G485" s="175"/>
      <c r="H485" s="175"/>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450</v>
      </c>
      <c r="F487" s="9">
        <f t="shared" ref="F487:F497" si="54">L6</f>
        <v>12</v>
      </c>
      <c r="G487" s="97">
        <f>B399</f>
        <v>6770.2995789550196</v>
      </c>
      <c r="H487" s="84" t="str">
        <f>C402</f>
        <v>BARRA A TRACCIÓN (+)</v>
      </c>
    </row>
    <row r="488" spans="2:8" ht="19.95" customHeight="1" x14ac:dyDescent="0.3">
      <c r="B488" s="25">
        <v>2</v>
      </c>
      <c r="C488" s="86">
        <f t="shared" si="51"/>
        <v>2</v>
      </c>
      <c r="D488" s="86">
        <f t="shared" si="52"/>
        <v>3</v>
      </c>
      <c r="E488" s="9">
        <f t="shared" si="53"/>
        <v>450</v>
      </c>
      <c r="F488" s="9">
        <f t="shared" si="54"/>
        <v>12</v>
      </c>
      <c r="G488" s="97">
        <f>B407</f>
        <v>5584.5073725676075</v>
      </c>
      <c r="H488" s="84" t="str">
        <f>C410</f>
        <v>BARRA A TRACCIÓN (+)</v>
      </c>
    </row>
    <row r="489" spans="2:8" ht="19.95" customHeight="1" x14ac:dyDescent="0.3">
      <c r="B489" s="26">
        <v>3</v>
      </c>
      <c r="C489" s="86">
        <f t="shared" si="51"/>
        <v>4</v>
      </c>
      <c r="D489" s="86">
        <f t="shared" si="52"/>
        <v>5</v>
      </c>
      <c r="E489" s="9">
        <f t="shared" si="53"/>
        <v>450</v>
      </c>
      <c r="F489" s="9">
        <f t="shared" si="54"/>
        <v>12</v>
      </c>
      <c r="G489" s="97">
        <f>B415</f>
        <v>-6729.7004210449913</v>
      </c>
      <c r="H489" s="84" t="str">
        <f>C418</f>
        <v>BARRA A COMPRESIÓN (-)</v>
      </c>
    </row>
    <row r="490" spans="2:8" ht="19.95" customHeight="1" x14ac:dyDescent="0.3">
      <c r="B490" s="43">
        <v>4</v>
      </c>
      <c r="C490" s="86">
        <f t="shared" si="51"/>
        <v>5</v>
      </c>
      <c r="D490" s="86">
        <f t="shared" si="52"/>
        <v>6</v>
      </c>
      <c r="E490" s="9">
        <f t="shared" si="53"/>
        <v>450</v>
      </c>
      <c r="F490" s="9">
        <f t="shared" si="54"/>
        <v>12</v>
      </c>
      <c r="G490" s="97">
        <f>B423</f>
        <v>-5415.4926274324062</v>
      </c>
      <c r="H490" s="84" t="str">
        <f>C426</f>
        <v>BARRA A COMPRESIÓN (-)</v>
      </c>
    </row>
    <row r="491" spans="2:8" ht="19.95" customHeight="1" x14ac:dyDescent="0.3">
      <c r="B491" s="44">
        <v>5</v>
      </c>
      <c r="C491" s="86">
        <f t="shared" si="51"/>
        <v>1</v>
      </c>
      <c r="D491" s="86">
        <f t="shared" si="52"/>
        <v>4</v>
      </c>
      <c r="E491" s="9">
        <f t="shared" si="53"/>
        <v>300</v>
      </c>
      <c r="F491" s="9">
        <f t="shared" si="54"/>
        <v>12</v>
      </c>
      <c r="G491" s="97">
        <f>B431</f>
        <v>-2819.8002806966606</v>
      </c>
      <c r="H491" s="84" t="str">
        <f>C434</f>
        <v>BARRA A COMPRESIÓN (-)</v>
      </c>
    </row>
    <row r="492" spans="2:8" ht="19.95" customHeight="1" x14ac:dyDescent="0.3">
      <c r="B492" s="51">
        <v>6</v>
      </c>
      <c r="C492" s="86">
        <f t="shared" si="51"/>
        <v>2</v>
      </c>
      <c r="D492" s="86">
        <f t="shared" si="52"/>
        <v>5</v>
      </c>
      <c r="E492" s="9">
        <f t="shared" si="53"/>
        <v>300</v>
      </c>
      <c r="F492" s="9">
        <f t="shared" si="54"/>
        <v>12</v>
      </c>
      <c r="G492" s="97">
        <f>B439</f>
        <v>2569.8713010150768</v>
      </c>
      <c r="H492" s="84" t="str">
        <f>C442</f>
        <v>BARRA A TRACCIÓN (+)</v>
      </c>
    </row>
    <row r="493" spans="2:8" ht="19.95" customHeight="1" x14ac:dyDescent="0.3">
      <c r="B493" s="52">
        <v>7</v>
      </c>
      <c r="C493" s="86">
        <f t="shared" si="51"/>
        <v>3</v>
      </c>
      <c r="D493" s="86">
        <f t="shared" si="52"/>
        <v>6</v>
      </c>
      <c r="E493" s="9">
        <f t="shared" si="53"/>
        <v>300</v>
      </c>
      <c r="F493" s="9">
        <f t="shared" si="54"/>
        <v>12</v>
      </c>
      <c r="G493" s="97">
        <f>B447</f>
        <v>-3610.3284182882689</v>
      </c>
      <c r="H493" s="84" t="str">
        <f>C450</f>
        <v>BARRA A COMPRESIÓN (-)</v>
      </c>
    </row>
    <row r="494" spans="2:8" ht="19.95" customHeight="1" x14ac:dyDescent="0.3">
      <c r="B494" s="59">
        <v>8</v>
      </c>
      <c r="C494" s="86">
        <f t="shared" si="51"/>
        <v>1</v>
      </c>
      <c r="D494" s="86">
        <f t="shared" si="52"/>
        <v>5</v>
      </c>
      <c r="E494" s="9">
        <f t="shared" si="53"/>
        <v>540.83269131959844</v>
      </c>
      <c r="F494" s="9">
        <f t="shared" si="54"/>
        <v>12</v>
      </c>
      <c r="G494" s="97">
        <f>B455</f>
        <v>-5132.261364504865</v>
      </c>
      <c r="H494" s="84" t="str">
        <f>C458</f>
        <v>BARRA A COMPRESIÓN (-)</v>
      </c>
    </row>
    <row r="495" spans="2:8" ht="19.95" customHeight="1" x14ac:dyDescent="0.3">
      <c r="B495" s="60">
        <v>9</v>
      </c>
      <c r="C495" s="86">
        <f t="shared" si="51"/>
        <v>4</v>
      </c>
      <c r="D495" s="86">
        <f t="shared" si="52"/>
        <v>2</v>
      </c>
      <c r="E495" s="9">
        <f t="shared" si="53"/>
        <v>540.83269131959844</v>
      </c>
      <c r="F495" s="9">
        <f t="shared" si="54"/>
        <v>12</v>
      </c>
      <c r="G495" s="97">
        <f>B463</f>
        <v>5083.4672493097814</v>
      </c>
      <c r="H495" s="84" t="str">
        <f>C466</f>
        <v>BARRA A TRACCIÓN (+)</v>
      </c>
    </row>
    <row r="496" spans="2:8" ht="19.95" customHeight="1" x14ac:dyDescent="0.3">
      <c r="B496" s="67">
        <v>10</v>
      </c>
      <c r="C496" s="86">
        <f t="shared" si="51"/>
        <v>2</v>
      </c>
      <c r="D496" s="86">
        <f t="shared" si="52"/>
        <v>6</v>
      </c>
      <c r="E496" s="9">
        <f t="shared" si="53"/>
        <v>540.83269131959844</v>
      </c>
      <c r="F496" s="9">
        <f t="shared" si="54"/>
        <v>12</v>
      </c>
      <c r="G496" s="97">
        <f>B471</f>
        <v>6508.612116701579</v>
      </c>
      <c r="H496" s="84" t="str">
        <f>C474</f>
        <v>BARRA A TRACCIÓN (+)</v>
      </c>
    </row>
    <row r="497" spans="2:8" ht="19.95" customHeight="1" x14ac:dyDescent="0.3">
      <c r="B497" s="68">
        <v>11</v>
      </c>
      <c r="C497" s="86">
        <f t="shared" si="51"/>
        <v>5</v>
      </c>
      <c r="D497" s="86">
        <f t="shared" si="52"/>
        <v>3</v>
      </c>
      <c r="E497" s="9">
        <f t="shared" si="53"/>
        <v>540.83269131959844</v>
      </c>
      <c r="F497" s="9">
        <f t="shared" si="54"/>
        <v>12</v>
      </c>
      <c r="G497" s="97">
        <f>B479</f>
        <v>-6711.7425599997314</v>
      </c>
      <c r="H497" s="84" t="str">
        <f>C482</f>
        <v>BARRA A COMPRESIÓN (-)</v>
      </c>
    </row>
  </sheetData>
  <mergeCells count="152">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 ref="P342:U342"/>
    <mergeCell ref="P396:U396"/>
    <mergeCell ref="P330:U330"/>
    <mergeCell ref="P364:U364"/>
    <mergeCell ref="P404:U404"/>
    <mergeCell ref="P332:U332"/>
    <mergeCell ref="P331:U331"/>
    <mergeCell ref="P411:U411"/>
    <mergeCell ref="P345:U345"/>
    <mergeCell ref="P288:U288"/>
    <mergeCell ref="P366:U366"/>
    <mergeCell ref="B4:B5"/>
    <mergeCell ref="N4:N5"/>
    <mergeCell ref="P286:U286"/>
    <mergeCell ref="J4:J5"/>
    <mergeCell ref="L4:L5"/>
    <mergeCell ref="B3:D3"/>
    <mergeCell ref="P280:U280"/>
    <mergeCell ref="M4:M5"/>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304:U304"/>
    <mergeCell ref="P417:U417"/>
    <mergeCell ref="C337:K337"/>
    <mergeCell ref="C450:F450"/>
    <mergeCell ref="P348:U348"/>
    <mergeCell ref="P338:U338"/>
    <mergeCell ref="P398:U398"/>
    <mergeCell ref="P373:U373"/>
    <mergeCell ref="P309:U309"/>
    <mergeCell ref="C474:F474"/>
    <mergeCell ref="P395:U395"/>
    <mergeCell ref="C458:F458"/>
    <mergeCell ref="P370:U370"/>
    <mergeCell ref="P279:U279"/>
    <mergeCell ref="P353:U353"/>
    <mergeCell ref="G4:G5"/>
    <mergeCell ref="I4:I5"/>
    <mergeCell ref="P289:U289"/>
    <mergeCell ref="P285:U285"/>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644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HYPERLINK("#'AUTOMATIZADA_49'!A1",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300</v>
      </c>
      <c r="AB5" s="20">
        <f>IF(F28="","",F28)</f>
        <v>400</v>
      </c>
      <c r="AC5" t="s">
        <v>313</v>
      </c>
    </row>
    <row r="6" spans="2:29" ht="24" customHeight="1" x14ac:dyDescent="0.3">
      <c r="B6" s="206">
        <f>COUNT(C14:C23)</f>
        <v>3</v>
      </c>
      <c r="C6" s="173"/>
      <c r="D6" s="206">
        <f>COUNT(C28:C42)</f>
        <v>3</v>
      </c>
      <c r="E6" s="173"/>
      <c r="F6" s="206">
        <f>SUM(F14:G23)</f>
        <v>4</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600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600</v>
      </c>
      <c r="AB8" s="20">
        <f>IF(F29="","",F29)</f>
        <v>0</v>
      </c>
      <c r="AC8" t="s">
        <v>316</v>
      </c>
    </row>
    <row r="9" spans="2:29" x14ac:dyDescent="0.3">
      <c r="AA9" s="20">
        <f>IF(G29="","",G29)</f>
        <v>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300</v>
      </c>
      <c r="AB12" s="20">
        <f>IF(H30="","",H30)</f>
        <v>400</v>
      </c>
      <c r="AC12" t="s">
        <v>325</v>
      </c>
    </row>
    <row r="14" spans="2:29" ht="19.05" customHeight="1" x14ac:dyDescent="0.3">
      <c r="B14" s="89">
        <v>1</v>
      </c>
      <c r="C14" s="21">
        <v>300</v>
      </c>
      <c r="D14" s="21">
        <v>400</v>
      </c>
      <c r="E14" s="21" t="s">
        <v>326</v>
      </c>
      <c r="F14" s="88">
        <f t="shared" ref="F14:F23" si="0">IF(OR(ISBLANK(C14),C14=""),"",IF(E14="Fijo (articulado)",1,IF(E14="Rodillo X (despl. Y libre)",1,0)))</f>
        <v>0</v>
      </c>
      <c r="G14" s="88">
        <f t="shared" ref="G14:G23" si="1">IF(OR(ISBLANK(C14),C14=""),"",IF(E14="Fijo (articulado)",1,IF(E14="Rodillo Y (despl. X libre)",1,0)))</f>
        <v>0</v>
      </c>
      <c r="H14" s="22">
        <v>3000</v>
      </c>
      <c r="I14" s="22">
        <v>-8000</v>
      </c>
      <c r="J14" s="205" t="s">
        <v>411</v>
      </c>
      <c r="K14" s="172"/>
      <c r="L14" s="172"/>
      <c r="M14" s="172"/>
      <c r="N14" s="172"/>
      <c r="O14" s="173"/>
      <c r="AA14" s="20" t="str">
        <f>IF(E31="","",E31)</f>
        <v/>
      </c>
      <c r="AB14" s="20" t="str">
        <f>IF(F31="","",F31)</f>
        <v/>
      </c>
      <c r="AC14" t="s">
        <v>328</v>
      </c>
    </row>
    <row r="15" spans="2:29" ht="19.05" customHeight="1" x14ac:dyDescent="0.3">
      <c r="B15" s="89">
        <v>2</v>
      </c>
      <c r="C15" s="21">
        <v>600</v>
      </c>
      <c r="D15" s="21">
        <v>0</v>
      </c>
      <c r="E15" s="21" t="s">
        <v>332</v>
      </c>
      <c r="F15" s="88">
        <f t="shared" si="0"/>
        <v>1</v>
      </c>
      <c r="G15" s="88">
        <f t="shared" si="1"/>
        <v>1</v>
      </c>
      <c r="H15" s="22">
        <v>0</v>
      </c>
      <c r="I15" s="22">
        <v>0</v>
      </c>
      <c r="J15" s="205" t="s">
        <v>645</v>
      </c>
      <c r="K15" s="172"/>
      <c r="L15" s="172"/>
      <c r="M15" s="172"/>
      <c r="N15" s="172"/>
      <c r="O15" s="173"/>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205" t="s">
        <v>439</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400</v>
      </c>
      <c r="G28" s="5">
        <f t="shared" ref="G28:G42" si="4">IF(OR(ISBLANK(D28),D28=""),"",VLOOKUP(D28,$B$14:$D$23,2,FALSE))</f>
        <v>600</v>
      </c>
      <c r="H28" s="5">
        <f t="shared" ref="H28:H42" si="5">IF(OR(ISBLANK(D28),D28=""),"",VLOOKUP(D28,$B$14:$D$23,3,FALSE))</f>
        <v>0</v>
      </c>
      <c r="I28" s="9">
        <f t="shared" ref="I28:I42" si="6">IF(G28="","",G28-E28)</f>
        <v>300</v>
      </c>
      <c r="J28" s="9">
        <f t="shared" ref="J28:J42" si="7">IF(H28="","",H28-F28)</f>
        <v>-400</v>
      </c>
      <c r="K28" s="9">
        <f t="shared" ref="K28:K42" si="8">IF(I28="","",SQRT(I28^2+J28^2))</f>
        <v>500</v>
      </c>
      <c r="L28" s="92">
        <f t="shared" ref="L28:L42" si="9">IF(K28="","",I28/K28)</f>
        <v>0.6</v>
      </c>
      <c r="M28" s="92">
        <f t="shared" ref="M28:M42" si="10">IF(K28="","",J28/K28)</f>
        <v>-0.8</v>
      </c>
      <c r="N28" s="22">
        <v>12</v>
      </c>
      <c r="O28" s="24">
        <v>2100000</v>
      </c>
    </row>
    <row r="29" spans="2:29" ht="19.05" customHeight="1" x14ac:dyDescent="0.3">
      <c r="B29" s="89">
        <v>2</v>
      </c>
      <c r="C29" s="23">
        <v>2</v>
      </c>
      <c r="D29" s="23">
        <v>3</v>
      </c>
      <c r="E29" s="5">
        <f t="shared" si="2"/>
        <v>600</v>
      </c>
      <c r="F29" s="5">
        <f t="shared" si="3"/>
        <v>0</v>
      </c>
      <c r="G29" s="5">
        <f t="shared" si="4"/>
        <v>0</v>
      </c>
      <c r="H29" s="5">
        <f t="shared" si="5"/>
        <v>0</v>
      </c>
      <c r="I29" s="9">
        <f t="shared" si="6"/>
        <v>-600</v>
      </c>
      <c r="J29" s="9">
        <f t="shared" si="7"/>
        <v>0</v>
      </c>
      <c r="K29" s="9">
        <f t="shared" si="8"/>
        <v>600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400</v>
      </c>
      <c r="I30" s="9">
        <f t="shared" si="6"/>
        <v>300</v>
      </c>
      <c r="J30" s="9">
        <f t="shared" si="7"/>
        <v>400</v>
      </c>
      <c r="K30" s="9">
        <f t="shared" si="8"/>
        <v>500</v>
      </c>
      <c r="L30" s="92">
        <f t="shared" si="9"/>
        <v>0.6</v>
      </c>
      <c r="M30" s="92">
        <f t="shared" si="10"/>
        <v>0.8</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300-000000000000}">
      <formula1>"Fijo (articulado),Rodillo Y (despl. X libre),Rodillo X (despl. Y libre),Libre (0 reac.)"</formula1>
    </dataValidation>
  </dataValidations>
  <pageMargins left="0.75" right="0.75" top="1" bottom="1" header="0.5" footer="0.5"/>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168"/>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646</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HYPERLINK("#'GRAFICA_49'!A1",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GRAFICA_49!E28</f>
        <v>300</v>
      </c>
      <c r="D6" s="22">
        <f>GRAFICA_49!F28</f>
        <v>400</v>
      </c>
      <c r="E6" s="22">
        <f>GRAFICA_49!G28</f>
        <v>600</v>
      </c>
      <c r="F6" s="22">
        <f>GRAFICA_49!H28</f>
        <v>0</v>
      </c>
      <c r="G6" s="9">
        <f t="shared" ref="G6:H8" si="0">E6-C6</f>
        <v>300</v>
      </c>
      <c r="H6" s="9">
        <f t="shared" si="0"/>
        <v>-400</v>
      </c>
      <c r="I6" s="9">
        <f>SQRT(G6*G6+H6*H6)</f>
        <v>500</v>
      </c>
      <c r="J6" s="92">
        <f>G6/I6</f>
        <v>0.6</v>
      </c>
      <c r="K6" s="92">
        <f>H6/I6</f>
        <v>-0.8</v>
      </c>
      <c r="L6" s="22">
        <f>GRAFICA_49!N28</f>
        <v>12</v>
      </c>
      <c r="M6" s="22">
        <f>GRAFICA_49!O28</f>
        <v>2100000</v>
      </c>
      <c r="N6" s="6">
        <f>L6*M6/I6</f>
        <v>50400</v>
      </c>
    </row>
    <row r="7" spans="2:14" ht="19.05" customHeight="1" x14ac:dyDescent="0.3">
      <c r="B7" s="25">
        <v>2</v>
      </c>
      <c r="C7" s="22">
        <f>GRAFICA_49!E29</f>
        <v>600</v>
      </c>
      <c r="D7" s="22">
        <f>GRAFICA_49!F29</f>
        <v>0</v>
      </c>
      <c r="E7" s="22">
        <f>GRAFICA_49!G29</f>
        <v>0</v>
      </c>
      <c r="F7" s="22">
        <f>GRAFICA_49!H29</f>
        <v>0</v>
      </c>
      <c r="G7" s="9">
        <f t="shared" si="0"/>
        <v>-600</v>
      </c>
      <c r="H7" s="9">
        <f t="shared" si="0"/>
        <v>0</v>
      </c>
      <c r="I7" s="9">
        <f>SQRT(G7*G7+H7*H7)</f>
        <v>600</v>
      </c>
      <c r="J7" s="92">
        <f>G7/I7</f>
        <v>-1</v>
      </c>
      <c r="K7" s="92">
        <f>H7/I7</f>
        <v>0</v>
      </c>
      <c r="L7" s="22">
        <f>GRAFICA_49!N29</f>
        <v>12</v>
      </c>
      <c r="M7" s="22">
        <f>GRAFICA_49!O29</f>
        <v>2100000</v>
      </c>
      <c r="N7" s="6">
        <f>L7*M7/I7</f>
        <v>42000</v>
      </c>
    </row>
    <row r="8" spans="2:14" ht="19.05" customHeight="1" x14ac:dyDescent="0.3">
      <c r="B8" s="26">
        <v>3</v>
      </c>
      <c r="C8" s="22">
        <f>GRAFICA_49!E30</f>
        <v>0</v>
      </c>
      <c r="D8" s="22">
        <f>GRAFICA_49!F30</f>
        <v>0</v>
      </c>
      <c r="E8" s="22">
        <f>GRAFICA_49!G30</f>
        <v>300</v>
      </c>
      <c r="F8" s="22">
        <f>GRAFICA_49!H30</f>
        <v>400</v>
      </c>
      <c r="G8" s="9">
        <f t="shared" si="0"/>
        <v>300</v>
      </c>
      <c r="H8" s="9">
        <f t="shared" si="0"/>
        <v>400</v>
      </c>
      <c r="I8" s="9">
        <f>SQRT(G8*G8+H8*H8)</f>
        <v>500</v>
      </c>
      <c r="J8" s="92">
        <f>G8/I8</f>
        <v>0.6</v>
      </c>
      <c r="K8" s="92">
        <f>H8/I8</f>
        <v>0.8</v>
      </c>
      <c r="L8" s="22">
        <f>GRAFICA_49!N30</f>
        <v>12</v>
      </c>
      <c r="M8" s="22">
        <f>GRAFICA_49!O30</f>
        <v>2100000</v>
      </c>
      <c r="N8" s="6">
        <f>L8*M8/I8</f>
        <v>50400</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GRAFICA_49!C28</f>
        <v>1</v>
      </c>
      <c r="D12" s="23">
        <f>GRAFICA_49!C28</f>
        <v>1</v>
      </c>
      <c r="E12" s="23">
        <f>GRAFICA_49!D28</f>
        <v>2</v>
      </c>
      <c r="F12" s="23">
        <f>GRAFICA_49!D28</f>
        <v>2</v>
      </c>
    </row>
    <row r="13" spans="2:14" ht="19.05" customHeight="1" x14ac:dyDescent="0.3">
      <c r="B13" s="25">
        <v>2</v>
      </c>
      <c r="C13" s="23">
        <f>GRAFICA_49!C29</f>
        <v>2</v>
      </c>
      <c r="D13" s="23">
        <f>GRAFICA_49!C29</f>
        <v>2</v>
      </c>
      <c r="E13" s="23">
        <f>GRAFICA_49!D29</f>
        <v>3</v>
      </c>
      <c r="F13" s="23">
        <f>GRAFICA_49!D29</f>
        <v>3</v>
      </c>
    </row>
    <row r="14" spans="2:14" ht="19.05" customHeight="1" x14ac:dyDescent="0.3">
      <c r="B14" s="26">
        <v>3</v>
      </c>
      <c r="C14" s="23">
        <f>GRAFICA_49!C30</f>
        <v>3</v>
      </c>
      <c r="D14" s="23">
        <f>GRAFICA_49!C30</f>
        <v>3</v>
      </c>
      <c r="E14" s="23">
        <f>GRAFICA_49!D30</f>
        <v>1</v>
      </c>
      <c r="F14" s="23">
        <f>GRAFICA_49!D30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18144</v>
      </c>
      <c r="C18" s="7">
        <f>J6*K6*N6</f>
        <v>-24192</v>
      </c>
      <c r="D18" s="7">
        <f>-B18</f>
        <v>-18144</v>
      </c>
      <c r="E18" s="7">
        <f>-C18</f>
        <v>24192</v>
      </c>
      <c r="F18" s="27" t="str">
        <f>B17</f>
        <v>U1X</v>
      </c>
    </row>
    <row r="19" spans="1:8" ht="16.8" customHeight="1" x14ac:dyDescent="0.3">
      <c r="A19" s="28" t="s">
        <v>177</v>
      </c>
      <c r="B19" s="7">
        <f>C18</f>
        <v>-24192</v>
      </c>
      <c r="C19" s="7">
        <f>K6*K6*N6</f>
        <v>32256.000000000007</v>
      </c>
      <c r="D19" s="7">
        <f>-B19</f>
        <v>24192</v>
      </c>
      <c r="E19" s="7">
        <f>-C19</f>
        <v>-32256.000000000007</v>
      </c>
      <c r="F19" s="27" t="str">
        <f>C17</f>
        <v>U1Y</v>
      </c>
    </row>
    <row r="20" spans="1:8" x14ac:dyDescent="0.3">
      <c r="B20" s="7">
        <f>D18</f>
        <v>-18144</v>
      </c>
      <c r="C20" s="7">
        <f>E18</f>
        <v>24192</v>
      </c>
      <c r="D20" s="7">
        <f>B18</f>
        <v>18144</v>
      </c>
      <c r="E20" s="7">
        <f>C18</f>
        <v>-24192</v>
      </c>
      <c r="F20" s="27" t="str">
        <f>D17</f>
        <v>U2X</v>
      </c>
    </row>
    <row r="21" spans="1:8" x14ac:dyDescent="0.3">
      <c r="B21" s="7">
        <f>D19</f>
        <v>24192</v>
      </c>
      <c r="C21" s="7">
        <f>E19</f>
        <v>-32256.000000000007</v>
      </c>
      <c r="D21" s="7">
        <f>B19</f>
        <v>-24192</v>
      </c>
      <c r="E21" s="7">
        <f>C19</f>
        <v>32256.000000000007</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18144</v>
      </c>
      <c r="C24" s="8">
        <f t="shared" si="1"/>
        <v>-24192</v>
      </c>
      <c r="D24" s="8">
        <f t="shared" si="1"/>
        <v>-18144</v>
      </c>
      <c r="E24" s="8">
        <f t="shared" si="1"/>
        <v>24192</v>
      </c>
      <c r="F24" s="9">
        <f t="shared" si="1"/>
        <v>0</v>
      </c>
      <c r="G24" s="9">
        <f t="shared" si="1"/>
        <v>0</v>
      </c>
      <c r="H24" s="27" t="s">
        <v>178</v>
      </c>
    </row>
    <row r="25" spans="1:8" ht="19.05" customHeight="1" x14ac:dyDescent="0.3">
      <c r="B25" s="8">
        <f t="shared" si="1"/>
        <v>-24192</v>
      </c>
      <c r="C25" s="8">
        <f t="shared" si="1"/>
        <v>32256.000000000007</v>
      </c>
      <c r="D25" s="8">
        <f t="shared" si="1"/>
        <v>24192</v>
      </c>
      <c r="E25" s="8">
        <f t="shared" si="1"/>
        <v>-32256.000000000007</v>
      </c>
      <c r="F25" s="9">
        <f t="shared" si="1"/>
        <v>0</v>
      </c>
      <c r="G25" s="9">
        <f t="shared" si="1"/>
        <v>0</v>
      </c>
      <c r="H25" s="27" t="s">
        <v>179</v>
      </c>
    </row>
    <row r="26" spans="1:8" ht="19.05" customHeight="1" x14ac:dyDescent="0.3">
      <c r="A26" s="28" t="s">
        <v>190</v>
      </c>
      <c r="B26" s="8">
        <f t="shared" si="1"/>
        <v>-18144</v>
      </c>
      <c r="C26" s="8">
        <f t="shared" si="1"/>
        <v>24192</v>
      </c>
      <c r="D26" s="8">
        <f t="shared" si="1"/>
        <v>18144</v>
      </c>
      <c r="E26" s="8">
        <f t="shared" si="1"/>
        <v>-24192</v>
      </c>
      <c r="F26" s="9">
        <f t="shared" si="1"/>
        <v>0</v>
      </c>
      <c r="G26" s="9">
        <f t="shared" si="1"/>
        <v>0</v>
      </c>
      <c r="H26" s="27" t="s">
        <v>180</v>
      </c>
    </row>
    <row r="27" spans="1:8" ht="19.05" customHeight="1" x14ac:dyDescent="0.3">
      <c r="B27" s="8">
        <f t="shared" si="1"/>
        <v>24192</v>
      </c>
      <c r="C27" s="8">
        <f t="shared" si="1"/>
        <v>-32256.000000000007</v>
      </c>
      <c r="D27" s="8">
        <f t="shared" si="1"/>
        <v>-24192</v>
      </c>
      <c r="E27" s="8">
        <f t="shared" si="1"/>
        <v>32256.000000000007</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42000</v>
      </c>
      <c r="C33" s="30">
        <f>J7*K7*N7</f>
        <v>0</v>
      </c>
      <c r="D33" s="30">
        <f>-B33</f>
        <v>-42000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-42000</v>
      </c>
      <c r="C35" s="30">
        <f>E33</f>
        <v>0</v>
      </c>
      <c r="D35" s="30">
        <f>B33</f>
        <v>42000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42000</v>
      </c>
      <c r="E41" s="31">
        <f t="shared" si="2"/>
        <v>0</v>
      </c>
      <c r="F41" s="31">
        <f t="shared" si="2"/>
        <v>-42000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-42000</v>
      </c>
      <c r="E43" s="31">
        <f t="shared" si="2"/>
        <v>0</v>
      </c>
      <c r="F43" s="31">
        <f t="shared" si="2"/>
        <v>42000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18144</v>
      </c>
      <c r="C48" s="33">
        <f>J8*K8*N8</f>
        <v>24192</v>
      </c>
      <c r="D48" s="33">
        <f>-B48</f>
        <v>-18144</v>
      </c>
      <c r="E48" s="33">
        <f>-C48</f>
        <v>-24192</v>
      </c>
      <c r="F48" s="32" t="str">
        <f>B47</f>
        <v>U3X</v>
      </c>
    </row>
    <row r="49" spans="1:8" ht="16.8" customHeight="1" x14ac:dyDescent="0.3">
      <c r="A49" s="28" t="s">
        <v>193</v>
      </c>
      <c r="B49" s="33">
        <f>C48</f>
        <v>24192</v>
      </c>
      <c r="C49" s="33">
        <f>K8*K8*N8</f>
        <v>32256.000000000007</v>
      </c>
      <c r="D49" s="33">
        <f>-B49</f>
        <v>-24192</v>
      </c>
      <c r="E49" s="33">
        <f>-C49</f>
        <v>-32256.000000000007</v>
      </c>
      <c r="F49" s="32" t="str">
        <f>C47</f>
        <v>U3Y</v>
      </c>
    </row>
    <row r="50" spans="1:8" x14ac:dyDescent="0.3">
      <c r="B50" s="33">
        <f>D48</f>
        <v>-18144</v>
      </c>
      <c r="C50" s="33">
        <f>E48</f>
        <v>-24192</v>
      </c>
      <c r="D50" s="33">
        <f>B48</f>
        <v>18144</v>
      </c>
      <c r="E50" s="33">
        <f>C48</f>
        <v>24192</v>
      </c>
      <c r="F50" s="32" t="str">
        <f>D47</f>
        <v>U1X</v>
      </c>
    </row>
    <row r="51" spans="1:8" x14ac:dyDescent="0.3">
      <c r="B51" s="33">
        <f>D49</f>
        <v>-24192</v>
      </c>
      <c r="C51" s="33">
        <f>E49</f>
        <v>-32256.000000000007</v>
      </c>
      <c r="D51" s="33">
        <f>B49</f>
        <v>24192</v>
      </c>
      <c r="E51" s="33">
        <f>C49</f>
        <v>32256.000000000007</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18144</v>
      </c>
      <c r="C54" s="34">
        <f t="shared" si="3"/>
        <v>24192</v>
      </c>
      <c r="D54" s="9">
        <f t="shared" si="3"/>
        <v>0</v>
      </c>
      <c r="E54" s="9">
        <f t="shared" si="3"/>
        <v>0</v>
      </c>
      <c r="F54" s="34">
        <f t="shared" si="3"/>
        <v>-18144</v>
      </c>
      <c r="G54" s="34">
        <f t="shared" si="3"/>
        <v>-24192</v>
      </c>
      <c r="H54" s="32" t="s">
        <v>178</v>
      </c>
    </row>
    <row r="55" spans="1:8" ht="19.05" customHeight="1" x14ac:dyDescent="0.3">
      <c r="B55" s="34">
        <f t="shared" si="3"/>
        <v>24192</v>
      </c>
      <c r="C55" s="34">
        <f t="shared" si="3"/>
        <v>32256.000000000007</v>
      </c>
      <c r="D55" s="9">
        <f t="shared" si="3"/>
        <v>0</v>
      </c>
      <c r="E55" s="9">
        <f t="shared" si="3"/>
        <v>0</v>
      </c>
      <c r="F55" s="34">
        <f t="shared" si="3"/>
        <v>-24192</v>
      </c>
      <c r="G55" s="34">
        <f t="shared" si="3"/>
        <v>-32256.000000000007</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-18144</v>
      </c>
      <c r="C58" s="34">
        <f t="shared" si="3"/>
        <v>-24192</v>
      </c>
      <c r="D58" s="9">
        <f t="shared" si="3"/>
        <v>0</v>
      </c>
      <c r="E58" s="9">
        <f t="shared" si="3"/>
        <v>0</v>
      </c>
      <c r="F58" s="34">
        <f t="shared" si="3"/>
        <v>18144</v>
      </c>
      <c r="G58" s="34">
        <f t="shared" si="3"/>
        <v>24192</v>
      </c>
      <c r="H58" s="32" t="s">
        <v>182</v>
      </c>
    </row>
    <row r="59" spans="1:8" ht="19.05" customHeight="1" x14ac:dyDescent="0.3">
      <c r="B59" s="34">
        <f t="shared" si="3"/>
        <v>-24192</v>
      </c>
      <c r="C59" s="34">
        <f t="shared" si="3"/>
        <v>-32256.000000000007</v>
      </c>
      <c r="D59" s="9">
        <f t="shared" si="3"/>
        <v>0</v>
      </c>
      <c r="E59" s="9">
        <f t="shared" si="3"/>
        <v>0</v>
      </c>
      <c r="F59" s="34">
        <f t="shared" si="3"/>
        <v>24192</v>
      </c>
      <c r="G59" s="34">
        <f t="shared" si="3"/>
        <v>32256.000000000007</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36288</v>
      </c>
      <c r="C63" s="36">
        <f t="shared" si="4"/>
        <v>0</v>
      </c>
      <c r="D63" s="9">
        <f t="shared" si="4"/>
        <v>-18144</v>
      </c>
      <c r="E63" s="9">
        <f t="shared" si="4"/>
        <v>24192</v>
      </c>
      <c r="F63" s="9">
        <f t="shared" si="4"/>
        <v>-18144</v>
      </c>
      <c r="G63" s="9">
        <f t="shared" si="4"/>
        <v>-24192</v>
      </c>
      <c r="H63" s="89" t="s">
        <v>178</v>
      </c>
    </row>
    <row r="64" spans="1:8" ht="19.95" customHeight="1" x14ac:dyDescent="0.3">
      <c r="B64" s="36">
        <f t="shared" si="4"/>
        <v>0</v>
      </c>
      <c r="C64" s="35">
        <f t="shared" si="4"/>
        <v>64512.000000000015</v>
      </c>
      <c r="D64" s="9">
        <f t="shared" si="4"/>
        <v>24192</v>
      </c>
      <c r="E64" s="9">
        <f t="shared" si="4"/>
        <v>-32256.000000000007</v>
      </c>
      <c r="F64" s="9">
        <f t="shared" si="4"/>
        <v>-24192</v>
      </c>
      <c r="G64" s="9">
        <f t="shared" si="4"/>
        <v>-32256.000000000007</v>
      </c>
      <c r="H64" s="89" t="s">
        <v>179</v>
      </c>
    </row>
    <row r="65" spans="1:16" ht="19.95" customHeight="1" x14ac:dyDescent="0.3">
      <c r="A65" s="28" t="s">
        <v>205</v>
      </c>
      <c r="B65" s="9">
        <f t="shared" si="4"/>
        <v>-18144</v>
      </c>
      <c r="C65" s="9">
        <f t="shared" si="4"/>
        <v>24192</v>
      </c>
      <c r="D65" s="35">
        <f t="shared" si="4"/>
        <v>60144</v>
      </c>
      <c r="E65" s="36">
        <f t="shared" si="4"/>
        <v>-24192</v>
      </c>
      <c r="F65" s="9">
        <f t="shared" si="4"/>
        <v>-42000</v>
      </c>
      <c r="G65" s="9">
        <f t="shared" si="4"/>
        <v>0</v>
      </c>
      <c r="H65" s="89" t="s">
        <v>180</v>
      </c>
    </row>
    <row r="66" spans="1:16" ht="19.95" customHeight="1" x14ac:dyDescent="0.3">
      <c r="B66" s="9">
        <f t="shared" si="4"/>
        <v>24192</v>
      </c>
      <c r="C66" s="9">
        <f t="shared" si="4"/>
        <v>-32256.000000000007</v>
      </c>
      <c r="D66" s="36">
        <f t="shared" si="4"/>
        <v>-24192</v>
      </c>
      <c r="E66" s="35">
        <f t="shared" si="4"/>
        <v>32256.000000000007</v>
      </c>
      <c r="F66" s="9">
        <f t="shared" si="4"/>
        <v>0</v>
      </c>
      <c r="G66" s="9">
        <f t="shared" si="4"/>
        <v>0</v>
      </c>
      <c r="H66" s="89" t="s">
        <v>181</v>
      </c>
    </row>
    <row r="67" spans="1:16" ht="19.95" customHeight="1" x14ac:dyDescent="0.3">
      <c r="B67" s="9">
        <f t="shared" si="4"/>
        <v>-18144</v>
      </c>
      <c r="C67" s="9">
        <f t="shared" si="4"/>
        <v>-24192</v>
      </c>
      <c r="D67" s="9">
        <f t="shared" si="4"/>
        <v>-42000</v>
      </c>
      <c r="E67" s="9">
        <f t="shared" si="4"/>
        <v>0</v>
      </c>
      <c r="F67" s="35">
        <f t="shared" si="4"/>
        <v>60144</v>
      </c>
      <c r="G67" s="36">
        <f t="shared" si="4"/>
        <v>24192</v>
      </c>
      <c r="H67" s="89" t="s">
        <v>182</v>
      </c>
    </row>
    <row r="68" spans="1:16" ht="19.95" customHeight="1" x14ac:dyDescent="0.3">
      <c r="B68" s="9">
        <f t="shared" si="4"/>
        <v>-24192</v>
      </c>
      <c r="C68" s="9">
        <f t="shared" si="4"/>
        <v>-32256.000000000007</v>
      </c>
      <c r="D68" s="9">
        <f t="shared" si="4"/>
        <v>0</v>
      </c>
      <c r="E68" s="9">
        <f t="shared" si="4"/>
        <v>0</v>
      </c>
      <c r="F68" s="36">
        <f t="shared" si="4"/>
        <v>24192</v>
      </c>
      <c r="G68" s="35">
        <f t="shared" si="4"/>
        <v>32256.000000000007</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f>IF(GRAFICA_49!F14=1, B72, GRAFICA_49!H14)</f>
        <v>3000</v>
      </c>
      <c r="K72" s="215" t="s">
        <v>376</v>
      </c>
      <c r="L72" s="172"/>
      <c r="M72" s="172"/>
      <c r="N72" s="172"/>
      <c r="O72" s="172"/>
      <c r="P72" s="173"/>
    </row>
    <row r="73" spans="1:16" ht="16.95" customHeight="1" x14ac:dyDescent="0.3">
      <c r="B73" s="12" t="s">
        <v>210</v>
      </c>
      <c r="C73" s="12" t="s">
        <v>179</v>
      </c>
      <c r="E73" s="37">
        <f>IF(GRAFICA_49!G14=1, B73, GRAFICA_49!I14)</f>
        <v>-8000</v>
      </c>
      <c r="K73" s="215" t="s">
        <v>211</v>
      </c>
      <c r="L73" s="172"/>
      <c r="M73" s="172"/>
      <c r="N73" s="172"/>
      <c r="O73" s="172"/>
      <c r="P73" s="173"/>
    </row>
    <row r="74" spans="1:16" ht="16.95" customHeight="1" x14ac:dyDescent="0.3">
      <c r="A74" s="38" t="s">
        <v>218</v>
      </c>
      <c r="B74" s="12" t="s">
        <v>212</v>
      </c>
      <c r="C74" s="12" t="s">
        <v>180</v>
      </c>
      <c r="D74" s="13" t="s">
        <v>220</v>
      </c>
      <c r="E74" s="37" t="str">
        <f>IF(GRAFICA_49!F15=1, B74, GRAFICA_49!H15)</f>
        <v>C2X</v>
      </c>
      <c r="K74" s="215" t="s">
        <v>377</v>
      </c>
      <c r="L74" s="172"/>
      <c r="M74" s="172"/>
      <c r="N74" s="172"/>
      <c r="O74" s="172"/>
      <c r="P74" s="173"/>
    </row>
    <row r="75" spans="1:16" ht="16.95" customHeight="1" x14ac:dyDescent="0.3">
      <c r="B75" s="12" t="s">
        <v>214</v>
      </c>
      <c r="C75" s="12" t="s">
        <v>181</v>
      </c>
      <c r="E75" s="37" t="str">
        <f>IF(GRAFICA_49!G15=1, B75, GRAFICA_49!I15)</f>
        <v>C2Y</v>
      </c>
      <c r="K75" s="215" t="s">
        <v>215</v>
      </c>
      <c r="L75" s="172"/>
      <c r="M75" s="172"/>
      <c r="N75" s="172"/>
      <c r="O75" s="172"/>
      <c r="P75" s="173"/>
    </row>
    <row r="76" spans="1:16" ht="16.95" customHeight="1" x14ac:dyDescent="0.3">
      <c r="B76" s="12" t="s">
        <v>216</v>
      </c>
      <c r="C76" s="12" t="s">
        <v>182</v>
      </c>
      <c r="E76" s="37" t="str">
        <f>IF(GRAFICA_49!F16=1, B76, GRAFICA_49!H16)</f>
        <v>C3X</v>
      </c>
      <c r="K76" s="215" t="s">
        <v>378</v>
      </c>
      <c r="L76" s="172"/>
      <c r="M76" s="172"/>
      <c r="N76" s="172"/>
      <c r="O76" s="172"/>
      <c r="P76" s="173"/>
    </row>
    <row r="77" spans="1:16" ht="16.95" customHeight="1" x14ac:dyDescent="0.3">
      <c r="B77" s="12" t="s">
        <v>219</v>
      </c>
      <c r="C77" s="12" t="s">
        <v>183</v>
      </c>
      <c r="E77" s="37" t="str">
        <f>IF(GRAFICA_49!G16=1, B77, GRAFICA_49!I16)</f>
        <v>C3Y</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t="str">
        <f>IF(GRAFICA_49!F14=1, 0, B80)</f>
        <v>D1X</v>
      </c>
      <c r="F80" s="14">
        <f>IF(E80&lt;&gt;0, COUNTIF(E$80:E80, "&lt;&gt;0"), "")</f>
        <v>1</v>
      </c>
      <c r="G80" s="14" t="str">
        <f>IF(E80=0, COUNTIF(E$80:E80, 0), "")</f>
        <v/>
      </c>
      <c r="K80" s="215"/>
      <c r="L80" s="172"/>
      <c r="M80" s="172"/>
      <c r="N80" s="172"/>
      <c r="O80" s="172"/>
      <c r="P80" s="173"/>
    </row>
    <row r="81" spans="1:16" ht="16.95" customHeight="1" x14ac:dyDescent="0.3">
      <c r="B81" s="12" t="s">
        <v>229</v>
      </c>
      <c r="C81" s="12" t="s">
        <v>179</v>
      </c>
      <c r="E81" s="39" t="str">
        <f>IF(GRAFICA_49!G14=1, 0, B81)</f>
        <v>D1Y</v>
      </c>
      <c r="F81" s="14">
        <f>IF(E81&lt;&gt;0, COUNTIF(E$80:E81, "&lt;&gt;0"), "")</f>
        <v>2</v>
      </c>
      <c r="G81" s="14" t="str">
        <f>IF(E81=0, COUNTIF(E$80:E81, 0), "")</f>
        <v/>
      </c>
      <c r="K81" s="215"/>
      <c r="L81" s="172"/>
      <c r="M81" s="172"/>
      <c r="N81" s="172"/>
      <c r="O81" s="172"/>
      <c r="P81" s="173"/>
    </row>
    <row r="82" spans="1:16" ht="16.95" customHeight="1" x14ac:dyDescent="0.3">
      <c r="A82" s="38" t="s">
        <v>233</v>
      </c>
      <c r="B82" s="12" t="s">
        <v>230</v>
      </c>
      <c r="C82" s="12" t="s">
        <v>180</v>
      </c>
      <c r="D82" s="13" t="s">
        <v>220</v>
      </c>
      <c r="E82" s="39">
        <f>IF(GRAFICA_49!F15=1, 0, B82)</f>
        <v>0</v>
      </c>
      <c r="F82" s="14" t="str">
        <f>IF(E82&lt;&gt;0, COUNTIF(E$80:E82, "&lt;&gt;0"), "")</f>
        <v/>
      </c>
      <c r="G82" s="14">
        <f>IF(E82=0, COUNTIF(E$80:E82, 0), "")</f>
        <v>1</v>
      </c>
      <c r="K82" s="215"/>
      <c r="L82" s="172"/>
      <c r="M82" s="172"/>
      <c r="N82" s="172"/>
      <c r="O82" s="172"/>
      <c r="P82" s="173"/>
    </row>
    <row r="83" spans="1:16" ht="16.95" customHeight="1" x14ac:dyDescent="0.3">
      <c r="B83" s="12" t="s">
        <v>231</v>
      </c>
      <c r="C83" s="12" t="s">
        <v>181</v>
      </c>
      <c r="E83" s="39">
        <f>IF(GRAFICA_49!G15=1, 0, B83)</f>
        <v>0</v>
      </c>
      <c r="F83" s="14" t="str">
        <f>IF(E83&lt;&gt;0, COUNTIF(E$80:E83, "&lt;&gt;0"), "")</f>
        <v/>
      </c>
      <c r="G83" s="14">
        <f>IF(E83=0, COUNTIF(E$80:E83, 0), "")</f>
        <v>2</v>
      </c>
      <c r="K83" s="215"/>
      <c r="L83" s="172"/>
      <c r="M83" s="172"/>
      <c r="N83" s="172"/>
      <c r="O83" s="172"/>
      <c r="P83" s="173"/>
    </row>
    <row r="84" spans="1:16" ht="16.95" customHeight="1" x14ac:dyDescent="0.3">
      <c r="B84" s="12" t="s">
        <v>232</v>
      </c>
      <c r="C84" s="12" t="s">
        <v>182</v>
      </c>
      <c r="E84" s="39">
        <f>IF(GRAFICA_49!F16=1, 0, B84)</f>
        <v>0</v>
      </c>
      <c r="F84" s="14" t="str">
        <f>IF(E84&lt;&gt;0, COUNTIF(E$80:E84, "&lt;&gt;0"), "")</f>
        <v/>
      </c>
      <c r="G84" s="14">
        <f>IF(E84=0, COUNTIF(E$80:E84, 0), "")</f>
        <v>3</v>
      </c>
      <c r="K84" s="215"/>
      <c r="L84" s="172"/>
      <c r="M84" s="172"/>
      <c r="N84" s="172"/>
      <c r="O84" s="172"/>
      <c r="P84" s="173"/>
    </row>
    <row r="85" spans="1:16" ht="16.95" customHeight="1" x14ac:dyDescent="0.3">
      <c r="B85" s="12" t="s">
        <v>234</v>
      </c>
      <c r="C85" s="12" t="s">
        <v>183</v>
      </c>
      <c r="E85" s="39">
        <f>IF(GRAFICA_49!G16=1, 0, B85)</f>
        <v>0</v>
      </c>
      <c r="F85" s="14" t="str">
        <f>IF(E85&lt;&gt;0, COUNTIF(E$80:E85, "&lt;&gt;0"), "")</f>
        <v/>
      </c>
      <c r="G85" s="14">
        <f>IF(E85=0, COUNTIF(E$80:E85, 0), "")</f>
        <v>4</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41">
        <f t="shared" ref="A90:A95" si="5">E72</f>
        <v>3000</v>
      </c>
      <c r="C90" s="41">
        <f t="shared" ref="C90:H95" si="6">B63</f>
        <v>36288</v>
      </c>
      <c r="D90" s="41">
        <f t="shared" si="6"/>
        <v>0</v>
      </c>
      <c r="E90" s="9">
        <f t="shared" si="6"/>
        <v>-18144</v>
      </c>
      <c r="F90" s="9">
        <f t="shared" si="6"/>
        <v>24192</v>
      </c>
      <c r="G90" s="9">
        <f t="shared" si="6"/>
        <v>-18144</v>
      </c>
      <c r="H90" s="9">
        <f t="shared" si="6"/>
        <v>-24192</v>
      </c>
      <c r="I90" s="13" t="s">
        <v>251</v>
      </c>
      <c r="J90" s="38" t="str">
        <f t="shared" ref="J90:J95" si="7">E80</f>
        <v>D1X</v>
      </c>
      <c r="K90" s="215" t="s">
        <v>380</v>
      </c>
      <c r="L90" s="172"/>
      <c r="M90" s="172"/>
      <c r="N90" s="172"/>
      <c r="O90" s="172"/>
      <c r="P90" s="173"/>
    </row>
    <row r="91" spans="1:16" ht="16.95" customHeight="1" x14ac:dyDescent="0.3">
      <c r="A91" s="41">
        <f t="shared" si="5"/>
        <v>-8000</v>
      </c>
      <c r="C91" s="41">
        <f t="shared" si="6"/>
        <v>0</v>
      </c>
      <c r="D91" s="41">
        <f t="shared" si="6"/>
        <v>64512.000000000015</v>
      </c>
      <c r="E91" s="9">
        <f t="shared" si="6"/>
        <v>24192</v>
      </c>
      <c r="F91" s="9">
        <f t="shared" si="6"/>
        <v>-32256.000000000007</v>
      </c>
      <c r="G91" s="9">
        <f t="shared" si="6"/>
        <v>-24192</v>
      </c>
      <c r="H91" s="9">
        <f t="shared" si="6"/>
        <v>-32256.000000000007</v>
      </c>
      <c r="I91" s="13" t="s">
        <v>251</v>
      </c>
      <c r="J91" s="38" t="str">
        <f t="shared" si="7"/>
        <v>D1Y</v>
      </c>
      <c r="K91" s="215" t="s">
        <v>253</v>
      </c>
      <c r="L91" s="172"/>
      <c r="M91" s="172"/>
      <c r="N91" s="172"/>
      <c r="O91" s="172"/>
      <c r="P91" s="173"/>
    </row>
    <row r="92" spans="1:16" ht="16.95" customHeight="1" x14ac:dyDescent="0.3">
      <c r="A92" s="12" t="str">
        <f t="shared" si="5"/>
        <v>C2X</v>
      </c>
      <c r="C92" s="9">
        <f t="shared" si="6"/>
        <v>-18144</v>
      </c>
      <c r="D92" s="9">
        <f t="shared" si="6"/>
        <v>24192</v>
      </c>
      <c r="E92" s="9">
        <f t="shared" si="6"/>
        <v>60144</v>
      </c>
      <c r="F92" s="9">
        <f t="shared" si="6"/>
        <v>-24192</v>
      </c>
      <c r="G92" s="9">
        <f t="shared" si="6"/>
        <v>-42000</v>
      </c>
      <c r="H92" s="9">
        <f t="shared" si="6"/>
        <v>0</v>
      </c>
      <c r="I92" s="13" t="s">
        <v>251</v>
      </c>
      <c r="J92" s="16">
        <f t="shared" si="7"/>
        <v>0</v>
      </c>
      <c r="K92" s="215" t="s">
        <v>254</v>
      </c>
      <c r="L92" s="172"/>
      <c r="M92" s="172"/>
      <c r="N92" s="172"/>
      <c r="O92" s="172"/>
      <c r="P92" s="173"/>
    </row>
    <row r="93" spans="1:16" ht="16.95" customHeight="1" x14ac:dyDescent="0.3">
      <c r="A93" s="12" t="str">
        <f t="shared" si="5"/>
        <v>C2Y</v>
      </c>
      <c r="B93" s="13" t="s">
        <v>220</v>
      </c>
      <c r="C93" s="9">
        <f t="shared" si="6"/>
        <v>24192</v>
      </c>
      <c r="D93" s="9">
        <f t="shared" si="6"/>
        <v>-32256.000000000007</v>
      </c>
      <c r="E93" s="9">
        <f t="shared" si="6"/>
        <v>-24192</v>
      </c>
      <c r="F93" s="9">
        <f t="shared" si="6"/>
        <v>32256.000000000007</v>
      </c>
      <c r="G93" s="9">
        <f t="shared" si="6"/>
        <v>0</v>
      </c>
      <c r="H93" s="9">
        <f t="shared" si="6"/>
        <v>0</v>
      </c>
      <c r="I93" s="13" t="s">
        <v>251</v>
      </c>
      <c r="J93" s="16">
        <f t="shared" si="7"/>
        <v>0</v>
      </c>
      <c r="K93" s="215" t="s">
        <v>381</v>
      </c>
      <c r="L93" s="172"/>
      <c r="M93" s="172"/>
      <c r="N93" s="172"/>
      <c r="O93" s="172"/>
      <c r="P93" s="173"/>
    </row>
    <row r="94" spans="1:16" ht="16.95" customHeight="1" x14ac:dyDescent="0.3">
      <c r="A94" s="12" t="str">
        <f t="shared" si="5"/>
        <v>C3X</v>
      </c>
      <c r="C94" s="9">
        <f t="shared" si="6"/>
        <v>-18144</v>
      </c>
      <c r="D94" s="9">
        <f t="shared" si="6"/>
        <v>-24192</v>
      </c>
      <c r="E94" s="9">
        <f t="shared" si="6"/>
        <v>-42000</v>
      </c>
      <c r="F94" s="9">
        <f t="shared" si="6"/>
        <v>0</v>
      </c>
      <c r="G94" s="9">
        <f t="shared" si="6"/>
        <v>60144</v>
      </c>
      <c r="H94" s="9">
        <f t="shared" si="6"/>
        <v>24192</v>
      </c>
      <c r="I94" s="13" t="s">
        <v>251</v>
      </c>
      <c r="J94" s="16">
        <f t="shared" si="7"/>
        <v>0</v>
      </c>
      <c r="K94" s="215" t="s">
        <v>382</v>
      </c>
      <c r="L94" s="172"/>
      <c r="M94" s="172"/>
      <c r="N94" s="172"/>
      <c r="O94" s="172"/>
      <c r="P94" s="173"/>
    </row>
    <row r="95" spans="1:16" ht="16.95" customHeight="1" x14ac:dyDescent="0.3">
      <c r="A95" s="12" t="str">
        <f t="shared" si="5"/>
        <v>C3Y</v>
      </c>
      <c r="C95" s="9">
        <f t="shared" si="6"/>
        <v>-24192</v>
      </c>
      <c r="D95" s="9">
        <f t="shared" si="6"/>
        <v>-32256.000000000007</v>
      </c>
      <c r="E95" s="9">
        <f t="shared" si="6"/>
        <v>0</v>
      </c>
      <c r="F95" s="9">
        <f t="shared" si="6"/>
        <v>0</v>
      </c>
      <c r="G95" s="9">
        <f t="shared" si="6"/>
        <v>24192</v>
      </c>
      <c r="H95" s="9">
        <f t="shared" si="6"/>
        <v>32256.000000000007</v>
      </c>
      <c r="I95" s="13" t="s">
        <v>251</v>
      </c>
      <c r="J95" s="16">
        <f t="shared" si="7"/>
        <v>0</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U1X</v>
      </c>
      <c r="D99" s="38" t="str">
        <f>INDEX(C$80:C$85, MATCH(2, F$80:F$85, 0))</f>
        <v>U1Y</v>
      </c>
      <c r="K99" s="215" t="s">
        <v>383</v>
      </c>
      <c r="L99" s="172"/>
      <c r="M99" s="172"/>
      <c r="N99" s="172"/>
      <c r="O99" s="172"/>
      <c r="P99" s="173"/>
    </row>
    <row r="100" spans="1:16" ht="16.95" customHeight="1" x14ac:dyDescent="0.3">
      <c r="A100" s="41">
        <f>INDEX(E$72:E$77, MATCH(G100, C$72:C$77, 0))</f>
        <v>3000</v>
      </c>
      <c r="C100" s="41">
        <f>INDEX($B$63:$G$68, MATCH($G100, $H$63:$H$68, 0), MATCH(C$99, $B$62:$G$62, 0))</f>
        <v>36288</v>
      </c>
      <c r="D100" s="41">
        <f>INDEX($B$63:$G$68, MATCH($G100, $H$63:$H$68, 0), MATCH(D$99, $B$62:$G$62, 0))</f>
        <v>0</v>
      </c>
      <c r="E100" s="13" t="s">
        <v>251</v>
      </c>
      <c r="F100" s="38" t="str">
        <f>INDEX(B$80:B$85, MATCH(1, F$80:F$85, 0))</f>
        <v>D1X</v>
      </c>
      <c r="G100" s="14" t="str">
        <f>INDEX(C$80:C$85, MATCH(1, F$80:F$85, 0))</f>
        <v>U1X</v>
      </c>
      <c r="K100" s="215" t="s">
        <v>384</v>
      </c>
      <c r="L100" s="172"/>
      <c r="M100" s="172"/>
      <c r="N100" s="172"/>
      <c r="O100" s="172"/>
      <c r="P100" s="173"/>
    </row>
    <row r="101" spans="1:16" ht="16.95" customHeight="1" x14ac:dyDescent="0.3">
      <c r="A101" s="41">
        <f>INDEX(E$72:E$77, MATCH(G101, C$72:C$77, 0))</f>
        <v>-8000</v>
      </c>
      <c r="B101" s="13" t="s">
        <v>220</v>
      </c>
      <c r="C101" s="41">
        <f>INDEX($B$63:$G$68, MATCH($G101, $H$63:$H$68, 0), MATCH(C$99, $B$62:$G$62, 0))</f>
        <v>0</v>
      </c>
      <c r="D101" s="41">
        <f>INDEX($B$63:$G$68, MATCH($G101, $H$63:$H$68, 0), MATCH(D$99, $B$62:$G$62, 0))</f>
        <v>64512.000000000015</v>
      </c>
      <c r="E101" s="13" t="s">
        <v>251</v>
      </c>
      <c r="F101" s="38" t="str">
        <f>INDEX(B$80:B$85, MATCH(2, F$80:F$85, 0))</f>
        <v>D1Y</v>
      </c>
      <c r="G101" s="14" t="str">
        <f>INDEX(C$80:C$85, MATCH(2, F$80:F$85, 0))</f>
        <v>U1Y</v>
      </c>
      <c r="K101" s="215" t="s">
        <v>385</v>
      </c>
      <c r="L101" s="172"/>
      <c r="M101" s="172"/>
      <c r="N101" s="172"/>
      <c r="O101" s="172"/>
      <c r="P101" s="173"/>
    </row>
    <row r="102" spans="1:16" ht="16.95" customHeight="1" x14ac:dyDescent="0.3">
      <c r="K102" s="215" t="s">
        <v>386</v>
      </c>
      <c r="L102" s="172"/>
      <c r="M102" s="172"/>
      <c r="N102" s="172"/>
      <c r="O102" s="172"/>
      <c r="P102" s="173"/>
    </row>
    <row r="103" spans="1:16" ht="16.95" customHeight="1" x14ac:dyDescent="0.3">
      <c r="C103" s="218" t="s">
        <v>263</v>
      </c>
      <c r="D103" s="173"/>
      <c r="K103" s="215" t="s">
        <v>387</v>
      </c>
      <c r="L103" s="172"/>
      <c r="M103" s="172"/>
      <c r="N103" s="172"/>
      <c r="O103" s="172"/>
      <c r="P103" s="173"/>
    </row>
    <row r="104" spans="1:16" ht="16.95" customHeight="1" x14ac:dyDescent="0.3">
      <c r="A104" s="99" t="s">
        <v>249</v>
      </c>
      <c r="C104" s="193" t="s">
        <v>264</v>
      </c>
      <c r="D104" s="175"/>
      <c r="F104" s="99" t="s">
        <v>247</v>
      </c>
      <c r="K104" s="215" t="s">
        <v>388</v>
      </c>
      <c r="L104" s="172"/>
      <c r="M104" s="172"/>
      <c r="N104" s="172"/>
      <c r="O104" s="172"/>
      <c r="P104" s="173"/>
    </row>
    <row r="105" spans="1:16" ht="16.95" customHeight="1" x14ac:dyDescent="0.3">
      <c r="A105" s="12" t="str">
        <f>F100</f>
        <v>D1X</v>
      </c>
      <c r="C105" s="93">
        <f t="array" ref="C105:D106">MINVERSE(C100:D101)</f>
        <v>2.7557319223985889E-5</v>
      </c>
      <c r="D105" s="93">
        <v>0</v>
      </c>
      <c r="F105" s="17">
        <f>A100</f>
        <v>3000</v>
      </c>
      <c r="K105" s="215"/>
      <c r="L105" s="172"/>
      <c r="M105" s="172"/>
      <c r="N105" s="172"/>
      <c r="O105" s="172"/>
      <c r="P105" s="173"/>
    </row>
    <row r="106" spans="1:16" ht="16.95" customHeight="1" x14ac:dyDescent="0.3">
      <c r="A106" s="12" t="str">
        <f>F101</f>
        <v>D1Y</v>
      </c>
      <c r="B106" s="13" t="s">
        <v>220</v>
      </c>
      <c r="C106" s="93">
        <v>0</v>
      </c>
      <c r="D106" s="93">
        <v>1.5500992063492059E-5</v>
      </c>
      <c r="F106" s="17">
        <f>A101</f>
        <v>-8000</v>
      </c>
      <c r="K106" s="215"/>
      <c r="L106" s="172"/>
      <c r="M106" s="172"/>
      <c r="N106" s="172"/>
      <c r="O106" s="172"/>
      <c r="P106" s="173"/>
    </row>
    <row r="107" spans="1:16" ht="16.95" customHeight="1" x14ac:dyDescent="0.3">
      <c r="K107" s="215"/>
      <c r="L107" s="172"/>
      <c r="M107" s="172"/>
      <c r="N107" s="172"/>
      <c r="O107" s="172"/>
      <c r="P107" s="173"/>
    </row>
    <row r="108" spans="1:16" ht="16.95" customHeight="1" x14ac:dyDescent="0.3">
      <c r="C108" s="218" t="s">
        <v>265</v>
      </c>
      <c r="D108" s="173"/>
      <c r="K108" s="215"/>
      <c r="L108" s="172"/>
      <c r="M108" s="172"/>
      <c r="N108" s="172"/>
      <c r="O108" s="172"/>
      <c r="P108" s="173"/>
    </row>
    <row r="109" spans="1:16" ht="16.95" customHeight="1" x14ac:dyDescent="0.3">
      <c r="A109" s="99" t="s">
        <v>249</v>
      </c>
      <c r="C109" s="99" t="s">
        <v>266</v>
      </c>
      <c r="K109" s="215"/>
      <c r="L109" s="172"/>
      <c r="M109" s="172"/>
      <c r="N109" s="172"/>
      <c r="O109" s="172"/>
      <c r="P109" s="173"/>
    </row>
    <row r="110" spans="1:16" ht="16.95" customHeight="1" x14ac:dyDescent="0.3">
      <c r="A110" s="12" t="str">
        <f>A105</f>
        <v>D1X</v>
      </c>
      <c r="C110" s="94">
        <f t="array" ref="C110:C111">MMULT(C105:D106, F105:F106)</f>
        <v>8.2671957671957674E-2</v>
      </c>
      <c r="D110" s="12" t="s">
        <v>267</v>
      </c>
      <c r="K110" s="215"/>
      <c r="L110" s="172"/>
      <c r="M110" s="172"/>
      <c r="N110" s="172"/>
      <c r="O110" s="172"/>
      <c r="P110" s="173"/>
    </row>
    <row r="111" spans="1:16" ht="16.95" customHeight="1" x14ac:dyDescent="0.3">
      <c r="A111" s="12" t="str">
        <f>A106</f>
        <v>D1Y</v>
      </c>
      <c r="B111" s="13" t="s">
        <v>220</v>
      </c>
      <c r="C111" s="94">
        <v>-0.12400793650793647</v>
      </c>
      <c r="D111" s="12" t="s">
        <v>267</v>
      </c>
      <c r="K111" s="215"/>
      <c r="L111" s="172"/>
      <c r="M111" s="172"/>
      <c r="N111" s="172"/>
      <c r="O111" s="172"/>
      <c r="P111" s="173"/>
    </row>
    <row r="114" spans="1:16" ht="19.95" customHeight="1" x14ac:dyDescent="0.35">
      <c r="A114" s="11" t="s">
        <v>268</v>
      </c>
      <c r="K114" s="216" t="s">
        <v>269</v>
      </c>
      <c r="L114" s="172"/>
      <c r="M114" s="172"/>
      <c r="N114" s="172"/>
      <c r="O114" s="172"/>
      <c r="P114" s="173"/>
    </row>
    <row r="115" spans="1:16" ht="16.95" customHeight="1" x14ac:dyDescent="0.3">
      <c r="A115" s="99" t="s">
        <v>247</v>
      </c>
      <c r="F115" s="99" t="s">
        <v>249</v>
      </c>
      <c r="K115" s="215" t="s">
        <v>389</v>
      </c>
      <c r="L115" s="172"/>
      <c r="M115" s="172"/>
      <c r="N115" s="172"/>
      <c r="O115" s="172"/>
      <c r="P115" s="173"/>
    </row>
    <row r="116" spans="1:16" ht="16.95" customHeight="1" x14ac:dyDescent="0.3">
      <c r="A116" s="18" t="str">
        <f>INDEX(B$72:B$77, MATCH(G116, C$72:C$77, 0))</f>
        <v>C2X</v>
      </c>
      <c r="C116" s="9">
        <f t="shared" ref="C116:D119" si="8">INDEX($B$63:$G$68, MATCH($G116, $H$63:$H$68, 0), MATCH(C$99, $B$62:$G$62, 0))</f>
        <v>-18144</v>
      </c>
      <c r="D116" s="9">
        <f t="shared" si="8"/>
        <v>24192</v>
      </c>
      <c r="F116" s="95">
        <f>C110</f>
        <v>8.2671957671957674E-2</v>
      </c>
      <c r="G116" s="14" t="str">
        <f>INDEX(C$80:C$85, MATCH(1, G$80:G$85, 0))</f>
        <v>U2X</v>
      </c>
      <c r="K116" s="215" t="s">
        <v>390</v>
      </c>
      <c r="L116" s="172"/>
      <c r="M116" s="172"/>
      <c r="N116" s="172"/>
      <c r="O116" s="172"/>
      <c r="P116" s="173"/>
    </row>
    <row r="117" spans="1:16" ht="16.95" customHeight="1" x14ac:dyDescent="0.3">
      <c r="A117" s="18" t="str">
        <f>INDEX(B$72:B$77, MATCH(G117, C$72:C$77, 0))</f>
        <v>C2Y</v>
      </c>
      <c r="C117" s="9">
        <f t="shared" si="8"/>
        <v>24192</v>
      </c>
      <c r="D117" s="9">
        <f t="shared" si="8"/>
        <v>-32256.000000000007</v>
      </c>
      <c r="F117" s="95">
        <f>C111</f>
        <v>-0.12400793650793647</v>
      </c>
      <c r="G117" s="14" t="str">
        <f>INDEX(C$80:C$85, MATCH(2, G$80:G$85, 0))</f>
        <v>U2Y</v>
      </c>
      <c r="K117" s="215" t="s">
        <v>391</v>
      </c>
      <c r="L117" s="172"/>
      <c r="M117" s="172"/>
      <c r="N117" s="172"/>
      <c r="O117" s="172"/>
      <c r="P117" s="173"/>
    </row>
    <row r="118" spans="1:16" ht="16.95" customHeight="1" x14ac:dyDescent="0.3">
      <c r="A118" s="18" t="str">
        <f>INDEX(B$72:B$77, MATCH(G118, C$72:C$77, 0))</f>
        <v>C3X</v>
      </c>
      <c r="B118" s="13" t="s">
        <v>220</v>
      </c>
      <c r="C118" s="9">
        <f t="shared" si="8"/>
        <v>-18144</v>
      </c>
      <c r="D118" s="9">
        <f t="shared" si="8"/>
        <v>-24192</v>
      </c>
      <c r="G118" s="14" t="str">
        <f>INDEX(C$80:C$85, MATCH(3, G$80:G$85, 0))</f>
        <v>U3X</v>
      </c>
      <c r="K118" s="215" t="s">
        <v>392</v>
      </c>
      <c r="L118" s="172"/>
      <c r="M118" s="172"/>
      <c r="N118" s="172"/>
      <c r="O118" s="172"/>
      <c r="P118" s="173"/>
    </row>
    <row r="119" spans="1:16" ht="16.95" customHeight="1" x14ac:dyDescent="0.3">
      <c r="A119" s="18" t="str">
        <f>INDEX(B$72:B$77, MATCH(G119, C$72:C$77, 0))</f>
        <v>C3Y</v>
      </c>
      <c r="C119" s="9">
        <f t="shared" si="8"/>
        <v>-24192</v>
      </c>
      <c r="D119" s="9">
        <f t="shared" si="8"/>
        <v>-32256.000000000007</v>
      </c>
      <c r="G119" s="14" t="str">
        <f>INDEX(C$80:C$85, MATCH(4, G$80:G$85, 0))</f>
        <v>U3Y</v>
      </c>
      <c r="K119" s="215" t="s">
        <v>393</v>
      </c>
      <c r="L119" s="172"/>
      <c r="M119" s="172"/>
      <c r="N119" s="172"/>
      <c r="O119" s="172"/>
      <c r="P119" s="173"/>
    </row>
    <row r="120" spans="1:16" ht="16.95" customHeight="1" x14ac:dyDescent="0.3">
      <c r="K120" s="215" t="s">
        <v>394</v>
      </c>
      <c r="L120" s="172"/>
      <c r="M120" s="172"/>
      <c r="N120" s="172"/>
      <c r="O120" s="172"/>
      <c r="P120" s="173"/>
    </row>
    <row r="121" spans="1:16" ht="16.95" customHeight="1" x14ac:dyDescent="0.3">
      <c r="A121" s="12" t="str">
        <f>A116</f>
        <v>C2X</v>
      </c>
      <c r="C121" s="17">
        <f t="array" ref="C121:C124">MMULT(C116:D119, F116:F117)</f>
        <v>-4499.9999999999991</v>
      </c>
      <c r="D121" s="12" t="s">
        <v>273</v>
      </c>
      <c r="K121" s="215"/>
      <c r="L121" s="172"/>
      <c r="M121" s="172"/>
      <c r="N121" s="172"/>
      <c r="O121" s="172"/>
      <c r="P121" s="173"/>
    </row>
    <row r="122" spans="1:16" ht="16.95" customHeight="1" x14ac:dyDescent="0.3">
      <c r="A122" s="12" t="str">
        <f>A117</f>
        <v>C2Y</v>
      </c>
      <c r="C122" s="17">
        <v>6000</v>
      </c>
      <c r="D122" s="12" t="s">
        <v>273</v>
      </c>
      <c r="K122" s="215"/>
      <c r="L122" s="172"/>
      <c r="M122" s="172"/>
      <c r="N122" s="172"/>
      <c r="O122" s="172"/>
      <c r="P122" s="173"/>
    </row>
    <row r="123" spans="1:16" ht="16.95" customHeight="1" x14ac:dyDescent="0.3">
      <c r="A123" s="12" t="str">
        <f>A118</f>
        <v>C3X</v>
      </c>
      <c r="B123" s="13" t="s">
        <v>220</v>
      </c>
      <c r="C123" s="17">
        <v>1499.9999999999991</v>
      </c>
      <c r="D123" s="12" t="s">
        <v>273</v>
      </c>
      <c r="K123" s="215"/>
      <c r="L123" s="172"/>
      <c r="M123" s="172"/>
      <c r="N123" s="172"/>
      <c r="O123" s="172"/>
      <c r="P123" s="173"/>
    </row>
    <row r="124" spans="1:16" ht="16.95" customHeight="1" x14ac:dyDescent="0.3">
      <c r="A124" s="12" t="str">
        <f>A119</f>
        <v>C3Y</v>
      </c>
      <c r="C124" s="17">
        <v>1999.9999999999995</v>
      </c>
      <c r="D124" s="12" t="s">
        <v>273</v>
      </c>
      <c r="K124" s="215"/>
      <c r="L124" s="172"/>
      <c r="M124" s="172"/>
      <c r="N124" s="172"/>
      <c r="O124" s="172"/>
      <c r="P124" s="173"/>
    </row>
    <row r="127" spans="1:16" ht="19.95" customHeight="1" x14ac:dyDescent="0.35">
      <c r="A127" s="11" t="s">
        <v>274</v>
      </c>
    </row>
    <row r="129" spans="1:16" ht="19.05" customHeight="1" x14ac:dyDescent="0.3">
      <c r="A129" s="12" t="s">
        <v>228</v>
      </c>
      <c r="B129" s="12" t="s">
        <v>178</v>
      </c>
      <c r="D129" s="94">
        <f t="shared" ref="D129:D134" si="9">IFERROR(INDEX(C$110:C$111, MATCH(A129, A$110:A$111, 0)), 0)</f>
        <v>8.2671957671957674E-2</v>
      </c>
    </row>
    <row r="130" spans="1:16" ht="19.05" customHeight="1" x14ac:dyDescent="0.3">
      <c r="A130" s="12" t="s">
        <v>229</v>
      </c>
      <c r="B130" s="12" t="s">
        <v>179</v>
      </c>
      <c r="D130" s="94">
        <f t="shared" si="9"/>
        <v>-0.12400793650793647</v>
      </c>
    </row>
    <row r="131" spans="1:16" ht="19.05" customHeight="1" x14ac:dyDescent="0.3">
      <c r="A131" s="12" t="s">
        <v>230</v>
      </c>
      <c r="B131" s="12" t="s">
        <v>180</v>
      </c>
      <c r="D131" s="94">
        <f t="shared" si="9"/>
        <v>0</v>
      </c>
    </row>
    <row r="132" spans="1:16" ht="19.05" customHeight="1" x14ac:dyDescent="0.3">
      <c r="A132" s="12" t="s">
        <v>231</v>
      </c>
      <c r="B132" s="12" t="s">
        <v>181</v>
      </c>
      <c r="D132" s="94">
        <f t="shared" si="9"/>
        <v>0</v>
      </c>
    </row>
    <row r="133" spans="1:16" ht="19.05" customHeight="1" x14ac:dyDescent="0.3">
      <c r="A133" s="12" t="s">
        <v>232</v>
      </c>
      <c r="B133" s="12" t="s">
        <v>182</v>
      </c>
      <c r="D133" s="94">
        <f t="shared" si="9"/>
        <v>0</v>
      </c>
    </row>
    <row r="134" spans="1:16" ht="19.05" customHeight="1" x14ac:dyDescent="0.3">
      <c r="A134" s="12" t="s">
        <v>234</v>
      </c>
      <c r="B134" s="12" t="s">
        <v>183</v>
      </c>
      <c r="D134" s="94">
        <f t="shared" si="9"/>
        <v>0</v>
      </c>
    </row>
    <row r="137" spans="1:16" ht="19.95" customHeight="1" x14ac:dyDescent="0.35">
      <c r="A137" s="11" t="s">
        <v>275</v>
      </c>
      <c r="K137" s="216" t="s">
        <v>276</v>
      </c>
      <c r="L137" s="172"/>
      <c r="M137" s="172"/>
      <c r="N137" s="172"/>
      <c r="O137" s="172"/>
      <c r="P137" s="173"/>
    </row>
    <row r="138" spans="1:16" ht="16.95" customHeight="1" x14ac:dyDescent="0.3">
      <c r="K138" s="215" t="s">
        <v>395</v>
      </c>
      <c r="L138" s="172"/>
      <c r="M138" s="172"/>
      <c r="N138" s="172"/>
      <c r="O138" s="172"/>
      <c r="P138" s="173"/>
    </row>
    <row r="139" spans="1:16" ht="16.95" customHeight="1" x14ac:dyDescent="0.3">
      <c r="A139" s="19" t="s">
        <v>278</v>
      </c>
      <c r="C139" s="19" t="s">
        <v>279</v>
      </c>
      <c r="D139" s="19" t="s">
        <v>280</v>
      </c>
      <c r="E139" s="19" t="s">
        <v>279</v>
      </c>
      <c r="F139" s="19" t="s">
        <v>280</v>
      </c>
      <c r="G139" s="19" t="s">
        <v>249</v>
      </c>
      <c r="K139" s="215" t="s">
        <v>396</v>
      </c>
      <c r="L139" s="172"/>
      <c r="M139" s="172"/>
      <c r="N139" s="172"/>
      <c r="O139" s="172"/>
      <c r="P139" s="173"/>
    </row>
    <row r="140" spans="1:16" ht="16.95" customHeight="1" x14ac:dyDescent="0.3">
      <c r="C140" s="19" t="s">
        <v>282</v>
      </c>
      <c r="D140" s="19" t="s">
        <v>282</v>
      </c>
      <c r="E140" s="19" t="s">
        <v>283</v>
      </c>
      <c r="F140" s="19" t="s">
        <v>283</v>
      </c>
      <c r="K140" s="215" t="s">
        <v>397</v>
      </c>
      <c r="L140" s="172"/>
      <c r="M140" s="172"/>
      <c r="N140" s="172"/>
      <c r="O140" s="172"/>
      <c r="P140" s="173"/>
    </row>
    <row r="141" spans="1:16" ht="16.95" customHeight="1" x14ac:dyDescent="0.3">
      <c r="A141" s="17">
        <f>N6</f>
        <v>50400</v>
      </c>
      <c r="C141" s="92">
        <f>-J6</f>
        <v>-0.6</v>
      </c>
      <c r="D141" s="92">
        <f>-K6</f>
        <v>0.8</v>
      </c>
      <c r="E141" s="92">
        <f>J6</f>
        <v>0.6</v>
      </c>
      <c r="F141" s="92">
        <f>K6</f>
        <v>-0.8</v>
      </c>
      <c r="G141" s="96">
        <f>IFERROR(VLOOKUP(H141, A$129:D$134, 4, FALSE), 0)</f>
        <v>8.2671957671957674E-2</v>
      </c>
      <c r="H141" s="12" t="str">
        <f>"D" &amp; C12 &amp; "X"</f>
        <v>D1X</v>
      </c>
      <c r="K141" s="215" t="s">
        <v>398</v>
      </c>
      <c r="L141" s="172"/>
      <c r="M141" s="172"/>
      <c r="N141" s="172"/>
      <c r="O141" s="172"/>
      <c r="P141" s="173"/>
    </row>
    <row r="142" spans="1:16" ht="16.95" customHeight="1" x14ac:dyDescent="0.3">
      <c r="A142" s="99" t="s">
        <v>285</v>
      </c>
      <c r="B142" s="97">
        <f>(MMULT(C141:F141, G141:G144)*A141)</f>
        <v>-7499.9999999999982</v>
      </c>
      <c r="G142" s="96">
        <f>IFERROR(VLOOKUP(H142, A$129:D$134, 4, FALSE), 0)</f>
        <v>-0.12400793650793647</v>
      </c>
      <c r="H142" s="12" t="str">
        <f>"D" &amp; D12 &amp; "Y"</f>
        <v>D1Y</v>
      </c>
      <c r="K142" s="215" t="s">
        <v>399</v>
      </c>
      <c r="L142" s="172"/>
      <c r="M142" s="172"/>
      <c r="N142" s="172"/>
      <c r="O142" s="172"/>
      <c r="P142" s="173"/>
    </row>
    <row r="143" spans="1:16" ht="16.95" customHeight="1" x14ac:dyDescent="0.3">
      <c r="G143" s="96">
        <f>IFERROR(VLOOKUP(H143, A$129:D$134, 4, FALSE), 0)</f>
        <v>0</v>
      </c>
      <c r="H143" s="12" t="str">
        <f>"D" &amp; E12 &amp; "X"</f>
        <v>D2X</v>
      </c>
      <c r="K143" s="215" t="s">
        <v>400</v>
      </c>
      <c r="L143" s="172"/>
      <c r="M143" s="172"/>
      <c r="N143" s="172"/>
      <c r="O143" s="172"/>
      <c r="P143" s="173"/>
    </row>
    <row r="144" spans="1:16" ht="16.95" customHeight="1" x14ac:dyDescent="0.3">
      <c r="G144" s="96">
        <f>IFERROR(VLOOKUP(H144, A$129:D$134, 4, FALSE), 0)</f>
        <v>0</v>
      </c>
      <c r="H144" s="12" t="str">
        <f>"D" &amp; F12 &amp; "Y"</f>
        <v>D2Y</v>
      </c>
      <c r="K144" s="215" t="s">
        <v>401</v>
      </c>
      <c r="L144" s="172"/>
      <c r="M144" s="172"/>
      <c r="N144" s="172"/>
      <c r="O144" s="172"/>
      <c r="P144" s="173"/>
    </row>
    <row r="145" spans="1:16" ht="16.95" customHeight="1" x14ac:dyDescent="0.3">
      <c r="B145" s="99" t="s">
        <v>273</v>
      </c>
      <c r="C145" s="178" t="str">
        <f>IF(B142&gt;0.001,"BARRA A TRACCIÓN (+)",IF(B142&lt;-0.001,"BARRA A COMPRESIÓN (-)","BARRA DE FUERZA NULA"))</f>
        <v>BARRA A COMPRESIÓN (-)</v>
      </c>
      <c r="D145" s="172"/>
      <c r="E145" s="172"/>
      <c r="F145" s="173"/>
      <c r="K145" s="215" t="s">
        <v>402</v>
      </c>
      <c r="L145" s="172"/>
      <c r="M145" s="172"/>
      <c r="N145" s="172"/>
      <c r="O145" s="172"/>
      <c r="P145" s="173"/>
    </row>
    <row r="146" spans="1:16" ht="16.95" customHeight="1" x14ac:dyDescent="0.3">
      <c r="K146" s="215" t="s">
        <v>403</v>
      </c>
      <c r="L146" s="172"/>
      <c r="M146" s="172"/>
      <c r="N146" s="172"/>
      <c r="O146" s="172"/>
      <c r="P146" s="173"/>
    </row>
    <row r="147" spans="1:16" ht="16.95" customHeight="1" x14ac:dyDescent="0.3">
      <c r="A147" s="19" t="s">
        <v>278</v>
      </c>
      <c r="C147" s="19" t="s">
        <v>279</v>
      </c>
      <c r="D147" s="19" t="s">
        <v>280</v>
      </c>
      <c r="E147" s="19" t="s">
        <v>279</v>
      </c>
      <c r="F147" s="19" t="s">
        <v>280</v>
      </c>
      <c r="G147" s="19" t="s">
        <v>249</v>
      </c>
      <c r="K147" s="215"/>
      <c r="L147" s="172"/>
      <c r="M147" s="172"/>
      <c r="N147" s="172"/>
      <c r="O147" s="172"/>
      <c r="P147" s="173"/>
    </row>
    <row r="148" spans="1:16" ht="16.95" customHeight="1" x14ac:dyDescent="0.3">
      <c r="C148" s="19" t="s">
        <v>282</v>
      </c>
      <c r="D148" s="19" t="s">
        <v>282</v>
      </c>
      <c r="E148" s="19" t="s">
        <v>283</v>
      </c>
      <c r="F148" s="19" t="s">
        <v>283</v>
      </c>
      <c r="K148" s="215"/>
      <c r="L148" s="172"/>
      <c r="M148" s="172"/>
      <c r="N148" s="172"/>
      <c r="O148" s="172"/>
      <c r="P148" s="173"/>
    </row>
    <row r="149" spans="1:16" ht="16.95" customHeight="1" x14ac:dyDescent="0.3">
      <c r="A149" s="17">
        <f>N7</f>
        <v>42000</v>
      </c>
      <c r="C149" s="92">
        <f>-J7</f>
        <v>1</v>
      </c>
      <c r="D149" s="92">
        <f>-K7</f>
        <v>0</v>
      </c>
      <c r="E149" s="92">
        <f>J7</f>
        <v>-1</v>
      </c>
      <c r="F149" s="92">
        <f>K7</f>
        <v>0</v>
      </c>
      <c r="G149" s="96">
        <f>IFERROR(VLOOKUP(H149, A$129:D$134, 4, FALSE), 0)</f>
        <v>0</v>
      </c>
      <c r="H149" s="12" t="str">
        <f>"D" &amp; C13 &amp; "X"</f>
        <v>D2X</v>
      </c>
      <c r="K149" s="215"/>
      <c r="L149" s="172"/>
      <c r="M149" s="172"/>
      <c r="N149" s="172"/>
      <c r="O149" s="172"/>
      <c r="P149" s="173"/>
    </row>
    <row r="150" spans="1:16" ht="16.95" customHeight="1" x14ac:dyDescent="0.3">
      <c r="A150" s="99" t="s">
        <v>286</v>
      </c>
      <c r="B150" s="97">
        <f>(MMULT(C149:F149, G149:G152)*A149)</f>
        <v>0</v>
      </c>
      <c r="G150" s="96">
        <f>IFERROR(VLOOKUP(H150, A$129:D$134, 4, FALSE), 0)</f>
        <v>0</v>
      </c>
      <c r="H150" s="12" t="str">
        <f>"D" &amp; D13 &amp; "Y"</f>
        <v>D2Y</v>
      </c>
      <c r="K150" s="215"/>
      <c r="L150" s="172"/>
      <c r="M150" s="172"/>
      <c r="N150" s="172"/>
      <c r="O150" s="172"/>
      <c r="P150" s="173"/>
    </row>
    <row r="151" spans="1:16" ht="16.95" customHeight="1" x14ac:dyDescent="0.3">
      <c r="G151" s="96">
        <f>IFERROR(VLOOKUP(H151, A$129:D$134, 4, FALSE), 0)</f>
        <v>0</v>
      </c>
      <c r="H151" s="12" t="str">
        <f>"D" &amp; E13 &amp; "X"</f>
        <v>D3X</v>
      </c>
      <c r="K151" s="215"/>
      <c r="L151" s="172"/>
      <c r="M151" s="172"/>
      <c r="N151" s="172"/>
      <c r="O151" s="172"/>
      <c r="P151" s="173"/>
    </row>
    <row r="152" spans="1:16" ht="16.95" customHeight="1" x14ac:dyDescent="0.3">
      <c r="G152" s="96">
        <f>IFERROR(VLOOKUP(H152, A$129:D$134, 4, FALSE), 0)</f>
        <v>0</v>
      </c>
      <c r="H152" s="12" t="str">
        <f>"D" &amp; F13 &amp; "Y"</f>
        <v>D3Y</v>
      </c>
      <c r="K152" s="215"/>
      <c r="L152" s="172"/>
      <c r="M152" s="172"/>
      <c r="N152" s="172"/>
      <c r="O152" s="172"/>
      <c r="P152" s="173"/>
    </row>
    <row r="153" spans="1:16" ht="16.95" customHeight="1" x14ac:dyDescent="0.3">
      <c r="B153" s="99" t="s">
        <v>273</v>
      </c>
      <c r="C153" s="178" t="str">
        <f>IF(B150&gt;0.001,"BARRA A TRACCIÓN (+)",IF(B150&lt;-0.001,"BARRA A COMPRESIÓN (-)","BARRA DE FUERZA NULA"))</f>
        <v>BARRA DE FUERZA NULA</v>
      </c>
      <c r="D153" s="172"/>
      <c r="E153" s="172"/>
      <c r="F153" s="173"/>
      <c r="K153" s="215"/>
      <c r="L153" s="172"/>
      <c r="M153" s="172"/>
      <c r="N153" s="172"/>
      <c r="O153" s="172"/>
      <c r="P153" s="173"/>
    </row>
    <row r="154" spans="1:16" ht="16.95" customHeight="1" x14ac:dyDescent="0.3">
      <c r="K154" s="215"/>
      <c r="L154" s="172"/>
      <c r="M154" s="172"/>
      <c r="N154" s="172"/>
      <c r="O154" s="172"/>
      <c r="P154" s="173"/>
    </row>
    <row r="155" spans="1:16" ht="16.95" customHeight="1" x14ac:dyDescent="0.3">
      <c r="A155" s="19" t="s">
        <v>278</v>
      </c>
      <c r="C155" s="19" t="s">
        <v>279</v>
      </c>
      <c r="D155" s="19" t="s">
        <v>280</v>
      </c>
      <c r="E155" s="19" t="s">
        <v>279</v>
      </c>
      <c r="F155" s="19" t="s">
        <v>280</v>
      </c>
      <c r="G155" s="19" t="s">
        <v>249</v>
      </c>
      <c r="K155" s="215"/>
      <c r="L155" s="172"/>
      <c r="M155" s="172"/>
      <c r="N155" s="172"/>
      <c r="O155" s="172"/>
      <c r="P155" s="173"/>
    </row>
    <row r="156" spans="1:16" ht="16.95" customHeight="1" x14ac:dyDescent="0.3">
      <c r="C156" s="19" t="s">
        <v>282</v>
      </c>
      <c r="D156" s="19" t="s">
        <v>282</v>
      </c>
      <c r="E156" s="19" t="s">
        <v>283</v>
      </c>
      <c r="F156" s="19" t="s">
        <v>283</v>
      </c>
      <c r="K156" s="215"/>
      <c r="L156" s="172"/>
      <c r="M156" s="172"/>
      <c r="N156" s="172"/>
      <c r="O156" s="172"/>
      <c r="P156" s="173"/>
    </row>
    <row r="157" spans="1:16" ht="16.95" customHeight="1" x14ac:dyDescent="0.3">
      <c r="A157" s="17">
        <f>N8</f>
        <v>50400</v>
      </c>
      <c r="C157" s="92">
        <f>-J8</f>
        <v>-0.6</v>
      </c>
      <c r="D157" s="92">
        <f>-K8</f>
        <v>-0.8</v>
      </c>
      <c r="E157" s="92">
        <f>J8</f>
        <v>0.6</v>
      </c>
      <c r="F157" s="92">
        <f>K8</f>
        <v>0.8</v>
      </c>
      <c r="G157" s="96">
        <f>IFERROR(VLOOKUP(H157, A$129:D$134, 4, FALSE), 0)</f>
        <v>0</v>
      </c>
      <c r="H157" s="12" t="str">
        <f>"D" &amp; C14 &amp; "X"</f>
        <v>D3X</v>
      </c>
      <c r="K157" s="215"/>
      <c r="L157" s="172"/>
      <c r="M157" s="172"/>
      <c r="N157" s="172"/>
      <c r="O157" s="172"/>
      <c r="P157" s="173"/>
    </row>
    <row r="158" spans="1:16" ht="16.95" customHeight="1" x14ac:dyDescent="0.3">
      <c r="A158" s="99" t="s">
        <v>287</v>
      </c>
      <c r="B158" s="97">
        <f>(MMULT(C157:F157, G157:G160)*A157)</f>
        <v>-2499.9999999999991</v>
      </c>
      <c r="G158" s="96">
        <f>IFERROR(VLOOKUP(H158, A$129:D$134, 4, FALSE), 0)</f>
        <v>0</v>
      </c>
      <c r="H158" s="12" t="str">
        <f>"D" &amp; D14 &amp; "Y"</f>
        <v>D3Y</v>
      </c>
      <c r="K158" s="215"/>
      <c r="L158" s="172"/>
      <c r="M158" s="172"/>
      <c r="N158" s="172"/>
      <c r="O158" s="172"/>
      <c r="P158" s="173"/>
    </row>
    <row r="159" spans="1:16" ht="16.95" customHeight="1" x14ac:dyDescent="0.3">
      <c r="G159" s="96">
        <f>IFERROR(VLOOKUP(H159, A$129:D$134, 4, FALSE), 0)</f>
        <v>8.2671957671957674E-2</v>
      </c>
      <c r="H159" s="12" t="str">
        <f>"D" &amp; E14 &amp; "X"</f>
        <v>D1X</v>
      </c>
      <c r="K159" s="215"/>
      <c r="L159" s="172"/>
      <c r="M159" s="172"/>
      <c r="N159" s="172"/>
      <c r="O159" s="172"/>
      <c r="P159" s="173"/>
    </row>
    <row r="160" spans="1:16" ht="16.95" customHeight="1" x14ac:dyDescent="0.3">
      <c r="G160" s="96">
        <f>IFERROR(VLOOKUP(H160, A$129:D$134, 4, FALSE), 0)</f>
        <v>-0.12400793650793647</v>
      </c>
      <c r="H160" s="12" t="str">
        <f>"D" &amp; F14 &amp; "Y"</f>
        <v>D1Y</v>
      </c>
      <c r="K160" s="215"/>
      <c r="L160" s="172"/>
      <c r="M160" s="172"/>
      <c r="N160" s="172"/>
      <c r="O160" s="172"/>
      <c r="P160" s="173"/>
    </row>
    <row r="161" spans="2:16" ht="16.95" customHeight="1" x14ac:dyDescent="0.3">
      <c r="B161" s="99" t="s">
        <v>273</v>
      </c>
      <c r="C161" s="178" t="str">
        <f>IF(B158&gt;0.001,"BARRA A TRACCIÓN (+)",IF(B158&lt;-0.001,"BARRA A COMPRESIÓN (-)","BARRA DE FUERZA NULA"))</f>
        <v>BARRA A COMPRESIÓN (-)</v>
      </c>
      <c r="D161" s="172"/>
      <c r="E161" s="172"/>
      <c r="F161" s="173"/>
      <c r="K161" s="215"/>
      <c r="L161" s="172"/>
      <c r="M161" s="172"/>
      <c r="N161" s="172"/>
      <c r="O161" s="172"/>
      <c r="P161" s="173"/>
    </row>
    <row r="162" spans="2:16" ht="16.95" customHeight="1" x14ac:dyDescent="0.3">
      <c r="K162" s="215"/>
      <c r="L162" s="172"/>
      <c r="M162" s="172"/>
      <c r="N162" s="172"/>
      <c r="O162" s="172"/>
      <c r="P162" s="173"/>
    </row>
    <row r="164" spans="2:16" ht="22.05" customHeight="1" x14ac:dyDescent="0.3">
      <c r="B164" s="217" t="s">
        <v>404</v>
      </c>
      <c r="C164" s="175"/>
      <c r="D164" s="175"/>
      <c r="E164" s="175"/>
      <c r="F164" s="175"/>
      <c r="G164" s="175"/>
      <c r="H164" s="175"/>
    </row>
    <row r="165" spans="2:16" ht="24" customHeight="1" x14ac:dyDescent="0.3">
      <c r="B165" s="87" t="s">
        <v>294</v>
      </c>
      <c r="C165" s="87" t="s">
        <v>295</v>
      </c>
      <c r="D165" s="87" t="s">
        <v>296</v>
      </c>
      <c r="E165" s="87" t="s">
        <v>297</v>
      </c>
      <c r="F165" s="87" t="s">
        <v>298</v>
      </c>
      <c r="G165" s="87" t="s">
        <v>299</v>
      </c>
      <c r="H165" s="87" t="s">
        <v>300</v>
      </c>
    </row>
    <row r="166" spans="2:16" ht="19.95" customHeight="1" x14ac:dyDescent="0.3">
      <c r="B166" s="85">
        <v>1</v>
      </c>
      <c r="C166" s="86">
        <f>C12</f>
        <v>1</v>
      </c>
      <c r="D166" s="86">
        <f>E12</f>
        <v>2</v>
      </c>
      <c r="E166" s="9">
        <f>I6</f>
        <v>500</v>
      </c>
      <c r="F166" s="9">
        <f>L6</f>
        <v>12</v>
      </c>
      <c r="G166" s="97">
        <f>B142</f>
        <v>-7499.9999999999982</v>
      </c>
      <c r="H166" s="84" t="str">
        <f>C145</f>
        <v>BARRA A COMPRESIÓN (-)</v>
      </c>
    </row>
    <row r="167" spans="2:16" ht="19.95" customHeight="1" x14ac:dyDescent="0.3">
      <c r="B167" s="25">
        <v>2</v>
      </c>
      <c r="C167" s="86">
        <f>C13</f>
        <v>2</v>
      </c>
      <c r="D167" s="86">
        <f>E13</f>
        <v>3</v>
      </c>
      <c r="E167" s="9">
        <f>I7</f>
        <v>600</v>
      </c>
      <c r="F167" s="9">
        <f>L7</f>
        <v>12</v>
      </c>
      <c r="G167" s="97">
        <f>B150</f>
        <v>0</v>
      </c>
      <c r="H167" s="84" t="str">
        <f>C153</f>
        <v>BARRA DE FUERZA NULA</v>
      </c>
    </row>
    <row r="168" spans="2:16" ht="19.95" customHeight="1" x14ac:dyDescent="0.3">
      <c r="B168" s="26">
        <v>3</v>
      </c>
      <c r="C168" s="86">
        <f>C14</f>
        <v>3</v>
      </c>
      <c r="D168" s="86">
        <f>E14</f>
        <v>1</v>
      </c>
      <c r="E168" s="9">
        <f>I8</f>
        <v>500</v>
      </c>
      <c r="F168" s="9">
        <f>L8</f>
        <v>12</v>
      </c>
      <c r="G168" s="97">
        <f>B158</f>
        <v>-2499.9999999999991</v>
      </c>
      <c r="H168" s="84" t="str">
        <f>C161</f>
        <v>BARRA A COMPRESIÓN (-)</v>
      </c>
    </row>
  </sheetData>
  <mergeCells count="101">
    <mergeCell ref="B164:H164"/>
    <mergeCell ref="K77:P77"/>
    <mergeCell ref="C161:F161"/>
    <mergeCell ref="K151:P151"/>
    <mergeCell ref="C145:F145"/>
    <mergeCell ref="K152:P152"/>
    <mergeCell ref="K158:P158"/>
    <mergeCell ref="K142:P142"/>
    <mergeCell ref="K80:P80"/>
    <mergeCell ref="K95:P95"/>
    <mergeCell ref="K89:P89"/>
    <mergeCell ref="K155:P155"/>
    <mergeCell ref="K157:P157"/>
    <mergeCell ref="K159:P159"/>
    <mergeCell ref="K161:P161"/>
    <mergeCell ref="K160:P160"/>
    <mergeCell ref="K162:P162"/>
    <mergeCell ref="K104:P104"/>
    <mergeCell ref="K105:P105"/>
    <mergeCell ref="K87:P87"/>
    <mergeCell ref="K85:P85"/>
    <mergeCell ref="K100:P100"/>
    <mergeCell ref="C108:D108"/>
    <mergeCell ref="K106:P106"/>
    <mergeCell ref="C153:F153"/>
    <mergeCell ref="K75:P75"/>
    <mergeCell ref="K84:P84"/>
    <mergeCell ref="K149:P149"/>
    <mergeCell ref="K102:P102"/>
    <mergeCell ref="K4:K5"/>
    <mergeCell ref="K83:P83"/>
    <mergeCell ref="J4:J5"/>
    <mergeCell ref="L4:L5"/>
    <mergeCell ref="K94:P94"/>
    <mergeCell ref="B1:N1"/>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116:P116"/>
    <mergeCell ref="K103:P103"/>
    <mergeCell ref="K78:P78"/>
    <mergeCell ref="K118:P118"/>
    <mergeCell ref="B2:N2"/>
    <mergeCell ref="K143:P143"/>
    <mergeCell ref="K92:P92"/>
    <mergeCell ref="B4:B5"/>
    <mergeCell ref="N4:N5"/>
    <mergeCell ref="K109:P109"/>
    <mergeCell ref="K119:P119"/>
    <mergeCell ref="K150:P150"/>
    <mergeCell ref="C104:D104"/>
    <mergeCell ref="K111:P111"/>
    <mergeCell ref="C10:D10"/>
    <mergeCell ref="K71:P71"/>
    <mergeCell ref="E10:F10"/>
    <mergeCell ref="C103:D103"/>
    <mergeCell ref="K145:P145"/>
    <mergeCell ref="K98:P98"/>
    <mergeCell ref="B10:B11"/>
    <mergeCell ref="K73:P73"/>
    <mergeCell ref="K82:P82"/>
    <mergeCell ref="K147:P147"/>
    <mergeCell ref="B3:D3"/>
    <mergeCell ref="C87:D87"/>
    <mergeCell ref="H4:H5"/>
    <mergeCell ref="K79:P79"/>
    <mergeCell ref="K156:P156"/>
    <mergeCell ref="G4:G5"/>
    <mergeCell ref="I4:I5"/>
    <mergeCell ref="K137:P137"/>
    <mergeCell ref="K146:P146"/>
    <mergeCell ref="K124:P124"/>
    <mergeCell ref="K121:P121"/>
    <mergeCell ref="K74:P74"/>
    <mergeCell ref="K139:P139"/>
    <mergeCell ref="K108:P108"/>
    <mergeCell ref="M4:M5"/>
    <mergeCell ref="K123:P123"/>
    <mergeCell ref="K110:P110"/>
    <mergeCell ref="K91:P91"/>
    <mergeCell ref="K144:P144"/>
    <mergeCell ref="K122:P122"/>
    <mergeCell ref="K153:P153"/>
    <mergeCell ref="K72:P72"/>
    <mergeCell ref="K81:P81"/>
    <mergeCell ref="K120:P120"/>
    <mergeCell ref="K107:P107"/>
    <mergeCell ref="K148:P148"/>
    <mergeCell ref="K141:P141"/>
    <mergeCell ref="K93:P93"/>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647</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350</v>
      </c>
      <c r="AB5" s="20">
        <f>IF(F28="","",F28)</f>
        <v>300</v>
      </c>
      <c r="AC5" t="s">
        <v>313</v>
      </c>
    </row>
    <row r="6" spans="2:29" ht="24" customHeight="1" x14ac:dyDescent="0.3">
      <c r="B6" s="206">
        <f>COUNT(C14:C23)</f>
        <v>3</v>
      </c>
      <c r="C6" s="173"/>
      <c r="D6" s="206">
        <f>COUNT(C28:C42)</f>
        <v>3</v>
      </c>
      <c r="E6" s="173"/>
      <c r="F6" s="206">
        <f>SUM(F14:G23)</f>
        <v>5</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700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700</v>
      </c>
      <c r="AB8" s="20">
        <f>IF(F29="","",F29)</f>
        <v>0</v>
      </c>
      <c r="AC8" t="s">
        <v>316</v>
      </c>
    </row>
    <row r="9" spans="2:29" x14ac:dyDescent="0.3">
      <c r="AA9" s="20">
        <f>IF(G29="","",G29)</f>
        <v>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350</v>
      </c>
      <c r="AB12" s="20">
        <f>IF(H30="","",H30)</f>
        <v>300</v>
      </c>
      <c r="AC12" t="s">
        <v>325</v>
      </c>
    </row>
    <row r="14" spans="2:29" ht="19.05" customHeight="1" x14ac:dyDescent="0.3">
      <c r="B14" s="89">
        <v>1</v>
      </c>
      <c r="C14" s="21">
        <v>350</v>
      </c>
      <c r="D14" s="21">
        <v>300</v>
      </c>
      <c r="E14" s="21" t="s">
        <v>417</v>
      </c>
      <c r="F14" s="88">
        <f t="shared" ref="F14:F23" si="0">IF(OR(ISBLANK(C14),C14=""),"",IF(E14="Fijo (articulado)",1,IF(E14="Rodillo X (despl. Y libre)",1,0)))</f>
        <v>1</v>
      </c>
      <c r="G14" s="88">
        <f t="shared" ref="G14:G23" si="1">IF(OR(ISBLANK(C14),C14=""),"",IF(E14="Fijo (articulado)",1,IF(E14="Rodillo Y (despl. X libre)",1,0)))</f>
        <v>0</v>
      </c>
      <c r="H14" s="22">
        <v>0</v>
      </c>
      <c r="I14" s="22">
        <v>-5000</v>
      </c>
      <c r="J14" s="205" t="s">
        <v>648</v>
      </c>
      <c r="K14" s="172"/>
      <c r="L14" s="172"/>
      <c r="M14" s="172"/>
      <c r="N14" s="172"/>
      <c r="O14" s="173"/>
      <c r="AA14" s="20" t="str">
        <f>IF(E31="","",E31)</f>
        <v/>
      </c>
      <c r="AB14" s="20" t="str">
        <f>IF(F31="","",F31)</f>
        <v/>
      </c>
      <c r="AC14" t="s">
        <v>328</v>
      </c>
    </row>
    <row r="15" spans="2:29" ht="19.05" customHeight="1" x14ac:dyDescent="0.3">
      <c r="B15" s="89">
        <v>2</v>
      </c>
      <c r="C15" s="21">
        <v>700</v>
      </c>
      <c r="D15" s="21">
        <v>0</v>
      </c>
      <c r="E15" s="21" t="s">
        <v>332</v>
      </c>
      <c r="F15" s="88">
        <f t="shared" si="0"/>
        <v>1</v>
      </c>
      <c r="G15" s="88">
        <f t="shared" si="1"/>
        <v>1</v>
      </c>
      <c r="H15" s="22">
        <v>0</v>
      </c>
      <c r="I15" s="22">
        <v>0</v>
      </c>
      <c r="J15" s="205" t="s">
        <v>645</v>
      </c>
      <c r="K15" s="172"/>
      <c r="L15" s="172"/>
      <c r="M15" s="172"/>
      <c r="N15" s="172"/>
      <c r="O15" s="173"/>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205" t="s">
        <v>439</v>
      </c>
      <c r="K16" s="172"/>
      <c r="L16" s="172"/>
      <c r="M16" s="172"/>
      <c r="N16" s="172"/>
      <c r="O16" s="173"/>
    </row>
    <row r="17" spans="2:29" ht="19.05" customHeight="1" x14ac:dyDescent="0.3">
      <c r="B17" s="89">
        <v>4</v>
      </c>
      <c r="C17" s="21"/>
      <c r="D17" s="21"/>
      <c r="E17" s="21"/>
      <c r="F17" s="88" t="str">
        <f t="shared" si="0"/>
        <v/>
      </c>
      <c r="G17" s="88" t="str">
        <f t="shared" si="1"/>
        <v/>
      </c>
      <c r="H17" s="22"/>
      <c r="I17" s="22"/>
      <c r="J17" s="205"/>
      <c r="K17" s="172"/>
      <c r="L17" s="172"/>
      <c r="M17" s="172"/>
      <c r="N17" s="172"/>
      <c r="O17" s="173"/>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350</v>
      </c>
      <c r="F28" s="5">
        <f t="shared" ref="F28:F42" si="3">IF(OR(ISBLANK(C28),C28=""),"",VLOOKUP(C28,$B$14:$D$23,3,FALSE))</f>
        <v>300</v>
      </c>
      <c r="G28" s="5">
        <f t="shared" ref="G28:G42" si="4">IF(OR(ISBLANK(D28),D28=""),"",VLOOKUP(D28,$B$14:$D$23,2,FALSE))</f>
        <v>700</v>
      </c>
      <c r="H28" s="5">
        <f t="shared" ref="H28:H42" si="5">IF(OR(ISBLANK(D28),D28=""),"",VLOOKUP(D28,$B$14:$D$23,3,FALSE))</f>
        <v>0</v>
      </c>
      <c r="I28" s="9">
        <f t="shared" ref="I28:I42" si="6">IF(G28="","",G28-E28)</f>
        <v>350</v>
      </c>
      <c r="J28" s="9">
        <f t="shared" ref="J28:J42" si="7">IF(H28="","",H28-F28)</f>
        <v>-300</v>
      </c>
      <c r="K28" s="9">
        <f t="shared" ref="K28:K42" si="8">IF(I28="","",SQRT(I28^2+J28^2))</f>
        <v>460.97722286464438</v>
      </c>
      <c r="L28" s="92">
        <f t="shared" ref="L28:L42" si="9">IF(K28="","",I28/K28)</f>
        <v>0.75925660236529657</v>
      </c>
      <c r="M28" s="92">
        <f t="shared" ref="M28:M42" si="10">IF(K28="","",J28/K28)</f>
        <v>-0.65079137345596849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350</v>
      </c>
      <c r="H30" s="5">
        <f t="shared" si="5"/>
        <v>300</v>
      </c>
      <c r="I30" s="9">
        <f t="shared" si="6"/>
        <v>350</v>
      </c>
      <c r="J30" s="9">
        <f t="shared" si="7"/>
        <v>300</v>
      </c>
      <c r="K30" s="9">
        <f t="shared" si="8"/>
        <v>460.97722286464438</v>
      </c>
      <c r="L30" s="92">
        <f t="shared" si="9"/>
        <v>0.75925660236529657</v>
      </c>
      <c r="M30" s="92">
        <f t="shared" si="10"/>
        <v>0.65079137345596849</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500-000000000000}">
      <formula1>"Fijo (articulado),Rodillo Y (despl. X libre),Rodillo X (despl. Y libre),Libre (0 reac.)"</formula1>
    </dataValidation>
  </dataValidations>
  <pageMargins left="0.75" right="0.75" top="1" bottom="1" header="0.5" footer="0.5"/>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P167"/>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4" t="s">
        <v>649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GRAFICA_50!E28</f>
        <v>350</v>
      </c>
      <c r="D6" s="22">
        <f>GRAFICA_50!F28</f>
        <v>300</v>
      </c>
      <c r="E6" s="22">
        <f>GRAFICA_50!G28</f>
        <v>700</v>
      </c>
      <c r="F6" s="22">
        <f>GRAFICA_50!H28</f>
        <v>0</v>
      </c>
      <c r="G6" s="9">
        <f t="shared" ref="G6:H8" si="0">E6-C6</f>
        <v>350</v>
      </c>
      <c r="H6" s="9">
        <f t="shared" si="0"/>
        <v>-300</v>
      </c>
      <c r="I6" s="9">
        <f>SQRT(G6*G6+H6*H6)</f>
        <v>460.97722286464438</v>
      </c>
      <c r="J6" s="92">
        <f>G6/I6</f>
        <v>0.75925660236529657</v>
      </c>
      <c r="K6" s="92">
        <f>H6/I6</f>
        <v>-0.65079137345596849</v>
      </c>
      <c r="L6" s="22">
        <f>GRAFICA_50!N28</f>
        <v>12</v>
      </c>
      <c r="M6" s="22">
        <f>GRAFICA_50!O28</f>
        <v>2100000</v>
      </c>
      <c r="N6" s="6">
        <f>L6*M6/I6</f>
        <v>54666.475370301356</v>
      </c>
    </row>
    <row r="7" spans="2:14" ht="19.05" customHeight="1" x14ac:dyDescent="0.3">
      <c r="B7" s="25">
        <v>2</v>
      </c>
      <c r="C7" s="22">
        <f>GRAFICA_50!E29</f>
        <v>700</v>
      </c>
      <c r="D7" s="22">
        <f>GRAFICA_50!F29</f>
        <v>0</v>
      </c>
      <c r="E7" s="22">
        <f>GRAFICA_50!G29</f>
        <v>0</v>
      </c>
      <c r="F7" s="22">
        <f>GRAFICA_50!H29</f>
        <v>0</v>
      </c>
      <c r="G7" s="9">
        <f t="shared" si="0"/>
        <v>-700</v>
      </c>
      <c r="H7" s="9">
        <f t="shared" si="0"/>
        <v>0</v>
      </c>
      <c r="I7" s="9">
        <f>SQRT(G7*G7+H7*H7)</f>
        <v>700</v>
      </c>
      <c r="J7" s="92">
        <f>G7/I7</f>
        <v>-1</v>
      </c>
      <c r="K7" s="92">
        <f>H7/I7</f>
        <v>0</v>
      </c>
      <c r="L7" s="22">
        <f>GRAFICA_50!N29</f>
        <v>12</v>
      </c>
      <c r="M7" s="22">
        <f>GRAFICA_50!O29</f>
        <v>2100000</v>
      </c>
      <c r="N7" s="6">
        <f>L7*M7/I7</f>
        <v>36000</v>
      </c>
    </row>
    <row r="8" spans="2:14" ht="19.05" customHeight="1" x14ac:dyDescent="0.3">
      <c r="B8" s="26">
        <v>3</v>
      </c>
      <c r="C8" s="22">
        <f>GRAFICA_50!E30</f>
        <v>0</v>
      </c>
      <c r="D8" s="22">
        <f>GRAFICA_50!F30</f>
        <v>0</v>
      </c>
      <c r="E8" s="22">
        <f>GRAFICA_50!G30</f>
        <v>350</v>
      </c>
      <c r="F8" s="22">
        <f>GRAFICA_50!H30</f>
        <v>300</v>
      </c>
      <c r="G8" s="9">
        <f t="shared" si="0"/>
        <v>350</v>
      </c>
      <c r="H8" s="9">
        <f t="shared" si="0"/>
        <v>300</v>
      </c>
      <c r="I8" s="9">
        <f>SQRT(G8*G8+H8*H8)</f>
        <v>460.97722286464438</v>
      </c>
      <c r="J8" s="92">
        <f>G8/I8</f>
        <v>0.75925660236529657</v>
      </c>
      <c r="K8" s="92">
        <f>H8/I8</f>
        <v>0.65079137345596849</v>
      </c>
      <c r="L8" s="22">
        <f>GRAFICA_50!N30</f>
        <v>12</v>
      </c>
      <c r="M8" s="22">
        <f>GRAFICA_50!O30</f>
        <v>2100000</v>
      </c>
      <c r="N8" s="6">
        <f>L8*M8/I8</f>
        <v>54666.475370301356</v>
      </c>
    </row>
    <row r="10" spans="2:14" ht="18" customHeight="1" x14ac:dyDescent="0.3">
      <c r="B10" s="202" t="s">
        <v>145</v>
      </c>
      <c r="C10" s="202" t="s">
        <v>369</v>
      </c>
      <c r="D10" s="173"/>
      <c r="E10" s="202" t="s">
        <v>370</v>
      </c>
      <c r="F10" s="173"/>
    </row>
    <row r="11" spans="2:14" ht="18" customHeight="1" x14ac:dyDescent="0.3">
      <c r="B11" s="203"/>
      <c r="C11" s="81" t="s">
        <v>157</v>
      </c>
      <c r="D11" s="81" t="s">
        <v>158</v>
      </c>
      <c r="E11" s="81" t="s">
        <v>157</v>
      </c>
      <c r="F11" s="81" t="s">
        <v>158</v>
      </c>
    </row>
    <row r="12" spans="2:14" ht="19.05" customHeight="1" x14ac:dyDescent="0.3">
      <c r="B12" s="85">
        <v>1</v>
      </c>
      <c r="C12" s="23">
        <f>GRAFICA_50!C28</f>
        <v>1</v>
      </c>
      <c r="D12" s="23">
        <f>GRAFICA_50!C28</f>
        <v>1</v>
      </c>
      <c r="E12" s="23">
        <f>GRAFICA_50!D28</f>
        <v>2</v>
      </c>
      <c r="F12" s="23">
        <f>GRAFICA_50!D28</f>
        <v>2</v>
      </c>
    </row>
    <row r="13" spans="2:14" ht="19.05" customHeight="1" x14ac:dyDescent="0.3">
      <c r="B13" s="25">
        <v>2</v>
      </c>
      <c r="C13" s="23">
        <f>GRAFICA_50!C29</f>
        <v>2</v>
      </c>
      <c r="D13" s="23">
        <f>GRAFICA_50!C29</f>
        <v>2</v>
      </c>
      <c r="E13" s="23">
        <f>GRAFICA_50!D29</f>
        <v>3</v>
      </c>
      <c r="F13" s="23">
        <f>GRAFICA_50!D29</f>
        <v>3</v>
      </c>
    </row>
    <row r="14" spans="2:14" ht="19.05" customHeight="1" x14ac:dyDescent="0.3">
      <c r="B14" s="26">
        <v>3</v>
      </c>
      <c r="C14" s="23">
        <f>GRAFICA_50!C30</f>
        <v>3</v>
      </c>
      <c r="D14" s="23">
        <f>GRAFICA_50!C30</f>
        <v>3</v>
      </c>
      <c r="E14" s="23">
        <f>GRAFICA_50!D30</f>
        <v>1</v>
      </c>
      <c r="F14" s="23">
        <f>GRAFICA_50!D30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31513.615213467838</v>
      </c>
      <c r="C18" s="7">
        <f>J6*K6*N6</f>
        <v>-27011.670182972433</v>
      </c>
      <c r="D18" s="7">
        <f>-B18</f>
        <v>-31513.615213467838</v>
      </c>
      <c r="E18" s="7">
        <f>-C18</f>
        <v>27011.670182972433</v>
      </c>
      <c r="F18" s="27" t="str">
        <f>B17</f>
        <v>U1X</v>
      </c>
    </row>
    <row r="19" spans="1:8" ht="16.8" customHeight="1" x14ac:dyDescent="0.3">
      <c r="A19" s="28" t="s">
        <v>177</v>
      </c>
      <c r="B19" s="7">
        <f>C18</f>
        <v>-27011.670182972433</v>
      </c>
      <c r="C19" s="7">
        <f>K6*K6*N6</f>
        <v>23152.860156833514</v>
      </c>
      <c r="D19" s="7">
        <f>-B19</f>
        <v>27011.670182972433</v>
      </c>
      <c r="E19" s="7">
        <f>-C19</f>
        <v>-23152.860156833514</v>
      </c>
      <c r="F19" s="27" t="str">
        <f>C17</f>
        <v>U1Y</v>
      </c>
    </row>
    <row r="20" spans="1:8" x14ac:dyDescent="0.3">
      <c r="B20" s="7">
        <f>D18</f>
        <v>-31513.615213467838</v>
      </c>
      <c r="C20" s="7">
        <f>E18</f>
        <v>27011.670182972433</v>
      </c>
      <c r="D20" s="7">
        <f>B18</f>
        <v>31513.615213467838</v>
      </c>
      <c r="E20" s="7">
        <f>C18</f>
        <v>-27011.670182972433</v>
      </c>
      <c r="F20" s="27" t="str">
        <f>D17</f>
        <v>U2X</v>
      </c>
    </row>
    <row r="21" spans="1:8" x14ac:dyDescent="0.3">
      <c r="B21" s="7">
        <f>D19</f>
        <v>27011.670182972433</v>
      </c>
      <c r="C21" s="7">
        <f>E19</f>
        <v>-23152.860156833514</v>
      </c>
      <c r="D21" s="7">
        <f>B19</f>
        <v>-27011.670182972433</v>
      </c>
      <c r="E21" s="7">
        <f>C19</f>
        <v>23152.860156833514</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31513.615213467838</v>
      </c>
      <c r="C24" s="8">
        <f t="shared" si="1"/>
        <v>-27011.670182972433</v>
      </c>
      <c r="D24" s="8">
        <f t="shared" si="1"/>
        <v>-31513.615213467838</v>
      </c>
      <c r="E24" s="8">
        <f t="shared" si="1"/>
        <v>27011.670182972433</v>
      </c>
      <c r="F24" s="9">
        <f t="shared" si="1"/>
        <v>0</v>
      </c>
      <c r="G24" s="9">
        <f t="shared" si="1"/>
        <v>0</v>
      </c>
      <c r="H24" s="27" t="s">
        <v>178</v>
      </c>
    </row>
    <row r="25" spans="1:8" ht="19.05" customHeight="1" x14ac:dyDescent="0.3">
      <c r="B25" s="8">
        <f t="shared" si="1"/>
        <v>-27011.670182972433</v>
      </c>
      <c r="C25" s="8">
        <f t="shared" si="1"/>
        <v>23152.860156833514</v>
      </c>
      <c r="D25" s="8">
        <f t="shared" si="1"/>
        <v>27011.670182972433</v>
      </c>
      <c r="E25" s="8">
        <f t="shared" si="1"/>
        <v>-23152.860156833514</v>
      </c>
      <c r="F25" s="9">
        <f t="shared" si="1"/>
        <v>0</v>
      </c>
      <c r="G25" s="9">
        <f t="shared" si="1"/>
        <v>0</v>
      </c>
      <c r="H25" s="27" t="s">
        <v>179</v>
      </c>
    </row>
    <row r="26" spans="1:8" ht="19.05" customHeight="1" x14ac:dyDescent="0.3">
      <c r="A26" s="28" t="s">
        <v>190</v>
      </c>
      <c r="B26" s="8">
        <f t="shared" si="1"/>
        <v>-31513.615213467838</v>
      </c>
      <c r="C26" s="8">
        <f t="shared" si="1"/>
        <v>27011.670182972433</v>
      </c>
      <c r="D26" s="8">
        <f t="shared" si="1"/>
        <v>31513.615213467838</v>
      </c>
      <c r="E26" s="8">
        <f t="shared" si="1"/>
        <v>-27011.670182972433</v>
      </c>
      <c r="F26" s="9">
        <f t="shared" si="1"/>
        <v>0</v>
      </c>
      <c r="G26" s="9">
        <f t="shared" si="1"/>
        <v>0</v>
      </c>
      <c r="H26" s="27" t="s">
        <v>180</v>
      </c>
    </row>
    <row r="27" spans="1:8" ht="19.05" customHeight="1" x14ac:dyDescent="0.3">
      <c r="B27" s="8">
        <f t="shared" si="1"/>
        <v>27011.670182972433</v>
      </c>
      <c r="C27" s="8">
        <f t="shared" si="1"/>
        <v>-23152.860156833514</v>
      </c>
      <c r="D27" s="8">
        <f t="shared" si="1"/>
        <v>-27011.670182972433</v>
      </c>
      <c r="E27" s="8">
        <f t="shared" si="1"/>
        <v>23152.860156833514</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31513.615213467838</v>
      </c>
      <c r="C48" s="33">
        <f>J8*K8*N8</f>
        <v>27011.670182972433</v>
      </c>
      <c r="D48" s="33">
        <f>-B48</f>
        <v>-31513.615213467838</v>
      </c>
      <c r="E48" s="33">
        <f>-C48</f>
        <v>-27011.670182972433</v>
      </c>
      <c r="F48" s="32" t="str">
        <f>B47</f>
        <v>U3X</v>
      </c>
    </row>
    <row r="49" spans="1:8" ht="16.8" customHeight="1" x14ac:dyDescent="0.3">
      <c r="A49" s="28" t="s">
        <v>193</v>
      </c>
      <c r="B49" s="33">
        <f>C48</f>
        <v>27011.670182972433</v>
      </c>
      <c r="C49" s="33">
        <f>K8*K8*N8</f>
        <v>23152.860156833514</v>
      </c>
      <c r="D49" s="33">
        <f>-B49</f>
        <v>-27011.670182972433</v>
      </c>
      <c r="E49" s="33">
        <f>-C49</f>
        <v>-23152.860156833514</v>
      </c>
      <c r="F49" s="32" t="str">
        <f>C47</f>
        <v>U3Y</v>
      </c>
    </row>
    <row r="50" spans="1:8" x14ac:dyDescent="0.3">
      <c r="B50" s="33">
        <f>D48</f>
        <v>-31513.615213467838</v>
      </c>
      <c r="C50" s="33">
        <f>E48</f>
        <v>-27011.670182972433</v>
      </c>
      <c r="D50" s="33">
        <f>B48</f>
        <v>31513.615213467838</v>
      </c>
      <c r="E50" s="33">
        <f>C48</f>
        <v>27011.670182972433</v>
      </c>
      <c r="F50" s="32" t="str">
        <f>D47</f>
        <v>U1X</v>
      </c>
    </row>
    <row r="51" spans="1:8" x14ac:dyDescent="0.3">
      <c r="B51" s="33">
        <f>D49</f>
        <v>-27011.670182972433</v>
      </c>
      <c r="C51" s="33">
        <f>E49</f>
        <v>-23152.860156833514</v>
      </c>
      <c r="D51" s="33">
        <f>B49</f>
        <v>27011.670182972433</v>
      </c>
      <c r="E51" s="33">
        <f>C49</f>
        <v>23152.860156833514</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31513.615213467838</v>
      </c>
      <c r="C54" s="34">
        <f t="shared" si="3"/>
        <v>27011.670182972433</v>
      </c>
      <c r="D54" s="9">
        <f t="shared" si="3"/>
        <v>0</v>
      </c>
      <c r="E54" s="9">
        <f t="shared" si="3"/>
        <v>0</v>
      </c>
      <c r="F54" s="34">
        <f t="shared" si="3"/>
        <v>-31513.615213467838</v>
      </c>
      <c r="G54" s="34">
        <f t="shared" si="3"/>
        <v>-27011.670182972433</v>
      </c>
      <c r="H54" s="32" t="s">
        <v>178</v>
      </c>
    </row>
    <row r="55" spans="1:8" ht="19.05" customHeight="1" x14ac:dyDescent="0.3">
      <c r="B55" s="34">
        <f t="shared" si="3"/>
        <v>27011.670182972433</v>
      </c>
      <c r="C55" s="34">
        <f t="shared" si="3"/>
        <v>23152.860156833514</v>
      </c>
      <c r="D55" s="9">
        <f t="shared" si="3"/>
        <v>0</v>
      </c>
      <c r="E55" s="9">
        <f t="shared" si="3"/>
        <v>0</v>
      </c>
      <c r="F55" s="34">
        <f t="shared" si="3"/>
        <v>-27011.670182972433</v>
      </c>
      <c r="G55" s="34">
        <f t="shared" si="3"/>
        <v>-23152.860156833514</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-31513.615213467838</v>
      </c>
      <c r="C58" s="34">
        <f t="shared" si="3"/>
        <v>-27011.670182972433</v>
      </c>
      <c r="D58" s="9">
        <f t="shared" si="3"/>
        <v>0</v>
      </c>
      <c r="E58" s="9">
        <f t="shared" si="3"/>
        <v>0</v>
      </c>
      <c r="F58" s="34">
        <f t="shared" si="3"/>
        <v>31513.615213467838</v>
      </c>
      <c r="G58" s="34">
        <f t="shared" si="3"/>
        <v>27011.670182972433</v>
      </c>
      <c r="H58" s="32" t="s">
        <v>182</v>
      </c>
    </row>
    <row r="59" spans="1:8" ht="19.05" customHeight="1" x14ac:dyDescent="0.3">
      <c r="B59" s="34">
        <f t="shared" si="3"/>
        <v>-27011.670182972433</v>
      </c>
      <c r="C59" s="34">
        <f t="shared" si="3"/>
        <v>-23152.860156833514</v>
      </c>
      <c r="D59" s="9">
        <f t="shared" si="3"/>
        <v>0</v>
      </c>
      <c r="E59" s="9">
        <f t="shared" si="3"/>
        <v>0</v>
      </c>
      <c r="F59" s="34">
        <f t="shared" si="3"/>
        <v>27011.670182972433</v>
      </c>
      <c r="G59" s="34">
        <f t="shared" si="3"/>
        <v>23152.860156833514</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63027.230426935675</v>
      </c>
      <c r="C63" s="36">
        <f t="shared" si="4"/>
        <v>0</v>
      </c>
      <c r="D63" s="9">
        <f t="shared" si="4"/>
        <v>-31513.615213467838</v>
      </c>
      <c r="E63" s="9">
        <f t="shared" si="4"/>
        <v>27011.670182972433</v>
      </c>
      <c r="F63" s="9">
        <f t="shared" si="4"/>
        <v>-31513.615213467838</v>
      </c>
      <c r="G63" s="9">
        <f t="shared" si="4"/>
        <v>-27011.670182972433</v>
      </c>
      <c r="H63" s="89" t="s">
        <v>178</v>
      </c>
    </row>
    <row r="64" spans="1:8" ht="19.95" customHeight="1" x14ac:dyDescent="0.3">
      <c r="B64" s="36">
        <f t="shared" si="4"/>
        <v>0</v>
      </c>
      <c r="C64" s="35">
        <f t="shared" si="4"/>
        <v>46305.720313667029</v>
      </c>
      <c r="D64" s="9">
        <f t="shared" si="4"/>
        <v>27011.670182972433</v>
      </c>
      <c r="E64" s="9">
        <f t="shared" si="4"/>
        <v>-23152.860156833514</v>
      </c>
      <c r="F64" s="9">
        <f t="shared" si="4"/>
        <v>-27011.670182972433</v>
      </c>
      <c r="G64" s="9">
        <f t="shared" si="4"/>
        <v>-23152.860156833514</v>
      </c>
      <c r="H64" s="89" t="s">
        <v>179</v>
      </c>
    </row>
    <row r="65" spans="1:16" ht="19.95" customHeight="1" x14ac:dyDescent="0.3">
      <c r="A65" s="28" t="s">
        <v>205</v>
      </c>
      <c r="B65" s="9">
        <f t="shared" si="4"/>
        <v>-31513.615213467838</v>
      </c>
      <c r="C65" s="9">
        <f t="shared" si="4"/>
        <v>27011.670182972433</v>
      </c>
      <c r="D65" s="35">
        <f t="shared" si="4"/>
        <v>67513.615213467841</v>
      </c>
      <c r="E65" s="36">
        <f t="shared" si="4"/>
        <v>-27011.670182972433</v>
      </c>
      <c r="F65" s="9">
        <f t="shared" si="4"/>
        <v>-36000</v>
      </c>
      <c r="G65" s="9">
        <f t="shared" si="4"/>
        <v>0</v>
      </c>
      <c r="H65" s="89" t="s">
        <v>180</v>
      </c>
    </row>
    <row r="66" spans="1:16" ht="19.95" customHeight="1" x14ac:dyDescent="0.3">
      <c r="B66" s="9">
        <f t="shared" si="4"/>
        <v>27011.670182972433</v>
      </c>
      <c r="C66" s="9">
        <f t="shared" si="4"/>
        <v>-23152.860156833514</v>
      </c>
      <c r="D66" s="36">
        <f t="shared" si="4"/>
        <v>-27011.670182972433</v>
      </c>
      <c r="E66" s="35">
        <f t="shared" si="4"/>
        <v>23152.860156833514</v>
      </c>
      <c r="F66" s="9">
        <f t="shared" si="4"/>
        <v>0</v>
      </c>
      <c r="G66" s="9">
        <f t="shared" si="4"/>
        <v>0</v>
      </c>
      <c r="H66" s="89" t="s">
        <v>181</v>
      </c>
    </row>
    <row r="67" spans="1:16" ht="19.95" customHeight="1" x14ac:dyDescent="0.3">
      <c r="B67" s="9">
        <f t="shared" si="4"/>
        <v>-31513.615213467838</v>
      </c>
      <c r="C67" s="9">
        <f t="shared" si="4"/>
        <v>-27011.670182972433</v>
      </c>
      <c r="D67" s="9">
        <f t="shared" si="4"/>
        <v>-36000</v>
      </c>
      <c r="E67" s="9">
        <f t="shared" si="4"/>
        <v>0</v>
      </c>
      <c r="F67" s="35">
        <f t="shared" si="4"/>
        <v>67513.615213467841</v>
      </c>
      <c r="G67" s="36">
        <f t="shared" si="4"/>
        <v>27011.670182972433</v>
      </c>
      <c r="H67" s="89" t="s">
        <v>182</v>
      </c>
    </row>
    <row r="68" spans="1:16" ht="19.95" customHeight="1" x14ac:dyDescent="0.3">
      <c r="B68" s="9">
        <f t="shared" si="4"/>
        <v>-27011.670182972433</v>
      </c>
      <c r="C68" s="9">
        <f t="shared" si="4"/>
        <v>-23152.860156833514</v>
      </c>
      <c r="D68" s="9">
        <f t="shared" si="4"/>
        <v>0</v>
      </c>
      <c r="E68" s="9">
        <f t="shared" si="4"/>
        <v>0</v>
      </c>
      <c r="F68" s="36">
        <f t="shared" si="4"/>
        <v>27011.670182972433</v>
      </c>
      <c r="G68" s="35">
        <f t="shared" si="4"/>
        <v>23152.860156833514</v>
      </c>
      <c r="H68" s="89" t="s">
        <v>183</v>
      </c>
    </row>
    <row r="71" spans="1:16" ht="19.95" customHeight="1" x14ac:dyDescent="0.35">
      <c r="A71" s="11" t="s">
        <v>206</v>
      </c>
      <c r="K71" s="216" t="s">
        <v>207</v>
      </c>
      <c r="L71" s="172"/>
      <c r="M71" s="172"/>
      <c r="N71" s="172"/>
      <c r="O71" s="172"/>
      <c r="P71" s="173"/>
    </row>
    <row r="72" spans="1:16" ht="16.95" customHeight="1" x14ac:dyDescent="0.3">
      <c r="B72" s="12" t="s">
        <v>208</v>
      </c>
      <c r="C72" s="12" t="s">
        <v>178</v>
      </c>
      <c r="E72" s="37" t="str">
        <f>IF(GRAFICA_50!F14=1, B72, GRAFICA_50!H14)</f>
        <v>C1X</v>
      </c>
      <c r="K72" s="215" t="s">
        <v>376</v>
      </c>
      <c r="L72" s="172"/>
      <c r="M72" s="172"/>
      <c r="N72" s="172"/>
      <c r="O72" s="172"/>
      <c r="P72" s="173"/>
    </row>
    <row r="73" spans="1:16" ht="16.95" customHeight="1" x14ac:dyDescent="0.3">
      <c r="B73" s="12" t="s">
        <v>210</v>
      </c>
      <c r="C73" s="12" t="s">
        <v>179</v>
      </c>
      <c r="E73" s="37">
        <f>IF(GRAFICA_50!G14=1, B73, GRAFICA_50!I14)</f>
        <v>-5000</v>
      </c>
      <c r="K73" s="215" t="s">
        <v>211</v>
      </c>
      <c r="L73" s="172"/>
      <c r="M73" s="172"/>
      <c r="N73" s="172"/>
      <c r="O73" s="172"/>
      <c r="P73" s="173"/>
    </row>
    <row r="74" spans="1:16" ht="16.95" customHeight="1" x14ac:dyDescent="0.3">
      <c r="A74" s="38" t="s">
        <v>218</v>
      </c>
      <c r="B74" s="12" t="s">
        <v>212</v>
      </c>
      <c r="C74" s="12" t="s">
        <v>180</v>
      </c>
      <c r="D74" s="13" t="s">
        <v>220</v>
      </c>
      <c r="E74" s="37" t="str">
        <f>IF(GRAFICA_50!F15=1, B74, GRAFICA_50!H15)</f>
        <v>C2X</v>
      </c>
      <c r="K74" s="215" t="s">
        <v>377</v>
      </c>
      <c r="L74" s="172"/>
      <c r="M74" s="172"/>
      <c r="N74" s="172"/>
      <c r="O74" s="172"/>
      <c r="P74" s="173"/>
    </row>
    <row r="75" spans="1:16" ht="16.95" customHeight="1" x14ac:dyDescent="0.3">
      <c r="B75" s="12" t="s">
        <v>214</v>
      </c>
      <c r="C75" s="12" t="s">
        <v>181</v>
      </c>
      <c r="E75" s="37" t="str">
        <f>IF(GRAFICA_50!G15=1, B75, GRAFICA_50!I15)</f>
        <v>C2Y</v>
      </c>
      <c r="K75" s="215" t="s">
        <v>215</v>
      </c>
      <c r="L75" s="172"/>
      <c r="M75" s="172"/>
      <c r="N75" s="172"/>
      <c r="O75" s="172"/>
      <c r="P75" s="173"/>
    </row>
    <row r="76" spans="1:16" ht="16.95" customHeight="1" x14ac:dyDescent="0.3">
      <c r="B76" s="12" t="s">
        <v>216</v>
      </c>
      <c r="C76" s="12" t="s">
        <v>182</v>
      </c>
      <c r="E76" s="37" t="str">
        <f>IF(GRAFICA_50!F16=1, B76, GRAFICA_50!H16)</f>
        <v>C3X</v>
      </c>
      <c r="K76" s="215" t="s">
        <v>378</v>
      </c>
      <c r="L76" s="172"/>
      <c r="M76" s="172"/>
      <c r="N76" s="172"/>
      <c r="O76" s="172"/>
      <c r="P76" s="173"/>
    </row>
    <row r="77" spans="1:16" ht="16.95" customHeight="1" x14ac:dyDescent="0.3">
      <c r="B77" s="12" t="s">
        <v>219</v>
      </c>
      <c r="C77" s="12" t="s">
        <v>183</v>
      </c>
      <c r="E77" s="37" t="str">
        <f>IF(GRAFICA_50!G16=1, B77, GRAFICA_50!I16)</f>
        <v>C3Y</v>
      </c>
      <c r="K77" s="215" t="s">
        <v>379</v>
      </c>
      <c r="L77" s="172"/>
      <c r="M77" s="172"/>
      <c r="N77" s="172"/>
      <c r="O77" s="172"/>
      <c r="P77" s="173"/>
    </row>
    <row r="78" spans="1:16" ht="16.95" customHeight="1" x14ac:dyDescent="0.3">
      <c r="K78" s="215"/>
      <c r="L78" s="172"/>
      <c r="M78" s="172"/>
      <c r="N78" s="172"/>
      <c r="O78" s="172"/>
      <c r="P78" s="173"/>
    </row>
    <row r="79" spans="1:16" ht="16.95" customHeight="1" x14ac:dyDescent="0.35">
      <c r="A79" s="11" t="s">
        <v>227</v>
      </c>
      <c r="K79" s="215"/>
      <c r="L79" s="172"/>
      <c r="M79" s="172"/>
      <c r="N79" s="172"/>
      <c r="O79" s="172"/>
      <c r="P79" s="173"/>
    </row>
    <row r="80" spans="1:16" ht="16.95" customHeight="1" x14ac:dyDescent="0.3">
      <c r="B80" s="12" t="s">
        <v>228</v>
      </c>
      <c r="C80" s="12" t="s">
        <v>178</v>
      </c>
      <c r="E80" s="39">
        <f>IF(GRAFICA_50!F14=1, 0, B80)</f>
        <v>0</v>
      </c>
      <c r="F80" s="14" t="str">
        <f>IF(E80&lt;&gt;0, COUNTIF(E$80:E80, "&lt;&gt;0"), "")</f>
        <v/>
      </c>
      <c r="G80" s="14">
        <f>IF(E80=0, COUNTIF(E$80:E80, 0), "")</f>
        <v>1</v>
      </c>
      <c r="K80" s="215"/>
      <c r="L80" s="172"/>
      <c r="M80" s="172"/>
      <c r="N80" s="172"/>
      <c r="O80" s="172"/>
      <c r="P80" s="173"/>
    </row>
    <row r="81" spans="1:16" ht="16.95" customHeight="1" x14ac:dyDescent="0.3">
      <c r="B81" s="12" t="s">
        <v>229</v>
      </c>
      <c r="C81" s="12" t="s">
        <v>179</v>
      </c>
      <c r="E81" s="39" t="str">
        <f>IF(GRAFICA_50!G14=1, 0, B81)</f>
        <v>D1Y</v>
      </c>
      <c r="F81" s="14">
        <f>IF(E81&lt;&gt;0, COUNTIF(E$80:E81, "&lt;&gt;0"), "")</f>
        <v>1</v>
      </c>
      <c r="G81" s="14" t="str">
        <f>IF(E81=0, COUNTIF(E$80:E81, 0), "")</f>
        <v/>
      </c>
      <c r="K81" s="215"/>
      <c r="L81" s="172"/>
      <c r="M81" s="172"/>
      <c r="N81" s="172"/>
      <c r="O81" s="172"/>
      <c r="P81" s="173"/>
    </row>
    <row r="82" spans="1:16" ht="16.95" customHeight="1" x14ac:dyDescent="0.3">
      <c r="A82" s="38" t="s">
        <v>233</v>
      </c>
      <c r="B82" s="12" t="s">
        <v>230</v>
      </c>
      <c r="C82" s="12" t="s">
        <v>180</v>
      </c>
      <c r="D82" s="13" t="s">
        <v>220</v>
      </c>
      <c r="E82" s="39">
        <f>IF(GRAFICA_50!F15=1, 0, B82)</f>
        <v>0</v>
      </c>
      <c r="F82" s="14" t="str">
        <f>IF(E82&lt;&gt;0, COUNTIF(E$80:E82, "&lt;&gt;0"), "")</f>
        <v/>
      </c>
      <c r="G82" s="14">
        <f>IF(E82=0, COUNTIF(E$80:E82, 0), "")</f>
        <v>2</v>
      </c>
      <c r="K82" s="215"/>
      <c r="L82" s="172"/>
      <c r="M82" s="172"/>
      <c r="N82" s="172"/>
      <c r="O82" s="172"/>
      <c r="P82" s="173"/>
    </row>
    <row r="83" spans="1:16" ht="16.95" customHeight="1" x14ac:dyDescent="0.3">
      <c r="B83" s="12" t="s">
        <v>231</v>
      </c>
      <c r="C83" s="12" t="s">
        <v>181</v>
      </c>
      <c r="E83" s="39">
        <f>IF(GRAFICA_50!G15=1, 0, B83)</f>
        <v>0</v>
      </c>
      <c r="F83" s="14" t="str">
        <f>IF(E83&lt;&gt;0, COUNTIF(E$80:E83, "&lt;&gt;0"), "")</f>
        <v/>
      </c>
      <c r="G83" s="14">
        <f>IF(E83=0, COUNTIF(E$80:E83, 0), "")</f>
        <v>3</v>
      </c>
      <c r="K83" s="215"/>
      <c r="L83" s="172"/>
      <c r="M83" s="172"/>
      <c r="N83" s="172"/>
      <c r="O83" s="172"/>
      <c r="P83" s="173"/>
    </row>
    <row r="84" spans="1:16" ht="16.95" customHeight="1" x14ac:dyDescent="0.3">
      <c r="B84" s="12" t="s">
        <v>232</v>
      </c>
      <c r="C84" s="12" t="s">
        <v>182</v>
      </c>
      <c r="E84" s="39">
        <f>IF(GRAFICA_50!F16=1, 0, B84)</f>
        <v>0</v>
      </c>
      <c r="F84" s="14" t="str">
        <f>IF(E84&lt;&gt;0, COUNTIF(E$80:E84, "&lt;&gt;0"), "")</f>
        <v/>
      </c>
      <c r="G84" s="14">
        <f>IF(E84=0, COUNTIF(E$80:E84, 0), "")</f>
        <v>4</v>
      </c>
      <c r="K84" s="215"/>
      <c r="L84" s="172"/>
      <c r="M84" s="172"/>
      <c r="N84" s="172"/>
      <c r="O84" s="172"/>
      <c r="P84" s="173"/>
    </row>
    <row r="85" spans="1:16" ht="16.95" customHeight="1" x14ac:dyDescent="0.3">
      <c r="B85" s="12" t="s">
        <v>234</v>
      </c>
      <c r="C85" s="12" t="s">
        <v>183</v>
      </c>
      <c r="E85" s="39">
        <f>IF(GRAFICA_50!G16=1, 0, B85)</f>
        <v>0</v>
      </c>
      <c r="F85" s="14" t="str">
        <f>IF(E85&lt;&gt;0, COUNTIF(E$80:E85, "&lt;&gt;0"), "")</f>
        <v/>
      </c>
      <c r="G85" s="14">
        <f>IF(E85=0, COUNTIF(E$80:E85, 0), "")</f>
        <v>5</v>
      </c>
      <c r="K85" s="215"/>
      <c r="L85" s="172"/>
      <c r="M85" s="172"/>
      <c r="N85" s="172"/>
      <c r="O85" s="172"/>
      <c r="P85" s="173"/>
    </row>
    <row r="87" spans="1:16" ht="19.95" customHeight="1" x14ac:dyDescent="0.35">
      <c r="A87" s="15" t="s">
        <v>241</v>
      </c>
      <c r="C87" s="218" t="s">
        <v>242</v>
      </c>
      <c r="D87" s="173"/>
      <c r="E87" s="40" t="s">
        <v>243</v>
      </c>
      <c r="K87" s="216" t="s">
        <v>244</v>
      </c>
      <c r="L87" s="172"/>
      <c r="M87" s="172"/>
      <c r="N87" s="172"/>
      <c r="O87" s="172"/>
      <c r="P87" s="173"/>
    </row>
    <row r="88" spans="1:16" ht="16.95" customHeight="1" x14ac:dyDescent="0.3">
      <c r="E88" s="40" t="s">
        <v>245</v>
      </c>
      <c r="K88" s="215" t="s">
        <v>246</v>
      </c>
      <c r="L88" s="172"/>
      <c r="M88" s="172"/>
      <c r="N88" s="172"/>
      <c r="O88" s="172"/>
      <c r="P88" s="173"/>
    </row>
    <row r="89" spans="1:16" ht="16.95" customHeight="1" x14ac:dyDescent="0.3">
      <c r="A89" s="99" t="s">
        <v>247</v>
      </c>
      <c r="C89" s="99" t="s">
        <v>248</v>
      </c>
      <c r="J89" s="99" t="s">
        <v>249</v>
      </c>
      <c r="K89" s="215" t="s">
        <v>250</v>
      </c>
      <c r="L89" s="172"/>
      <c r="M89" s="172"/>
      <c r="N89" s="172"/>
      <c r="O89" s="172"/>
      <c r="P89" s="173"/>
    </row>
    <row r="90" spans="1:16" ht="16.95" customHeight="1" x14ac:dyDescent="0.3">
      <c r="A90" s="12" t="str">
        <f t="shared" ref="A90:A95" si="5">E72</f>
        <v>C1X</v>
      </c>
      <c r="C90" s="9">
        <f t="shared" ref="C90:H95" si="6">B63</f>
        <v>63027.230426935675</v>
      </c>
      <c r="D90" s="9">
        <f t="shared" si="6"/>
        <v>0</v>
      </c>
      <c r="E90" s="9">
        <f t="shared" si="6"/>
        <v>-31513.615213467838</v>
      </c>
      <c r="F90" s="9">
        <f t="shared" si="6"/>
        <v>27011.670182972433</v>
      </c>
      <c r="G90" s="9">
        <f t="shared" si="6"/>
        <v>-31513.615213467838</v>
      </c>
      <c r="H90" s="9">
        <f t="shared" si="6"/>
        <v>-27011.670182972433</v>
      </c>
      <c r="I90" s="13" t="s">
        <v>251</v>
      </c>
      <c r="J90" s="16">
        <f t="shared" ref="J90:J95" si="7">E80</f>
        <v>0</v>
      </c>
      <c r="K90" s="215" t="s">
        <v>380</v>
      </c>
      <c r="L90" s="172"/>
      <c r="M90" s="172"/>
      <c r="N90" s="172"/>
      <c r="O90" s="172"/>
      <c r="P90" s="173"/>
    </row>
    <row r="91" spans="1:16" ht="16.95" customHeight="1" x14ac:dyDescent="0.3">
      <c r="A91" s="41">
        <f t="shared" si="5"/>
        <v>-5000</v>
      </c>
      <c r="C91" s="9">
        <f t="shared" si="6"/>
        <v>0</v>
      </c>
      <c r="D91" s="41">
        <f t="shared" si="6"/>
        <v>46305.720313667029</v>
      </c>
      <c r="E91" s="9">
        <f t="shared" si="6"/>
        <v>27011.670182972433</v>
      </c>
      <c r="F91" s="9">
        <f t="shared" si="6"/>
        <v>-23152.860156833514</v>
      </c>
      <c r="G91" s="9">
        <f t="shared" si="6"/>
        <v>-27011.670182972433</v>
      </c>
      <c r="H91" s="9">
        <f t="shared" si="6"/>
        <v>-23152.860156833514</v>
      </c>
      <c r="I91" s="13" t="s">
        <v>251</v>
      </c>
      <c r="J91" s="38" t="str">
        <f t="shared" si="7"/>
        <v>D1Y</v>
      </c>
      <c r="K91" s="215" t="s">
        <v>253</v>
      </c>
      <c r="L91" s="172"/>
      <c r="M91" s="172"/>
      <c r="N91" s="172"/>
      <c r="O91" s="172"/>
      <c r="P91" s="173"/>
    </row>
    <row r="92" spans="1:16" ht="16.95" customHeight="1" x14ac:dyDescent="0.3">
      <c r="A92" s="12" t="str">
        <f t="shared" si="5"/>
        <v>C2X</v>
      </c>
      <c r="C92" s="9">
        <f t="shared" si="6"/>
        <v>-31513.615213467838</v>
      </c>
      <c r="D92" s="9">
        <f t="shared" si="6"/>
        <v>27011.670182972433</v>
      </c>
      <c r="E92" s="9">
        <f t="shared" si="6"/>
        <v>67513.615213467841</v>
      </c>
      <c r="F92" s="9">
        <f t="shared" si="6"/>
        <v>-27011.670182972433</v>
      </c>
      <c r="G92" s="9">
        <f t="shared" si="6"/>
        <v>-36000</v>
      </c>
      <c r="H92" s="9">
        <f t="shared" si="6"/>
        <v>0</v>
      </c>
      <c r="I92" s="13" t="s">
        <v>251</v>
      </c>
      <c r="J92" s="16">
        <f t="shared" si="7"/>
        <v>0</v>
      </c>
      <c r="K92" s="215" t="s">
        <v>254</v>
      </c>
      <c r="L92" s="172"/>
      <c r="M92" s="172"/>
      <c r="N92" s="172"/>
      <c r="O92" s="172"/>
      <c r="P92" s="173"/>
    </row>
    <row r="93" spans="1:16" ht="16.95" customHeight="1" x14ac:dyDescent="0.3">
      <c r="A93" s="12" t="str">
        <f t="shared" si="5"/>
        <v>C2Y</v>
      </c>
      <c r="B93" s="13" t="s">
        <v>220</v>
      </c>
      <c r="C93" s="9">
        <f t="shared" si="6"/>
        <v>27011.670182972433</v>
      </c>
      <c r="D93" s="9">
        <f t="shared" si="6"/>
        <v>-23152.860156833514</v>
      </c>
      <c r="E93" s="9">
        <f t="shared" si="6"/>
        <v>-27011.670182972433</v>
      </c>
      <c r="F93" s="9">
        <f t="shared" si="6"/>
        <v>23152.860156833514</v>
      </c>
      <c r="G93" s="9">
        <f t="shared" si="6"/>
        <v>0</v>
      </c>
      <c r="H93" s="9">
        <f t="shared" si="6"/>
        <v>0</v>
      </c>
      <c r="I93" s="13" t="s">
        <v>251</v>
      </c>
      <c r="J93" s="16">
        <f t="shared" si="7"/>
        <v>0</v>
      </c>
      <c r="K93" s="215" t="s">
        <v>381</v>
      </c>
      <c r="L93" s="172"/>
      <c r="M93" s="172"/>
      <c r="N93" s="172"/>
      <c r="O93" s="172"/>
      <c r="P93" s="173"/>
    </row>
    <row r="94" spans="1:16" ht="16.95" customHeight="1" x14ac:dyDescent="0.3">
      <c r="A94" s="12" t="str">
        <f t="shared" si="5"/>
        <v>C3X</v>
      </c>
      <c r="C94" s="9">
        <f t="shared" si="6"/>
        <v>-31513.615213467838</v>
      </c>
      <c r="D94" s="9">
        <f t="shared" si="6"/>
        <v>-27011.670182972433</v>
      </c>
      <c r="E94" s="9">
        <f t="shared" si="6"/>
        <v>-36000</v>
      </c>
      <c r="F94" s="9">
        <f t="shared" si="6"/>
        <v>0</v>
      </c>
      <c r="G94" s="9">
        <f t="shared" si="6"/>
        <v>67513.615213467841</v>
      </c>
      <c r="H94" s="9">
        <f t="shared" si="6"/>
        <v>27011.670182972433</v>
      </c>
      <c r="I94" s="13" t="s">
        <v>251</v>
      </c>
      <c r="J94" s="16">
        <f t="shared" si="7"/>
        <v>0</v>
      </c>
      <c r="K94" s="215" t="s">
        <v>382</v>
      </c>
      <c r="L94" s="172"/>
      <c r="M94" s="172"/>
      <c r="N94" s="172"/>
      <c r="O94" s="172"/>
      <c r="P94" s="173"/>
    </row>
    <row r="95" spans="1:16" ht="16.95" customHeight="1" x14ac:dyDescent="0.3">
      <c r="A95" s="12" t="str">
        <f t="shared" si="5"/>
        <v>C3Y</v>
      </c>
      <c r="C95" s="9">
        <f t="shared" si="6"/>
        <v>-27011.670182972433</v>
      </c>
      <c r="D95" s="9">
        <f t="shared" si="6"/>
        <v>-23152.860156833514</v>
      </c>
      <c r="E95" s="9">
        <f t="shared" si="6"/>
        <v>0</v>
      </c>
      <c r="F95" s="9">
        <f t="shared" si="6"/>
        <v>0</v>
      </c>
      <c r="G95" s="9">
        <f t="shared" si="6"/>
        <v>27011.670182972433</v>
      </c>
      <c r="H95" s="9">
        <f t="shared" si="6"/>
        <v>23152.860156833514</v>
      </c>
      <c r="I95" s="13" t="s">
        <v>251</v>
      </c>
      <c r="J95" s="16">
        <f t="shared" si="7"/>
        <v>0</v>
      </c>
      <c r="K95" s="215"/>
      <c r="L95" s="172"/>
      <c r="M95" s="172"/>
      <c r="N95" s="172"/>
      <c r="O95" s="172"/>
      <c r="P95" s="173"/>
    </row>
    <row r="98" spans="1:16" ht="19.95" customHeight="1" x14ac:dyDescent="0.35">
      <c r="A98" s="15" t="s">
        <v>257</v>
      </c>
      <c r="K98" s="216" t="s">
        <v>258</v>
      </c>
      <c r="L98" s="172"/>
      <c r="M98" s="172"/>
      <c r="N98" s="172"/>
      <c r="O98" s="172"/>
      <c r="P98" s="173"/>
    </row>
    <row r="99" spans="1:16" ht="16.95" customHeight="1" x14ac:dyDescent="0.3">
      <c r="C99" s="38" t="str">
        <f>INDEX(C$80:C$85, MATCH(1, F$80:F$85, 0))</f>
        <v>U1Y</v>
      </c>
      <c r="K99" s="215" t="s">
        <v>383</v>
      </c>
      <c r="L99" s="172"/>
      <c r="M99" s="172"/>
      <c r="N99" s="172"/>
      <c r="O99" s="172"/>
      <c r="P99" s="173"/>
    </row>
    <row r="100" spans="1:16" ht="16.95" customHeight="1" x14ac:dyDescent="0.3">
      <c r="A100" s="41">
        <f>INDEX(E$72:E$77, MATCH(F100, C$72:C$77, 0))</f>
        <v>-5000</v>
      </c>
      <c r="B100" s="13" t="s">
        <v>220</v>
      </c>
      <c r="C100" s="41">
        <f>INDEX($B$63:$G$68, MATCH($F100, $H$63:$H$68, 0), MATCH(C$99, $B$62:$G$62, 0))</f>
        <v>46305.720313667029</v>
      </c>
      <c r="D100" s="13" t="s">
        <v>251</v>
      </c>
      <c r="E100" s="38" t="str">
        <f>INDEX(B$80:B$85, MATCH(1, F$80:F$85, 0))</f>
        <v>D1Y</v>
      </c>
      <c r="F100" s="14" t="str">
        <f>INDEX(C$80:C$85, MATCH(1, F$80:F$85, 0))</f>
        <v>U1Y</v>
      </c>
      <c r="K100" s="215" t="s">
        <v>384</v>
      </c>
      <c r="L100" s="172"/>
      <c r="M100" s="172"/>
      <c r="N100" s="172"/>
      <c r="O100" s="172"/>
      <c r="P100" s="173"/>
    </row>
    <row r="101" spans="1:16" ht="16.95" customHeight="1" x14ac:dyDescent="0.3">
      <c r="K101" s="215" t="s">
        <v>385</v>
      </c>
      <c r="L101" s="172"/>
      <c r="M101" s="172"/>
      <c r="N101" s="172"/>
      <c r="O101" s="172"/>
      <c r="P101" s="173"/>
    </row>
    <row r="102" spans="1:16" ht="16.95" customHeight="1" x14ac:dyDescent="0.3">
      <c r="C102" s="218" t="s">
        <v>263</v>
      </c>
      <c r="D102" s="173"/>
      <c r="K102" s="215" t="s">
        <v>386</v>
      </c>
      <c r="L102" s="172"/>
      <c r="M102" s="172"/>
      <c r="N102" s="172"/>
      <c r="O102" s="172"/>
      <c r="P102" s="173"/>
    </row>
    <row r="103" spans="1:16" ht="16.95" customHeight="1" x14ac:dyDescent="0.3">
      <c r="A103" s="99" t="s">
        <v>249</v>
      </c>
      <c r="C103" s="99" t="s">
        <v>264</v>
      </c>
      <c r="E103" s="99" t="s">
        <v>247</v>
      </c>
      <c r="K103" s="215" t="s">
        <v>387</v>
      </c>
      <c r="L103" s="172"/>
      <c r="M103" s="172"/>
      <c r="N103" s="172"/>
      <c r="O103" s="172"/>
      <c r="P103" s="173"/>
    </row>
    <row r="104" spans="1:16" ht="16.95" customHeight="1" x14ac:dyDescent="0.3">
      <c r="A104" s="12" t="str">
        <f>E100</f>
        <v>D1Y</v>
      </c>
      <c r="B104" s="13" t="s">
        <v>220</v>
      </c>
      <c r="C104" s="93">
        <f t="array" ref="C104">MINVERSE(C100:C100)</f>
        <v>2.159560402529474E-5</v>
      </c>
      <c r="E104" s="17">
        <f>A100</f>
        <v>-5000</v>
      </c>
      <c r="K104" s="215" t="s">
        <v>388</v>
      </c>
      <c r="L104" s="172"/>
      <c r="M104" s="172"/>
      <c r="N104" s="172"/>
      <c r="O104" s="172"/>
      <c r="P104" s="173"/>
    </row>
    <row r="105" spans="1:16" ht="16.95" customHeight="1" x14ac:dyDescent="0.3">
      <c r="K105" s="215"/>
      <c r="L105" s="172"/>
      <c r="M105" s="172"/>
      <c r="N105" s="172"/>
      <c r="O105" s="172"/>
      <c r="P105" s="173"/>
    </row>
    <row r="106" spans="1:16" ht="16.95" customHeight="1" x14ac:dyDescent="0.3">
      <c r="C106" s="218" t="s">
        <v>265</v>
      </c>
      <c r="D106" s="173"/>
      <c r="K106" s="215"/>
      <c r="L106" s="172"/>
      <c r="M106" s="172"/>
      <c r="N106" s="172"/>
      <c r="O106" s="172"/>
      <c r="P106" s="173"/>
    </row>
    <row r="107" spans="1:16" ht="16.95" customHeight="1" x14ac:dyDescent="0.3">
      <c r="A107" s="99" t="s">
        <v>249</v>
      </c>
      <c r="C107" s="99" t="s">
        <v>266</v>
      </c>
      <c r="K107" s="215"/>
      <c r="L107" s="172"/>
      <c r="M107" s="172"/>
      <c r="N107" s="172"/>
      <c r="O107" s="172"/>
      <c r="P107" s="173"/>
    </row>
    <row r="108" spans="1:16" ht="16.95" customHeight="1" x14ac:dyDescent="0.3">
      <c r="A108" s="12" t="str">
        <f>A104</f>
        <v>D1Y</v>
      </c>
      <c r="B108" s="13" t="s">
        <v>220</v>
      </c>
      <c r="C108" s="94">
        <f t="array" ref="C108">MMULT(C104:C104, E104:E104)</f>
        <v>-0.1079780201264737</v>
      </c>
      <c r="D108" s="12" t="s">
        <v>267</v>
      </c>
      <c r="K108" s="215"/>
      <c r="L108" s="172"/>
      <c r="M108" s="172"/>
      <c r="N108" s="172"/>
      <c r="O108" s="172"/>
      <c r="P108" s="173"/>
    </row>
    <row r="111" spans="1:16" ht="19.95" customHeight="1" x14ac:dyDescent="0.35">
      <c r="A111" s="11" t="s">
        <v>268</v>
      </c>
      <c r="K111" s="216" t="s">
        <v>269</v>
      </c>
      <c r="L111" s="172"/>
      <c r="M111" s="172"/>
      <c r="N111" s="172"/>
      <c r="O111" s="172"/>
      <c r="P111" s="173"/>
    </row>
    <row r="112" spans="1:16" ht="16.95" customHeight="1" x14ac:dyDescent="0.3">
      <c r="A112" s="99" t="s">
        <v>247</v>
      </c>
      <c r="E112" s="99" t="s">
        <v>249</v>
      </c>
      <c r="K112" s="215" t="s">
        <v>389</v>
      </c>
      <c r="L112" s="172"/>
      <c r="M112" s="172"/>
      <c r="N112" s="172"/>
      <c r="O112" s="172"/>
      <c r="P112" s="173"/>
    </row>
    <row r="113" spans="1:16" ht="16.95" customHeight="1" x14ac:dyDescent="0.3">
      <c r="A113" s="18" t="str">
        <f>INDEX(B$72:B$77, MATCH(F113, C$72:C$77, 0))</f>
        <v>C1X</v>
      </c>
      <c r="C113" s="9">
        <f>INDEX($B$63:$G$68, MATCH($F113, $H$63:$H$68, 0), MATCH(C$99, $B$62:$G$62, 0))</f>
        <v>0</v>
      </c>
      <c r="E113" s="95">
        <f>C108</f>
        <v>-0.1079780201264737</v>
      </c>
      <c r="F113" s="14" t="str">
        <f>INDEX(C$80:C$85, MATCH(1, G$80:G$85, 0))</f>
        <v>U1X</v>
      </c>
      <c r="K113" s="215" t="s">
        <v>390</v>
      </c>
      <c r="L113" s="172"/>
      <c r="M113" s="172"/>
      <c r="N113" s="172"/>
      <c r="O113" s="172"/>
      <c r="P113" s="173"/>
    </row>
    <row r="114" spans="1:16" ht="16.95" customHeight="1" x14ac:dyDescent="0.3">
      <c r="A114" s="18" t="str">
        <f>INDEX(B$72:B$77, MATCH(F114, C$72:C$77, 0))</f>
        <v>C2X</v>
      </c>
      <c r="C114" s="9">
        <f>INDEX($B$63:$G$68, MATCH($F114, $H$63:$H$68, 0), MATCH(C$99, $B$62:$G$62, 0))</f>
        <v>27011.670182972433</v>
      </c>
      <c r="F114" s="14" t="str">
        <f>INDEX(C$80:C$85, MATCH(2, G$80:G$85, 0))</f>
        <v>U2X</v>
      </c>
      <c r="K114" s="215" t="s">
        <v>391</v>
      </c>
      <c r="L114" s="172"/>
      <c r="M114" s="172"/>
      <c r="N114" s="172"/>
      <c r="O114" s="172"/>
      <c r="P114" s="173"/>
    </row>
    <row r="115" spans="1:16" ht="16.95" customHeight="1" x14ac:dyDescent="0.3">
      <c r="A115" s="18" t="str">
        <f>INDEX(B$72:B$77, MATCH(F115, C$72:C$77, 0))</f>
        <v>C2Y</v>
      </c>
      <c r="B115" s="13" t="s">
        <v>220</v>
      </c>
      <c r="C115" s="9">
        <f>INDEX($B$63:$G$68, MATCH($F115, $H$63:$H$68, 0), MATCH(C$99, $B$62:$G$62, 0))</f>
        <v>-23152.860156833514</v>
      </c>
      <c r="F115" s="14" t="str">
        <f>INDEX(C$80:C$85, MATCH(3, G$80:G$85, 0))</f>
        <v>U2Y</v>
      </c>
      <c r="K115" s="215" t="s">
        <v>392</v>
      </c>
      <c r="L115" s="172"/>
      <c r="M115" s="172"/>
      <c r="N115" s="172"/>
      <c r="O115" s="172"/>
      <c r="P115" s="173"/>
    </row>
    <row r="116" spans="1:16" ht="16.95" customHeight="1" x14ac:dyDescent="0.3">
      <c r="A116" s="18" t="str">
        <f>INDEX(B$72:B$77, MATCH(F116, C$72:C$77, 0))</f>
        <v>C3X</v>
      </c>
      <c r="C116" s="9">
        <f>INDEX($B$63:$G$68, MATCH($F116, $H$63:$H$68, 0), MATCH(C$99, $B$62:$G$62, 0))</f>
        <v>-27011.670182972433</v>
      </c>
      <c r="F116" s="14" t="str">
        <f>INDEX(C$80:C$85, MATCH(4, G$80:G$85, 0))</f>
        <v>U3X</v>
      </c>
      <c r="K116" s="215" t="s">
        <v>393</v>
      </c>
      <c r="L116" s="172"/>
      <c r="M116" s="172"/>
      <c r="N116" s="172"/>
      <c r="O116" s="172"/>
      <c r="P116" s="173"/>
    </row>
    <row r="117" spans="1:16" ht="16.95" customHeight="1" x14ac:dyDescent="0.3">
      <c r="A117" s="18" t="str">
        <f>INDEX(B$72:B$77, MATCH(F117, C$72:C$77, 0))</f>
        <v>C3Y</v>
      </c>
      <c r="C117" s="9">
        <f>INDEX($B$63:$G$68, MATCH($F117, $H$63:$H$68, 0), MATCH(C$99, $B$62:$G$62, 0))</f>
        <v>-23152.860156833514</v>
      </c>
      <c r="F117" s="14" t="str">
        <f>INDEX(C$80:C$85, MATCH(5, G$80:G$85, 0))</f>
        <v>U3Y</v>
      </c>
      <c r="K117" s="215" t="s">
        <v>394</v>
      </c>
      <c r="L117" s="172"/>
      <c r="M117" s="172"/>
      <c r="N117" s="172"/>
      <c r="O117" s="172"/>
      <c r="P117" s="173"/>
    </row>
    <row r="118" spans="1:16" ht="16.95" customHeight="1" x14ac:dyDescent="0.3">
      <c r="K118" s="215"/>
      <c r="L118" s="172"/>
      <c r="M118" s="172"/>
      <c r="N118" s="172"/>
      <c r="O118" s="172"/>
      <c r="P118" s="173"/>
    </row>
    <row r="119" spans="1:16" ht="16.95" customHeight="1" x14ac:dyDescent="0.3">
      <c r="A119" s="12" t="str">
        <f>A113</f>
        <v>C1X</v>
      </c>
      <c r="C119" s="17">
        <f t="array" ref="C119:C123">MMULT(C113:C117, E113:E113)</f>
        <v>0</v>
      </c>
      <c r="D119" s="12" t="s">
        <v>273</v>
      </c>
      <c r="K119" s="215"/>
      <c r="L119" s="172"/>
      <c r="M119" s="172"/>
      <c r="N119" s="172"/>
      <c r="O119" s="172"/>
      <c r="P119" s="173"/>
    </row>
    <row r="120" spans="1:16" ht="16.95" customHeight="1" x14ac:dyDescent="0.3">
      <c r="A120" s="12" t="str">
        <f>A114</f>
        <v>C2X</v>
      </c>
      <c r="C120" s="17">
        <v>-2916.666666666667</v>
      </c>
      <c r="D120" s="12" t="s">
        <v>273</v>
      </c>
      <c r="K120" s="215"/>
      <c r="L120" s="172"/>
      <c r="M120" s="172"/>
      <c r="N120" s="172"/>
      <c r="O120" s="172"/>
      <c r="P120" s="173"/>
    </row>
    <row r="121" spans="1:16" ht="16.95" customHeight="1" x14ac:dyDescent="0.3">
      <c r="A121" s="12" t="str">
        <f>A115</f>
        <v>C2Y</v>
      </c>
      <c r="B121" s="13" t="s">
        <v>220</v>
      </c>
      <c r="C121" s="17">
        <v>2500.0000000000005</v>
      </c>
      <c r="D121" s="12" t="s">
        <v>273</v>
      </c>
      <c r="K121" s="215"/>
      <c r="L121" s="172"/>
      <c r="M121" s="172"/>
      <c r="N121" s="172"/>
      <c r="O121" s="172"/>
      <c r="P121" s="173"/>
    </row>
    <row r="122" spans="1:16" ht="16.95" customHeight="1" x14ac:dyDescent="0.3">
      <c r="A122" s="12" t="str">
        <f>A116</f>
        <v>C3X</v>
      </c>
      <c r="C122" s="17">
        <v>2916.666666666667</v>
      </c>
      <c r="D122" s="12" t="s">
        <v>273</v>
      </c>
      <c r="K122" s="215"/>
      <c r="L122" s="172"/>
      <c r="M122" s="172"/>
      <c r="N122" s="172"/>
      <c r="O122" s="172"/>
      <c r="P122" s="173"/>
    </row>
    <row r="123" spans="1:16" ht="16.95" customHeight="1" x14ac:dyDescent="0.3">
      <c r="A123" s="12" t="str">
        <f>A117</f>
        <v>C3Y</v>
      </c>
      <c r="C123" s="17">
        <v>2500.0000000000005</v>
      </c>
      <c r="D123" s="12" t="s">
        <v>273</v>
      </c>
      <c r="K123" s="215"/>
      <c r="L123" s="172"/>
      <c r="M123" s="172"/>
      <c r="N123" s="172"/>
      <c r="O123" s="172"/>
      <c r="P123" s="173"/>
    </row>
    <row r="126" spans="1:16" ht="19.95" customHeight="1" x14ac:dyDescent="0.35">
      <c r="A126" s="11" t="s">
        <v>274</v>
      </c>
    </row>
    <row r="128" spans="1:16" ht="19.05" customHeight="1" x14ac:dyDescent="0.3">
      <c r="A128" s="12" t="s">
        <v>228</v>
      </c>
      <c r="B128" s="12" t="s">
        <v>178</v>
      </c>
      <c r="D128" s="94">
        <f t="shared" ref="D128:D133" si="8">IFERROR(INDEX(C$108:C$108, MATCH(A128, A$108:A$108, 0)), 0)</f>
        <v>0</v>
      </c>
    </row>
    <row r="129" spans="1:16" ht="19.05" customHeight="1" x14ac:dyDescent="0.3">
      <c r="A129" s="12" t="s">
        <v>229</v>
      </c>
      <c r="B129" s="12" t="s">
        <v>179</v>
      </c>
      <c r="D129" s="94">
        <f t="shared" si="8"/>
        <v>-0.1079780201264737</v>
      </c>
    </row>
    <row r="130" spans="1:16" ht="19.05" customHeight="1" x14ac:dyDescent="0.3">
      <c r="A130" s="12" t="s">
        <v>230</v>
      </c>
      <c r="B130" s="12" t="s">
        <v>180</v>
      </c>
      <c r="D130" s="94">
        <f t="shared" si="8"/>
        <v>0</v>
      </c>
    </row>
    <row r="131" spans="1:16" ht="19.05" customHeight="1" x14ac:dyDescent="0.3">
      <c r="A131" s="12" t="s">
        <v>231</v>
      </c>
      <c r="B131" s="12" t="s">
        <v>181</v>
      </c>
      <c r="D131" s="94">
        <f t="shared" si="8"/>
        <v>0</v>
      </c>
    </row>
    <row r="132" spans="1:16" ht="19.05" customHeight="1" x14ac:dyDescent="0.3">
      <c r="A132" s="12" t="s">
        <v>232</v>
      </c>
      <c r="B132" s="12" t="s">
        <v>182</v>
      </c>
      <c r="D132" s="94">
        <f t="shared" si="8"/>
        <v>0</v>
      </c>
    </row>
    <row r="133" spans="1:16" ht="19.05" customHeight="1" x14ac:dyDescent="0.3">
      <c r="A133" s="12" t="s">
        <v>234</v>
      </c>
      <c r="B133" s="12" t="s">
        <v>183</v>
      </c>
      <c r="D133" s="94">
        <f t="shared" si="8"/>
        <v>0</v>
      </c>
    </row>
    <row r="136" spans="1:16" ht="19.95" customHeight="1" x14ac:dyDescent="0.35">
      <c r="A136" s="11" t="s">
        <v>275</v>
      </c>
      <c r="K136" s="216" t="s">
        <v>276</v>
      </c>
      <c r="L136" s="172"/>
      <c r="M136" s="172"/>
      <c r="N136" s="172"/>
      <c r="O136" s="172"/>
      <c r="P136" s="173"/>
    </row>
    <row r="137" spans="1:16" ht="16.95" customHeight="1" x14ac:dyDescent="0.3">
      <c r="K137" s="215" t="s">
        <v>395</v>
      </c>
      <c r="L137" s="172"/>
      <c r="M137" s="172"/>
      <c r="N137" s="172"/>
      <c r="O137" s="172"/>
      <c r="P137" s="173"/>
    </row>
    <row r="138" spans="1:16" ht="16.95" customHeight="1" x14ac:dyDescent="0.3">
      <c r="A138" s="19" t="s">
        <v>278</v>
      </c>
      <c r="C138" s="19" t="s">
        <v>279</v>
      </c>
      <c r="D138" s="19" t="s">
        <v>280</v>
      </c>
      <c r="E138" s="19" t="s">
        <v>279</v>
      </c>
      <c r="F138" s="19" t="s">
        <v>280</v>
      </c>
      <c r="G138" s="19" t="s">
        <v>249</v>
      </c>
      <c r="K138" s="215" t="s">
        <v>396</v>
      </c>
      <c r="L138" s="172"/>
      <c r="M138" s="172"/>
      <c r="N138" s="172"/>
      <c r="O138" s="172"/>
      <c r="P138" s="173"/>
    </row>
    <row r="139" spans="1:16" ht="16.95" customHeight="1" x14ac:dyDescent="0.3">
      <c r="C139" s="19" t="s">
        <v>282</v>
      </c>
      <c r="D139" s="19" t="s">
        <v>282</v>
      </c>
      <c r="E139" s="19" t="s">
        <v>283</v>
      </c>
      <c r="F139" s="19" t="s">
        <v>283</v>
      </c>
      <c r="K139" s="215" t="s">
        <v>397</v>
      </c>
      <c r="L139" s="172"/>
      <c r="M139" s="172"/>
      <c r="N139" s="172"/>
      <c r="O139" s="172"/>
      <c r="P139" s="173"/>
    </row>
    <row r="140" spans="1:16" ht="16.95" customHeight="1" x14ac:dyDescent="0.3">
      <c r="A140" s="17">
        <f>N6</f>
        <v>54666.475370301356</v>
      </c>
      <c r="C140" s="92">
        <f>-J6</f>
        <v>-0.75925660236529657</v>
      </c>
      <c r="D140" s="92">
        <f>-K6</f>
        <v>0.65079137345596849</v>
      </c>
      <c r="E140" s="92">
        <f>J6</f>
        <v>0.75925660236529657</v>
      </c>
      <c r="F140" s="92">
        <f>K6</f>
        <v>-0.65079137345596849</v>
      </c>
      <c r="G140" s="96">
        <f>IFERROR(VLOOKUP(H140, A$128:D$133, 4, FALSE), 0)</f>
        <v>0</v>
      </c>
      <c r="H140" s="12" t="str">
        <f>"D" &amp; C12 &amp; "X"</f>
        <v>D1X</v>
      </c>
      <c r="K140" s="215" t="s">
        <v>398</v>
      </c>
      <c r="L140" s="172"/>
      <c r="M140" s="172"/>
      <c r="N140" s="172"/>
      <c r="O140" s="172"/>
      <c r="P140" s="173"/>
    </row>
    <row r="141" spans="1:16" ht="16.95" customHeight="1" x14ac:dyDescent="0.3">
      <c r="A141" s="99" t="s">
        <v>285</v>
      </c>
      <c r="B141" s="97">
        <f>(MMULT(C140:F140, G140:G143)*A140)</f>
        <v>-3841.4768572053699</v>
      </c>
      <c r="G141" s="96">
        <f>IFERROR(VLOOKUP(H141, A$128:D$133, 4, FALSE), 0)</f>
        <v>-0.1079780201264737</v>
      </c>
      <c r="H141" s="12" t="str">
        <f>"D" &amp; D12 &amp; "Y"</f>
        <v>D1Y</v>
      </c>
      <c r="K141" s="215" t="s">
        <v>399</v>
      </c>
      <c r="L141" s="172"/>
      <c r="M141" s="172"/>
      <c r="N141" s="172"/>
      <c r="O141" s="172"/>
      <c r="P141" s="173"/>
    </row>
    <row r="142" spans="1:16" ht="16.95" customHeight="1" x14ac:dyDescent="0.3">
      <c r="G142" s="96">
        <f>IFERROR(VLOOKUP(H142, A$128:D$133, 4, FALSE), 0)</f>
        <v>0</v>
      </c>
      <c r="H142" s="12" t="str">
        <f>"D" &amp; E12 &amp; "X"</f>
        <v>D2X</v>
      </c>
      <c r="K142" s="215" t="s">
        <v>400</v>
      </c>
      <c r="L142" s="172"/>
      <c r="M142" s="172"/>
      <c r="N142" s="172"/>
      <c r="O142" s="172"/>
      <c r="P142" s="173"/>
    </row>
    <row r="143" spans="1:16" ht="16.95" customHeight="1" x14ac:dyDescent="0.3">
      <c r="G143" s="96">
        <f>IFERROR(VLOOKUP(H143, A$128:D$133, 4, FALSE), 0)</f>
        <v>0</v>
      </c>
      <c r="H143" s="12" t="str">
        <f>"D" &amp; F12 &amp; "Y"</f>
        <v>D2Y</v>
      </c>
      <c r="K143" s="215" t="s">
        <v>401</v>
      </c>
      <c r="L143" s="172"/>
      <c r="M143" s="172"/>
      <c r="N143" s="172"/>
      <c r="O143" s="172"/>
      <c r="P143" s="173"/>
    </row>
    <row r="144" spans="1:16" ht="16.95" customHeight="1" x14ac:dyDescent="0.3">
      <c r="B144" s="99" t="s">
        <v>273</v>
      </c>
      <c r="C144" s="178" t="str">
        <f>IF(B141&gt;0.001,"BARRA A TRACCIÓN (+)",IF(B141&lt;-0.001,"BARRA A COMPRESIÓN (-)","BARRA DE FUERZA NULA"))</f>
        <v>BARRA A COMPRESIÓN (-)</v>
      </c>
      <c r="D144" s="172"/>
      <c r="E144" s="172"/>
      <c r="F144" s="173"/>
      <c r="K144" s="215" t="s">
        <v>402</v>
      </c>
      <c r="L144" s="172"/>
      <c r="M144" s="172"/>
      <c r="N144" s="172"/>
      <c r="O144" s="172"/>
      <c r="P144" s="173"/>
    </row>
    <row r="145" spans="1:16" ht="16.95" customHeight="1" x14ac:dyDescent="0.3">
      <c r="K145" s="215" t="s">
        <v>403</v>
      </c>
      <c r="L145" s="172"/>
      <c r="M145" s="172"/>
      <c r="N145" s="172"/>
      <c r="O145" s="172"/>
      <c r="P145" s="173"/>
    </row>
    <row r="146" spans="1:16" ht="16.95" customHeight="1" x14ac:dyDescent="0.3">
      <c r="A146" s="19" t="s">
        <v>278</v>
      </c>
      <c r="C146" s="19" t="s">
        <v>279</v>
      </c>
      <c r="D146" s="19" t="s">
        <v>280</v>
      </c>
      <c r="E146" s="19" t="s">
        <v>279</v>
      </c>
      <c r="F146" s="19" t="s">
        <v>280</v>
      </c>
      <c r="G146" s="19" t="s">
        <v>249</v>
      </c>
      <c r="K146" s="215"/>
      <c r="L146" s="172"/>
      <c r="M146" s="172"/>
      <c r="N146" s="172"/>
      <c r="O146" s="172"/>
      <c r="P146" s="173"/>
    </row>
    <row r="147" spans="1:16" ht="16.95" customHeight="1" x14ac:dyDescent="0.3">
      <c r="C147" s="19" t="s">
        <v>282</v>
      </c>
      <c r="D147" s="19" t="s">
        <v>282</v>
      </c>
      <c r="E147" s="19" t="s">
        <v>283</v>
      </c>
      <c r="F147" s="19" t="s">
        <v>283</v>
      </c>
      <c r="K147" s="215"/>
      <c r="L147" s="172"/>
      <c r="M147" s="172"/>
      <c r="N147" s="172"/>
      <c r="O147" s="172"/>
      <c r="P147" s="173"/>
    </row>
    <row r="148" spans="1:16" ht="16.95" customHeight="1" x14ac:dyDescent="0.3">
      <c r="A148" s="17">
        <f>N7</f>
        <v>36000</v>
      </c>
      <c r="C148" s="92">
        <f>-J7</f>
        <v>1</v>
      </c>
      <c r="D148" s="92">
        <f>-K7</f>
        <v>0</v>
      </c>
      <c r="E148" s="92">
        <f>J7</f>
        <v>-1</v>
      </c>
      <c r="F148" s="92">
        <f>K7</f>
        <v>0</v>
      </c>
      <c r="G148" s="96">
        <f>IFERROR(VLOOKUP(H148, A$128:D$133, 4, FALSE), 0)</f>
        <v>0</v>
      </c>
      <c r="H148" s="12" t="str">
        <f>"D" &amp; C13 &amp; "X"</f>
        <v>D2X</v>
      </c>
      <c r="K148" s="215"/>
      <c r="L148" s="172"/>
      <c r="M148" s="172"/>
      <c r="N148" s="172"/>
      <c r="O148" s="172"/>
      <c r="P148" s="173"/>
    </row>
    <row r="149" spans="1:16" ht="16.95" customHeight="1" x14ac:dyDescent="0.3">
      <c r="A149" s="99" t="s">
        <v>286</v>
      </c>
      <c r="B149" s="97">
        <f>(MMULT(C148:F148, G148:G151)*A148)</f>
        <v>0</v>
      </c>
      <c r="G149" s="96">
        <f>IFERROR(VLOOKUP(H149, A$128:D$133, 4, FALSE), 0)</f>
        <v>0</v>
      </c>
      <c r="H149" s="12" t="str">
        <f>"D" &amp; D13 &amp; "Y"</f>
        <v>D2Y</v>
      </c>
      <c r="K149" s="215"/>
      <c r="L149" s="172"/>
      <c r="M149" s="172"/>
      <c r="N149" s="172"/>
      <c r="O149" s="172"/>
      <c r="P149" s="173"/>
    </row>
    <row r="150" spans="1:16" ht="16.95" customHeight="1" x14ac:dyDescent="0.3">
      <c r="G150" s="96">
        <f>IFERROR(VLOOKUP(H150, A$128:D$133, 4, FALSE), 0)</f>
        <v>0</v>
      </c>
      <c r="H150" s="12" t="str">
        <f>"D" &amp; E13 &amp; "X"</f>
        <v>D3X</v>
      </c>
      <c r="K150" s="215"/>
      <c r="L150" s="172"/>
      <c r="M150" s="172"/>
      <c r="N150" s="172"/>
      <c r="O150" s="172"/>
      <c r="P150" s="173"/>
    </row>
    <row r="151" spans="1:16" ht="16.95" customHeight="1" x14ac:dyDescent="0.3">
      <c r="G151" s="96">
        <f>IFERROR(VLOOKUP(H151, A$128:D$133, 4, FALSE), 0)</f>
        <v>0</v>
      </c>
      <c r="H151" s="12" t="str">
        <f>"D" &amp; F13 &amp; "Y"</f>
        <v>D3Y</v>
      </c>
      <c r="K151" s="215"/>
      <c r="L151" s="172"/>
      <c r="M151" s="172"/>
      <c r="N151" s="172"/>
      <c r="O151" s="172"/>
      <c r="P151" s="173"/>
    </row>
    <row r="152" spans="1:16" ht="16.95" customHeight="1" x14ac:dyDescent="0.3">
      <c r="B152" s="99" t="s">
        <v>273</v>
      </c>
      <c r="C152" s="178" t="str">
        <f>IF(B149&gt;0.001,"BARRA A TRACCIÓN (+)",IF(B149&lt;-0.001,"BARRA A COMPRESIÓN (-)","BARRA DE FUERZA NULA"))</f>
        <v>BARRA DE FUERZA NULA</v>
      </c>
      <c r="D152" s="172"/>
      <c r="E152" s="172"/>
      <c r="F152" s="173"/>
      <c r="K152" s="215"/>
      <c r="L152" s="172"/>
      <c r="M152" s="172"/>
      <c r="N152" s="172"/>
      <c r="O152" s="172"/>
      <c r="P152" s="173"/>
    </row>
    <row r="153" spans="1:16" ht="16.95" customHeight="1" x14ac:dyDescent="0.3">
      <c r="K153" s="215"/>
      <c r="L153" s="172"/>
      <c r="M153" s="172"/>
      <c r="N153" s="172"/>
      <c r="O153" s="172"/>
      <c r="P153" s="173"/>
    </row>
    <row r="154" spans="1:16" ht="16.95" customHeight="1" x14ac:dyDescent="0.3">
      <c r="A154" s="19" t="s">
        <v>278</v>
      </c>
      <c r="C154" s="19" t="s">
        <v>279</v>
      </c>
      <c r="D154" s="19" t="s">
        <v>280</v>
      </c>
      <c r="E154" s="19" t="s">
        <v>279</v>
      </c>
      <c r="F154" s="19" t="s">
        <v>280</v>
      </c>
      <c r="G154" s="19" t="s">
        <v>249</v>
      </c>
      <c r="K154" s="215"/>
      <c r="L154" s="172"/>
      <c r="M154" s="172"/>
      <c r="N154" s="172"/>
      <c r="O154" s="172"/>
      <c r="P154" s="173"/>
    </row>
    <row r="155" spans="1:16" ht="16.95" customHeight="1" x14ac:dyDescent="0.3">
      <c r="C155" s="19" t="s">
        <v>282</v>
      </c>
      <c r="D155" s="19" t="s">
        <v>282</v>
      </c>
      <c r="E155" s="19" t="s">
        <v>283</v>
      </c>
      <c r="F155" s="19" t="s">
        <v>283</v>
      </c>
      <c r="K155" s="215"/>
      <c r="L155" s="172"/>
      <c r="M155" s="172"/>
      <c r="N155" s="172"/>
      <c r="O155" s="172"/>
      <c r="P155" s="173"/>
    </row>
    <row r="156" spans="1:16" ht="16.95" customHeight="1" x14ac:dyDescent="0.3">
      <c r="A156" s="17">
        <f>N8</f>
        <v>54666.475370301356</v>
      </c>
      <c r="C156" s="92">
        <f>-J8</f>
        <v>-0.75925660236529657</v>
      </c>
      <c r="D156" s="92">
        <f>-K8</f>
        <v>-0.65079137345596849</v>
      </c>
      <c r="E156" s="92">
        <f>J8</f>
        <v>0.75925660236529657</v>
      </c>
      <c r="F156" s="92">
        <f>K8</f>
        <v>0.65079137345596849</v>
      </c>
      <c r="G156" s="96">
        <f>IFERROR(VLOOKUP(H156, A$128:D$133, 4, FALSE), 0)</f>
        <v>0</v>
      </c>
      <c r="H156" s="12" t="str">
        <f>"D" &amp; C14 &amp; "X"</f>
        <v>D3X</v>
      </c>
      <c r="K156" s="215"/>
      <c r="L156" s="172"/>
      <c r="M156" s="172"/>
      <c r="N156" s="172"/>
      <c r="O156" s="172"/>
      <c r="P156" s="173"/>
    </row>
    <row r="157" spans="1:16" ht="16.95" customHeight="1" x14ac:dyDescent="0.3">
      <c r="A157" s="99" t="s">
        <v>287</v>
      </c>
      <c r="B157" s="97">
        <f>(MMULT(C156:F156, G156:G159)*A156)</f>
        <v>-3841.4768572053699</v>
      </c>
      <c r="G157" s="96">
        <f>IFERROR(VLOOKUP(H157, A$128:D$133, 4, FALSE), 0)</f>
        <v>0</v>
      </c>
      <c r="H157" s="12" t="str">
        <f>"D" &amp; D14 &amp; "Y"</f>
        <v>D3Y</v>
      </c>
      <c r="K157" s="215"/>
      <c r="L157" s="172"/>
      <c r="M157" s="172"/>
      <c r="N157" s="172"/>
      <c r="O157" s="172"/>
      <c r="P157" s="173"/>
    </row>
    <row r="158" spans="1:16" ht="16.95" customHeight="1" x14ac:dyDescent="0.3">
      <c r="G158" s="96">
        <f>IFERROR(VLOOKUP(H158, A$128:D$133, 4, FALSE), 0)</f>
        <v>0</v>
      </c>
      <c r="H158" s="12" t="str">
        <f>"D" &amp; E14 &amp; "X"</f>
        <v>D1X</v>
      </c>
      <c r="K158" s="215"/>
      <c r="L158" s="172"/>
      <c r="M158" s="172"/>
      <c r="N158" s="172"/>
      <c r="O158" s="172"/>
      <c r="P158" s="173"/>
    </row>
    <row r="159" spans="1:16" ht="16.95" customHeight="1" x14ac:dyDescent="0.3">
      <c r="G159" s="96">
        <f>IFERROR(VLOOKUP(H159, A$128:D$133, 4, FALSE), 0)</f>
        <v>-0.1079780201264737</v>
      </c>
      <c r="H159" s="12" t="str">
        <f>"D" &amp; F14 &amp; "Y"</f>
        <v>D1Y</v>
      </c>
      <c r="K159" s="215"/>
      <c r="L159" s="172"/>
      <c r="M159" s="172"/>
      <c r="N159" s="172"/>
      <c r="O159" s="172"/>
      <c r="P159" s="173"/>
    </row>
    <row r="160" spans="1:16" ht="16.95" customHeight="1" x14ac:dyDescent="0.3">
      <c r="B160" s="99" t="s">
        <v>273</v>
      </c>
      <c r="C160" s="178" t="str">
        <f>IF(B157&gt;0.001,"BARRA A TRACCIÓN (+)",IF(B157&lt;-0.001,"BARRA A COMPRESIÓN (-)","BARRA DE FUERZA NULA"))</f>
        <v>BARRA A COMPRESIÓN (-)</v>
      </c>
      <c r="D160" s="172"/>
      <c r="E160" s="172"/>
      <c r="F160" s="173"/>
      <c r="K160" s="215"/>
      <c r="L160" s="172"/>
      <c r="M160" s="172"/>
      <c r="N160" s="172"/>
      <c r="O160" s="172"/>
      <c r="P160" s="173"/>
    </row>
    <row r="161" spans="2:16" ht="16.95" customHeight="1" x14ac:dyDescent="0.3">
      <c r="K161" s="215"/>
      <c r="L161" s="172"/>
      <c r="M161" s="172"/>
      <c r="N161" s="172"/>
      <c r="O161" s="172"/>
      <c r="P161" s="173"/>
    </row>
    <row r="163" spans="2:16" ht="22.05" customHeight="1" x14ac:dyDescent="0.3">
      <c r="B163" s="217" t="s">
        <v>404</v>
      </c>
      <c r="C163" s="175"/>
      <c r="D163" s="175"/>
      <c r="E163" s="175"/>
      <c r="F163" s="175"/>
      <c r="G163" s="175"/>
      <c r="H163" s="175"/>
    </row>
    <row r="164" spans="2:16" ht="24" customHeight="1" x14ac:dyDescent="0.3">
      <c r="B164" s="87" t="s">
        <v>294</v>
      </c>
      <c r="C164" s="87" t="s">
        <v>295</v>
      </c>
      <c r="D164" s="87" t="s">
        <v>296</v>
      </c>
      <c r="E164" s="87" t="s">
        <v>297</v>
      </c>
      <c r="F164" s="87" t="s">
        <v>298</v>
      </c>
      <c r="G164" s="87" t="s">
        <v>299</v>
      </c>
      <c r="H164" s="87" t="s">
        <v>300</v>
      </c>
    </row>
    <row r="165" spans="2:16" ht="19.95" customHeight="1" x14ac:dyDescent="0.3">
      <c r="B165" s="85">
        <v>1</v>
      </c>
      <c r="C165" s="86">
        <f>C12</f>
        <v>1</v>
      </c>
      <c r="D165" s="86">
        <f>E12</f>
        <v>2</v>
      </c>
      <c r="E165" s="9">
        <f>I6</f>
        <v>460.97722286464438</v>
      </c>
      <c r="F165" s="9">
        <f>L6</f>
        <v>12</v>
      </c>
      <c r="G165" s="97">
        <f>B141</f>
        <v>-3841.4768572053699</v>
      </c>
      <c r="H165" s="84" t="str">
        <f>C144</f>
        <v>BARRA A COMPRESIÓN (-)</v>
      </c>
    </row>
    <row r="166" spans="2:16" ht="19.95" customHeight="1" x14ac:dyDescent="0.3">
      <c r="B166" s="25">
        <v>2</v>
      </c>
      <c r="C166" s="86">
        <f>C13</f>
        <v>2</v>
      </c>
      <c r="D166" s="86">
        <f>E13</f>
        <v>3</v>
      </c>
      <c r="E166" s="9">
        <f>I7</f>
        <v>700</v>
      </c>
      <c r="F166" s="9">
        <f>L7</f>
        <v>12</v>
      </c>
      <c r="G166" s="97">
        <f>B149</f>
        <v>0</v>
      </c>
      <c r="H166" s="84" t="str">
        <f>C152</f>
        <v>BARRA DE FUERZA NULA</v>
      </c>
    </row>
    <row r="167" spans="2:16" ht="19.95" customHeight="1" x14ac:dyDescent="0.3">
      <c r="B167" s="26">
        <v>3</v>
      </c>
      <c r="C167" s="86">
        <f>C14</f>
        <v>3</v>
      </c>
      <c r="D167" s="86">
        <f>E14</f>
        <v>1</v>
      </c>
      <c r="E167" s="9">
        <f>I8</f>
        <v>460.97722286464438</v>
      </c>
      <c r="F167" s="9">
        <f>L8</f>
        <v>12</v>
      </c>
      <c r="G167" s="97">
        <f>B157</f>
        <v>-3841.4768572053699</v>
      </c>
      <c r="H167" s="84" t="str">
        <f>C160</f>
        <v>BARRA A COMPRESIÓN (-)</v>
      </c>
    </row>
  </sheetData>
  <mergeCells count="99">
    <mergeCell ref="K77:P77"/>
    <mergeCell ref="K151:P151"/>
    <mergeCell ref="J4:J5"/>
    <mergeCell ref="L4:L5"/>
    <mergeCell ref="K112:P112"/>
    <mergeCell ref="K104:P104"/>
    <mergeCell ref="K116:P116"/>
    <mergeCell ref="K103:P103"/>
    <mergeCell ref="K78:P78"/>
    <mergeCell ref="K118:P118"/>
    <mergeCell ref="K87:P87"/>
    <mergeCell ref="K85:P85"/>
    <mergeCell ref="K100:P100"/>
    <mergeCell ref="K94:P94"/>
    <mergeCell ref="K75:P75"/>
    <mergeCell ref="K84:P84"/>
    <mergeCell ref="B1:N1"/>
    <mergeCell ref="K113:P113"/>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80:P80"/>
    <mergeCell ref="K95:P95"/>
    <mergeCell ref="K89:P89"/>
    <mergeCell ref="K153:P153"/>
    <mergeCell ref="K155:P155"/>
    <mergeCell ref="K149:P149"/>
    <mergeCell ref="K102:P102"/>
    <mergeCell ref="H4:H5"/>
    <mergeCell ref="K79:P79"/>
    <mergeCell ref="C102:D102"/>
    <mergeCell ref="K144:P144"/>
    <mergeCell ref="K122:P122"/>
    <mergeCell ref="K72:P72"/>
    <mergeCell ref="K81:P81"/>
    <mergeCell ref="K106:P106"/>
    <mergeCell ref="K105:P105"/>
    <mergeCell ref="K120:P120"/>
    <mergeCell ref="K107:P107"/>
    <mergeCell ref="K4:K5"/>
    <mergeCell ref="K83:P83"/>
    <mergeCell ref="K91:P91"/>
    <mergeCell ref="C87:D87"/>
    <mergeCell ref="K142:P142"/>
    <mergeCell ref="C160:F160"/>
    <mergeCell ref="K148:P148"/>
    <mergeCell ref="K157:P157"/>
    <mergeCell ref="K141:P141"/>
    <mergeCell ref="K93:P93"/>
    <mergeCell ref="C152:F152"/>
    <mergeCell ref="K150:P150"/>
    <mergeCell ref="K159:P159"/>
    <mergeCell ref="K123:P123"/>
    <mergeCell ref="K152:P152"/>
    <mergeCell ref="K158:P158"/>
    <mergeCell ref="C144:F144"/>
    <mergeCell ref="B2:N2"/>
    <mergeCell ref="K143:P143"/>
    <mergeCell ref="C106:D106"/>
    <mergeCell ref="K92:P92"/>
    <mergeCell ref="B4:B5"/>
    <mergeCell ref="N4:N5"/>
    <mergeCell ref="K119:P119"/>
    <mergeCell ref="K111:P111"/>
    <mergeCell ref="G4:G5"/>
    <mergeCell ref="I4:I5"/>
    <mergeCell ref="K121:P121"/>
    <mergeCell ref="K74:P74"/>
    <mergeCell ref="K139:P139"/>
    <mergeCell ref="B3:D3"/>
    <mergeCell ref="K108:P108"/>
    <mergeCell ref="M4:M5"/>
    <mergeCell ref="K161:P161"/>
    <mergeCell ref="B163:H163"/>
    <mergeCell ref="C10:D10"/>
    <mergeCell ref="K71:P71"/>
    <mergeCell ref="E10:F10"/>
    <mergeCell ref="K136:P136"/>
    <mergeCell ref="K145:P145"/>
    <mergeCell ref="K98:P98"/>
    <mergeCell ref="B10:B11"/>
    <mergeCell ref="K160:P160"/>
    <mergeCell ref="K73:P73"/>
    <mergeCell ref="K82:P82"/>
    <mergeCell ref="K147:P147"/>
    <mergeCell ref="K156:P156"/>
    <mergeCell ref="K137:P137"/>
    <mergeCell ref="K146:P146"/>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650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4</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500</v>
      </c>
      <c r="AB9" s="20">
        <f>IF(H29="","",H29)</f>
        <v>350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500</v>
      </c>
      <c r="AB11" s="20">
        <f>IF(F30="","",F30)</f>
        <v>350</v>
      </c>
      <c r="AC11" t="s">
        <v>324</v>
      </c>
    </row>
    <row r="12" spans="2:29" x14ac:dyDescent="0.3">
      <c r="AA12" s="20">
        <f>IF(G30="","",G30)</f>
        <v>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651</v>
      </c>
      <c r="K14" s="172"/>
      <c r="L14" s="172"/>
      <c r="M14" s="172"/>
      <c r="N14" s="172"/>
      <c r="O14" s="173"/>
      <c r="AA14" s="20">
        <f>IF(E31="","",E31)</f>
        <v>0</v>
      </c>
      <c r="AB14" s="20">
        <f>IF(F31="","",F31)</f>
        <v>350</v>
      </c>
      <c r="AC14" t="s">
        <v>328</v>
      </c>
    </row>
    <row r="15" spans="2:29" ht="19.05" customHeight="1" x14ac:dyDescent="0.3">
      <c r="B15" s="89">
        <v>2</v>
      </c>
      <c r="C15" s="21">
        <v>500</v>
      </c>
      <c r="D15" s="21">
        <v>0</v>
      </c>
      <c r="E15" s="21" t="s">
        <v>332</v>
      </c>
      <c r="F15" s="88">
        <f t="shared" si="0"/>
        <v>1</v>
      </c>
      <c r="G15" s="88">
        <f t="shared" si="1"/>
        <v>1</v>
      </c>
      <c r="H15" s="22">
        <v>0</v>
      </c>
      <c r="I15" s="22">
        <v>0</v>
      </c>
      <c r="J15" s="205" t="s">
        <v>652</v>
      </c>
      <c r="K15" s="172"/>
      <c r="L15" s="172"/>
      <c r="M15" s="172"/>
      <c r="N15" s="172"/>
      <c r="O15" s="173"/>
      <c r="AA15" s="20">
        <f>IF(G31="","",G31)</f>
        <v>0</v>
      </c>
      <c r="AB15" s="20">
        <f>IF(H31="","",H31)</f>
        <v>0</v>
      </c>
      <c r="AC15" t="s">
        <v>331</v>
      </c>
    </row>
    <row r="16" spans="2:29" ht="19.05" customHeight="1" x14ac:dyDescent="0.3">
      <c r="B16" s="89">
        <v>3</v>
      </c>
      <c r="C16" s="21">
        <v>500</v>
      </c>
      <c r="D16" s="21">
        <v>350</v>
      </c>
      <c r="E16" s="21" t="s">
        <v>326</v>
      </c>
      <c r="F16" s="88">
        <f t="shared" si="0"/>
        <v>0</v>
      </c>
      <c r="G16" s="88">
        <f t="shared" si="1"/>
        <v>0</v>
      </c>
      <c r="H16" s="22">
        <v>0</v>
      </c>
      <c r="I16" s="22">
        <v>-7000</v>
      </c>
      <c r="J16" s="205" t="s">
        <v>653</v>
      </c>
      <c r="K16" s="172"/>
      <c r="L16" s="172"/>
      <c r="M16" s="172"/>
      <c r="N16" s="172"/>
      <c r="O16" s="173"/>
    </row>
    <row r="17" spans="2:29" ht="19.05" customHeight="1" x14ac:dyDescent="0.3">
      <c r="B17" s="89">
        <v>4</v>
      </c>
      <c r="C17" s="21">
        <v>0</v>
      </c>
      <c r="D17" s="21">
        <v>350</v>
      </c>
      <c r="E17" s="21" t="s">
        <v>326</v>
      </c>
      <c r="F17" s="88">
        <f t="shared" si="0"/>
        <v>0</v>
      </c>
      <c r="G17" s="88">
        <f t="shared" si="1"/>
        <v>0</v>
      </c>
      <c r="H17" s="22">
        <v>3000</v>
      </c>
      <c r="I17" s="22">
        <v>0</v>
      </c>
      <c r="J17" s="205" t="s">
        <v>654</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500</v>
      </c>
      <c r="AB18" s="20">
        <f>IF(H32="","",H32)</f>
        <v>350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500</v>
      </c>
      <c r="H29" s="5">
        <f t="shared" si="5"/>
        <v>350</v>
      </c>
      <c r="I29" s="9">
        <f t="shared" si="6"/>
        <v>0</v>
      </c>
      <c r="J29" s="9">
        <f t="shared" si="7"/>
        <v>350</v>
      </c>
      <c r="K29" s="9">
        <f t="shared" si="8"/>
        <v>350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350</v>
      </c>
      <c r="G30" s="5">
        <f t="shared" si="4"/>
        <v>0</v>
      </c>
      <c r="H30" s="5">
        <f t="shared" si="5"/>
        <v>350</v>
      </c>
      <c r="I30" s="9">
        <f t="shared" si="6"/>
        <v>-500</v>
      </c>
      <c r="J30" s="9">
        <f t="shared" si="7"/>
        <v>0</v>
      </c>
      <c r="K30" s="9">
        <f t="shared" si="8"/>
        <v>500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350</v>
      </c>
      <c r="G31" s="5">
        <f t="shared" si="4"/>
        <v>0</v>
      </c>
      <c r="H31" s="5">
        <f t="shared" si="5"/>
        <v>0</v>
      </c>
      <c r="I31" s="9">
        <f t="shared" si="6"/>
        <v>0</v>
      </c>
      <c r="J31" s="9">
        <f t="shared" si="7"/>
        <v>-350</v>
      </c>
      <c r="K31" s="9">
        <f t="shared" si="8"/>
        <v>350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500</v>
      </c>
      <c r="H32" s="5">
        <f t="shared" si="5"/>
        <v>350</v>
      </c>
      <c r="I32" s="9">
        <f t="shared" si="6"/>
        <v>500</v>
      </c>
      <c r="J32" s="9">
        <f t="shared" si="7"/>
        <v>350</v>
      </c>
      <c r="K32" s="9">
        <f t="shared" si="8"/>
        <v>610.32778078668514</v>
      </c>
      <c r="L32" s="92">
        <f t="shared" si="9"/>
        <v>0.81923192051904048</v>
      </c>
      <c r="M32" s="92">
        <f t="shared" si="10"/>
        <v>0.57346234436332832</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700-000000000000}">
      <formula1>"Fijo (articulado),Rodillo Y (despl. X libre),Rodillo X (despl. Y libre),Libre (0 reac.)"</formula1>
    </dataValidation>
  </dataValidations>
  <pageMargins left="0.75" right="0.75" top="1" bottom="1" header="0.5" footer="0.5"/>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Q246"/>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655</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GRAFICA_51!E28</f>
        <v>0</v>
      </c>
      <c r="D6" s="22">
        <f>GRAFICA_51!F28</f>
        <v>0</v>
      </c>
      <c r="E6" s="22">
        <f>GRAFICA_51!G28</f>
        <v>500</v>
      </c>
      <c r="F6" s="22">
        <f>GRAFICA_51!H28</f>
        <v>0</v>
      </c>
      <c r="G6" s="9">
        <f t="shared" ref="G6:H10" si="0">E6-C6</f>
        <v>500</v>
      </c>
      <c r="H6" s="9">
        <f t="shared" si="0"/>
        <v>0</v>
      </c>
      <c r="I6" s="9">
        <f>SQRT(G6*G6+H6*H6)</f>
        <v>500</v>
      </c>
      <c r="J6" s="92">
        <f>G6/I6</f>
        <v>1</v>
      </c>
      <c r="K6" s="92">
        <f>H6/I6</f>
        <v>0</v>
      </c>
      <c r="L6" s="22">
        <f>GRAFICA_51!N28</f>
        <v>12</v>
      </c>
      <c r="M6" s="22">
        <f>GRAFICA_51!O28</f>
        <v>2100000</v>
      </c>
      <c r="N6" s="6">
        <f>L6*M6/I6</f>
        <v>50400</v>
      </c>
    </row>
    <row r="7" spans="2:14" ht="19.05" customHeight="1" x14ac:dyDescent="0.3">
      <c r="B7" s="25">
        <v>2</v>
      </c>
      <c r="C7" s="22">
        <f>GRAFICA_51!E29</f>
        <v>500</v>
      </c>
      <c r="D7" s="22">
        <f>GRAFICA_51!F29</f>
        <v>0</v>
      </c>
      <c r="E7" s="22">
        <f>GRAFICA_51!G29</f>
        <v>500</v>
      </c>
      <c r="F7" s="22">
        <f>GRAFICA_51!H29</f>
        <v>350</v>
      </c>
      <c r="G7" s="9">
        <f t="shared" si="0"/>
        <v>0</v>
      </c>
      <c r="H7" s="9">
        <f t="shared" si="0"/>
        <v>350</v>
      </c>
      <c r="I7" s="9">
        <f>SQRT(G7*G7+H7*H7)</f>
        <v>350</v>
      </c>
      <c r="J7" s="92">
        <f>G7/I7</f>
        <v>0</v>
      </c>
      <c r="K7" s="92">
        <f>H7/I7</f>
        <v>1</v>
      </c>
      <c r="L7" s="22">
        <f>GRAFICA_51!N29</f>
        <v>12</v>
      </c>
      <c r="M7" s="22">
        <f>GRAFICA_51!O29</f>
        <v>2100000</v>
      </c>
      <c r="N7" s="6">
        <f>L7*M7/I7</f>
        <v>72000</v>
      </c>
    </row>
    <row r="8" spans="2:14" ht="19.05" customHeight="1" x14ac:dyDescent="0.3">
      <c r="B8" s="26">
        <v>3</v>
      </c>
      <c r="C8" s="22">
        <f>GRAFICA_51!E30</f>
        <v>500</v>
      </c>
      <c r="D8" s="22">
        <f>GRAFICA_51!F30</f>
        <v>350</v>
      </c>
      <c r="E8" s="22">
        <f>GRAFICA_51!G30</f>
        <v>0</v>
      </c>
      <c r="F8" s="22">
        <f>GRAFICA_51!H30</f>
        <v>350</v>
      </c>
      <c r="G8" s="9">
        <f t="shared" si="0"/>
        <v>-500</v>
      </c>
      <c r="H8" s="9">
        <f t="shared" si="0"/>
        <v>0</v>
      </c>
      <c r="I8" s="9">
        <f>SQRT(G8*G8+H8*H8)</f>
        <v>500</v>
      </c>
      <c r="J8" s="92">
        <f>G8/I8</f>
        <v>-1</v>
      </c>
      <c r="K8" s="92">
        <f>H8/I8</f>
        <v>0</v>
      </c>
      <c r="L8" s="22">
        <f>GRAFICA_51!N30</f>
        <v>12</v>
      </c>
      <c r="M8" s="22">
        <f>GRAFICA_51!O30</f>
        <v>2100000</v>
      </c>
      <c r="N8" s="6">
        <f>L8*M8/I8</f>
        <v>50400</v>
      </c>
    </row>
    <row r="9" spans="2:14" ht="19.05" customHeight="1" x14ac:dyDescent="0.3">
      <c r="B9" s="43">
        <v>4</v>
      </c>
      <c r="C9" s="22">
        <f>GRAFICA_51!E31</f>
        <v>0</v>
      </c>
      <c r="D9" s="22">
        <f>GRAFICA_51!F31</f>
        <v>350</v>
      </c>
      <c r="E9" s="22">
        <f>GRAFICA_51!G31</f>
        <v>0</v>
      </c>
      <c r="F9" s="22">
        <f>GRAFICA_51!H31</f>
        <v>0</v>
      </c>
      <c r="G9" s="9">
        <f t="shared" si="0"/>
        <v>0</v>
      </c>
      <c r="H9" s="9">
        <f t="shared" si="0"/>
        <v>-350</v>
      </c>
      <c r="I9" s="9">
        <f>SQRT(G9*G9+H9*H9)</f>
        <v>350</v>
      </c>
      <c r="J9" s="92">
        <f>G9/I9</f>
        <v>0</v>
      </c>
      <c r="K9" s="92">
        <f>H9/I9</f>
        <v>-1</v>
      </c>
      <c r="L9" s="22">
        <f>GRAFICA_51!N31</f>
        <v>12</v>
      </c>
      <c r="M9" s="22">
        <f>GRAFICA_51!O31</f>
        <v>2100000</v>
      </c>
      <c r="N9" s="6">
        <f>L9*M9/I9</f>
        <v>72000</v>
      </c>
    </row>
    <row r="10" spans="2:14" ht="19.05" customHeight="1" x14ac:dyDescent="0.3">
      <c r="B10" s="44">
        <v>5</v>
      </c>
      <c r="C10" s="22">
        <f>GRAFICA_51!E32</f>
        <v>0</v>
      </c>
      <c r="D10" s="22">
        <f>GRAFICA_51!F32</f>
        <v>0</v>
      </c>
      <c r="E10" s="22">
        <f>GRAFICA_51!G32</f>
        <v>500</v>
      </c>
      <c r="F10" s="22">
        <f>GRAFICA_51!H32</f>
        <v>350</v>
      </c>
      <c r="G10" s="9">
        <f t="shared" si="0"/>
        <v>500</v>
      </c>
      <c r="H10" s="9">
        <f t="shared" si="0"/>
        <v>350</v>
      </c>
      <c r="I10" s="9">
        <f>SQRT(G10*G10+H10*H10)</f>
        <v>610.32778078668514</v>
      </c>
      <c r="J10" s="92">
        <f>G10/I10</f>
        <v>0.81923192051904048</v>
      </c>
      <c r="K10" s="92">
        <f>H10/I10</f>
        <v>0.57346234436332832</v>
      </c>
      <c r="L10" s="22">
        <f>GRAFICA_51!N32</f>
        <v>12</v>
      </c>
      <c r="M10" s="22">
        <f>GRAFICA_51!O32</f>
        <v>2100000</v>
      </c>
      <c r="N10" s="6">
        <f>L10*M10/I10</f>
        <v>41289.288794159642</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GRAFICA_51!C28</f>
        <v>1</v>
      </c>
      <c r="D14" s="23">
        <f>GRAFICA_51!C28</f>
        <v>1</v>
      </c>
      <c r="E14" s="23">
        <f>GRAFICA_51!D28</f>
        <v>2</v>
      </c>
      <c r="F14" s="23">
        <f>GRAFICA_51!D28</f>
        <v>2</v>
      </c>
    </row>
    <row r="15" spans="2:14" ht="19.05" customHeight="1" x14ac:dyDescent="0.3">
      <c r="B15" s="25">
        <v>2</v>
      </c>
      <c r="C15" s="23">
        <f>GRAFICA_51!C29</f>
        <v>2</v>
      </c>
      <c r="D15" s="23">
        <f>GRAFICA_51!C29</f>
        <v>2</v>
      </c>
      <c r="E15" s="23">
        <f>GRAFICA_51!D29</f>
        <v>3</v>
      </c>
      <c r="F15" s="23">
        <f>GRAFICA_51!D29</f>
        <v>3</v>
      </c>
    </row>
    <row r="16" spans="2:14" ht="19.05" customHeight="1" x14ac:dyDescent="0.3">
      <c r="B16" s="26">
        <v>3</v>
      </c>
      <c r="C16" s="23">
        <f>GRAFICA_51!C30</f>
        <v>3</v>
      </c>
      <c r="D16" s="23">
        <f>GRAFICA_51!C30</f>
        <v>3</v>
      </c>
      <c r="E16" s="23">
        <f>GRAFICA_51!D30</f>
        <v>4</v>
      </c>
      <c r="F16" s="23">
        <f>GRAFICA_51!D30</f>
        <v>4</v>
      </c>
    </row>
    <row r="17" spans="1:10" ht="19.05" customHeight="1" x14ac:dyDescent="0.3">
      <c r="B17" s="43">
        <v>4</v>
      </c>
      <c r="C17" s="23">
        <f>GRAFICA_51!C31</f>
        <v>4</v>
      </c>
      <c r="D17" s="23">
        <f>GRAFICA_51!C31</f>
        <v>4</v>
      </c>
      <c r="E17" s="23">
        <f>GRAFICA_51!D31</f>
        <v>1</v>
      </c>
      <c r="F17" s="23">
        <f>GRAFICA_51!D31</f>
        <v>1</v>
      </c>
    </row>
    <row r="18" spans="1:10" ht="19.05" customHeight="1" x14ac:dyDescent="0.3">
      <c r="B18" s="44">
        <v>5</v>
      </c>
      <c r="C18" s="23">
        <f>GRAFICA_51!C32</f>
        <v>1</v>
      </c>
      <c r="D18" s="23">
        <f>GRAFICA_51!C32</f>
        <v>1</v>
      </c>
      <c r="E18" s="23">
        <f>GRAFICA_51!D32</f>
        <v>3</v>
      </c>
      <c r="F18" s="23">
        <f>GRAFICA_51!D32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0</v>
      </c>
      <c r="C39" s="30">
        <f>J7*K7*N7</f>
        <v>0</v>
      </c>
      <c r="D39" s="30">
        <f>-B39</f>
        <v>0</v>
      </c>
      <c r="E39" s="30">
        <f>-C39</f>
        <v>0</v>
      </c>
      <c r="F39" s="29" t="str">
        <f>B38</f>
        <v>U2X</v>
      </c>
    </row>
    <row r="40" spans="1:10" ht="16.8" customHeight="1" x14ac:dyDescent="0.3">
      <c r="A40" s="28" t="s">
        <v>191</v>
      </c>
      <c r="B40" s="30">
        <f>C39</f>
        <v>0</v>
      </c>
      <c r="C40" s="30">
        <f>K7*K7*N7</f>
        <v>72000</v>
      </c>
      <c r="D40" s="30">
        <f>-B40</f>
        <v>0</v>
      </c>
      <c r="E40" s="30">
        <f>-C40</f>
        <v>-72000</v>
      </c>
      <c r="F40" s="29" t="str">
        <f>C38</f>
        <v>U2Y</v>
      </c>
    </row>
    <row r="41" spans="1:10" x14ac:dyDescent="0.3">
      <c r="B41" s="30">
        <f>D39</f>
        <v>0</v>
      </c>
      <c r="C41" s="30">
        <f>E39</f>
        <v>0</v>
      </c>
      <c r="D41" s="30">
        <f>B39</f>
        <v>0</v>
      </c>
      <c r="E41" s="30">
        <f>C39</f>
        <v>0</v>
      </c>
      <c r="F41" s="29" t="str">
        <f>D38</f>
        <v>U3X</v>
      </c>
    </row>
    <row r="42" spans="1:10" x14ac:dyDescent="0.3">
      <c r="B42" s="30">
        <f>D40</f>
        <v>0</v>
      </c>
      <c r="C42" s="30">
        <f>E40</f>
        <v>-72000</v>
      </c>
      <c r="D42" s="30">
        <f>B40</f>
        <v>0</v>
      </c>
      <c r="E42" s="30">
        <f>C40</f>
        <v>72000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0</v>
      </c>
      <c r="E47" s="31">
        <f t="shared" si="2"/>
        <v>0</v>
      </c>
      <c r="F47" s="31">
        <f t="shared" si="2"/>
        <v>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72000</v>
      </c>
      <c r="F48" s="31">
        <f t="shared" si="2"/>
        <v>0</v>
      </c>
      <c r="G48" s="31">
        <f t="shared" si="2"/>
        <v>-72000</v>
      </c>
      <c r="H48" s="9">
        <f t="shared" si="2"/>
        <v>0</v>
      </c>
      <c r="I48" s="9">
        <f t="shared" si="2"/>
        <v>0</v>
      </c>
      <c r="J48" s="29" t="s">
        <v>181</v>
      </c>
    </row>
    <row r="49" spans="1:10" ht="19.05" customHeight="1" x14ac:dyDescent="0.3">
      <c r="B49" s="9">
        <f t="shared" si="2"/>
        <v>0</v>
      </c>
      <c r="C49" s="9">
        <f t="shared" si="2"/>
        <v>0</v>
      </c>
      <c r="D49" s="31">
        <f t="shared" si="2"/>
        <v>0</v>
      </c>
      <c r="E49" s="31">
        <f t="shared" si="2"/>
        <v>0</v>
      </c>
      <c r="F49" s="31">
        <f t="shared" si="2"/>
        <v>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-72000</v>
      </c>
      <c r="F50" s="31">
        <f t="shared" si="2"/>
        <v>0</v>
      </c>
      <c r="G50" s="31">
        <f t="shared" si="2"/>
        <v>72000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50400</v>
      </c>
      <c r="C56" s="33">
        <f>J8*K8*N8</f>
        <v>0</v>
      </c>
      <c r="D56" s="33">
        <f>-B56</f>
        <v>-50400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-50400</v>
      </c>
      <c r="C58" s="33">
        <f>E56</f>
        <v>0</v>
      </c>
      <c r="D58" s="33">
        <f>B56</f>
        <v>50400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50400</v>
      </c>
      <c r="G66" s="34">
        <f t="shared" si="3"/>
        <v>0</v>
      </c>
      <c r="H66" s="34">
        <f t="shared" si="3"/>
        <v>-50400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-50400</v>
      </c>
      <c r="G68" s="34">
        <f t="shared" si="3"/>
        <v>0</v>
      </c>
      <c r="H68" s="34">
        <f t="shared" si="3"/>
        <v>50400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0</v>
      </c>
      <c r="C73" s="46">
        <f>J9*K9*N9</f>
        <v>0</v>
      </c>
      <c r="D73" s="46">
        <f>-B73</f>
        <v>0</v>
      </c>
      <c r="E73" s="46">
        <f>-C73</f>
        <v>0</v>
      </c>
      <c r="F73" s="45" t="str">
        <f>B72</f>
        <v>U4X</v>
      </c>
    </row>
    <row r="74" spans="1:10" ht="16.8" customHeight="1" x14ac:dyDescent="0.3">
      <c r="A74" s="28" t="s">
        <v>195</v>
      </c>
      <c r="B74" s="46">
        <f>C73</f>
        <v>0</v>
      </c>
      <c r="C74" s="46">
        <f>K9*K9*N9</f>
        <v>72000</v>
      </c>
      <c r="D74" s="46">
        <f>-B74</f>
        <v>0</v>
      </c>
      <c r="E74" s="46">
        <f>-C74</f>
        <v>-72000</v>
      </c>
      <c r="F74" s="45" t="str">
        <f>C72</f>
        <v>U4Y</v>
      </c>
    </row>
    <row r="75" spans="1:10" x14ac:dyDescent="0.3">
      <c r="B75" s="46">
        <f>D73</f>
        <v>0</v>
      </c>
      <c r="C75" s="46">
        <f>E73</f>
        <v>0</v>
      </c>
      <c r="D75" s="46">
        <f>B73</f>
        <v>0</v>
      </c>
      <c r="E75" s="46">
        <f>C73</f>
        <v>0</v>
      </c>
      <c r="F75" s="45" t="str">
        <f>D72</f>
        <v>U1X</v>
      </c>
    </row>
    <row r="76" spans="1:10" x14ac:dyDescent="0.3">
      <c r="B76" s="46">
        <f>D74</f>
        <v>0</v>
      </c>
      <c r="C76" s="46">
        <f>E74</f>
        <v>-72000</v>
      </c>
      <c r="D76" s="46">
        <f>B74</f>
        <v>0</v>
      </c>
      <c r="E76" s="46">
        <f>C74</f>
        <v>72000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0</v>
      </c>
      <c r="C79" s="47">
        <f t="shared" si="4"/>
        <v>0</v>
      </c>
      <c r="D79" s="9">
        <f t="shared" si="4"/>
        <v>0</v>
      </c>
      <c r="E79" s="9">
        <f t="shared" si="4"/>
        <v>0</v>
      </c>
      <c r="F79" s="9">
        <f t="shared" si="4"/>
        <v>0</v>
      </c>
      <c r="G79" s="9">
        <f t="shared" si="4"/>
        <v>0</v>
      </c>
      <c r="H79" s="47">
        <f t="shared" si="4"/>
        <v>0</v>
      </c>
      <c r="I79" s="47">
        <f t="shared" si="4"/>
        <v>0</v>
      </c>
      <c r="J79" s="45" t="s">
        <v>178</v>
      </c>
    </row>
    <row r="80" spans="1:10" ht="19.05" customHeight="1" x14ac:dyDescent="0.3">
      <c r="B80" s="47">
        <f t="shared" si="4"/>
        <v>0</v>
      </c>
      <c r="C80" s="47">
        <f t="shared" si="4"/>
        <v>72000</v>
      </c>
      <c r="D80" s="9">
        <f t="shared" si="4"/>
        <v>0</v>
      </c>
      <c r="E80" s="9">
        <f t="shared" si="4"/>
        <v>0</v>
      </c>
      <c r="F80" s="9">
        <f t="shared" si="4"/>
        <v>0</v>
      </c>
      <c r="G80" s="9">
        <f t="shared" si="4"/>
        <v>0</v>
      </c>
      <c r="H80" s="47">
        <f t="shared" si="4"/>
        <v>0</v>
      </c>
      <c r="I80" s="47">
        <f t="shared" si="4"/>
        <v>-72000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0</v>
      </c>
      <c r="C85" s="47">
        <f t="shared" si="4"/>
        <v>0</v>
      </c>
      <c r="D85" s="9">
        <f t="shared" si="4"/>
        <v>0</v>
      </c>
      <c r="E85" s="9">
        <f t="shared" si="4"/>
        <v>0</v>
      </c>
      <c r="F85" s="9">
        <f t="shared" si="4"/>
        <v>0</v>
      </c>
      <c r="G85" s="9">
        <f t="shared" si="4"/>
        <v>0</v>
      </c>
      <c r="H85" s="47">
        <f t="shared" si="4"/>
        <v>0</v>
      </c>
      <c r="I85" s="47">
        <f t="shared" si="4"/>
        <v>0</v>
      </c>
      <c r="J85" s="45" t="s">
        <v>184</v>
      </c>
    </row>
    <row r="86" spans="1:10" ht="19.05" customHeight="1" x14ac:dyDescent="0.3">
      <c r="B86" s="47">
        <f t="shared" si="4"/>
        <v>0</v>
      </c>
      <c r="C86" s="47">
        <f t="shared" si="4"/>
        <v>-72000</v>
      </c>
      <c r="D86" s="9">
        <f t="shared" si="4"/>
        <v>0</v>
      </c>
      <c r="E86" s="9">
        <f t="shared" si="4"/>
        <v>0</v>
      </c>
      <c r="F86" s="9">
        <f t="shared" si="4"/>
        <v>0</v>
      </c>
      <c r="G86" s="9">
        <f t="shared" si="4"/>
        <v>0</v>
      </c>
      <c r="H86" s="47">
        <f t="shared" si="4"/>
        <v>0</v>
      </c>
      <c r="I86" s="47">
        <f t="shared" si="4"/>
        <v>72000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27710.93207661721</v>
      </c>
      <c r="C90" s="49">
        <f>J10*K10*N10</f>
        <v>19397.652453632047</v>
      </c>
      <c r="D90" s="49">
        <f>-B90</f>
        <v>-27710.93207661721</v>
      </c>
      <c r="E90" s="49">
        <f>-C90</f>
        <v>-19397.652453632047</v>
      </c>
      <c r="F90" s="48" t="str">
        <f>B89</f>
        <v>U1X</v>
      </c>
    </row>
    <row r="91" spans="1:10" ht="16.8" customHeight="1" x14ac:dyDescent="0.3">
      <c r="A91" s="28" t="s">
        <v>197</v>
      </c>
      <c r="B91" s="49">
        <f>C90</f>
        <v>19397.652453632047</v>
      </c>
      <c r="C91" s="49">
        <f>K10*K10*N10</f>
        <v>13578.356717542434</v>
      </c>
      <c r="D91" s="49">
        <f>-B91</f>
        <v>-19397.652453632047</v>
      </c>
      <c r="E91" s="49">
        <f>-C91</f>
        <v>-13578.356717542434</v>
      </c>
      <c r="F91" s="48" t="str">
        <f>C89</f>
        <v>U1Y</v>
      </c>
    </row>
    <row r="92" spans="1:10" x14ac:dyDescent="0.3">
      <c r="B92" s="49">
        <f>D90</f>
        <v>-27710.93207661721</v>
      </c>
      <c r="C92" s="49">
        <f>E90</f>
        <v>-19397.652453632047</v>
      </c>
      <c r="D92" s="49">
        <f>B90</f>
        <v>27710.93207661721</v>
      </c>
      <c r="E92" s="49">
        <f>C90</f>
        <v>19397.652453632047</v>
      </c>
      <c r="F92" s="48" t="str">
        <f>D89</f>
        <v>U3X</v>
      </c>
    </row>
    <row r="93" spans="1:10" x14ac:dyDescent="0.3">
      <c r="B93" s="49">
        <f>D91</f>
        <v>-19397.652453632047</v>
      </c>
      <c r="C93" s="49">
        <f>E91</f>
        <v>-13578.356717542434</v>
      </c>
      <c r="D93" s="49">
        <f>B91</f>
        <v>19397.652453632047</v>
      </c>
      <c r="E93" s="49">
        <f>C91</f>
        <v>13578.356717542434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27710.93207661721</v>
      </c>
      <c r="C96" s="50">
        <f t="shared" si="5"/>
        <v>19397.652453632047</v>
      </c>
      <c r="D96" s="9">
        <f t="shared" si="5"/>
        <v>0</v>
      </c>
      <c r="E96" s="9">
        <f t="shared" si="5"/>
        <v>0</v>
      </c>
      <c r="F96" s="50">
        <f t="shared" si="5"/>
        <v>-27710.93207661721</v>
      </c>
      <c r="G96" s="50">
        <f t="shared" si="5"/>
        <v>-19397.652453632047</v>
      </c>
      <c r="H96" s="9">
        <f t="shared" si="5"/>
        <v>0</v>
      </c>
      <c r="I96" s="9">
        <f t="shared" si="5"/>
        <v>0</v>
      </c>
      <c r="J96" s="48" t="s">
        <v>178</v>
      </c>
    </row>
    <row r="97" spans="1:10" ht="19.05" customHeight="1" x14ac:dyDescent="0.3">
      <c r="B97" s="50">
        <f t="shared" si="5"/>
        <v>19397.652453632047</v>
      </c>
      <c r="C97" s="50">
        <f t="shared" si="5"/>
        <v>13578.356717542434</v>
      </c>
      <c r="D97" s="9">
        <f t="shared" si="5"/>
        <v>0</v>
      </c>
      <c r="E97" s="9">
        <f t="shared" si="5"/>
        <v>0</v>
      </c>
      <c r="F97" s="50">
        <f t="shared" si="5"/>
        <v>-19397.652453632047</v>
      </c>
      <c r="G97" s="50">
        <f t="shared" si="5"/>
        <v>-13578.356717542434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-27710.93207661721</v>
      </c>
      <c r="C100" s="50">
        <f t="shared" si="5"/>
        <v>-19397.652453632047</v>
      </c>
      <c r="D100" s="9">
        <f t="shared" si="5"/>
        <v>0</v>
      </c>
      <c r="E100" s="9">
        <f t="shared" si="5"/>
        <v>0</v>
      </c>
      <c r="F100" s="50">
        <f t="shared" si="5"/>
        <v>27710.93207661721</v>
      </c>
      <c r="G100" s="50">
        <f t="shared" si="5"/>
        <v>19397.652453632047</v>
      </c>
      <c r="H100" s="9">
        <f t="shared" si="5"/>
        <v>0</v>
      </c>
      <c r="I100" s="9">
        <f t="shared" si="5"/>
        <v>0</v>
      </c>
      <c r="J100" s="48" t="s">
        <v>182</v>
      </c>
    </row>
    <row r="101" spans="1:10" ht="19.05" customHeight="1" x14ac:dyDescent="0.3">
      <c r="B101" s="50">
        <f t="shared" si="5"/>
        <v>-19397.652453632047</v>
      </c>
      <c r="C101" s="50">
        <f t="shared" si="5"/>
        <v>-13578.356717542434</v>
      </c>
      <c r="D101" s="9">
        <f t="shared" si="5"/>
        <v>0</v>
      </c>
      <c r="E101" s="9">
        <f t="shared" si="5"/>
        <v>0</v>
      </c>
      <c r="F101" s="50">
        <f t="shared" si="5"/>
        <v>19397.652453632047</v>
      </c>
      <c r="G101" s="50">
        <f t="shared" si="5"/>
        <v>13578.356717542434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78110.932076617202</v>
      </c>
      <c r="C107" s="36">
        <f t="shared" si="6"/>
        <v>19397.652453632047</v>
      </c>
      <c r="D107" s="9">
        <f t="shared" si="6"/>
        <v>-50400</v>
      </c>
      <c r="E107" s="9">
        <f t="shared" si="6"/>
        <v>0</v>
      </c>
      <c r="F107" s="9">
        <f t="shared" si="6"/>
        <v>-27710.93207661721</v>
      </c>
      <c r="G107" s="9">
        <f t="shared" si="6"/>
        <v>-19397.652453632047</v>
      </c>
      <c r="H107" s="9">
        <f t="shared" si="6"/>
        <v>0</v>
      </c>
      <c r="I107" s="9">
        <f t="shared" si="6"/>
        <v>0</v>
      </c>
      <c r="J107" s="89" t="s">
        <v>178</v>
      </c>
    </row>
    <row r="108" spans="1:10" ht="19.95" customHeight="1" x14ac:dyDescent="0.3">
      <c r="B108" s="36">
        <f t="shared" si="6"/>
        <v>19397.652453632047</v>
      </c>
      <c r="C108" s="35">
        <f t="shared" si="6"/>
        <v>85578.35671754244</v>
      </c>
      <c r="D108" s="9">
        <f t="shared" si="6"/>
        <v>0</v>
      </c>
      <c r="E108" s="9">
        <f t="shared" si="6"/>
        <v>0</v>
      </c>
      <c r="F108" s="9">
        <f t="shared" si="6"/>
        <v>-19397.652453632047</v>
      </c>
      <c r="G108" s="9">
        <f t="shared" si="6"/>
        <v>-13578.356717542434</v>
      </c>
      <c r="H108" s="9">
        <f t="shared" si="6"/>
        <v>0</v>
      </c>
      <c r="I108" s="9">
        <f t="shared" si="6"/>
        <v>-72000</v>
      </c>
      <c r="J108" s="89" t="s">
        <v>179</v>
      </c>
    </row>
    <row r="109" spans="1:10" ht="19.95" customHeight="1" x14ac:dyDescent="0.3">
      <c r="B109" s="9">
        <f t="shared" si="6"/>
        <v>-50400</v>
      </c>
      <c r="C109" s="9">
        <f t="shared" si="6"/>
        <v>0</v>
      </c>
      <c r="D109" s="35">
        <f t="shared" si="6"/>
        <v>50400</v>
      </c>
      <c r="E109" s="36">
        <f t="shared" si="6"/>
        <v>0</v>
      </c>
      <c r="F109" s="9">
        <f t="shared" si="6"/>
        <v>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72000</v>
      </c>
      <c r="F110" s="9">
        <f t="shared" si="6"/>
        <v>0</v>
      </c>
      <c r="G110" s="9">
        <f t="shared" si="6"/>
        <v>-72000</v>
      </c>
      <c r="H110" s="9">
        <f t="shared" si="6"/>
        <v>0</v>
      </c>
      <c r="I110" s="9">
        <f t="shared" si="6"/>
        <v>0</v>
      </c>
      <c r="J110" s="89" t="s">
        <v>181</v>
      </c>
    </row>
    <row r="111" spans="1:10" ht="19.95" customHeight="1" x14ac:dyDescent="0.3">
      <c r="B111" s="9">
        <f t="shared" si="6"/>
        <v>-27710.93207661721</v>
      </c>
      <c r="C111" s="9">
        <f t="shared" si="6"/>
        <v>-19397.652453632047</v>
      </c>
      <c r="D111" s="9">
        <f t="shared" si="6"/>
        <v>0</v>
      </c>
      <c r="E111" s="9">
        <f t="shared" si="6"/>
        <v>0</v>
      </c>
      <c r="F111" s="35">
        <f t="shared" si="6"/>
        <v>78110.932076617202</v>
      </c>
      <c r="G111" s="36">
        <f t="shared" si="6"/>
        <v>19397.652453632047</v>
      </c>
      <c r="H111" s="9">
        <f t="shared" si="6"/>
        <v>-50400</v>
      </c>
      <c r="I111" s="9">
        <f t="shared" si="6"/>
        <v>0</v>
      </c>
      <c r="J111" s="89" t="s">
        <v>182</v>
      </c>
    </row>
    <row r="112" spans="1:10" ht="19.95" customHeight="1" x14ac:dyDescent="0.3">
      <c r="B112" s="9">
        <f t="shared" si="6"/>
        <v>-19397.652453632047</v>
      </c>
      <c r="C112" s="9">
        <f t="shared" si="6"/>
        <v>-13578.356717542434</v>
      </c>
      <c r="D112" s="9">
        <f t="shared" si="6"/>
        <v>0</v>
      </c>
      <c r="E112" s="9">
        <f t="shared" si="6"/>
        <v>-72000</v>
      </c>
      <c r="F112" s="36">
        <f t="shared" si="6"/>
        <v>19397.652453632047</v>
      </c>
      <c r="G112" s="35">
        <f t="shared" si="6"/>
        <v>85578.35671754244</v>
      </c>
      <c r="H112" s="9">
        <f t="shared" si="6"/>
        <v>0</v>
      </c>
      <c r="I112" s="9">
        <f t="shared" si="6"/>
        <v>0</v>
      </c>
      <c r="J112" s="89" t="s">
        <v>183</v>
      </c>
    </row>
    <row r="113" spans="1:17" ht="19.95" customHeight="1" x14ac:dyDescent="0.3">
      <c r="B113" s="9">
        <f t="shared" si="6"/>
        <v>0</v>
      </c>
      <c r="C113" s="9">
        <f t="shared" si="6"/>
        <v>0</v>
      </c>
      <c r="D113" s="9">
        <f t="shared" si="6"/>
        <v>0</v>
      </c>
      <c r="E113" s="9">
        <f t="shared" si="6"/>
        <v>0</v>
      </c>
      <c r="F113" s="9">
        <f t="shared" si="6"/>
        <v>-50400</v>
      </c>
      <c r="G113" s="9">
        <f t="shared" si="6"/>
        <v>0</v>
      </c>
      <c r="H113" s="35">
        <f t="shared" si="6"/>
        <v>50400</v>
      </c>
      <c r="I113" s="36">
        <f t="shared" si="6"/>
        <v>0</v>
      </c>
      <c r="J113" s="89" t="s">
        <v>184</v>
      </c>
    </row>
    <row r="114" spans="1:17" ht="19.95" customHeight="1" x14ac:dyDescent="0.3">
      <c r="B114" s="9">
        <f t="shared" si="6"/>
        <v>0</v>
      </c>
      <c r="C114" s="9">
        <f t="shared" si="6"/>
        <v>-72000</v>
      </c>
      <c r="D114" s="9">
        <f t="shared" si="6"/>
        <v>0</v>
      </c>
      <c r="E114" s="9">
        <f t="shared" si="6"/>
        <v>0</v>
      </c>
      <c r="F114" s="9">
        <f t="shared" si="6"/>
        <v>0</v>
      </c>
      <c r="G114" s="9">
        <f t="shared" si="6"/>
        <v>0</v>
      </c>
      <c r="H114" s="36">
        <f t="shared" si="6"/>
        <v>0</v>
      </c>
      <c r="I114" s="35">
        <f t="shared" si="6"/>
        <v>72000</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IF(GRAFICA_51!F14=1, B118, GRAFICA_51!H14)</f>
        <v>C1X</v>
      </c>
      <c r="L118" s="215" t="s">
        <v>376</v>
      </c>
      <c r="M118" s="172"/>
      <c r="N118" s="172"/>
      <c r="O118" s="172"/>
      <c r="P118" s="172"/>
      <c r="Q118" s="173"/>
    </row>
    <row r="119" spans="1:17" ht="16.95" customHeight="1" x14ac:dyDescent="0.3">
      <c r="B119" s="12" t="s">
        <v>210</v>
      </c>
      <c r="C119" s="12" t="s">
        <v>179</v>
      </c>
      <c r="E119" s="37" t="str">
        <f>IF(GRAFICA_51!G14=1, B119, GRAFICA_51!I14)</f>
        <v>C1Y</v>
      </c>
      <c r="L119" s="215" t="s">
        <v>211</v>
      </c>
      <c r="M119" s="172"/>
      <c r="N119" s="172"/>
      <c r="O119" s="172"/>
      <c r="P119" s="172"/>
      <c r="Q119" s="173"/>
    </row>
    <row r="120" spans="1:17" ht="16.95" customHeight="1" x14ac:dyDescent="0.3">
      <c r="B120" s="12" t="s">
        <v>212</v>
      </c>
      <c r="C120" s="12" t="s">
        <v>180</v>
      </c>
      <c r="E120" s="37" t="str">
        <f>IF(GRAFICA_51!F15=1, B120, GRAFICA_51!H15)</f>
        <v>C2X</v>
      </c>
      <c r="L120" s="215" t="s">
        <v>377</v>
      </c>
      <c r="M120" s="172"/>
      <c r="N120" s="172"/>
      <c r="O120" s="172"/>
      <c r="P120" s="172"/>
      <c r="Q120" s="173"/>
    </row>
    <row r="121" spans="1:17" ht="16.95" customHeight="1" x14ac:dyDescent="0.3">
      <c r="A121" s="38" t="s">
        <v>218</v>
      </c>
      <c r="B121" s="12" t="s">
        <v>214</v>
      </c>
      <c r="C121" s="12" t="s">
        <v>181</v>
      </c>
      <c r="D121" s="13" t="s">
        <v>220</v>
      </c>
      <c r="E121" s="37" t="str">
        <f>IF(GRAFICA_51!G15=1, B121, GRAFICA_51!I15)</f>
        <v>C2Y</v>
      </c>
      <c r="L121" s="215" t="s">
        <v>215</v>
      </c>
      <c r="M121" s="172"/>
      <c r="N121" s="172"/>
      <c r="O121" s="172"/>
      <c r="P121" s="172"/>
      <c r="Q121" s="173"/>
    </row>
    <row r="122" spans="1:17" ht="16.95" customHeight="1" x14ac:dyDescent="0.3">
      <c r="B122" s="12" t="s">
        <v>216</v>
      </c>
      <c r="C122" s="12" t="s">
        <v>182</v>
      </c>
      <c r="E122" s="37">
        <f>IF(GRAFICA_51!F16=1, B122, GRAFICA_51!H16)</f>
        <v>0</v>
      </c>
      <c r="L122" s="215" t="s">
        <v>378</v>
      </c>
      <c r="M122" s="172"/>
      <c r="N122" s="172"/>
      <c r="O122" s="172"/>
      <c r="P122" s="172"/>
      <c r="Q122" s="173"/>
    </row>
    <row r="123" spans="1:17" ht="16.95" customHeight="1" x14ac:dyDescent="0.3">
      <c r="B123" s="12" t="s">
        <v>219</v>
      </c>
      <c r="C123" s="12" t="s">
        <v>183</v>
      </c>
      <c r="E123" s="37">
        <f>IF(GRAFICA_51!G16=1, B123, GRAFICA_51!I16)</f>
        <v>-7000</v>
      </c>
      <c r="L123" s="215" t="s">
        <v>379</v>
      </c>
      <c r="M123" s="172"/>
      <c r="N123" s="172"/>
      <c r="O123" s="172"/>
      <c r="P123" s="172"/>
      <c r="Q123" s="173"/>
    </row>
    <row r="124" spans="1:17" ht="16.95" customHeight="1" x14ac:dyDescent="0.3">
      <c r="B124" s="12" t="s">
        <v>221</v>
      </c>
      <c r="C124" s="12" t="s">
        <v>184</v>
      </c>
      <c r="E124" s="37">
        <f>IF(GRAFICA_51!F17=1, B124, GRAFICA_51!H17)</f>
        <v>3000</v>
      </c>
      <c r="L124" s="215"/>
      <c r="M124" s="172"/>
      <c r="N124" s="172"/>
      <c r="O124" s="172"/>
      <c r="P124" s="172"/>
      <c r="Q124" s="173"/>
    </row>
    <row r="125" spans="1:17" ht="16.95" customHeight="1" x14ac:dyDescent="0.3">
      <c r="B125" s="12" t="s">
        <v>222</v>
      </c>
      <c r="C125" s="12" t="s">
        <v>185</v>
      </c>
      <c r="E125" s="37">
        <f>IF(GRAFICA_51!G17=1, B125, GRAFICA_51!I17)</f>
        <v>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IF(GRAFICA_51!F14=1,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IF(GRAFICA_51!G14=1,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f>IF(GRAFICA_51!F15=1, 0, B130)</f>
        <v>0</v>
      </c>
      <c r="F130" s="14" t="str">
        <f>IF(E130&lt;&gt;0, COUNTIF(E$128:E130, "&lt;&gt;0"), "")</f>
        <v/>
      </c>
      <c r="G130" s="14">
        <f>IF(E130=0, COUNTIF(E$128:E130, 0), "")</f>
        <v>3</v>
      </c>
      <c r="L130" s="215"/>
      <c r="M130" s="172"/>
      <c r="N130" s="172"/>
      <c r="O130" s="172"/>
      <c r="P130" s="172"/>
      <c r="Q130" s="173"/>
    </row>
    <row r="131" spans="1:17" ht="16.95" customHeight="1" x14ac:dyDescent="0.3">
      <c r="A131" s="38" t="s">
        <v>233</v>
      </c>
      <c r="B131" s="12" t="s">
        <v>231</v>
      </c>
      <c r="C131" s="12" t="s">
        <v>181</v>
      </c>
      <c r="D131" s="13" t="s">
        <v>220</v>
      </c>
      <c r="E131" s="39">
        <f>IF(GRAFICA_51!G15=1, 0, B131)</f>
        <v>0</v>
      </c>
      <c r="F131" s="14" t="str">
        <f>IF(E131&lt;&gt;0, COUNTIF(E$128:E131, "&lt;&gt;0"), "")</f>
        <v/>
      </c>
      <c r="G131" s="14">
        <f>IF(E131=0, COUNTIF(E$128:E131, 0), "")</f>
        <v>4</v>
      </c>
      <c r="L131" s="215"/>
      <c r="M131" s="172"/>
      <c r="N131" s="172"/>
      <c r="O131" s="172"/>
      <c r="P131" s="172"/>
      <c r="Q131" s="173"/>
    </row>
    <row r="132" spans="1:17" ht="16.95" customHeight="1" x14ac:dyDescent="0.3">
      <c r="B132" s="12" t="s">
        <v>232</v>
      </c>
      <c r="C132" s="12" t="s">
        <v>182</v>
      </c>
      <c r="E132" s="39" t="str">
        <f>IF(GRAFICA_51!F16=1, 0, B132)</f>
        <v>D3X</v>
      </c>
      <c r="F132" s="14">
        <f>IF(E132&lt;&gt;0, COUNTIF(E$128:E132, "&lt;&gt;0"), "")</f>
        <v>1</v>
      </c>
      <c r="G132" s="14" t="str">
        <f>IF(E132=0, COUNTIF(E$128:E132, 0), "")</f>
        <v/>
      </c>
      <c r="L132" s="215"/>
      <c r="M132" s="172"/>
      <c r="N132" s="172"/>
      <c r="O132" s="172"/>
      <c r="P132" s="172"/>
      <c r="Q132" s="173"/>
    </row>
    <row r="133" spans="1:17" ht="16.95" customHeight="1" x14ac:dyDescent="0.3">
      <c r="B133" s="12" t="s">
        <v>234</v>
      </c>
      <c r="C133" s="12" t="s">
        <v>183</v>
      </c>
      <c r="E133" s="39" t="str">
        <f>IF(GRAFICA_51!G16=1, 0, B133)</f>
        <v>D3Y</v>
      </c>
      <c r="F133" s="14">
        <f>IF(E133&lt;&gt;0, COUNTIF(E$128:E133, "&lt;&gt;0"), "")</f>
        <v>2</v>
      </c>
      <c r="G133" s="14" t="str">
        <f>IF(E133=0, COUNTIF(E$128:E133, 0), "")</f>
        <v/>
      </c>
      <c r="L133" s="215"/>
      <c r="M133" s="172"/>
      <c r="N133" s="172"/>
      <c r="O133" s="172"/>
      <c r="P133" s="172"/>
      <c r="Q133" s="173"/>
    </row>
    <row r="134" spans="1:17" ht="16.95" customHeight="1" x14ac:dyDescent="0.3">
      <c r="B134" s="12" t="s">
        <v>235</v>
      </c>
      <c r="C134" s="12" t="s">
        <v>184</v>
      </c>
      <c r="E134" s="39" t="str">
        <f>IF(GRAFICA_51!F17=1, 0, B134)</f>
        <v>D4X</v>
      </c>
      <c r="F134" s="14">
        <f>IF(E134&lt;&gt;0, COUNTIF(E$128:E134, "&lt;&gt;0"), "")</f>
        <v>3</v>
      </c>
      <c r="G134" s="14" t="str">
        <f>IF(E134=0, COUNTIF(E$128:E134, 0), "")</f>
        <v/>
      </c>
      <c r="L134" s="215"/>
      <c r="M134" s="172"/>
      <c r="N134" s="172"/>
      <c r="O134" s="172"/>
      <c r="P134" s="172"/>
      <c r="Q134" s="173"/>
    </row>
    <row r="135" spans="1:17" ht="16.95" customHeight="1" x14ac:dyDescent="0.3">
      <c r="B135" s="12" t="s">
        <v>236</v>
      </c>
      <c r="C135" s="12" t="s">
        <v>185</v>
      </c>
      <c r="E135" s="39" t="str">
        <f>IF(GRAFICA_51!G17=1, 0, B135)</f>
        <v>D4Y</v>
      </c>
      <c r="F135" s="14">
        <f>IF(E135&lt;&gt;0, COUNTIF(E$128:E135, "&lt;&gt;0"), "")</f>
        <v>4</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78110.932076617202</v>
      </c>
      <c r="D140" s="9">
        <f t="shared" si="8"/>
        <v>19397.652453632047</v>
      </c>
      <c r="E140" s="9">
        <f t="shared" si="8"/>
        <v>-50400</v>
      </c>
      <c r="F140" s="9">
        <f t="shared" si="8"/>
        <v>0</v>
      </c>
      <c r="G140" s="9">
        <f t="shared" si="8"/>
        <v>-27710.93207661721</v>
      </c>
      <c r="H140" s="9">
        <f t="shared" si="8"/>
        <v>-19397.652453632047</v>
      </c>
      <c r="I140" s="9">
        <f t="shared" si="8"/>
        <v>0</v>
      </c>
      <c r="J140" s="9">
        <f t="shared" si="8"/>
        <v>0</v>
      </c>
      <c r="K140" s="13" t="s">
        <v>251</v>
      </c>
      <c r="L140" s="219" t="s">
        <v>380</v>
      </c>
      <c r="M140" s="172"/>
      <c r="N140" s="172"/>
      <c r="O140" s="172"/>
      <c r="P140" s="172"/>
      <c r="Q140" s="173"/>
    </row>
    <row r="141" spans="1:17" ht="16.95" customHeight="1" x14ac:dyDescent="0.3">
      <c r="A141" s="12" t="str">
        <f t="shared" si="7"/>
        <v>C1Y</v>
      </c>
      <c r="C141" s="9">
        <f t="shared" si="8"/>
        <v>19397.652453632047</v>
      </c>
      <c r="D141" s="9">
        <f t="shared" si="8"/>
        <v>85578.35671754244</v>
      </c>
      <c r="E141" s="9">
        <f t="shared" si="8"/>
        <v>0</v>
      </c>
      <c r="F141" s="9">
        <f t="shared" si="8"/>
        <v>0</v>
      </c>
      <c r="G141" s="9">
        <f t="shared" si="8"/>
        <v>-19397.652453632047</v>
      </c>
      <c r="H141" s="9">
        <f t="shared" si="8"/>
        <v>-13578.356717542434</v>
      </c>
      <c r="I141" s="9">
        <f t="shared" si="8"/>
        <v>0</v>
      </c>
      <c r="J141" s="9">
        <f t="shared" si="8"/>
        <v>-72000</v>
      </c>
      <c r="K141" s="13" t="s">
        <v>251</v>
      </c>
      <c r="L141" s="219" t="s">
        <v>253</v>
      </c>
      <c r="M141" s="172"/>
      <c r="N141" s="172"/>
      <c r="O141" s="172"/>
      <c r="P141" s="172"/>
      <c r="Q141" s="173"/>
    </row>
    <row r="142" spans="1:17" ht="16.95" customHeight="1" x14ac:dyDescent="0.3">
      <c r="A142" s="12" t="str">
        <f t="shared" si="7"/>
        <v>C2X</v>
      </c>
      <c r="C142" s="9">
        <f t="shared" si="8"/>
        <v>-50400</v>
      </c>
      <c r="D142" s="9">
        <f t="shared" si="8"/>
        <v>0</v>
      </c>
      <c r="E142" s="9">
        <f t="shared" si="8"/>
        <v>50400</v>
      </c>
      <c r="F142" s="9">
        <f t="shared" si="8"/>
        <v>0</v>
      </c>
      <c r="G142" s="9">
        <f t="shared" si="8"/>
        <v>0</v>
      </c>
      <c r="H142" s="9">
        <f t="shared" si="8"/>
        <v>0</v>
      </c>
      <c r="I142" s="9">
        <f t="shared" si="8"/>
        <v>0</v>
      </c>
      <c r="J142" s="9">
        <f t="shared" si="8"/>
        <v>0</v>
      </c>
      <c r="K142" s="13" t="s">
        <v>251</v>
      </c>
      <c r="L142" s="219" t="s">
        <v>254</v>
      </c>
      <c r="M142" s="172"/>
      <c r="N142" s="172"/>
      <c r="O142" s="172"/>
      <c r="P142" s="172"/>
      <c r="Q142" s="173"/>
    </row>
    <row r="143" spans="1:17" ht="16.95" customHeight="1" x14ac:dyDescent="0.3">
      <c r="A143" s="12" t="str">
        <f t="shared" si="7"/>
        <v>C2Y</v>
      </c>
      <c r="C143" s="9">
        <f t="shared" si="8"/>
        <v>0</v>
      </c>
      <c r="D143" s="9">
        <f t="shared" si="8"/>
        <v>0</v>
      </c>
      <c r="E143" s="9">
        <f t="shared" si="8"/>
        <v>0</v>
      </c>
      <c r="F143" s="9">
        <f t="shared" si="8"/>
        <v>72000</v>
      </c>
      <c r="G143" s="9">
        <f t="shared" si="8"/>
        <v>0</v>
      </c>
      <c r="H143" s="9">
        <f t="shared" si="8"/>
        <v>-72000</v>
      </c>
      <c r="I143" s="9">
        <f t="shared" si="8"/>
        <v>0</v>
      </c>
      <c r="J143" s="9">
        <f t="shared" si="8"/>
        <v>0</v>
      </c>
      <c r="K143" s="13" t="s">
        <v>251</v>
      </c>
      <c r="L143" s="219" t="s">
        <v>381</v>
      </c>
      <c r="M143" s="172"/>
      <c r="N143" s="172"/>
      <c r="O143" s="172"/>
      <c r="P143" s="172"/>
      <c r="Q143" s="173"/>
    </row>
    <row r="144" spans="1:17" ht="16.95" customHeight="1" x14ac:dyDescent="0.3">
      <c r="A144" s="41">
        <f t="shared" si="7"/>
        <v>0</v>
      </c>
      <c r="B144" s="13" t="s">
        <v>220</v>
      </c>
      <c r="C144" s="9">
        <f t="shared" si="8"/>
        <v>-27710.93207661721</v>
      </c>
      <c r="D144" s="9">
        <f t="shared" si="8"/>
        <v>-19397.652453632047</v>
      </c>
      <c r="E144" s="9">
        <f t="shared" si="8"/>
        <v>0</v>
      </c>
      <c r="F144" s="9">
        <f t="shared" si="8"/>
        <v>0</v>
      </c>
      <c r="G144" s="41">
        <f t="shared" si="8"/>
        <v>78110.932076617202</v>
      </c>
      <c r="H144" s="41">
        <f t="shared" si="8"/>
        <v>19397.652453632047</v>
      </c>
      <c r="I144" s="41">
        <f t="shared" si="8"/>
        <v>-50400</v>
      </c>
      <c r="J144" s="41">
        <f t="shared" si="8"/>
        <v>0</v>
      </c>
      <c r="K144" s="13" t="s">
        <v>251</v>
      </c>
      <c r="L144" s="215" t="s">
        <v>382</v>
      </c>
      <c r="M144" s="172"/>
      <c r="N144" s="172"/>
      <c r="O144" s="172"/>
      <c r="P144" s="172"/>
      <c r="Q144" s="173"/>
    </row>
    <row r="145" spans="1:17" ht="16.95" customHeight="1" x14ac:dyDescent="0.3">
      <c r="A145" s="41">
        <f t="shared" si="7"/>
        <v>-7000</v>
      </c>
      <c r="C145" s="9">
        <f t="shared" si="8"/>
        <v>-19397.652453632047</v>
      </c>
      <c r="D145" s="9">
        <f t="shared" si="8"/>
        <v>-13578.356717542434</v>
      </c>
      <c r="E145" s="9">
        <f t="shared" si="8"/>
        <v>0</v>
      </c>
      <c r="F145" s="9">
        <f t="shared" si="8"/>
        <v>-72000</v>
      </c>
      <c r="G145" s="41">
        <f t="shared" si="8"/>
        <v>19397.652453632047</v>
      </c>
      <c r="H145" s="41">
        <f t="shared" si="8"/>
        <v>85578.35671754244</v>
      </c>
      <c r="I145" s="41">
        <f t="shared" si="8"/>
        <v>0</v>
      </c>
      <c r="J145" s="41">
        <f t="shared" si="8"/>
        <v>0</v>
      </c>
      <c r="K145" s="13" t="s">
        <v>251</v>
      </c>
      <c r="L145" s="215" t="str">
        <f>E133</f>
        <v>D3Y</v>
      </c>
      <c r="M145" s="172"/>
      <c r="N145" s="172"/>
      <c r="O145" s="172"/>
      <c r="P145" s="172"/>
      <c r="Q145" s="173"/>
    </row>
    <row r="146" spans="1:17" ht="16.95" customHeight="1" x14ac:dyDescent="0.3">
      <c r="A146" s="41">
        <f t="shared" si="7"/>
        <v>3000</v>
      </c>
      <c r="C146" s="9">
        <f t="shared" si="8"/>
        <v>0</v>
      </c>
      <c r="D146" s="9">
        <f t="shared" si="8"/>
        <v>0</v>
      </c>
      <c r="E146" s="9">
        <f t="shared" si="8"/>
        <v>0</v>
      </c>
      <c r="F146" s="9">
        <f t="shared" si="8"/>
        <v>0</v>
      </c>
      <c r="G146" s="41">
        <f t="shared" si="8"/>
        <v>-50400</v>
      </c>
      <c r="H146" s="41">
        <f t="shared" si="8"/>
        <v>0</v>
      </c>
      <c r="I146" s="41">
        <f t="shared" si="8"/>
        <v>50400</v>
      </c>
      <c r="J146" s="41">
        <f t="shared" si="8"/>
        <v>0</v>
      </c>
      <c r="K146" s="13" t="s">
        <v>251</v>
      </c>
      <c r="L146" s="215" t="str">
        <f>E134</f>
        <v>D4X</v>
      </c>
      <c r="M146" s="172"/>
      <c r="N146" s="172"/>
      <c r="O146" s="172"/>
      <c r="P146" s="172"/>
      <c r="Q146" s="173"/>
    </row>
    <row r="147" spans="1:17" ht="16.95" customHeight="1" x14ac:dyDescent="0.3">
      <c r="A147" s="41">
        <f t="shared" si="7"/>
        <v>0</v>
      </c>
      <c r="C147" s="9">
        <f t="shared" si="8"/>
        <v>0</v>
      </c>
      <c r="D147" s="9">
        <f t="shared" si="8"/>
        <v>-72000</v>
      </c>
      <c r="E147" s="9">
        <f t="shared" si="8"/>
        <v>0</v>
      </c>
      <c r="F147" s="9">
        <f t="shared" si="8"/>
        <v>0</v>
      </c>
      <c r="G147" s="41">
        <f t="shared" si="8"/>
        <v>0</v>
      </c>
      <c r="H147" s="41">
        <f t="shared" si="8"/>
        <v>0</v>
      </c>
      <c r="I147" s="41">
        <f t="shared" si="8"/>
        <v>0</v>
      </c>
      <c r="J147" s="41">
        <f t="shared" si="8"/>
        <v>72000</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U3X</v>
      </c>
      <c r="D151" s="38" t="str">
        <f>INDEX(C$128:C$135, MATCH(2, F$128:F$135, 0))</f>
        <v>U3Y</v>
      </c>
      <c r="E151" s="38" t="str">
        <f>INDEX(C$128:C$135, MATCH(3, F$128:F$135, 0))</f>
        <v>U4X</v>
      </c>
      <c r="F151" s="38" t="str">
        <f>INDEX(C$128:C$135, MATCH(4, F$128:F$135, 0))</f>
        <v>U4Y</v>
      </c>
      <c r="L151" s="215" t="s">
        <v>383</v>
      </c>
      <c r="M151" s="172"/>
      <c r="N151" s="172"/>
      <c r="O151" s="172"/>
      <c r="P151" s="172"/>
      <c r="Q151" s="173"/>
    </row>
    <row r="152" spans="1:17" ht="16.95" customHeight="1" x14ac:dyDescent="0.3">
      <c r="A152" s="41">
        <f>INDEX(E$118:E$125, MATCH(I152, C$118:C$125, 0))</f>
        <v>0</v>
      </c>
      <c r="C152" s="41">
        <f t="shared" ref="C152:F155" si="9">INDEX($B$107:$I$114, MATCH($I152, $J$107:$J$114, 0), MATCH(C$151, $B$106:$I$106, 0))</f>
        <v>78110.932076617202</v>
      </c>
      <c r="D152" s="41">
        <f t="shared" si="9"/>
        <v>19397.652453632047</v>
      </c>
      <c r="E152" s="41">
        <f t="shared" si="9"/>
        <v>-50400</v>
      </c>
      <c r="F152" s="41">
        <f t="shared" si="9"/>
        <v>0</v>
      </c>
      <c r="G152" s="13" t="s">
        <v>251</v>
      </c>
      <c r="H152" s="38" t="str">
        <f>INDEX(B$128:B$135, MATCH(1, F$128:F$135, 0))</f>
        <v>D3X</v>
      </c>
      <c r="I152" s="14" t="str">
        <f>INDEX(C$128:C$135, MATCH(1, F$128:F$135, 0))</f>
        <v>U3X</v>
      </c>
      <c r="L152" s="215" t="s">
        <v>384</v>
      </c>
      <c r="M152" s="172"/>
      <c r="N152" s="172"/>
      <c r="O152" s="172"/>
      <c r="P152" s="172"/>
      <c r="Q152" s="173"/>
    </row>
    <row r="153" spans="1:17" ht="16.95" customHeight="1" x14ac:dyDescent="0.3">
      <c r="A153" s="41">
        <f>INDEX(E$118:E$125, MATCH(I153, C$118:C$125, 0))</f>
        <v>-7000</v>
      </c>
      <c r="C153" s="41">
        <f t="shared" si="9"/>
        <v>19397.652453632047</v>
      </c>
      <c r="D153" s="41">
        <f t="shared" si="9"/>
        <v>85578.35671754244</v>
      </c>
      <c r="E153" s="41">
        <f t="shared" si="9"/>
        <v>0</v>
      </c>
      <c r="F153" s="41">
        <f t="shared" si="9"/>
        <v>0</v>
      </c>
      <c r="G153" s="13" t="s">
        <v>251</v>
      </c>
      <c r="H153" s="38" t="str">
        <f>INDEX(B$128:B$135, MATCH(2, F$128:F$135, 0))</f>
        <v>D3Y</v>
      </c>
      <c r="I153" s="14" t="str">
        <f>INDEX(C$128:C$135, MATCH(2, F$128:F$135, 0))</f>
        <v>U3Y</v>
      </c>
      <c r="L153" s="215" t="s">
        <v>385</v>
      </c>
      <c r="M153" s="172"/>
      <c r="N153" s="172"/>
      <c r="O153" s="172"/>
      <c r="P153" s="172"/>
      <c r="Q153" s="173"/>
    </row>
    <row r="154" spans="1:17" ht="16.95" customHeight="1" x14ac:dyDescent="0.3">
      <c r="A154" s="41">
        <f>INDEX(E$118:E$125, MATCH(I154, C$118:C$125, 0))</f>
        <v>3000</v>
      </c>
      <c r="B154" s="13" t="s">
        <v>220</v>
      </c>
      <c r="C154" s="41">
        <f t="shared" si="9"/>
        <v>-50400</v>
      </c>
      <c r="D154" s="41">
        <f t="shared" si="9"/>
        <v>0</v>
      </c>
      <c r="E154" s="41">
        <f t="shared" si="9"/>
        <v>50400</v>
      </c>
      <c r="F154" s="41">
        <f t="shared" si="9"/>
        <v>0</v>
      </c>
      <c r="G154" s="13" t="s">
        <v>251</v>
      </c>
      <c r="H154" s="38" t="str">
        <f>INDEX(B$128:B$135, MATCH(3, F$128:F$135, 0))</f>
        <v>D4X</v>
      </c>
      <c r="I154" s="14" t="str">
        <f>INDEX(C$128:C$135, MATCH(3, F$128:F$135, 0))</f>
        <v>U4X</v>
      </c>
      <c r="L154" s="215" t="s">
        <v>386</v>
      </c>
      <c r="M154" s="172"/>
      <c r="N154" s="172"/>
      <c r="O154" s="172"/>
      <c r="P154" s="172"/>
      <c r="Q154" s="173"/>
    </row>
    <row r="155" spans="1:17" ht="16.95" customHeight="1" x14ac:dyDescent="0.3">
      <c r="A155" s="41">
        <f>INDEX(E$118:E$125, MATCH(I155, C$118:C$125, 0))</f>
        <v>0</v>
      </c>
      <c r="C155" s="41">
        <f t="shared" si="9"/>
        <v>0</v>
      </c>
      <c r="D155" s="41">
        <f t="shared" si="9"/>
        <v>0</v>
      </c>
      <c r="E155" s="41">
        <f t="shared" si="9"/>
        <v>0</v>
      </c>
      <c r="F155" s="41">
        <f t="shared" si="9"/>
        <v>72000</v>
      </c>
      <c r="G155" s="13" t="s">
        <v>251</v>
      </c>
      <c r="H155" s="38" t="str">
        <f>INDEX(B$128:B$135, MATCH(4, F$128:F$135, 0))</f>
        <v>D4Y</v>
      </c>
      <c r="I155" s="14" t="str">
        <f>INDEX(C$128:C$135, MATCH(4, F$128:F$135, 0))</f>
        <v>U4Y</v>
      </c>
      <c r="L155" s="215" t="s">
        <v>387</v>
      </c>
      <c r="M155" s="172"/>
      <c r="N155" s="172"/>
      <c r="O155" s="172"/>
      <c r="P155" s="172"/>
      <c r="Q155" s="173"/>
    </row>
    <row r="156" spans="1:17" ht="16.95" customHeight="1" x14ac:dyDescent="0.3">
      <c r="L156" s="215" t="s">
        <v>388</v>
      </c>
      <c r="M156" s="172"/>
      <c r="N156" s="172"/>
      <c r="O156" s="172"/>
      <c r="P156" s="172"/>
      <c r="Q156" s="173"/>
    </row>
    <row r="157" spans="1:17" ht="16.95" customHeight="1" x14ac:dyDescent="0.3">
      <c r="C157" s="218" t="s">
        <v>263</v>
      </c>
      <c r="D157" s="172"/>
      <c r="E157" s="172"/>
      <c r="F157" s="173"/>
      <c r="L157" s="215"/>
      <c r="M157" s="172"/>
      <c r="N157" s="172"/>
      <c r="O157" s="172"/>
      <c r="P157" s="172"/>
      <c r="Q157" s="173"/>
    </row>
    <row r="158" spans="1:17" ht="16.95" customHeight="1" x14ac:dyDescent="0.3">
      <c r="A158" s="99" t="s">
        <v>249</v>
      </c>
      <c r="C158" s="193" t="s">
        <v>264</v>
      </c>
      <c r="D158" s="175"/>
      <c r="E158" s="175"/>
      <c r="F158" s="175"/>
      <c r="H158" s="99" t="s">
        <v>247</v>
      </c>
      <c r="L158" s="215"/>
      <c r="M158" s="172"/>
      <c r="N158" s="172"/>
      <c r="O158" s="172"/>
      <c r="P158" s="172"/>
      <c r="Q158" s="173"/>
    </row>
    <row r="159" spans="1:17" ht="16.95" customHeight="1" x14ac:dyDescent="0.3">
      <c r="A159" s="12" t="str">
        <f>H152</f>
        <v>D3X</v>
      </c>
      <c r="C159" s="93">
        <f t="array" ref="C159:F162">MINVERSE(C152:F155)</f>
        <v>4.2892396562387341E-5</v>
      </c>
      <c r="D159" s="93">
        <v>-9.7222222222222244E-6</v>
      </c>
      <c r="E159" s="93">
        <v>4.2892396562387348E-5</v>
      </c>
      <c r="F159" s="93">
        <v>0</v>
      </c>
      <c r="H159" s="17">
        <f>A152</f>
        <v>0</v>
      </c>
      <c r="L159" s="215"/>
      <c r="M159" s="172"/>
      <c r="N159" s="172"/>
      <c r="O159" s="172"/>
      <c r="P159" s="172"/>
      <c r="Q159" s="173"/>
    </row>
    <row r="160" spans="1:17" ht="16.95" customHeight="1" x14ac:dyDescent="0.3">
      <c r="A160" s="12" t="str">
        <f>H153</f>
        <v>D3Y</v>
      </c>
      <c r="C160" s="93">
        <v>-9.7222222222222244E-6</v>
      </c>
      <c r="D160" s="93">
        <v>1.3888888888888888E-5</v>
      </c>
      <c r="E160" s="93">
        <v>-9.7222222222222244E-6</v>
      </c>
      <c r="F160" s="93">
        <v>0</v>
      </c>
      <c r="H160" s="17">
        <f>A153</f>
        <v>-7000</v>
      </c>
      <c r="L160" s="215"/>
      <c r="M160" s="172"/>
      <c r="N160" s="172"/>
      <c r="O160" s="172"/>
      <c r="P160" s="172"/>
      <c r="Q160" s="173"/>
    </row>
    <row r="161" spans="1:17" ht="16.95" customHeight="1" x14ac:dyDescent="0.3">
      <c r="A161" s="12" t="str">
        <f>H154</f>
        <v>D4X</v>
      </c>
      <c r="B161" s="13" t="s">
        <v>220</v>
      </c>
      <c r="C161" s="93">
        <v>4.2892396562387341E-5</v>
      </c>
      <c r="D161" s="93">
        <v>-9.7222222222222244E-6</v>
      </c>
      <c r="E161" s="93">
        <v>6.2733666403657189E-5</v>
      </c>
      <c r="F161" s="93">
        <v>0</v>
      </c>
      <c r="H161" s="17">
        <f>A154</f>
        <v>3000</v>
      </c>
      <c r="L161" s="215"/>
      <c r="M161" s="172"/>
      <c r="N161" s="172"/>
      <c r="O161" s="172"/>
      <c r="P161" s="172"/>
      <c r="Q161" s="173"/>
    </row>
    <row r="162" spans="1:17" ht="16.95" customHeight="1" x14ac:dyDescent="0.3">
      <c r="A162" s="12" t="str">
        <f>H155</f>
        <v>D4Y</v>
      </c>
      <c r="C162" s="93">
        <v>0</v>
      </c>
      <c r="D162" s="93">
        <v>0</v>
      </c>
      <c r="E162" s="93">
        <v>0</v>
      </c>
      <c r="F162" s="93">
        <v>1.388888888888889E-5</v>
      </c>
      <c r="H162" s="17">
        <f>A155</f>
        <v>0</v>
      </c>
      <c r="L162" s="215"/>
      <c r="M162" s="172"/>
      <c r="N162" s="172"/>
      <c r="O162" s="172"/>
      <c r="P162" s="172"/>
      <c r="Q162" s="173"/>
    </row>
    <row r="163" spans="1:17" ht="16.95" customHeight="1" x14ac:dyDescent="0.3">
      <c r="L163" s="215"/>
      <c r="M163" s="172"/>
      <c r="N163" s="172"/>
      <c r="O163" s="172"/>
      <c r="P163" s="172"/>
      <c r="Q163" s="173"/>
    </row>
    <row r="164" spans="1:17" ht="16.95" customHeight="1" x14ac:dyDescent="0.3">
      <c r="C164" s="218" t="s">
        <v>265</v>
      </c>
      <c r="D164" s="173"/>
      <c r="L164" s="215"/>
      <c r="M164" s="172"/>
      <c r="N164" s="172"/>
      <c r="O164" s="172"/>
      <c r="P164" s="172"/>
      <c r="Q164" s="173"/>
    </row>
    <row r="165" spans="1:17" ht="16.95" customHeight="1" x14ac:dyDescent="0.3">
      <c r="A165" s="99" t="s">
        <v>249</v>
      </c>
      <c r="C165" s="99" t="s">
        <v>266</v>
      </c>
      <c r="L165" s="215"/>
      <c r="M165" s="172"/>
      <c r="N165" s="172"/>
      <c r="O165" s="172"/>
      <c r="P165" s="172"/>
      <c r="Q165" s="173"/>
    </row>
    <row r="166" spans="1:17" ht="16.95" customHeight="1" x14ac:dyDescent="0.3">
      <c r="A166" s="12" t="str">
        <f>A159</f>
        <v>D3X</v>
      </c>
      <c r="C166" s="94">
        <f t="array" ref="C166:C169">MMULT(C159:F162, H159:H162)</f>
        <v>0.19673274524271761</v>
      </c>
      <c r="D166" s="12" t="s">
        <v>267</v>
      </c>
      <c r="L166" s="215"/>
      <c r="M166" s="172"/>
      <c r="N166" s="172"/>
      <c r="O166" s="172"/>
      <c r="P166" s="172"/>
      <c r="Q166" s="173"/>
    </row>
    <row r="167" spans="1:17" ht="16.95" customHeight="1" x14ac:dyDescent="0.3">
      <c r="A167" s="12" t="str">
        <f>A160</f>
        <v>D3Y</v>
      </c>
      <c r="C167" s="94">
        <v>-0.12638888888888888</v>
      </c>
      <c r="D167" s="12" t="s">
        <v>267</v>
      </c>
      <c r="L167" s="215"/>
      <c r="M167" s="172"/>
      <c r="N167" s="172"/>
      <c r="O167" s="172"/>
      <c r="P167" s="172"/>
      <c r="Q167" s="173"/>
    </row>
    <row r="168" spans="1:17" ht="16.95" customHeight="1" x14ac:dyDescent="0.3">
      <c r="A168" s="12" t="str">
        <f>A161</f>
        <v>D4X</v>
      </c>
      <c r="B168" s="13" t="s">
        <v>220</v>
      </c>
      <c r="C168" s="94">
        <v>0.25625655476652714</v>
      </c>
      <c r="D168" s="12" t="s">
        <v>267</v>
      </c>
      <c r="L168" s="215"/>
      <c r="M168" s="172"/>
      <c r="N168" s="172"/>
      <c r="O168" s="172"/>
      <c r="P168" s="172"/>
      <c r="Q168" s="173"/>
    </row>
    <row r="169" spans="1:17" ht="16.95" customHeight="1" x14ac:dyDescent="0.3">
      <c r="A169" s="12" t="str">
        <f>A162</f>
        <v>D4Y</v>
      </c>
      <c r="C169" s="94">
        <v>0</v>
      </c>
      <c r="D169" s="12" t="s">
        <v>267</v>
      </c>
      <c r="L169" s="215"/>
      <c r="M169" s="172"/>
      <c r="N169" s="172"/>
      <c r="O169" s="172"/>
      <c r="P169" s="172"/>
      <c r="Q169" s="173"/>
    </row>
    <row r="172" spans="1:17" ht="19.95" customHeight="1" x14ac:dyDescent="0.35">
      <c r="A172" s="11" t="s">
        <v>268</v>
      </c>
      <c r="L172" s="216" t="s">
        <v>269</v>
      </c>
      <c r="M172" s="172"/>
      <c r="N172" s="172"/>
      <c r="O172" s="172"/>
      <c r="P172" s="172"/>
      <c r="Q172" s="173"/>
    </row>
    <row r="173" spans="1:17" ht="16.95" customHeight="1" x14ac:dyDescent="0.3">
      <c r="A173" s="99" t="s">
        <v>247</v>
      </c>
      <c r="H173" s="99" t="s">
        <v>249</v>
      </c>
      <c r="L173" s="215" t="s">
        <v>389</v>
      </c>
      <c r="M173" s="172"/>
      <c r="N173" s="172"/>
      <c r="O173" s="172"/>
      <c r="P173" s="172"/>
      <c r="Q173" s="173"/>
    </row>
    <row r="174" spans="1:17" ht="16.95" customHeight="1" x14ac:dyDescent="0.3">
      <c r="A174" s="18" t="str">
        <f>INDEX(B$118:B$125, MATCH(I174, C$118:C$125, 0))</f>
        <v>C1X</v>
      </c>
      <c r="C174" s="9">
        <f t="shared" ref="C174:F177" si="10">INDEX($B$107:$I$114, MATCH($I174, $J$107:$J$114, 0), MATCH(C$151, $B$106:$I$106, 0))</f>
        <v>-27710.93207661721</v>
      </c>
      <c r="D174" s="9">
        <f t="shared" si="10"/>
        <v>-19397.652453632047</v>
      </c>
      <c r="E174" s="9">
        <f t="shared" si="10"/>
        <v>0</v>
      </c>
      <c r="F174" s="9">
        <f t="shared" si="10"/>
        <v>0</v>
      </c>
      <c r="H174" s="95">
        <f>C166</f>
        <v>0.19673274524271761</v>
      </c>
      <c r="I174" s="14" t="str">
        <f>INDEX(C$128:C$135, MATCH(1, G$128:G$135, 0))</f>
        <v>U1X</v>
      </c>
      <c r="L174" s="215" t="s">
        <v>390</v>
      </c>
      <c r="M174" s="172"/>
      <c r="N174" s="172"/>
      <c r="O174" s="172"/>
      <c r="P174" s="172"/>
      <c r="Q174" s="173"/>
    </row>
    <row r="175" spans="1:17" ht="16.95" customHeight="1" x14ac:dyDescent="0.3">
      <c r="A175" s="18" t="str">
        <f>INDEX(B$118:B$125, MATCH(I175, C$118:C$125, 0))</f>
        <v>C1Y</v>
      </c>
      <c r="C175" s="9">
        <f t="shared" si="10"/>
        <v>-19397.652453632047</v>
      </c>
      <c r="D175" s="9">
        <f t="shared" si="10"/>
        <v>-13578.356717542434</v>
      </c>
      <c r="E175" s="9">
        <f t="shared" si="10"/>
        <v>0</v>
      </c>
      <c r="F175" s="9">
        <f t="shared" si="10"/>
        <v>-72000</v>
      </c>
      <c r="H175" s="95">
        <f>C167</f>
        <v>-0.12638888888888888</v>
      </c>
      <c r="I175" s="14" t="str">
        <f>INDEX(C$128:C$135, MATCH(2, G$128:G$135, 0))</f>
        <v>U1Y</v>
      </c>
      <c r="L175" s="215" t="s">
        <v>391</v>
      </c>
      <c r="M175" s="172"/>
      <c r="N175" s="172"/>
      <c r="O175" s="172"/>
      <c r="P175" s="172"/>
      <c r="Q175" s="173"/>
    </row>
    <row r="176" spans="1:17" ht="16.95" customHeight="1" x14ac:dyDescent="0.3">
      <c r="A176" s="18" t="str">
        <f>INDEX(B$118:B$125, MATCH(I176, C$118:C$125, 0))</f>
        <v>C2X</v>
      </c>
      <c r="B176" s="13" t="s">
        <v>220</v>
      </c>
      <c r="C176" s="9">
        <f t="shared" si="10"/>
        <v>0</v>
      </c>
      <c r="D176" s="9">
        <f t="shared" si="10"/>
        <v>0</v>
      </c>
      <c r="E176" s="9">
        <f t="shared" si="10"/>
        <v>0</v>
      </c>
      <c r="F176" s="9">
        <f t="shared" si="10"/>
        <v>0</v>
      </c>
      <c r="H176" s="95">
        <f>C168</f>
        <v>0.25625655476652714</v>
      </c>
      <c r="I176" s="14" t="str">
        <f>INDEX(C$128:C$135, MATCH(3, G$128:G$135, 0))</f>
        <v>U2X</v>
      </c>
      <c r="L176" s="215" t="s">
        <v>392</v>
      </c>
      <c r="M176" s="172"/>
      <c r="N176" s="172"/>
      <c r="O176" s="172"/>
      <c r="P176" s="172"/>
      <c r="Q176" s="173"/>
    </row>
    <row r="177" spans="1:17" ht="16.95" customHeight="1" x14ac:dyDescent="0.3">
      <c r="A177" s="18" t="str">
        <f>INDEX(B$118:B$125, MATCH(I177, C$118:C$125, 0))</f>
        <v>C2Y</v>
      </c>
      <c r="C177" s="9">
        <f t="shared" si="10"/>
        <v>0</v>
      </c>
      <c r="D177" s="9">
        <f t="shared" si="10"/>
        <v>-72000</v>
      </c>
      <c r="E177" s="9">
        <f t="shared" si="10"/>
        <v>0</v>
      </c>
      <c r="F177" s="9">
        <f t="shared" si="10"/>
        <v>0</v>
      </c>
      <c r="H177" s="95">
        <f>C169</f>
        <v>0</v>
      </c>
      <c r="I177" s="14" t="str">
        <f>INDEX(C$128:C$135, MATCH(4, G$128:G$135, 0))</f>
        <v>U2Y</v>
      </c>
      <c r="L177" s="215" t="s">
        <v>393</v>
      </c>
      <c r="M177" s="172"/>
      <c r="N177" s="172"/>
      <c r="O177" s="172"/>
      <c r="P177" s="172"/>
      <c r="Q177" s="173"/>
    </row>
    <row r="178" spans="1:17" ht="16.95" customHeight="1" x14ac:dyDescent="0.3">
      <c r="L178" s="215" t="s">
        <v>394</v>
      </c>
      <c r="M178" s="172"/>
      <c r="N178" s="172"/>
      <c r="O178" s="172"/>
      <c r="P178" s="172"/>
      <c r="Q178" s="173"/>
    </row>
    <row r="179" spans="1:17" ht="16.95" customHeight="1" x14ac:dyDescent="0.3">
      <c r="A179" s="12" t="str">
        <f>A174</f>
        <v>C1X</v>
      </c>
      <c r="C179" s="17">
        <f t="array" ref="C179:C182">MMULT(C174:F177, H174:H177)</f>
        <v>-3000.0000000000014</v>
      </c>
      <c r="D179" s="12" t="s">
        <v>273</v>
      </c>
      <c r="L179" s="215"/>
      <c r="M179" s="172"/>
      <c r="N179" s="172"/>
      <c r="O179" s="172"/>
      <c r="P179" s="172"/>
      <c r="Q179" s="173"/>
    </row>
    <row r="180" spans="1:17" ht="16.95" customHeight="1" x14ac:dyDescent="0.3">
      <c r="A180" s="12" t="str">
        <f>A175</f>
        <v>C1Y</v>
      </c>
      <c r="C180" s="17">
        <v>-2100.0000000000009</v>
      </c>
      <c r="D180" s="12" t="s">
        <v>273</v>
      </c>
      <c r="L180" s="215"/>
      <c r="M180" s="172"/>
      <c r="N180" s="172"/>
      <c r="O180" s="172"/>
      <c r="P180" s="172"/>
      <c r="Q180" s="173"/>
    </row>
    <row r="181" spans="1:17" ht="16.95" customHeight="1" x14ac:dyDescent="0.3">
      <c r="A181" s="12" t="str">
        <f>A176</f>
        <v>C2X</v>
      </c>
      <c r="B181" s="13" t="s">
        <v>220</v>
      </c>
      <c r="C181" s="17">
        <v>0</v>
      </c>
      <c r="D181" s="12" t="s">
        <v>273</v>
      </c>
      <c r="L181" s="215"/>
      <c r="M181" s="172"/>
      <c r="N181" s="172"/>
      <c r="O181" s="172"/>
      <c r="P181" s="172"/>
      <c r="Q181" s="173"/>
    </row>
    <row r="182" spans="1:17" ht="16.95" customHeight="1" x14ac:dyDescent="0.3">
      <c r="A182" s="12" t="str">
        <f>A177</f>
        <v>C2Y</v>
      </c>
      <c r="C182" s="17">
        <v>9100</v>
      </c>
      <c r="D182" s="12" t="s">
        <v>273</v>
      </c>
      <c r="L182" s="215"/>
      <c r="M182" s="172"/>
      <c r="N182" s="172"/>
      <c r="O182" s="172"/>
      <c r="P182" s="172"/>
      <c r="Q182" s="173"/>
    </row>
    <row r="185" spans="1:17" ht="19.95" customHeight="1" x14ac:dyDescent="0.35">
      <c r="A185" s="11" t="s">
        <v>274</v>
      </c>
    </row>
    <row r="187" spans="1:17" ht="19.05" customHeight="1" x14ac:dyDescent="0.3">
      <c r="A187" s="12" t="s">
        <v>228</v>
      </c>
      <c r="B187" s="12" t="s">
        <v>178</v>
      </c>
      <c r="D187" s="94">
        <f t="shared" ref="D187:D194" si="11">IFERROR(INDEX(C$166:C$169, MATCH(A187, A$166:A$169, 0)), 0)</f>
        <v>0</v>
      </c>
    </row>
    <row r="188" spans="1:17" ht="19.05" customHeight="1" x14ac:dyDescent="0.3">
      <c r="A188" s="12" t="s">
        <v>229</v>
      </c>
      <c r="B188" s="12" t="s">
        <v>179</v>
      </c>
      <c r="D188" s="94">
        <f t="shared" si="11"/>
        <v>0</v>
      </c>
    </row>
    <row r="189" spans="1:17" ht="19.05" customHeight="1" x14ac:dyDescent="0.3">
      <c r="A189" s="12" t="s">
        <v>230</v>
      </c>
      <c r="B189" s="12" t="s">
        <v>180</v>
      </c>
      <c r="D189" s="94">
        <f t="shared" si="11"/>
        <v>0</v>
      </c>
    </row>
    <row r="190" spans="1:17" ht="19.05" customHeight="1" x14ac:dyDescent="0.3">
      <c r="A190" s="12" t="s">
        <v>231</v>
      </c>
      <c r="B190" s="12" t="s">
        <v>181</v>
      </c>
      <c r="D190" s="94">
        <f t="shared" si="11"/>
        <v>0</v>
      </c>
    </row>
    <row r="191" spans="1:17" ht="19.05" customHeight="1" x14ac:dyDescent="0.3">
      <c r="A191" s="12" t="s">
        <v>232</v>
      </c>
      <c r="B191" s="12" t="s">
        <v>182</v>
      </c>
      <c r="D191" s="94">
        <f t="shared" si="11"/>
        <v>0.19673274524271761</v>
      </c>
    </row>
    <row r="192" spans="1:17" ht="19.05" customHeight="1" x14ac:dyDescent="0.3">
      <c r="A192" s="12" t="s">
        <v>234</v>
      </c>
      <c r="B192" s="12" t="s">
        <v>183</v>
      </c>
      <c r="D192" s="94">
        <f t="shared" si="11"/>
        <v>-0.12638888888888888</v>
      </c>
    </row>
    <row r="193" spans="1:17" ht="19.05" customHeight="1" x14ac:dyDescent="0.3">
      <c r="A193" s="12" t="s">
        <v>235</v>
      </c>
      <c r="B193" s="12" t="s">
        <v>184</v>
      </c>
      <c r="D193" s="94">
        <f t="shared" si="11"/>
        <v>0.25625655476652714</v>
      </c>
    </row>
    <row r="194" spans="1:17" ht="19.05" customHeight="1" x14ac:dyDescent="0.3">
      <c r="A194" s="12" t="s">
        <v>236</v>
      </c>
      <c r="B194" s="12" t="s">
        <v>185</v>
      </c>
      <c r="D194" s="94">
        <f t="shared" si="11"/>
        <v>0</v>
      </c>
    </row>
    <row r="197" spans="1:17" ht="19.95" customHeight="1" x14ac:dyDescent="0.35">
      <c r="A197" s="11" t="s">
        <v>275</v>
      </c>
      <c r="L197" s="216" t="s">
        <v>276</v>
      </c>
      <c r="M197" s="172"/>
      <c r="N197" s="172"/>
      <c r="O197" s="172"/>
      <c r="P197" s="172"/>
      <c r="Q197" s="173"/>
    </row>
    <row r="198" spans="1:17" ht="16.95" customHeight="1" x14ac:dyDescent="0.3">
      <c r="L198" s="215" t="s">
        <v>395</v>
      </c>
      <c r="M198" s="172"/>
      <c r="N198" s="172"/>
      <c r="O198" s="172"/>
      <c r="P198" s="172"/>
      <c r="Q198" s="173"/>
    </row>
    <row r="199" spans="1:17" ht="16.95" customHeight="1" x14ac:dyDescent="0.3">
      <c r="A199" s="19" t="s">
        <v>278</v>
      </c>
      <c r="C199" s="19" t="s">
        <v>279</v>
      </c>
      <c r="D199" s="19" t="s">
        <v>280</v>
      </c>
      <c r="E199" s="19" t="s">
        <v>279</v>
      </c>
      <c r="F199" s="19" t="s">
        <v>280</v>
      </c>
      <c r="G199" s="19" t="s">
        <v>249</v>
      </c>
      <c r="L199" s="215" t="s">
        <v>396</v>
      </c>
      <c r="M199" s="172"/>
      <c r="N199" s="172"/>
      <c r="O199" s="172"/>
      <c r="P199" s="172"/>
      <c r="Q199" s="173"/>
    </row>
    <row r="200" spans="1:17" ht="16.95" customHeight="1" x14ac:dyDescent="0.3">
      <c r="C200" s="19" t="s">
        <v>282</v>
      </c>
      <c r="D200" s="19" t="s">
        <v>282</v>
      </c>
      <c r="E200" s="19" t="s">
        <v>283</v>
      </c>
      <c r="F200" s="19" t="s">
        <v>283</v>
      </c>
      <c r="L200" s="215" t="s">
        <v>397</v>
      </c>
      <c r="M200" s="172"/>
      <c r="N200" s="172"/>
      <c r="O200" s="172"/>
      <c r="P200" s="172"/>
      <c r="Q200" s="173"/>
    </row>
    <row r="201" spans="1:17" ht="16.95" customHeight="1" x14ac:dyDescent="0.3">
      <c r="A201" s="17">
        <f>N6</f>
        <v>50400</v>
      </c>
      <c r="C201" s="92">
        <f>-J6</f>
        <v>-1</v>
      </c>
      <c r="D201" s="92">
        <f>-K6</f>
        <v>0</v>
      </c>
      <c r="E201" s="92">
        <f>J6</f>
        <v>1</v>
      </c>
      <c r="F201" s="92">
        <f>K6</f>
        <v>0</v>
      </c>
      <c r="G201" s="96">
        <f>IFERROR(VLOOKUP(H201, A$187:D$194, 4, FALSE), 0)</f>
        <v>0</v>
      </c>
      <c r="H201" s="12" t="str">
        <f>"D" &amp; C14 &amp; "X"</f>
        <v>D1X</v>
      </c>
      <c r="L201" s="215" t="s">
        <v>398</v>
      </c>
      <c r="M201" s="172"/>
      <c r="N201" s="172"/>
      <c r="O201" s="172"/>
      <c r="P201" s="172"/>
      <c r="Q201" s="173"/>
    </row>
    <row r="202" spans="1:17" ht="16.95" customHeight="1" x14ac:dyDescent="0.3">
      <c r="A202" s="99" t="s">
        <v>285</v>
      </c>
      <c r="B202" s="97">
        <f>(MMULT(C201:F201, G201:G204)*A201)</f>
        <v>0</v>
      </c>
      <c r="G202" s="96">
        <f>IFERROR(VLOOKUP(H202, A$187:D$194, 4, FALSE), 0)</f>
        <v>0</v>
      </c>
      <c r="H202" s="12" t="str">
        <f>"D" &amp; D14 &amp; "Y"</f>
        <v>D1Y</v>
      </c>
      <c r="L202" s="215" t="s">
        <v>399</v>
      </c>
      <c r="M202" s="172"/>
      <c r="N202" s="172"/>
      <c r="O202" s="172"/>
      <c r="P202" s="172"/>
      <c r="Q202" s="173"/>
    </row>
    <row r="203" spans="1:17" ht="16.95" customHeight="1" x14ac:dyDescent="0.3">
      <c r="G203" s="96">
        <f>IFERROR(VLOOKUP(H203, A$187:D$194, 4, FALSE), 0)</f>
        <v>0</v>
      </c>
      <c r="H203" s="12" t="str">
        <f>"D" &amp; E14 &amp; "X"</f>
        <v>D2X</v>
      </c>
      <c r="L203" s="215" t="s">
        <v>400</v>
      </c>
      <c r="M203" s="172"/>
      <c r="N203" s="172"/>
      <c r="O203" s="172"/>
      <c r="P203" s="172"/>
      <c r="Q203" s="173"/>
    </row>
    <row r="204" spans="1:17" ht="16.95" customHeight="1" x14ac:dyDescent="0.3">
      <c r="G204" s="96">
        <f>IFERROR(VLOOKUP(H204, A$187:D$194, 4, FALSE), 0)</f>
        <v>0</v>
      </c>
      <c r="H204" s="12" t="str">
        <f>"D" &amp; F14 &amp; "Y"</f>
        <v>D2Y</v>
      </c>
      <c r="L204" s="215" t="s">
        <v>401</v>
      </c>
      <c r="M204" s="172"/>
      <c r="N204" s="172"/>
      <c r="O204" s="172"/>
      <c r="P204" s="172"/>
      <c r="Q204" s="173"/>
    </row>
    <row r="205" spans="1:17" ht="16.95" customHeight="1" x14ac:dyDescent="0.3">
      <c r="B205" s="99" t="s">
        <v>273</v>
      </c>
      <c r="C205" s="178" t="str">
        <f>IF(B202&gt;0.001,"BARRA A TRACCIÓN (+)",IF(B202&lt;-0.001,"BARRA A COMPRESIÓN (-)","BARRA DE FUERZA NULA"))</f>
        <v>BARRA DE FUERZA NULA</v>
      </c>
      <c r="D205" s="172"/>
      <c r="E205" s="172"/>
      <c r="F205" s="173"/>
      <c r="L205" s="215" t="s">
        <v>402</v>
      </c>
      <c r="M205" s="172"/>
      <c r="N205" s="172"/>
      <c r="O205" s="172"/>
      <c r="P205" s="172"/>
      <c r="Q205" s="173"/>
    </row>
    <row r="206" spans="1:17" ht="16.95" customHeight="1" x14ac:dyDescent="0.3">
      <c r="L206" s="215" t="s">
        <v>403</v>
      </c>
      <c r="M206" s="172"/>
      <c r="N206" s="172"/>
      <c r="O206" s="172"/>
      <c r="P206" s="172"/>
      <c r="Q206" s="173"/>
    </row>
    <row r="207" spans="1:17" ht="16.95" customHeight="1" x14ac:dyDescent="0.3">
      <c r="A207" s="19" t="s">
        <v>278</v>
      </c>
      <c r="C207" s="19" t="s">
        <v>279</v>
      </c>
      <c r="D207" s="19" t="s">
        <v>280</v>
      </c>
      <c r="E207" s="19" t="s">
        <v>279</v>
      </c>
      <c r="F207" s="19" t="s">
        <v>280</v>
      </c>
      <c r="G207" s="19" t="s">
        <v>249</v>
      </c>
      <c r="L207" s="215"/>
      <c r="M207" s="172"/>
      <c r="N207" s="172"/>
      <c r="O207" s="172"/>
      <c r="P207" s="172"/>
      <c r="Q207" s="173"/>
    </row>
    <row r="208" spans="1:17" ht="16.95" customHeight="1" x14ac:dyDescent="0.3">
      <c r="C208" s="19" t="s">
        <v>282</v>
      </c>
      <c r="D208" s="19" t="s">
        <v>282</v>
      </c>
      <c r="E208" s="19" t="s">
        <v>283</v>
      </c>
      <c r="F208" s="19" t="s">
        <v>283</v>
      </c>
      <c r="L208" s="215"/>
      <c r="M208" s="172"/>
      <c r="N208" s="172"/>
      <c r="O208" s="172"/>
      <c r="P208" s="172"/>
      <c r="Q208" s="173"/>
    </row>
    <row r="209" spans="1:17" ht="16.95" customHeight="1" x14ac:dyDescent="0.3">
      <c r="A209" s="17">
        <f>N7</f>
        <v>72000</v>
      </c>
      <c r="C209" s="92">
        <f>-J7</f>
        <v>0</v>
      </c>
      <c r="D209" s="92">
        <f>-K7</f>
        <v>-1</v>
      </c>
      <c r="E209" s="92">
        <f>J7</f>
        <v>0</v>
      </c>
      <c r="F209" s="92">
        <f>K7</f>
        <v>1</v>
      </c>
      <c r="G209" s="96">
        <f>IFERROR(VLOOKUP(H209, A$187:D$194, 4, FALSE), 0)</f>
        <v>0</v>
      </c>
      <c r="H209" s="12" t="str">
        <f>"D" &amp; C15 &amp; "X"</f>
        <v>D2X</v>
      </c>
      <c r="L209" s="215"/>
      <c r="M209" s="172"/>
      <c r="N209" s="172"/>
      <c r="O209" s="172"/>
      <c r="P209" s="172"/>
      <c r="Q209" s="173"/>
    </row>
    <row r="210" spans="1:17" ht="16.95" customHeight="1" x14ac:dyDescent="0.3">
      <c r="A210" s="99" t="s">
        <v>286</v>
      </c>
      <c r="B210" s="97">
        <f>(MMULT(C209:F209, G209:G212)*A209)</f>
        <v>-9100</v>
      </c>
      <c r="G210" s="96">
        <f>IFERROR(VLOOKUP(H210, A$187:D$194, 4, FALSE), 0)</f>
        <v>0</v>
      </c>
      <c r="H210" s="12" t="str">
        <f>"D" &amp; D15 &amp; "Y"</f>
        <v>D2Y</v>
      </c>
      <c r="L210" s="215"/>
      <c r="M210" s="172"/>
      <c r="N210" s="172"/>
      <c r="O210" s="172"/>
      <c r="P210" s="172"/>
      <c r="Q210" s="173"/>
    </row>
    <row r="211" spans="1:17" ht="16.95" customHeight="1" x14ac:dyDescent="0.3">
      <c r="G211" s="96">
        <f>IFERROR(VLOOKUP(H211, A$187:D$194, 4, FALSE), 0)</f>
        <v>0.19673274524271761</v>
      </c>
      <c r="H211" s="12" t="str">
        <f>"D" &amp; E15 &amp; "X"</f>
        <v>D3X</v>
      </c>
      <c r="L211" s="215"/>
      <c r="M211" s="172"/>
      <c r="N211" s="172"/>
      <c r="O211" s="172"/>
      <c r="P211" s="172"/>
      <c r="Q211" s="173"/>
    </row>
    <row r="212" spans="1:17" ht="16.95" customHeight="1" x14ac:dyDescent="0.3">
      <c r="G212" s="96">
        <f>IFERROR(VLOOKUP(H212, A$187:D$194, 4, FALSE), 0)</f>
        <v>-0.12638888888888888</v>
      </c>
      <c r="H212" s="12" t="str">
        <f>"D" &amp; F15 &amp; "Y"</f>
        <v>D3Y</v>
      </c>
      <c r="L212" s="215"/>
      <c r="M212" s="172"/>
      <c r="N212" s="172"/>
      <c r="O212" s="172"/>
      <c r="P212" s="172"/>
      <c r="Q212" s="173"/>
    </row>
    <row r="213" spans="1:17" ht="16.95" customHeight="1" x14ac:dyDescent="0.3">
      <c r="B213" s="99" t="s">
        <v>273</v>
      </c>
      <c r="C213" s="178" t="str">
        <f>IF(B210&gt;0.001,"BARRA A TRACCIÓN (+)",IF(B210&lt;-0.001,"BARRA A COMPRESIÓN (-)","BARRA DE FUERZA NULA"))</f>
        <v>BARRA A COMPRESIÓN (-)</v>
      </c>
      <c r="D213" s="172"/>
      <c r="E213" s="172"/>
      <c r="F213" s="173"/>
      <c r="L213" s="215"/>
      <c r="M213" s="172"/>
      <c r="N213" s="172"/>
      <c r="O213" s="172"/>
      <c r="P213" s="172"/>
      <c r="Q213" s="173"/>
    </row>
    <row r="214" spans="1:17" ht="16.95" customHeight="1" x14ac:dyDescent="0.3">
      <c r="L214" s="215"/>
      <c r="M214" s="172"/>
      <c r="N214" s="172"/>
      <c r="O214" s="172"/>
      <c r="P214" s="172"/>
      <c r="Q214" s="173"/>
    </row>
    <row r="215" spans="1:17" ht="16.95" customHeight="1" x14ac:dyDescent="0.3">
      <c r="A215" s="19" t="s">
        <v>278</v>
      </c>
      <c r="C215" s="19" t="s">
        <v>279</v>
      </c>
      <c r="D215" s="19" t="s">
        <v>280</v>
      </c>
      <c r="E215" s="19" t="s">
        <v>279</v>
      </c>
      <c r="F215" s="19" t="s">
        <v>280</v>
      </c>
      <c r="G215" s="19" t="s">
        <v>249</v>
      </c>
      <c r="L215" s="215"/>
      <c r="M215" s="172"/>
      <c r="N215" s="172"/>
      <c r="O215" s="172"/>
      <c r="P215" s="172"/>
      <c r="Q215" s="173"/>
    </row>
    <row r="216" spans="1:17" ht="16.95" customHeight="1" x14ac:dyDescent="0.3">
      <c r="C216" s="19" t="s">
        <v>282</v>
      </c>
      <c r="D216" s="19" t="s">
        <v>282</v>
      </c>
      <c r="E216" s="19" t="s">
        <v>283</v>
      </c>
      <c r="F216" s="19" t="s">
        <v>283</v>
      </c>
      <c r="L216" s="215"/>
      <c r="M216" s="172"/>
      <c r="N216" s="172"/>
      <c r="O216" s="172"/>
      <c r="P216" s="172"/>
      <c r="Q216" s="173"/>
    </row>
    <row r="217" spans="1:17" ht="16.95" customHeight="1" x14ac:dyDescent="0.3">
      <c r="A217" s="17">
        <f>N8</f>
        <v>50400</v>
      </c>
      <c r="C217" s="92">
        <f>-J8</f>
        <v>1</v>
      </c>
      <c r="D217" s="92">
        <f>-K8</f>
        <v>0</v>
      </c>
      <c r="E217" s="92">
        <f>J8</f>
        <v>-1</v>
      </c>
      <c r="F217" s="92">
        <f>K8</f>
        <v>0</v>
      </c>
      <c r="G217" s="96">
        <f>IFERROR(VLOOKUP(H217, A$187:D$194, 4, FALSE), 0)</f>
        <v>0.19673274524271761</v>
      </c>
      <c r="H217" s="12" t="str">
        <f>"D" &amp; C16 &amp; "X"</f>
        <v>D3X</v>
      </c>
      <c r="L217" s="215"/>
      <c r="M217" s="172"/>
      <c r="N217" s="172"/>
      <c r="O217" s="172"/>
      <c r="P217" s="172"/>
      <c r="Q217" s="173"/>
    </row>
    <row r="218" spans="1:17" ht="16.95" customHeight="1" x14ac:dyDescent="0.3">
      <c r="A218" s="99" t="s">
        <v>287</v>
      </c>
      <c r="B218" s="97">
        <f>(MMULT(C217:F217, G217:G220)*A217)</f>
        <v>-3000.0000000000005</v>
      </c>
      <c r="G218" s="96">
        <f>IFERROR(VLOOKUP(H218, A$187:D$194, 4, FALSE), 0)</f>
        <v>-0.12638888888888888</v>
      </c>
      <c r="H218" s="12" t="str">
        <f>"D" &amp; D16 &amp; "Y"</f>
        <v>D3Y</v>
      </c>
      <c r="L218" s="215"/>
      <c r="M218" s="172"/>
      <c r="N218" s="172"/>
      <c r="O218" s="172"/>
      <c r="P218" s="172"/>
      <c r="Q218" s="173"/>
    </row>
    <row r="219" spans="1:17" ht="16.95" customHeight="1" x14ac:dyDescent="0.3">
      <c r="G219" s="96">
        <f>IFERROR(VLOOKUP(H219, A$187:D$194, 4, FALSE), 0)</f>
        <v>0.25625655476652714</v>
      </c>
      <c r="H219" s="12" t="str">
        <f>"D" &amp; E16 &amp; "X"</f>
        <v>D4X</v>
      </c>
      <c r="L219" s="215"/>
      <c r="M219" s="172"/>
      <c r="N219" s="172"/>
      <c r="O219" s="172"/>
      <c r="P219" s="172"/>
      <c r="Q219" s="173"/>
    </row>
    <row r="220" spans="1:17" ht="16.95" customHeight="1" x14ac:dyDescent="0.3">
      <c r="G220" s="96">
        <f>IFERROR(VLOOKUP(H220, A$187:D$194, 4, FALSE), 0)</f>
        <v>0</v>
      </c>
      <c r="H220" s="12" t="str">
        <f>"D" &amp; F16 &amp; "Y"</f>
        <v>D4Y</v>
      </c>
      <c r="L220" s="215"/>
      <c r="M220" s="172"/>
      <c r="N220" s="172"/>
      <c r="O220" s="172"/>
      <c r="P220" s="172"/>
      <c r="Q220" s="173"/>
    </row>
    <row r="221" spans="1:17" ht="16.95" customHeight="1" x14ac:dyDescent="0.3">
      <c r="B221" s="99" t="s">
        <v>273</v>
      </c>
      <c r="C221" s="178" t="str">
        <f>IF(B218&gt;0.001,"BARRA A TRACCIÓN (+)",IF(B218&lt;-0.001,"BARRA A COMPRESIÓN (-)","BARRA DE FUERZA NULA"))</f>
        <v>BARRA A COMPRESIÓN (-)</v>
      </c>
      <c r="D221" s="172"/>
      <c r="E221" s="172"/>
      <c r="F221" s="173"/>
      <c r="L221" s="215"/>
      <c r="M221" s="172"/>
      <c r="N221" s="172"/>
      <c r="O221" s="172"/>
      <c r="P221" s="172"/>
      <c r="Q221" s="173"/>
    </row>
    <row r="222" spans="1:17" ht="16.95" customHeight="1" x14ac:dyDescent="0.3">
      <c r="L222" s="215"/>
      <c r="M222" s="172"/>
      <c r="N222" s="172"/>
      <c r="O222" s="172"/>
      <c r="P222" s="172"/>
      <c r="Q222" s="173"/>
    </row>
    <row r="223" spans="1:17" ht="18" customHeight="1" x14ac:dyDescent="0.3">
      <c r="A223" s="19" t="s">
        <v>278</v>
      </c>
      <c r="C223" s="19" t="s">
        <v>279</v>
      </c>
      <c r="D223" s="19" t="s">
        <v>280</v>
      </c>
      <c r="E223" s="19" t="s">
        <v>279</v>
      </c>
      <c r="F223" s="19" t="s">
        <v>280</v>
      </c>
      <c r="G223" s="19" t="s">
        <v>249</v>
      </c>
    </row>
    <row r="224" spans="1:17" ht="16.05" customHeight="1" x14ac:dyDescent="0.3">
      <c r="C224" s="19" t="s">
        <v>282</v>
      </c>
      <c r="D224" s="19" t="s">
        <v>282</v>
      </c>
      <c r="E224" s="19" t="s">
        <v>283</v>
      </c>
      <c r="F224" s="19" t="s">
        <v>283</v>
      </c>
    </row>
    <row r="225" spans="1:8" ht="19.95" customHeight="1" x14ac:dyDescent="0.3">
      <c r="A225" s="17">
        <f>N9</f>
        <v>72000</v>
      </c>
      <c r="C225" s="92">
        <f>-J9</f>
        <v>0</v>
      </c>
      <c r="D225" s="92">
        <f>-K9</f>
        <v>1</v>
      </c>
      <c r="E225" s="92">
        <f>J9</f>
        <v>0</v>
      </c>
      <c r="F225" s="92">
        <f>K9</f>
        <v>-1</v>
      </c>
      <c r="G225" s="96">
        <f>IFERROR(VLOOKUP(H225, A$187:D$194, 4, FALSE), 0)</f>
        <v>0.25625655476652714</v>
      </c>
      <c r="H225" s="12" t="str">
        <f>"D" &amp; C17 &amp; "X"</f>
        <v>D4X</v>
      </c>
    </row>
    <row r="226" spans="1:8" ht="19.95" customHeight="1" x14ac:dyDescent="0.3">
      <c r="A226" s="99" t="s">
        <v>288</v>
      </c>
      <c r="B226" s="97">
        <f>(MMULT(C225:F225, G225:G228)*A225)</f>
        <v>0</v>
      </c>
      <c r="G226" s="96">
        <f>IFERROR(VLOOKUP(H226, A$187:D$194, 4, FALSE), 0)</f>
        <v>0</v>
      </c>
      <c r="H226" s="12" t="str">
        <f>"D" &amp; D17 &amp; "Y"</f>
        <v>D4Y</v>
      </c>
    </row>
    <row r="227" spans="1:8" ht="19.95" customHeight="1" x14ac:dyDescent="0.3">
      <c r="G227" s="96">
        <f>IFERROR(VLOOKUP(H227, A$187:D$194, 4, FALSE), 0)</f>
        <v>0</v>
      </c>
      <c r="H227" s="12" t="str">
        <f>"D" &amp; E17 &amp; "X"</f>
        <v>D1X</v>
      </c>
    </row>
    <row r="228" spans="1:8" ht="19.95" customHeight="1" x14ac:dyDescent="0.3">
      <c r="G228" s="96">
        <f>IFERROR(VLOOKUP(H228, A$187:D$194, 4, FALSE), 0)</f>
        <v>0</v>
      </c>
      <c r="H228" s="12" t="str">
        <f>"D" &amp; F17 &amp; "Y"</f>
        <v>D1Y</v>
      </c>
    </row>
    <row r="229" spans="1:8" ht="19.95" customHeight="1" x14ac:dyDescent="0.3">
      <c r="B229" s="99" t="s">
        <v>273</v>
      </c>
      <c r="C229" s="178" t="str">
        <f>IF(B226&gt;0.001,"BARRA A TRACCIÓN (+)",IF(B226&lt;-0.001,"BARRA A COMPRESIÓN (-)","BARRA DE FUERZA NULA"))</f>
        <v>BARRA DE FUERZA NULA</v>
      </c>
      <c r="D229" s="172"/>
      <c r="E229" s="172"/>
      <c r="F229" s="173"/>
    </row>
    <row r="231" spans="1:8" ht="18" customHeight="1" x14ac:dyDescent="0.3">
      <c r="A231" s="19" t="s">
        <v>278</v>
      </c>
      <c r="C231" s="19" t="s">
        <v>279</v>
      </c>
      <c r="D231" s="19" t="s">
        <v>280</v>
      </c>
      <c r="E231" s="19" t="s">
        <v>279</v>
      </c>
      <c r="F231" s="19" t="s">
        <v>280</v>
      </c>
      <c r="G231" s="19" t="s">
        <v>249</v>
      </c>
    </row>
    <row r="232" spans="1:8" ht="16.05" customHeight="1" x14ac:dyDescent="0.3">
      <c r="C232" s="19" t="s">
        <v>282</v>
      </c>
      <c r="D232" s="19" t="s">
        <v>282</v>
      </c>
      <c r="E232" s="19" t="s">
        <v>283</v>
      </c>
      <c r="F232" s="19" t="s">
        <v>283</v>
      </c>
    </row>
    <row r="233" spans="1:8" ht="19.95" customHeight="1" x14ac:dyDescent="0.3">
      <c r="A233" s="17">
        <f>N10</f>
        <v>41289.288794159642</v>
      </c>
      <c r="C233" s="92">
        <f>-J10</f>
        <v>-0.81923192051904048</v>
      </c>
      <c r="D233" s="92">
        <f>-K10</f>
        <v>-0.57346234436332832</v>
      </c>
      <c r="E233" s="92">
        <f>J10</f>
        <v>0.81923192051904048</v>
      </c>
      <c r="F233" s="92">
        <f>K10</f>
        <v>0.57346234436332832</v>
      </c>
      <c r="G233" s="96">
        <f>IFERROR(VLOOKUP(H233, A$187:D$194, 4, FALSE), 0)</f>
        <v>0</v>
      </c>
      <c r="H233" s="12" t="str">
        <f>"D" &amp; C18 &amp; "X"</f>
        <v>D1X</v>
      </c>
    </row>
    <row r="234" spans="1:8" ht="19.95" customHeight="1" x14ac:dyDescent="0.3">
      <c r="A234" s="99" t="s">
        <v>289</v>
      </c>
      <c r="B234" s="97">
        <f>(MMULT(C233:F233, G233:G236)*A233)</f>
        <v>3661.9666847201129</v>
      </c>
      <c r="G234" s="96">
        <f>IFERROR(VLOOKUP(H234, A$187:D$194, 4, FALSE), 0)</f>
        <v>0</v>
      </c>
      <c r="H234" s="12" t="str">
        <f>"D" &amp; D18 &amp; "Y"</f>
        <v>D1Y</v>
      </c>
    </row>
    <row r="235" spans="1:8" ht="19.95" customHeight="1" x14ac:dyDescent="0.3">
      <c r="G235" s="96">
        <f>IFERROR(VLOOKUP(H235, A$187:D$194, 4, FALSE), 0)</f>
        <v>0.19673274524271761</v>
      </c>
      <c r="H235" s="12" t="str">
        <f>"D" &amp; E18 &amp; "X"</f>
        <v>D3X</v>
      </c>
    </row>
    <row r="236" spans="1:8" ht="19.95" customHeight="1" x14ac:dyDescent="0.3">
      <c r="G236" s="96">
        <f>IFERROR(VLOOKUP(H236, A$187:D$194, 4, FALSE), 0)</f>
        <v>-0.12638888888888888</v>
      </c>
      <c r="H236" s="12" t="str">
        <f>"D" &amp; F18 &amp; "Y"</f>
        <v>D3Y</v>
      </c>
    </row>
    <row r="237" spans="1:8" ht="19.95" customHeight="1" x14ac:dyDescent="0.3">
      <c r="B237" s="99" t="s">
        <v>273</v>
      </c>
      <c r="C237" s="178" t="str">
        <f>IF(B234&gt;0.001,"BARRA A TRACCIÓN (+)",IF(B234&lt;-0.001,"BARRA A COMPRESIÓN (-)","BARRA DE FUERZA NULA"))</f>
        <v>BARRA A TRACCIÓN (+)</v>
      </c>
      <c r="D237" s="172"/>
      <c r="E237" s="172"/>
      <c r="F237" s="173"/>
    </row>
    <row r="240" spans="1:8" ht="22.05" customHeight="1" x14ac:dyDescent="0.3">
      <c r="B240" s="217" t="s">
        <v>404</v>
      </c>
      <c r="C240" s="175"/>
      <c r="D240" s="175"/>
      <c r="E240" s="175"/>
      <c r="F240" s="175"/>
      <c r="G240" s="175"/>
      <c r="H240" s="175"/>
    </row>
    <row r="241" spans="2:8" ht="24" customHeight="1" x14ac:dyDescent="0.3">
      <c r="B241" s="87" t="s">
        <v>294</v>
      </c>
      <c r="C241" s="87" t="s">
        <v>295</v>
      </c>
      <c r="D241" s="87" t="s">
        <v>296</v>
      </c>
      <c r="E241" s="87" t="s">
        <v>297</v>
      </c>
      <c r="F241" s="87" t="s">
        <v>298</v>
      </c>
      <c r="G241" s="87" t="s">
        <v>299</v>
      </c>
      <c r="H241" s="87" t="s">
        <v>300</v>
      </c>
    </row>
    <row r="242" spans="2:8" ht="19.95" customHeight="1" x14ac:dyDescent="0.3">
      <c r="B242" s="85">
        <v>1</v>
      </c>
      <c r="C242" s="86">
        <f>C14</f>
        <v>1</v>
      </c>
      <c r="D242" s="86">
        <f>E14</f>
        <v>2</v>
      </c>
      <c r="E242" s="9">
        <f>I6</f>
        <v>500</v>
      </c>
      <c r="F242" s="9">
        <f>L6</f>
        <v>12</v>
      </c>
      <c r="G242" s="97">
        <f>B202</f>
        <v>0</v>
      </c>
      <c r="H242" s="84" t="str">
        <f>C205</f>
        <v>BARRA DE FUERZA NULA</v>
      </c>
    </row>
    <row r="243" spans="2:8" ht="19.95" customHeight="1" x14ac:dyDescent="0.3">
      <c r="B243" s="25">
        <v>2</v>
      </c>
      <c r="C243" s="86">
        <f>C15</f>
        <v>2</v>
      </c>
      <c r="D243" s="86">
        <f>E15</f>
        <v>3</v>
      </c>
      <c r="E243" s="9">
        <f>I7</f>
        <v>350</v>
      </c>
      <c r="F243" s="9">
        <f>L7</f>
        <v>12</v>
      </c>
      <c r="G243" s="97">
        <f>B210</f>
        <v>-9100</v>
      </c>
      <c r="H243" s="84" t="str">
        <f>C213</f>
        <v>BARRA A COMPRESIÓN (-)</v>
      </c>
    </row>
    <row r="244" spans="2:8" ht="19.95" customHeight="1" x14ac:dyDescent="0.3">
      <c r="B244" s="26">
        <v>3</v>
      </c>
      <c r="C244" s="86">
        <f>C16</f>
        <v>3</v>
      </c>
      <c r="D244" s="86">
        <f>E16</f>
        <v>4</v>
      </c>
      <c r="E244" s="9">
        <f>I8</f>
        <v>500</v>
      </c>
      <c r="F244" s="9">
        <f>L8</f>
        <v>12</v>
      </c>
      <c r="G244" s="97">
        <f>B218</f>
        <v>-3000.0000000000005</v>
      </c>
      <c r="H244" s="84" t="str">
        <f>C221</f>
        <v>BARRA A COMPRESIÓN (-)</v>
      </c>
    </row>
    <row r="245" spans="2:8" ht="19.95" customHeight="1" x14ac:dyDescent="0.3">
      <c r="B245" s="43">
        <v>4</v>
      </c>
      <c r="C245" s="86">
        <f>C17</f>
        <v>4</v>
      </c>
      <c r="D245" s="86">
        <f>E17</f>
        <v>1</v>
      </c>
      <c r="E245" s="9">
        <f>I9</f>
        <v>350</v>
      </c>
      <c r="F245" s="9">
        <f>L9</f>
        <v>12</v>
      </c>
      <c r="G245" s="97">
        <f>B226</f>
        <v>0</v>
      </c>
      <c r="H245" s="84" t="str">
        <f>C229</f>
        <v>BARRA DE FUERZA NULA</v>
      </c>
    </row>
    <row r="246" spans="2:8" ht="19.95" customHeight="1" x14ac:dyDescent="0.3">
      <c r="B246" s="44">
        <v>5</v>
      </c>
      <c r="C246" s="86">
        <f>C18</f>
        <v>1</v>
      </c>
      <c r="D246" s="86">
        <f>E18</f>
        <v>3</v>
      </c>
      <c r="E246" s="9">
        <f>I10</f>
        <v>610.32778078668514</v>
      </c>
      <c r="F246" s="9">
        <f>L10</f>
        <v>12</v>
      </c>
      <c r="G246" s="97">
        <f>B234</f>
        <v>3661.9666847201129</v>
      </c>
      <c r="H246" s="84" t="str">
        <f>C237</f>
        <v>BARRA A TRACCIÓN (+)</v>
      </c>
    </row>
  </sheetData>
  <mergeCells count="115">
    <mergeCell ref="I4:I5"/>
    <mergeCell ref="L131:Q131"/>
    <mergeCell ref="L137:Q137"/>
    <mergeCell ref="L146:Q146"/>
    <mergeCell ref="L198:Q198"/>
    <mergeCell ref="L121:Q121"/>
    <mergeCell ref="L210:Q210"/>
    <mergeCell ref="B12:B13"/>
    <mergeCell ref="L142:Q142"/>
    <mergeCell ref="L172:Q172"/>
    <mergeCell ref="L162:Q162"/>
    <mergeCell ref="L156:Q156"/>
    <mergeCell ref="L153:Q153"/>
    <mergeCell ref="L128:Q128"/>
    <mergeCell ref="L130:Q130"/>
    <mergeCell ref="C12:D12"/>
    <mergeCell ref="L124:Q124"/>
    <mergeCell ref="L143:Q143"/>
    <mergeCell ref="L139:Q139"/>
    <mergeCell ref="B240:H240"/>
    <mergeCell ref="B1:N1"/>
    <mergeCell ref="E12:F12"/>
    <mergeCell ref="L205:Q205"/>
    <mergeCell ref="L180:Q180"/>
    <mergeCell ref="L118:Q118"/>
    <mergeCell ref="L133:Q133"/>
    <mergeCell ref="L127:Q127"/>
    <mergeCell ref="L216:Q216"/>
    <mergeCell ref="C158:F158"/>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C237:F237"/>
    <mergeCell ref="C229:F229"/>
    <mergeCell ref="C157:F157"/>
    <mergeCell ref="L176:Q176"/>
    <mergeCell ref="L158:Q158"/>
    <mergeCell ref="L164:Q164"/>
    <mergeCell ref="L178:Q178"/>
    <mergeCell ref="L221:Q221"/>
    <mergeCell ref="L182:Q182"/>
    <mergeCell ref="L220:Q220"/>
    <mergeCell ref="C164:D164"/>
    <mergeCell ref="L219:Q219"/>
    <mergeCell ref="L169:Q169"/>
    <mergeCell ref="L179:Q179"/>
    <mergeCell ref="L218:Q218"/>
    <mergeCell ref="L222:Q222"/>
    <mergeCell ref="L207:Q207"/>
    <mergeCell ref="C221:F221"/>
    <mergeCell ref="L211:Q211"/>
    <mergeCell ref="L201:Q201"/>
    <mergeCell ref="L173:Q173"/>
    <mergeCell ref="L203:Q203"/>
    <mergeCell ref="L160:Q160"/>
    <mergeCell ref="L174:Q174"/>
    <mergeCell ref="B2:N2"/>
    <mergeCell ref="L120:Q120"/>
    <mergeCell ref="B4:B5"/>
    <mergeCell ref="L134:Q134"/>
    <mergeCell ref="N4:N5"/>
    <mergeCell ref="L175:Q175"/>
    <mergeCell ref="L140:Q140"/>
    <mergeCell ref="L214:Q214"/>
    <mergeCell ref="L204:Q204"/>
    <mergeCell ref="L126:Q126"/>
    <mergeCell ref="L157:Q157"/>
    <mergeCell ref="L197:Q197"/>
    <mergeCell ref="L206:Q206"/>
    <mergeCell ref="L129:Q129"/>
    <mergeCell ref="L123:Q123"/>
    <mergeCell ref="L138:Q138"/>
    <mergeCell ref="L181:Q181"/>
    <mergeCell ref="L168:Q168"/>
    <mergeCell ref="L177:Q177"/>
    <mergeCell ref="L152:Q152"/>
    <mergeCell ref="L167:Q167"/>
    <mergeCell ref="L213:Q213"/>
    <mergeCell ref="L151:Q151"/>
    <mergeCell ref="G4:G5"/>
    <mergeCell ref="B3:D3"/>
    <mergeCell ref="M4:M5"/>
    <mergeCell ref="L150:Q150"/>
    <mergeCell ref="L125:Q125"/>
    <mergeCell ref="L199:Q199"/>
    <mergeCell ref="L208:Q208"/>
    <mergeCell ref="L217:Q217"/>
    <mergeCell ref="L165:Q165"/>
    <mergeCell ref="C213:F213"/>
    <mergeCell ref="K4:K5"/>
    <mergeCell ref="C205:F205"/>
    <mergeCell ref="L166:Q166"/>
    <mergeCell ref="L141:Q141"/>
    <mergeCell ref="L132:Q132"/>
    <mergeCell ref="L163:Q163"/>
    <mergeCell ref="L215:Q215"/>
    <mergeCell ref="J4:J5"/>
    <mergeCell ref="L4:L5"/>
    <mergeCell ref="L155:Q155"/>
    <mergeCell ref="L135:Q135"/>
    <mergeCell ref="L145:Q145"/>
    <mergeCell ref="L154:Q154"/>
    <mergeCell ref="L212:Q212"/>
    <mergeCell ref="H4:H5"/>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656</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4</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657</v>
      </c>
      <c r="K14" s="172"/>
      <c r="L14" s="172"/>
      <c r="M14" s="172"/>
      <c r="N14" s="172"/>
      <c r="O14" s="173"/>
      <c r="AA14" s="20">
        <f>IF(E31="","",E31)</f>
        <v>200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0</v>
      </c>
      <c r="J15" s="205" t="s">
        <v>658</v>
      </c>
      <c r="K15" s="172"/>
      <c r="L15" s="172"/>
      <c r="M15" s="172"/>
      <c r="N15" s="172"/>
      <c r="O15" s="173"/>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205" t="s">
        <v>659</v>
      </c>
      <c r="K16" s="172"/>
      <c r="L16" s="172"/>
      <c r="M16" s="172"/>
      <c r="N16" s="172"/>
      <c r="O16" s="173"/>
    </row>
    <row r="17" spans="2:29" ht="19.05" customHeight="1" x14ac:dyDescent="0.3">
      <c r="B17" s="89">
        <v>4</v>
      </c>
      <c r="C17" s="21">
        <v>200</v>
      </c>
      <c r="D17" s="21">
        <v>300</v>
      </c>
      <c r="E17" s="21" t="s">
        <v>326</v>
      </c>
      <c r="F17" s="88">
        <f t="shared" si="0"/>
        <v>0</v>
      </c>
      <c r="G17" s="88">
        <f t="shared" si="1"/>
        <v>0</v>
      </c>
      <c r="H17" s="22">
        <v>0</v>
      </c>
      <c r="I17" s="22">
        <v>-8000</v>
      </c>
      <c r="J17" s="205" t="s">
        <v>660</v>
      </c>
      <c r="K17" s="172"/>
      <c r="L17" s="172"/>
      <c r="M17" s="172"/>
      <c r="N17" s="172"/>
      <c r="O17" s="173"/>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-8000</v>
      </c>
      <c r="J18" s="205" t="s">
        <v>661</v>
      </c>
      <c r="K18" s="172"/>
      <c r="L18" s="172"/>
      <c r="M18" s="172"/>
      <c r="N18" s="172"/>
      <c r="O18" s="173"/>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300</v>
      </c>
      <c r="AC23" t="s">
        <v>338</v>
      </c>
    </row>
    <row r="24" spans="2:29" x14ac:dyDescent="0.3">
      <c r="AA24" s="20">
        <f>IF(G34="","",G34)</f>
        <v>800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900-000000000000}">
      <formula1>"Fijo (articulado),Rodillo Y (despl. X libre),Rodillo X (despl. Y libre),Libre (0 reac.)"</formula1>
    </dataValidation>
  </dataValidations>
  <pageMargins left="0.75" right="0.75" top="1" bottom="1" header="0.5" footer="0.5"/>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S33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662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GRAFICA_52!E28</f>
        <v>0</v>
      </c>
      <c r="D6" s="22">
        <f>GRAFICA_52!F28</f>
        <v>0</v>
      </c>
      <c r="E6" s="22">
        <f>GRAFICA_52!G28</f>
        <v>400</v>
      </c>
      <c r="F6" s="22">
        <f>GRAFICA_52!H28</f>
        <v>0</v>
      </c>
      <c r="G6" s="9">
        <f t="shared" ref="G6:H12" si="0">E6-C6</f>
        <v>400</v>
      </c>
      <c r="H6" s="9">
        <f t="shared" si="0"/>
        <v>0</v>
      </c>
      <c r="I6" s="9">
        <f t="shared" ref="I6:I12" si="1">SQRT(G6*G6+H6*H6)</f>
        <v>400</v>
      </c>
      <c r="J6" s="92">
        <f t="shared" ref="J6:J12" si="2">G6/I6</f>
        <v>1</v>
      </c>
      <c r="K6" s="92">
        <f t="shared" ref="K6:K12" si="3">H6/I6</f>
        <v>0</v>
      </c>
      <c r="L6" s="22">
        <f>GRAFICA_52!N28</f>
        <v>12</v>
      </c>
      <c r="M6" s="22">
        <f>GRAFICA_52!O28</f>
        <v>2100000</v>
      </c>
      <c r="N6" s="6">
        <f t="shared" ref="N6:N12" si="4">L6*M6/I6</f>
        <v>63000</v>
      </c>
    </row>
    <row r="7" spans="2:14" ht="19.05" customHeight="1" x14ac:dyDescent="0.3">
      <c r="B7" s="25">
        <v>2</v>
      </c>
      <c r="C7" s="22">
        <f>GRAFICA_52!E29</f>
        <v>400</v>
      </c>
      <c r="D7" s="22">
        <f>GRAFICA_52!F29</f>
        <v>0</v>
      </c>
      <c r="E7" s="22">
        <f>GRAFICA_52!G29</f>
        <v>800</v>
      </c>
      <c r="F7" s="22">
        <f>GRAFICA_52!H29</f>
        <v>0</v>
      </c>
      <c r="G7" s="9">
        <f t="shared" si="0"/>
        <v>400</v>
      </c>
      <c r="H7" s="9">
        <f t="shared" si="0"/>
        <v>0</v>
      </c>
      <c r="I7" s="9">
        <f t="shared" si="1"/>
        <v>400</v>
      </c>
      <c r="J7" s="92">
        <f t="shared" si="2"/>
        <v>1</v>
      </c>
      <c r="K7" s="92">
        <f t="shared" si="3"/>
        <v>0</v>
      </c>
      <c r="L7" s="22">
        <f>GRAFICA_52!N29</f>
        <v>12</v>
      </c>
      <c r="M7" s="22">
        <f>GRAFICA_52!O29</f>
        <v>2100000</v>
      </c>
      <c r="N7" s="6">
        <f t="shared" si="4"/>
        <v>63000</v>
      </c>
    </row>
    <row r="8" spans="2:14" ht="19.05" customHeight="1" x14ac:dyDescent="0.3">
      <c r="B8" s="26">
        <v>3</v>
      </c>
      <c r="C8" s="22">
        <f>GRAFICA_52!E30</f>
        <v>0</v>
      </c>
      <c r="D8" s="22">
        <f>GRAFICA_52!F30</f>
        <v>0</v>
      </c>
      <c r="E8" s="22">
        <f>GRAFICA_52!G30</f>
        <v>200</v>
      </c>
      <c r="F8" s="22">
        <f>GRAFICA_52!H30</f>
        <v>300</v>
      </c>
      <c r="G8" s="9">
        <f t="shared" si="0"/>
        <v>200</v>
      </c>
      <c r="H8" s="9">
        <f t="shared" si="0"/>
        <v>300</v>
      </c>
      <c r="I8" s="9">
        <f t="shared" si="1"/>
        <v>360.55512754639892</v>
      </c>
      <c r="J8" s="92">
        <f t="shared" si="2"/>
        <v>0.55470019622522915</v>
      </c>
      <c r="K8" s="92">
        <f t="shared" si="3"/>
        <v>0.83205029433784372</v>
      </c>
      <c r="L8" s="22">
        <f>GRAFICA_52!N30</f>
        <v>12</v>
      </c>
      <c r="M8" s="22">
        <f>GRAFICA_52!O30</f>
        <v>2100000</v>
      </c>
      <c r="N8" s="6">
        <f t="shared" si="4"/>
        <v>69892.224724378873</v>
      </c>
    </row>
    <row r="9" spans="2:14" ht="19.05" customHeight="1" x14ac:dyDescent="0.3">
      <c r="B9" s="43">
        <v>4</v>
      </c>
      <c r="C9" s="22">
        <f>GRAFICA_52!E31</f>
        <v>200</v>
      </c>
      <c r="D9" s="22">
        <f>GRAFICA_52!F31</f>
        <v>300</v>
      </c>
      <c r="E9" s="22">
        <f>GRAFICA_52!G31</f>
        <v>400</v>
      </c>
      <c r="F9" s="22">
        <f>GRAFICA_52!H31</f>
        <v>0</v>
      </c>
      <c r="G9" s="9">
        <f t="shared" si="0"/>
        <v>200</v>
      </c>
      <c r="H9" s="9">
        <f t="shared" si="0"/>
        <v>-300</v>
      </c>
      <c r="I9" s="9">
        <f t="shared" si="1"/>
        <v>360.55512754639892</v>
      </c>
      <c r="J9" s="92">
        <f t="shared" si="2"/>
        <v>0.55470019622522915</v>
      </c>
      <c r="K9" s="92">
        <f t="shared" si="3"/>
        <v>-0.83205029433784372</v>
      </c>
      <c r="L9" s="22">
        <f>GRAFICA_52!N31</f>
        <v>12</v>
      </c>
      <c r="M9" s="22">
        <f>GRAFICA_52!O31</f>
        <v>2100000</v>
      </c>
      <c r="N9" s="6">
        <f t="shared" si="4"/>
        <v>69892.224724378873</v>
      </c>
    </row>
    <row r="10" spans="2:14" ht="19.05" customHeight="1" x14ac:dyDescent="0.3">
      <c r="B10" s="44">
        <v>5</v>
      </c>
      <c r="C10" s="22">
        <f>GRAFICA_52!E32</f>
        <v>200</v>
      </c>
      <c r="D10" s="22">
        <f>GRAFICA_52!F32</f>
        <v>300</v>
      </c>
      <c r="E10" s="22">
        <f>GRAFICA_52!G32</f>
        <v>600</v>
      </c>
      <c r="F10" s="22">
        <f>GRAFICA_52!H32</f>
        <v>300</v>
      </c>
      <c r="G10" s="9">
        <f t="shared" si="0"/>
        <v>400</v>
      </c>
      <c r="H10" s="9">
        <f t="shared" si="0"/>
        <v>0</v>
      </c>
      <c r="I10" s="9">
        <f t="shared" si="1"/>
        <v>400</v>
      </c>
      <c r="J10" s="92">
        <f t="shared" si="2"/>
        <v>1</v>
      </c>
      <c r="K10" s="92">
        <f t="shared" si="3"/>
        <v>0</v>
      </c>
      <c r="L10" s="22">
        <f>GRAFICA_52!N32</f>
        <v>12</v>
      </c>
      <c r="M10" s="22">
        <f>GRAFICA_52!O32</f>
        <v>2100000</v>
      </c>
      <c r="N10" s="6">
        <f t="shared" si="4"/>
        <v>63000</v>
      </c>
    </row>
    <row r="11" spans="2:14" ht="19.05" customHeight="1" x14ac:dyDescent="0.3">
      <c r="B11" s="51">
        <v>6</v>
      </c>
      <c r="C11" s="22">
        <f>GRAFICA_52!E33</f>
        <v>400</v>
      </c>
      <c r="D11" s="22">
        <f>GRAFICA_52!F33</f>
        <v>0</v>
      </c>
      <c r="E11" s="22">
        <f>GRAFICA_52!G33</f>
        <v>600</v>
      </c>
      <c r="F11" s="22">
        <f>GRAFICA_52!H33</f>
        <v>300</v>
      </c>
      <c r="G11" s="9">
        <f t="shared" si="0"/>
        <v>200</v>
      </c>
      <c r="H11" s="9">
        <f t="shared" si="0"/>
        <v>300</v>
      </c>
      <c r="I11" s="9">
        <f t="shared" si="1"/>
        <v>360.55512754639892</v>
      </c>
      <c r="J11" s="92">
        <f t="shared" si="2"/>
        <v>0.55470019622522915</v>
      </c>
      <c r="K11" s="92">
        <f t="shared" si="3"/>
        <v>0.83205029433784372</v>
      </c>
      <c r="L11" s="22">
        <f>GRAFICA_52!N33</f>
        <v>12</v>
      </c>
      <c r="M11" s="22">
        <f>GRAFICA_52!O33</f>
        <v>2100000</v>
      </c>
      <c r="N11" s="6">
        <f t="shared" si="4"/>
        <v>69892.224724378873</v>
      </c>
    </row>
    <row r="12" spans="2:14" ht="19.05" customHeight="1" x14ac:dyDescent="0.3">
      <c r="B12" s="52">
        <v>7</v>
      </c>
      <c r="C12" s="22">
        <f>GRAFICA_52!E34</f>
        <v>600</v>
      </c>
      <c r="D12" s="22">
        <f>GRAFICA_52!F34</f>
        <v>300</v>
      </c>
      <c r="E12" s="22">
        <f>GRAFICA_52!G34</f>
        <v>800</v>
      </c>
      <c r="F12" s="22">
        <f>GRAFICA_52!H34</f>
        <v>0</v>
      </c>
      <c r="G12" s="9">
        <f t="shared" si="0"/>
        <v>200</v>
      </c>
      <c r="H12" s="9">
        <f t="shared" si="0"/>
        <v>-300</v>
      </c>
      <c r="I12" s="9">
        <f t="shared" si="1"/>
        <v>360.55512754639892</v>
      </c>
      <c r="J12" s="92">
        <f t="shared" si="2"/>
        <v>0.55470019622522915</v>
      </c>
      <c r="K12" s="92">
        <f t="shared" si="3"/>
        <v>-0.83205029433784372</v>
      </c>
      <c r="L12" s="22">
        <f>GRAFICA_52!N34</f>
        <v>12</v>
      </c>
      <c r="M12" s="22">
        <f>GRAFICA_52!O34</f>
        <v>2100000</v>
      </c>
      <c r="N12" s="6">
        <f t="shared" si="4"/>
        <v>69892.224724378873</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GRAFICA_52!C28</f>
        <v>1</v>
      </c>
      <c r="D16" s="23">
        <f>GRAFICA_52!C28</f>
        <v>1</v>
      </c>
      <c r="E16" s="23">
        <f>GRAFICA_52!D28</f>
        <v>2</v>
      </c>
      <c r="F16" s="23">
        <f>GRAFICA_52!D28</f>
        <v>2</v>
      </c>
    </row>
    <row r="17" spans="1:12" ht="19.05" customHeight="1" x14ac:dyDescent="0.3">
      <c r="B17" s="25">
        <v>2</v>
      </c>
      <c r="C17" s="23">
        <f>GRAFICA_52!C29</f>
        <v>2</v>
      </c>
      <c r="D17" s="23">
        <f>GRAFICA_52!C29</f>
        <v>2</v>
      </c>
      <c r="E17" s="23">
        <f>GRAFICA_52!D29</f>
        <v>3</v>
      </c>
      <c r="F17" s="23">
        <f>GRAFICA_52!D29</f>
        <v>3</v>
      </c>
    </row>
    <row r="18" spans="1:12" ht="19.05" customHeight="1" x14ac:dyDescent="0.3">
      <c r="B18" s="26">
        <v>3</v>
      </c>
      <c r="C18" s="23">
        <f>GRAFICA_52!C30</f>
        <v>1</v>
      </c>
      <c r="D18" s="23">
        <f>GRAFICA_52!C30</f>
        <v>1</v>
      </c>
      <c r="E18" s="23">
        <f>GRAFICA_52!D30</f>
        <v>4</v>
      </c>
      <c r="F18" s="23">
        <f>GRAFICA_52!D30</f>
        <v>4</v>
      </c>
    </row>
    <row r="19" spans="1:12" ht="19.05" customHeight="1" x14ac:dyDescent="0.3">
      <c r="B19" s="43">
        <v>4</v>
      </c>
      <c r="C19" s="23">
        <f>GRAFICA_52!C31</f>
        <v>4</v>
      </c>
      <c r="D19" s="23">
        <f>GRAFICA_52!C31</f>
        <v>4</v>
      </c>
      <c r="E19" s="23">
        <f>GRAFICA_52!D31</f>
        <v>2</v>
      </c>
      <c r="F19" s="23">
        <f>GRAFICA_52!D31</f>
        <v>2</v>
      </c>
    </row>
    <row r="20" spans="1:12" ht="19.05" customHeight="1" x14ac:dyDescent="0.3">
      <c r="B20" s="44">
        <v>5</v>
      </c>
      <c r="C20" s="23">
        <f>GRAFICA_52!C32</f>
        <v>4</v>
      </c>
      <c r="D20" s="23">
        <f>GRAFICA_52!C32</f>
        <v>4</v>
      </c>
      <c r="E20" s="23">
        <f>GRAFICA_52!D32</f>
        <v>5</v>
      </c>
      <c r="F20" s="23">
        <f>GRAFICA_52!D32</f>
        <v>5</v>
      </c>
    </row>
    <row r="21" spans="1:12" ht="19.05" customHeight="1" x14ac:dyDescent="0.3">
      <c r="B21" s="51">
        <v>6</v>
      </c>
      <c r="C21" s="23">
        <f>GRAFICA_52!C33</f>
        <v>2</v>
      </c>
      <c r="D21" s="23">
        <f>GRAFICA_52!C33</f>
        <v>2</v>
      </c>
      <c r="E21" s="23">
        <f>GRAFICA_52!D33</f>
        <v>5</v>
      </c>
      <c r="F21" s="23">
        <f>GRAFICA_52!D33</f>
        <v>5</v>
      </c>
    </row>
    <row r="22" spans="1:12" ht="19.05" customHeight="1" x14ac:dyDescent="0.3">
      <c r="B22" s="52">
        <v>7</v>
      </c>
      <c r="C22" s="23">
        <f>GRAFICA_52!C34</f>
        <v>5</v>
      </c>
      <c r="D22" s="23">
        <f>GRAFICA_52!C34</f>
        <v>5</v>
      </c>
      <c r="E22" s="23">
        <f>GRAFICA_52!D34</f>
        <v>3</v>
      </c>
      <c r="F22" s="23">
        <f>GRAFICA_52!D34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IF(GRAFICA_52!F14=1, B172, GRAFICA_52!H14)</f>
        <v>C1X</v>
      </c>
      <c r="N172" s="215" t="s">
        <v>376</v>
      </c>
      <c r="O172" s="172"/>
      <c r="P172" s="172"/>
      <c r="Q172" s="172"/>
      <c r="R172" s="172"/>
      <c r="S172" s="173"/>
    </row>
    <row r="173" spans="1:19" ht="16.95" customHeight="1" x14ac:dyDescent="0.3">
      <c r="B173" s="12" t="s">
        <v>210</v>
      </c>
      <c r="C173" s="12" t="s">
        <v>179</v>
      </c>
      <c r="E173" s="37" t="str">
        <f>IF(GRAFICA_52!G14=1, B173, GRAFICA_52!I14)</f>
        <v>C1Y</v>
      </c>
      <c r="N173" s="215" t="s">
        <v>211</v>
      </c>
      <c r="O173" s="172"/>
      <c r="P173" s="172"/>
      <c r="Q173" s="172"/>
      <c r="R173" s="172"/>
      <c r="S173" s="173"/>
    </row>
    <row r="174" spans="1:19" ht="16.95" customHeight="1" x14ac:dyDescent="0.3">
      <c r="B174" s="12" t="s">
        <v>212</v>
      </c>
      <c r="C174" s="12" t="s">
        <v>180</v>
      </c>
      <c r="E174" s="37">
        <f>IF(GRAFICA_52!F15=1, B174, GRAFICA_52!H15)</f>
        <v>0</v>
      </c>
      <c r="N174" s="215" t="s">
        <v>377</v>
      </c>
      <c r="O174" s="172"/>
      <c r="P174" s="172"/>
      <c r="Q174" s="172"/>
      <c r="R174" s="172"/>
      <c r="S174" s="173"/>
    </row>
    <row r="175" spans="1:19" ht="16.95" customHeight="1" x14ac:dyDescent="0.3">
      <c r="B175" s="12" t="s">
        <v>214</v>
      </c>
      <c r="C175" s="12" t="s">
        <v>181</v>
      </c>
      <c r="E175" s="37" t="str">
        <f>IF(GRAFICA_52!G15=1, B175, GRAFICA_52!I15)</f>
        <v>C2Y</v>
      </c>
      <c r="N175" s="215" t="s">
        <v>215</v>
      </c>
      <c r="O175" s="172"/>
      <c r="P175" s="172"/>
      <c r="Q175" s="172"/>
      <c r="R175" s="172"/>
      <c r="S175" s="173"/>
    </row>
    <row r="176" spans="1:19" ht="16.95" customHeight="1" x14ac:dyDescent="0.3">
      <c r="A176" s="38" t="s">
        <v>218</v>
      </c>
      <c r="B176" s="12" t="s">
        <v>216</v>
      </c>
      <c r="C176" s="12" t="s">
        <v>182</v>
      </c>
      <c r="D176" s="13" t="s">
        <v>220</v>
      </c>
      <c r="E176" s="37">
        <f>IF(GRAFICA_52!F16=1, B176, GRAFICA_52!H16)</f>
        <v>0</v>
      </c>
      <c r="N176" s="215" t="s">
        <v>378</v>
      </c>
      <c r="O176" s="172"/>
      <c r="P176" s="172"/>
      <c r="Q176" s="172"/>
      <c r="R176" s="172"/>
      <c r="S176" s="173"/>
    </row>
    <row r="177" spans="1:19" ht="16.95" customHeight="1" x14ac:dyDescent="0.3">
      <c r="B177" s="12" t="s">
        <v>219</v>
      </c>
      <c r="C177" s="12" t="s">
        <v>183</v>
      </c>
      <c r="E177" s="37" t="str">
        <f>IF(GRAFICA_52!G16=1, B177, GRAFICA_52!I16)</f>
        <v>C3Y</v>
      </c>
      <c r="N177" s="215" t="s">
        <v>379</v>
      </c>
      <c r="O177" s="172"/>
      <c r="P177" s="172"/>
      <c r="Q177" s="172"/>
      <c r="R177" s="172"/>
      <c r="S177" s="173"/>
    </row>
    <row r="178" spans="1:19" ht="16.95" customHeight="1" x14ac:dyDescent="0.3">
      <c r="B178" s="12" t="s">
        <v>221</v>
      </c>
      <c r="C178" s="12" t="s">
        <v>184</v>
      </c>
      <c r="E178" s="37">
        <f>IF(GRAFICA_52!F17=1, B178, GRAFICA_52!H17)</f>
        <v>0</v>
      </c>
      <c r="N178" s="215"/>
      <c r="O178" s="172"/>
      <c r="P178" s="172"/>
      <c r="Q178" s="172"/>
      <c r="R178" s="172"/>
      <c r="S178" s="173"/>
    </row>
    <row r="179" spans="1:19" ht="16.95" customHeight="1" x14ac:dyDescent="0.3">
      <c r="B179" s="12" t="s">
        <v>222</v>
      </c>
      <c r="C179" s="12" t="s">
        <v>185</v>
      </c>
      <c r="E179" s="37">
        <f>IF(GRAFICA_52!G17=1, B179, GRAFICA_52!I17)</f>
        <v>-8000</v>
      </c>
      <c r="N179" s="215"/>
      <c r="O179" s="172"/>
      <c r="P179" s="172"/>
      <c r="Q179" s="172"/>
      <c r="R179" s="172"/>
      <c r="S179" s="173"/>
    </row>
    <row r="180" spans="1:19" ht="16.95" customHeight="1" x14ac:dyDescent="0.3">
      <c r="B180" s="12" t="s">
        <v>223</v>
      </c>
      <c r="C180" s="12" t="s">
        <v>186</v>
      </c>
      <c r="E180" s="37">
        <f>IF(GRAFICA_52!F18=1, B180, GRAFICA_52!H18)</f>
        <v>0</v>
      </c>
      <c r="N180" s="215"/>
      <c r="O180" s="172"/>
      <c r="P180" s="172"/>
      <c r="Q180" s="172"/>
      <c r="R180" s="172"/>
      <c r="S180" s="173"/>
    </row>
    <row r="181" spans="1:19" ht="16.95" customHeight="1" x14ac:dyDescent="0.3">
      <c r="B181" s="12" t="s">
        <v>224</v>
      </c>
      <c r="C181" s="12" t="s">
        <v>187</v>
      </c>
      <c r="E181" s="37">
        <f>IF(GRAFICA_52!G18=1, B181, GRAFICA_52!I18)</f>
        <v>-8000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IF(GRAFICA_52!F14=1,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IF(GRAFICA_52!G14=1,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IF(GRAFICA_52!F15=1,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f>IF(GRAFICA_52!G15=1, 0, B187)</f>
        <v>0</v>
      </c>
      <c r="F187" s="14" t="str">
        <f>IF(E187&lt;&gt;0, COUNTIF(E$184:E187, "&lt;&gt;0"), "")</f>
        <v/>
      </c>
      <c r="G187" s="14">
        <f>IF(E187=0, COUNTIF(E$184:E187, 0), "")</f>
        <v>3</v>
      </c>
      <c r="N187" s="215"/>
      <c r="O187" s="172"/>
      <c r="P187" s="172"/>
      <c r="Q187" s="172"/>
      <c r="R187" s="172"/>
      <c r="S187" s="173"/>
    </row>
    <row r="188" spans="1:19" ht="16.95" customHeight="1" x14ac:dyDescent="0.3">
      <c r="A188" s="38" t="s">
        <v>233</v>
      </c>
      <c r="B188" s="12" t="s">
        <v>232</v>
      </c>
      <c r="C188" s="12" t="s">
        <v>182</v>
      </c>
      <c r="D188" s="13" t="s">
        <v>220</v>
      </c>
      <c r="E188" s="39" t="str">
        <f>IF(GRAFICA_52!F16=1, 0, B188)</f>
        <v>D3X</v>
      </c>
      <c r="F188" s="14">
        <f>IF(E188&lt;&gt;0, COUNTIF(E$184:E188, "&lt;&gt;0"), "")</f>
        <v>2</v>
      </c>
      <c r="G188" s="14" t="str">
        <f>IF(E188=0, COUNTIF(E$184:E188, 0), "")</f>
        <v/>
      </c>
      <c r="N188" s="215"/>
      <c r="O188" s="172"/>
      <c r="P188" s="172"/>
      <c r="Q188" s="172"/>
      <c r="R188" s="172"/>
      <c r="S188" s="173"/>
    </row>
    <row r="189" spans="1:19" ht="16.95" customHeight="1" x14ac:dyDescent="0.3">
      <c r="B189" s="12" t="s">
        <v>234</v>
      </c>
      <c r="C189" s="12" t="s">
        <v>183</v>
      </c>
      <c r="E189" s="39">
        <f>IF(GRAFICA_52!G16=1, 0, B189)</f>
        <v>0</v>
      </c>
      <c r="F189" s="14" t="str">
        <f>IF(E189&lt;&gt;0, COUNTIF(E$184:E189, "&lt;&gt;0"), "")</f>
        <v/>
      </c>
      <c r="G189" s="14">
        <f>IF(E189=0, COUNTIF(E$184:E189, 0), "")</f>
        <v>4</v>
      </c>
      <c r="N189" s="215"/>
      <c r="O189" s="172"/>
      <c r="P189" s="172"/>
      <c r="Q189" s="172"/>
      <c r="R189" s="172"/>
      <c r="S189" s="173"/>
    </row>
    <row r="190" spans="1:19" ht="16.95" customHeight="1" x14ac:dyDescent="0.3">
      <c r="B190" s="12" t="s">
        <v>235</v>
      </c>
      <c r="C190" s="12" t="s">
        <v>184</v>
      </c>
      <c r="E190" s="39" t="str">
        <f>IF(GRAFICA_52!F17=1, 0, B190)</f>
        <v>D4X</v>
      </c>
      <c r="F190" s="14">
        <f>IF(E190&lt;&gt;0, COUNTIF(E$184:E190, "&lt;&gt;0"), "")</f>
        <v>3</v>
      </c>
      <c r="G190" s="14" t="str">
        <f>IF(E190=0, COUNTIF(E$184:E190, 0), "")</f>
        <v/>
      </c>
      <c r="N190" s="215"/>
      <c r="O190" s="172"/>
      <c r="P190" s="172"/>
      <c r="Q190" s="172"/>
      <c r="R190" s="172"/>
      <c r="S190" s="173"/>
    </row>
    <row r="191" spans="1:19" ht="16.95" customHeight="1" x14ac:dyDescent="0.3">
      <c r="B191" s="12" t="s">
        <v>236</v>
      </c>
      <c r="C191" s="12" t="s">
        <v>185</v>
      </c>
      <c r="E191" s="39" t="str">
        <f>IF(GRAFICA_52!G17=1, 0, B191)</f>
        <v>D4Y</v>
      </c>
      <c r="F191" s="14">
        <f>IF(E191&lt;&gt;0, COUNTIF(E$184:E191, "&lt;&gt;0"), "")</f>
        <v>4</v>
      </c>
      <c r="G191" s="14" t="str">
        <f>IF(E191=0, COUNTIF(E$184:E191, 0), "")</f>
        <v/>
      </c>
      <c r="N191" s="215"/>
      <c r="O191" s="172"/>
      <c r="P191" s="172"/>
      <c r="Q191" s="172"/>
      <c r="R191" s="172"/>
      <c r="S191" s="173"/>
    </row>
    <row r="192" spans="1:19" ht="16.95" customHeight="1" x14ac:dyDescent="0.3">
      <c r="B192" s="12" t="s">
        <v>237</v>
      </c>
      <c r="C192" s="12" t="s">
        <v>186</v>
      </c>
      <c r="E192" s="39" t="str">
        <f>IF(GRAFICA_52!F18=1, 0, B192)</f>
        <v>D5X</v>
      </c>
      <c r="F192" s="14">
        <f>IF(E192&lt;&gt;0, COUNTIF(E$184:E192, "&lt;&gt;0"), "")</f>
        <v>5</v>
      </c>
      <c r="G192" s="14" t="str">
        <f>IF(E192=0, COUNTIF(E$184:E192, 0), "")</f>
        <v/>
      </c>
      <c r="N192" s="215"/>
      <c r="O192" s="172"/>
      <c r="P192" s="172"/>
      <c r="Q192" s="172"/>
      <c r="R192" s="172"/>
      <c r="S192" s="173"/>
    </row>
    <row r="193" spans="1:19" ht="16.95" customHeight="1" x14ac:dyDescent="0.3">
      <c r="B193" s="12" t="s">
        <v>238</v>
      </c>
      <c r="C193" s="12" t="s">
        <v>187</v>
      </c>
      <c r="E193" s="39" t="str">
        <f>IF(GRAFICA_52!G18=1, 0, B193)</f>
        <v>D5Y</v>
      </c>
      <c r="F193" s="14">
        <f>IF(E193&lt;&gt;0, COUNTIF(E$184:E193, "&lt;&gt;0"), "")</f>
        <v>6</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-63000</v>
      </c>
      <c r="D200" s="9">
        <f t="shared" si="25"/>
        <v>0</v>
      </c>
      <c r="E200" s="41">
        <f t="shared" si="25"/>
        <v>169010.59983038699</v>
      </c>
      <c r="F200" s="9">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215" t="s">
        <v>254</v>
      </c>
      <c r="O200" s="172"/>
      <c r="P200" s="172"/>
      <c r="Q200" s="172"/>
      <c r="R200" s="172"/>
      <c r="S200" s="173"/>
    </row>
    <row r="201" spans="1:19" ht="16.95" customHeight="1" x14ac:dyDescent="0.3">
      <c r="A201" s="12" t="str">
        <f t="shared" si="22"/>
        <v>C2Y</v>
      </c>
      <c r="C201" s="9">
        <f t="shared" ref="C201:L201" si="26">B162</f>
        <v>0</v>
      </c>
      <c r="D201" s="9">
        <f t="shared" si="26"/>
        <v>0</v>
      </c>
      <c r="E201" s="9">
        <f t="shared" si="26"/>
        <v>0</v>
      </c>
      <c r="F201" s="9">
        <f t="shared" si="26"/>
        <v>96773.849618370761</v>
      </c>
      <c r="G201" s="9">
        <f t="shared" si="26"/>
        <v>0</v>
      </c>
      <c r="H201" s="9">
        <f t="shared" si="26"/>
        <v>0</v>
      </c>
      <c r="I201" s="9">
        <f t="shared" si="26"/>
        <v>32257.94987279025</v>
      </c>
      <c r="J201" s="9">
        <f t="shared" si="26"/>
        <v>-48386.924809185381</v>
      </c>
      <c r="K201" s="9">
        <f t="shared" si="26"/>
        <v>-32257.94987279025</v>
      </c>
      <c r="L201" s="9">
        <f t="shared" si="26"/>
        <v>-48386.924809185381</v>
      </c>
      <c r="M201" s="13" t="s">
        <v>251</v>
      </c>
      <c r="N201" s="219" t="s">
        <v>381</v>
      </c>
      <c r="O201" s="172"/>
      <c r="P201" s="172"/>
      <c r="Q201" s="172"/>
      <c r="R201" s="172"/>
      <c r="S201" s="173"/>
    </row>
    <row r="202" spans="1:19" ht="16.95" customHeight="1" x14ac:dyDescent="0.3">
      <c r="A202" s="41">
        <f t="shared" si="22"/>
        <v>0</v>
      </c>
      <c r="C202" s="9">
        <f t="shared" ref="C202:L202" si="27">B163</f>
        <v>0</v>
      </c>
      <c r="D202" s="9">
        <f t="shared" si="27"/>
        <v>0</v>
      </c>
      <c r="E202" s="41">
        <f t="shared" si="27"/>
        <v>-63000</v>
      </c>
      <c r="F202" s="9">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219">
        <f>E189</f>
        <v>0</v>
      </c>
      <c r="O203" s="172"/>
      <c r="P203" s="172"/>
      <c r="Q203" s="172"/>
      <c r="R203" s="172"/>
      <c r="S203" s="173"/>
    </row>
    <row r="204" spans="1:19" ht="16.95" customHeight="1" x14ac:dyDescent="0.3">
      <c r="A204" s="41">
        <f t="shared" si="22"/>
        <v>0</v>
      </c>
      <c r="C204" s="9">
        <f t="shared" ref="C204:L204" si="29">B165</f>
        <v>-21505.2999151935</v>
      </c>
      <c r="D204" s="9">
        <f t="shared" si="29"/>
        <v>-32257.94987279025</v>
      </c>
      <c r="E204" s="41">
        <f t="shared" si="29"/>
        <v>-21505.2999151935</v>
      </c>
      <c r="F204" s="9">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215" t="str">
        <f>E190</f>
        <v>D4X</v>
      </c>
      <c r="O204" s="172"/>
      <c r="P204" s="172"/>
      <c r="Q204" s="172"/>
      <c r="R204" s="172"/>
      <c r="S204" s="173"/>
    </row>
    <row r="205" spans="1:19" ht="16.95" customHeight="1" x14ac:dyDescent="0.3">
      <c r="A205" s="41">
        <f t="shared" si="22"/>
        <v>-8000</v>
      </c>
      <c r="C205" s="9">
        <f t="shared" ref="C205:L205" si="30">B166</f>
        <v>-32257.94987279025</v>
      </c>
      <c r="D205" s="9">
        <f t="shared" si="30"/>
        <v>-48386.924809185381</v>
      </c>
      <c r="E205" s="41">
        <f t="shared" si="30"/>
        <v>32257.94987279025</v>
      </c>
      <c r="F205" s="9">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-21505.2999151935</v>
      </c>
      <c r="F206" s="9">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215" t="str">
        <f>E192</f>
        <v>D5X</v>
      </c>
      <c r="O206" s="172"/>
      <c r="P206" s="172"/>
      <c r="Q206" s="172"/>
      <c r="R206" s="172"/>
      <c r="S206" s="173"/>
    </row>
    <row r="207" spans="1:19" ht="16.95" customHeight="1" x14ac:dyDescent="0.3">
      <c r="A207" s="41">
        <f t="shared" si="22"/>
        <v>-8000</v>
      </c>
      <c r="C207" s="9">
        <f t="shared" ref="C207:L207" si="32">B168</f>
        <v>0</v>
      </c>
      <c r="D207" s="9">
        <f t="shared" si="32"/>
        <v>0</v>
      </c>
      <c r="E207" s="41">
        <f t="shared" si="32"/>
        <v>-32257.94987279025</v>
      </c>
      <c r="F207" s="9">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U3X</v>
      </c>
      <c r="E211" s="38" t="str">
        <f>INDEX(C$184:C$193, MATCH(3, F$184:F$193, 0))</f>
        <v>U4X</v>
      </c>
      <c r="F211" s="38" t="str">
        <f>INDEX(C$184:C$193, MATCH(4, F$184:F$193, 0))</f>
        <v>U4Y</v>
      </c>
      <c r="G211" s="38" t="str">
        <f>INDEX(C$184:C$193, MATCH(5, F$184:F$193, 0))</f>
        <v>U5X</v>
      </c>
      <c r="H211" s="38" t="str">
        <f>INDEX(C$184:C$193, MATCH(6, F$184:F$193, 0))</f>
        <v>U5Y</v>
      </c>
      <c r="N211" s="215" t="s">
        <v>383</v>
      </c>
      <c r="O211" s="172"/>
      <c r="P211" s="172"/>
      <c r="Q211" s="172"/>
      <c r="R211" s="172"/>
      <c r="S211" s="173"/>
    </row>
    <row r="212" spans="1:19" ht="16.95" customHeight="1" x14ac:dyDescent="0.3">
      <c r="A212" s="41">
        <f t="shared" ref="A212:A217" si="33">INDEX(E$172:E$181, MATCH(K212, C$172:C$181, 0))</f>
        <v>0</v>
      </c>
      <c r="C212" s="41">
        <f t="shared" ref="C212:H217" si="34">INDEX($B$159:$K$168, MATCH($K212, $L$159:$L$168, 0), MATCH(C$211, $B$158:$K$158, 0))</f>
        <v>169010.59983038699</v>
      </c>
      <c r="D212" s="41">
        <f t="shared" si="34"/>
        <v>-63000</v>
      </c>
      <c r="E212" s="41">
        <f t="shared" si="34"/>
        <v>-21505.2999151935</v>
      </c>
      <c r="F212" s="41">
        <f t="shared" si="34"/>
        <v>32257.94987279025</v>
      </c>
      <c r="G212" s="41">
        <f t="shared" si="34"/>
        <v>-21505.2999151935</v>
      </c>
      <c r="H212" s="41">
        <f t="shared" si="34"/>
        <v>-32257.94987279025</v>
      </c>
      <c r="I212" s="13" t="s">
        <v>251</v>
      </c>
      <c r="J212" s="38" t="str">
        <f>INDEX(B$184:B$193, MATCH(1, F$184:F$193, 0))</f>
        <v>D2X</v>
      </c>
      <c r="K212" s="14" t="str">
        <f>INDEX(C$184:C$193, MATCH(1, F$184:F$193, 0))</f>
        <v>U2X</v>
      </c>
      <c r="N212" s="215" t="s">
        <v>384</v>
      </c>
      <c r="O212" s="172"/>
      <c r="P212" s="172"/>
      <c r="Q212" s="172"/>
      <c r="R212" s="172"/>
      <c r="S212" s="173"/>
    </row>
    <row r="213" spans="1:19" ht="16.95" customHeight="1" x14ac:dyDescent="0.3">
      <c r="A213" s="41">
        <f t="shared" si="33"/>
        <v>0</v>
      </c>
      <c r="C213" s="41">
        <f t="shared" si="34"/>
        <v>-63000</v>
      </c>
      <c r="D213" s="41">
        <f t="shared" si="34"/>
        <v>84505.299915193493</v>
      </c>
      <c r="E213" s="41">
        <f t="shared" si="34"/>
        <v>0</v>
      </c>
      <c r="F213" s="41">
        <f t="shared" si="34"/>
        <v>0</v>
      </c>
      <c r="G213" s="41">
        <f t="shared" si="34"/>
        <v>-21505.2999151935</v>
      </c>
      <c r="H213" s="41">
        <f t="shared" si="34"/>
        <v>32257.94987279025</v>
      </c>
      <c r="I213" s="13" t="s">
        <v>251</v>
      </c>
      <c r="J213" s="38" t="str">
        <f>INDEX(B$184:B$193, MATCH(2, F$184:F$193, 0))</f>
        <v>D3X</v>
      </c>
      <c r="K213" s="14" t="str">
        <f>INDEX(C$184:C$193, MATCH(2, F$184:F$193, 0))</f>
        <v>U3X</v>
      </c>
      <c r="N213" s="215" t="s">
        <v>385</v>
      </c>
      <c r="O213" s="172"/>
      <c r="P213" s="172"/>
      <c r="Q213" s="172"/>
      <c r="R213" s="172"/>
      <c r="S213" s="173"/>
    </row>
    <row r="214" spans="1:19" ht="16.95" customHeight="1" x14ac:dyDescent="0.3">
      <c r="A214" s="41">
        <f t="shared" si="33"/>
        <v>0</v>
      </c>
      <c r="C214" s="41">
        <f t="shared" si="34"/>
        <v>-21505.2999151935</v>
      </c>
      <c r="D214" s="41">
        <f t="shared" si="34"/>
        <v>0</v>
      </c>
      <c r="E214" s="41">
        <f t="shared" si="34"/>
        <v>106010.599830387</v>
      </c>
      <c r="F214" s="41">
        <f t="shared" si="34"/>
        <v>0</v>
      </c>
      <c r="G214" s="41">
        <f t="shared" si="34"/>
        <v>-63000</v>
      </c>
      <c r="H214" s="41">
        <f t="shared" si="34"/>
        <v>0</v>
      </c>
      <c r="I214" s="13" t="s">
        <v>251</v>
      </c>
      <c r="J214" s="38" t="str">
        <f>INDEX(B$184:B$193, MATCH(3, F$184:F$193, 0))</f>
        <v>D4X</v>
      </c>
      <c r="K214" s="14" t="str">
        <f>INDEX(C$184:C$193, MATCH(3, F$184:F$193, 0))</f>
        <v>U4X</v>
      </c>
      <c r="N214" s="215" t="s">
        <v>386</v>
      </c>
      <c r="O214" s="172"/>
      <c r="P214" s="172"/>
      <c r="Q214" s="172"/>
      <c r="R214" s="172"/>
      <c r="S214" s="173"/>
    </row>
    <row r="215" spans="1:19" ht="16.95" customHeight="1" x14ac:dyDescent="0.3">
      <c r="A215" s="41">
        <f t="shared" si="33"/>
        <v>-8000</v>
      </c>
      <c r="B215" s="13" t="s">
        <v>220</v>
      </c>
      <c r="C215" s="41">
        <f t="shared" si="34"/>
        <v>32257.94987279025</v>
      </c>
      <c r="D215" s="41">
        <f t="shared" si="34"/>
        <v>0</v>
      </c>
      <c r="E215" s="41">
        <f t="shared" si="34"/>
        <v>0</v>
      </c>
      <c r="F215" s="41">
        <f t="shared" si="34"/>
        <v>96773.849618370761</v>
      </c>
      <c r="G215" s="41">
        <f t="shared" si="34"/>
        <v>0</v>
      </c>
      <c r="H215" s="41">
        <f t="shared" si="34"/>
        <v>0</v>
      </c>
      <c r="I215" s="13" t="s">
        <v>251</v>
      </c>
      <c r="J215" s="38" t="str">
        <f>INDEX(B$184:B$193, MATCH(4, F$184:F$193, 0))</f>
        <v>D4Y</v>
      </c>
      <c r="K215" s="14" t="str">
        <f>INDEX(C$184:C$193, MATCH(4, F$184:F$193, 0))</f>
        <v>U4Y</v>
      </c>
      <c r="N215" s="215" t="s">
        <v>387</v>
      </c>
      <c r="O215" s="172"/>
      <c r="P215" s="172"/>
      <c r="Q215" s="172"/>
      <c r="R215" s="172"/>
      <c r="S215" s="173"/>
    </row>
    <row r="216" spans="1:19" ht="16.95" customHeight="1" x14ac:dyDescent="0.3">
      <c r="A216" s="41">
        <f t="shared" si="33"/>
        <v>0</v>
      </c>
      <c r="C216" s="41">
        <f t="shared" si="34"/>
        <v>-21505.2999151935</v>
      </c>
      <c r="D216" s="41">
        <f t="shared" si="34"/>
        <v>-21505.2999151935</v>
      </c>
      <c r="E216" s="41">
        <f t="shared" si="34"/>
        <v>-63000</v>
      </c>
      <c r="F216" s="41">
        <f t="shared" si="34"/>
        <v>0</v>
      </c>
      <c r="G216" s="41">
        <f t="shared" si="34"/>
        <v>106010.59983038699</v>
      </c>
      <c r="H216" s="41">
        <f t="shared" si="34"/>
        <v>0</v>
      </c>
      <c r="I216" s="13" t="s">
        <v>251</v>
      </c>
      <c r="J216" s="38" t="str">
        <f>INDEX(B$184:B$193, MATCH(5, F$184:F$193, 0))</f>
        <v>D5X</v>
      </c>
      <c r="K216" s="14" t="str">
        <f>INDEX(C$184:C$193, MATCH(5, F$184:F$193, 0))</f>
        <v>U5X</v>
      </c>
      <c r="N216" s="215" t="s">
        <v>388</v>
      </c>
      <c r="O216" s="172"/>
      <c r="P216" s="172"/>
      <c r="Q216" s="172"/>
      <c r="R216" s="172"/>
      <c r="S216" s="173"/>
    </row>
    <row r="217" spans="1:19" ht="16.95" customHeight="1" x14ac:dyDescent="0.3">
      <c r="A217" s="41">
        <f t="shared" si="33"/>
        <v>-8000</v>
      </c>
      <c r="C217" s="41">
        <f t="shared" si="34"/>
        <v>-32257.94987279025</v>
      </c>
      <c r="D217" s="41">
        <f t="shared" si="34"/>
        <v>32257.94987279025</v>
      </c>
      <c r="E217" s="41">
        <f t="shared" si="34"/>
        <v>0</v>
      </c>
      <c r="F217" s="41">
        <f t="shared" si="34"/>
        <v>0</v>
      </c>
      <c r="G217" s="41">
        <f t="shared" si="34"/>
        <v>0</v>
      </c>
      <c r="H217" s="41">
        <f t="shared" si="34"/>
        <v>96773.849618370761</v>
      </c>
      <c r="I217" s="13" t="s">
        <v>251</v>
      </c>
      <c r="J217" s="38" t="str">
        <f>INDEX(B$184:B$193, MATCH(6, F$184:F$193, 0))</f>
        <v>D5Y</v>
      </c>
      <c r="K217" s="14" t="str">
        <f>INDEX(C$184:C$193, MATCH(6, F$184:F$193, 0))</f>
        <v>U5Y</v>
      </c>
      <c r="N217" s="215"/>
      <c r="O217" s="172"/>
      <c r="P217" s="172"/>
      <c r="Q217" s="172"/>
      <c r="R217" s="172"/>
      <c r="S217" s="173"/>
    </row>
    <row r="218" spans="1:19" ht="16.95" customHeight="1" x14ac:dyDescent="0.3">
      <c r="N218" s="215"/>
      <c r="O218" s="172"/>
      <c r="P218" s="172"/>
      <c r="Q218" s="172"/>
      <c r="R218" s="172"/>
      <c r="S218" s="173"/>
    </row>
    <row r="219" spans="1:19" ht="16.95" customHeight="1" x14ac:dyDescent="0.3">
      <c r="C219" s="218" t="s">
        <v>263</v>
      </c>
      <c r="D219" s="172"/>
      <c r="E219" s="172"/>
      <c r="F219" s="172"/>
      <c r="G219" s="172"/>
      <c r="H219" s="173"/>
      <c r="N219" s="215"/>
      <c r="O219" s="172"/>
      <c r="P219" s="172"/>
      <c r="Q219" s="172"/>
      <c r="R219" s="172"/>
      <c r="S219" s="173"/>
    </row>
    <row r="220" spans="1:19" ht="16.95" customHeight="1" x14ac:dyDescent="0.3">
      <c r="A220" s="99" t="s">
        <v>249</v>
      </c>
      <c r="C220" s="193" t="s">
        <v>264</v>
      </c>
      <c r="D220" s="175"/>
      <c r="E220" s="175"/>
      <c r="F220" s="175"/>
      <c r="G220" s="175"/>
      <c r="H220" s="175"/>
      <c r="J220" s="99" t="s">
        <v>247</v>
      </c>
      <c r="N220" s="215"/>
      <c r="O220" s="172"/>
      <c r="P220" s="172"/>
      <c r="Q220" s="172"/>
      <c r="R220" s="172"/>
      <c r="S220" s="173"/>
    </row>
    <row r="221" spans="1:19" ht="16.95" customHeight="1" x14ac:dyDescent="0.3">
      <c r="A221" s="12" t="str">
        <f t="shared" ref="A221:A226" si="35">J212</f>
        <v>D2X</v>
      </c>
      <c r="C221" s="93">
        <f t="array" ref="C221:H226">MINVERSE(C212:H217)</f>
        <v>1.497714847464208E-5</v>
      </c>
      <c r="D221" s="93">
        <v>1.4081281076268278E-5</v>
      </c>
      <c r="E221" s="93">
        <v>1.0113027108014311E-5</v>
      </c>
      <c r="F221" s="93">
        <v>-4.9923828248806926E-6</v>
      </c>
      <c r="G221" s="93">
        <v>1.1904761904761905E-5</v>
      </c>
      <c r="H221" s="93">
        <v>2.986224661245994E-7</v>
      </c>
      <c r="J221" s="17">
        <f t="shared" ref="J221:J226" si="36">A212</f>
        <v>0</v>
      </c>
      <c r="N221" s="215"/>
      <c r="O221" s="172"/>
      <c r="P221" s="172"/>
      <c r="Q221" s="172"/>
      <c r="R221" s="172"/>
      <c r="S221" s="173"/>
    </row>
    <row r="222" spans="1:19" ht="16.95" customHeight="1" x14ac:dyDescent="0.3">
      <c r="A222" s="12" t="str">
        <f t="shared" si="35"/>
        <v>D3X</v>
      </c>
      <c r="C222" s="93">
        <v>1.408128107626828E-5</v>
      </c>
      <c r="D222" s="93">
        <v>2.8162562152536556E-5</v>
      </c>
      <c r="E222" s="93">
        <v>1.228954627952068E-5</v>
      </c>
      <c r="F222" s="93">
        <v>-4.6937603587560915E-6</v>
      </c>
      <c r="G222" s="93">
        <v>1.5873015873015872E-5</v>
      </c>
      <c r="H222" s="93">
        <v>-4.6937603587560924E-6</v>
      </c>
      <c r="J222" s="17">
        <f t="shared" si="36"/>
        <v>0</v>
      </c>
      <c r="N222" s="215"/>
      <c r="O222" s="172"/>
      <c r="P222" s="172"/>
      <c r="Q222" s="172"/>
      <c r="R222" s="172"/>
      <c r="S222" s="173"/>
    </row>
    <row r="223" spans="1:19" ht="16.95" customHeight="1" x14ac:dyDescent="0.3">
      <c r="A223" s="12" t="str">
        <f t="shared" si="35"/>
        <v>D4X</v>
      </c>
      <c r="C223" s="93">
        <v>1.0113027108014309E-5</v>
      </c>
      <c r="D223" s="93">
        <v>1.228954627952068E-5</v>
      </c>
      <c r="E223" s="93">
        <v>2.1930460610133736E-5</v>
      </c>
      <c r="F223" s="93">
        <v>-3.371009036004769E-6</v>
      </c>
      <c r="G223" s="93">
        <v>1.7577422267120994E-5</v>
      </c>
      <c r="H223" s="93">
        <v>-7.2550639050212407E-7</v>
      </c>
      <c r="J223" s="17">
        <f t="shared" si="36"/>
        <v>0</v>
      </c>
      <c r="N223" s="215"/>
      <c r="O223" s="172"/>
      <c r="P223" s="172"/>
      <c r="Q223" s="172"/>
      <c r="R223" s="172"/>
      <c r="S223" s="173"/>
    </row>
    <row r="224" spans="1:19" ht="16.95" customHeight="1" x14ac:dyDescent="0.3">
      <c r="A224" s="12" t="str">
        <f t="shared" si="35"/>
        <v>D4Y</v>
      </c>
      <c r="B224" s="13" t="s">
        <v>220</v>
      </c>
      <c r="C224" s="93">
        <v>-4.9923828248806926E-6</v>
      </c>
      <c r="D224" s="93">
        <v>-4.6937603587560932E-6</v>
      </c>
      <c r="E224" s="93">
        <v>-3.3710090360047694E-6</v>
      </c>
      <c r="F224" s="93">
        <v>1.199749766584027E-5</v>
      </c>
      <c r="G224" s="93">
        <v>-3.9682539682539681E-6</v>
      </c>
      <c r="H224" s="93">
        <v>-9.9540822041533116E-8</v>
      </c>
      <c r="J224" s="17">
        <f t="shared" si="36"/>
        <v>-8000</v>
      </c>
      <c r="N224" s="215"/>
      <c r="O224" s="172"/>
      <c r="P224" s="172"/>
      <c r="Q224" s="172"/>
      <c r="R224" s="172"/>
      <c r="S224" s="173"/>
    </row>
    <row r="225" spans="1:19" ht="16.95" customHeight="1" x14ac:dyDescent="0.3">
      <c r="A225" s="12" t="str">
        <f t="shared" si="35"/>
        <v>D5X</v>
      </c>
      <c r="C225" s="93">
        <v>1.1904761904761907E-5</v>
      </c>
      <c r="D225" s="93">
        <v>1.5873015873015876E-5</v>
      </c>
      <c r="E225" s="93">
        <v>1.7577422267120997E-5</v>
      </c>
      <c r="F225" s="93">
        <v>-3.9682539682539681E-6</v>
      </c>
      <c r="G225" s="93">
        <v>2.5513930203628931E-5</v>
      </c>
      <c r="H225" s="93">
        <v>-1.3227513227513234E-6</v>
      </c>
      <c r="J225" s="17">
        <f t="shared" si="36"/>
        <v>0</v>
      </c>
      <c r="N225" s="215"/>
      <c r="O225" s="172"/>
      <c r="P225" s="172"/>
      <c r="Q225" s="172"/>
      <c r="R225" s="172"/>
      <c r="S225" s="173"/>
    </row>
    <row r="226" spans="1:19" ht="16.95" customHeight="1" x14ac:dyDescent="0.3">
      <c r="A226" s="12" t="str">
        <f t="shared" si="35"/>
        <v>D5Y</v>
      </c>
      <c r="C226" s="93">
        <v>2.9862246612459956E-7</v>
      </c>
      <c r="D226" s="93">
        <v>-4.6937603587560924E-6</v>
      </c>
      <c r="E226" s="93">
        <v>-7.2550639050212354E-7</v>
      </c>
      <c r="F226" s="93">
        <v>-9.9540822041533288E-8</v>
      </c>
      <c r="G226" s="93">
        <v>-1.3227513227513228E-6</v>
      </c>
      <c r="H226" s="93">
        <v>1.199749766584027E-5</v>
      </c>
      <c r="J226" s="17">
        <f t="shared" si="36"/>
        <v>-8000</v>
      </c>
      <c r="N226" s="215"/>
      <c r="O226" s="172"/>
      <c r="P226" s="172"/>
      <c r="Q226" s="172"/>
      <c r="R226" s="172"/>
      <c r="S226" s="173"/>
    </row>
    <row r="227" spans="1:19" ht="16.95" customHeight="1" x14ac:dyDescent="0.3">
      <c r="N227" s="215"/>
      <c r="O227" s="172"/>
      <c r="P227" s="172"/>
      <c r="Q227" s="172"/>
      <c r="R227" s="172"/>
      <c r="S227" s="173"/>
    </row>
    <row r="228" spans="1:19" ht="16.95" customHeight="1" x14ac:dyDescent="0.3">
      <c r="C228" s="218" t="s">
        <v>265</v>
      </c>
      <c r="D228" s="173"/>
      <c r="N228" s="215"/>
      <c r="O228" s="172"/>
      <c r="P228" s="172"/>
      <c r="Q228" s="172"/>
      <c r="R228" s="172"/>
      <c r="S228" s="173"/>
    </row>
    <row r="229" spans="1:19" ht="16.95" customHeight="1" x14ac:dyDescent="0.3">
      <c r="A229" s="99" t="s">
        <v>249</v>
      </c>
      <c r="C229" s="99" t="s">
        <v>266</v>
      </c>
      <c r="N229" s="215"/>
      <c r="O229" s="172"/>
      <c r="P229" s="172"/>
      <c r="Q229" s="172"/>
      <c r="R229" s="172"/>
      <c r="S229" s="173"/>
    </row>
    <row r="230" spans="1:19" ht="16.95" customHeight="1" x14ac:dyDescent="0.3">
      <c r="A230" s="12" t="str">
        <f t="shared" ref="A230:A235" si="37">A221</f>
        <v>D2X</v>
      </c>
      <c r="C230" s="94">
        <f t="array" ref="C230:C235">MMULT(C221:H226, J221:J226)</f>
        <v>3.7550082870048747E-2</v>
      </c>
      <c r="D230" s="12" t="s">
        <v>267</v>
      </c>
      <c r="N230" s="215"/>
      <c r="O230" s="172"/>
      <c r="P230" s="172"/>
      <c r="Q230" s="172"/>
      <c r="R230" s="172"/>
      <c r="S230" s="173"/>
    </row>
    <row r="231" spans="1:19" ht="16.95" customHeight="1" x14ac:dyDescent="0.3">
      <c r="A231" s="12" t="str">
        <f t="shared" si="37"/>
        <v>D3X</v>
      </c>
      <c r="C231" s="94">
        <v>7.510016574009748E-2</v>
      </c>
      <c r="D231" s="12" t="s">
        <v>267</v>
      </c>
      <c r="N231" s="215"/>
      <c r="O231" s="172"/>
      <c r="P231" s="172"/>
      <c r="Q231" s="172"/>
      <c r="R231" s="172"/>
      <c r="S231" s="173"/>
    </row>
    <row r="232" spans="1:19" ht="16.95" customHeight="1" x14ac:dyDescent="0.3">
      <c r="A232" s="12" t="str">
        <f t="shared" si="37"/>
        <v>D4X</v>
      </c>
      <c r="C232" s="94">
        <v>3.277212341205514E-2</v>
      </c>
      <c r="D232" s="12" t="s">
        <v>267</v>
      </c>
      <c r="N232" s="215"/>
      <c r="O232" s="172"/>
      <c r="P232" s="172"/>
      <c r="Q232" s="172"/>
      <c r="R232" s="172"/>
      <c r="S232" s="173"/>
    </row>
    <row r="233" spans="1:19" ht="16.95" customHeight="1" x14ac:dyDescent="0.3">
      <c r="A233" s="12" t="str">
        <f t="shared" si="37"/>
        <v>D4Y</v>
      </c>
      <c r="B233" s="13" t="s">
        <v>220</v>
      </c>
      <c r="C233" s="94">
        <v>-9.5183654750389909E-2</v>
      </c>
      <c r="D233" s="12" t="s">
        <v>267</v>
      </c>
      <c r="N233" s="215"/>
      <c r="O233" s="172"/>
      <c r="P233" s="172"/>
      <c r="Q233" s="172"/>
      <c r="R233" s="172"/>
      <c r="S233" s="173"/>
    </row>
    <row r="234" spans="1:19" ht="16.95" customHeight="1" x14ac:dyDescent="0.3">
      <c r="A234" s="12" t="str">
        <f t="shared" si="37"/>
        <v>D5X</v>
      </c>
      <c r="C234" s="94">
        <v>4.2328042328042333E-2</v>
      </c>
      <c r="D234" s="12" t="s">
        <v>267</v>
      </c>
      <c r="N234" s="215"/>
      <c r="O234" s="172"/>
      <c r="P234" s="172"/>
      <c r="Q234" s="172"/>
      <c r="R234" s="172"/>
      <c r="S234" s="173"/>
    </row>
    <row r="235" spans="1:19" ht="16.95" customHeight="1" x14ac:dyDescent="0.3">
      <c r="A235" s="12" t="str">
        <f t="shared" si="37"/>
        <v>D5Y</v>
      </c>
      <c r="C235" s="94">
        <v>-9.5183654750389909E-2</v>
      </c>
      <c r="D235" s="12" t="s">
        <v>267</v>
      </c>
      <c r="N235" s="215"/>
      <c r="O235" s="172"/>
      <c r="P235" s="172"/>
      <c r="Q235" s="172"/>
      <c r="R235" s="172"/>
      <c r="S235" s="173"/>
    </row>
    <row r="238" spans="1:19" ht="19.95" customHeight="1" x14ac:dyDescent="0.35">
      <c r="A238" s="11" t="s">
        <v>268</v>
      </c>
      <c r="N238" s="216" t="s">
        <v>269</v>
      </c>
      <c r="O238" s="172"/>
      <c r="P238" s="172"/>
      <c r="Q238" s="172"/>
      <c r="R238" s="172"/>
      <c r="S238" s="173"/>
    </row>
    <row r="239" spans="1:19" ht="16.95" customHeight="1" x14ac:dyDescent="0.3">
      <c r="A239" s="99" t="s">
        <v>247</v>
      </c>
      <c r="J239" s="99" t="s">
        <v>249</v>
      </c>
      <c r="N239" s="215" t="s">
        <v>389</v>
      </c>
      <c r="O239" s="172"/>
      <c r="P239" s="172"/>
      <c r="Q239" s="172"/>
      <c r="R239" s="172"/>
      <c r="S239" s="173"/>
    </row>
    <row r="240" spans="1:19" ht="16.95" customHeight="1" x14ac:dyDescent="0.3">
      <c r="A240" s="18" t="str">
        <f>INDEX(B$172:B$181, MATCH(K240, C$172:C$181, 0))</f>
        <v>C1X</v>
      </c>
      <c r="C240" s="9">
        <f t="shared" ref="C240:H243" si="38">INDEX($B$159:$K$168, MATCH($K240, $L$159:$L$168, 0), MATCH(C$211, $B$158:$K$158, 0))</f>
        <v>-63000</v>
      </c>
      <c r="D240" s="9">
        <f t="shared" si="38"/>
        <v>0</v>
      </c>
      <c r="E240" s="9">
        <f t="shared" si="38"/>
        <v>-21505.2999151935</v>
      </c>
      <c r="F240" s="9">
        <f t="shared" si="38"/>
        <v>-32257.94987279025</v>
      </c>
      <c r="G240" s="9">
        <f t="shared" si="38"/>
        <v>0</v>
      </c>
      <c r="H240" s="9">
        <f t="shared" si="38"/>
        <v>0</v>
      </c>
      <c r="J240" s="95">
        <f t="shared" ref="J240:J245" si="39">C230</f>
        <v>3.7550082870048747E-2</v>
      </c>
      <c r="K240" s="14" t="str">
        <f>INDEX(C$184:C$193, MATCH(1, G$184:G$193, 0))</f>
        <v>U1X</v>
      </c>
      <c r="N240" s="215" t="s">
        <v>390</v>
      </c>
      <c r="O240" s="172"/>
      <c r="P240" s="172"/>
      <c r="Q240" s="172"/>
      <c r="R240" s="172"/>
      <c r="S240" s="173"/>
    </row>
    <row r="241" spans="1:19" ht="16.95" customHeight="1" x14ac:dyDescent="0.3">
      <c r="A241" s="18" t="str">
        <f>INDEX(B$172:B$181, MATCH(K241, C$172:C$181, 0))</f>
        <v>C1Y</v>
      </c>
      <c r="C241" s="9">
        <f t="shared" si="38"/>
        <v>0</v>
      </c>
      <c r="D241" s="9">
        <f t="shared" si="38"/>
        <v>0</v>
      </c>
      <c r="E241" s="9">
        <f t="shared" si="38"/>
        <v>-32257.94987279025</v>
      </c>
      <c r="F241" s="9">
        <f t="shared" si="38"/>
        <v>-48386.924809185381</v>
      </c>
      <c r="G241" s="9">
        <f t="shared" si="38"/>
        <v>0</v>
      </c>
      <c r="H241" s="9">
        <f t="shared" si="38"/>
        <v>0</v>
      </c>
      <c r="J241" s="95">
        <f t="shared" si="39"/>
        <v>7.510016574009748E-2</v>
      </c>
      <c r="K241" s="14" t="str">
        <f>INDEX(C$184:C$193, MATCH(2, G$184:G$193, 0))</f>
        <v>U1Y</v>
      </c>
      <c r="N241" s="215" t="s">
        <v>391</v>
      </c>
      <c r="O241" s="172"/>
      <c r="P241" s="172"/>
      <c r="Q241" s="172"/>
      <c r="R241" s="172"/>
      <c r="S241" s="173"/>
    </row>
    <row r="242" spans="1:19" ht="16.95" customHeight="1" x14ac:dyDescent="0.3">
      <c r="A242" s="18" t="str">
        <f>INDEX(B$172:B$181, MATCH(K242, C$172:C$181, 0))</f>
        <v>C2Y</v>
      </c>
      <c r="B242" s="13" t="s">
        <v>220</v>
      </c>
      <c r="C242" s="9">
        <f t="shared" si="38"/>
        <v>0</v>
      </c>
      <c r="D242" s="9">
        <f t="shared" si="38"/>
        <v>0</v>
      </c>
      <c r="E242" s="9">
        <f t="shared" si="38"/>
        <v>32257.94987279025</v>
      </c>
      <c r="F242" s="9">
        <f t="shared" si="38"/>
        <v>-48386.924809185381</v>
      </c>
      <c r="G242" s="9">
        <f t="shared" si="38"/>
        <v>-32257.94987279025</v>
      </c>
      <c r="H242" s="9">
        <f t="shared" si="38"/>
        <v>-48386.924809185381</v>
      </c>
      <c r="J242" s="95">
        <f t="shared" si="39"/>
        <v>3.277212341205514E-2</v>
      </c>
      <c r="K242" s="14" t="str">
        <f>INDEX(C$184:C$193, MATCH(3, G$184:G$193, 0))</f>
        <v>U2Y</v>
      </c>
      <c r="N242" s="215" t="s">
        <v>392</v>
      </c>
      <c r="O242" s="172"/>
      <c r="P242" s="172"/>
      <c r="Q242" s="172"/>
      <c r="R242" s="172"/>
      <c r="S242" s="173"/>
    </row>
    <row r="243" spans="1:19" ht="16.95" customHeight="1" x14ac:dyDescent="0.3">
      <c r="A243" s="18" t="str">
        <f>INDEX(B$172:B$181, MATCH(K243, C$172:C$181, 0))</f>
        <v>C3Y</v>
      </c>
      <c r="C243" s="9">
        <f t="shared" si="38"/>
        <v>0</v>
      </c>
      <c r="D243" s="9">
        <f t="shared" si="38"/>
        <v>-32257.94987279025</v>
      </c>
      <c r="E243" s="9">
        <f t="shared" si="38"/>
        <v>0</v>
      </c>
      <c r="F243" s="9">
        <f t="shared" si="38"/>
        <v>0</v>
      </c>
      <c r="G243" s="9">
        <f t="shared" si="38"/>
        <v>32257.94987279025</v>
      </c>
      <c r="H243" s="9">
        <f t="shared" si="38"/>
        <v>-48386.924809185381</v>
      </c>
      <c r="J243" s="95">
        <f t="shared" si="39"/>
        <v>-9.5183654750389909E-2</v>
      </c>
      <c r="K243" s="14" t="str">
        <f>INDEX(C$184:C$193, MATCH(4, G$184:G$193, 0))</f>
        <v>U3Y</v>
      </c>
      <c r="N243" s="215" t="s">
        <v>393</v>
      </c>
      <c r="O243" s="172"/>
      <c r="P243" s="172"/>
      <c r="Q243" s="172"/>
      <c r="R243" s="172"/>
      <c r="S243" s="173"/>
    </row>
    <row r="244" spans="1:19" ht="16.95" customHeight="1" x14ac:dyDescent="0.3">
      <c r="J244" s="95">
        <f t="shared" si="39"/>
        <v>4.2328042328042333E-2</v>
      </c>
      <c r="N244" s="215" t="s">
        <v>394</v>
      </c>
      <c r="O244" s="172"/>
      <c r="P244" s="172"/>
      <c r="Q244" s="172"/>
      <c r="R244" s="172"/>
      <c r="S244" s="173"/>
    </row>
    <row r="245" spans="1:19" ht="16.95" customHeight="1" x14ac:dyDescent="0.3">
      <c r="J245" s="95">
        <f t="shared" si="39"/>
        <v>-9.5183654750389909E-2</v>
      </c>
      <c r="N245" s="215"/>
      <c r="O245" s="172"/>
      <c r="P245" s="172"/>
      <c r="Q245" s="172"/>
      <c r="R245" s="172"/>
      <c r="S245" s="173"/>
    </row>
    <row r="246" spans="1:19" ht="16.95" customHeight="1" x14ac:dyDescent="0.3">
      <c r="N246" s="215"/>
      <c r="O246" s="172"/>
      <c r="P246" s="172"/>
      <c r="Q246" s="172"/>
      <c r="R246" s="172"/>
      <c r="S246" s="173"/>
    </row>
    <row r="247" spans="1:19" ht="16.95" customHeight="1" x14ac:dyDescent="0.3">
      <c r="A247" s="12" t="str">
        <f>A240</f>
        <v>C1X</v>
      </c>
      <c r="C247" s="17">
        <f t="array" ref="C247:C250">MMULT(C240:H243, J240:J245)</f>
        <v>-4.5474735088646412E-13</v>
      </c>
      <c r="D247" s="12" t="s">
        <v>273</v>
      </c>
      <c r="N247" s="215"/>
      <c r="O247" s="172"/>
      <c r="P247" s="172"/>
      <c r="Q247" s="172"/>
      <c r="R247" s="172"/>
      <c r="S247" s="173"/>
    </row>
    <row r="248" spans="1:19" ht="16.95" customHeight="1" x14ac:dyDescent="0.3">
      <c r="A248" s="12" t="str">
        <f>A241</f>
        <v>C1Y</v>
      </c>
      <c r="C248" s="17">
        <v>3548.4828312196073</v>
      </c>
      <c r="D248" s="12" t="s">
        <v>273</v>
      </c>
      <c r="N248" s="215"/>
      <c r="O248" s="172"/>
      <c r="P248" s="172"/>
      <c r="Q248" s="172"/>
      <c r="R248" s="172"/>
      <c r="S248" s="173"/>
    </row>
    <row r="249" spans="1:19" ht="16.95" customHeight="1" x14ac:dyDescent="0.3">
      <c r="A249" s="12" t="str">
        <f>A242</f>
        <v>C2Y</v>
      </c>
      <c r="B249" s="13" t="s">
        <v>220</v>
      </c>
      <c r="C249" s="17">
        <v>8903.0343375607918</v>
      </c>
      <c r="D249" s="12" t="s">
        <v>273</v>
      </c>
      <c r="N249" s="215"/>
      <c r="O249" s="172"/>
      <c r="P249" s="172"/>
      <c r="Q249" s="172"/>
      <c r="R249" s="172"/>
      <c r="S249" s="173"/>
    </row>
    <row r="250" spans="1:19" ht="16.95" customHeight="1" x14ac:dyDescent="0.3">
      <c r="A250" s="12" t="str">
        <f>A243</f>
        <v>C3Y</v>
      </c>
      <c r="C250" s="17">
        <v>3548.4828312196069</v>
      </c>
      <c r="D250" s="12" t="s">
        <v>273</v>
      </c>
      <c r="N250" s="215"/>
      <c r="O250" s="172"/>
      <c r="P250" s="172"/>
      <c r="Q250" s="172"/>
      <c r="R250" s="172"/>
      <c r="S250" s="173"/>
    </row>
    <row r="253" spans="1:19" ht="19.95" customHeight="1" x14ac:dyDescent="0.35">
      <c r="A253" s="11" t="s">
        <v>274</v>
      </c>
    </row>
    <row r="255" spans="1:19" ht="19.05" customHeight="1" x14ac:dyDescent="0.3">
      <c r="A255" s="12" t="s">
        <v>228</v>
      </c>
      <c r="B255" s="12" t="s">
        <v>178</v>
      </c>
      <c r="D255" s="94">
        <f t="shared" ref="D255:D264" si="40">IFERROR(INDEX(C$230:C$235, MATCH(A255, A$230:A$235, 0)), 0)</f>
        <v>0</v>
      </c>
    </row>
    <row r="256" spans="1:19" ht="19.05" customHeight="1" x14ac:dyDescent="0.3">
      <c r="A256" s="12" t="s">
        <v>229</v>
      </c>
      <c r="B256" s="12" t="s">
        <v>179</v>
      </c>
      <c r="D256" s="94">
        <f t="shared" si="40"/>
        <v>0</v>
      </c>
    </row>
    <row r="257" spans="1:19" ht="19.05" customHeight="1" x14ac:dyDescent="0.3">
      <c r="A257" s="12" t="s">
        <v>230</v>
      </c>
      <c r="B257" s="12" t="s">
        <v>180</v>
      </c>
      <c r="D257" s="94">
        <f t="shared" si="40"/>
        <v>3.7550082870048747E-2</v>
      </c>
    </row>
    <row r="258" spans="1:19" ht="19.05" customHeight="1" x14ac:dyDescent="0.3">
      <c r="A258" s="12" t="s">
        <v>231</v>
      </c>
      <c r="B258" s="12" t="s">
        <v>181</v>
      </c>
      <c r="D258" s="94">
        <f t="shared" si="40"/>
        <v>0</v>
      </c>
    </row>
    <row r="259" spans="1:19" ht="19.05" customHeight="1" x14ac:dyDescent="0.3">
      <c r="A259" s="12" t="s">
        <v>232</v>
      </c>
      <c r="B259" s="12" t="s">
        <v>182</v>
      </c>
      <c r="D259" s="94">
        <f t="shared" si="40"/>
        <v>7.510016574009748E-2</v>
      </c>
    </row>
    <row r="260" spans="1:19" ht="19.05" customHeight="1" x14ac:dyDescent="0.3">
      <c r="A260" s="12" t="s">
        <v>234</v>
      </c>
      <c r="B260" s="12" t="s">
        <v>183</v>
      </c>
      <c r="D260" s="94">
        <f t="shared" si="40"/>
        <v>0</v>
      </c>
    </row>
    <row r="261" spans="1:19" ht="19.05" customHeight="1" x14ac:dyDescent="0.3">
      <c r="A261" s="12" t="s">
        <v>235</v>
      </c>
      <c r="B261" s="12" t="s">
        <v>184</v>
      </c>
      <c r="D261" s="94">
        <f t="shared" si="40"/>
        <v>3.277212341205514E-2</v>
      </c>
    </row>
    <row r="262" spans="1:19" ht="19.05" customHeight="1" x14ac:dyDescent="0.3">
      <c r="A262" s="12" t="s">
        <v>236</v>
      </c>
      <c r="B262" s="12" t="s">
        <v>185</v>
      </c>
      <c r="D262" s="94">
        <f t="shared" si="40"/>
        <v>-9.5183654750389909E-2</v>
      </c>
    </row>
    <row r="263" spans="1:19" ht="19.05" customHeight="1" x14ac:dyDescent="0.3">
      <c r="A263" s="12" t="s">
        <v>237</v>
      </c>
      <c r="B263" s="12" t="s">
        <v>186</v>
      </c>
      <c r="D263" s="94">
        <f t="shared" si="40"/>
        <v>4.2328042328042333E-2</v>
      </c>
    </row>
    <row r="264" spans="1:19" ht="19.05" customHeight="1" x14ac:dyDescent="0.3">
      <c r="A264" s="12" t="s">
        <v>238</v>
      </c>
      <c r="B264" s="12" t="s">
        <v>187</v>
      </c>
      <c r="D264" s="94">
        <f t="shared" si="40"/>
        <v>-9.5183654750389909E-2</v>
      </c>
    </row>
    <row r="267" spans="1:19" ht="19.95" customHeight="1" x14ac:dyDescent="0.35">
      <c r="A267" s="11" t="s">
        <v>275</v>
      </c>
      <c r="N267" s="216" t="s">
        <v>276</v>
      </c>
      <c r="O267" s="172"/>
      <c r="P267" s="172"/>
      <c r="Q267" s="172"/>
      <c r="R267" s="172"/>
      <c r="S267" s="173"/>
    </row>
    <row r="268" spans="1:19" ht="16.95" customHeight="1" x14ac:dyDescent="0.3">
      <c r="N268" s="215" t="s">
        <v>395</v>
      </c>
      <c r="O268" s="172"/>
      <c r="P268" s="172"/>
      <c r="Q268" s="172"/>
      <c r="R268" s="172"/>
      <c r="S268" s="173"/>
    </row>
    <row r="269" spans="1:19" ht="16.95" customHeight="1" x14ac:dyDescent="0.3">
      <c r="A269" s="19" t="s">
        <v>278</v>
      </c>
      <c r="C269" s="19" t="s">
        <v>279</v>
      </c>
      <c r="D269" s="19" t="s">
        <v>280</v>
      </c>
      <c r="E269" s="19" t="s">
        <v>279</v>
      </c>
      <c r="F269" s="19" t="s">
        <v>280</v>
      </c>
      <c r="G269" s="19" t="s">
        <v>249</v>
      </c>
      <c r="N269" s="215" t="s">
        <v>396</v>
      </c>
      <c r="O269" s="172"/>
      <c r="P269" s="172"/>
      <c r="Q269" s="172"/>
      <c r="R269" s="172"/>
      <c r="S269" s="173"/>
    </row>
    <row r="270" spans="1:19" ht="16.95" customHeight="1" x14ac:dyDescent="0.3">
      <c r="C270" s="19" t="s">
        <v>282</v>
      </c>
      <c r="D270" s="19" t="s">
        <v>282</v>
      </c>
      <c r="E270" s="19" t="s">
        <v>283</v>
      </c>
      <c r="F270" s="19" t="s">
        <v>283</v>
      </c>
      <c r="N270" s="215" t="s">
        <v>397</v>
      </c>
      <c r="O270" s="172"/>
      <c r="P270" s="172"/>
      <c r="Q270" s="172"/>
      <c r="R270" s="172"/>
      <c r="S270" s="173"/>
    </row>
    <row r="271" spans="1:19" ht="16.95" customHeight="1" x14ac:dyDescent="0.3">
      <c r="A271" s="17">
        <f>N6</f>
        <v>63000</v>
      </c>
      <c r="C271" s="92">
        <f>-J6</f>
        <v>-1</v>
      </c>
      <c r="D271" s="92">
        <f>-K6</f>
        <v>0</v>
      </c>
      <c r="E271" s="92">
        <f>J6</f>
        <v>1</v>
      </c>
      <c r="F271" s="92">
        <f>K6</f>
        <v>0</v>
      </c>
      <c r="G271" s="96">
        <f>IFERROR(VLOOKUP(H271, A$255:D$264, 4, FALSE), 0)</f>
        <v>0</v>
      </c>
      <c r="H271" s="12" t="str">
        <f>"D" &amp; C16 &amp; "X"</f>
        <v>D1X</v>
      </c>
      <c r="N271" s="215" t="s">
        <v>398</v>
      </c>
      <c r="O271" s="172"/>
      <c r="P271" s="172"/>
      <c r="Q271" s="172"/>
      <c r="R271" s="172"/>
      <c r="S271" s="173"/>
    </row>
    <row r="272" spans="1:19" ht="16.95" customHeight="1" x14ac:dyDescent="0.3">
      <c r="A272" s="99" t="s">
        <v>285</v>
      </c>
      <c r="B272" s="97">
        <f>(MMULT(C271:F271, G271:G274)*A271)</f>
        <v>2365.6552208130711</v>
      </c>
      <c r="G272" s="96">
        <f>IFERROR(VLOOKUP(H272, A$255:D$264, 4, FALSE), 0)</f>
        <v>0</v>
      </c>
      <c r="H272" s="12" t="str">
        <f>"D" &amp; D16 &amp; "Y"</f>
        <v>D1Y</v>
      </c>
      <c r="N272" s="215" t="s">
        <v>399</v>
      </c>
      <c r="O272" s="172"/>
      <c r="P272" s="172"/>
      <c r="Q272" s="172"/>
      <c r="R272" s="172"/>
      <c r="S272" s="173"/>
    </row>
    <row r="273" spans="1:19" ht="16.95" customHeight="1" x14ac:dyDescent="0.3">
      <c r="G273" s="96">
        <f>IFERROR(VLOOKUP(H273, A$255:D$264, 4, FALSE), 0)</f>
        <v>3.7550082870048747E-2</v>
      </c>
      <c r="H273" s="12" t="str">
        <f>"D" &amp; E16 &amp; "X"</f>
        <v>D2X</v>
      </c>
      <c r="N273" s="215" t="s">
        <v>400</v>
      </c>
      <c r="O273" s="172"/>
      <c r="P273" s="172"/>
      <c r="Q273" s="172"/>
      <c r="R273" s="172"/>
      <c r="S273" s="173"/>
    </row>
    <row r="274" spans="1:19" ht="16.95" customHeight="1" x14ac:dyDescent="0.3">
      <c r="G274" s="96">
        <f>IFERROR(VLOOKUP(H274, A$255:D$264, 4, FALSE), 0)</f>
        <v>0</v>
      </c>
      <c r="H274" s="12" t="str">
        <f>"D" &amp; F16 &amp; "Y"</f>
        <v>D2Y</v>
      </c>
      <c r="N274" s="215" t="s">
        <v>401</v>
      </c>
      <c r="O274" s="172"/>
      <c r="P274" s="172"/>
      <c r="Q274" s="172"/>
      <c r="R274" s="172"/>
      <c r="S274" s="173"/>
    </row>
    <row r="275" spans="1:19" ht="16.95" customHeight="1" x14ac:dyDescent="0.3">
      <c r="B275" s="99" t="s">
        <v>273</v>
      </c>
      <c r="C275" s="178" t="str">
        <f>IF(B272&gt;0.001,"BARRA A TRACCIÓN (+)",IF(B272&lt;-0.001,"BARRA A COMPRESIÓN (-)","BARRA DE FUERZA NULA"))</f>
        <v>BARRA A TRACCIÓN (+)</v>
      </c>
      <c r="D275" s="172"/>
      <c r="E275" s="172"/>
      <c r="F275" s="173"/>
      <c r="N275" s="215" t="s">
        <v>402</v>
      </c>
      <c r="O275" s="172"/>
      <c r="P275" s="172"/>
      <c r="Q275" s="172"/>
      <c r="R275" s="172"/>
      <c r="S275" s="173"/>
    </row>
    <row r="276" spans="1:19" ht="16.95" customHeight="1" x14ac:dyDescent="0.3">
      <c r="N276" s="215" t="s">
        <v>403</v>
      </c>
      <c r="O276" s="172"/>
      <c r="P276" s="172"/>
      <c r="Q276" s="172"/>
      <c r="R276" s="172"/>
      <c r="S276" s="173"/>
    </row>
    <row r="277" spans="1:19" ht="16.95" customHeight="1" x14ac:dyDescent="0.3">
      <c r="A277" s="19" t="s">
        <v>278</v>
      </c>
      <c r="C277" s="19" t="s">
        <v>279</v>
      </c>
      <c r="D277" s="19" t="s">
        <v>280</v>
      </c>
      <c r="E277" s="19" t="s">
        <v>279</v>
      </c>
      <c r="F277" s="19" t="s">
        <v>280</v>
      </c>
      <c r="G277" s="19" t="s">
        <v>249</v>
      </c>
      <c r="N277" s="215"/>
      <c r="O277" s="172"/>
      <c r="P277" s="172"/>
      <c r="Q277" s="172"/>
      <c r="R277" s="172"/>
      <c r="S277" s="173"/>
    </row>
    <row r="278" spans="1:19" ht="16.95" customHeight="1" x14ac:dyDescent="0.3">
      <c r="C278" s="19" t="s">
        <v>282</v>
      </c>
      <c r="D278" s="19" t="s">
        <v>282</v>
      </c>
      <c r="E278" s="19" t="s">
        <v>283</v>
      </c>
      <c r="F278" s="19" t="s">
        <v>283</v>
      </c>
      <c r="N278" s="215"/>
      <c r="O278" s="172"/>
      <c r="P278" s="172"/>
      <c r="Q278" s="172"/>
      <c r="R278" s="172"/>
      <c r="S278" s="173"/>
    </row>
    <row r="279" spans="1:19" ht="16.95" customHeight="1" x14ac:dyDescent="0.3">
      <c r="A279" s="17">
        <f>N7</f>
        <v>63000</v>
      </c>
      <c r="C279" s="92">
        <f>-J7</f>
        <v>-1</v>
      </c>
      <c r="D279" s="92">
        <f>-K7</f>
        <v>0</v>
      </c>
      <c r="E279" s="92">
        <f>J7</f>
        <v>1</v>
      </c>
      <c r="F279" s="92">
        <f>K7</f>
        <v>0</v>
      </c>
      <c r="G279" s="96">
        <f>IFERROR(VLOOKUP(H279, A$255:D$264, 4, FALSE), 0)</f>
        <v>3.7550082870048747E-2</v>
      </c>
      <c r="H279" s="12" t="str">
        <f>"D" &amp; C17 &amp; "X"</f>
        <v>D2X</v>
      </c>
      <c r="N279" s="215"/>
      <c r="O279" s="172"/>
      <c r="P279" s="172"/>
      <c r="Q279" s="172"/>
      <c r="R279" s="172"/>
      <c r="S279" s="173"/>
    </row>
    <row r="280" spans="1:19" ht="16.95" customHeight="1" x14ac:dyDescent="0.3">
      <c r="A280" s="99" t="s">
        <v>286</v>
      </c>
      <c r="B280" s="97">
        <f>(MMULT(C279:F279, G279:G282)*A279)</f>
        <v>2365.6552208130702</v>
      </c>
      <c r="G280" s="96">
        <f>IFERROR(VLOOKUP(H280, A$255:D$264, 4, FALSE), 0)</f>
        <v>0</v>
      </c>
      <c r="H280" s="12" t="str">
        <f>"D" &amp; D17 &amp; "Y"</f>
        <v>D2Y</v>
      </c>
      <c r="N280" s="215"/>
      <c r="O280" s="172"/>
      <c r="P280" s="172"/>
      <c r="Q280" s="172"/>
      <c r="R280" s="172"/>
      <c r="S280" s="173"/>
    </row>
    <row r="281" spans="1:19" ht="16.95" customHeight="1" x14ac:dyDescent="0.3">
      <c r="G281" s="96">
        <f>IFERROR(VLOOKUP(H281, A$255:D$264, 4, FALSE), 0)</f>
        <v>7.510016574009748E-2</v>
      </c>
      <c r="H281" s="12" t="str">
        <f>"D" &amp; E17 &amp; "X"</f>
        <v>D3X</v>
      </c>
      <c r="N281" s="215"/>
      <c r="O281" s="172"/>
      <c r="P281" s="172"/>
      <c r="Q281" s="172"/>
      <c r="R281" s="172"/>
      <c r="S281" s="173"/>
    </row>
    <row r="282" spans="1:19" ht="16.95" customHeight="1" x14ac:dyDescent="0.3">
      <c r="G282" s="96">
        <f>IFERROR(VLOOKUP(H282, A$255:D$264, 4, FALSE), 0)</f>
        <v>0</v>
      </c>
      <c r="H282" s="12" t="str">
        <f>"D" &amp; F17 &amp; "Y"</f>
        <v>D3Y</v>
      </c>
      <c r="N282" s="215"/>
      <c r="O282" s="172"/>
      <c r="P282" s="172"/>
      <c r="Q282" s="172"/>
      <c r="R282" s="172"/>
      <c r="S282" s="173"/>
    </row>
    <row r="283" spans="1:19" ht="16.95" customHeight="1" x14ac:dyDescent="0.3">
      <c r="B283" s="99" t="s">
        <v>273</v>
      </c>
      <c r="C283" s="178" t="str">
        <f>IF(B280&gt;0.001,"BARRA A TRACCIÓN (+)",IF(B280&lt;-0.001,"BARRA A COMPRESIÓN (-)","BARRA DE FUERZA NULA"))</f>
        <v>BARRA A TRACCIÓN (+)</v>
      </c>
      <c r="D283" s="172"/>
      <c r="E283" s="172"/>
      <c r="F283" s="173"/>
      <c r="N283" s="215"/>
      <c r="O283" s="172"/>
      <c r="P283" s="172"/>
      <c r="Q283" s="172"/>
      <c r="R283" s="172"/>
      <c r="S283" s="173"/>
    </row>
    <row r="284" spans="1:19" ht="16.95" customHeight="1" x14ac:dyDescent="0.3">
      <c r="N284" s="215"/>
      <c r="O284" s="172"/>
      <c r="P284" s="172"/>
      <c r="Q284" s="172"/>
      <c r="R284" s="172"/>
      <c r="S284" s="173"/>
    </row>
    <row r="285" spans="1:19" ht="16.95" customHeight="1" x14ac:dyDescent="0.3">
      <c r="A285" s="19" t="s">
        <v>278</v>
      </c>
      <c r="C285" s="19" t="s">
        <v>279</v>
      </c>
      <c r="D285" s="19" t="s">
        <v>280</v>
      </c>
      <c r="E285" s="19" t="s">
        <v>279</v>
      </c>
      <c r="F285" s="19" t="s">
        <v>280</v>
      </c>
      <c r="G285" s="19" t="s">
        <v>249</v>
      </c>
      <c r="N285" s="215"/>
      <c r="O285" s="172"/>
      <c r="P285" s="172"/>
      <c r="Q285" s="172"/>
      <c r="R285" s="172"/>
      <c r="S285" s="173"/>
    </row>
    <row r="286" spans="1:19" ht="16.95" customHeight="1" x14ac:dyDescent="0.3">
      <c r="C286" s="19" t="s">
        <v>282</v>
      </c>
      <c r="D286" s="19" t="s">
        <v>282</v>
      </c>
      <c r="E286" s="19" t="s">
        <v>283</v>
      </c>
      <c r="F286" s="19" t="s">
        <v>283</v>
      </c>
      <c r="N286" s="215"/>
      <c r="O286" s="172"/>
      <c r="P286" s="172"/>
      <c r="Q286" s="172"/>
      <c r="R286" s="172"/>
      <c r="S286" s="173"/>
    </row>
    <row r="287" spans="1:19" ht="16.95" customHeight="1" x14ac:dyDescent="0.3">
      <c r="A287" s="17">
        <f>N8</f>
        <v>69892.224724378873</v>
      </c>
      <c r="C287" s="92">
        <f>-J8</f>
        <v>-0.55470019622522915</v>
      </c>
      <c r="D287" s="92">
        <f>-K8</f>
        <v>-0.83205029433784372</v>
      </c>
      <c r="E287" s="92">
        <f>J8</f>
        <v>0.55470019622522915</v>
      </c>
      <c r="F287" s="92">
        <f>K8</f>
        <v>0.83205029433784372</v>
      </c>
      <c r="G287" s="96">
        <f>IFERROR(VLOOKUP(H287, A$255:D$264, 4, FALSE), 0)</f>
        <v>0</v>
      </c>
      <c r="H287" s="12" t="str">
        <f>"D" &amp; C18 &amp; "X"</f>
        <v>D1X</v>
      </c>
      <c r="N287" s="215"/>
      <c r="O287" s="172"/>
      <c r="P287" s="172"/>
      <c r="Q287" s="172"/>
      <c r="R287" s="172"/>
      <c r="S287" s="173"/>
    </row>
    <row r="288" spans="1:19" ht="16.95" customHeight="1" x14ac:dyDescent="0.3">
      <c r="A288" s="99" t="s">
        <v>287</v>
      </c>
      <c r="B288" s="97">
        <f>(MMULT(C287:F287, G287:G290)*A287)</f>
        <v>-4264.7455993553067</v>
      </c>
      <c r="G288" s="96">
        <f>IFERROR(VLOOKUP(H288, A$255:D$264, 4, FALSE), 0)</f>
        <v>0</v>
      </c>
      <c r="H288" s="12" t="str">
        <f>"D" &amp; D18 &amp; "Y"</f>
        <v>D1Y</v>
      </c>
      <c r="N288" s="215"/>
      <c r="O288" s="172"/>
      <c r="P288" s="172"/>
      <c r="Q288" s="172"/>
      <c r="R288" s="172"/>
      <c r="S288" s="173"/>
    </row>
    <row r="289" spans="1:19" ht="16.95" customHeight="1" x14ac:dyDescent="0.3">
      <c r="G289" s="96">
        <f>IFERROR(VLOOKUP(H289, A$255:D$264, 4, FALSE), 0)</f>
        <v>3.277212341205514E-2</v>
      </c>
      <c r="H289" s="12" t="str">
        <f>"D" &amp; E18 &amp; "X"</f>
        <v>D4X</v>
      </c>
      <c r="N289" s="215"/>
      <c r="O289" s="172"/>
      <c r="P289" s="172"/>
      <c r="Q289" s="172"/>
      <c r="R289" s="172"/>
      <c r="S289" s="173"/>
    </row>
    <row r="290" spans="1:19" ht="16.95" customHeight="1" x14ac:dyDescent="0.3">
      <c r="G290" s="96">
        <f>IFERROR(VLOOKUP(H290, A$255:D$264, 4, FALSE), 0)</f>
        <v>-9.5183654750389909E-2</v>
      </c>
      <c r="H290" s="12" t="str">
        <f>"D" &amp; F18 &amp; "Y"</f>
        <v>D4Y</v>
      </c>
      <c r="N290" s="215"/>
      <c r="O290" s="172"/>
      <c r="P290" s="172"/>
      <c r="Q290" s="172"/>
      <c r="R290" s="172"/>
      <c r="S290" s="173"/>
    </row>
    <row r="291" spans="1:19" ht="16.95" customHeight="1" x14ac:dyDescent="0.3">
      <c r="B291" s="99" t="s">
        <v>273</v>
      </c>
      <c r="C291" s="178" t="str">
        <f>IF(B288&gt;0.001,"BARRA A TRACCIÓN (+)",IF(B288&lt;-0.001,"BARRA A COMPRESIÓN (-)","BARRA DE FUERZA NULA"))</f>
        <v>BARRA A COMPRESIÓN (-)</v>
      </c>
      <c r="D291" s="172"/>
      <c r="E291" s="172"/>
      <c r="F291" s="173"/>
      <c r="N291" s="215"/>
      <c r="O291" s="172"/>
      <c r="P291" s="172"/>
      <c r="Q291" s="172"/>
      <c r="R291" s="172"/>
      <c r="S291" s="173"/>
    </row>
    <row r="292" spans="1:19" ht="16.95" customHeight="1" x14ac:dyDescent="0.3">
      <c r="N292" s="215"/>
      <c r="O292" s="172"/>
      <c r="P292" s="172"/>
      <c r="Q292" s="172"/>
      <c r="R292" s="172"/>
      <c r="S292" s="173"/>
    </row>
    <row r="293" spans="1:19" ht="18" customHeight="1" x14ac:dyDescent="0.3">
      <c r="A293" s="19" t="s">
        <v>278</v>
      </c>
      <c r="C293" s="19" t="s">
        <v>279</v>
      </c>
      <c r="D293" s="19" t="s">
        <v>280</v>
      </c>
      <c r="E293" s="19" t="s">
        <v>279</v>
      </c>
      <c r="F293" s="19" t="s">
        <v>280</v>
      </c>
      <c r="G293" s="19" t="s">
        <v>249</v>
      </c>
    </row>
    <row r="294" spans="1:19" ht="16.05" customHeight="1" x14ac:dyDescent="0.3">
      <c r="C294" s="19" t="s">
        <v>282</v>
      </c>
      <c r="D294" s="19" t="s">
        <v>282</v>
      </c>
      <c r="E294" s="19" t="s">
        <v>283</v>
      </c>
      <c r="F294" s="19" t="s">
        <v>283</v>
      </c>
    </row>
    <row r="295" spans="1:19" ht="19.95" customHeight="1" x14ac:dyDescent="0.3">
      <c r="A295" s="17">
        <f>N9</f>
        <v>69892.224724378873</v>
      </c>
      <c r="C295" s="92">
        <f>-J9</f>
        <v>-0.55470019622522915</v>
      </c>
      <c r="D295" s="92">
        <f>-K9</f>
        <v>0.83205029433784372</v>
      </c>
      <c r="E295" s="92">
        <f>J9</f>
        <v>0.55470019622522915</v>
      </c>
      <c r="F295" s="92">
        <f>K9</f>
        <v>-0.83205029433784372</v>
      </c>
      <c r="G295" s="96">
        <f>IFERROR(VLOOKUP(H295, A$255:D$264, 4, FALSE), 0)</f>
        <v>3.277212341205514E-2</v>
      </c>
      <c r="H295" s="12" t="str">
        <f>"D" &amp; C19 &amp; "X"</f>
        <v>D4X</v>
      </c>
    </row>
    <row r="296" spans="1:19" ht="19.95" customHeight="1" x14ac:dyDescent="0.3">
      <c r="A296" s="99" t="s">
        <v>288</v>
      </c>
      <c r="B296" s="97">
        <f>(MMULT(C295:F295, G295:G298)*A295)</f>
        <v>-5350.0578018819997</v>
      </c>
      <c r="G296" s="96">
        <f>IFERROR(VLOOKUP(H296, A$255:D$264, 4, FALSE), 0)</f>
        <v>-9.5183654750389909E-2</v>
      </c>
      <c r="H296" s="12" t="str">
        <f>"D" &amp; D19 &amp; "Y"</f>
        <v>D4Y</v>
      </c>
    </row>
    <row r="297" spans="1:19" ht="19.95" customHeight="1" x14ac:dyDescent="0.3">
      <c r="G297" s="96">
        <f>IFERROR(VLOOKUP(H297, A$255:D$264, 4, FALSE), 0)</f>
        <v>3.7550082870048747E-2</v>
      </c>
      <c r="H297" s="12" t="str">
        <f>"D" &amp; E19 &amp; "X"</f>
        <v>D2X</v>
      </c>
    </row>
    <row r="298" spans="1:19" ht="19.95" customHeight="1" x14ac:dyDescent="0.3">
      <c r="G298" s="96">
        <f>IFERROR(VLOOKUP(H298, A$255:D$264, 4, FALSE), 0)</f>
        <v>0</v>
      </c>
      <c r="H298" s="12" t="str">
        <f>"D" &amp; F19 &amp; "Y"</f>
        <v>D2Y</v>
      </c>
    </row>
    <row r="299" spans="1:19" ht="19.95" customHeight="1" x14ac:dyDescent="0.3">
      <c r="B299" s="99" t="s">
        <v>273</v>
      </c>
      <c r="C299" s="178" t="str">
        <f>IF(B296&gt;0.001,"BARRA A TRACCIÓN (+)",IF(B296&lt;-0.001,"BARRA A COMPRESIÓN (-)","BARRA DE FUERZA NULA"))</f>
        <v>BARRA A COMPRESIÓN (-)</v>
      </c>
      <c r="D299" s="172"/>
      <c r="E299" s="172"/>
      <c r="F299" s="173"/>
    </row>
    <row r="301" spans="1:19" ht="18" customHeight="1" x14ac:dyDescent="0.3">
      <c r="A301" s="19" t="s">
        <v>278</v>
      </c>
      <c r="C301" s="19" t="s">
        <v>279</v>
      </c>
      <c r="D301" s="19" t="s">
        <v>280</v>
      </c>
      <c r="E301" s="19" t="s">
        <v>279</v>
      </c>
      <c r="F301" s="19" t="s">
        <v>280</v>
      </c>
      <c r="G301" s="19" t="s">
        <v>249</v>
      </c>
    </row>
    <row r="302" spans="1:19" ht="16.05" customHeight="1" x14ac:dyDescent="0.3">
      <c r="C302" s="19" t="s">
        <v>282</v>
      </c>
      <c r="D302" s="19" t="s">
        <v>282</v>
      </c>
      <c r="E302" s="19" t="s">
        <v>283</v>
      </c>
      <c r="F302" s="19" t="s">
        <v>283</v>
      </c>
    </row>
    <row r="303" spans="1:19" ht="19.95" customHeight="1" x14ac:dyDescent="0.3">
      <c r="A303" s="17">
        <f>N10</f>
        <v>63000</v>
      </c>
      <c r="C303" s="92">
        <f>-J10</f>
        <v>-1</v>
      </c>
      <c r="D303" s="92">
        <f>-K10</f>
        <v>0</v>
      </c>
      <c r="E303" s="92">
        <f>J10</f>
        <v>1</v>
      </c>
      <c r="F303" s="92">
        <f>K10</f>
        <v>0</v>
      </c>
      <c r="G303" s="96">
        <f>IFERROR(VLOOKUP(H303, A$255:D$264, 4, FALSE), 0)</f>
        <v>3.277212341205514E-2</v>
      </c>
      <c r="H303" s="12" t="str">
        <f>"D" &amp; C20 &amp; "X"</f>
        <v>D4X</v>
      </c>
    </row>
    <row r="304" spans="1:19" ht="19.95" customHeight="1" x14ac:dyDescent="0.3">
      <c r="A304" s="99" t="s">
        <v>289</v>
      </c>
      <c r="B304" s="97">
        <f>(MMULT(C303:F303, G303:G306)*A303)</f>
        <v>602.02289170719314</v>
      </c>
      <c r="G304" s="96">
        <f>IFERROR(VLOOKUP(H304, A$255:D$264, 4, FALSE), 0)</f>
        <v>-9.5183654750389909E-2</v>
      </c>
      <c r="H304" s="12" t="str">
        <f>"D" &amp; D20 &amp; "Y"</f>
        <v>D4Y</v>
      </c>
    </row>
    <row r="305" spans="1:8" ht="19.95" customHeight="1" x14ac:dyDescent="0.3">
      <c r="G305" s="96">
        <f>IFERROR(VLOOKUP(H305, A$255:D$264, 4, FALSE), 0)</f>
        <v>4.2328042328042333E-2</v>
      </c>
      <c r="H305" s="12" t="str">
        <f>"D" &amp; E20 &amp; "X"</f>
        <v>D5X</v>
      </c>
    </row>
    <row r="306" spans="1:8" ht="19.95" customHeight="1" x14ac:dyDescent="0.3">
      <c r="G306" s="96">
        <f>IFERROR(VLOOKUP(H306, A$255:D$264, 4, FALSE), 0)</f>
        <v>-9.5183654750389909E-2</v>
      </c>
      <c r="H306" s="12" t="str">
        <f>"D" &amp; F20 &amp; "Y"</f>
        <v>D5Y</v>
      </c>
    </row>
    <row r="307" spans="1:8" ht="19.95" customHeight="1" x14ac:dyDescent="0.3">
      <c r="B307" s="99" t="s">
        <v>273</v>
      </c>
      <c r="C307" s="178" t="str">
        <f>IF(B304&gt;0.001,"BARRA A TRACCIÓN (+)",IF(B304&lt;-0.001,"BARRA A COMPRESIÓN (-)","BARRA DE FUERZA NULA"))</f>
        <v>BARRA A TRACCIÓN (+)</v>
      </c>
      <c r="D307" s="172"/>
      <c r="E307" s="172"/>
      <c r="F307" s="173"/>
    </row>
    <row r="309" spans="1:8" ht="18" customHeight="1" x14ac:dyDescent="0.3">
      <c r="A309" s="19" t="s">
        <v>278</v>
      </c>
      <c r="C309" s="19" t="s">
        <v>279</v>
      </c>
      <c r="D309" s="19" t="s">
        <v>280</v>
      </c>
      <c r="E309" s="19" t="s">
        <v>279</v>
      </c>
      <c r="F309" s="19" t="s">
        <v>280</v>
      </c>
      <c r="G309" s="19" t="s">
        <v>249</v>
      </c>
    </row>
    <row r="310" spans="1:8" ht="16.05" customHeight="1" x14ac:dyDescent="0.3">
      <c r="C310" s="19" t="s">
        <v>282</v>
      </c>
      <c r="D310" s="19" t="s">
        <v>282</v>
      </c>
      <c r="E310" s="19" t="s">
        <v>283</v>
      </c>
      <c r="F310" s="19" t="s">
        <v>283</v>
      </c>
    </row>
    <row r="311" spans="1:8" ht="19.95" customHeight="1" x14ac:dyDescent="0.3">
      <c r="A311" s="17">
        <f>N11</f>
        <v>69892.224724378873</v>
      </c>
      <c r="C311" s="92">
        <f>-J11</f>
        <v>-0.55470019622522915</v>
      </c>
      <c r="D311" s="92">
        <f>-K11</f>
        <v>-0.83205029433784372</v>
      </c>
      <c r="E311" s="92">
        <f>J11</f>
        <v>0.55470019622522915</v>
      </c>
      <c r="F311" s="92">
        <f>K11</f>
        <v>0.83205029433784372</v>
      </c>
      <c r="G311" s="96">
        <f>IFERROR(VLOOKUP(H311, A$255:D$264, 4, FALSE), 0)</f>
        <v>3.7550082870048747E-2</v>
      </c>
      <c r="H311" s="12" t="str">
        <f>"D" &amp; C21 &amp; "X"</f>
        <v>D2X</v>
      </c>
    </row>
    <row r="312" spans="1:8" ht="19.95" customHeight="1" x14ac:dyDescent="0.3">
      <c r="A312" s="99" t="s">
        <v>290</v>
      </c>
      <c r="B312" s="97">
        <f>(MMULT(C311:F311, G311:G314)*A311)</f>
        <v>-5350.0578018820006</v>
      </c>
      <c r="G312" s="96">
        <f>IFERROR(VLOOKUP(H312, A$255:D$264, 4, FALSE), 0)</f>
        <v>0</v>
      </c>
      <c r="H312" s="12" t="str">
        <f>"D" &amp; D21 &amp; "Y"</f>
        <v>D2Y</v>
      </c>
    </row>
    <row r="313" spans="1:8" ht="19.95" customHeight="1" x14ac:dyDescent="0.3">
      <c r="G313" s="96">
        <f>IFERROR(VLOOKUP(H313, A$255:D$264, 4, FALSE), 0)</f>
        <v>4.2328042328042333E-2</v>
      </c>
      <c r="H313" s="12" t="str">
        <f>"D" &amp; E21 &amp; "X"</f>
        <v>D5X</v>
      </c>
    </row>
    <row r="314" spans="1:8" ht="19.95" customHeight="1" x14ac:dyDescent="0.3">
      <c r="G314" s="96">
        <f>IFERROR(VLOOKUP(H314, A$255:D$264, 4, FALSE), 0)</f>
        <v>-9.5183654750389909E-2</v>
      </c>
      <c r="H314" s="12" t="str">
        <f>"D" &amp; F21 &amp; "Y"</f>
        <v>D5Y</v>
      </c>
    </row>
    <row r="315" spans="1:8" ht="19.95" customHeight="1" x14ac:dyDescent="0.3">
      <c r="B315" s="99" t="s">
        <v>273</v>
      </c>
      <c r="C315" s="178" t="str">
        <f>IF(B312&gt;0.001,"BARRA A TRACCIÓN (+)",IF(B312&lt;-0.001,"BARRA A COMPRESIÓN (-)","BARRA DE FUERZA NULA"))</f>
        <v>BARRA A COMPRESIÓN (-)</v>
      </c>
      <c r="D315" s="172"/>
      <c r="E315" s="172"/>
      <c r="F315" s="173"/>
    </row>
    <row r="317" spans="1:8" ht="18" customHeight="1" x14ac:dyDescent="0.3">
      <c r="A317" s="19" t="s">
        <v>278</v>
      </c>
      <c r="C317" s="19" t="s">
        <v>279</v>
      </c>
      <c r="D317" s="19" t="s">
        <v>280</v>
      </c>
      <c r="E317" s="19" t="s">
        <v>279</v>
      </c>
      <c r="F317" s="19" t="s">
        <v>280</v>
      </c>
      <c r="G317" s="19" t="s">
        <v>249</v>
      </c>
    </row>
    <row r="318" spans="1:8" ht="16.05" customHeight="1" x14ac:dyDescent="0.3">
      <c r="C318" s="19" t="s">
        <v>282</v>
      </c>
      <c r="D318" s="19" t="s">
        <v>282</v>
      </c>
      <c r="E318" s="19" t="s">
        <v>283</v>
      </c>
      <c r="F318" s="19" t="s">
        <v>283</v>
      </c>
    </row>
    <row r="319" spans="1:8" ht="19.95" customHeight="1" x14ac:dyDescent="0.3">
      <c r="A319" s="17">
        <f>N12</f>
        <v>69892.224724378873</v>
      </c>
      <c r="C319" s="92">
        <f>-J12</f>
        <v>-0.55470019622522915</v>
      </c>
      <c r="D319" s="92">
        <f>-K12</f>
        <v>0.83205029433784372</v>
      </c>
      <c r="E319" s="92">
        <f>J12</f>
        <v>0.55470019622522915</v>
      </c>
      <c r="F319" s="92">
        <f>K12</f>
        <v>-0.83205029433784372</v>
      </c>
      <c r="G319" s="96">
        <f>IFERROR(VLOOKUP(H319, A$255:D$264, 4, FALSE), 0)</f>
        <v>4.2328042328042333E-2</v>
      </c>
      <c r="H319" s="12" t="str">
        <f>"D" &amp; C22 &amp; "X"</f>
        <v>D5X</v>
      </c>
    </row>
    <row r="320" spans="1:8" ht="19.95" customHeight="1" x14ac:dyDescent="0.3">
      <c r="A320" s="99" t="s">
        <v>291</v>
      </c>
      <c r="B320" s="97">
        <f>(MMULT(C319:F319, G319:G322)*A319)</f>
        <v>-4264.7455993553067</v>
      </c>
      <c r="G320" s="96">
        <f>IFERROR(VLOOKUP(H320, A$255:D$264, 4, FALSE), 0)</f>
        <v>-9.5183654750389909E-2</v>
      </c>
      <c r="H320" s="12" t="str">
        <f>"D" &amp; D22 &amp; "Y"</f>
        <v>D5Y</v>
      </c>
    </row>
    <row r="321" spans="2:8" ht="19.95" customHeight="1" x14ac:dyDescent="0.3">
      <c r="G321" s="96">
        <f>IFERROR(VLOOKUP(H321, A$255:D$264, 4, FALSE), 0)</f>
        <v>7.510016574009748E-2</v>
      </c>
      <c r="H321" s="12" t="str">
        <f>"D" &amp; E22 &amp; "X"</f>
        <v>D3X</v>
      </c>
    </row>
    <row r="322" spans="2:8" ht="19.95" customHeight="1" x14ac:dyDescent="0.3">
      <c r="G322" s="96">
        <f>IFERROR(VLOOKUP(H322, A$255:D$264, 4, FALSE), 0)</f>
        <v>0</v>
      </c>
      <c r="H322" s="12" t="str">
        <f>"D" &amp; F22 &amp; "Y"</f>
        <v>D3Y</v>
      </c>
    </row>
    <row r="323" spans="2:8" ht="19.95" customHeight="1" x14ac:dyDescent="0.3">
      <c r="B323" s="99" t="s">
        <v>273</v>
      </c>
      <c r="C323" s="178" t="str">
        <f>IF(B320&gt;0.001,"BARRA A TRACCIÓN (+)",IF(B320&lt;-0.001,"BARRA A COMPRESIÓN (-)","BARRA DE FUERZA NULA"))</f>
        <v>BARRA A COMPRESIÓN (-)</v>
      </c>
      <c r="D323" s="172"/>
      <c r="E323" s="172"/>
      <c r="F323" s="173"/>
    </row>
    <row r="326" spans="2:8" ht="22.05" customHeight="1" x14ac:dyDescent="0.3">
      <c r="B326" s="217" t="s">
        <v>404</v>
      </c>
      <c r="C326" s="175"/>
      <c r="D326" s="175"/>
      <c r="E326" s="175"/>
      <c r="F326" s="175"/>
      <c r="G326" s="175"/>
      <c r="H326" s="175"/>
    </row>
    <row r="327" spans="2:8" ht="24" customHeight="1" x14ac:dyDescent="0.3">
      <c r="B327" s="87" t="s">
        <v>294</v>
      </c>
      <c r="C327" s="87" t="s">
        <v>295</v>
      </c>
      <c r="D327" s="87" t="s">
        <v>296</v>
      </c>
      <c r="E327" s="87" t="s">
        <v>297</v>
      </c>
      <c r="F327" s="87" t="s">
        <v>298</v>
      </c>
      <c r="G327" s="87" t="s">
        <v>299</v>
      </c>
      <c r="H327" s="87" t="s">
        <v>300</v>
      </c>
    </row>
    <row r="328" spans="2:8" ht="19.95" customHeight="1" x14ac:dyDescent="0.3">
      <c r="B328" s="85">
        <v>1</v>
      </c>
      <c r="C328" s="86">
        <f t="shared" ref="C328:C334" si="41">C16</f>
        <v>1</v>
      </c>
      <c r="D328" s="86">
        <f t="shared" ref="D328:D334" si="42">E16</f>
        <v>2</v>
      </c>
      <c r="E328" s="9">
        <f t="shared" ref="E328:E334" si="43">I6</f>
        <v>400</v>
      </c>
      <c r="F328" s="9">
        <f t="shared" ref="F328:F334" si="44">L6</f>
        <v>12</v>
      </c>
      <c r="G328" s="97">
        <f>B272</f>
        <v>2365.6552208130711</v>
      </c>
      <c r="H328" s="84" t="str">
        <f>C275</f>
        <v>BARRA A TRACCIÓN (+)</v>
      </c>
    </row>
    <row r="329" spans="2:8" ht="19.95" customHeight="1" x14ac:dyDescent="0.3">
      <c r="B329" s="25">
        <v>2</v>
      </c>
      <c r="C329" s="86">
        <f t="shared" si="41"/>
        <v>2</v>
      </c>
      <c r="D329" s="86">
        <f t="shared" si="42"/>
        <v>3</v>
      </c>
      <c r="E329" s="9">
        <f t="shared" si="43"/>
        <v>400</v>
      </c>
      <c r="F329" s="9">
        <f t="shared" si="44"/>
        <v>12</v>
      </c>
      <c r="G329" s="97">
        <f>B280</f>
        <v>2365.6552208130702</v>
      </c>
      <c r="H329" s="84" t="str">
        <f>C283</f>
        <v>BARRA A TRACCIÓN (+)</v>
      </c>
    </row>
    <row r="330" spans="2:8" ht="19.95" customHeight="1" x14ac:dyDescent="0.3">
      <c r="B330" s="26">
        <v>3</v>
      </c>
      <c r="C330" s="86">
        <f t="shared" si="41"/>
        <v>1</v>
      </c>
      <c r="D330" s="86">
        <f t="shared" si="42"/>
        <v>4</v>
      </c>
      <c r="E330" s="9">
        <f t="shared" si="43"/>
        <v>360.55512754639892</v>
      </c>
      <c r="F330" s="9">
        <f t="shared" si="44"/>
        <v>12</v>
      </c>
      <c r="G330" s="97">
        <f>B288</f>
        <v>-4264.7455993553067</v>
      </c>
      <c r="H330" s="84" t="str">
        <f>C291</f>
        <v>BARRA A COMPRESIÓN (-)</v>
      </c>
    </row>
    <row r="331" spans="2:8" ht="19.95" customHeight="1" x14ac:dyDescent="0.3">
      <c r="B331" s="43">
        <v>4</v>
      </c>
      <c r="C331" s="86">
        <f t="shared" si="41"/>
        <v>4</v>
      </c>
      <c r="D331" s="86">
        <f t="shared" si="42"/>
        <v>2</v>
      </c>
      <c r="E331" s="9">
        <f t="shared" si="43"/>
        <v>360.55512754639892</v>
      </c>
      <c r="F331" s="9">
        <f t="shared" si="44"/>
        <v>12</v>
      </c>
      <c r="G331" s="97">
        <f>B296</f>
        <v>-5350.0578018819997</v>
      </c>
      <c r="H331" s="84" t="str">
        <f>C299</f>
        <v>BARRA A COMPRESIÓN (-)</v>
      </c>
    </row>
    <row r="332" spans="2:8" ht="19.95" customHeight="1" x14ac:dyDescent="0.3">
      <c r="B332" s="44">
        <v>5</v>
      </c>
      <c r="C332" s="86">
        <f t="shared" si="41"/>
        <v>4</v>
      </c>
      <c r="D332" s="86">
        <f t="shared" si="42"/>
        <v>5</v>
      </c>
      <c r="E332" s="9">
        <f t="shared" si="43"/>
        <v>400</v>
      </c>
      <c r="F332" s="9">
        <f t="shared" si="44"/>
        <v>12</v>
      </c>
      <c r="G332" s="97">
        <f>B304</f>
        <v>602.02289170719314</v>
      </c>
      <c r="H332" s="84" t="str">
        <f>C307</f>
        <v>BARRA A TRACCIÓN (+)</v>
      </c>
    </row>
    <row r="333" spans="2:8" ht="19.95" customHeight="1" x14ac:dyDescent="0.3">
      <c r="B333" s="51">
        <v>6</v>
      </c>
      <c r="C333" s="86">
        <f t="shared" si="41"/>
        <v>2</v>
      </c>
      <c r="D333" s="86">
        <f t="shared" si="42"/>
        <v>5</v>
      </c>
      <c r="E333" s="9">
        <f t="shared" si="43"/>
        <v>360.55512754639892</v>
      </c>
      <c r="F333" s="9">
        <f t="shared" si="44"/>
        <v>12</v>
      </c>
      <c r="G333" s="97">
        <f>B312</f>
        <v>-5350.0578018820006</v>
      </c>
      <c r="H333" s="84" t="str">
        <f>C315</f>
        <v>BARRA A COMPRESIÓN (-)</v>
      </c>
    </row>
    <row r="334" spans="2:8" ht="19.95" customHeight="1" x14ac:dyDescent="0.3">
      <c r="B334" s="52">
        <v>7</v>
      </c>
      <c r="C334" s="86">
        <f t="shared" si="41"/>
        <v>5</v>
      </c>
      <c r="D334" s="86">
        <f t="shared" si="42"/>
        <v>3</v>
      </c>
      <c r="E334" s="9">
        <f t="shared" si="43"/>
        <v>360.55512754639892</v>
      </c>
      <c r="F334" s="9">
        <f t="shared" si="44"/>
        <v>12</v>
      </c>
      <c r="G334" s="97">
        <f>B320</f>
        <v>-4264.7455993553067</v>
      </c>
      <c r="H334" s="84" t="str">
        <f>C323</f>
        <v>BARRA A COMPRESIÓN (-)</v>
      </c>
    </row>
  </sheetData>
  <mergeCells count="131">
    <mergeCell ref="E3:H3"/>
    <mergeCell ref="N202:S202"/>
    <mergeCell ref="N211:S211"/>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01:S201"/>
    <mergeCell ref="K4:K5"/>
    <mergeCell ref="N183:S183"/>
    <mergeCell ref="N192:S192"/>
    <mergeCell ref="N275:S275"/>
    <mergeCell ref="B1:N1"/>
    <mergeCell ref="N188:S188"/>
    <mergeCell ref="N246:S246"/>
    <mergeCell ref="N193:S193"/>
    <mergeCell ref="N233:S233"/>
    <mergeCell ref="N248:S248"/>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N181:S181"/>
    <mergeCell ref="N244:S244"/>
    <mergeCell ref="N203:S203"/>
    <mergeCell ref="N174:S174"/>
    <mergeCell ref="B2:N2"/>
    <mergeCell ref="C228:D228"/>
    <mergeCell ref="N228:S228"/>
    <mergeCell ref="B4:B5"/>
    <mergeCell ref="N212:S212"/>
    <mergeCell ref="N268:S268"/>
    <mergeCell ref="C195:D195"/>
    <mergeCell ref="B3:D3"/>
    <mergeCell ref="N250:S250"/>
    <mergeCell ref="N197:S197"/>
    <mergeCell ref="N206:S206"/>
    <mergeCell ref="N221:S221"/>
    <mergeCell ref="B14:B15"/>
    <mergeCell ref="N4:N5"/>
    <mergeCell ref="N234:S234"/>
    <mergeCell ref="N172:S172"/>
    <mergeCell ref="C219:H219"/>
    <mergeCell ref="G4:G5"/>
    <mergeCell ref="I4:I5"/>
    <mergeCell ref="N173:S173"/>
    <mergeCell ref="N175:S175"/>
    <mergeCell ref="M4:M5"/>
    <mergeCell ref="H4:H5"/>
    <mergeCell ref="N239:S239"/>
    <mergeCell ref="B326:H326"/>
    <mergeCell ref="N241:S241"/>
    <mergeCell ref="N216:S216"/>
    <mergeCell ref="N198:S198"/>
    <mergeCell ref="N225:S225"/>
    <mergeCell ref="N281:S281"/>
    <mergeCell ref="C220:H220"/>
    <mergeCell ref="N280:S280"/>
    <mergeCell ref="N218:S218"/>
    <mergeCell ref="N227:S227"/>
    <mergeCell ref="N242:S242"/>
    <mergeCell ref="N291:S291"/>
    <mergeCell ref="C299:F299"/>
    <mergeCell ref="N238:S238"/>
    <mergeCell ref="N278:S278"/>
    <mergeCell ref="C283:F283"/>
    <mergeCell ref="N292:S292"/>
    <mergeCell ref="N286:S286"/>
    <mergeCell ref="N267:S267"/>
    <mergeCell ref="N276:S276"/>
    <mergeCell ref="N214:S214"/>
    <mergeCell ref="N224:S224"/>
    <mergeCell ref="N226:S226"/>
    <mergeCell ref="N230:S230"/>
    <mergeCell ref="C307:F307"/>
    <mergeCell ref="C275:F275"/>
    <mergeCell ref="N187:S187"/>
    <mergeCell ref="N196:S196"/>
    <mergeCell ref="N279:S279"/>
    <mergeCell ref="N288:S288"/>
    <mergeCell ref="N283:S283"/>
    <mergeCell ref="N243:S243"/>
    <mergeCell ref="N277:S277"/>
    <mergeCell ref="N189:S189"/>
    <mergeCell ref="N190:S190"/>
    <mergeCell ref="N289:S289"/>
    <mergeCell ref="N231:S231"/>
    <mergeCell ref="N240:S240"/>
    <mergeCell ref="N287:S287"/>
    <mergeCell ref="N282:S282"/>
    <mergeCell ref="C291:F291"/>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663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5</v>
      </c>
      <c r="E6" s="173"/>
      <c r="F6" s="206">
        <f>SUM(F14:G23)</f>
        <v>6</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300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664</v>
      </c>
      <c r="K14" s="172"/>
      <c r="L14" s="172"/>
      <c r="M14" s="172"/>
      <c r="N14" s="172"/>
      <c r="O14" s="173"/>
      <c r="AA14" s="20">
        <f>IF(E31="","",E31)</f>
        <v>300</v>
      </c>
      <c r="AB14" s="20">
        <f>IF(F31="","",F31)</f>
        <v>0</v>
      </c>
      <c r="AC14" t="s">
        <v>328</v>
      </c>
    </row>
    <row r="15" spans="2:29" ht="19.05" customHeight="1" x14ac:dyDescent="0.3">
      <c r="B15" s="89">
        <v>2</v>
      </c>
      <c r="C15" s="21">
        <v>300</v>
      </c>
      <c r="D15" s="21">
        <v>0</v>
      </c>
      <c r="E15" s="21" t="s">
        <v>332</v>
      </c>
      <c r="F15" s="88">
        <f t="shared" si="0"/>
        <v>1</v>
      </c>
      <c r="G15" s="88">
        <f t="shared" si="1"/>
        <v>1</v>
      </c>
      <c r="H15" s="22">
        <v>0</v>
      </c>
      <c r="I15" s="22">
        <v>0</v>
      </c>
      <c r="J15" s="205" t="s">
        <v>665</v>
      </c>
      <c r="K15" s="172"/>
      <c r="L15" s="172"/>
      <c r="M15" s="172"/>
      <c r="N15" s="172"/>
      <c r="O15" s="173"/>
      <c r="AA15" s="20">
        <f>IF(G31="","",G31)</f>
        <v>300</v>
      </c>
      <c r="AB15" s="20">
        <f>IF(H31="","",H31)</f>
        <v>400</v>
      </c>
      <c r="AC15" t="s">
        <v>331</v>
      </c>
    </row>
    <row r="16" spans="2:29" ht="19.05" customHeight="1" x14ac:dyDescent="0.3">
      <c r="B16" s="89">
        <v>3</v>
      </c>
      <c r="C16" s="21">
        <v>600</v>
      </c>
      <c r="D16" s="21">
        <v>0</v>
      </c>
      <c r="E16" s="21" t="s">
        <v>332</v>
      </c>
      <c r="F16" s="88">
        <f t="shared" si="0"/>
        <v>1</v>
      </c>
      <c r="G16" s="88">
        <f t="shared" si="1"/>
        <v>1</v>
      </c>
      <c r="H16" s="22">
        <v>0</v>
      </c>
      <c r="I16" s="22">
        <v>0</v>
      </c>
      <c r="J16" s="205" t="s">
        <v>666</v>
      </c>
      <c r="K16" s="172"/>
      <c r="L16" s="172"/>
      <c r="M16" s="172"/>
      <c r="N16" s="172"/>
      <c r="O16" s="173"/>
    </row>
    <row r="17" spans="2:29" ht="19.05" customHeight="1" x14ac:dyDescent="0.3">
      <c r="B17" s="89">
        <v>4</v>
      </c>
      <c r="C17" s="21">
        <v>300</v>
      </c>
      <c r="D17" s="21">
        <v>400</v>
      </c>
      <c r="E17" s="21" t="s">
        <v>326</v>
      </c>
      <c r="F17" s="88">
        <f t="shared" si="0"/>
        <v>0</v>
      </c>
      <c r="G17" s="88">
        <f t="shared" si="1"/>
        <v>0</v>
      </c>
      <c r="H17" s="22">
        <v>4500</v>
      </c>
      <c r="I17" s="22">
        <v>-12000</v>
      </c>
      <c r="J17" s="205" t="s">
        <v>667</v>
      </c>
      <c r="K17" s="172"/>
      <c r="L17" s="172"/>
      <c r="M17" s="172"/>
      <c r="N17" s="172"/>
      <c r="O17" s="173"/>
      <c r="AA17" s="20">
        <f>IF(E32="","",E32)</f>
        <v>600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300</v>
      </c>
      <c r="AB18" s="20">
        <f>IF(H32="","",H32)</f>
        <v>400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300</v>
      </c>
      <c r="H30" s="5">
        <f t="shared" si="5"/>
        <v>400</v>
      </c>
      <c r="I30" s="9">
        <f t="shared" si="6"/>
        <v>300</v>
      </c>
      <c r="J30" s="9">
        <f t="shared" si="7"/>
        <v>400</v>
      </c>
      <c r="K30" s="9">
        <f t="shared" si="8"/>
        <v>500</v>
      </c>
      <c r="L30" s="92">
        <f t="shared" si="9"/>
        <v>0.6</v>
      </c>
      <c r="M30" s="92">
        <f t="shared" si="10"/>
        <v>0.8</v>
      </c>
      <c r="N30" s="22">
        <v>12</v>
      </c>
      <c r="O30" s="24">
        <v>2100000</v>
      </c>
      <c r="AA30" s="20" t="str">
        <f>IF(G36="","",G36)</f>
        <v/>
      </c>
      <c r="AB30" s="20" t="str">
        <f>IF(H36="","",H36)</f>
        <v/>
      </c>
      <c r="AC30" t="s">
        <v>354</v>
      </c>
    </row>
    <row r="31" spans="2:29" ht="19.05" customHeight="1" x14ac:dyDescent="0.3">
      <c r="B31" s="89">
        <v>4</v>
      </c>
      <c r="C31" s="23">
        <v>2</v>
      </c>
      <c r="D31" s="23">
        <v>4</v>
      </c>
      <c r="E31" s="5">
        <f t="shared" si="2"/>
        <v>300</v>
      </c>
      <c r="F31" s="5">
        <f t="shared" si="3"/>
        <v>0</v>
      </c>
      <c r="G31" s="5">
        <f t="shared" si="4"/>
        <v>300</v>
      </c>
      <c r="H31" s="5">
        <f t="shared" si="5"/>
        <v>400</v>
      </c>
      <c r="I31" s="9">
        <f t="shared" si="6"/>
        <v>0</v>
      </c>
      <c r="J31" s="9">
        <f t="shared" si="7"/>
        <v>400</v>
      </c>
      <c r="K31" s="9">
        <f t="shared" si="8"/>
        <v>400</v>
      </c>
      <c r="L31" s="92">
        <f t="shared" si="9"/>
        <v>0</v>
      </c>
      <c r="M31" s="92">
        <f t="shared" si="10"/>
        <v>1</v>
      </c>
      <c r="N31" s="22">
        <v>12</v>
      </c>
      <c r="O31" s="24">
        <v>2100000</v>
      </c>
    </row>
    <row r="32" spans="2:29" ht="19.05" customHeight="1" x14ac:dyDescent="0.3">
      <c r="B32" s="89">
        <v>5</v>
      </c>
      <c r="C32" s="23">
        <v>3</v>
      </c>
      <c r="D32" s="23">
        <v>4</v>
      </c>
      <c r="E32" s="5">
        <f t="shared" si="2"/>
        <v>600</v>
      </c>
      <c r="F32" s="5">
        <f t="shared" si="3"/>
        <v>0</v>
      </c>
      <c r="G32" s="5">
        <f t="shared" si="4"/>
        <v>300</v>
      </c>
      <c r="H32" s="5">
        <f t="shared" si="5"/>
        <v>400</v>
      </c>
      <c r="I32" s="9">
        <f t="shared" si="6"/>
        <v>-300</v>
      </c>
      <c r="J32" s="9">
        <f t="shared" si="7"/>
        <v>400</v>
      </c>
      <c r="K32" s="9">
        <f t="shared" si="8"/>
        <v>500</v>
      </c>
      <c r="L32" s="92">
        <f t="shared" si="9"/>
        <v>-0.6</v>
      </c>
      <c r="M32" s="92">
        <f t="shared" si="10"/>
        <v>0.8</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B00-000000000000}">
      <formula1>"Fijo (articulado),Rodillo Y (despl. X libre),Rodillo X (despl. Y libre),Libre (0 reac.)"</formula1>
    </dataValidation>
  </dataValidations>
  <pageMargins left="0.75" right="0.75" top="1" bottom="1" header="0.5" footer="0.5"/>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Q24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668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GRAFICA_53!E28</f>
        <v>0</v>
      </c>
      <c r="D6" s="22">
        <f>GRAFICA_53!F28</f>
        <v>0</v>
      </c>
      <c r="E6" s="22">
        <f>GRAFICA_53!G28</f>
        <v>300</v>
      </c>
      <c r="F6" s="22">
        <f>GRAFICA_53!H28</f>
        <v>0</v>
      </c>
      <c r="G6" s="9">
        <f t="shared" ref="G6:H10" si="0">E6-C6</f>
        <v>300</v>
      </c>
      <c r="H6" s="9">
        <f t="shared" si="0"/>
        <v>0</v>
      </c>
      <c r="I6" s="9">
        <f>SQRT(G6*G6+H6*H6)</f>
        <v>300</v>
      </c>
      <c r="J6" s="92">
        <f>G6/I6</f>
        <v>1</v>
      </c>
      <c r="K6" s="92">
        <f>H6/I6</f>
        <v>0</v>
      </c>
      <c r="L6" s="22">
        <f>GRAFICA_53!N28</f>
        <v>12</v>
      </c>
      <c r="M6" s="22">
        <f>GRAFICA_53!O28</f>
        <v>2100000</v>
      </c>
      <c r="N6" s="6">
        <f>L6*M6/I6</f>
        <v>84000</v>
      </c>
    </row>
    <row r="7" spans="2:14" ht="19.05" customHeight="1" x14ac:dyDescent="0.3">
      <c r="B7" s="25">
        <v>2</v>
      </c>
      <c r="C7" s="22">
        <f>GRAFICA_53!E29</f>
        <v>300</v>
      </c>
      <c r="D7" s="22">
        <f>GRAFICA_53!F29</f>
        <v>0</v>
      </c>
      <c r="E7" s="22">
        <f>GRAFICA_53!G29</f>
        <v>600</v>
      </c>
      <c r="F7" s="22">
        <f>GRAFICA_53!H29</f>
        <v>0</v>
      </c>
      <c r="G7" s="9">
        <f t="shared" si="0"/>
        <v>300</v>
      </c>
      <c r="H7" s="9">
        <f t="shared" si="0"/>
        <v>0</v>
      </c>
      <c r="I7" s="9">
        <f>SQRT(G7*G7+H7*H7)</f>
        <v>300</v>
      </c>
      <c r="J7" s="92">
        <f>G7/I7</f>
        <v>1</v>
      </c>
      <c r="K7" s="92">
        <f>H7/I7</f>
        <v>0</v>
      </c>
      <c r="L7" s="22">
        <f>GRAFICA_53!N29</f>
        <v>12</v>
      </c>
      <c r="M7" s="22">
        <f>GRAFICA_53!O29</f>
        <v>2100000</v>
      </c>
      <c r="N7" s="6">
        <f>L7*M7/I7</f>
        <v>84000</v>
      </c>
    </row>
    <row r="8" spans="2:14" ht="19.05" customHeight="1" x14ac:dyDescent="0.3">
      <c r="B8" s="26">
        <v>3</v>
      </c>
      <c r="C8" s="22">
        <f>GRAFICA_53!E30</f>
        <v>0</v>
      </c>
      <c r="D8" s="22">
        <f>GRAFICA_53!F30</f>
        <v>0</v>
      </c>
      <c r="E8" s="22">
        <f>GRAFICA_53!G30</f>
        <v>300</v>
      </c>
      <c r="F8" s="22">
        <f>GRAFICA_53!H30</f>
        <v>400</v>
      </c>
      <c r="G8" s="9">
        <f t="shared" si="0"/>
        <v>300</v>
      </c>
      <c r="H8" s="9">
        <f t="shared" si="0"/>
        <v>400</v>
      </c>
      <c r="I8" s="9">
        <f>SQRT(G8*G8+H8*H8)</f>
        <v>500</v>
      </c>
      <c r="J8" s="92">
        <f>G8/I8</f>
        <v>0.6</v>
      </c>
      <c r="K8" s="92">
        <f>H8/I8</f>
        <v>0.8</v>
      </c>
      <c r="L8" s="22">
        <f>GRAFICA_53!N30</f>
        <v>12</v>
      </c>
      <c r="M8" s="22">
        <f>GRAFICA_53!O30</f>
        <v>2100000</v>
      </c>
      <c r="N8" s="6">
        <f>L8*M8/I8</f>
        <v>50400</v>
      </c>
    </row>
    <row r="9" spans="2:14" ht="19.05" customHeight="1" x14ac:dyDescent="0.3">
      <c r="B9" s="43">
        <v>4</v>
      </c>
      <c r="C9" s="22">
        <f>GRAFICA_53!E31</f>
        <v>300</v>
      </c>
      <c r="D9" s="22">
        <f>GRAFICA_53!F31</f>
        <v>0</v>
      </c>
      <c r="E9" s="22">
        <f>GRAFICA_53!G31</f>
        <v>300</v>
      </c>
      <c r="F9" s="22">
        <f>GRAFICA_53!H31</f>
        <v>400</v>
      </c>
      <c r="G9" s="9">
        <f t="shared" si="0"/>
        <v>0</v>
      </c>
      <c r="H9" s="9">
        <f t="shared" si="0"/>
        <v>400</v>
      </c>
      <c r="I9" s="9">
        <f>SQRT(G9*G9+H9*H9)</f>
        <v>400</v>
      </c>
      <c r="J9" s="92">
        <f>G9/I9</f>
        <v>0</v>
      </c>
      <c r="K9" s="92">
        <f>H9/I9</f>
        <v>1</v>
      </c>
      <c r="L9" s="22">
        <f>GRAFICA_53!N31</f>
        <v>12</v>
      </c>
      <c r="M9" s="22">
        <f>GRAFICA_53!O31</f>
        <v>2100000</v>
      </c>
      <c r="N9" s="6">
        <f>L9*M9/I9</f>
        <v>63000</v>
      </c>
    </row>
    <row r="10" spans="2:14" ht="19.05" customHeight="1" x14ac:dyDescent="0.3">
      <c r="B10" s="44">
        <v>5</v>
      </c>
      <c r="C10" s="22">
        <f>GRAFICA_53!E32</f>
        <v>600</v>
      </c>
      <c r="D10" s="22">
        <f>GRAFICA_53!F32</f>
        <v>0</v>
      </c>
      <c r="E10" s="22">
        <f>GRAFICA_53!G32</f>
        <v>300</v>
      </c>
      <c r="F10" s="22">
        <f>GRAFICA_53!H32</f>
        <v>400</v>
      </c>
      <c r="G10" s="9">
        <f t="shared" si="0"/>
        <v>-300</v>
      </c>
      <c r="H10" s="9">
        <f t="shared" si="0"/>
        <v>400</v>
      </c>
      <c r="I10" s="9">
        <f>SQRT(G10*G10+H10*H10)</f>
        <v>500</v>
      </c>
      <c r="J10" s="92">
        <f>G10/I10</f>
        <v>-0.6</v>
      </c>
      <c r="K10" s="92">
        <f>H10/I10</f>
        <v>0.8</v>
      </c>
      <c r="L10" s="22">
        <f>GRAFICA_53!N32</f>
        <v>12</v>
      </c>
      <c r="M10" s="22">
        <f>GRAFICA_53!O32</f>
        <v>2100000</v>
      </c>
      <c r="N10" s="6">
        <f>L10*M10/I10</f>
        <v>50400</v>
      </c>
    </row>
    <row r="12" spans="2:14" ht="18" customHeight="1" x14ac:dyDescent="0.3">
      <c r="B12" s="202" t="s">
        <v>145</v>
      </c>
      <c r="C12" s="202" t="s">
        <v>369</v>
      </c>
      <c r="D12" s="173"/>
      <c r="E12" s="202" t="s">
        <v>370</v>
      </c>
      <c r="F12" s="173"/>
    </row>
    <row r="13" spans="2:14" ht="18" customHeight="1" x14ac:dyDescent="0.3">
      <c r="B13" s="203"/>
      <c r="C13" s="81" t="s">
        <v>157</v>
      </c>
      <c r="D13" s="81" t="s">
        <v>158</v>
      </c>
      <c r="E13" s="81" t="s">
        <v>157</v>
      </c>
      <c r="F13" s="81" t="s">
        <v>158</v>
      </c>
    </row>
    <row r="14" spans="2:14" ht="19.05" customHeight="1" x14ac:dyDescent="0.3">
      <c r="B14" s="85">
        <v>1</v>
      </c>
      <c r="C14" s="23">
        <f>GRAFICA_53!C28</f>
        <v>1</v>
      </c>
      <c r="D14" s="23">
        <f>GRAFICA_53!C28</f>
        <v>1</v>
      </c>
      <c r="E14" s="23">
        <f>GRAFICA_53!D28</f>
        <v>2</v>
      </c>
      <c r="F14" s="23">
        <f>GRAFICA_53!D28</f>
        <v>2</v>
      </c>
    </row>
    <row r="15" spans="2:14" ht="19.05" customHeight="1" x14ac:dyDescent="0.3">
      <c r="B15" s="25">
        <v>2</v>
      </c>
      <c r="C15" s="23">
        <f>GRAFICA_53!C29</f>
        <v>2</v>
      </c>
      <c r="D15" s="23">
        <f>GRAFICA_53!C29</f>
        <v>2</v>
      </c>
      <c r="E15" s="23">
        <f>GRAFICA_53!D29</f>
        <v>3</v>
      </c>
      <c r="F15" s="23">
        <f>GRAFICA_53!D29</f>
        <v>3</v>
      </c>
    </row>
    <row r="16" spans="2:14" ht="19.05" customHeight="1" x14ac:dyDescent="0.3">
      <c r="B16" s="26">
        <v>3</v>
      </c>
      <c r="C16" s="23">
        <f>GRAFICA_53!C30</f>
        <v>1</v>
      </c>
      <c r="D16" s="23">
        <f>GRAFICA_53!C30</f>
        <v>1</v>
      </c>
      <c r="E16" s="23">
        <f>GRAFICA_53!D30</f>
        <v>4</v>
      </c>
      <c r="F16" s="23">
        <f>GRAFICA_53!D30</f>
        <v>4</v>
      </c>
    </row>
    <row r="17" spans="1:10" ht="19.05" customHeight="1" x14ac:dyDescent="0.3">
      <c r="B17" s="43">
        <v>4</v>
      </c>
      <c r="C17" s="23">
        <f>GRAFICA_53!C31</f>
        <v>2</v>
      </c>
      <c r="D17" s="23">
        <f>GRAFICA_53!C31</f>
        <v>2</v>
      </c>
      <c r="E17" s="23">
        <f>GRAFICA_53!D31</f>
        <v>4</v>
      </c>
      <c r="F17" s="23">
        <f>GRAFICA_53!D31</f>
        <v>4</v>
      </c>
    </row>
    <row r="18" spans="1:10" ht="19.05" customHeight="1" x14ac:dyDescent="0.3">
      <c r="B18" s="44">
        <v>5</v>
      </c>
      <c r="C18" s="23">
        <f>GRAFICA_53!C32</f>
        <v>3</v>
      </c>
      <c r="D18" s="23">
        <f>GRAFICA_53!C32</f>
        <v>3</v>
      </c>
      <c r="E18" s="23">
        <f>GRAFICA_53!D32</f>
        <v>4</v>
      </c>
      <c r="F18" s="23">
        <f>GRAFICA_53!D32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84000</v>
      </c>
      <c r="C22" s="7">
        <f>J6*K6*N6</f>
        <v>0</v>
      </c>
      <c r="D22" s="7">
        <f>-B22</f>
        <v>-84000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-84000</v>
      </c>
      <c r="C24" s="7">
        <f>E22</f>
        <v>0</v>
      </c>
      <c r="D24" s="7">
        <f>B22</f>
        <v>84000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84000</v>
      </c>
      <c r="C28" s="8">
        <f t="shared" si="1"/>
        <v>0</v>
      </c>
      <c r="D28" s="8">
        <f t="shared" si="1"/>
        <v>-84000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-84000</v>
      </c>
      <c r="C30" s="8">
        <f t="shared" si="1"/>
        <v>0</v>
      </c>
      <c r="D30" s="8">
        <f t="shared" si="1"/>
        <v>84000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84000</v>
      </c>
      <c r="C39" s="30">
        <f>J7*K7*N7</f>
        <v>0</v>
      </c>
      <c r="D39" s="30">
        <f>-B39</f>
        <v>-84000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-84000</v>
      </c>
      <c r="C41" s="30">
        <f>E39</f>
        <v>0</v>
      </c>
      <c r="D41" s="30">
        <f>B39</f>
        <v>84000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84000</v>
      </c>
      <c r="E47" s="31">
        <f t="shared" si="2"/>
        <v>0</v>
      </c>
      <c r="F47" s="31">
        <f t="shared" si="2"/>
        <v>-84000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-84000</v>
      </c>
      <c r="E49" s="31">
        <f t="shared" si="2"/>
        <v>0</v>
      </c>
      <c r="F49" s="31">
        <f t="shared" si="2"/>
        <v>84000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18144</v>
      </c>
      <c r="C56" s="33">
        <f>J8*K8*N8</f>
        <v>24192</v>
      </c>
      <c r="D56" s="33">
        <f>-B56</f>
        <v>-18144</v>
      </c>
      <c r="E56" s="33">
        <f>-C56</f>
        <v>-24192</v>
      </c>
      <c r="F56" s="32" t="str">
        <f>B55</f>
        <v>U1X</v>
      </c>
    </row>
    <row r="57" spans="1:10" ht="16.8" customHeight="1" x14ac:dyDescent="0.3">
      <c r="A57" s="28" t="s">
        <v>193</v>
      </c>
      <c r="B57" s="33">
        <f>C56</f>
        <v>24192</v>
      </c>
      <c r="C57" s="33">
        <f>K8*K8*N8</f>
        <v>32256.000000000007</v>
      </c>
      <c r="D57" s="33">
        <f>-B57</f>
        <v>-24192</v>
      </c>
      <c r="E57" s="33">
        <f>-C57</f>
        <v>-32256.000000000007</v>
      </c>
      <c r="F57" s="32" t="str">
        <f>C55</f>
        <v>U1Y</v>
      </c>
    </row>
    <row r="58" spans="1:10" x14ac:dyDescent="0.3">
      <c r="B58" s="33">
        <f>D56</f>
        <v>-18144</v>
      </c>
      <c r="C58" s="33">
        <f>E56</f>
        <v>-24192</v>
      </c>
      <c r="D58" s="33">
        <f>B56</f>
        <v>18144</v>
      </c>
      <c r="E58" s="33">
        <f>C56</f>
        <v>24192</v>
      </c>
      <c r="F58" s="32" t="str">
        <f>D55</f>
        <v>U4X</v>
      </c>
    </row>
    <row r="59" spans="1:10" x14ac:dyDescent="0.3">
      <c r="B59" s="33">
        <f>D57</f>
        <v>-24192</v>
      </c>
      <c r="C59" s="33">
        <f>E57</f>
        <v>-32256.000000000007</v>
      </c>
      <c r="D59" s="33">
        <f>B57</f>
        <v>24192</v>
      </c>
      <c r="E59" s="33">
        <f>C57</f>
        <v>32256.000000000007</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18144</v>
      </c>
      <c r="C62" s="34">
        <f t="shared" si="3"/>
        <v>24192</v>
      </c>
      <c r="D62" s="9">
        <f t="shared" si="3"/>
        <v>0</v>
      </c>
      <c r="E62" s="9">
        <f t="shared" si="3"/>
        <v>0</v>
      </c>
      <c r="F62" s="9">
        <f t="shared" si="3"/>
        <v>0</v>
      </c>
      <c r="G62" s="9">
        <f t="shared" si="3"/>
        <v>0</v>
      </c>
      <c r="H62" s="34">
        <f t="shared" si="3"/>
        <v>-18144</v>
      </c>
      <c r="I62" s="34">
        <f t="shared" si="3"/>
        <v>-24192</v>
      </c>
      <c r="J62" s="32" t="s">
        <v>178</v>
      </c>
    </row>
    <row r="63" spans="1:10" ht="19.05" customHeight="1" x14ac:dyDescent="0.3">
      <c r="B63" s="34">
        <f t="shared" si="3"/>
        <v>24192</v>
      </c>
      <c r="C63" s="34">
        <f t="shared" si="3"/>
        <v>32256.000000000007</v>
      </c>
      <c r="D63" s="9">
        <f t="shared" si="3"/>
        <v>0</v>
      </c>
      <c r="E63" s="9">
        <f t="shared" si="3"/>
        <v>0</v>
      </c>
      <c r="F63" s="9">
        <f t="shared" si="3"/>
        <v>0</v>
      </c>
      <c r="G63" s="9">
        <f t="shared" si="3"/>
        <v>0</v>
      </c>
      <c r="H63" s="34">
        <f t="shared" si="3"/>
        <v>-24192</v>
      </c>
      <c r="I63" s="34">
        <f t="shared" si="3"/>
        <v>-32256.000000000007</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-18144</v>
      </c>
      <c r="C68" s="34">
        <f t="shared" si="3"/>
        <v>-24192</v>
      </c>
      <c r="D68" s="9">
        <f t="shared" si="3"/>
        <v>0</v>
      </c>
      <c r="E68" s="9">
        <f t="shared" si="3"/>
        <v>0</v>
      </c>
      <c r="F68" s="9">
        <f t="shared" si="3"/>
        <v>0</v>
      </c>
      <c r="G68" s="9">
        <f t="shared" si="3"/>
        <v>0</v>
      </c>
      <c r="H68" s="34">
        <f t="shared" si="3"/>
        <v>18144</v>
      </c>
      <c r="I68" s="34">
        <f t="shared" si="3"/>
        <v>24192</v>
      </c>
      <c r="J68" s="32" t="s">
        <v>184</v>
      </c>
    </row>
    <row r="69" spans="1:10" ht="19.05" customHeight="1" x14ac:dyDescent="0.3">
      <c r="B69" s="34">
        <f t="shared" si="3"/>
        <v>-24192</v>
      </c>
      <c r="C69" s="34">
        <f t="shared" si="3"/>
        <v>-32256.000000000007</v>
      </c>
      <c r="D69" s="9">
        <f t="shared" si="3"/>
        <v>0</v>
      </c>
      <c r="E69" s="9">
        <f t="shared" si="3"/>
        <v>0</v>
      </c>
      <c r="F69" s="9">
        <f t="shared" si="3"/>
        <v>0</v>
      </c>
      <c r="G69" s="9">
        <f t="shared" si="3"/>
        <v>0</v>
      </c>
      <c r="H69" s="34">
        <f t="shared" si="3"/>
        <v>24192</v>
      </c>
      <c r="I69" s="34">
        <f t="shared" si="3"/>
        <v>32256.000000000007</v>
      </c>
      <c r="J69" s="32" t="s">
        <v>185</v>
      </c>
    </row>
    <row r="72" spans="1:10" ht="18" customHeight="1" x14ac:dyDescent="0.3">
      <c r="B72" s="45" t="str">
        <f>CONCATENATE("U",C17,C$13)</f>
        <v>U2X</v>
      </c>
      <c r="C72" s="45" t="str">
        <f>CONCATENATE("U",D17,D$13)</f>
        <v>U2Y</v>
      </c>
      <c r="D72" s="45" t="str">
        <f>CONCATENATE("U",E17,E$13)</f>
        <v>U4X</v>
      </c>
      <c r="E72" s="45" t="str">
        <f>CONCATENATE("U",F17,F$13)</f>
        <v>U4Y</v>
      </c>
    </row>
    <row r="73" spans="1:10" x14ac:dyDescent="0.3">
      <c r="B73" s="46">
        <f>J9*J9*N9</f>
        <v>0</v>
      </c>
      <c r="C73" s="46">
        <f>J9*K9*N9</f>
        <v>0</v>
      </c>
      <c r="D73" s="46">
        <f>-B73</f>
        <v>0</v>
      </c>
      <c r="E73" s="46">
        <f>-C73</f>
        <v>0</v>
      </c>
      <c r="F73" s="45" t="str">
        <f>B72</f>
        <v>U2X</v>
      </c>
    </row>
    <row r="74" spans="1:10" ht="16.8" customHeight="1" x14ac:dyDescent="0.3">
      <c r="A74" s="28" t="s">
        <v>195</v>
      </c>
      <c r="B74" s="46">
        <f>C73</f>
        <v>0</v>
      </c>
      <c r="C74" s="46">
        <f>K9*K9*N9</f>
        <v>63000</v>
      </c>
      <c r="D74" s="46">
        <f>-B74</f>
        <v>0</v>
      </c>
      <c r="E74" s="46">
        <f>-C74</f>
        <v>-63000</v>
      </c>
      <c r="F74" s="45" t="str">
        <f>C72</f>
        <v>U2Y</v>
      </c>
    </row>
    <row r="75" spans="1:10" x14ac:dyDescent="0.3">
      <c r="B75" s="46">
        <f>D73</f>
        <v>0</v>
      </c>
      <c r="C75" s="46">
        <f>E73</f>
        <v>0</v>
      </c>
      <c r="D75" s="46">
        <f>B73</f>
        <v>0</v>
      </c>
      <c r="E75" s="46">
        <f>C73</f>
        <v>0</v>
      </c>
      <c r="F75" s="45" t="str">
        <f>D72</f>
        <v>U4X</v>
      </c>
    </row>
    <row r="76" spans="1:10" x14ac:dyDescent="0.3">
      <c r="B76" s="46">
        <f>D74</f>
        <v>0</v>
      </c>
      <c r="C76" s="46">
        <f>E74</f>
        <v>-63000</v>
      </c>
      <c r="D76" s="46">
        <f>B74</f>
        <v>0</v>
      </c>
      <c r="E76" s="46">
        <f>C74</f>
        <v>63000</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47">
        <f t="shared" si="4"/>
        <v>0</v>
      </c>
      <c r="E81" s="47">
        <f t="shared" si="4"/>
        <v>0</v>
      </c>
      <c r="F81" s="9">
        <f t="shared" si="4"/>
        <v>0</v>
      </c>
      <c r="G81" s="9">
        <f t="shared" si="4"/>
        <v>0</v>
      </c>
      <c r="H81" s="47">
        <f t="shared" si="4"/>
        <v>0</v>
      </c>
      <c r="I81" s="47">
        <f t="shared" si="4"/>
        <v>0</v>
      </c>
      <c r="J81" s="45" t="s">
        <v>180</v>
      </c>
    </row>
    <row r="82" spans="1:10" ht="19.05" customHeight="1" x14ac:dyDescent="0.3">
      <c r="A82" s="28" t="s">
        <v>196</v>
      </c>
      <c r="B82" s="9">
        <f t="shared" si="4"/>
        <v>0</v>
      </c>
      <c r="C82" s="9">
        <f t="shared" si="4"/>
        <v>0</v>
      </c>
      <c r="D82" s="47">
        <f t="shared" si="4"/>
        <v>0</v>
      </c>
      <c r="E82" s="47">
        <f t="shared" si="4"/>
        <v>63000</v>
      </c>
      <c r="F82" s="9">
        <f t="shared" si="4"/>
        <v>0</v>
      </c>
      <c r="G82" s="9">
        <f t="shared" si="4"/>
        <v>0</v>
      </c>
      <c r="H82" s="47">
        <f t="shared" si="4"/>
        <v>0</v>
      </c>
      <c r="I82" s="47">
        <f t="shared" si="4"/>
        <v>-63000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9">
        <f t="shared" si="4"/>
        <v>0</v>
      </c>
      <c r="C85" s="9">
        <f t="shared" si="4"/>
        <v>0</v>
      </c>
      <c r="D85" s="47">
        <f t="shared" si="4"/>
        <v>0</v>
      </c>
      <c r="E85" s="47">
        <f t="shared" si="4"/>
        <v>0</v>
      </c>
      <c r="F85" s="9">
        <f t="shared" si="4"/>
        <v>0</v>
      </c>
      <c r="G85" s="9">
        <f t="shared" si="4"/>
        <v>0</v>
      </c>
      <c r="H85" s="47">
        <f t="shared" si="4"/>
        <v>0</v>
      </c>
      <c r="I85" s="47">
        <f t="shared" si="4"/>
        <v>0</v>
      </c>
      <c r="J85" s="45" t="s">
        <v>184</v>
      </c>
    </row>
    <row r="86" spans="1:10" ht="19.05" customHeight="1" x14ac:dyDescent="0.3">
      <c r="B86" s="9">
        <f t="shared" si="4"/>
        <v>0</v>
      </c>
      <c r="C86" s="9">
        <f t="shared" si="4"/>
        <v>0</v>
      </c>
      <c r="D86" s="47">
        <f t="shared" si="4"/>
        <v>0</v>
      </c>
      <c r="E86" s="47">
        <f t="shared" si="4"/>
        <v>-63000</v>
      </c>
      <c r="F86" s="9">
        <f t="shared" si="4"/>
        <v>0</v>
      </c>
      <c r="G86" s="9">
        <f t="shared" si="4"/>
        <v>0</v>
      </c>
      <c r="H86" s="47">
        <f t="shared" si="4"/>
        <v>0</v>
      </c>
      <c r="I86" s="47">
        <f t="shared" si="4"/>
        <v>63000</v>
      </c>
      <c r="J86" s="45" t="s">
        <v>185</v>
      </c>
    </row>
    <row r="89" spans="1:10" ht="18" customHeight="1" x14ac:dyDescent="0.3">
      <c r="B89" s="48" t="str">
        <f>CONCATENATE("U",C18,C$13)</f>
        <v>U3X</v>
      </c>
      <c r="C89" s="48" t="str">
        <f>CONCATENATE("U",D18,D$13)</f>
        <v>U3Y</v>
      </c>
      <c r="D89" s="48" t="str">
        <f>CONCATENATE("U",E18,E$13)</f>
        <v>U4X</v>
      </c>
      <c r="E89" s="48" t="str">
        <f>CONCATENATE("U",F18,F$13)</f>
        <v>U4Y</v>
      </c>
    </row>
    <row r="90" spans="1:10" x14ac:dyDescent="0.3">
      <c r="B90" s="49">
        <f>J10*J10*N10</f>
        <v>18144</v>
      </c>
      <c r="C90" s="49">
        <f>J10*K10*N10</f>
        <v>-24192</v>
      </c>
      <c r="D90" s="49">
        <f>-B90</f>
        <v>-18144</v>
      </c>
      <c r="E90" s="49">
        <f>-C90</f>
        <v>24192</v>
      </c>
      <c r="F90" s="48" t="str">
        <f>B89</f>
        <v>U3X</v>
      </c>
    </row>
    <row r="91" spans="1:10" ht="16.8" customHeight="1" x14ac:dyDescent="0.3">
      <c r="A91" s="28" t="s">
        <v>197</v>
      </c>
      <c r="B91" s="49">
        <f>C90</f>
        <v>-24192</v>
      </c>
      <c r="C91" s="49">
        <f>K10*K10*N10</f>
        <v>32256.000000000007</v>
      </c>
      <c r="D91" s="49">
        <f>-B91</f>
        <v>24192</v>
      </c>
      <c r="E91" s="49">
        <f>-C91</f>
        <v>-32256.000000000007</v>
      </c>
      <c r="F91" s="48" t="str">
        <f>C89</f>
        <v>U3Y</v>
      </c>
    </row>
    <row r="92" spans="1:10" x14ac:dyDescent="0.3">
      <c r="B92" s="49">
        <f>D90</f>
        <v>-18144</v>
      </c>
      <c r="C92" s="49">
        <f>E90</f>
        <v>24192</v>
      </c>
      <c r="D92" s="49">
        <f>B90</f>
        <v>18144</v>
      </c>
      <c r="E92" s="49">
        <f>C90</f>
        <v>-24192</v>
      </c>
      <c r="F92" s="48" t="str">
        <f>D89</f>
        <v>U4X</v>
      </c>
    </row>
    <row r="93" spans="1:10" x14ac:dyDescent="0.3">
      <c r="B93" s="49">
        <f>D91</f>
        <v>24192</v>
      </c>
      <c r="C93" s="49">
        <f>E91</f>
        <v>-32256.000000000007</v>
      </c>
      <c r="D93" s="49">
        <f>B91</f>
        <v>-24192</v>
      </c>
      <c r="E93" s="49">
        <f>C91</f>
        <v>32256.000000000007</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9">
        <f t="shared" si="5"/>
        <v>0</v>
      </c>
      <c r="C100" s="9">
        <f t="shared" si="5"/>
        <v>0</v>
      </c>
      <c r="D100" s="9">
        <f t="shared" si="5"/>
        <v>0</v>
      </c>
      <c r="E100" s="9">
        <f t="shared" si="5"/>
        <v>0</v>
      </c>
      <c r="F100" s="50">
        <f t="shared" si="5"/>
        <v>18144</v>
      </c>
      <c r="G100" s="50">
        <f t="shared" si="5"/>
        <v>-24192</v>
      </c>
      <c r="H100" s="50">
        <f t="shared" si="5"/>
        <v>-18144</v>
      </c>
      <c r="I100" s="50">
        <f t="shared" si="5"/>
        <v>24192</v>
      </c>
      <c r="J100" s="48" t="s">
        <v>182</v>
      </c>
    </row>
    <row r="101" spans="1:10" ht="19.05" customHeight="1" x14ac:dyDescent="0.3">
      <c r="B101" s="9">
        <f t="shared" si="5"/>
        <v>0</v>
      </c>
      <c r="C101" s="9">
        <f t="shared" si="5"/>
        <v>0</v>
      </c>
      <c r="D101" s="9">
        <f t="shared" si="5"/>
        <v>0</v>
      </c>
      <c r="E101" s="9">
        <f t="shared" si="5"/>
        <v>0</v>
      </c>
      <c r="F101" s="50">
        <f t="shared" si="5"/>
        <v>-24192</v>
      </c>
      <c r="G101" s="50">
        <f t="shared" si="5"/>
        <v>32256.000000000007</v>
      </c>
      <c r="H101" s="50">
        <f t="shared" si="5"/>
        <v>24192</v>
      </c>
      <c r="I101" s="50">
        <f t="shared" si="5"/>
        <v>-32256.000000000007</v>
      </c>
      <c r="J101" s="48" t="s">
        <v>183</v>
      </c>
    </row>
    <row r="102" spans="1:10" ht="19.05" customHeight="1" x14ac:dyDescent="0.3">
      <c r="B102" s="9">
        <f t="shared" si="5"/>
        <v>0</v>
      </c>
      <c r="C102" s="9">
        <f t="shared" si="5"/>
        <v>0</v>
      </c>
      <c r="D102" s="9">
        <f t="shared" si="5"/>
        <v>0</v>
      </c>
      <c r="E102" s="9">
        <f t="shared" si="5"/>
        <v>0</v>
      </c>
      <c r="F102" s="50">
        <f t="shared" si="5"/>
        <v>-18144</v>
      </c>
      <c r="G102" s="50">
        <f t="shared" si="5"/>
        <v>24192</v>
      </c>
      <c r="H102" s="50">
        <f t="shared" si="5"/>
        <v>18144</v>
      </c>
      <c r="I102" s="50">
        <f t="shared" si="5"/>
        <v>-24192</v>
      </c>
      <c r="J102" s="48" t="s">
        <v>184</v>
      </c>
    </row>
    <row r="103" spans="1:10" ht="19.05" customHeight="1" x14ac:dyDescent="0.3">
      <c r="B103" s="9">
        <f t="shared" si="5"/>
        <v>0</v>
      </c>
      <c r="C103" s="9">
        <f t="shared" si="5"/>
        <v>0</v>
      </c>
      <c r="D103" s="9">
        <f t="shared" si="5"/>
        <v>0</v>
      </c>
      <c r="E103" s="9">
        <f t="shared" si="5"/>
        <v>0</v>
      </c>
      <c r="F103" s="50">
        <f t="shared" si="5"/>
        <v>24192</v>
      </c>
      <c r="G103" s="50">
        <f t="shared" si="5"/>
        <v>-32256.000000000007</v>
      </c>
      <c r="H103" s="50">
        <f t="shared" si="5"/>
        <v>-24192</v>
      </c>
      <c r="I103" s="50">
        <f t="shared" si="5"/>
        <v>32256.000000000007</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102144</v>
      </c>
      <c r="C107" s="36">
        <f t="shared" si="6"/>
        <v>24192</v>
      </c>
      <c r="D107" s="9">
        <f t="shared" si="6"/>
        <v>-84000</v>
      </c>
      <c r="E107" s="9">
        <f t="shared" si="6"/>
        <v>0</v>
      </c>
      <c r="F107" s="9">
        <f t="shared" si="6"/>
        <v>0</v>
      </c>
      <c r="G107" s="9">
        <f t="shared" si="6"/>
        <v>0</v>
      </c>
      <c r="H107" s="9">
        <f t="shared" si="6"/>
        <v>-18144</v>
      </c>
      <c r="I107" s="9">
        <f t="shared" si="6"/>
        <v>-24192</v>
      </c>
      <c r="J107" s="89" t="s">
        <v>178</v>
      </c>
    </row>
    <row r="108" spans="1:10" ht="19.95" customHeight="1" x14ac:dyDescent="0.3">
      <c r="B108" s="36">
        <f t="shared" si="6"/>
        <v>24192</v>
      </c>
      <c r="C108" s="35">
        <f t="shared" si="6"/>
        <v>32256.000000000007</v>
      </c>
      <c r="D108" s="9">
        <f t="shared" si="6"/>
        <v>0</v>
      </c>
      <c r="E108" s="9">
        <f t="shared" si="6"/>
        <v>0</v>
      </c>
      <c r="F108" s="9">
        <f t="shared" si="6"/>
        <v>0</v>
      </c>
      <c r="G108" s="9">
        <f t="shared" si="6"/>
        <v>0</v>
      </c>
      <c r="H108" s="9">
        <f t="shared" si="6"/>
        <v>-24192</v>
      </c>
      <c r="I108" s="9">
        <f t="shared" si="6"/>
        <v>-32256.000000000007</v>
      </c>
      <c r="J108" s="89" t="s">
        <v>179</v>
      </c>
    </row>
    <row r="109" spans="1:10" ht="19.95" customHeight="1" x14ac:dyDescent="0.3">
      <c r="B109" s="9">
        <f t="shared" si="6"/>
        <v>-84000</v>
      </c>
      <c r="C109" s="9">
        <f t="shared" si="6"/>
        <v>0</v>
      </c>
      <c r="D109" s="35">
        <f t="shared" si="6"/>
        <v>168000</v>
      </c>
      <c r="E109" s="36">
        <f t="shared" si="6"/>
        <v>0</v>
      </c>
      <c r="F109" s="9">
        <f t="shared" si="6"/>
        <v>-84000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63000</v>
      </c>
      <c r="F110" s="9">
        <f t="shared" si="6"/>
        <v>0</v>
      </c>
      <c r="G110" s="9">
        <f t="shared" si="6"/>
        <v>0</v>
      </c>
      <c r="H110" s="9">
        <f t="shared" si="6"/>
        <v>0</v>
      </c>
      <c r="I110" s="9">
        <f t="shared" si="6"/>
        <v>-63000</v>
      </c>
      <c r="J110" s="89" t="s">
        <v>181</v>
      </c>
    </row>
    <row r="111" spans="1:10" ht="19.95" customHeight="1" x14ac:dyDescent="0.3">
      <c r="B111" s="9">
        <f t="shared" si="6"/>
        <v>0</v>
      </c>
      <c r="C111" s="9">
        <f t="shared" si="6"/>
        <v>0</v>
      </c>
      <c r="D111" s="9">
        <f t="shared" si="6"/>
        <v>-84000</v>
      </c>
      <c r="E111" s="9">
        <f t="shared" si="6"/>
        <v>0</v>
      </c>
      <c r="F111" s="35">
        <f t="shared" si="6"/>
        <v>102144</v>
      </c>
      <c r="G111" s="36">
        <f t="shared" si="6"/>
        <v>-24192</v>
      </c>
      <c r="H111" s="9">
        <f t="shared" si="6"/>
        <v>-18144</v>
      </c>
      <c r="I111" s="9">
        <f t="shared" si="6"/>
        <v>24192</v>
      </c>
      <c r="J111" s="89" t="s">
        <v>182</v>
      </c>
    </row>
    <row r="112" spans="1:10" ht="19.95" customHeight="1" x14ac:dyDescent="0.3">
      <c r="B112" s="9">
        <f t="shared" si="6"/>
        <v>0</v>
      </c>
      <c r="C112" s="9">
        <f t="shared" si="6"/>
        <v>0</v>
      </c>
      <c r="D112" s="9">
        <f t="shared" si="6"/>
        <v>0</v>
      </c>
      <c r="E112" s="9">
        <f t="shared" si="6"/>
        <v>0</v>
      </c>
      <c r="F112" s="36">
        <f t="shared" si="6"/>
        <v>-24192</v>
      </c>
      <c r="G112" s="35">
        <f t="shared" si="6"/>
        <v>32256.000000000007</v>
      </c>
      <c r="H112" s="9">
        <f t="shared" si="6"/>
        <v>24192</v>
      </c>
      <c r="I112" s="9">
        <f t="shared" si="6"/>
        <v>-32256.000000000007</v>
      </c>
      <c r="J112" s="89" t="s">
        <v>183</v>
      </c>
    </row>
    <row r="113" spans="1:17" ht="19.95" customHeight="1" x14ac:dyDescent="0.3">
      <c r="B113" s="9">
        <f t="shared" si="6"/>
        <v>-18144</v>
      </c>
      <c r="C113" s="9">
        <f t="shared" si="6"/>
        <v>-24192</v>
      </c>
      <c r="D113" s="9">
        <f t="shared" si="6"/>
        <v>0</v>
      </c>
      <c r="E113" s="9">
        <f t="shared" si="6"/>
        <v>0</v>
      </c>
      <c r="F113" s="9">
        <f t="shared" si="6"/>
        <v>-18144</v>
      </c>
      <c r="G113" s="9">
        <f t="shared" si="6"/>
        <v>24192</v>
      </c>
      <c r="H113" s="35">
        <f t="shared" si="6"/>
        <v>36288</v>
      </c>
      <c r="I113" s="36">
        <f t="shared" si="6"/>
        <v>0</v>
      </c>
      <c r="J113" s="89" t="s">
        <v>184</v>
      </c>
    </row>
    <row r="114" spans="1:17" ht="19.95" customHeight="1" x14ac:dyDescent="0.3">
      <c r="B114" s="9">
        <f t="shared" si="6"/>
        <v>-24192</v>
      </c>
      <c r="C114" s="9">
        <f t="shared" si="6"/>
        <v>-32256.000000000007</v>
      </c>
      <c r="D114" s="9">
        <f t="shared" si="6"/>
        <v>0</v>
      </c>
      <c r="E114" s="9">
        <f t="shared" si="6"/>
        <v>-63000</v>
      </c>
      <c r="F114" s="9">
        <f t="shared" si="6"/>
        <v>24192</v>
      </c>
      <c r="G114" s="9">
        <f t="shared" si="6"/>
        <v>-32256.000000000007</v>
      </c>
      <c r="H114" s="36">
        <f t="shared" si="6"/>
        <v>0</v>
      </c>
      <c r="I114" s="35">
        <f t="shared" si="6"/>
        <v>127512</v>
      </c>
      <c r="J114" s="89" t="s">
        <v>185</v>
      </c>
    </row>
    <row r="117" spans="1:17" ht="19.95" customHeight="1" x14ac:dyDescent="0.35">
      <c r="A117" s="11" t="s">
        <v>206</v>
      </c>
      <c r="L117" s="216" t="s">
        <v>207</v>
      </c>
      <c r="M117" s="172"/>
      <c r="N117" s="172"/>
      <c r="O117" s="172"/>
      <c r="P117" s="172"/>
      <c r="Q117" s="173"/>
    </row>
    <row r="118" spans="1:17" ht="16.95" customHeight="1" x14ac:dyDescent="0.3">
      <c r="B118" s="12" t="s">
        <v>208</v>
      </c>
      <c r="C118" s="12" t="s">
        <v>178</v>
      </c>
      <c r="E118" s="37" t="str">
        <f>IF(GRAFICA_53!F14=1, B118, GRAFICA_53!H14)</f>
        <v>C1X</v>
      </c>
      <c r="L118" s="215" t="s">
        <v>376</v>
      </c>
      <c r="M118" s="172"/>
      <c r="N118" s="172"/>
      <c r="O118" s="172"/>
      <c r="P118" s="172"/>
      <c r="Q118" s="173"/>
    </row>
    <row r="119" spans="1:17" ht="16.95" customHeight="1" x14ac:dyDescent="0.3">
      <c r="B119" s="12" t="s">
        <v>210</v>
      </c>
      <c r="C119" s="12" t="s">
        <v>179</v>
      </c>
      <c r="E119" s="37" t="str">
        <f>IF(GRAFICA_53!G14=1, B119, GRAFICA_53!I14)</f>
        <v>C1Y</v>
      </c>
      <c r="L119" s="215" t="s">
        <v>211</v>
      </c>
      <c r="M119" s="172"/>
      <c r="N119" s="172"/>
      <c r="O119" s="172"/>
      <c r="P119" s="172"/>
      <c r="Q119" s="173"/>
    </row>
    <row r="120" spans="1:17" ht="16.95" customHeight="1" x14ac:dyDescent="0.3">
      <c r="B120" s="12" t="s">
        <v>212</v>
      </c>
      <c r="C120" s="12" t="s">
        <v>180</v>
      </c>
      <c r="E120" s="37" t="str">
        <f>IF(GRAFICA_53!F15=1, B120, GRAFICA_53!H15)</f>
        <v>C2X</v>
      </c>
      <c r="L120" s="215" t="s">
        <v>377</v>
      </c>
      <c r="M120" s="172"/>
      <c r="N120" s="172"/>
      <c r="O120" s="172"/>
      <c r="P120" s="172"/>
      <c r="Q120" s="173"/>
    </row>
    <row r="121" spans="1:17" ht="16.95" customHeight="1" x14ac:dyDescent="0.3">
      <c r="A121" s="38" t="s">
        <v>218</v>
      </c>
      <c r="B121" s="12" t="s">
        <v>214</v>
      </c>
      <c r="C121" s="12" t="s">
        <v>181</v>
      </c>
      <c r="D121" s="13" t="s">
        <v>220</v>
      </c>
      <c r="E121" s="37" t="str">
        <f>IF(GRAFICA_53!G15=1, B121, GRAFICA_53!I15)</f>
        <v>C2Y</v>
      </c>
      <c r="L121" s="215" t="s">
        <v>215</v>
      </c>
      <c r="M121" s="172"/>
      <c r="N121" s="172"/>
      <c r="O121" s="172"/>
      <c r="P121" s="172"/>
      <c r="Q121" s="173"/>
    </row>
    <row r="122" spans="1:17" ht="16.95" customHeight="1" x14ac:dyDescent="0.3">
      <c r="B122" s="12" t="s">
        <v>216</v>
      </c>
      <c r="C122" s="12" t="s">
        <v>182</v>
      </c>
      <c r="E122" s="37" t="str">
        <f>IF(GRAFICA_53!F16=1, B122, GRAFICA_53!H16)</f>
        <v>C3X</v>
      </c>
      <c r="L122" s="215" t="s">
        <v>378</v>
      </c>
      <c r="M122" s="172"/>
      <c r="N122" s="172"/>
      <c r="O122" s="172"/>
      <c r="P122" s="172"/>
      <c r="Q122" s="173"/>
    </row>
    <row r="123" spans="1:17" ht="16.95" customHeight="1" x14ac:dyDescent="0.3">
      <c r="B123" s="12" t="s">
        <v>219</v>
      </c>
      <c r="C123" s="12" t="s">
        <v>183</v>
      </c>
      <c r="E123" s="37" t="str">
        <f>IF(GRAFICA_53!G16=1, B123, GRAFICA_53!I16)</f>
        <v>C3Y</v>
      </c>
      <c r="L123" s="215" t="s">
        <v>379</v>
      </c>
      <c r="M123" s="172"/>
      <c r="N123" s="172"/>
      <c r="O123" s="172"/>
      <c r="P123" s="172"/>
      <c r="Q123" s="173"/>
    </row>
    <row r="124" spans="1:17" ht="16.95" customHeight="1" x14ac:dyDescent="0.3">
      <c r="B124" s="12" t="s">
        <v>221</v>
      </c>
      <c r="C124" s="12" t="s">
        <v>184</v>
      </c>
      <c r="E124" s="37">
        <f>IF(GRAFICA_53!F17=1, B124, GRAFICA_53!H17)</f>
        <v>4500</v>
      </c>
      <c r="L124" s="215"/>
      <c r="M124" s="172"/>
      <c r="N124" s="172"/>
      <c r="O124" s="172"/>
      <c r="P124" s="172"/>
      <c r="Q124" s="173"/>
    </row>
    <row r="125" spans="1:17" ht="16.95" customHeight="1" x14ac:dyDescent="0.3">
      <c r="B125" s="12" t="s">
        <v>222</v>
      </c>
      <c r="C125" s="12" t="s">
        <v>185</v>
      </c>
      <c r="E125" s="37">
        <f>IF(GRAFICA_53!G17=1, B125, GRAFICA_53!I17)</f>
        <v>-12000</v>
      </c>
      <c r="L125" s="215"/>
      <c r="M125" s="172"/>
      <c r="N125" s="172"/>
      <c r="O125" s="172"/>
      <c r="P125" s="172"/>
      <c r="Q125" s="173"/>
    </row>
    <row r="126" spans="1:17" ht="16.95" customHeight="1" x14ac:dyDescent="0.3">
      <c r="L126" s="215"/>
      <c r="M126" s="172"/>
      <c r="N126" s="172"/>
      <c r="O126" s="172"/>
      <c r="P126" s="172"/>
      <c r="Q126" s="173"/>
    </row>
    <row r="127" spans="1:17" ht="16.95" customHeight="1" x14ac:dyDescent="0.35">
      <c r="A127" s="11" t="s">
        <v>227</v>
      </c>
      <c r="L127" s="215"/>
      <c r="M127" s="172"/>
      <c r="N127" s="172"/>
      <c r="O127" s="172"/>
      <c r="P127" s="172"/>
      <c r="Q127" s="173"/>
    </row>
    <row r="128" spans="1:17" ht="16.95" customHeight="1" x14ac:dyDescent="0.3">
      <c r="B128" s="12" t="s">
        <v>228</v>
      </c>
      <c r="C128" s="12" t="s">
        <v>178</v>
      </c>
      <c r="E128" s="39">
        <f>IF(GRAFICA_53!F14=1, 0, B128)</f>
        <v>0</v>
      </c>
      <c r="F128" s="14" t="str">
        <f>IF(E128&lt;&gt;0, COUNTIF(E$128:E128, "&lt;&gt;0"), "")</f>
        <v/>
      </c>
      <c r="G128" s="14">
        <f>IF(E128=0, COUNTIF(E$128:E128, 0), "")</f>
        <v>1</v>
      </c>
      <c r="L128" s="215"/>
      <c r="M128" s="172"/>
      <c r="N128" s="172"/>
      <c r="O128" s="172"/>
      <c r="P128" s="172"/>
      <c r="Q128" s="173"/>
    </row>
    <row r="129" spans="1:17" ht="16.95" customHeight="1" x14ac:dyDescent="0.3">
      <c r="B129" s="12" t="s">
        <v>229</v>
      </c>
      <c r="C129" s="12" t="s">
        <v>179</v>
      </c>
      <c r="E129" s="39">
        <f>IF(GRAFICA_53!G14=1, 0, B129)</f>
        <v>0</v>
      </c>
      <c r="F129" s="14" t="str">
        <f>IF(E129&lt;&gt;0, COUNTIF(E$128:E129, "&lt;&gt;0"), "")</f>
        <v/>
      </c>
      <c r="G129" s="14">
        <f>IF(E129=0, COUNTIF(E$128:E129, 0), "")</f>
        <v>2</v>
      </c>
      <c r="L129" s="215"/>
      <c r="M129" s="172"/>
      <c r="N129" s="172"/>
      <c r="O129" s="172"/>
      <c r="P129" s="172"/>
      <c r="Q129" s="173"/>
    </row>
    <row r="130" spans="1:17" ht="16.95" customHeight="1" x14ac:dyDescent="0.3">
      <c r="B130" s="12" t="s">
        <v>230</v>
      </c>
      <c r="C130" s="12" t="s">
        <v>180</v>
      </c>
      <c r="E130" s="39">
        <f>IF(GRAFICA_53!F15=1, 0, B130)</f>
        <v>0</v>
      </c>
      <c r="F130" s="14" t="str">
        <f>IF(E130&lt;&gt;0, COUNTIF(E$128:E130, "&lt;&gt;0"), "")</f>
        <v/>
      </c>
      <c r="G130" s="14">
        <f>IF(E130=0, COUNTIF(E$128:E130, 0), "")</f>
        <v>3</v>
      </c>
      <c r="L130" s="215"/>
      <c r="M130" s="172"/>
      <c r="N130" s="172"/>
      <c r="O130" s="172"/>
      <c r="P130" s="172"/>
      <c r="Q130" s="173"/>
    </row>
    <row r="131" spans="1:17" ht="16.95" customHeight="1" x14ac:dyDescent="0.3">
      <c r="A131" s="38" t="s">
        <v>233</v>
      </c>
      <c r="B131" s="12" t="s">
        <v>231</v>
      </c>
      <c r="C131" s="12" t="s">
        <v>181</v>
      </c>
      <c r="D131" s="13" t="s">
        <v>220</v>
      </c>
      <c r="E131" s="39">
        <f>IF(GRAFICA_53!G15=1, 0, B131)</f>
        <v>0</v>
      </c>
      <c r="F131" s="14" t="str">
        <f>IF(E131&lt;&gt;0, COUNTIF(E$128:E131, "&lt;&gt;0"), "")</f>
        <v/>
      </c>
      <c r="G131" s="14">
        <f>IF(E131=0, COUNTIF(E$128:E131, 0), "")</f>
        <v>4</v>
      </c>
      <c r="L131" s="215"/>
      <c r="M131" s="172"/>
      <c r="N131" s="172"/>
      <c r="O131" s="172"/>
      <c r="P131" s="172"/>
      <c r="Q131" s="173"/>
    </row>
    <row r="132" spans="1:17" ht="16.95" customHeight="1" x14ac:dyDescent="0.3">
      <c r="B132" s="12" t="s">
        <v>232</v>
      </c>
      <c r="C132" s="12" t="s">
        <v>182</v>
      </c>
      <c r="E132" s="39">
        <f>IF(GRAFICA_53!F16=1, 0, B132)</f>
        <v>0</v>
      </c>
      <c r="F132" s="14" t="str">
        <f>IF(E132&lt;&gt;0, COUNTIF(E$128:E132, "&lt;&gt;0"), "")</f>
        <v/>
      </c>
      <c r="G132" s="14">
        <f>IF(E132=0, COUNTIF(E$128:E132, 0), "")</f>
        <v>5</v>
      </c>
      <c r="L132" s="215"/>
      <c r="M132" s="172"/>
      <c r="N132" s="172"/>
      <c r="O132" s="172"/>
      <c r="P132" s="172"/>
      <c r="Q132" s="173"/>
    </row>
    <row r="133" spans="1:17" ht="16.95" customHeight="1" x14ac:dyDescent="0.3">
      <c r="B133" s="12" t="s">
        <v>234</v>
      </c>
      <c r="C133" s="12" t="s">
        <v>183</v>
      </c>
      <c r="E133" s="39">
        <f>IF(GRAFICA_53!G16=1, 0, B133)</f>
        <v>0</v>
      </c>
      <c r="F133" s="14" t="str">
        <f>IF(E133&lt;&gt;0, COUNTIF(E$128:E133, "&lt;&gt;0"), "")</f>
        <v/>
      </c>
      <c r="G133" s="14">
        <f>IF(E133=0, COUNTIF(E$128:E133, 0), "")</f>
        <v>6</v>
      </c>
      <c r="L133" s="215"/>
      <c r="M133" s="172"/>
      <c r="N133" s="172"/>
      <c r="O133" s="172"/>
      <c r="P133" s="172"/>
      <c r="Q133" s="173"/>
    </row>
    <row r="134" spans="1:17" ht="16.95" customHeight="1" x14ac:dyDescent="0.3">
      <c r="B134" s="12" t="s">
        <v>235</v>
      </c>
      <c r="C134" s="12" t="s">
        <v>184</v>
      </c>
      <c r="E134" s="39" t="str">
        <f>IF(GRAFICA_53!F17=1, 0, B134)</f>
        <v>D4X</v>
      </c>
      <c r="F134" s="14">
        <f>IF(E134&lt;&gt;0, COUNTIF(E$128:E134, "&lt;&gt;0"), "")</f>
        <v>1</v>
      </c>
      <c r="G134" s="14" t="str">
        <f>IF(E134=0, COUNTIF(E$128:E134, 0), "")</f>
        <v/>
      </c>
      <c r="L134" s="215"/>
      <c r="M134" s="172"/>
      <c r="N134" s="172"/>
      <c r="O134" s="172"/>
      <c r="P134" s="172"/>
      <c r="Q134" s="173"/>
    </row>
    <row r="135" spans="1:17" ht="16.95" customHeight="1" x14ac:dyDescent="0.3">
      <c r="B135" s="12" t="s">
        <v>236</v>
      </c>
      <c r="C135" s="12" t="s">
        <v>185</v>
      </c>
      <c r="E135" s="39" t="str">
        <f>IF(GRAFICA_53!G17=1, 0, B135)</f>
        <v>D4Y</v>
      </c>
      <c r="F135" s="14">
        <f>IF(E135&lt;&gt;0, COUNTIF(E$128:E135, "&lt;&gt;0"), "")</f>
        <v>2</v>
      </c>
      <c r="G135" s="14" t="str">
        <f>IF(E135=0, COUNTIF(E$128:E135, 0), "")</f>
        <v/>
      </c>
      <c r="L135" s="215"/>
      <c r="M135" s="172"/>
      <c r="N135" s="172"/>
      <c r="O135" s="172"/>
      <c r="P135" s="172"/>
      <c r="Q135" s="173"/>
    </row>
    <row r="137" spans="1:17" ht="19.95" customHeight="1" x14ac:dyDescent="0.35">
      <c r="A137" s="15" t="s">
        <v>241</v>
      </c>
      <c r="C137" s="218" t="s">
        <v>242</v>
      </c>
      <c r="D137" s="173"/>
      <c r="E137" s="40" t="s">
        <v>243</v>
      </c>
      <c r="L137" s="216" t="s">
        <v>244</v>
      </c>
      <c r="M137" s="172"/>
      <c r="N137" s="172"/>
      <c r="O137" s="172"/>
      <c r="P137" s="172"/>
      <c r="Q137" s="173"/>
    </row>
    <row r="138" spans="1:17" ht="16.95" customHeight="1" x14ac:dyDescent="0.3">
      <c r="E138" s="40" t="s">
        <v>245</v>
      </c>
      <c r="L138" s="215" t="s">
        <v>246</v>
      </c>
      <c r="M138" s="172"/>
      <c r="N138" s="172"/>
      <c r="O138" s="172"/>
      <c r="P138" s="172"/>
      <c r="Q138" s="173"/>
    </row>
    <row r="139" spans="1:17" ht="16.95" customHeight="1" x14ac:dyDescent="0.3">
      <c r="A139" s="99" t="s">
        <v>247</v>
      </c>
      <c r="C139" s="99" t="s">
        <v>248</v>
      </c>
      <c r="L139" s="215" t="s">
        <v>250</v>
      </c>
      <c r="M139" s="172"/>
      <c r="N139" s="172"/>
      <c r="O139" s="172"/>
      <c r="P139" s="172"/>
      <c r="Q139" s="173"/>
    </row>
    <row r="140" spans="1:17" ht="16.95" customHeight="1" x14ac:dyDescent="0.3">
      <c r="A140" s="12" t="str">
        <f t="shared" ref="A140:A147" si="7">E118</f>
        <v>C1X</v>
      </c>
      <c r="C140" s="9">
        <f t="shared" ref="C140:J147" si="8">B107</f>
        <v>102144</v>
      </c>
      <c r="D140" s="9">
        <f t="shared" si="8"/>
        <v>24192</v>
      </c>
      <c r="E140" s="9">
        <f t="shared" si="8"/>
        <v>-84000</v>
      </c>
      <c r="F140" s="9">
        <f t="shared" si="8"/>
        <v>0</v>
      </c>
      <c r="G140" s="9">
        <f t="shared" si="8"/>
        <v>0</v>
      </c>
      <c r="H140" s="9">
        <f t="shared" si="8"/>
        <v>0</v>
      </c>
      <c r="I140" s="9">
        <f t="shared" si="8"/>
        <v>-18144</v>
      </c>
      <c r="J140" s="9">
        <f t="shared" si="8"/>
        <v>-24192</v>
      </c>
      <c r="K140" s="13" t="s">
        <v>251</v>
      </c>
      <c r="L140" s="219" t="s">
        <v>380</v>
      </c>
      <c r="M140" s="172"/>
      <c r="N140" s="172"/>
      <c r="O140" s="172"/>
      <c r="P140" s="172"/>
      <c r="Q140" s="173"/>
    </row>
    <row r="141" spans="1:17" ht="16.95" customHeight="1" x14ac:dyDescent="0.3">
      <c r="A141" s="12" t="str">
        <f t="shared" si="7"/>
        <v>C1Y</v>
      </c>
      <c r="C141" s="9">
        <f t="shared" si="8"/>
        <v>24192</v>
      </c>
      <c r="D141" s="9">
        <f t="shared" si="8"/>
        <v>32256.000000000007</v>
      </c>
      <c r="E141" s="9">
        <f t="shared" si="8"/>
        <v>0</v>
      </c>
      <c r="F141" s="9">
        <f t="shared" si="8"/>
        <v>0</v>
      </c>
      <c r="G141" s="9">
        <f t="shared" si="8"/>
        <v>0</v>
      </c>
      <c r="H141" s="9">
        <f t="shared" si="8"/>
        <v>0</v>
      </c>
      <c r="I141" s="9">
        <f t="shared" si="8"/>
        <v>-24192</v>
      </c>
      <c r="J141" s="9">
        <f t="shared" si="8"/>
        <v>-32256.000000000007</v>
      </c>
      <c r="K141" s="13" t="s">
        <v>251</v>
      </c>
      <c r="L141" s="219" t="s">
        <v>253</v>
      </c>
      <c r="M141" s="172"/>
      <c r="N141" s="172"/>
      <c r="O141" s="172"/>
      <c r="P141" s="172"/>
      <c r="Q141" s="173"/>
    </row>
    <row r="142" spans="1:17" ht="16.95" customHeight="1" x14ac:dyDescent="0.3">
      <c r="A142" s="12" t="str">
        <f t="shared" si="7"/>
        <v>C2X</v>
      </c>
      <c r="C142" s="9">
        <f t="shared" si="8"/>
        <v>-84000</v>
      </c>
      <c r="D142" s="9">
        <f t="shared" si="8"/>
        <v>0</v>
      </c>
      <c r="E142" s="9">
        <f t="shared" si="8"/>
        <v>168000</v>
      </c>
      <c r="F142" s="9">
        <f t="shared" si="8"/>
        <v>0</v>
      </c>
      <c r="G142" s="9">
        <f t="shared" si="8"/>
        <v>-84000</v>
      </c>
      <c r="H142" s="9">
        <f t="shared" si="8"/>
        <v>0</v>
      </c>
      <c r="I142" s="9">
        <f t="shared" si="8"/>
        <v>0</v>
      </c>
      <c r="J142" s="9">
        <f t="shared" si="8"/>
        <v>0</v>
      </c>
      <c r="K142" s="13" t="s">
        <v>251</v>
      </c>
      <c r="L142" s="219" t="s">
        <v>254</v>
      </c>
      <c r="M142" s="172"/>
      <c r="N142" s="172"/>
      <c r="O142" s="172"/>
      <c r="P142" s="172"/>
      <c r="Q142" s="173"/>
    </row>
    <row r="143" spans="1:17" ht="16.95" customHeight="1" x14ac:dyDescent="0.3">
      <c r="A143" s="12" t="str">
        <f t="shared" si="7"/>
        <v>C2Y</v>
      </c>
      <c r="C143" s="9">
        <f t="shared" si="8"/>
        <v>0</v>
      </c>
      <c r="D143" s="9">
        <f t="shared" si="8"/>
        <v>0</v>
      </c>
      <c r="E143" s="9">
        <f t="shared" si="8"/>
        <v>0</v>
      </c>
      <c r="F143" s="9">
        <f t="shared" si="8"/>
        <v>63000</v>
      </c>
      <c r="G143" s="9">
        <f t="shared" si="8"/>
        <v>0</v>
      </c>
      <c r="H143" s="9">
        <f t="shared" si="8"/>
        <v>0</v>
      </c>
      <c r="I143" s="9">
        <f t="shared" si="8"/>
        <v>0</v>
      </c>
      <c r="J143" s="9">
        <f t="shared" si="8"/>
        <v>-63000</v>
      </c>
      <c r="K143" s="13" t="s">
        <v>251</v>
      </c>
      <c r="L143" s="219" t="s">
        <v>381</v>
      </c>
      <c r="M143" s="172"/>
      <c r="N143" s="172"/>
      <c r="O143" s="172"/>
      <c r="P143" s="172"/>
      <c r="Q143" s="173"/>
    </row>
    <row r="144" spans="1:17" ht="16.95" customHeight="1" x14ac:dyDescent="0.3">
      <c r="A144" s="12" t="str">
        <f t="shared" si="7"/>
        <v>C3X</v>
      </c>
      <c r="B144" s="13" t="s">
        <v>220</v>
      </c>
      <c r="C144" s="9">
        <f t="shared" si="8"/>
        <v>0</v>
      </c>
      <c r="D144" s="9">
        <f t="shared" si="8"/>
        <v>0</v>
      </c>
      <c r="E144" s="9">
        <f t="shared" si="8"/>
        <v>-84000</v>
      </c>
      <c r="F144" s="9">
        <f t="shared" si="8"/>
        <v>0</v>
      </c>
      <c r="G144" s="9">
        <f t="shared" si="8"/>
        <v>102144</v>
      </c>
      <c r="H144" s="9">
        <f t="shared" si="8"/>
        <v>-24192</v>
      </c>
      <c r="I144" s="9">
        <f t="shared" si="8"/>
        <v>-18144</v>
      </c>
      <c r="J144" s="9">
        <f t="shared" si="8"/>
        <v>24192</v>
      </c>
      <c r="K144" s="13" t="s">
        <v>251</v>
      </c>
      <c r="L144" s="219" t="s">
        <v>382</v>
      </c>
      <c r="M144" s="172"/>
      <c r="N144" s="172"/>
      <c r="O144" s="172"/>
      <c r="P144" s="172"/>
      <c r="Q144" s="173"/>
    </row>
    <row r="145" spans="1:17" ht="16.95" customHeight="1" x14ac:dyDescent="0.3">
      <c r="A145" s="12" t="str">
        <f t="shared" si="7"/>
        <v>C3Y</v>
      </c>
      <c r="C145" s="9">
        <f t="shared" si="8"/>
        <v>0</v>
      </c>
      <c r="D145" s="9">
        <f t="shared" si="8"/>
        <v>0</v>
      </c>
      <c r="E145" s="9">
        <f t="shared" si="8"/>
        <v>0</v>
      </c>
      <c r="F145" s="9">
        <f t="shared" si="8"/>
        <v>0</v>
      </c>
      <c r="G145" s="9">
        <f t="shared" si="8"/>
        <v>-24192</v>
      </c>
      <c r="H145" s="9">
        <f t="shared" si="8"/>
        <v>32256.000000000007</v>
      </c>
      <c r="I145" s="9">
        <f t="shared" si="8"/>
        <v>24192</v>
      </c>
      <c r="J145" s="9">
        <f t="shared" si="8"/>
        <v>-32256.000000000007</v>
      </c>
      <c r="K145" s="13" t="s">
        <v>251</v>
      </c>
      <c r="L145" s="219">
        <f>E133</f>
        <v>0</v>
      </c>
      <c r="M145" s="172"/>
      <c r="N145" s="172"/>
      <c r="O145" s="172"/>
      <c r="P145" s="172"/>
      <c r="Q145" s="173"/>
    </row>
    <row r="146" spans="1:17" ht="16.95" customHeight="1" x14ac:dyDescent="0.3">
      <c r="A146" s="41">
        <f t="shared" si="7"/>
        <v>4500</v>
      </c>
      <c r="C146" s="9">
        <f t="shared" si="8"/>
        <v>-18144</v>
      </c>
      <c r="D146" s="9">
        <f t="shared" si="8"/>
        <v>-24192</v>
      </c>
      <c r="E146" s="9">
        <f t="shared" si="8"/>
        <v>0</v>
      </c>
      <c r="F146" s="9">
        <f t="shared" si="8"/>
        <v>0</v>
      </c>
      <c r="G146" s="9">
        <f t="shared" si="8"/>
        <v>-18144</v>
      </c>
      <c r="H146" s="9">
        <f t="shared" si="8"/>
        <v>24192</v>
      </c>
      <c r="I146" s="41">
        <f t="shared" si="8"/>
        <v>36288</v>
      </c>
      <c r="J146" s="41">
        <f t="shared" si="8"/>
        <v>0</v>
      </c>
      <c r="K146" s="13" t="s">
        <v>251</v>
      </c>
      <c r="L146" s="215" t="str">
        <f>E134</f>
        <v>D4X</v>
      </c>
      <c r="M146" s="172"/>
      <c r="N146" s="172"/>
      <c r="O146" s="172"/>
      <c r="P146" s="172"/>
      <c r="Q146" s="173"/>
    </row>
    <row r="147" spans="1:17" ht="16.95" customHeight="1" x14ac:dyDescent="0.3">
      <c r="A147" s="41">
        <f t="shared" si="7"/>
        <v>-12000</v>
      </c>
      <c r="C147" s="9">
        <f t="shared" si="8"/>
        <v>-24192</v>
      </c>
      <c r="D147" s="9">
        <f t="shared" si="8"/>
        <v>-32256.000000000007</v>
      </c>
      <c r="E147" s="9">
        <f t="shared" si="8"/>
        <v>0</v>
      </c>
      <c r="F147" s="9">
        <f t="shared" si="8"/>
        <v>-63000</v>
      </c>
      <c r="G147" s="9">
        <f t="shared" si="8"/>
        <v>24192</v>
      </c>
      <c r="H147" s="9">
        <f t="shared" si="8"/>
        <v>-32256.000000000007</v>
      </c>
      <c r="I147" s="41">
        <f t="shared" si="8"/>
        <v>0</v>
      </c>
      <c r="J147" s="41">
        <f t="shared" si="8"/>
        <v>127512</v>
      </c>
      <c r="K147" s="13" t="s">
        <v>251</v>
      </c>
      <c r="L147" s="215" t="str">
        <f>E135</f>
        <v>D4Y</v>
      </c>
      <c r="M147" s="172"/>
      <c r="N147" s="172"/>
      <c r="O147" s="172"/>
      <c r="P147" s="172"/>
      <c r="Q147" s="173"/>
    </row>
    <row r="150" spans="1:17" ht="19.95" customHeight="1" x14ac:dyDescent="0.35">
      <c r="A150" s="15" t="s">
        <v>257</v>
      </c>
      <c r="L150" s="216" t="s">
        <v>258</v>
      </c>
      <c r="M150" s="172"/>
      <c r="N150" s="172"/>
      <c r="O150" s="172"/>
      <c r="P150" s="172"/>
      <c r="Q150" s="173"/>
    </row>
    <row r="151" spans="1:17" ht="16.95" customHeight="1" x14ac:dyDescent="0.3">
      <c r="C151" s="38" t="str">
        <f>INDEX(C$128:C$135, MATCH(1, F$128:F$135, 0))</f>
        <v>U4X</v>
      </c>
      <c r="D151" s="38" t="str">
        <f>INDEX(C$128:C$135, MATCH(2, F$128:F$135, 0))</f>
        <v>U4Y</v>
      </c>
      <c r="L151" s="215" t="s">
        <v>383</v>
      </c>
      <c r="M151" s="172"/>
      <c r="N151" s="172"/>
      <c r="O151" s="172"/>
      <c r="P151" s="172"/>
      <c r="Q151" s="173"/>
    </row>
    <row r="152" spans="1:17" ht="16.95" customHeight="1" x14ac:dyDescent="0.3">
      <c r="A152" s="41">
        <f>INDEX(E$118:E$125, MATCH(G152, C$118:C$125, 0))</f>
        <v>4500</v>
      </c>
      <c r="C152" s="41">
        <f>INDEX($B$107:$I$114, MATCH($G152, $J$107:$J$114, 0), MATCH(C$151, $B$106:$I$106, 0))</f>
        <v>36288</v>
      </c>
      <c r="D152" s="41">
        <f>INDEX($B$107:$I$114, MATCH($G152, $J$107:$J$114, 0), MATCH(D$151, $B$106:$I$106, 0))</f>
        <v>0</v>
      </c>
      <c r="E152" s="13" t="s">
        <v>251</v>
      </c>
      <c r="F152" s="38" t="str">
        <f>INDEX(B$128:B$135, MATCH(1, F$128:F$135, 0))</f>
        <v>D4X</v>
      </c>
      <c r="G152" s="14" t="str">
        <f>INDEX(C$128:C$135, MATCH(1, F$128:F$135, 0))</f>
        <v>U4X</v>
      </c>
      <c r="L152" s="215" t="s">
        <v>384</v>
      </c>
      <c r="M152" s="172"/>
      <c r="N152" s="172"/>
      <c r="O152" s="172"/>
      <c r="P152" s="172"/>
      <c r="Q152" s="173"/>
    </row>
    <row r="153" spans="1:17" ht="16.95" customHeight="1" x14ac:dyDescent="0.3">
      <c r="A153" s="41">
        <f>INDEX(E$118:E$125, MATCH(G153, C$118:C$125, 0))</f>
        <v>-12000</v>
      </c>
      <c r="B153" s="13" t="s">
        <v>220</v>
      </c>
      <c r="C153" s="41">
        <f>INDEX($B$107:$I$114, MATCH($G153, $J$107:$J$114, 0), MATCH(C$151, $B$106:$I$106, 0))</f>
        <v>0</v>
      </c>
      <c r="D153" s="41">
        <f>INDEX($B$107:$I$114, MATCH($G153, $J$107:$J$114, 0), MATCH(D$151, $B$106:$I$106, 0))</f>
        <v>127512</v>
      </c>
      <c r="E153" s="13" t="s">
        <v>251</v>
      </c>
      <c r="F153" s="38" t="str">
        <f>INDEX(B$128:B$135, MATCH(2, F$128:F$135, 0))</f>
        <v>D4Y</v>
      </c>
      <c r="G153" s="14" t="str">
        <f>INDEX(C$128:C$135, MATCH(2, F$128:F$135, 0))</f>
        <v>U4Y</v>
      </c>
      <c r="L153" s="215" t="s">
        <v>385</v>
      </c>
      <c r="M153" s="172"/>
      <c r="N153" s="172"/>
      <c r="O153" s="172"/>
      <c r="P153" s="172"/>
      <c r="Q153" s="173"/>
    </row>
    <row r="154" spans="1:17" ht="16.95" customHeight="1" x14ac:dyDescent="0.3">
      <c r="L154" s="215" t="s">
        <v>386</v>
      </c>
      <c r="M154" s="172"/>
      <c r="N154" s="172"/>
      <c r="O154" s="172"/>
      <c r="P154" s="172"/>
      <c r="Q154" s="173"/>
    </row>
    <row r="155" spans="1:17" ht="16.95" customHeight="1" x14ac:dyDescent="0.3">
      <c r="C155" s="218" t="s">
        <v>263</v>
      </c>
      <c r="D155" s="173"/>
      <c r="L155" s="215" t="s">
        <v>387</v>
      </c>
      <c r="M155" s="172"/>
      <c r="N155" s="172"/>
      <c r="O155" s="172"/>
      <c r="P155" s="172"/>
      <c r="Q155" s="173"/>
    </row>
    <row r="156" spans="1:17" ht="16.95" customHeight="1" x14ac:dyDescent="0.3">
      <c r="A156" s="99" t="s">
        <v>249</v>
      </c>
      <c r="C156" s="193" t="s">
        <v>264</v>
      </c>
      <c r="D156" s="175"/>
      <c r="F156" s="99" t="s">
        <v>247</v>
      </c>
      <c r="L156" s="215" t="s">
        <v>388</v>
      </c>
      <c r="M156" s="172"/>
      <c r="N156" s="172"/>
      <c r="O156" s="172"/>
      <c r="P156" s="172"/>
      <c r="Q156" s="173"/>
    </row>
    <row r="157" spans="1:17" ht="16.95" customHeight="1" x14ac:dyDescent="0.3">
      <c r="A157" s="12" t="str">
        <f>F152</f>
        <v>D4X</v>
      </c>
      <c r="C157" s="93">
        <f t="array" ref="C157:D158">MINVERSE(C152:D153)</f>
        <v>2.7557319223985889E-5</v>
      </c>
      <c r="D157" s="93">
        <v>0</v>
      </c>
      <c r="F157" s="17">
        <f>A152</f>
        <v>4500</v>
      </c>
      <c r="L157" s="215"/>
      <c r="M157" s="172"/>
      <c r="N157" s="172"/>
      <c r="O157" s="172"/>
      <c r="P157" s="172"/>
      <c r="Q157" s="173"/>
    </row>
    <row r="158" spans="1:17" ht="16.95" customHeight="1" x14ac:dyDescent="0.3">
      <c r="A158" s="12" t="str">
        <f>F153</f>
        <v>D4Y</v>
      </c>
      <c r="B158" s="13" t="s">
        <v>220</v>
      </c>
      <c r="C158" s="93">
        <v>0</v>
      </c>
      <c r="D158" s="93">
        <v>7.8423991467469727E-6</v>
      </c>
      <c r="F158" s="17">
        <f>A153</f>
        <v>-12000</v>
      </c>
      <c r="L158" s="215"/>
      <c r="M158" s="172"/>
      <c r="N158" s="172"/>
      <c r="O158" s="172"/>
      <c r="P158" s="172"/>
      <c r="Q158" s="173"/>
    </row>
    <row r="159" spans="1:17" ht="16.95" customHeight="1" x14ac:dyDescent="0.3">
      <c r="L159" s="215"/>
      <c r="M159" s="172"/>
      <c r="N159" s="172"/>
      <c r="O159" s="172"/>
      <c r="P159" s="172"/>
      <c r="Q159" s="173"/>
    </row>
    <row r="160" spans="1:17" ht="16.95" customHeight="1" x14ac:dyDescent="0.3">
      <c r="C160" s="218" t="s">
        <v>265</v>
      </c>
      <c r="D160" s="173"/>
      <c r="L160" s="215"/>
      <c r="M160" s="172"/>
      <c r="N160" s="172"/>
      <c r="O160" s="172"/>
      <c r="P160" s="172"/>
      <c r="Q160" s="173"/>
    </row>
    <row r="161" spans="1:17" ht="16.95" customHeight="1" x14ac:dyDescent="0.3">
      <c r="A161" s="99" t="s">
        <v>249</v>
      </c>
      <c r="C161" s="99" t="s">
        <v>266</v>
      </c>
      <c r="L161" s="215"/>
      <c r="M161" s="172"/>
      <c r="N161" s="172"/>
      <c r="O161" s="172"/>
      <c r="P161" s="172"/>
      <c r="Q161" s="173"/>
    </row>
    <row r="162" spans="1:17" ht="16.95" customHeight="1" x14ac:dyDescent="0.3">
      <c r="A162" s="12" t="str">
        <f>A157</f>
        <v>D4X</v>
      </c>
      <c r="C162" s="94">
        <f t="array" ref="C162:C163">MMULT(C157:D158, F157:F158)</f>
        <v>0.1240079365079365</v>
      </c>
      <c r="D162" s="12" t="s">
        <v>267</v>
      </c>
      <c r="L162" s="215"/>
      <c r="M162" s="172"/>
      <c r="N162" s="172"/>
      <c r="O162" s="172"/>
      <c r="P162" s="172"/>
      <c r="Q162" s="173"/>
    </row>
    <row r="163" spans="1:17" ht="16.95" customHeight="1" x14ac:dyDescent="0.3">
      <c r="A163" s="12" t="str">
        <f>A158</f>
        <v>D4Y</v>
      </c>
      <c r="B163" s="13" t="s">
        <v>220</v>
      </c>
      <c r="C163" s="94">
        <v>-9.4108789760963665E-2</v>
      </c>
      <c r="D163" s="12" t="s">
        <v>267</v>
      </c>
      <c r="L163" s="215"/>
      <c r="M163" s="172"/>
      <c r="N163" s="172"/>
      <c r="O163" s="172"/>
      <c r="P163" s="172"/>
      <c r="Q163" s="173"/>
    </row>
    <row r="166" spans="1:17" ht="19.95" customHeight="1" x14ac:dyDescent="0.35">
      <c r="A166" s="11" t="s">
        <v>268</v>
      </c>
      <c r="L166" s="216" t="s">
        <v>269</v>
      </c>
      <c r="M166" s="172"/>
      <c r="N166" s="172"/>
      <c r="O166" s="172"/>
      <c r="P166" s="172"/>
      <c r="Q166" s="173"/>
    </row>
    <row r="167" spans="1:17" ht="16.95" customHeight="1" x14ac:dyDescent="0.3">
      <c r="A167" s="99" t="s">
        <v>247</v>
      </c>
      <c r="F167" s="99" t="s">
        <v>249</v>
      </c>
      <c r="L167" s="215" t="s">
        <v>389</v>
      </c>
      <c r="M167" s="172"/>
      <c r="N167" s="172"/>
      <c r="O167" s="172"/>
      <c r="P167" s="172"/>
      <c r="Q167" s="173"/>
    </row>
    <row r="168" spans="1:17" ht="16.95" customHeight="1" x14ac:dyDescent="0.3">
      <c r="A168" s="18" t="str">
        <f t="shared" ref="A168:A173" si="9">INDEX(B$118:B$125, MATCH(G168, C$118:C$125, 0))</f>
        <v>C1X</v>
      </c>
      <c r="C168" s="9">
        <f t="shared" ref="C168:D173" si="10">INDEX($B$107:$I$114, MATCH($G168, $J$107:$J$114, 0), MATCH(C$151, $B$106:$I$106, 0))</f>
        <v>-18144</v>
      </c>
      <c r="D168" s="9">
        <f t="shared" si="10"/>
        <v>-24192</v>
      </c>
      <c r="F168" s="95">
        <f>C162</f>
        <v>0.1240079365079365</v>
      </c>
      <c r="G168" s="14" t="str">
        <f>INDEX(C$128:C$135, MATCH(1, G$128:G$135, 0))</f>
        <v>U1X</v>
      </c>
      <c r="L168" s="215" t="s">
        <v>390</v>
      </c>
      <c r="M168" s="172"/>
      <c r="N168" s="172"/>
      <c r="O168" s="172"/>
      <c r="P168" s="172"/>
      <c r="Q168" s="173"/>
    </row>
    <row r="169" spans="1:17" ht="16.95" customHeight="1" x14ac:dyDescent="0.3">
      <c r="A169" s="18" t="str">
        <f t="shared" si="9"/>
        <v>C1Y</v>
      </c>
      <c r="C169" s="9">
        <f t="shared" si="10"/>
        <v>-24192</v>
      </c>
      <c r="D169" s="9">
        <f t="shared" si="10"/>
        <v>-32256.000000000007</v>
      </c>
      <c r="F169" s="95">
        <f>C163</f>
        <v>-9.4108789760963665E-2</v>
      </c>
      <c r="G169" s="14" t="str">
        <f>INDEX(C$128:C$135, MATCH(2, G$128:G$135, 0))</f>
        <v>U1Y</v>
      </c>
      <c r="L169" s="215" t="s">
        <v>391</v>
      </c>
      <c r="M169" s="172"/>
      <c r="N169" s="172"/>
      <c r="O169" s="172"/>
      <c r="P169" s="172"/>
      <c r="Q169" s="173"/>
    </row>
    <row r="170" spans="1:17" ht="16.95" customHeight="1" x14ac:dyDescent="0.3">
      <c r="A170" s="18" t="str">
        <f t="shared" si="9"/>
        <v>C2X</v>
      </c>
      <c r="C170" s="9">
        <f t="shared" si="10"/>
        <v>0</v>
      </c>
      <c r="D170" s="9">
        <f t="shared" si="10"/>
        <v>0</v>
      </c>
      <c r="G170" s="14" t="str">
        <f>INDEX(C$128:C$135, MATCH(3, G$128:G$135, 0))</f>
        <v>U2X</v>
      </c>
      <c r="L170" s="215" t="s">
        <v>392</v>
      </c>
      <c r="M170" s="172"/>
      <c r="N170" s="172"/>
      <c r="O170" s="172"/>
      <c r="P170" s="172"/>
      <c r="Q170" s="173"/>
    </row>
    <row r="171" spans="1:17" ht="16.95" customHeight="1" x14ac:dyDescent="0.3">
      <c r="A171" s="18" t="str">
        <f t="shared" si="9"/>
        <v>C2Y</v>
      </c>
      <c r="B171" s="13" t="s">
        <v>220</v>
      </c>
      <c r="C171" s="9">
        <f t="shared" si="10"/>
        <v>0</v>
      </c>
      <c r="D171" s="9">
        <f t="shared" si="10"/>
        <v>-63000</v>
      </c>
      <c r="G171" s="14" t="str">
        <f>INDEX(C$128:C$135, MATCH(4, G$128:G$135, 0))</f>
        <v>U2Y</v>
      </c>
      <c r="L171" s="215" t="s">
        <v>393</v>
      </c>
      <c r="M171" s="172"/>
      <c r="N171" s="172"/>
      <c r="O171" s="172"/>
      <c r="P171" s="172"/>
      <c r="Q171" s="173"/>
    </row>
    <row r="172" spans="1:17" ht="16.95" customHeight="1" x14ac:dyDescent="0.3">
      <c r="A172" s="18" t="str">
        <f t="shared" si="9"/>
        <v>C3X</v>
      </c>
      <c r="C172" s="9">
        <f t="shared" si="10"/>
        <v>-18144</v>
      </c>
      <c r="D172" s="9">
        <f t="shared" si="10"/>
        <v>24192</v>
      </c>
      <c r="G172" s="14" t="str">
        <f>INDEX(C$128:C$135, MATCH(5, G$128:G$135, 0))</f>
        <v>U3X</v>
      </c>
      <c r="L172" s="215" t="s">
        <v>394</v>
      </c>
      <c r="M172" s="172"/>
      <c r="N172" s="172"/>
      <c r="O172" s="172"/>
      <c r="P172" s="172"/>
      <c r="Q172" s="173"/>
    </row>
    <row r="173" spans="1:17" ht="16.95" customHeight="1" x14ac:dyDescent="0.3">
      <c r="A173" s="18" t="str">
        <f t="shared" si="9"/>
        <v>C3Y</v>
      </c>
      <c r="C173" s="9">
        <f t="shared" si="10"/>
        <v>24192</v>
      </c>
      <c r="D173" s="9">
        <f t="shared" si="10"/>
        <v>-32256.000000000007</v>
      </c>
      <c r="G173" s="14" t="str">
        <f>INDEX(C$128:C$135, MATCH(6, G$128:G$135, 0))</f>
        <v>U3Y</v>
      </c>
      <c r="L173" s="215"/>
      <c r="M173" s="172"/>
      <c r="N173" s="172"/>
      <c r="O173" s="172"/>
      <c r="P173" s="172"/>
      <c r="Q173" s="173"/>
    </row>
    <row r="174" spans="1:17" ht="16.95" customHeight="1" x14ac:dyDescent="0.3">
      <c r="L174" s="215"/>
      <c r="M174" s="172"/>
      <c r="N174" s="172"/>
      <c r="O174" s="172"/>
      <c r="P174" s="172"/>
      <c r="Q174" s="173"/>
    </row>
    <row r="175" spans="1:17" ht="16.95" customHeight="1" x14ac:dyDescent="0.3">
      <c r="A175" s="12" t="str">
        <f t="shared" ref="A175:A180" si="11">A168</f>
        <v>C1X</v>
      </c>
      <c r="C175" s="17">
        <f t="array" ref="C175:C180">MMULT(C168:D173, F168:F169)</f>
        <v>26.679841897233018</v>
      </c>
      <c r="D175" s="12" t="s">
        <v>273</v>
      </c>
      <c r="L175" s="215"/>
      <c r="M175" s="172"/>
      <c r="N175" s="172"/>
      <c r="O175" s="172"/>
      <c r="P175" s="172"/>
      <c r="Q175" s="173"/>
    </row>
    <row r="176" spans="1:17" ht="16.95" customHeight="1" x14ac:dyDescent="0.3">
      <c r="A176" s="12" t="str">
        <f t="shared" si="11"/>
        <v>C1Y</v>
      </c>
      <c r="C176" s="17">
        <v>35.573122529644934</v>
      </c>
      <c r="D176" s="12" t="s">
        <v>273</v>
      </c>
      <c r="L176" s="215"/>
      <c r="M176" s="172"/>
      <c r="N176" s="172"/>
      <c r="O176" s="172"/>
      <c r="P176" s="172"/>
      <c r="Q176" s="173"/>
    </row>
    <row r="177" spans="1:17" ht="16.95" customHeight="1" x14ac:dyDescent="0.3">
      <c r="A177" s="12" t="str">
        <f t="shared" si="11"/>
        <v>C2X</v>
      </c>
      <c r="C177" s="17">
        <v>0</v>
      </c>
      <c r="D177" s="12" t="s">
        <v>273</v>
      </c>
      <c r="L177" s="215"/>
      <c r="M177" s="172"/>
      <c r="N177" s="172"/>
      <c r="O177" s="172"/>
      <c r="P177" s="172"/>
      <c r="Q177" s="173"/>
    </row>
    <row r="178" spans="1:17" ht="16.95" customHeight="1" x14ac:dyDescent="0.3">
      <c r="A178" s="12" t="str">
        <f t="shared" si="11"/>
        <v>C2Y</v>
      </c>
      <c r="B178" s="13" t="s">
        <v>220</v>
      </c>
      <c r="C178" s="17">
        <v>5928.853754940711</v>
      </c>
      <c r="D178" s="12" t="s">
        <v>273</v>
      </c>
      <c r="L178" s="215"/>
      <c r="M178" s="172"/>
      <c r="N178" s="172"/>
      <c r="O178" s="172"/>
      <c r="P178" s="172"/>
      <c r="Q178" s="173"/>
    </row>
    <row r="179" spans="1:17" ht="16.95" customHeight="1" x14ac:dyDescent="0.3">
      <c r="A179" s="12" t="str">
        <f t="shared" si="11"/>
        <v>C3X</v>
      </c>
      <c r="C179" s="17">
        <v>-4526.679841897233</v>
      </c>
      <c r="D179" s="12" t="s">
        <v>273</v>
      </c>
      <c r="L179" s="215"/>
      <c r="M179" s="172"/>
      <c r="N179" s="172"/>
      <c r="O179" s="172"/>
      <c r="P179" s="172"/>
      <c r="Q179" s="173"/>
    </row>
    <row r="180" spans="1:17" ht="16.95" customHeight="1" x14ac:dyDescent="0.3">
      <c r="A180" s="12" t="str">
        <f t="shared" si="11"/>
        <v>C3Y</v>
      </c>
      <c r="C180" s="17">
        <v>6035.573122529644</v>
      </c>
      <c r="D180" s="12" t="s">
        <v>273</v>
      </c>
      <c r="L180" s="215"/>
      <c r="M180" s="172"/>
      <c r="N180" s="172"/>
      <c r="O180" s="172"/>
      <c r="P180" s="172"/>
      <c r="Q180" s="173"/>
    </row>
    <row r="183" spans="1:17" ht="19.95" customHeight="1" x14ac:dyDescent="0.35">
      <c r="A183" s="11" t="s">
        <v>274</v>
      </c>
    </row>
    <row r="185" spans="1:17" ht="19.05" customHeight="1" x14ac:dyDescent="0.3">
      <c r="A185" s="12" t="s">
        <v>228</v>
      </c>
      <c r="B185" s="12" t="s">
        <v>178</v>
      </c>
      <c r="D185" s="94">
        <f t="shared" ref="D185:D192" si="12">IFERROR(INDEX(C$162:C$163, MATCH(A185, A$162:A$163, 0)), 0)</f>
        <v>0</v>
      </c>
    </row>
    <row r="186" spans="1:17" ht="19.05" customHeight="1" x14ac:dyDescent="0.3">
      <c r="A186" s="12" t="s">
        <v>229</v>
      </c>
      <c r="B186" s="12" t="s">
        <v>179</v>
      </c>
      <c r="D186" s="94">
        <f t="shared" si="12"/>
        <v>0</v>
      </c>
    </row>
    <row r="187" spans="1:17" ht="19.05" customHeight="1" x14ac:dyDescent="0.3">
      <c r="A187" s="12" t="s">
        <v>230</v>
      </c>
      <c r="B187" s="12" t="s">
        <v>180</v>
      </c>
      <c r="D187" s="94">
        <f t="shared" si="12"/>
        <v>0</v>
      </c>
    </row>
    <row r="188" spans="1:17" ht="19.05" customHeight="1" x14ac:dyDescent="0.3">
      <c r="A188" s="12" t="s">
        <v>231</v>
      </c>
      <c r="B188" s="12" t="s">
        <v>181</v>
      </c>
      <c r="D188" s="94">
        <f t="shared" si="12"/>
        <v>0</v>
      </c>
    </row>
    <row r="189" spans="1:17" ht="19.05" customHeight="1" x14ac:dyDescent="0.3">
      <c r="A189" s="12" t="s">
        <v>232</v>
      </c>
      <c r="B189" s="12" t="s">
        <v>182</v>
      </c>
      <c r="D189" s="94">
        <f t="shared" si="12"/>
        <v>0</v>
      </c>
    </row>
    <row r="190" spans="1:17" ht="19.05" customHeight="1" x14ac:dyDescent="0.3">
      <c r="A190" s="12" t="s">
        <v>234</v>
      </c>
      <c r="B190" s="12" t="s">
        <v>183</v>
      </c>
      <c r="D190" s="94">
        <f t="shared" si="12"/>
        <v>0</v>
      </c>
    </row>
    <row r="191" spans="1:17" ht="19.05" customHeight="1" x14ac:dyDescent="0.3">
      <c r="A191" s="12" t="s">
        <v>235</v>
      </c>
      <c r="B191" s="12" t="s">
        <v>184</v>
      </c>
      <c r="D191" s="94">
        <f t="shared" si="12"/>
        <v>0.1240079365079365</v>
      </c>
    </row>
    <row r="192" spans="1:17" ht="19.05" customHeight="1" x14ac:dyDescent="0.3">
      <c r="A192" s="12" t="s">
        <v>236</v>
      </c>
      <c r="B192" s="12" t="s">
        <v>185</v>
      </c>
      <c r="D192" s="94">
        <f t="shared" si="12"/>
        <v>-9.4108789760963665E-2</v>
      </c>
    </row>
    <row r="195" spans="1:17" ht="19.95" customHeight="1" x14ac:dyDescent="0.35">
      <c r="A195" s="11" t="s">
        <v>275</v>
      </c>
      <c r="L195" s="216" t="s">
        <v>276</v>
      </c>
      <c r="M195" s="172"/>
      <c r="N195" s="172"/>
      <c r="O195" s="172"/>
      <c r="P195" s="172"/>
      <c r="Q195" s="173"/>
    </row>
    <row r="196" spans="1:17" ht="16.95" customHeight="1" x14ac:dyDescent="0.3">
      <c r="L196" s="215" t="s">
        <v>395</v>
      </c>
      <c r="M196" s="172"/>
      <c r="N196" s="172"/>
      <c r="O196" s="172"/>
      <c r="P196" s="172"/>
      <c r="Q196" s="173"/>
    </row>
    <row r="197" spans="1:17" ht="16.95" customHeight="1" x14ac:dyDescent="0.3">
      <c r="A197" s="19" t="s">
        <v>278</v>
      </c>
      <c r="C197" s="19" t="s">
        <v>279</v>
      </c>
      <c r="D197" s="19" t="s">
        <v>280</v>
      </c>
      <c r="E197" s="19" t="s">
        <v>279</v>
      </c>
      <c r="F197" s="19" t="s">
        <v>280</v>
      </c>
      <c r="G197" s="19" t="s">
        <v>249</v>
      </c>
      <c r="L197" s="215" t="s">
        <v>396</v>
      </c>
      <c r="M197" s="172"/>
      <c r="N197" s="172"/>
      <c r="O197" s="172"/>
      <c r="P197" s="172"/>
      <c r="Q197" s="173"/>
    </row>
    <row r="198" spans="1:17" ht="16.95" customHeight="1" x14ac:dyDescent="0.3">
      <c r="C198" s="19" t="s">
        <v>282</v>
      </c>
      <c r="D198" s="19" t="s">
        <v>282</v>
      </c>
      <c r="E198" s="19" t="s">
        <v>283</v>
      </c>
      <c r="F198" s="19" t="s">
        <v>283</v>
      </c>
      <c r="L198" s="215" t="s">
        <v>397</v>
      </c>
      <c r="M198" s="172"/>
      <c r="N198" s="172"/>
      <c r="O198" s="172"/>
      <c r="P198" s="172"/>
      <c r="Q198" s="173"/>
    </row>
    <row r="199" spans="1:17" ht="16.95" customHeight="1" x14ac:dyDescent="0.3">
      <c r="A199" s="17">
        <f>N6</f>
        <v>84000</v>
      </c>
      <c r="C199" s="92">
        <f>-J6</f>
        <v>-1</v>
      </c>
      <c r="D199" s="92">
        <f>-K6</f>
        <v>0</v>
      </c>
      <c r="E199" s="92">
        <f>J6</f>
        <v>1</v>
      </c>
      <c r="F199" s="92">
        <f>K6</f>
        <v>0</v>
      </c>
      <c r="G199" s="96">
        <f>IFERROR(VLOOKUP(H199, A$185:D$192, 4, FALSE), 0)</f>
        <v>0</v>
      </c>
      <c r="H199" s="12" t="str">
        <f>"D" &amp; C14 &amp; "X"</f>
        <v>D1X</v>
      </c>
      <c r="L199" s="215" t="s">
        <v>398</v>
      </c>
      <c r="M199" s="172"/>
      <c r="N199" s="172"/>
      <c r="O199" s="172"/>
      <c r="P199" s="172"/>
      <c r="Q199" s="173"/>
    </row>
    <row r="200" spans="1:17" ht="16.95" customHeight="1" x14ac:dyDescent="0.3">
      <c r="A200" s="99" t="s">
        <v>285</v>
      </c>
      <c r="B200" s="97">
        <f>(MMULT(C199:F199, G199:G202)*A199)</f>
        <v>0</v>
      </c>
      <c r="G200" s="96">
        <f>IFERROR(VLOOKUP(H200, A$185:D$192, 4, FALSE), 0)</f>
        <v>0</v>
      </c>
      <c r="H200" s="12" t="str">
        <f>"D" &amp; D14 &amp; "Y"</f>
        <v>D1Y</v>
      </c>
      <c r="L200" s="215" t="s">
        <v>399</v>
      </c>
      <c r="M200" s="172"/>
      <c r="N200" s="172"/>
      <c r="O200" s="172"/>
      <c r="P200" s="172"/>
      <c r="Q200" s="173"/>
    </row>
    <row r="201" spans="1:17" ht="16.95" customHeight="1" x14ac:dyDescent="0.3">
      <c r="G201" s="96">
        <f>IFERROR(VLOOKUP(H201, A$185:D$192, 4, FALSE), 0)</f>
        <v>0</v>
      </c>
      <c r="H201" s="12" t="str">
        <f>"D" &amp; E14 &amp; "X"</f>
        <v>D2X</v>
      </c>
      <c r="L201" s="215" t="s">
        <v>400</v>
      </c>
      <c r="M201" s="172"/>
      <c r="N201" s="172"/>
      <c r="O201" s="172"/>
      <c r="P201" s="172"/>
      <c r="Q201" s="173"/>
    </row>
    <row r="202" spans="1:17" ht="16.95" customHeight="1" x14ac:dyDescent="0.3">
      <c r="G202" s="96">
        <f>IFERROR(VLOOKUP(H202, A$185:D$192, 4, FALSE), 0)</f>
        <v>0</v>
      </c>
      <c r="H202" s="12" t="str">
        <f>"D" &amp; F14 &amp; "Y"</f>
        <v>D2Y</v>
      </c>
      <c r="L202" s="215" t="s">
        <v>401</v>
      </c>
      <c r="M202" s="172"/>
      <c r="N202" s="172"/>
      <c r="O202" s="172"/>
      <c r="P202" s="172"/>
      <c r="Q202" s="173"/>
    </row>
    <row r="203" spans="1:17" ht="16.95" customHeight="1" x14ac:dyDescent="0.3">
      <c r="B203" s="99" t="s">
        <v>273</v>
      </c>
      <c r="C203" s="178" t="str">
        <f>IF(B200&gt;0.001,"BARRA A TRACCIÓN (+)",IF(B200&lt;-0.001,"BARRA A COMPRESIÓN (-)","BARRA DE FUERZA NULA"))</f>
        <v>BARRA DE FUERZA NULA</v>
      </c>
      <c r="D203" s="172"/>
      <c r="E203" s="172"/>
      <c r="F203" s="173"/>
      <c r="L203" s="215" t="s">
        <v>402</v>
      </c>
      <c r="M203" s="172"/>
      <c r="N203" s="172"/>
      <c r="O203" s="172"/>
      <c r="P203" s="172"/>
      <c r="Q203" s="173"/>
    </row>
    <row r="204" spans="1:17" ht="16.95" customHeight="1" x14ac:dyDescent="0.3">
      <c r="L204" s="215" t="s">
        <v>403</v>
      </c>
      <c r="M204" s="172"/>
      <c r="N204" s="172"/>
      <c r="O204" s="172"/>
      <c r="P204" s="172"/>
      <c r="Q204" s="173"/>
    </row>
    <row r="205" spans="1:17" ht="16.95" customHeight="1" x14ac:dyDescent="0.3">
      <c r="A205" s="19" t="s">
        <v>278</v>
      </c>
      <c r="C205" s="19" t="s">
        <v>279</v>
      </c>
      <c r="D205" s="19" t="s">
        <v>280</v>
      </c>
      <c r="E205" s="19" t="s">
        <v>279</v>
      </c>
      <c r="F205" s="19" t="s">
        <v>280</v>
      </c>
      <c r="G205" s="19" t="s">
        <v>249</v>
      </c>
      <c r="L205" s="215"/>
      <c r="M205" s="172"/>
      <c r="N205" s="172"/>
      <c r="O205" s="172"/>
      <c r="P205" s="172"/>
      <c r="Q205" s="173"/>
    </row>
    <row r="206" spans="1:17" ht="16.95" customHeight="1" x14ac:dyDescent="0.3">
      <c r="C206" s="19" t="s">
        <v>282</v>
      </c>
      <c r="D206" s="19" t="s">
        <v>282</v>
      </c>
      <c r="E206" s="19" t="s">
        <v>283</v>
      </c>
      <c r="F206" s="19" t="s">
        <v>283</v>
      </c>
      <c r="L206" s="215"/>
      <c r="M206" s="172"/>
      <c r="N206" s="172"/>
      <c r="O206" s="172"/>
      <c r="P206" s="172"/>
      <c r="Q206" s="173"/>
    </row>
    <row r="207" spans="1:17" ht="16.95" customHeight="1" x14ac:dyDescent="0.3">
      <c r="A207" s="17">
        <f>N7</f>
        <v>84000</v>
      </c>
      <c r="C207" s="92">
        <f>-J7</f>
        <v>-1</v>
      </c>
      <c r="D207" s="92">
        <f>-K7</f>
        <v>0</v>
      </c>
      <c r="E207" s="92">
        <f>J7</f>
        <v>1</v>
      </c>
      <c r="F207" s="92">
        <f>K7</f>
        <v>0</v>
      </c>
      <c r="G207" s="96">
        <f>IFERROR(VLOOKUP(H207, A$185:D$192, 4, FALSE), 0)</f>
        <v>0</v>
      </c>
      <c r="H207" s="12" t="str">
        <f>"D" &amp; C15 &amp; "X"</f>
        <v>D2X</v>
      </c>
      <c r="L207" s="215"/>
      <c r="M207" s="172"/>
      <c r="N207" s="172"/>
      <c r="O207" s="172"/>
      <c r="P207" s="172"/>
      <c r="Q207" s="173"/>
    </row>
    <row r="208" spans="1:17" ht="16.95" customHeight="1" x14ac:dyDescent="0.3">
      <c r="A208" s="99" t="s">
        <v>286</v>
      </c>
      <c r="B208" s="97">
        <f>(MMULT(C207:F207, G207:G210)*A207)</f>
        <v>0</v>
      </c>
      <c r="G208" s="96">
        <f>IFERROR(VLOOKUP(H208, A$185:D$192, 4, FALSE), 0)</f>
        <v>0</v>
      </c>
      <c r="H208" s="12" t="str">
        <f>"D" &amp; D15 &amp; "Y"</f>
        <v>D2Y</v>
      </c>
      <c r="L208" s="215"/>
      <c r="M208" s="172"/>
      <c r="N208" s="172"/>
      <c r="O208" s="172"/>
      <c r="P208" s="172"/>
      <c r="Q208" s="173"/>
    </row>
    <row r="209" spans="1:17" ht="16.95" customHeight="1" x14ac:dyDescent="0.3">
      <c r="G209" s="96">
        <f>IFERROR(VLOOKUP(H209, A$185:D$192, 4, FALSE), 0)</f>
        <v>0</v>
      </c>
      <c r="H209" s="12" t="str">
        <f>"D" &amp; E15 &amp; "X"</f>
        <v>D3X</v>
      </c>
      <c r="L209" s="215"/>
      <c r="M209" s="172"/>
      <c r="N209" s="172"/>
      <c r="O209" s="172"/>
      <c r="P209" s="172"/>
      <c r="Q209" s="173"/>
    </row>
    <row r="210" spans="1:17" ht="16.95" customHeight="1" x14ac:dyDescent="0.3">
      <c r="G210" s="96">
        <f>IFERROR(VLOOKUP(H210, A$185:D$192, 4, FALSE), 0)</f>
        <v>0</v>
      </c>
      <c r="H210" s="12" t="str">
        <f>"D" &amp; F15 &amp; "Y"</f>
        <v>D3Y</v>
      </c>
      <c r="L210" s="215"/>
      <c r="M210" s="172"/>
      <c r="N210" s="172"/>
      <c r="O210" s="172"/>
      <c r="P210" s="172"/>
      <c r="Q210" s="173"/>
    </row>
    <row r="211" spans="1:17" ht="16.95" customHeight="1" x14ac:dyDescent="0.3">
      <c r="B211" s="99" t="s">
        <v>273</v>
      </c>
      <c r="C211" s="178" t="str">
        <f>IF(B208&gt;0.001,"BARRA A TRACCIÓN (+)",IF(B208&lt;-0.001,"BARRA A COMPRESIÓN (-)","BARRA DE FUERZA NULA"))</f>
        <v>BARRA DE FUERZA NULA</v>
      </c>
      <c r="D211" s="172"/>
      <c r="E211" s="172"/>
      <c r="F211" s="173"/>
      <c r="L211" s="215"/>
      <c r="M211" s="172"/>
      <c r="N211" s="172"/>
      <c r="O211" s="172"/>
      <c r="P211" s="172"/>
      <c r="Q211" s="173"/>
    </row>
    <row r="212" spans="1:17" ht="16.95" customHeight="1" x14ac:dyDescent="0.3">
      <c r="L212" s="215"/>
      <c r="M212" s="172"/>
      <c r="N212" s="172"/>
      <c r="O212" s="172"/>
      <c r="P212" s="172"/>
      <c r="Q212" s="173"/>
    </row>
    <row r="213" spans="1:17" ht="16.95" customHeight="1" x14ac:dyDescent="0.3">
      <c r="A213" s="19" t="s">
        <v>278</v>
      </c>
      <c r="C213" s="19" t="s">
        <v>279</v>
      </c>
      <c r="D213" s="19" t="s">
        <v>280</v>
      </c>
      <c r="E213" s="19" t="s">
        <v>279</v>
      </c>
      <c r="F213" s="19" t="s">
        <v>280</v>
      </c>
      <c r="G213" s="19" t="s">
        <v>249</v>
      </c>
      <c r="L213" s="215"/>
      <c r="M213" s="172"/>
      <c r="N213" s="172"/>
      <c r="O213" s="172"/>
      <c r="P213" s="172"/>
      <c r="Q213" s="173"/>
    </row>
    <row r="214" spans="1:17" ht="16.95" customHeight="1" x14ac:dyDescent="0.3">
      <c r="C214" s="19" t="s">
        <v>282</v>
      </c>
      <c r="D214" s="19" t="s">
        <v>282</v>
      </c>
      <c r="E214" s="19" t="s">
        <v>283</v>
      </c>
      <c r="F214" s="19" t="s">
        <v>283</v>
      </c>
      <c r="L214" s="215"/>
      <c r="M214" s="172"/>
      <c r="N214" s="172"/>
      <c r="O214" s="172"/>
      <c r="P214" s="172"/>
      <c r="Q214" s="173"/>
    </row>
    <row r="215" spans="1:17" ht="16.95" customHeight="1" x14ac:dyDescent="0.3">
      <c r="A215" s="17">
        <f>N8</f>
        <v>50400</v>
      </c>
      <c r="C215" s="92">
        <f>-J8</f>
        <v>-0.6</v>
      </c>
      <c r="D215" s="92">
        <f>-K8</f>
        <v>-0.8</v>
      </c>
      <c r="E215" s="92">
        <f>J8</f>
        <v>0.6</v>
      </c>
      <c r="F215" s="92">
        <f>K8</f>
        <v>0.8</v>
      </c>
      <c r="G215" s="96">
        <f>IFERROR(VLOOKUP(H215, A$185:D$192, 4, FALSE), 0)</f>
        <v>0</v>
      </c>
      <c r="H215" s="12" t="str">
        <f>"D" &amp; C16 &amp; "X"</f>
        <v>D1X</v>
      </c>
      <c r="L215" s="215"/>
      <c r="M215" s="172"/>
      <c r="N215" s="172"/>
      <c r="O215" s="172"/>
      <c r="P215" s="172"/>
      <c r="Q215" s="173"/>
    </row>
    <row r="216" spans="1:17" ht="16.95" customHeight="1" x14ac:dyDescent="0.3">
      <c r="A216" s="99" t="s">
        <v>287</v>
      </c>
      <c r="B216" s="97">
        <f>(MMULT(C215:F215, G215:G218)*A215)</f>
        <v>-44.466403162056281</v>
      </c>
      <c r="G216" s="96">
        <f>IFERROR(VLOOKUP(H216, A$185:D$192, 4, FALSE), 0)</f>
        <v>0</v>
      </c>
      <c r="H216" s="12" t="str">
        <f>"D" &amp; D16 &amp; "Y"</f>
        <v>D1Y</v>
      </c>
      <c r="L216" s="215"/>
      <c r="M216" s="172"/>
      <c r="N216" s="172"/>
      <c r="O216" s="172"/>
      <c r="P216" s="172"/>
      <c r="Q216" s="173"/>
    </row>
    <row r="217" spans="1:17" ht="16.95" customHeight="1" x14ac:dyDescent="0.3">
      <c r="G217" s="96">
        <f>IFERROR(VLOOKUP(H217, A$185:D$192, 4, FALSE), 0)</f>
        <v>0.1240079365079365</v>
      </c>
      <c r="H217" s="12" t="str">
        <f>"D" &amp; E16 &amp; "X"</f>
        <v>D4X</v>
      </c>
      <c r="L217" s="215"/>
      <c r="M217" s="172"/>
      <c r="N217" s="172"/>
      <c r="O217" s="172"/>
      <c r="P217" s="172"/>
      <c r="Q217" s="173"/>
    </row>
    <row r="218" spans="1:17" ht="16.95" customHeight="1" x14ac:dyDescent="0.3">
      <c r="G218" s="96">
        <f>IFERROR(VLOOKUP(H218, A$185:D$192, 4, FALSE), 0)</f>
        <v>-9.4108789760963665E-2</v>
      </c>
      <c r="H218" s="12" t="str">
        <f>"D" &amp; F16 &amp; "Y"</f>
        <v>D4Y</v>
      </c>
      <c r="L218" s="215"/>
      <c r="M218" s="172"/>
      <c r="N218" s="172"/>
      <c r="O218" s="172"/>
      <c r="P218" s="172"/>
      <c r="Q218" s="173"/>
    </row>
    <row r="219" spans="1:17" ht="16.95" customHeight="1" x14ac:dyDescent="0.3">
      <c r="B219" s="99" t="s">
        <v>273</v>
      </c>
      <c r="C219" s="178" t="str">
        <f>IF(B216&gt;0.001,"BARRA A TRACCIÓN (+)",IF(B216&lt;-0.001,"BARRA A COMPRESIÓN (-)","BARRA DE FUERZA NULA"))</f>
        <v>BARRA A COMPRESIÓN (-)</v>
      </c>
      <c r="D219" s="172"/>
      <c r="E219" s="172"/>
      <c r="F219" s="173"/>
      <c r="L219" s="215"/>
      <c r="M219" s="172"/>
      <c r="N219" s="172"/>
      <c r="O219" s="172"/>
      <c r="P219" s="172"/>
      <c r="Q219" s="173"/>
    </row>
    <row r="220" spans="1:17" ht="16.95" customHeight="1" x14ac:dyDescent="0.3">
      <c r="L220" s="215"/>
      <c r="M220" s="172"/>
      <c r="N220" s="172"/>
      <c r="O220" s="172"/>
      <c r="P220" s="172"/>
      <c r="Q220" s="173"/>
    </row>
    <row r="221" spans="1:17" ht="18" customHeight="1" x14ac:dyDescent="0.3">
      <c r="A221" s="19" t="s">
        <v>278</v>
      </c>
      <c r="C221" s="19" t="s">
        <v>279</v>
      </c>
      <c r="D221" s="19" t="s">
        <v>280</v>
      </c>
      <c r="E221" s="19" t="s">
        <v>279</v>
      </c>
      <c r="F221" s="19" t="s">
        <v>280</v>
      </c>
      <c r="G221" s="19" t="s">
        <v>249</v>
      </c>
    </row>
    <row r="222" spans="1:17" ht="16.05" customHeight="1" x14ac:dyDescent="0.3">
      <c r="C222" s="19" t="s">
        <v>282</v>
      </c>
      <c r="D222" s="19" t="s">
        <v>282</v>
      </c>
      <c r="E222" s="19" t="s">
        <v>283</v>
      </c>
      <c r="F222" s="19" t="s">
        <v>283</v>
      </c>
    </row>
    <row r="223" spans="1:17" ht="19.95" customHeight="1" x14ac:dyDescent="0.3">
      <c r="A223" s="17">
        <f>N9</f>
        <v>63000</v>
      </c>
      <c r="C223" s="92">
        <f>-J9</f>
        <v>0</v>
      </c>
      <c r="D223" s="92">
        <f>-K9</f>
        <v>-1</v>
      </c>
      <c r="E223" s="92">
        <f>J9</f>
        <v>0</v>
      </c>
      <c r="F223" s="92">
        <f>K9</f>
        <v>1</v>
      </c>
      <c r="G223" s="96">
        <f>IFERROR(VLOOKUP(H223, A$185:D$192, 4, FALSE), 0)</f>
        <v>0</v>
      </c>
      <c r="H223" s="12" t="str">
        <f>"D" &amp; C17 &amp; "X"</f>
        <v>D2X</v>
      </c>
    </row>
    <row r="224" spans="1:17" ht="19.95" customHeight="1" x14ac:dyDescent="0.3">
      <c r="A224" s="99" t="s">
        <v>288</v>
      </c>
      <c r="B224" s="97">
        <f>(MMULT(C223:F223, G223:G226)*A223)</f>
        <v>-5928.853754940711</v>
      </c>
      <c r="G224" s="96">
        <f>IFERROR(VLOOKUP(H224, A$185:D$192, 4, FALSE), 0)</f>
        <v>0</v>
      </c>
      <c r="H224" s="12" t="str">
        <f>"D" &amp; D17 &amp; "Y"</f>
        <v>D2Y</v>
      </c>
    </row>
    <row r="225" spans="1:8" ht="19.95" customHeight="1" x14ac:dyDescent="0.3">
      <c r="G225" s="96">
        <f>IFERROR(VLOOKUP(H225, A$185:D$192, 4, FALSE), 0)</f>
        <v>0.1240079365079365</v>
      </c>
      <c r="H225" s="12" t="str">
        <f>"D" &amp; E17 &amp; "X"</f>
        <v>D4X</v>
      </c>
    </row>
    <row r="226" spans="1:8" ht="19.95" customHeight="1" x14ac:dyDescent="0.3">
      <c r="G226" s="96">
        <f>IFERROR(VLOOKUP(H226, A$185:D$192, 4, FALSE), 0)</f>
        <v>-9.4108789760963665E-2</v>
      </c>
      <c r="H226" s="12" t="str">
        <f>"D" &amp; F17 &amp; "Y"</f>
        <v>D4Y</v>
      </c>
    </row>
    <row r="227" spans="1:8" ht="19.95" customHeight="1" x14ac:dyDescent="0.3">
      <c r="B227" s="99" t="s">
        <v>273</v>
      </c>
      <c r="C227" s="178" t="str">
        <f>IF(B224&gt;0.001,"BARRA A TRACCIÓN (+)",IF(B224&lt;-0.001,"BARRA A COMPRESIÓN (-)","BARRA DE FUERZA NULA"))</f>
        <v>BARRA A COMPRESIÓN (-)</v>
      </c>
      <c r="D227" s="172"/>
      <c r="E227" s="172"/>
      <c r="F227" s="173"/>
    </row>
    <row r="229" spans="1:8" ht="18" customHeight="1" x14ac:dyDescent="0.3">
      <c r="A229" s="19" t="s">
        <v>278</v>
      </c>
      <c r="C229" s="19" t="s">
        <v>279</v>
      </c>
      <c r="D229" s="19" t="s">
        <v>280</v>
      </c>
      <c r="E229" s="19" t="s">
        <v>279</v>
      </c>
      <c r="F229" s="19" t="s">
        <v>280</v>
      </c>
      <c r="G229" s="19" t="s">
        <v>249</v>
      </c>
    </row>
    <row r="230" spans="1:8" ht="16.05" customHeight="1" x14ac:dyDescent="0.3">
      <c r="C230" s="19" t="s">
        <v>282</v>
      </c>
      <c r="D230" s="19" t="s">
        <v>282</v>
      </c>
      <c r="E230" s="19" t="s">
        <v>283</v>
      </c>
      <c r="F230" s="19" t="s">
        <v>283</v>
      </c>
    </row>
    <row r="231" spans="1:8" ht="19.95" customHeight="1" x14ac:dyDescent="0.3">
      <c r="A231" s="17">
        <f>N10</f>
        <v>50400</v>
      </c>
      <c r="C231" s="92">
        <f>-J10</f>
        <v>0.6</v>
      </c>
      <c r="D231" s="92">
        <f>-K10</f>
        <v>-0.8</v>
      </c>
      <c r="E231" s="92">
        <f>J10</f>
        <v>-0.6</v>
      </c>
      <c r="F231" s="92">
        <f>K10</f>
        <v>0.8</v>
      </c>
      <c r="G231" s="96">
        <f>IFERROR(VLOOKUP(H231, A$185:D$192, 4, FALSE), 0)</f>
        <v>0</v>
      </c>
      <c r="H231" s="12" t="str">
        <f>"D" &amp; C18 &amp; "X"</f>
        <v>D3X</v>
      </c>
    </row>
    <row r="232" spans="1:8" ht="19.95" customHeight="1" x14ac:dyDescent="0.3">
      <c r="A232" s="99" t="s">
        <v>289</v>
      </c>
      <c r="B232" s="97">
        <f>(MMULT(C231:F231, G231:G234)*A231)</f>
        <v>-7544.466403162055</v>
      </c>
      <c r="G232" s="96">
        <f>IFERROR(VLOOKUP(H232, A$185:D$192, 4, FALSE), 0)</f>
        <v>0</v>
      </c>
      <c r="H232" s="12" t="str">
        <f>"D" &amp; D18 &amp; "Y"</f>
        <v>D3Y</v>
      </c>
    </row>
    <row r="233" spans="1:8" ht="19.95" customHeight="1" x14ac:dyDescent="0.3">
      <c r="G233" s="96">
        <f>IFERROR(VLOOKUP(H233, A$185:D$192, 4, FALSE), 0)</f>
        <v>0.1240079365079365</v>
      </c>
      <c r="H233" s="12" t="str">
        <f>"D" &amp; E18 &amp; "X"</f>
        <v>D4X</v>
      </c>
    </row>
    <row r="234" spans="1:8" ht="19.95" customHeight="1" x14ac:dyDescent="0.3">
      <c r="G234" s="96">
        <f>IFERROR(VLOOKUP(H234, A$185:D$192, 4, FALSE), 0)</f>
        <v>-9.4108789760963665E-2</v>
      </c>
      <c r="H234" s="12" t="str">
        <f>"D" &amp; F18 &amp; "Y"</f>
        <v>D4Y</v>
      </c>
    </row>
    <row r="235" spans="1:8" ht="19.95" customHeight="1" x14ac:dyDescent="0.3">
      <c r="B235" s="99" t="s">
        <v>273</v>
      </c>
      <c r="C235" s="178" t="str">
        <f>IF(B232&gt;0.001,"BARRA A TRACCIÓN (+)",IF(B232&lt;-0.001,"BARRA A COMPRESIÓN (-)","BARRA DE FUERZA NULA"))</f>
        <v>BARRA A COMPRESIÓN (-)</v>
      </c>
      <c r="D235" s="172"/>
      <c r="E235" s="172"/>
      <c r="F235" s="173"/>
    </row>
    <row r="238" spans="1:8" ht="22.05" customHeight="1" x14ac:dyDescent="0.3">
      <c r="B238" s="217" t="s">
        <v>404</v>
      </c>
      <c r="C238" s="175"/>
      <c r="D238" s="175"/>
      <c r="E238" s="175"/>
      <c r="F238" s="175"/>
      <c r="G238" s="175"/>
      <c r="H238" s="175"/>
    </row>
    <row r="239" spans="1:8" ht="24" customHeight="1" x14ac:dyDescent="0.3">
      <c r="B239" s="87" t="s">
        <v>294</v>
      </c>
      <c r="C239" s="87" t="s">
        <v>295</v>
      </c>
      <c r="D239" s="87" t="s">
        <v>296</v>
      </c>
      <c r="E239" s="87" t="s">
        <v>297</v>
      </c>
      <c r="F239" s="87" t="s">
        <v>298</v>
      </c>
      <c r="G239" s="87" t="s">
        <v>299</v>
      </c>
      <c r="H239" s="87" t="s">
        <v>300</v>
      </c>
    </row>
    <row r="240" spans="1:8" ht="19.95" customHeight="1" x14ac:dyDescent="0.3">
      <c r="B240" s="85">
        <v>1</v>
      </c>
      <c r="C240" s="86">
        <f>C14</f>
        <v>1</v>
      </c>
      <c r="D240" s="86">
        <f>E14</f>
        <v>2</v>
      </c>
      <c r="E240" s="9">
        <f>I6</f>
        <v>300</v>
      </c>
      <c r="F240" s="9">
        <f>L6</f>
        <v>12</v>
      </c>
      <c r="G240" s="97">
        <f>B200</f>
        <v>0</v>
      </c>
      <c r="H240" s="84" t="str">
        <f>C203</f>
        <v>BARRA DE FUERZA NULA</v>
      </c>
    </row>
    <row r="241" spans="2:8" ht="19.95" customHeight="1" x14ac:dyDescent="0.3">
      <c r="B241" s="25">
        <v>2</v>
      </c>
      <c r="C241" s="86">
        <f>C15</f>
        <v>2</v>
      </c>
      <c r="D241" s="86">
        <f>E15</f>
        <v>3</v>
      </c>
      <c r="E241" s="9">
        <f>I7</f>
        <v>300</v>
      </c>
      <c r="F241" s="9">
        <f>L7</f>
        <v>12</v>
      </c>
      <c r="G241" s="97">
        <f>B208</f>
        <v>0</v>
      </c>
      <c r="H241" s="84" t="str">
        <f>C211</f>
        <v>BARRA DE FUERZA NULA</v>
      </c>
    </row>
    <row r="242" spans="2:8" ht="19.95" customHeight="1" x14ac:dyDescent="0.3">
      <c r="B242" s="26">
        <v>3</v>
      </c>
      <c r="C242" s="86">
        <f>C16</f>
        <v>1</v>
      </c>
      <c r="D242" s="86">
        <f>E16</f>
        <v>4</v>
      </c>
      <c r="E242" s="9">
        <f>I8</f>
        <v>500</v>
      </c>
      <c r="F242" s="9">
        <f>L8</f>
        <v>12</v>
      </c>
      <c r="G242" s="97">
        <f>B216</f>
        <v>-44.466403162056281</v>
      </c>
      <c r="H242" s="84" t="str">
        <f>C219</f>
        <v>BARRA A COMPRESIÓN (-)</v>
      </c>
    </row>
    <row r="243" spans="2:8" ht="19.95" customHeight="1" x14ac:dyDescent="0.3">
      <c r="B243" s="43">
        <v>4</v>
      </c>
      <c r="C243" s="86">
        <f>C17</f>
        <v>2</v>
      </c>
      <c r="D243" s="86">
        <f>E17</f>
        <v>4</v>
      </c>
      <c r="E243" s="9">
        <f>I9</f>
        <v>400</v>
      </c>
      <c r="F243" s="9">
        <f>L9</f>
        <v>12</v>
      </c>
      <c r="G243" s="97">
        <f>B224</f>
        <v>-5928.853754940711</v>
      </c>
      <c r="H243" s="84" t="str">
        <f>C227</f>
        <v>BARRA A COMPRESIÓN (-)</v>
      </c>
    </row>
    <row r="244" spans="2:8" ht="19.95" customHeight="1" x14ac:dyDescent="0.3">
      <c r="B244" s="44">
        <v>5</v>
      </c>
      <c r="C244" s="86">
        <f>C18</f>
        <v>3</v>
      </c>
      <c r="D244" s="86">
        <f>E18</f>
        <v>4</v>
      </c>
      <c r="E244" s="9">
        <f>I10</f>
        <v>500</v>
      </c>
      <c r="F244" s="9">
        <f>L10</f>
        <v>12</v>
      </c>
      <c r="G244" s="97">
        <f>B232</f>
        <v>-7544.466403162055</v>
      </c>
      <c r="H244" s="84" t="str">
        <f>C235</f>
        <v>BARRA A COMPRESIÓN (-)</v>
      </c>
    </row>
  </sheetData>
  <mergeCells count="113">
    <mergeCell ref="B238:H238"/>
    <mergeCell ref="L207:Q207"/>
    <mergeCell ref="L170:Q170"/>
    <mergeCell ref="L135:Q135"/>
    <mergeCell ref="C235:F235"/>
    <mergeCell ref="L173:Q173"/>
    <mergeCell ref="L145:Q145"/>
    <mergeCell ref="L154:Q154"/>
    <mergeCell ref="C227:F227"/>
    <mergeCell ref="L203:Q203"/>
    <mergeCell ref="L160:Q160"/>
    <mergeCell ref="C211:F211"/>
    <mergeCell ref="L174:Q174"/>
    <mergeCell ref="L137:Q137"/>
    <mergeCell ref="C155:D155"/>
    <mergeCell ref="L146:Q146"/>
    <mergeCell ref="L210:Q210"/>
    <mergeCell ref="L142:Q142"/>
    <mergeCell ref="L172:Q172"/>
    <mergeCell ref="L162:Q162"/>
    <mergeCell ref="L212:Q212"/>
    <mergeCell ref="J4:J5"/>
    <mergeCell ref="L4:L5"/>
    <mergeCell ref="H4:H5"/>
    <mergeCell ref="L156:Q156"/>
    <mergeCell ref="L171:Q171"/>
    <mergeCell ref="L153:Q153"/>
    <mergeCell ref="L220:Q220"/>
    <mergeCell ref="L143:Q143"/>
    <mergeCell ref="L139:Q139"/>
    <mergeCell ref="L155:Q155"/>
    <mergeCell ref="L161:Q161"/>
    <mergeCell ref="E3:H3"/>
    <mergeCell ref="L122:Q122"/>
    <mergeCell ref="L119:Q119"/>
    <mergeCell ref="L144:Q144"/>
    <mergeCell ref="L159:Q159"/>
    <mergeCell ref="C137:D137"/>
    <mergeCell ref="L202:Q202"/>
    <mergeCell ref="L211:Q211"/>
    <mergeCell ref="L201:Q201"/>
    <mergeCell ref="B1:N1"/>
    <mergeCell ref="E12:F12"/>
    <mergeCell ref="L205:Q205"/>
    <mergeCell ref="L180:Q180"/>
    <mergeCell ref="L118:Q118"/>
    <mergeCell ref="L133:Q133"/>
    <mergeCell ref="L127:Q127"/>
    <mergeCell ref="B12:B13"/>
    <mergeCell ref="L128:Q128"/>
    <mergeCell ref="L198:Q198"/>
    <mergeCell ref="L121:Q121"/>
    <mergeCell ref="L130:Q130"/>
    <mergeCell ref="C203:F203"/>
    <mergeCell ref="C12:D12"/>
    <mergeCell ref="L124:Q124"/>
    <mergeCell ref="G4:G5"/>
    <mergeCell ref="I4:I5"/>
    <mergeCell ref="L169:Q169"/>
    <mergeCell ref="L179:Q179"/>
    <mergeCell ref="L117:Q117"/>
    <mergeCell ref="L200:Q200"/>
    <mergeCell ref="C4:D4"/>
    <mergeCell ref="L147:Q147"/>
    <mergeCell ref="E4:F4"/>
    <mergeCell ref="L219:Q219"/>
    <mergeCell ref="B2:N2"/>
    <mergeCell ref="L120:Q120"/>
    <mergeCell ref="B4:B5"/>
    <mergeCell ref="L134:Q134"/>
    <mergeCell ref="N4:N5"/>
    <mergeCell ref="L175:Q175"/>
    <mergeCell ref="L140:Q140"/>
    <mergeCell ref="L214:Q214"/>
    <mergeCell ref="L195:Q195"/>
    <mergeCell ref="C219:F219"/>
    <mergeCell ref="L204:Q204"/>
    <mergeCell ref="C156:D156"/>
    <mergeCell ref="L126:Q126"/>
    <mergeCell ref="L157:Q157"/>
    <mergeCell ref="L197:Q197"/>
    <mergeCell ref="L206:Q206"/>
    <mergeCell ref="L129:Q129"/>
    <mergeCell ref="L123:Q123"/>
    <mergeCell ref="L138:Q138"/>
    <mergeCell ref="L196:Q196"/>
    <mergeCell ref="L168:Q168"/>
    <mergeCell ref="L177:Q177"/>
    <mergeCell ref="L213:Q213"/>
    <mergeCell ref="L218:Q218"/>
    <mergeCell ref="L131:Q131"/>
    <mergeCell ref="B3:D3"/>
    <mergeCell ref="M4:M5"/>
    <mergeCell ref="L150:Q150"/>
    <mergeCell ref="L125:Q125"/>
    <mergeCell ref="L199:Q199"/>
    <mergeCell ref="L208:Q208"/>
    <mergeCell ref="L217:Q217"/>
    <mergeCell ref="K4:K5"/>
    <mergeCell ref="L151:Q151"/>
    <mergeCell ref="L166:Q166"/>
    <mergeCell ref="C160:D160"/>
    <mergeCell ref="L141:Q141"/>
    <mergeCell ref="L132:Q132"/>
    <mergeCell ref="L163:Q163"/>
    <mergeCell ref="L215:Q215"/>
    <mergeCell ref="L176:Q176"/>
    <mergeCell ref="L158:Q158"/>
    <mergeCell ref="L178:Q178"/>
    <mergeCell ref="L152:Q152"/>
    <mergeCell ref="L167:Q167"/>
    <mergeCell ref="L216:Q216"/>
    <mergeCell ref="L209:Q209"/>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669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9</v>
      </c>
      <c r="E6" s="173"/>
      <c r="F6" s="206">
        <f>SUM(F14:G23)</f>
        <v>4</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250</v>
      </c>
      <c r="AC11" t="s">
        <v>324</v>
      </c>
    </row>
    <row r="12" spans="2:29" x14ac:dyDescent="0.3">
      <c r="AA12" s="20">
        <f>IF(G30="","",G30)</f>
        <v>400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670</v>
      </c>
      <c r="K14" s="172"/>
      <c r="L14" s="172"/>
      <c r="M14" s="172"/>
      <c r="N14" s="172"/>
      <c r="O14" s="173"/>
      <c r="AA14" s="20">
        <f>IF(E31="","",E31)</f>
        <v>400</v>
      </c>
      <c r="AB14" s="20">
        <f>IF(F31="","",F31)</f>
        <v>250</v>
      </c>
      <c r="AC14" t="s">
        <v>328</v>
      </c>
    </row>
    <row r="15" spans="2:29" ht="19.05" customHeight="1" x14ac:dyDescent="0.3">
      <c r="B15" s="89">
        <v>2</v>
      </c>
      <c r="C15" s="21">
        <v>400</v>
      </c>
      <c r="D15" s="21">
        <v>0</v>
      </c>
      <c r="E15" s="21" t="s">
        <v>329</v>
      </c>
      <c r="F15" s="88">
        <f t="shared" si="0"/>
        <v>0</v>
      </c>
      <c r="G15" s="88">
        <f t="shared" si="1"/>
        <v>1</v>
      </c>
      <c r="H15" s="22">
        <v>0</v>
      </c>
      <c r="I15" s="22">
        <v>0</v>
      </c>
      <c r="J15" s="205" t="s">
        <v>671</v>
      </c>
      <c r="K15" s="172"/>
      <c r="L15" s="172"/>
      <c r="M15" s="172"/>
      <c r="N15" s="172"/>
      <c r="O15" s="173"/>
      <c r="AA15" s="20">
        <f>IF(G31="","",G31)</f>
        <v>800</v>
      </c>
      <c r="AB15" s="20">
        <f>IF(H31="","",H31)</f>
        <v>250</v>
      </c>
      <c r="AC15" t="s">
        <v>331</v>
      </c>
    </row>
    <row r="16" spans="2:29" ht="19.05" customHeight="1" x14ac:dyDescent="0.3">
      <c r="B16" s="89">
        <v>3</v>
      </c>
      <c r="C16" s="21">
        <v>800</v>
      </c>
      <c r="D16" s="21">
        <v>0</v>
      </c>
      <c r="E16" s="21" t="s">
        <v>329</v>
      </c>
      <c r="F16" s="88">
        <f t="shared" si="0"/>
        <v>0</v>
      </c>
      <c r="G16" s="88">
        <f t="shared" si="1"/>
        <v>1</v>
      </c>
      <c r="H16" s="22">
        <v>0</v>
      </c>
      <c r="I16" s="22">
        <v>0</v>
      </c>
      <c r="J16" s="205" t="s">
        <v>672</v>
      </c>
      <c r="K16" s="172"/>
      <c r="L16" s="172"/>
      <c r="M16" s="172"/>
      <c r="N16" s="172"/>
      <c r="O16" s="173"/>
    </row>
    <row r="17" spans="2:29" ht="19.05" customHeight="1" x14ac:dyDescent="0.3">
      <c r="B17" s="89">
        <v>4</v>
      </c>
      <c r="C17" s="21">
        <v>0</v>
      </c>
      <c r="D17" s="21">
        <v>250</v>
      </c>
      <c r="E17" s="21" t="s">
        <v>326</v>
      </c>
      <c r="F17" s="88">
        <f t="shared" si="0"/>
        <v>0</v>
      </c>
      <c r="G17" s="88">
        <f t="shared" si="1"/>
        <v>0</v>
      </c>
      <c r="H17" s="22">
        <v>0</v>
      </c>
      <c r="I17" s="22">
        <v>0</v>
      </c>
      <c r="J17" s="205" t="s">
        <v>627</v>
      </c>
      <c r="K17" s="172"/>
      <c r="L17" s="172"/>
      <c r="M17" s="172"/>
      <c r="N17" s="172"/>
      <c r="O17" s="173"/>
      <c r="AA17" s="20">
        <f>IF(E32="","",E32)</f>
        <v>0</v>
      </c>
      <c r="AB17" s="20">
        <f>IF(F32="","",F32)</f>
        <v>0</v>
      </c>
      <c r="AC17" t="s">
        <v>334</v>
      </c>
    </row>
    <row r="18" spans="2:29" ht="19.05" customHeight="1" x14ac:dyDescent="0.3">
      <c r="B18" s="89">
        <v>5</v>
      </c>
      <c r="C18" s="21">
        <v>400</v>
      </c>
      <c r="D18" s="21">
        <v>250</v>
      </c>
      <c r="E18" s="21" t="s">
        <v>326</v>
      </c>
      <c r="F18" s="88">
        <f t="shared" si="0"/>
        <v>0</v>
      </c>
      <c r="G18" s="88">
        <f t="shared" si="1"/>
        <v>0</v>
      </c>
      <c r="H18" s="22">
        <v>0</v>
      </c>
      <c r="I18" s="22">
        <v>-7500</v>
      </c>
      <c r="J18" s="205" t="s">
        <v>487</v>
      </c>
      <c r="K18" s="172"/>
      <c r="L18" s="172"/>
      <c r="M18" s="172"/>
      <c r="N18" s="172"/>
      <c r="O18" s="173"/>
      <c r="AA18" s="20">
        <f>IF(G32="","",G32)</f>
        <v>0</v>
      </c>
      <c r="AB18" s="20">
        <f>IF(H32="","",H32)</f>
        <v>250</v>
      </c>
      <c r="AC18" t="s">
        <v>335</v>
      </c>
    </row>
    <row r="19" spans="2:29" ht="19.05" customHeight="1" x14ac:dyDescent="0.3">
      <c r="B19" s="89">
        <v>6</v>
      </c>
      <c r="C19" s="21">
        <v>800</v>
      </c>
      <c r="D19" s="21">
        <v>250</v>
      </c>
      <c r="E19" s="21" t="s">
        <v>326</v>
      </c>
      <c r="F19" s="88">
        <f t="shared" si="0"/>
        <v>0</v>
      </c>
      <c r="G19" s="88">
        <f t="shared" si="1"/>
        <v>0</v>
      </c>
      <c r="H19" s="22">
        <v>0</v>
      </c>
      <c r="I19" s="22">
        <v>0</v>
      </c>
      <c r="J19" s="205" t="s">
        <v>632</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250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800</v>
      </c>
      <c r="AB23" s="20">
        <f>IF(F34="","",F34)</f>
        <v>0</v>
      </c>
      <c r="AC23" t="s">
        <v>338</v>
      </c>
    </row>
    <row r="24" spans="2:29" x14ac:dyDescent="0.3">
      <c r="AA24" s="20">
        <f>IF(G34="","",G34)</f>
        <v>800</v>
      </c>
      <c r="AB24" s="20">
        <f>IF(H34="","",H34)</f>
        <v>250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0</v>
      </c>
      <c r="AC29" t="s">
        <v>353</v>
      </c>
    </row>
    <row r="30" spans="2:29" ht="19.05" customHeight="1" x14ac:dyDescent="0.3">
      <c r="B30" s="89">
        <v>3</v>
      </c>
      <c r="C30" s="23">
        <v>4</v>
      </c>
      <c r="D30" s="23">
        <v>5</v>
      </c>
      <c r="E30" s="5">
        <f t="shared" si="2"/>
        <v>0</v>
      </c>
      <c r="F30" s="5">
        <f t="shared" si="3"/>
        <v>250</v>
      </c>
      <c r="G30" s="5">
        <f t="shared" si="4"/>
        <v>400</v>
      </c>
      <c r="H30" s="5">
        <f t="shared" si="5"/>
        <v>250</v>
      </c>
      <c r="I30" s="9">
        <f t="shared" si="6"/>
        <v>400</v>
      </c>
      <c r="J30" s="9">
        <f t="shared" si="7"/>
        <v>0</v>
      </c>
      <c r="K30" s="9">
        <f t="shared" si="8"/>
        <v>400</v>
      </c>
      <c r="L30" s="92">
        <f t="shared" si="9"/>
        <v>1</v>
      </c>
      <c r="M30" s="92">
        <f t="shared" si="10"/>
        <v>0</v>
      </c>
      <c r="N30" s="22">
        <v>12</v>
      </c>
      <c r="O30" s="24">
        <v>2100000</v>
      </c>
      <c r="AA30" s="20">
        <f>IF(G36="","",G36)</f>
        <v>800</v>
      </c>
      <c r="AB30" s="20">
        <f>IF(H36="","",H36)</f>
        <v>250</v>
      </c>
      <c r="AC30" t="s">
        <v>354</v>
      </c>
    </row>
    <row r="31" spans="2:29" ht="19.05" customHeight="1" x14ac:dyDescent="0.3">
      <c r="B31" s="89">
        <v>4</v>
      </c>
      <c r="C31" s="23">
        <v>5</v>
      </c>
      <c r="D31" s="23">
        <v>6</v>
      </c>
      <c r="E31" s="5">
        <f t="shared" si="2"/>
        <v>400</v>
      </c>
      <c r="F31" s="5">
        <f t="shared" si="3"/>
        <v>250</v>
      </c>
      <c r="G31" s="5">
        <f t="shared" si="4"/>
        <v>800</v>
      </c>
      <c r="H31" s="5">
        <f t="shared" si="5"/>
        <v>250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400</v>
      </c>
      <c r="H33" s="5">
        <f t="shared" si="5"/>
        <v>250</v>
      </c>
      <c r="I33" s="9">
        <f t="shared" si="6"/>
        <v>0</v>
      </c>
      <c r="J33" s="9">
        <f t="shared" si="7"/>
        <v>250</v>
      </c>
      <c r="K33" s="9">
        <f t="shared" si="8"/>
        <v>250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3</v>
      </c>
      <c r="D34" s="23">
        <v>6</v>
      </c>
      <c r="E34" s="5">
        <f t="shared" si="2"/>
        <v>800</v>
      </c>
      <c r="F34" s="5">
        <f t="shared" si="3"/>
        <v>0</v>
      </c>
      <c r="G34" s="5">
        <f t="shared" si="4"/>
        <v>800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250</v>
      </c>
      <c r="I35" s="9">
        <f t="shared" si="6"/>
        <v>400</v>
      </c>
      <c r="J35" s="9">
        <f t="shared" si="7"/>
        <v>250</v>
      </c>
      <c r="K35" s="9">
        <f t="shared" si="8"/>
        <v>471.69905660283018</v>
      </c>
      <c r="L35" s="92">
        <f t="shared" si="9"/>
        <v>0.84799830400508802</v>
      </c>
      <c r="M35" s="92">
        <f t="shared" si="10"/>
        <v>0.52999894000318004</v>
      </c>
      <c r="N35" s="22">
        <v>12</v>
      </c>
      <c r="O35" s="24">
        <v>2100000</v>
      </c>
      <c r="AA35" s="20" t="str">
        <f>IF(E38="","",E38)</f>
        <v/>
      </c>
      <c r="AB35" s="20" t="str">
        <f>IF(F38="","",F38)</f>
        <v/>
      </c>
      <c r="AC35" t="s">
        <v>357</v>
      </c>
    </row>
    <row r="36" spans="2:29" ht="19.05" customHeight="1" x14ac:dyDescent="0.3">
      <c r="B36" s="89">
        <v>9</v>
      </c>
      <c r="C36" s="23">
        <v>2</v>
      </c>
      <c r="D36" s="23">
        <v>6</v>
      </c>
      <c r="E36" s="5">
        <f t="shared" si="2"/>
        <v>400</v>
      </c>
      <c r="F36" s="5">
        <f t="shared" si="3"/>
        <v>0</v>
      </c>
      <c r="G36" s="5">
        <f t="shared" si="4"/>
        <v>800</v>
      </c>
      <c r="H36" s="5">
        <f t="shared" si="5"/>
        <v>250</v>
      </c>
      <c r="I36" s="9">
        <f t="shared" si="6"/>
        <v>400</v>
      </c>
      <c r="J36" s="9">
        <f t="shared" si="7"/>
        <v>250</v>
      </c>
      <c r="K36" s="9">
        <f t="shared" si="8"/>
        <v>471.69905660283018</v>
      </c>
      <c r="L36" s="92">
        <f t="shared" si="9"/>
        <v>0.84799830400508802</v>
      </c>
      <c r="M36" s="92">
        <f t="shared" si="10"/>
        <v>0.52999894000318004</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D00-000000000000}">
      <formula1>"Fijo (articulado),Rodillo Y (despl. X libre),Rodillo X (despl. Y libre),Libre (0 reac.)"</formula1>
    </dataValidation>
  </dataValidations>
  <pageMargins left="0.75" right="0.75" top="1" bottom="1" header="0.5" footer="0.5"/>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U430"/>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673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GRAFICA_54!E28</f>
        <v>0</v>
      </c>
      <c r="D6" s="22">
        <f>GRAFICA_54!F28</f>
        <v>0</v>
      </c>
      <c r="E6" s="22">
        <f>GRAFICA_54!G28</f>
        <v>400</v>
      </c>
      <c r="F6" s="22">
        <f>GRAFICA_54!H28</f>
        <v>0</v>
      </c>
      <c r="G6" s="9">
        <f t="shared" ref="G6:G14" si="0">E6-C6</f>
        <v>400</v>
      </c>
      <c r="H6" s="9">
        <f t="shared" ref="H6:H14" si="1">F6-D6</f>
        <v>0</v>
      </c>
      <c r="I6" s="9">
        <f t="shared" ref="I6:I14" si="2">SQRT(G6*G6+H6*H6)</f>
        <v>400</v>
      </c>
      <c r="J6" s="92">
        <f t="shared" ref="J6:J14" si="3">G6/I6</f>
        <v>1</v>
      </c>
      <c r="K6" s="92">
        <f t="shared" ref="K6:K14" si="4">H6/I6</f>
        <v>0</v>
      </c>
      <c r="L6" s="22">
        <f>GRAFICA_54!N28</f>
        <v>12</v>
      </c>
      <c r="M6" s="22">
        <f>GRAFICA_54!O28</f>
        <v>2100000</v>
      </c>
      <c r="N6" s="6">
        <f t="shared" ref="N6:N14" si="5">L6*M6/I6</f>
        <v>63000</v>
      </c>
    </row>
    <row r="7" spans="2:14" ht="19.05" customHeight="1" x14ac:dyDescent="0.3">
      <c r="B7" s="25">
        <v>2</v>
      </c>
      <c r="C7" s="22">
        <f>GRAFICA_54!E29</f>
        <v>400</v>
      </c>
      <c r="D7" s="22">
        <f>GRAFICA_54!F29</f>
        <v>0</v>
      </c>
      <c r="E7" s="22">
        <f>GRAFICA_54!G29</f>
        <v>800</v>
      </c>
      <c r="F7" s="22">
        <f>GRAFICA_54!H29</f>
        <v>0</v>
      </c>
      <c r="G7" s="9">
        <f t="shared" si="0"/>
        <v>400</v>
      </c>
      <c r="H7" s="9">
        <f t="shared" si="1"/>
        <v>0</v>
      </c>
      <c r="I7" s="9">
        <f t="shared" si="2"/>
        <v>400</v>
      </c>
      <c r="J7" s="92">
        <f t="shared" si="3"/>
        <v>1</v>
      </c>
      <c r="K7" s="92">
        <f t="shared" si="4"/>
        <v>0</v>
      </c>
      <c r="L7" s="22">
        <f>GRAFICA_54!N29</f>
        <v>12</v>
      </c>
      <c r="M7" s="22">
        <f>GRAFICA_54!O29</f>
        <v>2100000</v>
      </c>
      <c r="N7" s="6">
        <f t="shared" si="5"/>
        <v>63000</v>
      </c>
    </row>
    <row r="8" spans="2:14" ht="19.05" customHeight="1" x14ac:dyDescent="0.3">
      <c r="B8" s="26">
        <v>3</v>
      </c>
      <c r="C8" s="22">
        <f>GRAFICA_54!E30</f>
        <v>0</v>
      </c>
      <c r="D8" s="22">
        <f>GRAFICA_54!F30</f>
        <v>250</v>
      </c>
      <c r="E8" s="22">
        <f>GRAFICA_54!G30</f>
        <v>400</v>
      </c>
      <c r="F8" s="22">
        <f>GRAFICA_54!H30</f>
        <v>250</v>
      </c>
      <c r="G8" s="9">
        <f t="shared" si="0"/>
        <v>400</v>
      </c>
      <c r="H8" s="9">
        <f t="shared" si="1"/>
        <v>0</v>
      </c>
      <c r="I8" s="9">
        <f t="shared" si="2"/>
        <v>400</v>
      </c>
      <c r="J8" s="92">
        <f t="shared" si="3"/>
        <v>1</v>
      </c>
      <c r="K8" s="92">
        <f t="shared" si="4"/>
        <v>0</v>
      </c>
      <c r="L8" s="22">
        <f>GRAFICA_54!N30</f>
        <v>12</v>
      </c>
      <c r="M8" s="22">
        <f>GRAFICA_54!O30</f>
        <v>2100000</v>
      </c>
      <c r="N8" s="6">
        <f t="shared" si="5"/>
        <v>63000</v>
      </c>
    </row>
    <row r="9" spans="2:14" ht="19.05" customHeight="1" x14ac:dyDescent="0.3">
      <c r="B9" s="43">
        <v>4</v>
      </c>
      <c r="C9" s="22">
        <f>GRAFICA_54!E31</f>
        <v>400</v>
      </c>
      <c r="D9" s="22">
        <f>GRAFICA_54!F31</f>
        <v>250</v>
      </c>
      <c r="E9" s="22">
        <f>GRAFICA_54!G31</f>
        <v>800</v>
      </c>
      <c r="F9" s="22">
        <f>GRAFICA_54!H31</f>
        <v>250</v>
      </c>
      <c r="G9" s="9">
        <f t="shared" si="0"/>
        <v>400</v>
      </c>
      <c r="H9" s="9">
        <f t="shared" si="1"/>
        <v>0</v>
      </c>
      <c r="I9" s="9">
        <f t="shared" si="2"/>
        <v>400</v>
      </c>
      <c r="J9" s="92">
        <f t="shared" si="3"/>
        <v>1</v>
      </c>
      <c r="K9" s="92">
        <f t="shared" si="4"/>
        <v>0</v>
      </c>
      <c r="L9" s="22">
        <f>GRAFICA_54!N31</f>
        <v>12</v>
      </c>
      <c r="M9" s="22">
        <f>GRAFICA_54!O31</f>
        <v>2100000</v>
      </c>
      <c r="N9" s="6">
        <f t="shared" si="5"/>
        <v>63000</v>
      </c>
    </row>
    <row r="10" spans="2:14" ht="19.05" customHeight="1" x14ac:dyDescent="0.3">
      <c r="B10" s="44">
        <v>5</v>
      </c>
      <c r="C10" s="22">
        <f>GRAFICA_54!E32</f>
        <v>0</v>
      </c>
      <c r="D10" s="22">
        <f>GRAFICA_54!F32</f>
        <v>0</v>
      </c>
      <c r="E10" s="22">
        <f>GRAFICA_54!G32</f>
        <v>0</v>
      </c>
      <c r="F10" s="22">
        <f>GRAFICA_54!H32</f>
        <v>250</v>
      </c>
      <c r="G10" s="9">
        <f t="shared" si="0"/>
        <v>0</v>
      </c>
      <c r="H10" s="9">
        <f t="shared" si="1"/>
        <v>250</v>
      </c>
      <c r="I10" s="9">
        <f t="shared" si="2"/>
        <v>250</v>
      </c>
      <c r="J10" s="92">
        <f t="shared" si="3"/>
        <v>0</v>
      </c>
      <c r="K10" s="92">
        <f t="shared" si="4"/>
        <v>1</v>
      </c>
      <c r="L10" s="22">
        <f>GRAFICA_54!N32</f>
        <v>12</v>
      </c>
      <c r="M10" s="22">
        <f>GRAFICA_54!O32</f>
        <v>2100000</v>
      </c>
      <c r="N10" s="6">
        <f t="shared" si="5"/>
        <v>100800</v>
      </c>
    </row>
    <row r="11" spans="2:14" ht="19.05" customHeight="1" x14ac:dyDescent="0.3">
      <c r="B11" s="51">
        <v>6</v>
      </c>
      <c r="C11" s="22">
        <f>GRAFICA_54!E33</f>
        <v>400</v>
      </c>
      <c r="D11" s="22">
        <f>GRAFICA_54!F33</f>
        <v>0</v>
      </c>
      <c r="E11" s="22">
        <f>GRAFICA_54!G33</f>
        <v>400</v>
      </c>
      <c r="F11" s="22">
        <f>GRAFICA_54!H33</f>
        <v>250</v>
      </c>
      <c r="G11" s="9">
        <f t="shared" si="0"/>
        <v>0</v>
      </c>
      <c r="H11" s="9">
        <f t="shared" si="1"/>
        <v>250</v>
      </c>
      <c r="I11" s="9">
        <f t="shared" si="2"/>
        <v>250</v>
      </c>
      <c r="J11" s="92">
        <f t="shared" si="3"/>
        <v>0</v>
      </c>
      <c r="K11" s="92">
        <f t="shared" si="4"/>
        <v>1</v>
      </c>
      <c r="L11" s="22">
        <f>GRAFICA_54!N33</f>
        <v>12</v>
      </c>
      <c r="M11" s="22">
        <f>GRAFICA_54!O33</f>
        <v>2100000</v>
      </c>
      <c r="N11" s="6">
        <f t="shared" si="5"/>
        <v>100800</v>
      </c>
    </row>
    <row r="12" spans="2:14" ht="19.05" customHeight="1" x14ac:dyDescent="0.3">
      <c r="B12" s="52">
        <v>7</v>
      </c>
      <c r="C12" s="22">
        <f>GRAFICA_54!E34</f>
        <v>800</v>
      </c>
      <c r="D12" s="22">
        <f>GRAFICA_54!F34</f>
        <v>0</v>
      </c>
      <c r="E12" s="22">
        <f>GRAFICA_54!G34</f>
        <v>800</v>
      </c>
      <c r="F12" s="22">
        <f>GRAFICA_54!H34</f>
        <v>250</v>
      </c>
      <c r="G12" s="9">
        <f t="shared" si="0"/>
        <v>0</v>
      </c>
      <c r="H12" s="9">
        <f t="shared" si="1"/>
        <v>250</v>
      </c>
      <c r="I12" s="9">
        <f t="shared" si="2"/>
        <v>250</v>
      </c>
      <c r="J12" s="92">
        <f t="shared" si="3"/>
        <v>0</v>
      </c>
      <c r="K12" s="92">
        <f t="shared" si="4"/>
        <v>1</v>
      </c>
      <c r="L12" s="22">
        <f>GRAFICA_54!N34</f>
        <v>12</v>
      </c>
      <c r="M12" s="22">
        <f>GRAFICA_54!O34</f>
        <v>2100000</v>
      </c>
      <c r="N12" s="6">
        <f t="shared" si="5"/>
        <v>100800</v>
      </c>
    </row>
    <row r="13" spans="2:14" ht="19.05" customHeight="1" x14ac:dyDescent="0.3">
      <c r="B13" s="59">
        <v>8</v>
      </c>
      <c r="C13" s="22">
        <f>GRAFICA_54!E35</f>
        <v>0</v>
      </c>
      <c r="D13" s="22">
        <f>GRAFICA_54!F35</f>
        <v>0</v>
      </c>
      <c r="E13" s="22">
        <f>GRAFICA_54!G35</f>
        <v>400</v>
      </c>
      <c r="F13" s="22">
        <f>GRAFICA_54!H35</f>
        <v>250</v>
      </c>
      <c r="G13" s="9">
        <f t="shared" si="0"/>
        <v>400</v>
      </c>
      <c r="H13" s="9">
        <f t="shared" si="1"/>
        <v>250</v>
      </c>
      <c r="I13" s="9">
        <f t="shared" si="2"/>
        <v>471.69905660283018</v>
      </c>
      <c r="J13" s="92">
        <f t="shared" si="3"/>
        <v>0.84799830400508802</v>
      </c>
      <c r="K13" s="92">
        <f t="shared" si="4"/>
        <v>0.52999894000318004</v>
      </c>
      <c r="L13" s="22">
        <f>GRAFICA_54!N35</f>
        <v>12</v>
      </c>
      <c r="M13" s="22">
        <f>GRAFICA_54!O35</f>
        <v>2100000</v>
      </c>
      <c r="N13" s="6">
        <f t="shared" si="5"/>
        <v>53423.893152320547</v>
      </c>
    </row>
    <row r="14" spans="2:14" ht="19.05" customHeight="1" x14ac:dyDescent="0.3">
      <c r="B14" s="60">
        <v>9</v>
      </c>
      <c r="C14" s="22">
        <f>GRAFICA_54!E36</f>
        <v>400</v>
      </c>
      <c r="D14" s="22">
        <f>GRAFICA_54!F36</f>
        <v>0</v>
      </c>
      <c r="E14" s="22">
        <f>GRAFICA_54!G36</f>
        <v>800</v>
      </c>
      <c r="F14" s="22">
        <f>GRAFICA_54!H36</f>
        <v>250</v>
      </c>
      <c r="G14" s="9">
        <f t="shared" si="0"/>
        <v>400</v>
      </c>
      <c r="H14" s="9">
        <f t="shared" si="1"/>
        <v>250</v>
      </c>
      <c r="I14" s="9">
        <f t="shared" si="2"/>
        <v>471.69905660283018</v>
      </c>
      <c r="J14" s="92">
        <f t="shared" si="3"/>
        <v>0.84799830400508802</v>
      </c>
      <c r="K14" s="92">
        <f t="shared" si="4"/>
        <v>0.52999894000318004</v>
      </c>
      <c r="L14" s="22">
        <f>GRAFICA_54!N36</f>
        <v>12</v>
      </c>
      <c r="M14" s="22">
        <f>GRAFICA_54!O36</f>
        <v>2100000</v>
      </c>
      <c r="N14" s="6">
        <f t="shared" si="5"/>
        <v>53423.893152320547</v>
      </c>
    </row>
    <row r="16" spans="2:14" ht="18" customHeight="1" x14ac:dyDescent="0.3">
      <c r="B16" s="202" t="s">
        <v>145</v>
      </c>
      <c r="C16" s="202" t="s">
        <v>369</v>
      </c>
      <c r="D16" s="173"/>
      <c r="E16" s="202" t="s">
        <v>370</v>
      </c>
      <c r="F16" s="173"/>
    </row>
    <row r="17" spans="1:6" ht="18" customHeight="1" x14ac:dyDescent="0.3">
      <c r="B17" s="203"/>
      <c r="C17" s="81" t="s">
        <v>157</v>
      </c>
      <c r="D17" s="81" t="s">
        <v>158</v>
      </c>
      <c r="E17" s="81" t="s">
        <v>157</v>
      </c>
      <c r="F17" s="81" t="s">
        <v>158</v>
      </c>
    </row>
    <row r="18" spans="1:6" ht="19.05" customHeight="1" x14ac:dyDescent="0.3">
      <c r="B18" s="85">
        <v>1</v>
      </c>
      <c r="C18" s="23">
        <f>GRAFICA_54!C28</f>
        <v>1</v>
      </c>
      <c r="D18" s="23">
        <f>GRAFICA_54!C28</f>
        <v>1</v>
      </c>
      <c r="E18" s="23">
        <f>GRAFICA_54!D28</f>
        <v>2</v>
      </c>
      <c r="F18" s="23">
        <f>GRAFICA_54!D28</f>
        <v>2</v>
      </c>
    </row>
    <row r="19" spans="1:6" ht="19.05" customHeight="1" x14ac:dyDescent="0.3">
      <c r="B19" s="25">
        <v>2</v>
      </c>
      <c r="C19" s="23">
        <f>GRAFICA_54!C29</f>
        <v>2</v>
      </c>
      <c r="D19" s="23">
        <f>GRAFICA_54!C29</f>
        <v>2</v>
      </c>
      <c r="E19" s="23">
        <f>GRAFICA_54!D29</f>
        <v>3</v>
      </c>
      <c r="F19" s="23">
        <f>GRAFICA_54!D29</f>
        <v>3</v>
      </c>
    </row>
    <row r="20" spans="1:6" ht="19.05" customHeight="1" x14ac:dyDescent="0.3">
      <c r="B20" s="26">
        <v>3</v>
      </c>
      <c r="C20" s="23">
        <f>GRAFICA_54!C30</f>
        <v>4</v>
      </c>
      <c r="D20" s="23">
        <f>GRAFICA_54!C30</f>
        <v>4</v>
      </c>
      <c r="E20" s="23">
        <f>GRAFICA_54!D30</f>
        <v>5</v>
      </c>
      <c r="F20" s="23">
        <f>GRAFICA_54!D30</f>
        <v>5</v>
      </c>
    </row>
    <row r="21" spans="1:6" ht="19.05" customHeight="1" x14ac:dyDescent="0.3">
      <c r="B21" s="43">
        <v>4</v>
      </c>
      <c r="C21" s="23">
        <f>GRAFICA_54!C31</f>
        <v>5</v>
      </c>
      <c r="D21" s="23">
        <f>GRAFICA_54!C31</f>
        <v>5</v>
      </c>
      <c r="E21" s="23">
        <f>GRAFICA_54!D31</f>
        <v>6</v>
      </c>
      <c r="F21" s="23">
        <f>GRAFICA_54!D31</f>
        <v>6</v>
      </c>
    </row>
    <row r="22" spans="1:6" ht="19.05" customHeight="1" x14ac:dyDescent="0.3">
      <c r="B22" s="44">
        <v>5</v>
      </c>
      <c r="C22" s="23">
        <f>GRAFICA_54!C32</f>
        <v>1</v>
      </c>
      <c r="D22" s="23">
        <f>GRAFICA_54!C32</f>
        <v>1</v>
      </c>
      <c r="E22" s="23">
        <f>GRAFICA_54!D32</f>
        <v>4</v>
      </c>
      <c r="F22" s="23">
        <f>GRAFICA_54!D32</f>
        <v>4</v>
      </c>
    </row>
    <row r="23" spans="1:6" ht="19.05" customHeight="1" x14ac:dyDescent="0.3">
      <c r="B23" s="51">
        <v>6</v>
      </c>
      <c r="C23" s="23">
        <f>GRAFICA_54!C33</f>
        <v>2</v>
      </c>
      <c r="D23" s="23">
        <f>GRAFICA_54!C33</f>
        <v>2</v>
      </c>
      <c r="E23" s="23">
        <f>GRAFICA_54!D33</f>
        <v>5</v>
      </c>
      <c r="F23" s="23">
        <f>GRAFICA_54!D33</f>
        <v>5</v>
      </c>
    </row>
    <row r="24" spans="1:6" ht="19.05" customHeight="1" x14ac:dyDescent="0.3">
      <c r="B24" s="52">
        <v>7</v>
      </c>
      <c r="C24" s="23">
        <f>GRAFICA_54!C34</f>
        <v>3</v>
      </c>
      <c r="D24" s="23">
        <f>GRAFICA_54!C34</f>
        <v>3</v>
      </c>
      <c r="E24" s="23">
        <f>GRAFICA_54!D34</f>
        <v>6</v>
      </c>
      <c r="F24" s="23">
        <f>GRAFICA_54!D34</f>
        <v>6</v>
      </c>
    </row>
    <row r="25" spans="1:6" ht="19.05" customHeight="1" x14ac:dyDescent="0.3">
      <c r="B25" s="59">
        <v>8</v>
      </c>
      <c r="C25" s="23">
        <f>GRAFICA_54!C35</f>
        <v>1</v>
      </c>
      <c r="D25" s="23">
        <f>GRAFICA_54!C35</f>
        <v>1</v>
      </c>
      <c r="E25" s="23">
        <f>GRAFICA_54!D35</f>
        <v>5</v>
      </c>
      <c r="F25" s="23">
        <f>GRAFICA_54!D35</f>
        <v>5</v>
      </c>
    </row>
    <row r="26" spans="1:6" ht="19.05" customHeight="1" x14ac:dyDescent="0.3">
      <c r="B26" s="60">
        <v>9</v>
      </c>
      <c r="C26" s="23">
        <f>GRAFICA_54!C36</f>
        <v>2</v>
      </c>
      <c r="D26" s="23">
        <f>GRAFICA_54!C36</f>
        <v>2</v>
      </c>
      <c r="E26" s="23">
        <f>GRAFICA_54!D36</f>
        <v>6</v>
      </c>
      <c r="F26" s="23">
        <f>GRAFICA_54!D36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63000</v>
      </c>
      <c r="C30" s="7">
        <f>J6*K6*N6</f>
        <v>0</v>
      </c>
      <c r="D30" s="7">
        <f>-B30</f>
        <v>-63000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-63000</v>
      </c>
      <c r="C32" s="7">
        <f>E30</f>
        <v>0</v>
      </c>
      <c r="D32" s="7">
        <f>B30</f>
        <v>63000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63000</v>
      </c>
      <c r="C36" s="8">
        <f t="shared" si="6"/>
        <v>0</v>
      </c>
      <c r="D36" s="8">
        <f t="shared" si="6"/>
        <v>-63000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63000</v>
      </c>
      <c r="C51" s="30">
        <f>J7*K7*N7</f>
        <v>0</v>
      </c>
      <c r="D51" s="30">
        <f>-B51</f>
        <v>-63000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-63000</v>
      </c>
      <c r="C53" s="30">
        <f>E51</f>
        <v>0</v>
      </c>
      <c r="D53" s="30">
        <f>B51</f>
        <v>63000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63000</v>
      </c>
      <c r="E59" s="31">
        <f t="shared" si="7"/>
        <v>0</v>
      </c>
      <c r="F59" s="31">
        <f t="shared" si="7"/>
        <v>-63000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-63000</v>
      </c>
      <c r="E61" s="31">
        <f t="shared" si="7"/>
        <v>0</v>
      </c>
      <c r="F61" s="31">
        <f t="shared" si="7"/>
        <v>63000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U4X</v>
      </c>
      <c r="C71" s="32" t="str">
        <f>CONCATENATE("U",D20,D$17)</f>
        <v>U4Y</v>
      </c>
      <c r="D71" s="32" t="str">
        <f>CONCATENATE("U",E20,E$17)</f>
        <v>U5X</v>
      </c>
      <c r="E71" s="32" t="str">
        <f>CONCATENATE("U",F20,F$17)</f>
        <v>U5Y</v>
      </c>
    </row>
    <row r="72" spans="1:14" x14ac:dyDescent="0.3">
      <c r="B72" s="33">
        <f>J8*J8*N8</f>
        <v>63000</v>
      </c>
      <c r="C72" s="33">
        <f>J8*K8*N8</f>
        <v>0</v>
      </c>
      <c r="D72" s="33">
        <f>-B72</f>
        <v>-63000</v>
      </c>
      <c r="E72" s="33">
        <f>-C72</f>
        <v>0</v>
      </c>
      <c r="F72" s="32" t="str">
        <f>B71</f>
        <v>U4X</v>
      </c>
    </row>
    <row r="73" spans="1:14" ht="16.8" customHeight="1" x14ac:dyDescent="0.3">
      <c r="A73" s="28" t="s">
        <v>193</v>
      </c>
      <c r="B73" s="33">
        <f>C72</f>
        <v>0</v>
      </c>
      <c r="C73" s="33">
        <f>K8*K8*N8</f>
        <v>0</v>
      </c>
      <c r="D73" s="33">
        <f>-B73</f>
        <v>0</v>
      </c>
      <c r="E73" s="33">
        <f>-C73</f>
        <v>0</v>
      </c>
      <c r="F73" s="32" t="str">
        <f>C71</f>
        <v>U4Y</v>
      </c>
    </row>
    <row r="74" spans="1:14" x14ac:dyDescent="0.3">
      <c r="B74" s="33">
        <f>D72</f>
        <v>-63000</v>
      </c>
      <c r="C74" s="33">
        <f>E72</f>
        <v>0</v>
      </c>
      <c r="D74" s="33">
        <f>B72</f>
        <v>63000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34">
        <f t="shared" si="8"/>
        <v>63000</v>
      </c>
      <c r="I84" s="34">
        <f t="shared" si="8"/>
        <v>0</v>
      </c>
      <c r="J84" s="34">
        <f t="shared" si="8"/>
        <v>-63000</v>
      </c>
      <c r="K84" s="34">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34">
        <f t="shared" si="8"/>
        <v>0</v>
      </c>
      <c r="I85" s="34">
        <f t="shared" si="8"/>
        <v>0</v>
      </c>
      <c r="J85" s="34">
        <f t="shared" si="8"/>
        <v>0</v>
      </c>
      <c r="K85" s="34">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34">
        <f t="shared" si="8"/>
        <v>-63000</v>
      </c>
      <c r="I86" s="34">
        <f t="shared" si="8"/>
        <v>0</v>
      </c>
      <c r="J86" s="34">
        <f t="shared" si="8"/>
        <v>63000</v>
      </c>
      <c r="K86" s="34">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34">
        <f t="shared" si="8"/>
        <v>0</v>
      </c>
      <c r="I87" s="34">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63000</v>
      </c>
      <c r="C93" s="46">
        <f>J9*K9*N9</f>
        <v>0</v>
      </c>
      <c r="D93" s="46">
        <f>-B93</f>
        <v>-63000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-63000</v>
      </c>
      <c r="C95" s="46">
        <f>E93</f>
        <v>0</v>
      </c>
      <c r="D95" s="46">
        <f>B93</f>
        <v>63000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63000</v>
      </c>
      <c r="K107" s="47">
        <f t="shared" si="9"/>
        <v>0</v>
      </c>
      <c r="L107" s="47">
        <f t="shared" si="9"/>
        <v>-63000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-63000</v>
      </c>
      <c r="K109" s="47">
        <f t="shared" si="9"/>
        <v>0</v>
      </c>
      <c r="L109" s="47">
        <f t="shared" si="9"/>
        <v>63000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U4X</v>
      </c>
      <c r="E113" s="48" t="str">
        <f>CONCATENATE("U",F22,F$17)</f>
        <v>U4Y</v>
      </c>
    </row>
    <row r="114" spans="1:14" x14ac:dyDescent="0.3">
      <c r="B114" s="49">
        <f>J10*J10*N10</f>
        <v>0</v>
      </c>
      <c r="C114" s="49">
        <f>J10*K10*N10</f>
        <v>0</v>
      </c>
      <c r="D114" s="49">
        <f>-B114</f>
        <v>0</v>
      </c>
      <c r="E114" s="49">
        <f>-C114</f>
        <v>0</v>
      </c>
      <c r="F114" s="48" t="str">
        <f>B113</f>
        <v>U1X</v>
      </c>
    </row>
    <row r="115" spans="1:14" ht="16.8" customHeight="1" x14ac:dyDescent="0.3">
      <c r="A115" s="28" t="s">
        <v>197</v>
      </c>
      <c r="B115" s="49">
        <f>C114</f>
        <v>0</v>
      </c>
      <c r="C115" s="49">
        <f>K10*K10*N10</f>
        <v>100800</v>
      </c>
      <c r="D115" s="49">
        <f>-B115</f>
        <v>0</v>
      </c>
      <c r="E115" s="49">
        <f>-C115</f>
        <v>-100800</v>
      </c>
      <c r="F115" s="48" t="str">
        <f>C113</f>
        <v>U1Y</v>
      </c>
    </row>
    <row r="116" spans="1:14" x14ac:dyDescent="0.3">
      <c r="B116" s="49">
        <f>D114</f>
        <v>0</v>
      </c>
      <c r="C116" s="49">
        <f>E114</f>
        <v>0</v>
      </c>
      <c r="D116" s="49">
        <f>B114</f>
        <v>0</v>
      </c>
      <c r="E116" s="49">
        <f>C114</f>
        <v>0</v>
      </c>
      <c r="F116" s="48" t="str">
        <f>D113</f>
        <v>U4X</v>
      </c>
    </row>
    <row r="117" spans="1:14" x14ac:dyDescent="0.3">
      <c r="B117" s="49">
        <f>D115</f>
        <v>0</v>
      </c>
      <c r="C117" s="49">
        <f>E115</f>
        <v>-100800</v>
      </c>
      <c r="D117" s="49">
        <f>B115</f>
        <v>0</v>
      </c>
      <c r="E117" s="49">
        <f>C115</f>
        <v>100800</v>
      </c>
      <c r="F117" s="48" t="str">
        <f>E113</f>
        <v>U4Y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0</v>
      </c>
      <c r="C120" s="50">
        <f t="shared" si="10"/>
        <v>0</v>
      </c>
      <c r="D120" s="9">
        <f t="shared" si="10"/>
        <v>0</v>
      </c>
      <c r="E120" s="9">
        <f t="shared" si="10"/>
        <v>0</v>
      </c>
      <c r="F120" s="9">
        <f t="shared" si="10"/>
        <v>0</v>
      </c>
      <c r="G120" s="9">
        <f t="shared" si="10"/>
        <v>0</v>
      </c>
      <c r="H120" s="50">
        <f t="shared" si="10"/>
        <v>0</v>
      </c>
      <c r="I120" s="50">
        <f t="shared" si="10"/>
        <v>0</v>
      </c>
      <c r="J120" s="9">
        <f t="shared" si="10"/>
        <v>0</v>
      </c>
      <c r="K120" s="9">
        <f t="shared" si="10"/>
        <v>0</v>
      </c>
      <c r="L120" s="9">
        <f t="shared" si="10"/>
        <v>0</v>
      </c>
      <c r="M120" s="9">
        <f t="shared" si="10"/>
        <v>0</v>
      </c>
      <c r="N120" s="48" t="s">
        <v>178</v>
      </c>
    </row>
    <row r="121" spans="1:14" ht="19.05" customHeight="1" x14ac:dyDescent="0.3">
      <c r="B121" s="50">
        <f t="shared" si="10"/>
        <v>0</v>
      </c>
      <c r="C121" s="50">
        <f t="shared" si="10"/>
        <v>100800</v>
      </c>
      <c r="D121" s="9">
        <f t="shared" si="10"/>
        <v>0</v>
      </c>
      <c r="E121" s="9">
        <f t="shared" si="10"/>
        <v>0</v>
      </c>
      <c r="F121" s="9">
        <f t="shared" si="10"/>
        <v>0</v>
      </c>
      <c r="G121" s="9">
        <f t="shared" si="10"/>
        <v>0</v>
      </c>
      <c r="H121" s="50">
        <f t="shared" si="10"/>
        <v>0</v>
      </c>
      <c r="I121" s="50">
        <f t="shared" si="10"/>
        <v>-100800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50">
        <f t="shared" si="10"/>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184</v>
      </c>
    </row>
    <row r="127" spans="1:14" ht="19.05" customHeight="1" x14ac:dyDescent="0.3">
      <c r="B127" s="50">
        <f t="shared" si="10"/>
        <v>0</v>
      </c>
      <c r="C127" s="50">
        <f t="shared" si="10"/>
        <v>-100800</v>
      </c>
      <c r="D127" s="9">
        <f t="shared" si="10"/>
        <v>0</v>
      </c>
      <c r="E127" s="9">
        <f t="shared" si="10"/>
        <v>0</v>
      </c>
      <c r="F127" s="9">
        <f t="shared" si="10"/>
        <v>0</v>
      </c>
      <c r="G127" s="9">
        <f t="shared" si="10"/>
        <v>0</v>
      </c>
      <c r="H127" s="50">
        <f t="shared" si="10"/>
        <v>0</v>
      </c>
      <c r="I127" s="50">
        <f t="shared" si="10"/>
        <v>100800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U2X</v>
      </c>
      <c r="C134" s="53" t="str">
        <f>CONCATENATE("U",D23,D$17)</f>
        <v>U2Y</v>
      </c>
      <c r="D134" s="53" t="str">
        <f>CONCATENATE("U",E23,E$17)</f>
        <v>U5X</v>
      </c>
      <c r="E134" s="53" t="str">
        <f>CONCATENATE("U",F23,F$17)</f>
        <v>U5Y</v>
      </c>
    </row>
    <row r="135" spans="1:14" x14ac:dyDescent="0.3">
      <c r="B135" s="54">
        <f>J11*J11*N11</f>
        <v>0</v>
      </c>
      <c r="C135" s="54">
        <f>J11*K11*N11</f>
        <v>0</v>
      </c>
      <c r="D135" s="54">
        <f>-B135</f>
        <v>0</v>
      </c>
      <c r="E135" s="54">
        <f>-C135</f>
        <v>0</v>
      </c>
      <c r="F135" s="53" t="str">
        <f>B134</f>
        <v>U2X</v>
      </c>
    </row>
    <row r="136" spans="1:14" ht="16.8" customHeight="1" x14ac:dyDescent="0.3">
      <c r="A136" s="28" t="s">
        <v>199</v>
      </c>
      <c r="B136" s="54">
        <f>C135</f>
        <v>0</v>
      </c>
      <c r="C136" s="54">
        <f>K11*K11*N11</f>
        <v>100800</v>
      </c>
      <c r="D136" s="54">
        <f>-B136</f>
        <v>0</v>
      </c>
      <c r="E136" s="54">
        <f>-C136</f>
        <v>-100800</v>
      </c>
      <c r="F136" s="53" t="str">
        <f>C134</f>
        <v>U2Y</v>
      </c>
    </row>
    <row r="137" spans="1:14" x14ac:dyDescent="0.3">
      <c r="B137" s="54">
        <f>D135</f>
        <v>0</v>
      </c>
      <c r="C137" s="54">
        <f>E135</f>
        <v>0</v>
      </c>
      <c r="D137" s="54">
        <f>B135</f>
        <v>0</v>
      </c>
      <c r="E137" s="54">
        <f>C135</f>
        <v>0</v>
      </c>
      <c r="F137" s="53" t="str">
        <f>D134</f>
        <v>U5X</v>
      </c>
    </row>
    <row r="138" spans="1:14" x14ac:dyDescent="0.3">
      <c r="B138" s="54">
        <f>D136</f>
        <v>0</v>
      </c>
      <c r="C138" s="54">
        <f>E136</f>
        <v>-100800</v>
      </c>
      <c r="D138" s="54">
        <f>B136</f>
        <v>0</v>
      </c>
      <c r="E138" s="54">
        <f>C136</f>
        <v>100800</v>
      </c>
      <c r="F138" s="53" t="str">
        <f>E134</f>
        <v>U5Y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100800</v>
      </c>
      <c r="F144" s="9">
        <f t="shared" si="11"/>
        <v>0</v>
      </c>
      <c r="G144" s="9">
        <f t="shared" si="11"/>
        <v>0</v>
      </c>
      <c r="H144" s="9">
        <f t="shared" si="11"/>
        <v>0</v>
      </c>
      <c r="I144" s="9">
        <f t="shared" si="11"/>
        <v>0</v>
      </c>
      <c r="J144" s="55">
        <f t="shared" si="11"/>
        <v>0</v>
      </c>
      <c r="K144" s="55">
        <f t="shared" si="11"/>
        <v>-100800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-100800</v>
      </c>
      <c r="F150" s="9">
        <f t="shared" si="11"/>
        <v>0</v>
      </c>
      <c r="G150" s="9">
        <f t="shared" si="11"/>
        <v>0</v>
      </c>
      <c r="H150" s="9">
        <f t="shared" si="11"/>
        <v>0</v>
      </c>
      <c r="I150" s="9">
        <f t="shared" si="11"/>
        <v>0</v>
      </c>
      <c r="J150" s="55">
        <f t="shared" si="11"/>
        <v>0</v>
      </c>
      <c r="K150" s="55">
        <f t="shared" si="11"/>
        <v>100800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U3X</v>
      </c>
      <c r="C155" s="56" t="str">
        <f>CONCATENATE("U",D24,D$17)</f>
        <v>U3Y</v>
      </c>
      <c r="D155" s="56" t="str">
        <f>CONCATENATE("U",E24,E$17)</f>
        <v>U6X</v>
      </c>
      <c r="E155" s="56" t="str">
        <f>CONCATENATE("U",F24,F$17)</f>
        <v>U6Y</v>
      </c>
    </row>
    <row r="156" spans="1:14" x14ac:dyDescent="0.3">
      <c r="B156" s="57">
        <f>J12*J12*N12</f>
        <v>0</v>
      </c>
      <c r="C156" s="57">
        <f>J12*K12*N12</f>
        <v>0</v>
      </c>
      <c r="D156" s="57">
        <f>-B156</f>
        <v>0</v>
      </c>
      <c r="E156" s="57">
        <f>-C156</f>
        <v>0</v>
      </c>
      <c r="F156" s="56" t="str">
        <f>B155</f>
        <v>U3X</v>
      </c>
    </row>
    <row r="157" spans="1:14" ht="16.8" customHeight="1" x14ac:dyDescent="0.3">
      <c r="A157" s="28" t="s">
        <v>201</v>
      </c>
      <c r="B157" s="57">
        <f>C156</f>
        <v>0</v>
      </c>
      <c r="C157" s="57">
        <f>K12*K12*N12</f>
        <v>100800</v>
      </c>
      <c r="D157" s="57">
        <f>-B157</f>
        <v>0</v>
      </c>
      <c r="E157" s="57">
        <f>-C157</f>
        <v>-100800</v>
      </c>
      <c r="F157" s="56" t="str">
        <f>C155</f>
        <v>U3Y</v>
      </c>
    </row>
    <row r="158" spans="1:14" x14ac:dyDescent="0.3">
      <c r="B158" s="57">
        <f>D156</f>
        <v>0</v>
      </c>
      <c r="C158" s="57">
        <f>E156</f>
        <v>0</v>
      </c>
      <c r="D158" s="57">
        <f>B156</f>
        <v>0</v>
      </c>
      <c r="E158" s="57">
        <f>C156</f>
        <v>0</v>
      </c>
      <c r="F158" s="56" t="str">
        <f>D155</f>
        <v>U6X</v>
      </c>
    </row>
    <row r="159" spans="1:14" x14ac:dyDescent="0.3">
      <c r="B159" s="57">
        <f>D157</f>
        <v>0</v>
      </c>
      <c r="C159" s="57">
        <f>E157</f>
        <v>-100800</v>
      </c>
      <c r="D159" s="57">
        <f>B157</f>
        <v>0</v>
      </c>
      <c r="E159" s="57">
        <f>C157</f>
        <v>100800</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58">
        <f t="shared" si="12"/>
        <v>0</v>
      </c>
      <c r="G166" s="58">
        <f t="shared" si="12"/>
        <v>0</v>
      </c>
      <c r="H166" s="9">
        <f t="shared" si="12"/>
        <v>0</v>
      </c>
      <c r="I166" s="9">
        <f t="shared" si="12"/>
        <v>0</v>
      </c>
      <c r="J166" s="9">
        <f t="shared" si="12"/>
        <v>0</v>
      </c>
      <c r="K166" s="9">
        <f t="shared" si="12"/>
        <v>0</v>
      </c>
      <c r="L166" s="58">
        <f t="shared" si="12"/>
        <v>0</v>
      </c>
      <c r="M166" s="58">
        <f t="shared" si="12"/>
        <v>0</v>
      </c>
      <c r="N166" s="56" t="s">
        <v>182</v>
      </c>
    </row>
    <row r="167" spans="1:14" ht="19.05" customHeight="1" x14ac:dyDescent="0.3">
      <c r="A167" s="28" t="s">
        <v>202</v>
      </c>
      <c r="B167" s="9">
        <f t="shared" si="12"/>
        <v>0</v>
      </c>
      <c r="C167" s="9">
        <f t="shared" si="12"/>
        <v>0</v>
      </c>
      <c r="D167" s="9">
        <f t="shared" si="12"/>
        <v>0</v>
      </c>
      <c r="E167" s="9">
        <f t="shared" si="12"/>
        <v>0</v>
      </c>
      <c r="F167" s="58">
        <f t="shared" si="12"/>
        <v>0</v>
      </c>
      <c r="G167" s="58">
        <f t="shared" si="12"/>
        <v>100800</v>
      </c>
      <c r="H167" s="9">
        <f t="shared" si="12"/>
        <v>0</v>
      </c>
      <c r="I167" s="9">
        <f t="shared" si="12"/>
        <v>0</v>
      </c>
      <c r="J167" s="9">
        <f t="shared" si="12"/>
        <v>0</v>
      </c>
      <c r="K167" s="9">
        <f t="shared" si="12"/>
        <v>0</v>
      </c>
      <c r="L167" s="58">
        <f t="shared" si="12"/>
        <v>0</v>
      </c>
      <c r="M167" s="58">
        <f t="shared" si="12"/>
        <v>-100800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188</v>
      </c>
    </row>
    <row r="173" spans="1:14" ht="19.05" customHeight="1" x14ac:dyDescent="0.3">
      <c r="B173" s="9">
        <f t="shared" si="12"/>
        <v>0</v>
      </c>
      <c r="C173" s="9">
        <f t="shared" si="12"/>
        <v>0</v>
      </c>
      <c r="D173" s="9">
        <f t="shared" si="12"/>
        <v>0</v>
      </c>
      <c r="E173" s="9">
        <f t="shared" si="12"/>
        <v>0</v>
      </c>
      <c r="F173" s="58">
        <f t="shared" si="12"/>
        <v>0</v>
      </c>
      <c r="G173" s="58">
        <f t="shared" si="12"/>
        <v>-100800</v>
      </c>
      <c r="H173" s="9">
        <f t="shared" si="12"/>
        <v>0</v>
      </c>
      <c r="I173" s="9">
        <f t="shared" si="12"/>
        <v>0</v>
      </c>
      <c r="J173" s="9">
        <f t="shared" si="12"/>
        <v>0</v>
      </c>
      <c r="K173" s="9">
        <f t="shared" si="12"/>
        <v>0</v>
      </c>
      <c r="L173" s="58">
        <f t="shared" si="12"/>
        <v>0</v>
      </c>
      <c r="M173" s="58">
        <f t="shared" si="12"/>
        <v>100800</v>
      </c>
      <c r="N173" s="56" t="s">
        <v>189</v>
      </c>
    </row>
    <row r="176" spans="1:14" ht="18" customHeight="1" x14ac:dyDescent="0.3">
      <c r="B176" s="61" t="str">
        <f>CONCATENATE("U",C25,C$17)</f>
        <v>U1X</v>
      </c>
      <c r="C176" s="61" t="str">
        <f>CONCATENATE("U",D25,D$17)</f>
        <v>U1Y</v>
      </c>
      <c r="D176" s="61" t="str">
        <f>CONCATENATE("U",E25,E$17)</f>
        <v>U5X</v>
      </c>
      <c r="E176" s="61" t="str">
        <f>CONCATENATE("U",F25,F$17)</f>
        <v>U5Y</v>
      </c>
    </row>
    <row r="177" spans="1:14" x14ac:dyDescent="0.3">
      <c r="B177" s="62">
        <f>J13*J13*N13</f>
        <v>38417.181592679946</v>
      </c>
      <c r="C177" s="62">
        <f>J13*K13*N13</f>
        <v>24010.738495424968</v>
      </c>
      <c r="D177" s="62">
        <f>-B177</f>
        <v>-38417.181592679946</v>
      </c>
      <c r="E177" s="62">
        <f>-C177</f>
        <v>-24010.738495424968</v>
      </c>
      <c r="F177" s="61" t="str">
        <f>B176</f>
        <v>U1X</v>
      </c>
    </row>
    <row r="178" spans="1:14" ht="16.8" customHeight="1" x14ac:dyDescent="0.3">
      <c r="A178" s="28" t="s">
        <v>203</v>
      </c>
      <c r="B178" s="62">
        <f>C177</f>
        <v>24010.738495424968</v>
      </c>
      <c r="C178" s="62">
        <f>K13*K13*N13</f>
        <v>15006.711559640607</v>
      </c>
      <c r="D178" s="62">
        <f>-B178</f>
        <v>-24010.738495424968</v>
      </c>
      <c r="E178" s="62">
        <f>-C178</f>
        <v>-15006.711559640607</v>
      </c>
      <c r="F178" s="61" t="str">
        <f>C176</f>
        <v>U1Y</v>
      </c>
    </row>
    <row r="179" spans="1:14" x14ac:dyDescent="0.3">
      <c r="B179" s="62">
        <f>D177</f>
        <v>-38417.181592679946</v>
      </c>
      <c r="C179" s="62">
        <f>E177</f>
        <v>-24010.738495424968</v>
      </c>
      <c r="D179" s="62">
        <f>B177</f>
        <v>38417.181592679946</v>
      </c>
      <c r="E179" s="62">
        <f>C177</f>
        <v>24010.738495424968</v>
      </c>
      <c r="F179" s="61" t="str">
        <f>D176</f>
        <v>U5X</v>
      </c>
    </row>
    <row r="180" spans="1:14" x14ac:dyDescent="0.3">
      <c r="B180" s="62">
        <f>D178</f>
        <v>-24010.738495424968</v>
      </c>
      <c r="C180" s="62">
        <f>E178</f>
        <v>-15006.711559640607</v>
      </c>
      <c r="D180" s="62">
        <f>B178</f>
        <v>24010.738495424968</v>
      </c>
      <c r="E180" s="62">
        <f>C178</f>
        <v>15006.711559640607</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63">
        <f t="shared" ref="B183:M194" si="13">IFERROR(INDEX($B$177:$E$180, MATCH($N183, $B$176:$E$176, 0), MATCH(B$182, $B$176:$E$176, 0)), 0)</f>
        <v>38417.181592679946</v>
      </c>
      <c r="C183" s="63">
        <f t="shared" si="13"/>
        <v>24010.738495424968</v>
      </c>
      <c r="D183" s="9">
        <f t="shared" si="13"/>
        <v>0</v>
      </c>
      <c r="E183" s="9">
        <f t="shared" si="13"/>
        <v>0</v>
      </c>
      <c r="F183" s="9">
        <f t="shared" si="13"/>
        <v>0</v>
      </c>
      <c r="G183" s="9">
        <f t="shared" si="13"/>
        <v>0</v>
      </c>
      <c r="H183" s="9">
        <f t="shared" si="13"/>
        <v>0</v>
      </c>
      <c r="I183" s="9">
        <f t="shared" si="13"/>
        <v>0</v>
      </c>
      <c r="J183" s="63">
        <f t="shared" si="13"/>
        <v>-38417.181592679946</v>
      </c>
      <c r="K183" s="63">
        <f t="shared" si="13"/>
        <v>-24010.738495424968</v>
      </c>
      <c r="L183" s="9">
        <f t="shared" si="13"/>
        <v>0</v>
      </c>
      <c r="M183" s="9">
        <f t="shared" si="13"/>
        <v>0</v>
      </c>
      <c r="N183" s="61" t="s">
        <v>178</v>
      </c>
    </row>
    <row r="184" spans="1:14" ht="19.05" customHeight="1" x14ac:dyDescent="0.3">
      <c r="B184" s="63">
        <f t="shared" si="13"/>
        <v>24010.738495424968</v>
      </c>
      <c r="C184" s="63">
        <f t="shared" si="13"/>
        <v>15006.711559640607</v>
      </c>
      <c r="D184" s="9">
        <f t="shared" si="13"/>
        <v>0</v>
      </c>
      <c r="E184" s="9">
        <f t="shared" si="13"/>
        <v>0</v>
      </c>
      <c r="F184" s="9">
        <f t="shared" si="13"/>
        <v>0</v>
      </c>
      <c r="G184" s="9">
        <f t="shared" si="13"/>
        <v>0</v>
      </c>
      <c r="H184" s="9">
        <f t="shared" si="13"/>
        <v>0</v>
      </c>
      <c r="I184" s="9">
        <f t="shared" si="13"/>
        <v>0</v>
      </c>
      <c r="J184" s="63">
        <f t="shared" si="13"/>
        <v>-24010.738495424968</v>
      </c>
      <c r="K184" s="63">
        <f t="shared" si="13"/>
        <v>-15006.711559640607</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63">
        <f t="shared" si="13"/>
        <v>-38417.181592679946</v>
      </c>
      <c r="C191" s="63">
        <f t="shared" si="13"/>
        <v>-24010.738495424968</v>
      </c>
      <c r="D191" s="9">
        <f t="shared" si="13"/>
        <v>0</v>
      </c>
      <c r="E191" s="9">
        <f t="shared" si="13"/>
        <v>0</v>
      </c>
      <c r="F191" s="9">
        <f t="shared" si="13"/>
        <v>0</v>
      </c>
      <c r="G191" s="9">
        <f t="shared" si="13"/>
        <v>0</v>
      </c>
      <c r="H191" s="9">
        <f t="shared" si="13"/>
        <v>0</v>
      </c>
      <c r="I191" s="9">
        <f t="shared" si="13"/>
        <v>0</v>
      </c>
      <c r="J191" s="63">
        <f t="shared" si="13"/>
        <v>38417.181592679946</v>
      </c>
      <c r="K191" s="63">
        <f t="shared" si="13"/>
        <v>24010.738495424968</v>
      </c>
      <c r="L191" s="9">
        <f t="shared" si="13"/>
        <v>0</v>
      </c>
      <c r="M191" s="9">
        <f t="shared" si="13"/>
        <v>0</v>
      </c>
      <c r="N191" s="61" t="s">
        <v>186</v>
      </c>
    </row>
    <row r="192" spans="1:14" ht="19.05" customHeight="1" x14ac:dyDescent="0.3">
      <c r="B192" s="63">
        <f t="shared" si="13"/>
        <v>-24010.738495424968</v>
      </c>
      <c r="C192" s="63">
        <f t="shared" si="13"/>
        <v>-15006.711559640607</v>
      </c>
      <c r="D192" s="9">
        <f t="shared" si="13"/>
        <v>0</v>
      </c>
      <c r="E192" s="9">
        <f t="shared" si="13"/>
        <v>0</v>
      </c>
      <c r="F192" s="9">
        <f t="shared" si="13"/>
        <v>0</v>
      </c>
      <c r="G192" s="9">
        <f t="shared" si="13"/>
        <v>0</v>
      </c>
      <c r="H192" s="9">
        <f t="shared" si="13"/>
        <v>0</v>
      </c>
      <c r="I192" s="9">
        <f t="shared" si="13"/>
        <v>0</v>
      </c>
      <c r="J192" s="63">
        <f t="shared" si="13"/>
        <v>24010.738495424968</v>
      </c>
      <c r="K192" s="63">
        <f t="shared" si="13"/>
        <v>15006.711559640607</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38417.181592679946</v>
      </c>
      <c r="C198" s="65">
        <f>J14*K14*N14</f>
        <v>24010.738495424968</v>
      </c>
      <c r="D198" s="65">
        <f>-B198</f>
        <v>-38417.181592679946</v>
      </c>
      <c r="E198" s="65">
        <f>-C198</f>
        <v>-24010.738495424968</v>
      </c>
      <c r="F198" s="64" t="str">
        <f>B197</f>
        <v>U2X</v>
      </c>
    </row>
    <row r="199" spans="1:14" ht="16.8" customHeight="1" x14ac:dyDescent="0.3">
      <c r="A199" s="28" t="s">
        <v>528</v>
      </c>
      <c r="B199" s="65">
        <f>C198</f>
        <v>24010.738495424968</v>
      </c>
      <c r="C199" s="65">
        <f>K14*K14*N14</f>
        <v>15006.711559640607</v>
      </c>
      <c r="D199" s="65">
        <f>-B199</f>
        <v>-24010.738495424968</v>
      </c>
      <c r="E199" s="65">
        <f>-C199</f>
        <v>-15006.711559640607</v>
      </c>
      <c r="F199" s="64" t="str">
        <f>C197</f>
        <v>U2Y</v>
      </c>
    </row>
    <row r="200" spans="1:14" x14ac:dyDescent="0.3">
      <c r="B200" s="65">
        <f>D198</f>
        <v>-38417.181592679946</v>
      </c>
      <c r="C200" s="65">
        <f>E198</f>
        <v>-24010.738495424968</v>
      </c>
      <c r="D200" s="65">
        <f>B198</f>
        <v>38417.181592679946</v>
      </c>
      <c r="E200" s="65">
        <f>C198</f>
        <v>24010.738495424968</v>
      </c>
      <c r="F200" s="64" t="str">
        <f>D197</f>
        <v>U6X</v>
      </c>
    </row>
    <row r="201" spans="1:14" x14ac:dyDescent="0.3">
      <c r="B201" s="65">
        <f>D199</f>
        <v>-24010.738495424968</v>
      </c>
      <c r="C201" s="65">
        <f>E199</f>
        <v>-15006.711559640607</v>
      </c>
      <c r="D201" s="65">
        <f>B199</f>
        <v>24010.738495424968</v>
      </c>
      <c r="E201" s="65">
        <f>C199</f>
        <v>15006.711559640607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38417.181592679946</v>
      </c>
      <c r="E206" s="66">
        <f t="shared" si="14"/>
        <v>24010.738495424968</v>
      </c>
      <c r="F206" s="9">
        <f t="shared" si="14"/>
        <v>0</v>
      </c>
      <c r="G206" s="9">
        <f t="shared" si="14"/>
        <v>0</v>
      </c>
      <c r="H206" s="9">
        <f t="shared" si="14"/>
        <v>0</v>
      </c>
      <c r="I206" s="9">
        <f t="shared" si="14"/>
        <v>0</v>
      </c>
      <c r="J206" s="9">
        <f t="shared" si="14"/>
        <v>0</v>
      </c>
      <c r="K206" s="9">
        <f t="shared" si="14"/>
        <v>0</v>
      </c>
      <c r="L206" s="66">
        <f t="shared" si="14"/>
        <v>-38417.181592679946</v>
      </c>
      <c r="M206" s="66">
        <f t="shared" si="14"/>
        <v>-24010.738495424968</v>
      </c>
      <c r="N206" s="64" t="s">
        <v>180</v>
      </c>
    </row>
    <row r="207" spans="1:14" ht="19.05" customHeight="1" x14ac:dyDescent="0.3">
      <c r="B207" s="9">
        <f t="shared" si="14"/>
        <v>0</v>
      </c>
      <c r="C207" s="9">
        <f t="shared" si="14"/>
        <v>0</v>
      </c>
      <c r="D207" s="66">
        <f t="shared" si="14"/>
        <v>24010.738495424968</v>
      </c>
      <c r="E207" s="66">
        <f t="shared" si="14"/>
        <v>15006.711559640607</v>
      </c>
      <c r="F207" s="9">
        <f t="shared" si="14"/>
        <v>0</v>
      </c>
      <c r="G207" s="9">
        <f t="shared" si="14"/>
        <v>0</v>
      </c>
      <c r="H207" s="9">
        <f t="shared" si="14"/>
        <v>0</v>
      </c>
      <c r="I207" s="9">
        <f t="shared" si="14"/>
        <v>0</v>
      </c>
      <c r="J207" s="9">
        <f t="shared" si="14"/>
        <v>0</v>
      </c>
      <c r="K207" s="9">
        <f t="shared" si="14"/>
        <v>0</v>
      </c>
      <c r="L207" s="66">
        <f t="shared" si="14"/>
        <v>-24010.738495424968</v>
      </c>
      <c r="M207" s="66">
        <f t="shared" si="14"/>
        <v>-15006.711559640607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-38417.181592679946</v>
      </c>
      <c r="E214" s="66">
        <f t="shared" si="14"/>
        <v>-24010.738495424968</v>
      </c>
      <c r="F214" s="9">
        <f t="shared" si="14"/>
        <v>0</v>
      </c>
      <c r="G214" s="9">
        <f t="shared" si="14"/>
        <v>0</v>
      </c>
      <c r="H214" s="9">
        <f t="shared" si="14"/>
        <v>0</v>
      </c>
      <c r="I214" s="9">
        <f t="shared" si="14"/>
        <v>0</v>
      </c>
      <c r="J214" s="9">
        <f t="shared" si="14"/>
        <v>0</v>
      </c>
      <c r="K214" s="9">
        <f t="shared" si="14"/>
        <v>0</v>
      </c>
      <c r="L214" s="66">
        <f t="shared" si="14"/>
        <v>38417.181592679946</v>
      </c>
      <c r="M214" s="66">
        <f t="shared" si="14"/>
        <v>24010.738495424968</v>
      </c>
      <c r="N214" s="64" t="s">
        <v>188</v>
      </c>
    </row>
    <row r="215" spans="1:14" ht="19.05" customHeight="1" x14ac:dyDescent="0.3">
      <c r="B215" s="9">
        <f t="shared" si="14"/>
        <v>0</v>
      </c>
      <c r="C215" s="9">
        <f t="shared" si="14"/>
        <v>0</v>
      </c>
      <c r="D215" s="66">
        <f t="shared" si="14"/>
        <v>-24010.738495424968</v>
      </c>
      <c r="E215" s="66">
        <f t="shared" si="14"/>
        <v>-15006.711559640607</v>
      </c>
      <c r="F215" s="9">
        <f t="shared" si="14"/>
        <v>0</v>
      </c>
      <c r="G215" s="9">
        <f t="shared" si="14"/>
        <v>0</v>
      </c>
      <c r="H215" s="9">
        <f t="shared" si="14"/>
        <v>0</v>
      </c>
      <c r="I215" s="9">
        <f t="shared" si="14"/>
        <v>0</v>
      </c>
      <c r="J215" s="9">
        <f t="shared" si="14"/>
        <v>0</v>
      </c>
      <c r="K215" s="9">
        <f t="shared" si="14"/>
        <v>0</v>
      </c>
      <c r="L215" s="66">
        <f t="shared" si="14"/>
        <v>24010.738495424968</v>
      </c>
      <c r="M215" s="66">
        <f t="shared" si="14"/>
        <v>15006.711559640607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101417.18159267995</v>
      </c>
      <c r="C219" s="36">
        <f t="shared" si="15"/>
        <v>24010.738495424968</v>
      </c>
      <c r="D219" s="9">
        <f t="shared" si="15"/>
        <v>-63000</v>
      </c>
      <c r="E219" s="9">
        <f t="shared" si="15"/>
        <v>0</v>
      </c>
      <c r="F219" s="9">
        <f t="shared" si="15"/>
        <v>0</v>
      </c>
      <c r="G219" s="9">
        <f t="shared" si="15"/>
        <v>0</v>
      </c>
      <c r="H219" s="9">
        <f t="shared" si="15"/>
        <v>0</v>
      </c>
      <c r="I219" s="9">
        <f t="shared" si="15"/>
        <v>0</v>
      </c>
      <c r="J219" s="9">
        <f t="shared" si="15"/>
        <v>-38417.181592679946</v>
      </c>
      <c r="K219" s="9">
        <f t="shared" si="15"/>
        <v>-24010.738495424968</v>
      </c>
      <c r="L219" s="9">
        <f t="shared" si="15"/>
        <v>0</v>
      </c>
      <c r="M219" s="9">
        <f t="shared" si="15"/>
        <v>0</v>
      </c>
      <c r="N219" s="89" t="s">
        <v>178</v>
      </c>
    </row>
    <row r="220" spans="1:14" ht="19.95" customHeight="1" x14ac:dyDescent="0.3">
      <c r="B220" s="36">
        <f t="shared" ref="B220:M220" si="16">B37+B58+B79+B100+B121+B142+B163+B184+B205</f>
        <v>24010.738495424968</v>
      </c>
      <c r="C220" s="35">
        <f t="shared" si="16"/>
        <v>115806.71155964061</v>
      </c>
      <c r="D220" s="9">
        <f t="shared" si="16"/>
        <v>0</v>
      </c>
      <c r="E220" s="9">
        <f t="shared" si="16"/>
        <v>0</v>
      </c>
      <c r="F220" s="9">
        <f t="shared" si="16"/>
        <v>0</v>
      </c>
      <c r="G220" s="9">
        <f t="shared" si="16"/>
        <v>0</v>
      </c>
      <c r="H220" s="9">
        <f t="shared" si="16"/>
        <v>0</v>
      </c>
      <c r="I220" s="9">
        <f t="shared" si="16"/>
        <v>-100800</v>
      </c>
      <c r="J220" s="9">
        <f t="shared" si="16"/>
        <v>-24010.738495424968</v>
      </c>
      <c r="K220" s="9">
        <f t="shared" si="16"/>
        <v>-15006.711559640607</v>
      </c>
      <c r="L220" s="9">
        <f t="shared" si="16"/>
        <v>0</v>
      </c>
      <c r="M220" s="9">
        <f t="shared" si="16"/>
        <v>0</v>
      </c>
      <c r="N220" s="89" t="s">
        <v>179</v>
      </c>
    </row>
    <row r="221" spans="1:14" ht="19.95" customHeight="1" x14ac:dyDescent="0.3">
      <c r="B221" s="9">
        <f t="shared" ref="B221:M221" si="17">B38+B59+B80+B101+B122+B143+B164+B185+B206</f>
        <v>-63000</v>
      </c>
      <c r="C221" s="9">
        <f t="shared" si="17"/>
        <v>0</v>
      </c>
      <c r="D221" s="35">
        <f t="shared" si="17"/>
        <v>164417.18159267993</v>
      </c>
      <c r="E221" s="36">
        <f t="shared" si="17"/>
        <v>24010.738495424968</v>
      </c>
      <c r="F221" s="9">
        <f t="shared" si="17"/>
        <v>-63000</v>
      </c>
      <c r="G221" s="9">
        <f t="shared" si="17"/>
        <v>0</v>
      </c>
      <c r="H221" s="9">
        <f t="shared" si="17"/>
        <v>0</v>
      </c>
      <c r="I221" s="9">
        <f t="shared" si="17"/>
        <v>0</v>
      </c>
      <c r="J221" s="9">
        <f t="shared" si="17"/>
        <v>0</v>
      </c>
      <c r="K221" s="9">
        <f t="shared" si="17"/>
        <v>0</v>
      </c>
      <c r="L221" s="9">
        <f t="shared" si="17"/>
        <v>-38417.181592679946</v>
      </c>
      <c r="M221" s="9">
        <f t="shared" si="17"/>
        <v>-24010.738495424968</v>
      </c>
      <c r="N221" s="89" t="s">
        <v>180</v>
      </c>
    </row>
    <row r="222" spans="1:14" ht="19.95" customHeight="1" x14ac:dyDescent="0.3">
      <c r="B222" s="9">
        <f t="shared" ref="B222:M222" si="18">B39+B60+B81+B102+B123+B144+B165+B186+B207</f>
        <v>0</v>
      </c>
      <c r="C222" s="9">
        <f t="shared" si="18"/>
        <v>0</v>
      </c>
      <c r="D222" s="36">
        <f t="shared" si="18"/>
        <v>24010.738495424968</v>
      </c>
      <c r="E222" s="35">
        <f t="shared" si="18"/>
        <v>115806.71155964061</v>
      </c>
      <c r="F222" s="9">
        <f t="shared" si="18"/>
        <v>0</v>
      </c>
      <c r="G222" s="9">
        <f t="shared" si="18"/>
        <v>0</v>
      </c>
      <c r="H222" s="9">
        <f t="shared" si="18"/>
        <v>0</v>
      </c>
      <c r="I222" s="9">
        <f t="shared" si="18"/>
        <v>0</v>
      </c>
      <c r="J222" s="9">
        <f t="shared" si="18"/>
        <v>0</v>
      </c>
      <c r="K222" s="9">
        <f t="shared" si="18"/>
        <v>-100800</v>
      </c>
      <c r="L222" s="9">
        <f t="shared" si="18"/>
        <v>-24010.738495424968</v>
      </c>
      <c r="M222" s="9">
        <f t="shared" si="18"/>
        <v>-15006.711559640607</v>
      </c>
      <c r="N222" s="89" t="s">
        <v>181</v>
      </c>
    </row>
    <row r="223" spans="1:14" ht="19.95" customHeight="1" x14ac:dyDescent="0.3">
      <c r="B223" s="9">
        <f t="shared" ref="B223:M223" si="19">B40+B61+B82+B103+B124+B145+B166+B187+B208</f>
        <v>0</v>
      </c>
      <c r="C223" s="9">
        <f t="shared" si="19"/>
        <v>0</v>
      </c>
      <c r="D223" s="9">
        <f t="shared" si="19"/>
        <v>-63000</v>
      </c>
      <c r="E223" s="9">
        <f t="shared" si="19"/>
        <v>0</v>
      </c>
      <c r="F223" s="35">
        <f t="shared" si="19"/>
        <v>63000</v>
      </c>
      <c r="G223" s="36">
        <f t="shared" si="19"/>
        <v>0</v>
      </c>
      <c r="H223" s="9">
        <f t="shared" si="19"/>
        <v>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100800</v>
      </c>
      <c r="H224" s="9">
        <f t="shared" si="20"/>
        <v>0</v>
      </c>
      <c r="I224" s="9">
        <f t="shared" si="20"/>
        <v>0</v>
      </c>
      <c r="J224" s="9">
        <f t="shared" si="20"/>
        <v>0</v>
      </c>
      <c r="K224" s="9">
        <f t="shared" si="20"/>
        <v>0</v>
      </c>
      <c r="L224" s="9">
        <f t="shared" si="20"/>
        <v>0</v>
      </c>
      <c r="M224" s="9">
        <f t="shared" si="20"/>
        <v>-100800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0</v>
      </c>
      <c r="G225" s="9">
        <f t="shared" si="21"/>
        <v>0</v>
      </c>
      <c r="H225" s="35">
        <f t="shared" si="21"/>
        <v>63000</v>
      </c>
      <c r="I225" s="36">
        <f t="shared" si="21"/>
        <v>0</v>
      </c>
      <c r="J225" s="9">
        <f t="shared" si="21"/>
        <v>-63000</v>
      </c>
      <c r="K225" s="9">
        <f t="shared" si="21"/>
        <v>0</v>
      </c>
      <c r="L225" s="9">
        <f t="shared" si="21"/>
        <v>0</v>
      </c>
      <c r="M225" s="9">
        <f t="shared" si="21"/>
        <v>0</v>
      </c>
      <c r="N225" s="89" t="s">
        <v>184</v>
      </c>
    </row>
    <row r="226" spans="1:21" ht="19.95" customHeight="1" x14ac:dyDescent="0.3">
      <c r="B226" s="9">
        <f t="shared" ref="B226:M226" si="22">B43+B64+B85+B106+B127+B148+B169+B190+B211</f>
        <v>0</v>
      </c>
      <c r="C226" s="9">
        <f t="shared" si="22"/>
        <v>-100800</v>
      </c>
      <c r="D226" s="9">
        <f t="shared" si="22"/>
        <v>0</v>
      </c>
      <c r="E226" s="9">
        <f t="shared" si="22"/>
        <v>0</v>
      </c>
      <c r="F226" s="9">
        <f t="shared" si="22"/>
        <v>0</v>
      </c>
      <c r="G226" s="9">
        <f t="shared" si="22"/>
        <v>0</v>
      </c>
      <c r="H226" s="36">
        <f t="shared" si="22"/>
        <v>0</v>
      </c>
      <c r="I226" s="35">
        <f t="shared" si="22"/>
        <v>100800</v>
      </c>
      <c r="J226" s="9">
        <f t="shared" si="22"/>
        <v>0</v>
      </c>
      <c r="K226" s="9">
        <f t="shared" si="22"/>
        <v>0</v>
      </c>
      <c r="L226" s="9">
        <f t="shared" si="22"/>
        <v>0</v>
      </c>
      <c r="M226" s="9">
        <f t="shared" si="22"/>
        <v>0</v>
      </c>
      <c r="N226" s="89" t="s">
        <v>185</v>
      </c>
    </row>
    <row r="227" spans="1:21" ht="19.95" customHeight="1" x14ac:dyDescent="0.3">
      <c r="B227" s="9">
        <f t="shared" ref="B227:M227" si="23">B44+B65+B86+B107+B128+B149+B170+B191+B212</f>
        <v>-38417.181592679946</v>
      </c>
      <c r="C227" s="9">
        <f t="shared" si="23"/>
        <v>-24010.738495424968</v>
      </c>
      <c r="D227" s="9">
        <f t="shared" si="23"/>
        <v>0</v>
      </c>
      <c r="E227" s="9">
        <f t="shared" si="23"/>
        <v>0</v>
      </c>
      <c r="F227" s="9">
        <f t="shared" si="23"/>
        <v>0</v>
      </c>
      <c r="G227" s="9">
        <f t="shared" si="23"/>
        <v>0</v>
      </c>
      <c r="H227" s="9">
        <f t="shared" si="23"/>
        <v>-63000</v>
      </c>
      <c r="I227" s="9">
        <f t="shared" si="23"/>
        <v>0</v>
      </c>
      <c r="J227" s="35">
        <f t="shared" si="23"/>
        <v>164417.18159267993</v>
      </c>
      <c r="K227" s="36">
        <f t="shared" si="23"/>
        <v>24010.738495424968</v>
      </c>
      <c r="L227" s="9">
        <f t="shared" si="23"/>
        <v>-63000</v>
      </c>
      <c r="M227" s="9">
        <f t="shared" si="23"/>
        <v>0</v>
      </c>
      <c r="N227" s="89" t="s">
        <v>186</v>
      </c>
    </row>
    <row r="228" spans="1:21" ht="19.95" customHeight="1" x14ac:dyDescent="0.3">
      <c r="B228" s="9">
        <f t="shared" ref="B228:M228" si="24">B45+B66+B87+B108+B129+B150+B171+B192+B213</f>
        <v>-24010.738495424968</v>
      </c>
      <c r="C228" s="9">
        <f t="shared" si="24"/>
        <v>-15006.711559640607</v>
      </c>
      <c r="D228" s="9">
        <f t="shared" si="24"/>
        <v>0</v>
      </c>
      <c r="E228" s="9">
        <f t="shared" si="24"/>
        <v>-100800</v>
      </c>
      <c r="F228" s="9">
        <f t="shared" si="24"/>
        <v>0</v>
      </c>
      <c r="G228" s="9">
        <f t="shared" si="24"/>
        <v>0</v>
      </c>
      <c r="H228" s="9">
        <f t="shared" si="24"/>
        <v>0</v>
      </c>
      <c r="I228" s="9">
        <f t="shared" si="24"/>
        <v>0</v>
      </c>
      <c r="J228" s="36">
        <f t="shared" si="24"/>
        <v>24010.738495424968</v>
      </c>
      <c r="K228" s="35">
        <f t="shared" si="24"/>
        <v>115806.71155964061</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-38417.181592679946</v>
      </c>
      <c r="E229" s="9">
        <f t="shared" si="25"/>
        <v>-24010.738495424968</v>
      </c>
      <c r="F229" s="9">
        <f t="shared" si="25"/>
        <v>0</v>
      </c>
      <c r="G229" s="9">
        <f t="shared" si="25"/>
        <v>0</v>
      </c>
      <c r="H229" s="9">
        <f t="shared" si="25"/>
        <v>0</v>
      </c>
      <c r="I229" s="9">
        <f t="shared" si="25"/>
        <v>0</v>
      </c>
      <c r="J229" s="9">
        <f t="shared" si="25"/>
        <v>-63000</v>
      </c>
      <c r="K229" s="9">
        <f t="shared" si="25"/>
        <v>0</v>
      </c>
      <c r="L229" s="35">
        <f t="shared" si="25"/>
        <v>101417.18159267995</v>
      </c>
      <c r="M229" s="36">
        <f t="shared" si="25"/>
        <v>24010.738495424968</v>
      </c>
      <c r="N229" s="89" t="s">
        <v>188</v>
      </c>
    </row>
    <row r="230" spans="1:21" ht="19.95" customHeight="1" x14ac:dyDescent="0.3">
      <c r="B230" s="9">
        <f t="shared" ref="B230:M230" si="26">B47+B68+B89+B110+B131+B152+B173+B194+B215</f>
        <v>0</v>
      </c>
      <c r="C230" s="9">
        <f t="shared" si="26"/>
        <v>0</v>
      </c>
      <c r="D230" s="9">
        <f t="shared" si="26"/>
        <v>-24010.738495424968</v>
      </c>
      <c r="E230" s="9">
        <f t="shared" si="26"/>
        <v>-15006.711559640607</v>
      </c>
      <c r="F230" s="9">
        <f t="shared" si="26"/>
        <v>0</v>
      </c>
      <c r="G230" s="9">
        <f t="shared" si="26"/>
        <v>-100800</v>
      </c>
      <c r="H230" s="9">
        <f t="shared" si="26"/>
        <v>0</v>
      </c>
      <c r="I230" s="9">
        <f t="shared" si="26"/>
        <v>0</v>
      </c>
      <c r="J230" s="9">
        <f t="shared" si="26"/>
        <v>0</v>
      </c>
      <c r="K230" s="9">
        <f t="shared" si="26"/>
        <v>0</v>
      </c>
      <c r="L230" s="36">
        <f t="shared" si="26"/>
        <v>24010.738495424968</v>
      </c>
      <c r="M230" s="35">
        <f t="shared" si="26"/>
        <v>115806.71155964061</v>
      </c>
      <c r="N230" s="89" t="s">
        <v>189</v>
      </c>
    </row>
    <row r="233" spans="1:21" ht="19.95" customHeight="1" x14ac:dyDescent="0.35">
      <c r="A233" s="11" t="s">
        <v>206</v>
      </c>
      <c r="P233" s="216" t="s">
        <v>207</v>
      </c>
      <c r="Q233" s="172"/>
      <c r="R233" s="172"/>
      <c r="S233" s="172"/>
      <c r="T233" s="172"/>
      <c r="U233" s="173"/>
    </row>
    <row r="234" spans="1:21" ht="16.95" customHeight="1" x14ac:dyDescent="0.3">
      <c r="B234" s="12" t="s">
        <v>208</v>
      </c>
      <c r="C234" s="12" t="s">
        <v>178</v>
      </c>
      <c r="E234" s="37" t="str">
        <f>IF(GRAFICA_54!F14=1, B234, GRAFICA_54!H14)</f>
        <v>C1X</v>
      </c>
      <c r="P234" s="215" t="s">
        <v>376</v>
      </c>
      <c r="Q234" s="172"/>
      <c r="R234" s="172"/>
      <c r="S234" s="172"/>
      <c r="T234" s="172"/>
      <c r="U234" s="173"/>
    </row>
    <row r="235" spans="1:21" ht="16.95" customHeight="1" x14ac:dyDescent="0.3">
      <c r="B235" s="12" t="s">
        <v>210</v>
      </c>
      <c r="C235" s="12" t="s">
        <v>179</v>
      </c>
      <c r="E235" s="37" t="str">
        <f>IF(GRAFICA_54!G14=1, B235, GRAFICA_54!I14)</f>
        <v>C1Y</v>
      </c>
      <c r="P235" s="215" t="s">
        <v>211</v>
      </c>
      <c r="Q235" s="172"/>
      <c r="R235" s="172"/>
      <c r="S235" s="172"/>
      <c r="T235" s="172"/>
      <c r="U235" s="173"/>
    </row>
    <row r="236" spans="1:21" ht="16.95" customHeight="1" x14ac:dyDescent="0.3">
      <c r="B236" s="12" t="s">
        <v>212</v>
      </c>
      <c r="C236" s="12" t="s">
        <v>180</v>
      </c>
      <c r="E236" s="37">
        <f>IF(GRAFICA_54!F15=1, B236, GRAFICA_54!H15)</f>
        <v>0</v>
      </c>
      <c r="P236" s="215" t="s">
        <v>377</v>
      </c>
      <c r="Q236" s="172"/>
      <c r="R236" s="172"/>
      <c r="S236" s="172"/>
      <c r="T236" s="172"/>
      <c r="U236" s="173"/>
    </row>
    <row r="237" spans="1:21" ht="16.95" customHeight="1" x14ac:dyDescent="0.3">
      <c r="B237" s="12" t="s">
        <v>214</v>
      </c>
      <c r="C237" s="12" t="s">
        <v>181</v>
      </c>
      <c r="E237" s="37" t="str">
        <f>IF(GRAFICA_54!G15=1, B237, GRAFICA_54!I15)</f>
        <v>C2Y</v>
      </c>
      <c r="P237" s="215" t="s">
        <v>215</v>
      </c>
      <c r="Q237" s="172"/>
      <c r="R237" s="172"/>
      <c r="S237" s="172"/>
      <c r="T237" s="172"/>
      <c r="U237" s="173"/>
    </row>
    <row r="238" spans="1:21" ht="16.95" customHeight="1" x14ac:dyDescent="0.3">
      <c r="B238" s="12" t="s">
        <v>216</v>
      </c>
      <c r="C238" s="12" t="s">
        <v>182</v>
      </c>
      <c r="E238" s="37">
        <f>IF(GRAFICA_54!F16=1, B238, GRAFICA_54!H16)</f>
        <v>0</v>
      </c>
      <c r="P238" s="215" t="s">
        <v>378</v>
      </c>
      <c r="Q238" s="172"/>
      <c r="R238" s="172"/>
      <c r="S238" s="172"/>
      <c r="T238" s="172"/>
      <c r="U238" s="173"/>
    </row>
    <row r="239" spans="1:21" ht="16.95" customHeight="1" x14ac:dyDescent="0.3">
      <c r="A239" s="38" t="s">
        <v>218</v>
      </c>
      <c r="B239" s="12" t="s">
        <v>219</v>
      </c>
      <c r="C239" s="12" t="s">
        <v>183</v>
      </c>
      <c r="D239" s="13" t="s">
        <v>220</v>
      </c>
      <c r="E239" s="37" t="str">
        <f>IF(GRAFICA_54!G16=1, B239, GRAFICA_54!I16)</f>
        <v>C3Y</v>
      </c>
      <c r="P239" s="215" t="s">
        <v>379</v>
      </c>
      <c r="Q239" s="172"/>
      <c r="R239" s="172"/>
      <c r="S239" s="172"/>
      <c r="T239" s="172"/>
      <c r="U239" s="173"/>
    </row>
    <row r="240" spans="1:21" ht="16.95" customHeight="1" x14ac:dyDescent="0.3">
      <c r="B240" s="12" t="s">
        <v>221</v>
      </c>
      <c r="C240" s="12" t="s">
        <v>184</v>
      </c>
      <c r="E240" s="37">
        <f>IF(GRAFICA_54!F17=1, B240, GRAFICA_54!H17)</f>
        <v>0</v>
      </c>
      <c r="P240" s="215"/>
      <c r="Q240" s="172"/>
      <c r="R240" s="172"/>
      <c r="S240" s="172"/>
      <c r="T240" s="172"/>
      <c r="U240" s="173"/>
    </row>
    <row r="241" spans="1:21" ht="16.95" customHeight="1" x14ac:dyDescent="0.3">
      <c r="B241" s="12" t="s">
        <v>222</v>
      </c>
      <c r="C241" s="12" t="s">
        <v>185</v>
      </c>
      <c r="E241" s="37">
        <f>IF(GRAFICA_54!G17=1, B241, GRAFICA_54!I17)</f>
        <v>0</v>
      </c>
      <c r="P241" s="215"/>
      <c r="Q241" s="172"/>
      <c r="R241" s="172"/>
      <c r="S241" s="172"/>
      <c r="T241" s="172"/>
      <c r="U241" s="173"/>
    </row>
    <row r="242" spans="1:21" ht="16.95" customHeight="1" x14ac:dyDescent="0.3">
      <c r="B242" s="12" t="s">
        <v>223</v>
      </c>
      <c r="C242" s="12" t="s">
        <v>186</v>
      </c>
      <c r="E242" s="37">
        <f>IF(GRAFICA_54!F18=1, B242, GRAFICA_54!H18)</f>
        <v>0</v>
      </c>
      <c r="P242" s="215"/>
      <c r="Q242" s="172"/>
      <c r="R242" s="172"/>
      <c r="S242" s="172"/>
      <c r="T242" s="172"/>
      <c r="U242" s="173"/>
    </row>
    <row r="243" spans="1:21" ht="16.95" customHeight="1" x14ac:dyDescent="0.3">
      <c r="B243" s="12" t="s">
        <v>224</v>
      </c>
      <c r="C243" s="12" t="s">
        <v>187</v>
      </c>
      <c r="E243" s="37">
        <f>IF(GRAFICA_54!G18=1, B243, GRAFICA_54!I18)</f>
        <v>-7500</v>
      </c>
      <c r="P243" s="215"/>
      <c r="Q243" s="172"/>
      <c r="R243" s="172"/>
      <c r="S243" s="172"/>
      <c r="T243" s="172"/>
      <c r="U243" s="173"/>
    </row>
    <row r="244" spans="1:21" ht="16.95" customHeight="1" x14ac:dyDescent="0.3">
      <c r="B244" s="12" t="s">
        <v>225</v>
      </c>
      <c r="C244" s="12" t="s">
        <v>188</v>
      </c>
      <c r="E244" s="37">
        <f>IF(GRAFICA_54!F19=1, B244, GRAFICA_54!H19)</f>
        <v>0</v>
      </c>
      <c r="P244" s="215"/>
      <c r="Q244" s="172"/>
      <c r="R244" s="172"/>
      <c r="S244" s="172"/>
      <c r="T244" s="172"/>
      <c r="U244" s="173"/>
    </row>
    <row r="245" spans="1:21" ht="16.95" customHeight="1" x14ac:dyDescent="0.3">
      <c r="B245" s="12" t="s">
        <v>226</v>
      </c>
      <c r="C245" s="12" t="s">
        <v>189</v>
      </c>
      <c r="E245" s="37">
        <f>IF(GRAFICA_54!G19=1, B245, GRAFICA_54!I19)</f>
        <v>0</v>
      </c>
      <c r="P245" s="215"/>
      <c r="Q245" s="172"/>
      <c r="R245" s="172"/>
      <c r="S245" s="172"/>
      <c r="T245" s="172"/>
      <c r="U245" s="173"/>
    </row>
    <row r="246" spans="1:21" ht="16.95" customHeight="1" x14ac:dyDescent="0.3">
      <c r="P246" s="215"/>
      <c r="Q246" s="172"/>
      <c r="R246" s="172"/>
      <c r="S246" s="172"/>
      <c r="T246" s="172"/>
      <c r="U246" s="173"/>
    </row>
    <row r="247" spans="1:21" ht="16.95" customHeight="1" x14ac:dyDescent="0.35">
      <c r="A247" s="11" t="s">
        <v>227</v>
      </c>
      <c r="P247" s="215"/>
      <c r="Q247" s="172"/>
      <c r="R247" s="172"/>
      <c r="S247" s="172"/>
      <c r="T247" s="172"/>
      <c r="U247" s="173"/>
    </row>
    <row r="248" spans="1:21" ht="16.95" customHeight="1" x14ac:dyDescent="0.3">
      <c r="B248" s="12" t="s">
        <v>228</v>
      </c>
      <c r="C248" s="12" t="s">
        <v>178</v>
      </c>
      <c r="E248" s="39">
        <f>IF(GRAFICA_54!F14=1, 0, B248)</f>
        <v>0</v>
      </c>
      <c r="F248" s="14" t="str">
        <f>IF(E248&lt;&gt;0, COUNTIF(E$248:E248, "&lt;&gt;0"), "")</f>
        <v/>
      </c>
      <c r="G248" s="14">
        <f>IF(E248=0, COUNTIF(E$248:E248, 0), "")</f>
        <v>1</v>
      </c>
      <c r="P248" s="215"/>
      <c r="Q248" s="172"/>
      <c r="R248" s="172"/>
      <c r="S248" s="172"/>
      <c r="T248" s="172"/>
      <c r="U248" s="173"/>
    </row>
    <row r="249" spans="1:21" ht="16.95" customHeight="1" x14ac:dyDescent="0.3">
      <c r="B249" s="12" t="s">
        <v>229</v>
      </c>
      <c r="C249" s="12" t="s">
        <v>179</v>
      </c>
      <c r="E249" s="39">
        <f>IF(GRAFICA_54!G14=1, 0, B249)</f>
        <v>0</v>
      </c>
      <c r="F249" s="14" t="str">
        <f>IF(E249&lt;&gt;0, COUNTIF(E$248:E249, "&lt;&gt;0"), "")</f>
        <v/>
      </c>
      <c r="G249" s="14">
        <f>IF(E249=0, COUNTIF(E$248:E249, 0), "")</f>
        <v>2</v>
      </c>
      <c r="P249" s="215"/>
      <c r="Q249" s="172"/>
      <c r="R249" s="172"/>
      <c r="S249" s="172"/>
      <c r="T249" s="172"/>
      <c r="U249" s="173"/>
    </row>
    <row r="250" spans="1:21" ht="16.95" customHeight="1" x14ac:dyDescent="0.3">
      <c r="B250" s="12" t="s">
        <v>230</v>
      </c>
      <c r="C250" s="12" t="s">
        <v>180</v>
      </c>
      <c r="E250" s="39" t="str">
        <f>IF(GRAFICA_54!F15=1, 0, B250)</f>
        <v>D2X</v>
      </c>
      <c r="F250" s="14">
        <f>IF(E250&lt;&gt;0, COUNTIF(E$248:E250, "&lt;&gt;0"), "")</f>
        <v>1</v>
      </c>
      <c r="G250" s="14" t="str">
        <f>IF(E250=0, COUNTIF(E$248:E250, 0), "")</f>
        <v/>
      </c>
      <c r="P250" s="215"/>
      <c r="Q250" s="172"/>
      <c r="R250" s="172"/>
      <c r="S250" s="172"/>
      <c r="T250" s="172"/>
      <c r="U250" s="173"/>
    </row>
    <row r="251" spans="1:21" ht="16.95" customHeight="1" x14ac:dyDescent="0.3">
      <c r="B251" s="12" t="s">
        <v>231</v>
      </c>
      <c r="C251" s="12" t="s">
        <v>181</v>
      </c>
      <c r="E251" s="39">
        <f>IF(GRAFICA_54!G15=1, 0, B251)</f>
        <v>0</v>
      </c>
      <c r="F251" s="14" t="str">
        <f>IF(E251&lt;&gt;0, COUNTIF(E$248:E251, "&lt;&gt;0"), "")</f>
        <v/>
      </c>
      <c r="G251" s="14">
        <f>IF(E251=0, COUNTIF(E$248:E251, 0), "")</f>
        <v>3</v>
      </c>
      <c r="P251" s="215"/>
      <c r="Q251" s="172"/>
      <c r="R251" s="172"/>
      <c r="S251" s="172"/>
      <c r="T251" s="172"/>
      <c r="U251" s="173"/>
    </row>
    <row r="252" spans="1:21" ht="16.95" customHeight="1" x14ac:dyDescent="0.3">
      <c r="B252" s="12" t="s">
        <v>232</v>
      </c>
      <c r="C252" s="12" t="s">
        <v>182</v>
      </c>
      <c r="E252" s="39" t="str">
        <f>IF(GRAFICA_54!F16=1, 0, B252)</f>
        <v>D3X</v>
      </c>
      <c r="F252" s="14">
        <f>IF(E252&lt;&gt;0, COUNTIF(E$248:E252, "&lt;&gt;0"), "")</f>
        <v>2</v>
      </c>
      <c r="G252" s="14" t="str">
        <f>IF(E252=0, COUNTIF(E$248:E252, 0), "")</f>
        <v/>
      </c>
      <c r="P252" s="215"/>
      <c r="Q252" s="172"/>
      <c r="R252" s="172"/>
      <c r="S252" s="172"/>
      <c r="T252" s="172"/>
      <c r="U252" s="173"/>
    </row>
    <row r="253" spans="1:21" ht="16.95" customHeight="1" x14ac:dyDescent="0.3">
      <c r="A253" s="38" t="s">
        <v>233</v>
      </c>
      <c r="B253" s="12" t="s">
        <v>234</v>
      </c>
      <c r="C253" s="12" t="s">
        <v>183</v>
      </c>
      <c r="D253" s="13" t="s">
        <v>220</v>
      </c>
      <c r="E253" s="39">
        <f>IF(GRAFICA_54!G16=1, 0, B253)</f>
        <v>0</v>
      </c>
      <c r="F253" s="14" t="str">
        <f>IF(E253&lt;&gt;0, COUNTIF(E$248:E253, "&lt;&gt;0"), "")</f>
        <v/>
      </c>
      <c r="G253" s="14">
        <f>IF(E253=0, COUNTIF(E$248:E253, 0), "")</f>
        <v>4</v>
      </c>
      <c r="P253" s="215"/>
      <c r="Q253" s="172"/>
      <c r="R253" s="172"/>
      <c r="S253" s="172"/>
      <c r="T253" s="172"/>
      <c r="U253" s="173"/>
    </row>
    <row r="254" spans="1:21" ht="16.95" customHeight="1" x14ac:dyDescent="0.3">
      <c r="B254" s="12" t="s">
        <v>235</v>
      </c>
      <c r="C254" s="12" t="s">
        <v>184</v>
      </c>
      <c r="E254" s="39" t="str">
        <f>IF(GRAFICA_54!F17=1, 0, B254)</f>
        <v>D4X</v>
      </c>
      <c r="F254" s="14">
        <f>IF(E254&lt;&gt;0, COUNTIF(E$248:E254, "&lt;&gt;0"), "")</f>
        <v>3</v>
      </c>
      <c r="G254" s="14" t="str">
        <f>IF(E254=0, COUNTIF(E$248:E254, 0), "")</f>
        <v/>
      </c>
      <c r="P254" s="215"/>
      <c r="Q254" s="172"/>
      <c r="R254" s="172"/>
      <c r="S254" s="172"/>
      <c r="T254" s="172"/>
      <c r="U254" s="173"/>
    </row>
    <row r="255" spans="1:21" ht="16.95" customHeight="1" x14ac:dyDescent="0.3">
      <c r="B255" s="12" t="s">
        <v>236</v>
      </c>
      <c r="C255" s="12" t="s">
        <v>185</v>
      </c>
      <c r="E255" s="39" t="str">
        <f>IF(GRAFICA_54!G17=1, 0, B255)</f>
        <v>D4Y</v>
      </c>
      <c r="F255" s="14">
        <f>IF(E255&lt;&gt;0, COUNTIF(E$248:E255, "&lt;&gt;0"), "")</f>
        <v>4</v>
      </c>
      <c r="G255" s="14" t="str">
        <f>IF(E255=0, COUNTIF(E$248:E255, 0), "")</f>
        <v/>
      </c>
      <c r="P255" s="215"/>
      <c r="Q255" s="172"/>
      <c r="R255" s="172"/>
      <c r="S255" s="172"/>
      <c r="T255" s="172"/>
      <c r="U255" s="173"/>
    </row>
    <row r="256" spans="1:21" ht="16.95" customHeight="1" x14ac:dyDescent="0.3">
      <c r="B256" s="12" t="s">
        <v>237</v>
      </c>
      <c r="C256" s="12" t="s">
        <v>186</v>
      </c>
      <c r="E256" s="39" t="str">
        <f>IF(GRAFICA_54!F18=1, 0, B256)</f>
        <v>D5X</v>
      </c>
      <c r="F256" s="14">
        <f>IF(E256&lt;&gt;0, COUNTIF(E$248:E256, "&lt;&gt;0"), "")</f>
        <v>5</v>
      </c>
      <c r="G256" s="14" t="str">
        <f>IF(E256=0, COUNTIF(E$248:E256, 0), "")</f>
        <v/>
      </c>
      <c r="P256" s="215"/>
      <c r="Q256" s="172"/>
      <c r="R256" s="172"/>
      <c r="S256" s="172"/>
      <c r="T256" s="172"/>
      <c r="U256" s="173"/>
    </row>
    <row r="257" spans="1:21" ht="16.95" customHeight="1" x14ac:dyDescent="0.3">
      <c r="B257" s="12" t="s">
        <v>238</v>
      </c>
      <c r="C257" s="12" t="s">
        <v>187</v>
      </c>
      <c r="E257" s="39" t="str">
        <f>IF(GRAFICA_54!G18=1, 0, B257)</f>
        <v>D5Y</v>
      </c>
      <c r="F257" s="14">
        <f>IF(E257&lt;&gt;0, COUNTIF(E$248:E257, "&lt;&gt;0"), "")</f>
        <v>6</v>
      </c>
      <c r="G257" s="14" t="str">
        <f>IF(E257=0, COUNTIF(E$248:E257, 0), "")</f>
        <v/>
      </c>
      <c r="P257" s="215"/>
      <c r="Q257" s="172"/>
      <c r="R257" s="172"/>
      <c r="S257" s="172"/>
      <c r="T257" s="172"/>
      <c r="U257" s="173"/>
    </row>
    <row r="258" spans="1:21" ht="16.95" customHeight="1" x14ac:dyDescent="0.3">
      <c r="B258" s="12" t="s">
        <v>239</v>
      </c>
      <c r="C258" s="12" t="s">
        <v>188</v>
      </c>
      <c r="E258" s="39" t="str">
        <f>IF(GRAFICA_54!F19=1, 0, B258)</f>
        <v>D6X</v>
      </c>
      <c r="F258" s="14">
        <f>IF(E258&lt;&gt;0, COUNTIF(E$248:E258, "&lt;&gt;0"), "")</f>
        <v>7</v>
      </c>
      <c r="G258" s="14" t="str">
        <f>IF(E258=0, COUNTIF(E$248:E258, 0), "")</f>
        <v/>
      </c>
      <c r="P258" s="215"/>
      <c r="Q258" s="172"/>
      <c r="R258" s="172"/>
      <c r="S258" s="172"/>
      <c r="T258" s="172"/>
      <c r="U258" s="173"/>
    </row>
    <row r="259" spans="1:21" ht="16.95" customHeight="1" x14ac:dyDescent="0.3">
      <c r="B259" s="12" t="s">
        <v>240</v>
      </c>
      <c r="C259" s="12" t="s">
        <v>189</v>
      </c>
      <c r="E259" s="39" t="str">
        <f>IF(GRAFICA_54!G19=1, 0, B259)</f>
        <v>D6Y</v>
      </c>
      <c r="F259" s="14">
        <f>IF(E259&lt;&gt;0, COUNTIF(E$248:E259, "&lt;&gt;0"), "")</f>
        <v>8</v>
      </c>
      <c r="G259" s="14" t="str">
        <f>IF(E259=0, COUNTIF(E$248:E259, 0), "")</f>
        <v/>
      </c>
      <c r="P259" s="215"/>
      <c r="Q259" s="172"/>
      <c r="R259" s="172"/>
      <c r="S259" s="172"/>
      <c r="T259" s="172"/>
      <c r="U259" s="173"/>
    </row>
    <row r="261" spans="1:21" ht="19.95" customHeight="1" x14ac:dyDescent="0.35">
      <c r="A261" s="15" t="s">
        <v>241</v>
      </c>
      <c r="C261" s="218" t="s">
        <v>242</v>
      </c>
      <c r="D261" s="173"/>
      <c r="E261" s="40" t="s">
        <v>243</v>
      </c>
      <c r="P261" s="216" t="s">
        <v>244</v>
      </c>
      <c r="Q261" s="172"/>
      <c r="R261" s="172"/>
      <c r="S261" s="172"/>
      <c r="T261" s="172"/>
      <c r="U261" s="173"/>
    </row>
    <row r="262" spans="1:21" ht="16.95" customHeight="1" x14ac:dyDescent="0.3">
      <c r="E262" s="40" t="s">
        <v>245</v>
      </c>
      <c r="P262" s="215" t="s">
        <v>246</v>
      </c>
      <c r="Q262" s="172"/>
      <c r="R262" s="172"/>
      <c r="S262" s="172"/>
      <c r="T262" s="172"/>
      <c r="U262" s="173"/>
    </row>
    <row r="263" spans="1:21" ht="16.95" customHeight="1" x14ac:dyDescent="0.3">
      <c r="A263" s="99" t="s">
        <v>247</v>
      </c>
      <c r="C263" s="99" t="s">
        <v>248</v>
      </c>
      <c r="P263" s="215" t="s">
        <v>250</v>
      </c>
      <c r="Q263" s="172"/>
      <c r="R263" s="172"/>
      <c r="S263" s="172"/>
      <c r="T263" s="172"/>
      <c r="U263" s="173"/>
    </row>
    <row r="264" spans="1:21" ht="16.95" customHeight="1" x14ac:dyDescent="0.3">
      <c r="A264" s="12" t="str">
        <f t="shared" ref="A264:A275" si="27">E234</f>
        <v>C1X</v>
      </c>
      <c r="C264" s="9">
        <f t="shared" ref="C264:N264" si="28">B219</f>
        <v>101417.18159267995</v>
      </c>
      <c r="D264" s="9">
        <f t="shared" si="28"/>
        <v>24010.738495424968</v>
      </c>
      <c r="E264" s="9">
        <f t="shared" si="28"/>
        <v>-63000</v>
      </c>
      <c r="F264" s="9">
        <f t="shared" si="28"/>
        <v>0</v>
      </c>
      <c r="G264" s="9">
        <f t="shared" si="28"/>
        <v>0</v>
      </c>
      <c r="H264" s="9">
        <f t="shared" si="28"/>
        <v>0</v>
      </c>
      <c r="I264" s="9">
        <f t="shared" si="28"/>
        <v>0</v>
      </c>
      <c r="J264" s="9">
        <f t="shared" si="28"/>
        <v>0</v>
      </c>
      <c r="K264" s="9">
        <f t="shared" si="28"/>
        <v>-38417.181592679946</v>
      </c>
      <c r="L264" s="9">
        <f t="shared" si="28"/>
        <v>-24010.738495424968</v>
      </c>
      <c r="M264" s="9">
        <f t="shared" si="28"/>
        <v>0</v>
      </c>
      <c r="N264" s="9">
        <f t="shared" si="28"/>
        <v>0</v>
      </c>
      <c r="O264" s="13" t="s">
        <v>251</v>
      </c>
      <c r="P264" s="219" t="s">
        <v>380</v>
      </c>
      <c r="Q264" s="172"/>
      <c r="R264" s="172"/>
      <c r="S264" s="172"/>
      <c r="T264" s="172"/>
      <c r="U264" s="173"/>
    </row>
    <row r="265" spans="1:21" ht="16.95" customHeight="1" x14ac:dyDescent="0.3">
      <c r="A265" s="12" t="str">
        <f t="shared" si="27"/>
        <v>C1Y</v>
      </c>
      <c r="C265" s="9">
        <f t="shared" ref="C265:N265" si="29">B220</f>
        <v>24010.738495424968</v>
      </c>
      <c r="D265" s="9">
        <f t="shared" si="29"/>
        <v>115806.71155964061</v>
      </c>
      <c r="E265" s="9">
        <f t="shared" si="29"/>
        <v>0</v>
      </c>
      <c r="F265" s="9">
        <f t="shared" si="29"/>
        <v>0</v>
      </c>
      <c r="G265" s="9">
        <f t="shared" si="29"/>
        <v>0</v>
      </c>
      <c r="H265" s="9">
        <f t="shared" si="29"/>
        <v>0</v>
      </c>
      <c r="I265" s="9">
        <f t="shared" si="29"/>
        <v>0</v>
      </c>
      <c r="J265" s="9">
        <f t="shared" si="29"/>
        <v>-100800</v>
      </c>
      <c r="K265" s="9">
        <f t="shared" si="29"/>
        <v>-24010.738495424968</v>
      </c>
      <c r="L265" s="9">
        <f t="shared" si="29"/>
        <v>-15006.711559640607</v>
      </c>
      <c r="M265" s="9">
        <f t="shared" si="29"/>
        <v>0</v>
      </c>
      <c r="N265" s="9">
        <f t="shared" si="29"/>
        <v>0</v>
      </c>
      <c r="O265" s="13" t="s">
        <v>251</v>
      </c>
      <c r="P265" s="219" t="s">
        <v>253</v>
      </c>
      <c r="Q265" s="172"/>
      <c r="R265" s="172"/>
      <c r="S265" s="172"/>
      <c r="T265" s="172"/>
      <c r="U265" s="173"/>
    </row>
    <row r="266" spans="1:21" ht="16.95" customHeight="1" x14ac:dyDescent="0.3">
      <c r="A266" s="41">
        <f t="shared" si="27"/>
        <v>0</v>
      </c>
      <c r="C266" s="9">
        <f t="shared" ref="C266:N266" si="30">B221</f>
        <v>-63000</v>
      </c>
      <c r="D266" s="9">
        <f t="shared" si="30"/>
        <v>0</v>
      </c>
      <c r="E266" s="41">
        <f t="shared" si="30"/>
        <v>164417.18159267993</v>
      </c>
      <c r="F266" s="9">
        <f t="shared" si="30"/>
        <v>24010.738495424968</v>
      </c>
      <c r="G266" s="41">
        <f t="shared" si="30"/>
        <v>-63000</v>
      </c>
      <c r="H266" s="9">
        <f t="shared" si="30"/>
        <v>0</v>
      </c>
      <c r="I266" s="41">
        <f t="shared" si="30"/>
        <v>0</v>
      </c>
      <c r="J266" s="41">
        <f t="shared" si="30"/>
        <v>0</v>
      </c>
      <c r="K266" s="41">
        <f t="shared" si="30"/>
        <v>0</v>
      </c>
      <c r="L266" s="41">
        <f t="shared" si="30"/>
        <v>0</v>
      </c>
      <c r="M266" s="41">
        <f t="shared" si="30"/>
        <v>-38417.181592679946</v>
      </c>
      <c r="N266" s="41">
        <f t="shared" si="30"/>
        <v>-24010.738495424968</v>
      </c>
      <c r="O266" s="13" t="s">
        <v>251</v>
      </c>
      <c r="P266" s="215" t="s">
        <v>254</v>
      </c>
      <c r="Q266" s="172"/>
      <c r="R266" s="172"/>
      <c r="S266" s="172"/>
      <c r="T266" s="172"/>
      <c r="U266" s="173"/>
    </row>
    <row r="267" spans="1:21" ht="16.95" customHeight="1" x14ac:dyDescent="0.3">
      <c r="A267" s="12" t="str">
        <f t="shared" si="27"/>
        <v>C2Y</v>
      </c>
      <c r="C267" s="9">
        <f t="shared" ref="C267:N267" si="31">B222</f>
        <v>0</v>
      </c>
      <c r="D267" s="9">
        <f t="shared" si="31"/>
        <v>0</v>
      </c>
      <c r="E267" s="9">
        <f t="shared" si="31"/>
        <v>24010.738495424968</v>
      </c>
      <c r="F267" s="9">
        <f t="shared" si="31"/>
        <v>115806.71155964061</v>
      </c>
      <c r="G267" s="9">
        <f t="shared" si="31"/>
        <v>0</v>
      </c>
      <c r="H267" s="9">
        <f t="shared" si="31"/>
        <v>0</v>
      </c>
      <c r="I267" s="9">
        <f t="shared" si="31"/>
        <v>0</v>
      </c>
      <c r="J267" s="9">
        <f t="shared" si="31"/>
        <v>0</v>
      </c>
      <c r="K267" s="9">
        <f t="shared" si="31"/>
        <v>0</v>
      </c>
      <c r="L267" s="9">
        <f t="shared" si="31"/>
        <v>-100800</v>
      </c>
      <c r="M267" s="9">
        <f t="shared" si="31"/>
        <v>-24010.738495424968</v>
      </c>
      <c r="N267" s="9">
        <f t="shared" si="31"/>
        <v>-15006.711559640607</v>
      </c>
      <c r="O267" s="13" t="s">
        <v>251</v>
      </c>
      <c r="P267" s="219" t="s">
        <v>381</v>
      </c>
      <c r="Q267" s="172"/>
      <c r="R267" s="172"/>
      <c r="S267" s="172"/>
      <c r="T267" s="172"/>
      <c r="U267" s="173"/>
    </row>
    <row r="268" spans="1:21" ht="16.95" customHeight="1" x14ac:dyDescent="0.3">
      <c r="A268" s="41">
        <f t="shared" si="27"/>
        <v>0</v>
      </c>
      <c r="C268" s="9">
        <f t="shared" ref="C268:N268" si="32">B223</f>
        <v>0</v>
      </c>
      <c r="D268" s="9">
        <f t="shared" si="32"/>
        <v>0</v>
      </c>
      <c r="E268" s="41">
        <f t="shared" si="32"/>
        <v>-63000</v>
      </c>
      <c r="F268" s="9">
        <f t="shared" si="32"/>
        <v>0</v>
      </c>
      <c r="G268" s="41">
        <f t="shared" si="32"/>
        <v>63000</v>
      </c>
      <c r="H268" s="9">
        <f t="shared" si="32"/>
        <v>0</v>
      </c>
      <c r="I268" s="41">
        <f t="shared" si="32"/>
        <v>0</v>
      </c>
      <c r="J268" s="41">
        <f t="shared" si="32"/>
        <v>0</v>
      </c>
      <c r="K268" s="41">
        <f t="shared" si="32"/>
        <v>0</v>
      </c>
      <c r="L268" s="41">
        <f t="shared" si="32"/>
        <v>0</v>
      </c>
      <c r="M268" s="41">
        <f t="shared" si="32"/>
        <v>0</v>
      </c>
      <c r="N268" s="41">
        <f t="shared" si="32"/>
        <v>0</v>
      </c>
      <c r="O268" s="13" t="s">
        <v>251</v>
      </c>
      <c r="P268" s="215" t="s">
        <v>382</v>
      </c>
      <c r="Q268" s="172"/>
      <c r="R268" s="172"/>
      <c r="S268" s="172"/>
      <c r="T268" s="172"/>
      <c r="U268" s="173"/>
    </row>
    <row r="269" spans="1:21" ht="16.95" customHeight="1" x14ac:dyDescent="0.3">
      <c r="A269" s="12" t="str">
        <f t="shared" si="27"/>
        <v>C3Y</v>
      </c>
      <c r="C269" s="9">
        <f t="shared" ref="C269:N269" si="33">B224</f>
        <v>0</v>
      </c>
      <c r="D269" s="9">
        <f t="shared" si="33"/>
        <v>0</v>
      </c>
      <c r="E269" s="9">
        <f t="shared" si="33"/>
        <v>0</v>
      </c>
      <c r="F269" s="9">
        <f t="shared" si="33"/>
        <v>0</v>
      </c>
      <c r="G269" s="9">
        <f t="shared" si="33"/>
        <v>0</v>
      </c>
      <c r="H269" s="9">
        <f t="shared" si="33"/>
        <v>100800</v>
      </c>
      <c r="I269" s="9">
        <f t="shared" si="33"/>
        <v>0</v>
      </c>
      <c r="J269" s="9">
        <f t="shared" si="33"/>
        <v>0</v>
      </c>
      <c r="K269" s="9">
        <f t="shared" si="33"/>
        <v>0</v>
      </c>
      <c r="L269" s="9">
        <f t="shared" si="33"/>
        <v>0</v>
      </c>
      <c r="M269" s="9">
        <f t="shared" si="33"/>
        <v>0</v>
      </c>
      <c r="N269" s="9">
        <f t="shared" si="33"/>
        <v>-100800</v>
      </c>
      <c r="O269" s="13" t="s">
        <v>251</v>
      </c>
      <c r="P269" s="219">
        <f t="shared" ref="P269:P275" si="34">E253</f>
        <v>0</v>
      </c>
      <c r="Q269" s="172"/>
      <c r="R269" s="172"/>
      <c r="S269" s="172"/>
      <c r="T269" s="172"/>
      <c r="U269" s="173"/>
    </row>
    <row r="270" spans="1:21" ht="16.95" customHeight="1" x14ac:dyDescent="0.3">
      <c r="A270" s="41">
        <f t="shared" si="27"/>
        <v>0</v>
      </c>
      <c r="B270" s="13" t="s">
        <v>220</v>
      </c>
      <c r="C270" s="9">
        <f t="shared" ref="C270:N270" si="35">B225</f>
        <v>0</v>
      </c>
      <c r="D270" s="9">
        <f t="shared" si="35"/>
        <v>0</v>
      </c>
      <c r="E270" s="41">
        <f t="shared" si="35"/>
        <v>0</v>
      </c>
      <c r="F270" s="9">
        <f t="shared" si="35"/>
        <v>0</v>
      </c>
      <c r="G270" s="41">
        <f t="shared" si="35"/>
        <v>0</v>
      </c>
      <c r="H270" s="9">
        <f t="shared" si="35"/>
        <v>0</v>
      </c>
      <c r="I270" s="41">
        <f t="shared" si="35"/>
        <v>63000</v>
      </c>
      <c r="J270" s="41">
        <f t="shared" si="35"/>
        <v>0</v>
      </c>
      <c r="K270" s="41">
        <f t="shared" si="35"/>
        <v>-63000</v>
      </c>
      <c r="L270" s="41">
        <f t="shared" si="35"/>
        <v>0</v>
      </c>
      <c r="M270" s="41">
        <f t="shared" si="35"/>
        <v>0</v>
      </c>
      <c r="N270" s="41">
        <f t="shared" si="35"/>
        <v>0</v>
      </c>
      <c r="O270" s="13" t="s">
        <v>251</v>
      </c>
      <c r="P270" s="215" t="str">
        <f t="shared" si="34"/>
        <v>D4X</v>
      </c>
      <c r="Q270" s="172"/>
      <c r="R270" s="172"/>
      <c r="S270" s="172"/>
      <c r="T270" s="172"/>
      <c r="U270" s="173"/>
    </row>
    <row r="271" spans="1:21" ht="16.95" customHeight="1" x14ac:dyDescent="0.3">
      <c r="A271" s="41">
        <f t="shared" si="27"/>
        <v>0</v>
      </c>
      <c r="C271" s="9">
        <f t="shared" ref="C271:N271" si="36">B226</f>
        <v>0</v>
      </c>
      <c r="D271" s="9">
        <f t="shared" si="36"/>
        <v>-100800</v>
      </c>
      <c r="E271" s="41">
        <f t="shared" si="36"/>
        <v>0</v>
      </c>
      <c r="F271" s="9">
        <f t="shared" si="36"/>
        <v>0</v>
      </c>
      <c r="G271" s="41">
        <f t="shared" si="36"/>
        <v>0</v>
      </c>
      <c r="H271" s="9">
        <f t="shared" si="36"/>
        <v>0</v>
      </c>
      <c r="I271" s="41">
        <f t="shared" si="36"/>
        <v>0</v>
      </c>
      <c r="J271" s="41">
        <f t="shared" si="36"/>
        <v>100800</v>
      </c>
      <c r="K271" s="41">
        <f t="shared" si="36"/>
        <v>0</v>
      </c>
      <c r="L271" s="41">
        <f t="shared" si="36"/>
        <v>0</v>
      </c>
      <c r="M271" s="41">
        <f t="shared" si="36"/>
        <v>0</v>
      </c>
      <c r="N271" s="41">
        <f t="shared" si="36"/>
        <v>0</v>
      </c>
      <c r="O271" s="13" t="s">
        <v>251</v>
      </c>
      <c r="P271" s="215" t="str">
        <f t="shared" si="34"/>
        <v>D4Y</v>
      </c>
      <c r="Q271" s="172"/>
      <c r="R271" s="172"/>
      <c r="S271" s="172"/>
      <c r="T271" s="172"/>
      <c r="U271" s="173"/>
    </row>
    <row r="272" spans="1:21" ht="16.95" customHeight="1" x14ac:dyDescent="0.3">
      <c r="A272" s="41">
        <f t="shared" si="27"/>
        <v>0</v>
      </c>
      <c r="C272" s="9">
        <f t="shared" ref="C272:N272" si="37">B227</f>
        <v>-38417.181592679946</v>
      </c>
      <c r="D272" s="9">
        <f t="shared" si="37"/>
        <v>-24010.738495424968</v>
      </c>
      <c r="E272" s="41">
        <f t="shared" si="37"/>
        <v>0</v>
      </c>
      <c r="F272" s="9">
        <f t="shared" si="37"/>
        <v>0</v>
      </c>
      <c r="G272" s="41">
        <f t="shared" si="37"/>
        <v>0</v>
      </c>
      <c r="H272" s="9">
        <f t="shared" si="37"/>
        <v>0</v>
      </c>
      <c r="I272" s="41">
        <f t="shared" si="37"/>
        <v>-63000</v>
      </c>
      <c r="J272" s="41">
        <f t="shared" si="37"/>
        <v>0</v>
      </c>
      <c r="K272" s="41">
        <f t="shared" si="37"/>
        <v>164417.18159267993</v>
      </c>
      <c r="L272" s="41">
        <f t="shared" si="37"/>
        <v>24010.738495424968</v>
      </c>
      <c r="M272" s="41">
        <f t="shared" si="37"/>
        <v>-63000</v>
      </c>
      <c r="N272" s="41">
        <f t="shared" si="37"/>
        <v>0</v>
      </c>
      <c r="O272" s="13" t="s">
        <v>251</v>
      </c>
      <c r="P272" s="215" t="str">
        <f t="shared" si="34"/>
        <v>D5X</v>
      </c>
      <c r="Q272" s="172"/>
      <c r="R272" s="172"/>
      <c r="S272" s="172"/>
      <c r="T272" s="172"/>
      <c r="U272" s="173"/>
    </row>
    <row r="273" spans="1:21" ht="16.95" customHeight="1" x14ac:dyDescent="0.3">
      <c r="A273" s="41">
        <f t="shared" si="27"/>
        <v>-7500</v>
      </c>
      <c r="C273" s="9">
        <f t="shared" ref="C273:N273" si="38">B228</f>
        <v>-24010.738495424968</v>
      </c>
      <c r="D273" s="9">
        <f t="shared" si="38"/>
        <v>-15006.711559640607</v>
      </c>
      <c r="E273" s="41">
        <f t="shared" si="38"/>
        <v>0</v>
      </c>
      <c r="F273" s="9">
        <f t="shared" si="38"/>
        <v>-100800</v>
      </c>
      <c r="G273" s="41">
        <f t="shared" si="38"/>
        <v>0</v>
      </c>
      <c r="H273" s="9">
        <f t="shared" si="38"/>
        <v>0</v>
      </c>
      <c r="I273" s="41">
        <f t="shared" si="38"/>
        <v>0</v>
      </c>
      <c r="J273" s="41">
        <f t="shared" si="38"/>
        <v>0</v>
      </c>
      <c r="K273" s="41">
        <f t="shared" si="38"/>
        <v>24010.738495424968</v>
      </c>
      <c r="L273" s="41">
        <f t="shared" si="38"/>
        <v>115806.71155964061</v>
      </c>
      <c r="M273" s="41">
        <f t="shared" si="38"/>
        <v>0</v>
      </c>
      <c r="N273" s="41">
        <f t="shared" si="38"/>
        <v>0</v>
      </c>
      <c r="O273" s="13" t="s">
        <v>251</v>
      </c>
      <c r="P273" s="215" t="str">
        <f t="shared" si="34"/>
        <v>D5Y</v>
      </c>
      <c r="Q273" s="172"/>
      <c r="R273" s="172"/>
      <c r="S273" s="172"/>
      <c r="T273" s="172"/>
      <c r="U273" s="173"/>
    </row>
    <row r="274" spans="1:21" ht="16.95" customHeight="1" x14ac:dyDescent="0.3">
      <c r="A274" s="41">
        <f t="shared" si="27"/>
        <v>0</v>
      </c>
      <c r="C274" s="9">
        <f t="shared" ref="C274:N274" si="39">B229</f>
        <v>0</v>
      </c>
      <c r="D274" s="9">
        <f t="shared" si="39"/>
        <v>0</v>
      </c>
      <c r="E274" s="41">
        <f t="shared" si="39"/>
        <v>-38417.181592679946</v>
      </c>
      <c r="F274" s="9">
        <f t="shared" si="39"/>
        <v>-24010.738495424968</v>
      </c>
      <c r="G274" s="41">
        <f t="shared" si="39"/>
        <v>0</v>
      </c>
      <c r="H274" s="9">
        <f t="shared" si="39"/>
        <v>0</v>
      </c>
      <c r="I274" s="41">
        <f t="shared" si="39"/>
        <v>0</v>
      </c>
      <c r="J274" s="41">
        <f t="shared" si="39"/>
        <v>0</v>
      </c>
      <c r="K274" s="41">
        <f t="shared" si="39"/>
        <v>-63000</v>
      </c>
      <c r="L274" s="41">
        <f t="shared" si="39"/>
        <v>0</v>
      </c>
      <c r="M274" s="41">
        <f t="shared" si="39"/>
        <v>101417.18159267995</v>
      </c>
      <c r="N274" s="41">
        <f t="shared" si="39"/>
        <v>24010.738495424968</v>
      </c>
      <c r="O274" s="13" t="s">
        <v>251</v>
      </c>
      <c r="P274" s="215" t="str">
        <f t="shared" si="34"/>
        <v>D6X</v>
      </c>
      <c r="Q274" s="172"/>
      <c r="R274" s="172"/>
      <c r="S274" s="172"/>
      <c r="T274" s="172"/>
      <c r="U274" s="173"/>
    </row>
    <row r="275" spans="1:21" ht="16.95" customHeight="1" x14ac:dyDescent="0.3">
      <c r="A275" s="41">
        <f t="shared" si="27"/>
        <v>0</v>
      </c>
      <c r="C275" s="9">
        <f t="shared" ref="C275:N275" si="40">B230</f>
        <v>0</v>
      </c>
      <c r="D275" s="9">
        <f t="shared" si="40"/>
        <v>0</v>
      </c>
      <c r="E275" s="41">
        <f t="shared" si="40"/>
        <v>-24010.738495424968</v>
      </c>
      <c r="F275" s="9">
        <f t="shared" si="40"/>
        <v>-15006.711559640607</v>
      </c>
      <c r="G275" s="41">
        <f t="shared" si="40"/>
        <v>0</v>
      </c>
      <c r="H275" s="9">
        <f t="shared" si="40"/>
        <v>-100800</v>
      </c>
      <c r="I275" s="41">
        <f t="shared" si="40"/>
        <v>0</v>
      </c>
      <c r="J275" s="41">
        <f t="shared" si="40"/>
        <v>0</v>
      </c>
      <c r="K275" s="41">
        <f t="shared" si="40"/>
        <v>0</v>
      </c>
      <c r="L275" s="41">
        <f t="shared" si="40"/>
        <v>0</v>
      </c>
      <c r="M275" s="41">
        <f t="shared" si="40"/>
        <v>24010.738495424968</v>
      </c>
      <c r="N275" s="41">
        <f t="shared" si="40"/>
        <v>115806.71155964061</v>
      </c>
      <c r="O275" s="13" t="s">
        <v>251</v>
      </c>
      <c r="P275" s="215" t="str">
        <f t="shared" si="34"/>
        <v>D6Y</v>
      </c>
      <c r="Q275" s="172"/>
      <c r="R275" s="172"/>
      <c r="S275" s="172"/>
      <c r="T275" s="172"/>
      <c r="U275" s="173"/>
    </row>
    <row r="278" spans="1:21" ht="19.95" customHeight="1" x14ac:dyDescent="0.35">
      <c r="A278" s="15" t="s">
        <v>257</v>
      </c>
      <c r="P278" s="216" t="s">
        <v>258</v>
      </c>
      <c r="Q278" s="172"/>
      <c r="R278" s="172"/>
      <c r="S278" s="172"/>
      <c r="T278" s="172"/>
      <c r="U278" s="173"/>
    </row>
    <row r="279" spans="1:21" ht="16.95" customHeight="1" x14ac:dyDescent="0.3">
      <c r="C279" s="38" t="str">
        <f>INDEX(C$248:C$259, MATCH(1, F$248:F$259, 0))</f>
        <v>U2X</v>
      </c>
      <c r="D279" s="38" t="str">
        <f>INDEX(C$248:C$259, MATCH(2, F$248:F$259, 0))</f>
        <v>U3X</v>
      </c>
      <c r="E279" s="38" t="str">
        <f>INDEX(C$248:C$259, MATCH(3, F$248:F$259, 0))</f>
        <v>U4X</v>
      </c>
      <c r="F279" s="38" t="str">
        <f>INDEX(C$248:C$259, MATCH(4, F$248:F$259, 0))</f>
        <v>U4Y</v>
      </c>
      <c r="G279" s="38" t="str">
        <f>INDEX(C$248:C$259, MATCH(5, F$248:F$259, 0))</f>
        <v>U5X</v>
      </c>
      <c r="H279" s="38" t="str">
        <f>INDEX(C$248:C$259, MATCH(6, F$248:F$259, 0))</f>
        <v>U5Y</v>
      </c>
      <c r="I279" s="38" t="str">
        <f>INDEX(C$248:C$259, MATCH(7, F$248:F$259, 0))</f>
        <v>U6X</v>
      </c>
      <c r="J279" s="38" t="str">
        <f>INDEX(C$248:C$259, MATCH(8, F$248:F$259, 0))</f>
        <v>U6Y</v>
      </c>
      <c r="P279" s="215" t="s">
        <v>383</v>
      </c>
      <c r="Q279" s="172"/>
      <c r="R279" s="172"/>
      <c r="S279" s="172"/>
      <c r="T279" s="172"/>
      <c r="U279" s="173"/>
    </row>
    <row r="280" spans="1:21" ht="16.95" customHeight="1" x14ac:dyDescent="0.3">
      <c r="A280" s="41">
        <f t="shared" ref="A280:A287" si="41">INDEX(E$234:E$245, MATCH(M280, C$234:C$245, 0))</f>
        <v>0</v>
      </c>
      <c r="C280" s="41">
        <f t="shared" ref="C280:J287" si="42">INDEX($B$219:$M$230, MATCH($M280, $N$219:$N$230, 0), MATCH(C$279, $B$218:$M$218, 0))</f>
        <v>164417.18159267993</v>
      </c>
      <c r="D280" s="41">
        <f t="shared" si="42"/>
        <v>-63000</v>
      </c>
      <c r="E280" s="41">
        <f t="shared" si="42"/>
        <v>0</v>
      </c>
      <c r="F280" s="41">
        <f t="shared" si="42"/>
        <v>0</v>
      </c>
      <c r="G280" s="41">
        <f t="shared" si="42"/>
        <v>0</v>
      </c>
      <c r="H280" s="41">
        <f t="shared" si="42"/>
        <v>0</v>
      </c>
      <c r="I280" s="41">
        <f t="shared" si="42"/>
        <v>-38417.181592679946</v>
      </c>
      <c r="J280" s="41">
        <f t="shared" si="42"/>
        <v>-24010.738495424968</v>
      </c>
      <c r="K280" s="13" t="s">
        <v>251</v>
      </c>
      <c r="L280" s="38" t="str">
        <f>INDEX(B$248:B$259, MATCH(1, F$248:F$259, 0))</f>
        <v>D2X</v>
      </c>
      <c r="M280" s="14" t="str">
        <f>INDEX(C$248:C$259, MATCH(1, F$248:F$259, 0))</f>
        <v>U2X</v>
      </c>
      <c r="P280" s="215" t="s">
        <v>384</v>
      </c>
      <c r="Q280" s="172"/>
      <c r="R280" s="172"/>
      <c r="S280" s="172"/>
      <c r="T280" s="172"/>
      <c r="U280" s="173"/>
    </row>
    <row r="281" spans="1:21" ht="16.95" customHeight="1" x14ac:dyDescent="0.3">
      <c r="A281" s="41">
        <f t="shared" si="41"/>
        <v>0</v>
      </c>
      <c r="C281" s="41">
        <f t="shared" si="42"/>
        <v>-63000</v>
      </c>
      <c r="D281" s="41">
        <f t="shared" si="42"/>
        <v>63000</v>
      </c>
      <c r="E281" s="41">
        <f t="shared" si="42"/>
        <v>0</v>
      </c>
      <c r="F281" s="41">
        <f t="shared" si="42"/>
        <v>0</v>
      </c>
      <c r="G281" s="41">
        <f t="shared" si="42"/>
        <v>0</v>
      </c>
      <c r="H281" s="41">
        <f t="shared" si="42"/>
        <v>0</v>
      </c>
      <c r="I281" s="41">
        <f t="shared" si="42"/>
        <v>0</v>
      </c>
      <c r="J281" s="41">
        <f t="shared" si="42"/>
        <v>0</v>
      </c>
      <c r="K281" s="13" t="s">
        <v>251</v>
      </c>
      <c r="L281" s="38" t="str">
        <f>INDEX(B$248:B$259, MATCH(2, F$248:F$259, 0))</f>
        <v>D3X</v>
      </c>
      <c r="M281" s="14" t="str">
        <f>INDEX(C$248:C$259, MATCH(2, F$248:F$259, 0))</f>
        <v>U3X</v>
      </c>
      <c r="P281" s="215" t="s">
        <v>385</v>
      </c>
      <c r="Q281" s="172"/>
      <c r="R281" s="172"/>
      <c r="S281" s="172"/>
      <c r="T281" s="172"/>
      <c r="U281" s="173"/>
    </row>
    <row r="282" spans="1:21" ht="16.95" customHeight="1" x14ac:dyDescent="0.3">
      <c r="A282" s="41">
        <f t="shared" si="41"/>
        <v>0</v>
      </c>
      <c r="C282" s="41">
        <f t="shared" si="42"/>
        <v>0</v>
      </c>
      <c r="D282" s="41">
        <f t="shared" si="42"/>
        <v>0</v>
      </c>
      <c r="E282" s="41">
        <f t="shared" si="42"/>
        <v>63000</v>
      </c>
      <c r="F282" s="41">
        <f t="shared" si="42"/>
        <v>0</v>
      </c>
      <c r="G282" s="41">
        <f t="shared" si="42"/>
        <v>-63000</v>
      </c>
      <c r="H282" s="41">
        <f t="shared" si="42"/>
        <v>0</v>
      </c>
      <c r="I282" s="41">
        <f t="shared" si="42"/>
        <v>0</v>
      </c>
      <c r="J282" s="41">
        <f t="shared" si="42"/>
        <v>0</v>
      </c>
      <c r="K282" s="13" t="s">
        <v>251</v>
      </c>
      <c r="L282" s="38" t="str">
        <f>INDEX(B$248:B$259, MATCH(3, F$248:F$259, 0))</f>
        <v>D4X</v>
      </c>
      <c r="M282" s="14" t="str">
        <f>INDEX(C$248:C$259, MATCH(3, F$248:F$259, 0))</f>
        <v>U4X</v>
      </c>
      <c r="P282" s="215" t="s">
        <v>386</v>
      </c>
      <c r="Q282" s="172"/>
      <c r="R282" s="172"/>
      <c r="S282" s="172"/>
      <c r="T282" s="172"/>
      <c r="U282" s="173"/>
    </row>
    <row r="283" spans="1:21" ht="16.95" customHeight="1" x14ac:dyDescent="0.3">
      <c r="A283" s="41">
        <f t="shared" si="41"/>
        <v>0</v>
      </c>
      <c r="C283" s="41">
        <f t="shared" si="42"/>
        <v>0</v>
      </c>
      <c r="D283" s="41">
        <f t="shared" si="42"/>
        <v>0</v>
      </c>
      <c r="E283" s="41">
        <f t="shared" si="42"/>
        <v>0</v>
      </c>
      <c r="F283" s="41">
        <f t="shared" si="42"/>
        <v>100800</v>
      </c>
      <c r="G283" s="41">
        <f t="shared" si="42"/>
        <v>0</v>
      </c>
      <c r="H283" s="41">
        <f t="shared" si="42"/>
        <v>0</v>
      </c>
      <c r="I283" s="41">
        <f t="shared" si="42"/>
        <v>0</v>
      </c>
      <c r="J283" s="41">
        <f t="shared" si="42"/>
        <v>0</v>
      </c>
      <c r="K283" s="13" t="s">
        <v>251</v>
      </c>
      <c r="L283" s="38" t="str">
        <f>INDEX(B$248:B$259, MATCH(4, F$248:F$259, 0))</f>
        <v>D4Y</v>
      </c>
      <c r="M283" s="14" t="str">
        <f>INDEX(C$248:C$259, MATCH(4, F$248:F$259, 0))</f>
        <v>U4Y</v>
      </c>
      <c r="P283" s="215" t="s">
        <v>387</v>
      </c>
      <c r="Q283" s="172"/>
      <c r="R283" s="172"/>
      <c r="S283" s="172"/>
      <c r="T283" s="172"/>
      <c r="U283" s="173"/>
    </row>
    <row r="284" spans="1:21" ht="16.95" customHeight="1" x14ac:dyDescent="0.3">
      <c r="A284" s="41">
        <f t="shared" si="41"/>
        <v>0</v>
      </c>
      <c r="B284" s="13" t="s">
        <v>220</v>
      </c>
      <c r="C284" s="41">
        <f t="shared" si="42"/>
        <v>0</v>
      </c>
      <c r="D284" s="41">
        <f t="shared" si="42"/>
        <v>0</v>
      </c>
      <c r="E284" s="41">
        <f t="shared" si="42"/>
        <v>-63000</v>
      </c>
      <c r="F284" s="41">
        <f t="shared" si="42"/>
        <v>0</v>
      </c>
      <c r="G284" s="41">
        <f t="shared" si="42"/>
        <v>164417.18159267993</v>
      </c>
      <c r="H284" s="41">
        <f t="shared" si="42"/>
        <v>24010.738495424968</v>
      </c>
      <c r="I284" s="41">
        <f t="shared" si="42"/>
        <v>-63000</v>
      </c>
      <c r="J284" s="41">
        <f t="shared" si="42"/>
        <v>0</v>
      </c>
      <c r="K284" s="13" t="s">
        <v>251</v>
      </c>
      <c r="L284" s="38" t="str">
        <f>INDEX(B$248:B$259, MATCH(5, F$248:F$259, 0))</f>
        <v>D5X</v>
      </c>
      <c r="M284" s="14" t="str">
        <f>INDEX(C$248:C$259, MATCH(5, F$248:F$259, 0))</f>
        <v>U5X</v>
      </c>
      <c r="P284" s="215" t="s">
        <v>388</v>
      </c>
      <c r="Q284" s="172"/>
      <c r="R284" s="172"/>
      <c r="S284" s="172"/>
      <c r="T284" s="172"/>
      <c r="U284" s="173"/>
    </row>
    <row r="285" spans="1:21" ht="16.95" customHeight="1" x14ac:dyDescent="0.3">
      <c r="A285" s="41">
        <f t="shared" si="41"/>
        <v>-7500</v>
      </c>
      <c r="C285" s="41">
        <f t="shared" si="42"/>
        <v>0</v>
      </c>
      <c r="D285" s="41">
        <f t="shared" si="42"/>
        <v>0</v>
      </c>
      <c r="E285" s="41">
        <f t="shared" si="42"/>
        <v>0</v>
      </c>
      <c r="F285" s="41">
        <f t="shared" si="42"/>
        <v>0</v>
      </c>
      <c r="G285" s="41">
        <f t="shared" si="42"/>
        <v>24010.738495424968</v>
      </c>
      <c r="H285" s="41">
        <f t="shared" si="42"/>
        <v>115806.71155964061</v>
      </c>
      <c r="I285" s="41">
        <f t="shared" si="42"/>
        <v>0</v>
      </c>
      <c r="J285" s="41">
        <f t="shared" si="42"/>
        <v>0</v>
      </c>
      <c r="K285" s="13" t="s">
        <v>251</v>
      </c>
      <c r="L285" s="38" t="str">
        <f>INDEX(B$248:B$259, MATCH(6, F$248:F$259, 0))</f>
        <v>D5Y</v>
      </c>
      <c r="M285" s="14" t="str">
        <f>INDEX(C$248:C$259, MATCH(6, F$248:F$259, 0))</f>
        <v>U5Y</v>
      </c>
      <c r="P285" s="215"/>
      <c r="Q285" s="172"/>
      <c r="R285" s="172"/>
      <c r="S285" s="172"/>
      <c r="T285" s="172"/>
      <c r="U285" s="173"/>
    </row>
    <row r="286" spans="1:21" ht="16.95" customHeight="1" x14ac:dyDescent="0.3">
      <c r="A286" s="41">
        <f t="shared" si="41"/>
        <v>0</v>
      </c>
      <c r="C286" s="41">
        <f t="shared" si="42"/>
        <v>-38417.181592679946</v>
      </c>
      <c r="D286" s="41">
        <f t="shared" si="42"/>
        <v>0</v>
      </c>
      <c r="E286" s="41">
        <f t="shared" si="42"/>
        <v>0</v>
      </c>
      <c r="F286" s="41">
        <f t="shared" si="42"/>
        <v>0</v>
      </c>
      <c r="G286" s="41">
        <f t="shared" si="42"/>
        <v>-63000</v>
      </c>
      <c r="H286" s="41">
        <f t="shared" si="42"/>
        <v>0</v>
      </c>
      <c r="I286" s="41">
        <f t="shared" si="42"/>
        <v>101417.18159267995</v>
      </c>
      <c r="J286" s="41">
        <f t="shared" si="42"/>
        <v>24010.738495424968</v>
      </c>
      <c r="K286" s="13" t="s">
        <v>251</v>
      </c>
      <c r="L286" s="38" t="str">
        <f>INDEX(B$248:B$259, MATCH(7, F$248:F$259, 0))</f>
        <v>D6X</v>
      </c>
      <c r="M286" s="14" t="str">
        <f>INDEX(C$248:C$259, MATCH(7, F$248:F$259, 0))</f>
        <v>U6X</v>
      </c>
      <c r="P286" s="215"/>
      <c r="Q286" s="172"/>
      <c r="R286" s="172"/>
      <c r="S286" s="172"/>
      <c r="T286" s="172"/>
      <c r="U286" s="173"/>
    </row>
    <row r="287" spans="1:21" ht="16.95" customHeight="1" x14ac:dyDescent="0.3">
      <c r="A287" s="41">
        <f t="shared" si="41"/>
        <v>0</v>
      </c>
      <c r="C287" s="41">
        <f t="shared" si="42"/>
        <v>-24010.738495424968</v>
      </c>
      <c r="D287" s="41">
        <f t="shared" si="42"/>
        <v>0</v>
      </c>
      <c r="E287" s="41">
        <f t="shared" si="42"/>
        <v>0</v>
      </c>
      <c r="F287" s="41">
        <f t="shared" si="42"/>
        <v>0</v>
      </c>
      <c r="G287" s="41">
        <f t="shared" si="42"/>
        <v>0</v>
      </c>
      <c r="H287" s="41">
        <f t="shared" si="42"/>
        <v>0</v>
      </c>
      <c r="I287" s="41">
        <f t="shared" si="42"/>
        <v>24010.738495424968</v>
      </c>
      <c r="J287" s="41">
        <f t="shared" si="42"/>
        <v>115806.71155964061</v>
      </c>
      <c r="K287" s="13" t="s">
        <v>251</v>
      </c>
      <c r="L287" s="38" t="str">
        <f>INDEX(B$248:B$259, MATCH(8, F$248:F$259, 0))</f>
        <v>D6Y</v>
      </c>
      <c r="M287" s="14" t="str">
        <f>INDEX(C$248:C$259, MATCH(8, F$248:F$259, 0))</f>
        <v>U6Y</v>
      </c>
      <c r="P287" s="215"/>
      <c r="Q287" s="172"/>
      <c r="R287" s="172"/>
      <c r="S287" s="172"/>
      <c r="T287" s="172"/>
      <c r="U287" s="173"/>
    </row>
    <row r="288" spans="1:21" ht="16.95" customHeight="1" x14ac:dyDescent="0.3">
      <c r="P288" s="215"/>
      <c r="Q288" s="172"/>
      <c r="R288" s="172"/>
      <c r="S288" s="172"/>
      <c r="T288" s="172"/>
      <c r="U288" s="173"/>
    </row>
    <row r="289" spans="1:21" ht="16.95" customHeight="1" x14ac:dyDescent="0.3">
      <c r="C289" s="218" t="s">
        <v>263</v>
      </c>
      <c r="D289" s="172"/>
      <c r="E289" s="172"/>
      <c r="F289" s="172"/>
      <c r="G289" s="172"/>
      <c r="H289" s="172"/>
      <c r="I289" s="172"/>
      <c r="J289" s="173"/>
      <c r="P289" s="215"/>
      <c r="Q289" s="172"/>
      <c r="R289" s="172"/>
      <c r="S289" s="172"/>
      <c r="T289" s="172"/>
      <c r="U289" s="173"/>
    </row>
    <row r="290" spans="1:21" ht="16.95" customHeight="1" x14ac:dyDescent="0.3">
      <c r="A290" s="99" t="s">
        <v>249</v>
      </c>
      <c r="C290" s="193" t="s">
        <v>264</v>
      </c>
      <c r="D290" s="175"/>
      <c r="E290" s="175"/>
      <c r="F290" s="175"/>
      <c r="G290" s="175"/>
      <c r="H290" s="175"/>
      <c r="I290" s="175"/>
      <c r="J290" s="175"/>
      <c r="L290" s="99" t="s">
        <v>247</v>
      </c>
      <c r="P290" s="215"/>
      <c r="Q290" s="172"/>
      <c r="R290" s="172"/>
      <c r="S290" s="172"/>
      <c r="T290" s="172"/>
      <c r="U290" s="173"/>
    </row>
    <row r="291" spans="1:21" ht="16.95" customHeight="1" x14ac:dyDescent="0.3">
      <c r="A291" s="12" t="str">
        <f t="shared" ref="A291:A298" si="43">L280</f>
        <v>D2X</v>
      </c>
      <c r="C291" s="93">
        <f t="array" ref="C291:J298">MINVERSE(C280:J287)</f>
        <v>1.3121136463756384E-5</v>
      </c>
      <c r="D291" s="93">
        <v>1.3121136463756385E-5</v>
      </c>
      <c r="E291" s="93">
        <v>5.1846285272484484E-6</v>
      </c>
      <c r="F291" s="93">
        <v>0</v>
      </c>
      <c r="G291" s="93">
        <v>5.1846285272484484E-6</v>
      </c>
      <c r="H291" s="93">
        <v>-1.0749528942419885E-6</v>
      </c>
      <c r="I291" s="93">
        <v>7.9365079365079379E-6</v>
      </c>
      <c r="J291" s="93">
        <v>1.0749528942419879E-6</v>
      </c>
      <c r="L291" s="17">
        <f t="shared" ref="L291:L298" si="44">A280</f>
        <v>0</v>
      </c>
      <c r="P291" s="215"/>
      <c r="Q291" s="172"/>
      <c r="R291" s="172"/>
      <c r="S291" s="172"/>
      <c r="T291" s="172"/>
      <c r="U291" s="173"/>
    </row>
    <row r="292" spans="1:21" ht="16.95" customHeight="1" x14ac:dyDescent="0.3">
      <c r="A292" s="12" t="str">
        <f t="shared" si="43"/>
        <v>D3X</v>
      </c>
      <c r="C292" s="93">
        <v>1.3121136463756384E-5</v>
      </c>
      <c r="D292" s="93">
        <v>2.8994152336772259E-5</v>
      </c>
      <c r="E292" s="93">
        <v>5.1846285272484484E-6</v>
      </c>
      <c r="F292" s="93">
        <v>0</v>
      </c>
      <c r="G292" s="93">
        <v>5.1846285272484484E-6</v>
      </c>
      <c r="H292" s="93">
        <v>-1.0749528942419885E-6</v>
      </c>
      <c r="I292" s="93">
        <v>7.9365079365079362E-6</v>
      </c>
      <c r="J292" s="93">
        <v>1.0749528942419879E-6</v>
      </c>
      <c r="L292" s="17">
        <f t="shared" si="44"/>
        <v>0</v>
      </c>
      <c r="P292" s="215"/>
      <c r="Q292" s="172"/>
      <c r="R292" s="172"/>
      <c r="S292" s="172"/>
      <c r="T292" s="172"/>
      <c r="U292" s="173"/>
    </row>
    <row r="293" spans="1:21" ht="16.95" customHeight="1" x14ac:dyDescent="0.3">
      <c r="A293" s="12" t="str">
        <f t="shared" si="43"/>
        <v>D4X</v>
      </c>
      <c r="C293" s="93">
        <v>5.1846285272484484E-6</v>
      </c>
      <c r="D293" s="93">
        <v>5.1846285272484484E-6</v>
      </c>
      <c r="E293" s="93">
        <v>3.6010278340508583E-5</v>
      </c>
      <c r="F293" s="93">
        <v>0</v>
      </c>
      <c r="G293" s="93">
        <v>2.013726246749271E-5</v>
      </c>
      <c r="H293" s="93">
        <v>-4.1751513069404018E-6</v>
      </c>
      <c r="I293" s="93">
        <v>1.4952633940244261E-5</v>
      </c>
      <c r="J293" s="93">
        <v>-2.0252455184564261E-6</v>
      </c>
      <c r="L293" s="17">
        <f t="shared" si="44"/>
        <v>0</v>
      </c>
      <c r="P293" s="215"/>
      <c r="Q293" s="172"/>
      <c r="R293" s="172"/>
      <c r="S293" s="172"/>
      <c r="T293" s="172"/>
      <c r="U293" s="173"/>
    </row>
    <row r="294" spans="1:21" ht="16.95" customHeight="1" x14ac:dyDescent="0.3">
      <c r="A294" s="12" t="str">
        <f t="shared" si="43"/>
        <v>D4Y</v>
      </c>
      <c r="C294" s="93">
        <v>0</v>
      </c>
      <c r="D294" s="93">
        <v>0</v>
      </c>
      <c r="E294" s="93">
        <v>0</v>
      </c>
      <c r="F294" s="93">
        <v>9.9206349206349206E-6</v>
      </c>
      <c r="G294" s="93">
        <v>0</v>
      </c>
      <c r="H294" s="93">
        <v>0</v>
      </c>
      <c r="I294" s="93">
        <v>0</v>
      </c>
      <c r="J294" s="93">
        <v>0</v>
      </c>
      <c r="L294" s="17">
        <f t="shared" si="44"/>
        <v>0</v>
      </c>
      <c r="P294" s="215"/>
      <c r="Q294" s="172"/>
      <c r="R294" s="172"/>
      <c r="S294" s="172"/>
      <c r="T294" s="172"/>
      <c r="U294" s="173"/>
    </row>
    <row r="295" spans="1:21" ht="16.95" customHeight="1" x14ac:dyDescent="0.3">
      <c r="A295" s="12" t="str">
        <f t="shared" si="43"/>
        <v>D5X</v>
      </c>
      <c r="B295" s="13" t="s">
        <v>220</v>
      </c>
      <c r="C295" s="93">
        <v>5.1846285272484484E-6</v>
      </c>
      <c r="D295" s="93">
        <v>5.1846285272484484E-6</v>
      </c>
      <c r="E295" s="93">
        <v>2.013726246749271E-5</v>
      </c>
      <c r="F295" s="93">
        <v>0</v>
      </c>
      <c r="G295" s="93">
        <v>2.013726246749271E-5</v>
      </c>
      <c r="H295" s="93">
        <v>-4.1751513069404018E-6</v>
      </c>
      <c r="I295" s="93">
        <v>1.4952633940244261E-5</v>
      </c>
      <c r="J295" s="93">
        <v>-2.0252455184564261E-6</v>
      </c>
      <c r="L295" s="17">
        <f t="shared" si="44"/>
        <v>0</v>
      </c>
      <c r="P295" s="215"/>
      <c r="Q295" s="172"/>
      <c r="R295" s="172"/>
      <c r="S295" s="172"/>
      <c r="T295" s="172"/>
      <c r="U295" s="173"/>
    </row>
    <row r="296" spans="1:21" ht="16.95" customHeight="1" x14ac:dyDescent="0.3">
      <c r="A296" s="12" t="str">
        <f t="shared" si="43"/>
        <v>D5Y</v>
      </c>
      <c r="C296" s="93">
        <v>-1.0749528942419881E-6</v>
      </c>
      <c r="D296" s="93">
        <v>-1.0749528942419881E-6</v>
      </c>
      <c r="E296" s="93">
        <v>-4.1751513069404018E-6</v>
      </c>
      <c r="F296" s="93">
        <v>0</v>
      </c>
      <c r="G296" s="93">
        <v>-4.1751513069404018E-6</v>
      </c>
      <c r="H296" s="93">
        <v>9.5007314463216433E-6</v>
      </c>
      <c r="I296" s="93">
        <v>-3.1001984126984131E-6</v>
      </c>
      <c r="J296" s="93">
        <v>4.1990347431327677E-7</v>
      </c>
      <c r="L296" s="17">
        <f t="shared" si="44"/>
        <v>-7500</v>
      </c>
      <c r="P296" s="215"/>
      <c r="Q296" s="172"/>
      <c r="R296" s="172"/>
      <c r="S296" s="172"/>
      <c r="T296" s="172"/>
      <c r="U296" s="173"/>
    </row>
    <row r="297" spans="1:21" ht="16.95" customHeight="1" x14ac:dyDescent="0.3">
      <c r="A297" s="12" t="str">
        <f t="shared" si="43"/>
        <v>D6X</v>
      </c>
      <c r="C297" s="93">
        <v>7.9365079365079362E-6</v>
      </c>
      <c r="D297" s="93">
        <v>7.9365079365079362E-6</v>
      </c>
      <c r="E297" s="93">
        <v>1.4952633940244261E-5</v>
      </c>
      <c r="F297" s="93">
        <v>0</v>
      </c>
      <c r="G297" s="93">
        <v>1.4952633940244261E-5</v>
      </c>
      <c r="H297" s="93">
        <v>-3.100198412698414E-6</v>
      </c>
      <c r="I297" s="93">
        <v>2.2889141876752196E-5</v>
      </c>
      <c r="J297" s="93">
        <v>-3.100198412698414E-6</v>
      </c>
      <c r="L297" s="17">
        <f t="shared" si="44"/>
        <v>0</v>
      </c>
      <c r="P297" s="215"/>
      <c r="Q297" s="172"/>
      <c r="R297" s="172"/>
      <c r="S297" s="172"/>
      <c r="T297" s="172"/>
      <c r="U297" s="173"/>
    </row>
    <row r="298" spans="1:21" ht="16.95" customHeight="1" x14ac:dyDescent="0.3">
      <c r="A298" s="12" t="str">
        <f t="shared" si="43"/>
        <v>D6Y</v>
      </c>
      <c r="C298" s="93">
        <v>1.0749528942419881E-6</v>
      </c>
      <c r="D298" s="93">
        <v>1.0749528942419881E-6</v>
      </c>
      <c r="E298" s="93">
        <v>-2.0252455184564257E-6</v>
      </c>
      <c r="F298" s="93">
        <v>0</v>
      </c>
      <c r="G298" s="93">
        <v>-2.0252455184564257E-6</v>
      </c>
      <c r="H298" s="93">
        <v>4.1990347431327683E-7</v>
      </c>
      <c r="I298" s="93">
        <v>-3.1001984126984135E-6</v>
      </c>
      <c r="J298" s="93">
        <v>9.500731446321645E-6</v>
      </c>
      <c r="L298" s="17">
        <f t="shared" si="44"/>
        <v>0</v>
      </c>
      <c r="P298" s="215"/>
      <c r="Q298" s="172"/>
      <c r="R298" s="172"/>
      <c r="S298" s="172"/>
      <c r="T298" s="172"/>
      <c r="U298" s="173"/>
    </row>
    <row r="299" spans="1:21" ht="16.95" customHeight="1" x14ac:dyDescent="0.3">
      <c r="P299" s="215"/>
      <c r="Q299" s="172"/>
      <c r="R299" s="172"/>
      <c r="S299" s="172"/>
      <c r="T299" s="172"/>
      <c r="U299" s="173"/>
    </row>
    <row r="300" spans="1:21" ht="16.95" customHeight="1" x14ac:dyDescent="0.3">
      <c r="C300" s="218" t="s">
        <v>265</v>
      </c>
      <c r="D300" s="173"/>
      <c r="P300" s="215"/>
      <c r="Q300" s="172"/>
      <c r="R300" s="172"/>
      <c r="S300" s="172"/>
      <c r="T300" s="172"/>
      <c r="U300" s="173"/>
    </row>
    <row r="301" spans="1:21" ht="16.95" customHeight="1" x14ac:dyDescent="0.3">
      <c r="A301" s="99" t="s">
        <v>249</v>
      </c>
      <c r="C301" s="99" t="s">
        <v>266</v>
      </c>
      <c r="P301" s="215"/>
      <c r="Q301" s="172"/>
      <c r="R301" s="172"/>
      <c r="S301" s="172"/>
      <c r="T301" s="172"/>
      <c r="U301" s="173"/>
    </row>
    <row r="302" spans="1:21" ht="16.95" customHeight="1" x14ac:dyDescent="0.3">
      <c r="A302" s="12" t="str">
        <f t="shared" ref="A302:A309" si="45">A291</f>
        <v>D2X</v>
      </c>
      <c r="C302" s="94">
        <f t="array" ref="C302:C309">MMULT(C291:J298, L291:L298)</f>
        <v>8.0621467068149131E-3</v>
      </c>
      <c r="D302" s="12" t="s">
        <v>267</v>
      </c>
      <c r="P302" s="215"/>
      <c r="Q302" s="172"/>
      <c r="R302" s="172"/>
      <c r="S302" s="172"/>
      <c r="T302" s="172"/>
      <c r="U302" s="173"/>
    </row>
    <row r="303" spans="1:21" ht="16.95" customHeight="1" x14ac:dyDescent="0.3">
      <c r="A303" s="12" t="str">
        <f t="shared" si="45"/>
        <v>D3X</v>
      </c>
      <c r="C303" s="94">
        <v>8.0621467068149131E-3</v>
      </c>
      <c r="D303" s="12" t="s">
        <v>267</v>
      </c>
      <c r="P303" s="215"/>
      <c r="Q303" s="172"/>
      <c r="R303" s="172"/>
      <c r="S303" s="172"/>
      <c r="T303" s="172"/>
      <c r="U303" s="173"/>
    </row>
    <row r="304" spans="1:21" ht="16.95" customHeight="1" x14ac:dyDescent="0.3">
      <c r="A304" s="12" t="str">
        <f t="shared" si="45"/>
        <v>D4X</v>
      </c>
      <c r="C304" s="94">
        <v>3.1313634802053014E-2</v>
      </c>
      <c r="D304" s="12" t="s">
        <v>267</v>
      </c>
      <c r="P304" s="215"/>
      <c r="Q304" s="172"/>
      <c r="R304" s="172"/>
      <c r="S304" s="172"/>
      <c r="T304" s="172"/>
      <c r="U304" s="173"/>
    </row>
    <row r="305" spans="1:21" ht="16.95" customHeight="1" x14ac:dyDescent="0.3">
      <c r="A305" s="12" t="str">
        <f t="shared" si="45"/>
        <v>D4Y</v>
      </c>
      <c r="C305" s="94">
        <v>0</v>
      </c>
      <c r="D305" s="12" t="s">
        <v>267</v>
      </c>
      <c r="P305" s="215"/>
      <c r="Q305" s="172"/>
      <c r="R305" s="172"/>
      <c r="S305" s="172"/>
      <c r="T305" s="172"/>
      <c r="U305" s="173"/>
    </row>
    <row r="306" spans="1:21" ht="16.95" customHeight="1" x14ac:dyDescent="0.3">
      <c r="A306" s="12" t="str">
        <f t="shared" si="45"/>
        <v>D5X</v>
      </c>
      <c r="B306" s="13" t="s">
        <v>220</v>
      </c>
      <c r="C306" s="94">
        <v>3.1313634802053014E-2</v>
      </c>
      <c r="D306" s="12" t="s">
        <v>267</v>
      </c>
      <c r="P306" s="215"/>
      <c r="Q306" s="172"/>
      <c r="R306" s="172"/>
      <c r="S306" s="172"/>
      <c r="T306" s="172"/>
      <c r="U306" s="173"/>
    </row>
    <row r="307" spans="1:21" ht="16.95" customHeight="1" x14ac:dyDescent="0.3">
      <c r="A307" s="12" t="str">
        <f t="shared" si="45"/>
        <v>D5Y</v>
      </c>
      <c r="C307" s="94">
        <v>-7.1255485847412328E-2</v>
      </c>
      <c r="D307" s="12" t="s">
        <v>267</v>
      </c>
      <c r="P307" s="215"/>
      <c r="Q307" s="172"/>
      <c r="R307" s="172"/>
      <c r="S307" s="172"/>
      <c r="T307" s="172"/>
      <c r="U307" s="173"/>
    </row>
    <row r="308" spans="1:21" ht="16.95" customHeight="1" x14ac:dyDescent="0.3">
      <c r="A308" s="12" t="str">
        <f t="shared" si="45"/>
        <v>D6X</v>
      </c>
      <c r="C308" s="94">
        <v>2.3251488095238106E-2</v>
      </c>
      <c r="D308" s="12" t="s">
        <v>267</v>
      </c>
      <c r="P308" s="215"/>
      <c r="Q308" s="172"/>
      <c r="R308" s="172"/>
      <c r="S308" s="172"/>
      <c r="T308" s="172"/>
      <c r="U308" s="173"/>
    </row>
    <row r="309" spans="1:21" ht="16.95" customHeight="1" x14ac:dyDescent="0.3">
      <c r="A309" s="12" t="str">
        <f t="shared" si="45"/>
        <v>D6Y</v>
      </c>
      <c r="C309" s="94">
        <v>-3.1492760573495764E-3</v>
      </c>
      <c r="D309" s="12" t="s">
        <v>267</v>
      </c>
      <c r="P309" s="215"/>
      <c r="Q309" s="172"/>
      <c r="R309" s="172"/>
      <c r="S309" s="172"/>
      <c r="T309" s="172"/>
      <c r="U309" s="173"/>
    </row>
    <row r="312" spans="1:21" ht="19.95" customHeight="1" x14ac:dyDescent="0.35">
      <c r="A312" s="11" t="s">
        <v>268</v>
      </c>
      <c r="P312" s="216" t="s">
        <v>269</v>
      </c>
      <c r="Q312" s="172"/>
      <c r="R312" s="172"/>
      <c r="S312" s="172"/>
      <c r="T312" s="172"/>
      <c r="U312" s="173"/>
    </row>
    <row r="313" spans="1:21" ht="16.95" customHeight="1" x14ac:dyDescent="0.3">
      <c r="A313" s="99" t="s">
        <v>247</v>
      </c>
      <c r="L313" s="99" t="s">
        <v>249</v>
      </c>
      <c r="P313" s="215" t="s">
        <v>389</v>
      </c>
      <c r="Q313" s="172"/>
      <c r="R313" s="172"/>
      <c r="S313" s="172"/>
      <c r="T313" s="172"/>
      <c r="U313" s="173"/>
    </row>
    <row r="314" spans="1:21" ht="16.95" customHeight="1" x14ac:dyDescent="0.3">
      <c r="A314" s="18" t="str">
        <f>INDEX(B$234:B$245, MATCH(M314, C$234:C$245, 0))</f>
        <v>C1X</v>
      </c>
      <c r="C314" s="9">
        <f t="shared" ref="C314:J317" si="46">INDEX($B$219:$M$230, MATCH($M314, $N$219:$N$230, 0), MATCH(C$279, $B$218:$M$218, 0))</f>
        <v>-63000</v>
      </c>
      <c r="D314" s="9">
        <f t="shared" si="46"/>
        <v>0</v>
      </c>
      <c r="E314" s="9">
        <f t="shared" si="46"/>
        <v>0</v>
      </c>
      <c r="F314" s="9">
        <f t="shared" si="46"/>
        <v>0</v>
      </c>
      <c r="G314" s="9">
        <f t="shared" si="46"/>
        <v>-38417.181592679946</v>
      </c>
      <c r="H314" s="9">
        <f t="shared" si="46"/>
        <v>-24010.738495424968</v>
      </c>
      <c r="I314" s="9">
        <f t="shared" si="46"/>
        <v>0</v>
      </c>
      <c r="J314" s="9">
        <f t="shared" si="46"/>
        <v>0</v>
      </c>
      <c r="L314" s="95">
        <f t="shared" ref="L314:L321" si="47">C302</f>
        <v>8.0621467068149131E-3</v>
      </c>
      <c r="M314" s="14" t="str">
        <f>INDEX(C$248:C$259, MATCH(1, G$248:G$259, 0))</f>
        <v>U1X</v>
      </c>
      <c r="P314" s="215" t="s">
        <v>390</v>
      </c>
      <c r="Q314" s="172"/>
      <c r="R314" s="172"/>
      <c r="S314" s="172"/>
      <c r="T314" s="172"/>
      <c r="U314" s="173"/>
    </row>
    <row r="315" spans="1:21" ht="16.95" customHeight="1" x14ac:dyDescent="0.3">
      <c r="A315" s="18" t="str">
        <f>INDEX(B$234:B$245, MATCH(M315, C$234:C$245, 0))</f>
        <v>C1Y</v>
      </c>
      <c r="C315" s="9">
        <f t="shared" si="46"/>
        <v>0</v>
      </c>
      <c r="D315" s="9">
        <f t="shared" si="46"/>
        <v>0</v>
      </c>
      <c r="E315" s="9">
        <f t="shared" si="46"/>
        <v>0</v>
      </c>
      <c r="F315" s="9">
        <f t="shared" si="46"/>
        <v>-100800</v>
      </c>
      <c r="G315" s="9">
        <f t="shared" si="46"/>
        <v>-24010.738495424968</v>
      </c>
      <c r="H315" s="9">
        <f t="shared" si="46"/>
        <v>-15006.711559640607</v>
      </c>
      <c r="I315" s="9">
        <f t="shared" si="46"/>
        <v>0</v>
      </c>
      <c r="J315" s="9">
        <f t="shared" si="46"/>
        <v>0</v>
      </c>
      <c r="L315" s="95">
        <f t="shared" si="47"/>
        <v>8.0621467068149131E-3</v>
      </c>
      <c r="M315" s="14" t="str">
        <f>INDEX(C$248:C$259, MATCH(2, G$248:G$259, 0))</f>
        <v>U1Y</v>
      </c>
      <c r="P315" s="215" t="s">
        <v>391</v>
      </c>
      <c r="Q315" s="172"/>
      <c r="R315" s="172"/>
      <c r="S315" s="172"/>
      <c r="T315" s="172"/>
      <c r="U315" s="173"/>
    </row>
    <row r="316" spans="1:21" ht="16.95" customHeight="1" x14ac:dyDescent="0.3">
      <c r="A316" s="18" t="str">
        <f>INDEX(B$234:B$245, MATCH(M316, C$234:C$245, 0))</f>
        <v>C2Y</v>
      </c>
      <c r="B316" s="13" t="s">
        <v>220</v>
      </c>
      <c r="C316" s="9">
        <f t="shared" si="46"/>
        <v>24010.738495424968</v>
      </c>
      <c r="D316" s="9">
        <f t="shared" si="46"/>
        <v>0</v>
      </c>
      <c r="E316" s="9">
        <f t="shared" si="46"/>
        <v>0</v>
      </c>
      <c r="F316" s="9">
        <f t="shared" si="46"/>
        <v>0</v>
      </c>
      <c r="G316" s="9">
        <f t="shared" si="46"/>
        <v>0</v>
      </c>
      <c r="H316" s="9">
        <f t="shared" si="46"/>
        <v>-100800</v>
      </c>
      <c r="I316" s="9">
        <f t="shared" si="46"/>
        <v>-24010.738495424968</v>
      </c>
      <c r="J316" s="9">
        <f t="shared" si="46"/>
        <v>-15006.711559640607</v>
      </c>
      <c r="L316" s="95">
        <f t="shared" si="47"/>
        <v>3.1313634802053014E-2</v>
      </c>
      <c r="M316" s="14" t="str">
        <f>INDEX(C$248:C$259, MATCH(3, G$248:G$259, 0))</f>
        <v>U2Y</v>
      </c>
      <c r="P316" s="215" t="s">
        <v>392</v>
      </c>
      <c r="Q316" s="172"/>
      <c r="R316" s="172"/>
      <c r="S316" s="172"/>
      <c r="T316" s="172"/>
      <c r="U316" s="173"/>
    </row>
    <row r="317" spans="1:21" ht="16.95" customHeight="1" x14ac:dyDescent="0.3">
      <c r="A317" s="18" t="str">
        <f>INDEX(B$234:B$245, MATCH(M317, C$234:C$245, 0))</f>
        <v>C3Y</v>
      </c>
      <c r="C317" s="9">
        <f t="shared" si="46"/>
        <v>0</v>
      </c>
      <c r="D317" s="9">
        <f t="shared" si="46"/>
        <v>0</v>
      </c>
      <c r="E317" s="9">
        <f t="shared" si="46"/>
        <v>0</v>
      </c>
      <c r="F317" s="9">
        <f t="shared" si="46"/>
        <v>0</v>
      </c>
      <c r="G317" s="9">
        <f t="shared" si="46"/>
        <v>0</v>
      </c>
      <c r="H317" s="9">
        <f t="shared" si="46"/>
        <v>0</v>
      </c>
      <c r="I317" s="9">
        <f t="shared" si="46"/>
        <v>0</v>
      </c>
      <c r="J317" s="9">
        <f t="shared" si="46"/>
        <v>-100800</v>
      </c>
      <c r="L317" s="95">
        <f t="shared" si="47"/>
        <v>0</v>
      </c>
      <c r="M317" s="14" t="str">
        <f>INDEX(C$248:C$259, MATCH(4, G$248:G$259, 0))</f>
        <v>U3Y</v>
      </c>
      <c r="P317" s="215" t="s">
        <v>393</v>
      </c>
      <c r="Q317" s="172"/>
      <c r="R317" s="172"/>
      <c r="S317" s="172"/>
      <c r="T317" s="172"/>
      <c r="U317" s="173"/>
    </row>
    <row r="318" spans="1:21" ht="16.95" customHeight="1" x14ac:dyDescent="0.3">
      <c r="L318" s="95">
        <f t="shared" si="47"/>
        <v>3.1313634802053014E-2</v>
      </c>
      <c r="P318" s="215" t="s">
        <v>394</v>
      </c>
      <c r="Q318" s="172"/>
      <c r="R318" s="172"/>
      <c r="S318" s="172"/>
      <c r="T318" s="172"/>
      <c r="U318" s="173"/>
    </row>
    <row r="319" spans="1:21" ht="16.95" customHeight="1" x14ac:dyDescent="0.3">
      <c r="L319" s="95">
        <f t="shared" si="47"/>
        <v>-7.1255485847412328E-2</v>
      </c>
      <c r="P319" s="215"/>
      <c r="Q319" s="172"/>
      <c r="R319" s="172"/>
      <c r="S319" s="172"/>
      <c r="T319" s="172"/>
      <c r="U319" s="173"/>
    </row>
    <row r="320" spans="1:21" ht="16.95" customHeight="1" x14ac:dyDescent="0.3">
      <c r="L320" s="95">
        <f t="shared" si="47"/>
        <v>2.3251488095238106E-2</v>
      </c>
      <c r="P320" s="215"/>
      <c r="Q320" s="172"/>
      <c r="R320" s="172"/>
      <c r="S320" s="172"/>
      <c r="T320" s="172"/>
      <c r="U320" s="173"/>
    </row>
    <row r="321" spans="1:21" ht="16.95" customHeight="1" x14ac:dyDescent="0.3">
      <c r="L321" s="95">
        <f t="shared" si="47"/>
        <v>-3.1492760573495764E-3</v>
      </c>
      <c r="P321" s="215"/>
      <c r="Q321" s="172"/>
      <c r="R321" s="172"/>
      <c r="S321" s="172"/>
      <c r="T321" s="172"/>
      <c r="U321" s="173"/>
    </row>
    <row r="322" spans="1:21" ht="16.95" customHeight="1" x14ac:dyDescent="0.3">
      <c r="P322" s="215"/>
      <c r="Q322" s="172"/>
      <c r="R322" s="172"/>
      <c r="S322" s="172"/>
      <c r="T322" s="172"/>
      <c r="U322" s="173"/>
    </row>
    <row r="323" spans="1:21" ht="16.95" customHeight="1" x14ac:dyDescent="0.3">
      <c r="A323" s="12" t="str">
        <f>A314</f>
        <v>C1X</v>
      </c>
      <c r="C323" s="17">
        <f t="array" ref="C323:C326">MMULT(C314:J317, L314:L321)</f>
        <v>-4.5474735088646412E-13</v>
      </c>
      <c r="D323" s="12" t="s">
        <v>273</v>
      </c>
      <c r="P323" s="215"/>
      <c r="Q323" s="172"/>
      <c r="R323" s="172"/>
      <c r="S323" s="172"/>
      <c r="T323" s="172"/>
      <c r="U323" s="173"/>
    </row>
    <row r="324" spans="1:21" ht="16.95" customHeight="1" x14ac:dyDescent="0.3">
      <c r="A324" s="12" t="str">
        <f>A315</f>
        <v>C1Y</v>
      </c>
      <c r="C324" s="17">
        <v>317.44702658083702</v>
      </c>
      <c r="D324" s="12" t="s">
        <v>273</v>
      </c>
      <c r="P324" s="215"/>
      <c r="Q324" s="172"/>
      <c r="R324" s="172"/>
      <c r="S324" s="172"/>
      <c r="T324" s="172"/>
      <c r="U324" s="173"/>
    </row>
    <row r="325" spans="1:21" ht="16.95" customHeight="1" x14ac:dyDescent="0.3">
      <c r="A325" s="12" t="str">
        <f>A316</f>
        <v>C2Y</v>
      </c>
      <c r="B325" s="13" t="s">
        <v>220</v>
      </c>
      <c r="C325" s="17">
        <v>6865.1059468383255</v>
      </c>
      <c r="D325" s="12" t="s">
        <v>273</v>
      </c>
      <c r="P325" s="215"/>
      <c r="Q325" s="172"/>
      <c r="R325" s="172"/>
      <c r="S325" s="172"/>
      <c r="T325" s="172"/>
      <c r="U325" s="173"/>
    </row>
    <row r="326" spans="1:21" ht="16.95" customHeight="1" x14ac:dyDescent="0.3">
      <c r="A326" s="12" t="str">
        <f>A317</f>
        <v>C3Y</v>
      </c>
      <c r="C326" s="17">
        <v>317.4470265808373</v>
      </c>
      <c r="D326" s="12" t="s">
        <v>273</v>
      </c>
      <c r="P326" s="215"/>
      <c r="Q326" s="172"/>
      <c r="R326" s="172"/>
      <c r="S326" s="172"/>
      <c r="T326" s="172"/>
      <c r="U326" s="173"/>
    </row>
    <row r="329" spans="1:21" ht="19.95" customHeight="1" x14ac:dyDescent="0.35">
      <c r="A329" s="11" t="s">
        <v>274</v>
      </c>
    </row>
    <row r="331" spans="1:21" ht="19.05" customHeight="1" x14ac:dyDescent="0.3">
      <c r="A331" s="12" t="s">
        <v>228</v>
      </c>
      <c r="B331" s="12" t="s">
        <v>178</v>
      </c>
      <c r="D331" s="94">
        <f t="shared" ref="D331:D342" si="48">IFERROR(INDEX(C$302:C$309, MATCH(A331, A$302:A$309, 0)), 0)</f>
        <v>0</v>
      </c>
    </row>
    <row r="332" spans="1:21" ht="19.05" customHeight="1" x14ac:dyDescent="0.3">
      <c r="A332" s="12" t="s">
        <v>229</v>
      </c>
      <c r="B332" s="12" t="s">
        <v>179</v>
      </c>
      <c r="D332" s="94">
        <f t="shared" si="48"/>
        <v>0</v>
      </c>
    </row>
    <row r="333" spans="1:21" ht="19.05" customHeight="1" x14ac:dyDescent="0.3">
      <c r="A333" s="12" t="s">
        <v>230</v>
      </c>
      <c r="B333" s="12" t="s">
        <v>180</v>
      </c>
      <c r="D333" s="94">
        <f t="shared" si="48"/>
        <v>8.0621467068149131E-3</v>
      </c>
    </row>
    <row r="334" spans="1:21" ht="19.05" customHeight="1" x14ac:dyDescent="0.3">
      <c r="A334" s="12" t="s">
        <v>231</v>
      </c>
      <c r="B334" s="12" t="s">
        <v>181</v>
      </c>
      <c r="D334" s="94">
        <f t="shared" si="48"/>
        <v>0</v>
      </c>
    </row>
    <row r="335" spans="1:21" ht="19.05" customHeight="1" x14ac:dyDescent="0.3">
      <c r="A335" s="12" t="s">
        <v>232</v>
      </c>
      <c r="B335" s="12" t="s">
        <v>182</v>
      </c>
      <c r="D335" s="94">
        <f t="shared" si="48"/>
        <v>8.0621467068149131E-3</v>
      </c>
    </row>
    <row r="336" spans="1:21" ht="19.05" customHeight="1" x14ac:dyDescent="0.3">
      <c r="A336" s="12" t="s">
        <v>234</v>
      </c>
      <c r="B336" s="12" t="s">
        <v>183</v>
      </c>
      <c r="D336" s="94">
        <f t="shared" si="48"/>
        <v>0</v>
      </c>
    </row>
    <row r="337" spans="1:21" ht="19.05" customHeight="1" x14ac:dyDescent="0.3">
      <c r="A337" s="12" t="s">
        <v>235</v>
      </c>
      <c r="B337" s="12" t="s">
        <v>184</v>
      </c>
      <c r="D337" s="94">
        <f t="shared" si="48"/>
        <v>3.1313634802053014E-2</v>
      </c>
    </row>
    <row r="338" spans="1:21" ht="19.05" customHeight="1" x14ac:dyDescent="0.3">
      <c r="A338" s="12" t="s">
        <v>236</v>
      </c>
      <c r="B338" s="12" t="s">
        <v>185</v>
      </c>
      <c r="D338" s="94">
        <f t="shared" si="48"/>
        <v>0</v>
      </c>
    </row>
    <row r="339" spans="1:21" ht="19.05" customHeight="1" x14ac:dyDescent="0.3">
      <c r="A339" s="12" t="s">
        <v>237</v>
      </c>
      <c r="B339" s="12" t="s">
        <v>186</v>
      </c>
      <c r="D339" s="94">
        <f t="shared" si="48"/>
        <v>3.1313634802053014E-2</v>
      </c>
    </row>
    <row r="340" spans="1:21" ht="19.05" customHeight="1" x14ac:dyDescent="0.3">
      <c r="A340" s="12" t="s">
        <v>238</v>
      </c>
      <c r="B340" s="12" t="s">
        <v>187</v>
      </c>
      <c r="D340" s="94">
        <f t="shared" si="48"/>
        <v>-7.1255485847412328E-2</v>
      </c>
    </row>
    <row r="341" spans="1:21" ht="19.05" customHeight="1" x14ac:dyDescent="0.3">
      <c r="A341" s="12" t="s">
        <v>239</v>
      </c>
      <c r="B341" s="12" t="s">
        <v>188</v>
      </c>
      <c r="D341" s="94">
        <f t="shared" si="48"/>
        <v>2.3251488095238106E-2</v>
      </c>
    </row>
    <row r="342" spans="1:21" ht="19.05" customHeight="1" x14ac:dyDescent="0.3">
      <c r="A342" s="12" t="s">
        <v>240</v>
      </c>
      <c r="B342" s="12" t="s">
        <v>189</v>
      </c>
      <c r="D342" s="94">
        <f t="shared" si="48"/>
        <v>-3.1492760573495764E-3</v>
      </c>
    </row>
    <row r="345" spans="1:21" ht="19.95" customHeight="1" x14ac:dyDescent="0.35">
      <c r="A345" s="11" t="s">
        <v>275</v>
      </c>
      <c r="P345" s="216" t="s">
        <v>276</v>
      </c>
      <c r="Q345" s="172"/>
      <c r="R345" s="172"/>
      <c r="S345" s="172"/>
      <c r="T345" s="172"/>
      <c r="U345" s="173"/>
    </row>
    <row r="346" spans="1:21" ht="16.95" customHeight="1" x14ac:dyDescent="0.3">
      <c r="P346" s="215" t="s">
        <v>395</v>
      </c>
      <c r="Q346" s="172"/>
      <c r="R346" s="172"/>
      <c r="S346" s="172"/>
      <c r="T346" s="172"/>
      <c r="U346" s="173"/>
    </row>
    <row r="347" spans="1:21" ht="16.95" customHeight="1" x14ac:dyDescent="0.3">
      <c r="A347" s="19" t="s">
        <v>278</v>
      </c>
      <c r="C347" s="19" t="s">
        <v>279</v>
      </c>
      <c r="D347" s="19" t="s">
        <v>280</v>
      </c>
      <c r="E347" s="19" t="s">
        <v>279</v>
      </c>
      <c r="F347" s="19" t="s">
        <v>280</v>
      </c>
      <c r="G347" s="19" t="s">
        <v>249</v>
      </c>
      <c r="P347" s="215" t="s">
        <v>396</v>
      </c>
      <c r="Q347" s="172"/>
      <c r="R347" s="172"/>
      <c r="S347" s="172"/>
      <c r="T347" s="172"/>
      <c r="U347" s="173"/>
    </row>
    <row r="348" spans="1:21" ht="16.95" customHeight="1" x14ac:dyDescent="0.3">
      <c r="C348" s="19" t="s">
        <v>282</v>
      </c>
      <c r="D348" s="19" t="s">
        <v>282</v>
      </c>
      <c r="E348" s="19" t="s">
        <v>283</v>
      </c>
      <c r="F348" s="19" t="s">
        <v>283</v>
      </c>
      <c r="P348" s="215" t="s">
        <v>397</v>
      </c>
      <c r="Q348" s="172"/>
      <c r="R348" s="172"/>
      <c r="S348" s="172"/>
      <c r="T348" s="172"/>
      <c r="U348" s="173"/>
    </row>
    <row r="349" spans="1:21" ht="16.95" customHeight="1" x14ac:dyDescent="0.3">
      <c r="A349" s="17">
        <f>N6</f>
        <v>63000</v>
      </c>
      <c r="C349" s="92">
        <f>-J6</f>
        <v>-1</v>
      </c>
      <c r="D349" s="92">
        <f>-K6</f>
        <v>0</v>
      </c>
      <c r="E349" s="92">
        <f>J6</f>
        <v>1</v>
      </c>
      <c r="F349" s="92">
        <f>K6</f>
        <v>0</v>
      </c>
      <c r="G349" s="96">
        <f>IFERROR(VLOOKUP(H349, A$331:D$342, 4, FALSE), 0)</f>
        <v>0</v>
      </c>
      <c r="H349" s="12" t="str">
        <f>"D" &amp; C18 &amp; "X"</f>
        <v>D1X</v>
      </c>
      <c r="P349" s="215" t="s">
        <v>398</v>
      </c>
      <c r="Q349" s="172"/>
      <c r="R349" s="172"/>
      <c r="S349" s="172"/>
      <c r="T349" s="172"/>
      <c r="U349" s="173"/>
    </row>
    <row r="350" spans="1:21" ht="16.95" customHeight="1" x14ac:dyDescent="0.3">
      <c r="A350" s="99" t="s">
        <v>285</v>
      </c>
      <c r="B350" s="97">
        <f>(MMULT(C349:F349, G349:G352)*A349)</f>
        <v>507.91524252933954</v>
      </c>
      <c r="G350" s="96">
        <f>IFERROR(VLOOKUP(H350, A$331:D$342, 4, FALSE), 0)</f>
        <v>0</v>
      </c>
      <c r="H350" s="12" t="str">
        <f>"D" &amp; D18 &amp; "Y"</f>
        <v>D1Y</v>
      </c>
      <c r="P350" s="215" t="s">
        <v>399</v>
      </c>
      <c r="Q350" s="172"/>
      <c r="R350" s="172"/>
      <c r="S350" s="172"/>
      <c r="T350" s="172"/>
      <c r="U350" s="173"/>
    </row>
    <row r="351" spans="1:21" ht="16.95" customHeight="1" x14ac:dyDescent="0.3">
      <c r="G351" s="96">
        <f>IFERROR(VLOOKUP(H351, A$331:D$342, 4, FALSE), 0)</f>
        <v>8.0621467068149131E-3</v>
      </c>
      <c r="H351" s="12" t="str">
        <f>"D" &amp; E18 &amp; "X"</f>
        <v>D2X</v>
      </c>
      <c r="P351" s="215" t="s">
        <v>400</v>
      </c>
      <c r="Q351" s="172"/>
      <c r="R351" s="172"/>
      <c r="S351" s="172"/>
      <c r="T351" s="172"/>
      <c r="U351" s="173"/>
    </row>
    <row r="352" spans="1:21" ht="16.95" customHeight="1" x14ac:dyDescent="0.3">
      <c r="G352" s="96">
        <f>IFERROR(VLOOKUP(H352, A$331:D$342, 4, FALSE), 0)</f>
        <v>0</v>
      </c>
      <c r="H352" s="12" t="str">
        <f>"D" &amp; F18 &amp; "Y"</f>
        <v>D2Y</v>
      </c>
      <c r="P352" s="215" t="s">
        <v>401</v>
      </c>
      <c r="Q352" s="172"/>
      <c r="R352" s="172"/>
      <c r="S352" s="172"/>
      <c r="T352" s="172"/>
      <c r="U352" s="173"/>
    </row>
    <row r="353" spans="1:21" ht="16.95" customHeight="1" x14ac:dyDescent="0.3">
      <c r="B353" s="99" t="s">
        <v>273</v>
      </c>
      <c r="C353" s="178" t="str">
        <f>IF(B350&gt;0.001,"BARRA A TRACCIÓN (+)",IF(B350&lt;-0.001,"BARRA A COMPRESIÓN (-)","BARRA DE FUERZA NULA"))</f>
        <v>BARRA A TRACCIÓN (+)</v>
      </c>
      <c r="D353" s="172"/>
      <c r="E353" s="172"/>
      <c r="F353" s="173"/>
      <c r="P353" s="215" t="s">
        <v>402</v>
      </c>
      <c r="Q353" s="172"/>
      <c r="R353" s="172"/>
      <c r="S353" s="172"/>
      <c r="T353" s="172"/>
      <c r="U353" s="173"/>
    </row>
    <row r="354" spans="1:21" ht="16.95" customHeight="1" x14ac:dyDescent="0.3">
      <c r="P354" s="215" t="s">
        <v>403</v>
      </c>
      <c r="Q354" s="172"/>
      <c r="R354" s="172"/>
      <c r="S354" s="172"/>
      <c r="T354" s="172"/>
      <c r="U354" s="173"/>
    </row>
    <row r="355" spans="1:21" ht="16.95" customHeight="1" x14ac:dyDescent="0.3">
      <c r="A355" s="19" t="s">
        <v>278</v>
      </c>
      <c r="C355" s="19" t="s">
        <v>279</v>
      </c>
      <c r="D355" s="19" t="s">
        <v>280</v>
      </c>
      <c r="E355" s="19" t="s">
        <v>279</v>
      </c>
      <c r="F355" s="19" t="s">
        <v>280</v>
      </c>
      <c r="G355" s="19" t="s">
        <v>249</v>
      </c>
      <c r="P355" s="215"/>
      <c r="Q355" s="172"/>
      <c r="R355" s="172"/>
      <c r="S355" s="172"/>
      <c r="T355" s="172"/>
      <c r="U355" s="173"/>
    </row>
    <row r="356" spans="1:21" ht="16.95" customHeight="1" x14ac:dyDescent="0.3">
      <c r="C356" s="19" t="s">
        <v>282</v>
      </c>
      <c r="D356" s="19" t="s">
        <v>282</v>
      </c>
      <c r="E356" s="19" t="s">
        <v>283</v>
      </c>
      <c r="F356" s="19" t="s">
        <v>283</v>
      </c>
      <c r="P356" s="215"/>
      <c r="Q356" s="172"/>
      <c r="R356" s="172"/>
      <c r="S356" s="172"/>
      <c r="T356" s="172"/>
      <c r="U356" s="173"/>
    </row>
    <row r="357" spans="1:21" ht="16.95" customHeight="1" x14ac:dyDescent="0.3">
      <c r="A357" s="17">
        <f>N7</f>
        <v>63000</v>
      </c>
      <c r="C357" s="92">
        <f>-J7</f>
        <v>-1</v>
      </c>
      <c r="D357" s="92">
        <f>-K7</f>
        <v>0</v>
      </c>
      <c r="E357" s="92">
        <f>J7</f>
        <v>1</v>
      </c>
      <c r="F357" s="92">
        <f>K7</f>
        <v>0</v>
      </c>
      <c r="G357" s="96">
        <f>IFERROR(VLOOKUP(H357, A$331:D$342, 4, FALSE), 0)</f>
        <v>8.0621467068149131E-3</v>
      </c>
      <c r="H357" s="12" t="str">
        <f>"D" &amp; C19 &amp; "X"</f>
        <v>D2X</v>
      </c>
      <c r="P357" s="215"/>
      <c r="Q357" s="172"/>
      <c r="R357" s="172"/>
      <c r="S357" s="172"/>
      <c r="T357" s="172"/>
      <c r="U357" s="173"/>
    </row>
    <row r="358" spans="1:21" ht="16.95" customHeight="1" x14ac:dyDescent="0.3">
      <c r="A358" s="99" t="s">
        <v>286</v>
      </c>
      <c r="B358" s="97">
        <f>(MMULT(C357:F357, G357:G360)*A357)</f>
        <v>0</v>
      </c>
      <c r="G358" s="96">
        <f>IFERROR(VLOOKUP(H358, A$331:D$342, 4, FALSE), 0)</f>
        <v>0</v>
      </c>
      <c r="H358" s="12" t="str">
        <f>"D" &amp; D19 &amp; "Y"</f>
        <v>D2Y</v>
      </c>
      <c r="P358" s="215"/>
      <c r="Q358" s="172"/>
      <c r="R358" s="172"/>
      <c r="S358" s="172"/>
      <c r="T358" s="172"/>
      <c r="U358" s="173"/>
    </row>
    <row r="359" spans="1:21" ht="16.95" customHeight="1" x14ac:dyDescent="0.3">
      <c r="G359" s="96">
        <f>IFERROR(VLOOKUP(H359, A$331:D$342, 4, FALSE), 0)</f>
        <v>8.0621467068149131E-3</v>
      </c>
      <c r="H359" s="12" t="str">
        <f>"D" &amp; E19 &amp; "X"</f>
        <v>D3X</v>
      </c>
      <c r="P359" s="215"/>
      <c r="Q359" s="172"/>
      <c r="R359" s="172"/>
      <c r="S359" s="172"/>
      <c r="T359" s="172"/>
      <c r="U359" s="173"/>
    </row>
    <row r="360" spans="1:21" ht="16.95" customHeight="1" x14ac:dyDescent="0.3">
      <c r="G360" s="96">
        <f>IFERROR(VLOOKUP(H360, A$331:D$342, 4, FALSE), 0)</f>
        <v>0</v>
      </c>
      <c r="H360" s="12" t="str">
        <f>"D" &amp; F19 &amp; "Y"</f>
        <v>D3Y</v>
      </c>
      <c r="P360" s="215"/>
      <c r="Q360" s="172"/>
      <c r="R360" s="172"/>
      <c r="S360" s="172"/>
      <c r="T360" s="172"/>
      <c r="U360" s="173"/>
    </row>
    <row r="361" spans="1:21" ht="16.95" customHeight="1" x14ac:dyDescent="0.3">
      <c r="B361" s="99" t="s">
        <v>273</v>
      </c>
      <c r="C361" s="178" t="str">
        <f>IF(B358&gt;0.001,"BARRA A TRACCIÓN (+)",IF(B358&lt;-0.001,"BARRA A COMPRESIÓN (-)","BARRA DE FUERZA NULA"))</f>
        <v>BARRA DE FUERZA NULA</v>
      </c>
      <c r="D361" s="172"/>
      <c r="E361" s="172"/>
      <c r="F361" s="173"/>
      <c r="P361" s="215"/>
      <c r="Q361" s="172"/>
      <c r="R361" s="172"/>
      <c r="S361" s="172"/>
      <c r="T361" s="172"/>
      <c r="U361" s="173"/>
    </row>
    <row r="362" spans="1:21" ht="16.95" customHeight="1" x14ac:dyDescent="0.3">
      <c r="P362" s="215"/>
      <c r="Q362" s="172"/>
      <c r="R362" s="172"/>
      <c r="S362" s="172"/>
      <c r="T362" s="172"/>
      <c r="U362" s="173"/>
    </row>
    <row r="363" spans="1:21" ht="16.95" customHeight="1" x14ac:dyDescent="0.3">
      <c r="A363" s="19" t="s">
        <v>278</v>
      </c>
      <c r="C363" s="19" t="s">
        <v>279</v>
      </c>
      <c r="D363" s="19" t="s">
        <v>280</v>
      </c>
      <c r="E363" s="19" t="s">
        <v>279</v>
      </c>
      <c r="F363" s="19" t="s">
        <v>280</v>
      </c>
      <c r="G363" s="19" t="s">
        <v>249</v>
      </c>
      <c r="P363" s="215"/>
      <c r="Q363" s="172"/>
      <c r="R363" s="172"/>
      <c r="S363" s="172"/>
      <c r="T363" s="172"/>
      <c r="U363" s="173"/>
    </row>
    <row r="364" spans="1:21" ht="16.95" customHeight="1" x14ac:dyDescent="0.3">
      <c r="C364" s="19" t="s">
        <v>282</v>
      </c>
      <c r="D364" s="19" t="s">
        <v>282</v>
      </c>
      <c r="E364" s="19" t="s">
        <v>283</v>
      </c>
      <c r="F364" s="19" t="s">
        <v>283</v>
      </c>
      <c r="P364" s="215"/>
      <c r="Q364" s="172"/>
      <c r="R364" s="172"/>
      <c r="S364" s="172"/>
      <c r="T364" s="172"/>
      <c r="U364" s="173"/>
    </row>
    <row r="365" spans="1:21" ht="16.95" customHeight="1" x14ac:dyDescent="0.3">
      <c r="A365" s="17">
        <f>N8</f>
        <v>63000</v>
      </c>
      <c r="C365" s="92">
        <f>-J8</f>
        <v>-1</v>
      </c>
      <c r="D365" s="92">
        <f>-K8</f>
        <v>0</v>
      </c>
      <c r="E365" s="92">
        <f>J8</f>
        <v>1</v>
      </c>
      <c r="F365" s="92">
        <f>K8</f>
        <v>0</v>
      </c>
      <c r="G365" s="96">
        <f>IFERROR(VLOOKUP(H365, A$331:D$342, 4, FALSE), 0)</f>
        <v>3.1313634802053014E-2</v>
      </c>
      <c r="H365" s="12" t="str">
        <f>"D" &amp; C20 &amp; "X"</f>
        <v>D4X</v>
      </c>
      <c r="P365" s="215"/>
      <c r="Q365" s="172"/>
      <c r="R365" s="172"/>
      <c r="S365" s="172"/>
      <c r="T365" s="172"/>
      <c r="U365" s="173"/>
    </row>
    <row r="366" spans="1:21" ht="16.95" customHeight="1" x14ac:dyDescent="0.3">
      <c r="A366" s="99" t="s">
        <v>287</v>
      </c>
      <c r="B366" s="97">
        <f>(MMULT(C365:F365, G365:G368)*A365)</f>
        <v>0</v>
      </c>
      <c r="G366" s="96">
        <f>IFERROR(VLOOKUP(H366, A$331:D$342, 4, FALSE), 0)</f>
        <v>0</v>
      </c>
      <c r="H366" s="12" t="str">
        <f>"D" &amp; D20 &amp; "Y"</f>
        <v>D4Y</v>
      </c>
      <c r="P366" s="215"/>
      <c r="Q366" s="172"/>
      <c r="R366" s="172"/>
      <c r="S366" s="172"/>
      <c r="T366" s="172"/>
      <c r="U366" s="173"/>
    </row>
    <row r="367" spans="1:21" ht="16.95" customHeight="1" x14ac:dyDescent="0.3">
      <c r="G367" s="96">
        <f>IFERROR(VLOOKUP(H367, A$331:D$342, 4, FALSE), 0)</f>
        <v>3.1313634802053014E-2</v>
      </c>
      <c r="H367" s="12" t="str">
        <f>"D" &amp; E20 &amp; "X"</f>
        <v>D5X</v>
      </c>
      <c r="P367" s="215"/>
      <c r="Q367" s="172"/>
      <c r="R367" s="172"/>
      <c r="S367" s="172"/>
      <c r="T367" s="172"/>
      <c r="U367" s="173"/>
    </row>
    <row r="368" spans="1:21" ht="16.95" customHeight="1" x14ac:dyDescent="0.3">
      <c r="G368" s="96">
        <f>IFERROR(VLOOKUP(H368, A$331:D$342, 4, FALSE), 0)</f>
        <v>-7.1255485847412328E-2</v>
      </c>
      <c r="H368" s="12" t="str">
        <f>"D" &amp; F20 &amp; "Y"</f>
        <v>D5Y</v>
      </c>
      <c r="P368" s="215"/>
      <c r="Q368" s="172"/>
      <c r="R368" s="172"/>
      <c r="S368" s="172"/>
      <c r="T368" s="172"/>
      <c r="U368" s="173"/>
    </row>
    <row r="369" spans="1:21" ht="16.95" customHeight="1" x14ac:dyDescent="0.3">
      <c r="B369" s="99" t="s">
        <v>273</v>
      </c>
      <c r="C369" s="178" t="str">
        <f>IF(B366&gt;0.001,"BARRA A TRACCIÓN (+)",IF(B366&lt;-0.001,"BARRA A COMPRESIÓN (-)","BARRA DE FUERZA NULA"))</f>
        <v>BARRA DE FUERZA NULA</v>
      </c>
      <c r="D369" s="172"/>
      <c r="E369" s="172"/>
      <c r="F369" s="173"/>
      <c r="P369" s="215"/>
      <c r="Q369" s="172"/>
      <c r="R369" s="172"/>
      <c r="S369" s="172"/>
      <c r="T369" s="172"/>
      <c r="U369" s="173"/>
    </row>
    <row r="370" spans="1:21" ht="16.95" customHeight="1" x14ac:dyDescent="0.3">
      <c r="P370" s="215"/>
      <c r="Q370" s="172"/>
      <c r="R370" s="172"/>
      <c r="S370" s="172"/>
      <c r="T370" s="172"/>
      <c r="U370" s="173"/>
    </row>
    <row r="371" spans="1:21" ht="18" customHeight="1" x14ac:dyDescent="0.3">
      <c r="A371" s="19" t="s">
        <v>278</v>
      </c>
      <c r="C371" s="19" t="s">
        <v>279</v>
      </c>
      <c r="D371" s="19" t="s">
        <v>280</v>
      </c>
      <c r="E371" s="19" t="s">
        <v>279</v>
      </c>
      <c r="F371" s="19" t="s">
        <v>280</v>
      </c>
      <c r="G371" s="19" t="s">
        <v>249</v>
      </c>
    </row>
    <row r="372" spans="1:21" ht="16.05" customHeight="1" x14ac:dyDescent="0.3">
      <c r="C372" s="19" t="s">
        <v>282</v>
      </c>
      <c r="D372" s="19" t="s">
        <v>282</v>
      </c>
      <c r="E372" s="19" t="s">
        <v>283</v>
      </c>
      <c r="F372" s="19" t="s">
        <v>283</v>
      </c>
    </row>
    <row r="373" spans="1:21" ht="19.95" customHeight="1" x14ac:dyDescent="0.3">
      <c r="A373" s="17">
        <f>N9</f>
        <v>63000</v>
      </c>
      <c r="C373" s="92">
        <f>-J9</f>
        <v>-1</v>
      </c>
      <c r="D373" s="92">
        <f>-K9</f>
        <v>0</v>
      </c>
      <c r="E373" s="92">
        <f>J9</f>
        <v>1</v>
      </c>
      <c r="F373" s="92">
        <f>K9</f>
        <v>0</v>
      </c>
      <c r="G373" s="96">
        <f>IFERROR(VLOOKUP(H373, A$331:D$342, 4, FALSE), 0)</f>
        <v>3.1313634802053014E-2</v>
      </c>
      <c r="H373" s="12" t="str">
        <f>"D" &amp; C21 &amp; "X"</f>
        <v>D5X</v>
      </c>
    </row>
    <row r="374" spans="1:21" ht="19.95" customHeight="1" x14ac:dyDescent="0.3">
      <c r="A374" s="99" t="s">
        <v>288</v>
      </c>
      <c r="B374" s="97">
        <f>(MMULT(C373:F373, G373:G376)*A373)</f>
        <v>-507.9152425293392</v>
      </c>
      <c r="G374" s="96">
        <f>IFERROR(VLOOKUP(H374, A$331:D$342, 4, FALSE), 0)</f>
        <v>-7.1255485847412328E-2</v>
      </c>
      <c r="H374" s="12" t="str">
        <f>"D" &amp; D21 &amp; "Y"</f>
        <v>D5Y</v>
      </c>
    </row>
    <row r="375" spans="1:21" ht="19.95" customHeight="1" x14ac:dyDescent="0.3">
      <c r="G375" s="96">
        <f>IFERROR(VLOOKUP(H375, A$331:D$342, 4, FALSE), 0)</f>
        <v>2.3251488095238106E-2</v>
      </c>
      <c r="H375" s="12" t="str">
        <f>"D" &amp; E21 &amp; "X"</f>
        <v>D6X</v>
      </c>
    </row>
    <row r="376" spans="1:21" ht="19.95" customHeight="1" x14ac:dyDescent="0.3">
      <c r="G376" s="96">
        <f>IFERROR(VLOOKUP(H376, A$331:D$342, 4, FALSE), 0)</f>
        <v>-3.1492760573495764E-3</v>
      </c>
      <c r="H376" s="12" t="str">
        <f>"D" &amp; F21 &amp; "Y"</f>
        <v>D6Y</v>
      </c>
    </row>
    <row r="377" spans="1:21" ht="19.95" customHeight="1" x14ac:dyDescent="0.3">
      <c r="B377" s="99" t="s">
        <v>273</v>
      </c>
      <c r="C377" s="178" t="str">
        <f>IF(B374&gt;0.001,"BARRA A TRACCIÓN (+)",IF(B374&lt;-0.001,"BARRA A COMPRESIÓN (-)","BARRA DE FUERZA NULA"))</f>
        <v>BARRA A COMPRESIÓN (-)</v>
      </c>
      <c r="D377" s="172"/>
      <c r="E377" s="172"/>
      <c r="F377" s="173"/>
    </row>
    <row r="379" spans="1:21" ht="18" customHeight="1" x14ac:dyDescent="0.3">
      <c r="A379" s="19" t="s">
        <v>278</v>
      </c>
      <c r="C379" s="19" t="s">
        <v>279</v>
      </c>
      <c r="D379" s="19" t="s">
        <v>280</v>
      </c>
      <c r="E379" s="19" t="s">
        <v>279</v>
      </c>
      <c r="F379" s="19" t="s">
        <v>280</v>
      </c>
      <c r="G379" s="19" t="s">
        <v>249</v>
      </c>
    </row>
    <row r="380" spans="1:21" ht="16.05" customHeight="1" x14ac:dyDescent="0.3">
      <c r="C380" s="19" t="s">
        <v>282</v>
      </c>
      <c r="D380" s="19" t="s">
        <v>282</v>
      </c>
      <c r="E380" s="19" t="s">
        <v>283</v>
      </c>
      <c r="F380" s="19" t="s">
        <v>283</v>
      </c>
    </row>
    <row r="381" spans="1:21" ht="19.95" customHeight="1" x14ac:dyDescent="0.3">
      <c r="A381" s="17">
        <f>N10</f>
        <v>100800</v>
      </c>
      <c r="C381" s="92">
        <f>-J10</f>
        <v>0</v>
      </c>
      <c r="D381" s="92">
        <f>-K10</f>
        <v>-1</v>
      </c>
      <c r="E381" s="92">
        <f>J10</f>
        <v>0</v>
      </c>
      <c r="F381" s="92">
        <f>K10</f>
        <v>1</v>
      </c>
      <c r="G381" s="96">
        <f>IFERROR(VLOOKUP(H381, A$331:D$342, 4, FALSE), 0)</f>
        <v>0</v>
      </c>
      <c r="H381" s="12" t="str">
        <f>"D" &amp; C22 &amp; "X"</f>
        <v>D1X</v>
      </c>
    </row>
    <row r="382" spans="1:21" ht="19.95" customHeight="1" x14ac:dyDescent="0.3">
      <c r="A382" s="99" t="s">
        <v>289</v>
      </c>
      <c r="B382" s="97">
        <f>(MMULT(C381:F381, G381:G384)*A381)</f>
        <v>0</v>
      </c>
      <c r="G382" s="96">
        <f>IFERROR(VLOOKUP(H382, A$331:D$342, 4, FALSE), 0)</f>
        <v>0</v>
      </c>
      <c r="H382" s="12" t="str">
        <f>"D" &amp; D22 &amp; "Y"</f>
        <v>D1Y</v>
      </c>
    </row>
    <row r="383" spans="1:21" ht="19.95" customHeight="1" x14ac:dyDescent="0.3">
      <c r="G383" s="96">
        <f>IFERROR(VLOOKUP(H383, A$331:D$342, 4, FALSE), 0)</f>
        <v>3.1313634802053014E-2</v>
      </c>
      <c r="H383" s="12" t="str">
        <f>"D" &amp; E22 &amp; "X"</f>
        <v>D4X</v>
      </c>
    </row>
    <row r="384" spans="1:21" ht="19.95" customHeight="1" x14ac:dyDescent="0.3">
      <c r="G384" s="96">
        <f>IFERROR(VLOOKUP(H384, A$331:D$342, 4, FALSE), 0)</f>
        <v>0</v>
      </c>
      <c r="H384" s="12" t="str">
        <f>"D" &amp; F22 &amp; "Y"</f>
        <v>D4Y</v>
      </c>
    </row>
    <row r="385" spans="1:8" ht="19.95" customHeight="1" x14ac:dyDescent="0.3">
      <c r="B385" s="99" t="s">
        <v>273</v>
      </c>
      <c r="C385" s="178" t="str">
        <f>IF(B382&gt;0.001,"BARRA A TRACCIÓN (+)",IF(B382&lt;-0.001,"BARRA A COMPRESIÓN (-)","BARRA DE FUERZA NULA"))</f>
        <v>BARRA DE FUERZA NULA</v>
      </c>
      <c r="D385" s="172"/>
      <c r="E385" s="172"/>
      <c r="F385" s="173"/>
    </row>
    <row r="387" spans="1:8" ht="18" customHeight="1" x14ac:dyDescent="0.3">
      <c r="A387" s="19" t="s">
        <v>278</v>
      </c>
      <c r="C387" s="19" t="s">
        <v>279</v>
      </c>
      <c r="D387" s="19" t="s">
        <v>280</v>
      </c>
      <c r="E387" s="19" t="s">
        <v>279</v>
      </c>
      <c r="F387" s="19" t="s">
        <v>280</v>
      </c>
      <c r="G387" s="19" t="s">
        <v>249</v>
      </c>
    </row>
    <row r="388" spans="1:8" ht="16.05" customHeight="1" x14ac:dyDescent="0.3">
      <c r="C388" s="19" t="s">
        <v>282</v>
      </c>
      <c r="D388" s="19" t="s">
        <v>282</v>
      </c>
      <c r="E388" s="19" t="s">
        <v>283</v>
      </c>
      <c r="F388" s="19" t="s">
        <v>283</v>
      </c>
    </row>
    <row r="389" spans="1:8" ht="19.95" customHeight="1" x14ac:dyDescent="0.3">
      <c r="A389" s="17">
        <f>N11</f>
        <v>100800</v>
      </c>
      <c r="C389" s="92">
        <f>-J11</f>
        <v>0</v>
      </c>
      <c r="D389" s="92">
        <f>-K11</f>
        <v>-1</v>
      </c>
      <c r="E389" s="92">
        <f>J11</f>
        <v>0</v>
      </c>
      <c r="F389" s="92">
        <f>K11</f>
        <v>1</v>
      </c>
      <c r="G389" s="96">
        <f>IFERROR(VLOOKUP(H389, A$331:D$342, 4, FALSE), 0)</f>
        <v>8.0621467068149131E-3</v>
      </c>
      <c r="H389" s="12" t="str">
        <f>"D" &amp; C23 &amp; "X"</f>
        <v>D2X</v>
      </c>
    </row>
    <row r="390" spans="1:8" ht="19.95" customHeight="1" x14ac:dyDescent="0.3">
      <c r="A390" s="99" t="s">
        <v>290</v>
      </c>
      <c r="B390" s="97">
        <f>(MMULT(C389:F389, G389:G392)*A389)</f>
        <v>-7182.5529734191623</v>
      </c>
      <c r="G390" s="96">
        <f>IFERROR(VLOOKUP(H390, A$331:D$342, 4, FALSE), 0)</f>
        <v>0</v>
      </c>
      <c r="H390" s="12" t="str">
        <f>"D" &amp; D23 &amp; "Y"</f>
        <v>D2Y</v>
      </c>
    </row>
    <row r="391" spans="1:8" ht="19.95" customHeight="1" x14ac:dyDescent="0.3">
      <c r="G391" s="96">
        <f>IFERROR(VLOOKUP(H391, A$331:D$342, 4, FALSE), 0)</f>
        <v>3.1313634802053014E-2</v>
      </c>
      <c r="H391" s="12" t="str">
        <f>"D" &amp; E23 &amp; "X"</f>
        <v>D5X</v>
      </c>
    </row>
    <row r="392" spans="1:8" ht="19.95" customHeight="1" x14ac:dyDescent="0.3">
      <c r="G392" s="96">
        <f>IFERROR(VLOOKUP(H392, A$331:D$342, 4, FALSE), 0)</f>
        <v>-7.1255485847412328E-2</v>
      </c>
      <c r="H392" s="12" t="str">
        <f>"D" &amp; F23 &amp; "Y"</f>
        <v>D5Y</v>
      </c>
    </row>
    <row r="393" spans="1:8" ht="19.95" customHeight="1" x14ac:dyDescent="0.3">
      <c r="B393" s="99" t="s">
        <v>273</v>
      </c>
      <c r="C393" s="178" t="str">
        <f>IF(B390&gt;0.001,"BARRA A TRACCIÓN (+)",IF(B390&lt;-0.001,"BARRA A COMPRESIÓN (-)","BARRA DE FUERZA NULA"))</f>
        <v>BARRA A COMPRESIÓN (-)</v>
      </c>
      <c r="D393" s="172"/>
      <c r="E393" s="172"/>
      <c r="F393" s="173"/>
    </row>
    <row r="395" spans="1:8" ht="18" customHeight="1" x14ac:dyDescent="0.3">
      <c r="A395" s="19" t="s">
        <v>278</v>
      </c>
      <c r="C395" s="19" t="s">
        <v>279</v>
      </c>
      <c r="D395" s="19" t="s">
        <v>280</v>
      </c>
      <c r="E395" s="19" t="s">
        <v>279</v>
      </c>
      <c r="F395" s="19" t="s">
        <v>280</v>
      </c>
      <c r="G395" s="19" t="s">
        <v>249</v>
      </c>
    </row>
    <row r="396" spans="1:8" ht="16.05" customHeight="1" x14ac:dyDescent="0.3">
      <c r="C396" s="19" t="s">
        <v>282</v>
      </c>
      <c r="D396" s="19" t="s">
        <v>282</v>
      </c>
      <c r="E396" s="19" t="s">
        <v>283</v>
      </c>
      <c r="F396" s="19" t="s">
        <v>283</v>
      </c>
    </row>
    <row r="397" spans="1:8" ht="19.95" customHeight="1" x14ac:dyDescent="0.3">
      <c r="A397" s="17">
        <f>N12</f>
        <v>100800</v>
      </c>
      <c r="C397" s="92">
        <f>-J12</f>
        <v>0</v>
      </c>
      <c r="D397" s="92">
        <f>-K12</f>
        <v>-1</v>
      </c>
      <c r="E397" s="92">
        <f>J12</f>
        <v>0</v>
      </c>
      <c r="F397" s="92">
        <f>K12</f>
        <v>1</v>
      </c>
      <c r="G397" s="96">
        <f>IFERROR(VLOOKUP(H397, A$331:D$342, 4, FALSE), 0)</f>
        <v>8.0621467068149131E-3</v>
      </c>
      <c r="H397" s="12" t="str">
        <f>"D" &amp; C24 &amp; "X"</f>
        <v>D3X</v>
      </c>
    </row>
    <row r="398" spans="1:8" ht="19.95" customHeight="1" x14ac:dyDescent="0.3">
      <c r="A398" s="99" t="s">
        <v>291</v>
      </c>
      <c r="B398" s="97">
        <f>(MMULT(C397:F397, G397:G400)*A397)</f>
        <v>-317.4470265808373</v>
      </c>
      <c r="G398" s="96">
        <f>IFERROR(VLOOKUP(H398, A$331:D$342, 4, FALSE), 0)</f>
        <v>0</v>
      </c>
      <c r="H398" s="12" t="str">
        <f>"D" &amp; D24 &amp; "Y"</f>
        <v>D3Y</v>
      </c>
    </row>
    <row r="399" spans="1:8" ht="19.95" customHeight="1" x14ac:dyDescent="0.3">
      <c r="G399" s="96">
        <f>IFERROR(VLOOKUP(H399, A$331:D$342, 4, FALSE), 0)</f>
        <v>2.3251488095238106E-2</v>
      </c>
      <c r="H399" s="12" t="str">
        <f>"D" &amp; E24 &amp; "X"</f>
        <v>D6X</v>
      </c>
    </row>
    <row r="400" spans="1:8" ht="19.95" customHeight="1" x14ac:dyDescent="0.3">
      <c r="G400" s="96">
        <f>IFERROR(VLOOKUP(H400, A$331:D$342, 4, FALSE), 0)</f>
        <v>-3.1492760573495764E-3</v>
      </c>
      <c r="H400" s="12" t="str">
        <f>"D" &amp; F24 &amp; "Y"</f>
        <v>D6Y</v>
      </c>
    </row>
    <row r="401" spans="1:8" ht="19.95" customHeight="1" x14ac:dyDescent="0.3">
      <c r="B401" s="99" t="s">
        <v>273</v>
      </c>
      <c r="C401" s="178" t="str">
        <f>IF(B398&gt;0.001,"BARRA A TRACCIÓN (+)",IF(B398&lt;-0.001,"BARRA A COMPRESIÓN (-)","BARRA DE FUERZA NULA"))</f>
        <v>BARRA A COMPRESIÓN (-)</v>
      </c>
      <c r="D401" s="172"/>
      <c r="E401" s="172"/>
      <c r="F401" s="173"/>
    </row>
    <row r="403" spans="1:8" ht="18" customHeight="1" x14ac:dyDescent="0.3">
      <c r="A403" s="19" t="s">
        <v>278</v>
      </c>
      <c r="C403" s="19" t="s">
        <v>279</v>
      </c>
      <c r="D403" s="19" t="s">
        <v>280</v>
      </c>
      <c r="E403" s="19" t="s">
        <v>279</v>
      </c>
      <c r="F403" s="19" t="s">
        <v>280</v>
      </c>
      <c r="G403" s="19" t="s">
        <v>249</v>
      </c>
    </row>
    <row r="404" spans="1:8" ht="16.05" customHeight="1" x14ac:dyDescent="0.3">
      <c r="C404" s="19" t="s">
        <v>282</v>
      </c>
      <c r="D404" s="19" t="s">
        <v>282</v>
      </c>
      <c r="E404" s="19" t="s">
        <v>283</v>
      </c>
      <c r="F404" s="19" t="s">
        <v>283</v>
      </c>
    </row>
    <row r="405" spans="1:8" ht="19.95" customHeight="1" x14ac:dyDescent="0.3">
      <c r="A405" s="17">
        <f>N13</f>
        <v>53423.893152320547</v>
      </c>
      <c r="C405" s="92">
        <f>-J13</f>
        <v>-0.84799830400508802</v>
      </c>
      <c r="D405" s="92">
        <f>-K13</f>
        <v>-0.52999894000318004</v>
      </c>
      <c r="E405" s="92">
        <f>J13</f>
        <v>0.84799830400508802</v>
      </c>
      <c r="F405" s="92">
        <f>K13</f>
        <v>0.52999894000318004</v>
      </c>
      <c r="G405" s="96">
        <f>IFERROR(VLOOKUP(H405, A$331:D$342, 4, FALSE), 0)</f>
        <v>0</v>
      </c>
      <c r="H405" s="12" t="str">
        <f>"D" &amp; C25 &amp; "X"</f>
        <v>D1X</v>
      </c>
    </row>
    <row r="406" spans="1:8" ht="19.95" customHeight="1" x14ac:dyDescent="0.3">
      <c r="A406" s="99" t="s">
        <v>292</v>
      </c>
      <c r="B406" s="97">
        <f>(MMULT(C405:F405, G405:G408)*A405)</f>
        <v>-598.95785183821715</v>
      </c>
      <c r="G406" s="96">
        <f>IFERROR(VLOOKUP(H406, A$331:D$342, 4, FALSE), 0)</f>
        <v>0</v>
      </c>
      <c r="H406" s="12" t="str">
        <f>"D" &amp; D25 &amp; "Y"</f>
        <v>D1Y</v>
      </c>
    </row>
    <row r="407" spans="1:8" ht="19.95" customHeight="1" x14ac:dyDescent="0.3">
      <c r="G407" s="96">
        <f>IFERROR(VLOOKUP(H407, A$331:D$342, 4, FALSE), 0)</f>
        <v>3.1313634802053014E-2</v>
      </c>
      <c r="H407" s="12" t="str">
        <f>"D" &amp; E25 &amp; "X"</f>
        <v>D5X</v>
      </c>
    </row>
    <row r="408" spans="1:8" ht="19.95" customHeight="1" x14ac:dyDescent="0.3">
      <c r="G408" s="96">
        <f>IFERROR(VLOOKUP(H408, A$331:D$342, 4, FALSE), 0)</f>
        <v>-7.1255485847412328E-2</v>
      </c>
      <c r="H408" s="12" t="str">
        <f>"D" &amp; F25 &amp; "Y"</f>
        <v>D5Y</v>
      </c>
    </row>
    <row r="409" spans="1:8" ht="19.95" customHeight="1" x14ac:dyDescent="0.3">
      <c r="B409" s="99" t="s">
        <v>273</v>
      </c>
      <c r="C409" s="178" t="str">
        <f>IF(B406&gt;0.001,"BARRA A TRACCIÓN (+)",IF(B406&lt;-0.001,"BARRA A COMPRESIÓN (-)","BARRA DE FUERZA NULA"))</f>
        <v>BARRA A COMPRESIÓN (-)</v>
      </c>
      <c r="D409" s="172"/>
      <c r="E409" s="172"/>
      <c r="F409" s="173"/>
    </row>
    <row r="411" spans="1:8" ht="18" customHeight="1" x14ac:dyDescent="0.3">
      <c r="A411" s="19" t="s">
        <v>278</v>
      </c>
      <c r="C411" s="19" t="s">
        <v>279</v>
      </c>
      <c r="D411" s="19" t="s">
        <v>280</v>
      </c>
      <c r="E411" s="19" t="s">
        <v>279</v>
      </c>
      <c r="F411" s="19" t="s">
        <v>280</v>
      </c>
      <c r="G411" s="19" t="s">
        <v>249</v>
      </c>
    </row>
    <row r="412" spans="1:8" ht="16.05" customHeight="1" x14ac:dyDescent="0.3">
      <c r="C412" s="19" t="s">
        <v>282</v>
      </c>
      <c r="D412" s="19" t="s">
        <v>282</v>
      </c>
      <c r="E412" s="19" t="s">
        <v>283</v>
      </c>
      <c r="F412" s="19" t="s">
        <v>283</v>
      </c>
    </row>
    <row r="413" spans="1:8" ht="19.95" customHeight="1" x14ac:dyDescent="0.3">
      <c r="A413" s="17">
        <f>N14</f>
        <v>53423.893152320547</v>
      </c>
      <c r="C413" s="92">
        <f>-J14</f>
        <v>-0.84799830400508802</v>
      </c>
      <c r="D413" s="92">
        <f>-K14</f>
        <v>-0.52999894000318004</v>
      </c>
      <c r="E413" s="92">
        <f>J14</f>
        <v>0.84799830400508802</v>
      </c>
      <c r="F413" s="92">
        <f>K14</f>
        <v>0.52999894000318004</v>
      </c>
      <c r="G413" s="96">
        <f>IFERROR(VLOOKUP(H413, A$331:D$342, 4, FALSE), 0)</f>
        <v>8.0621467068149131E-3</v>
      </c>
      <c r="H413" s="12" t="str">
        <f>"D" &amp; C26 &amp; "X"</f>
        <v>D2X</v>
      </c>
    </row>
    <row r="414" spans="1:8" ht="19.95" customHeight="1" x14ac:dyDescent="0.3">
      <c r="A414" s="99" t="s">
        <v>530</v>
      </c>
      <c r="B414" s="97">
        <f>(MMULT(C413:F413, G413:G416)*A413)</f>
        <v>598.95785183821783</v>
      </c>
      <c r="G414" s="96">
        <f>IFERROR(VLOOKUP(H414, A$331:D$342, 4, FALSE), 0)</f>
        <v>0</v>
      </c>
      <c r="H414" s="12" t="str">
        <f>"D" &amp; D26 &amp; "Y"</f>
        <v>D2Y</v>
      </c>
    </row>
    <row r="415" spans="1:8" ht="19.95" customHeight="1" x14ac:dyDescent="0.3">
      <c r="G415" s="96">
        <f>IFERROR(VLOOKUP(H415, A$331:D$342, 4, FALSE), 0)</f>
        <v>2.3251488095238106E-2</v>
      </c>
      <c r="H415" s="12" t="str">
        <f>"D" &amp; E26 &amp; "X"</f>
        <v>D6X</v>
      </c>
    </row>
    <row r="416" spans="1:8" ht="19.95" customHeight="1" x14ac:dyDescent="0.3">
      <c r="G416" s="96">
        <f>IFERROR(VLOOKUP(H416, A$331:D$342, 4, FALSE), 0)</f>
        <v>-3.1492760573495764E-3</v>
      </c>
      <c r="H416" s="12" t="str">
        <f>"D" &amp; F26 &amp; "Y"</f>
        <v>D6Y</v>
      </c>
    </row>
    <row r="417" spans="2:8" ht="19.95" customHeight="1" x14ac:dyDescent="0.3">
      <c r="B417" s="99" t="s">
        <v>273</v>
      </c>
      <c r="C417" s="178" t="str">
        <f>IF(B414&gt;0.001,"BARRA A TRACCIÓN (+)",IF(B414&lt;-0.001,"BARRA A COMPRESIÓN (-)","BARRA DE FUERZA NULA"))</f>
        <v>BARRA A TRACCIÓN (+)</v>
      </c>
      <c r="D417" s="172"/>
      <c r="E417" s="172"/>
      <c r="F417" s="173"/>
    </row>
    <row r="420" spans="2:8" ht="22.05" customHeight="1" x14ac:dyDescent="0.3">
      <c r="B420" s="217" t="s">
        <v>404</v>
      </c>
      <c r="C420" s="175"/>
      <c r="D420" s="175"/>
      <c r="E420" s="175"/>
      <c r="F420" s="175"/>
      <c r="G420" s="175"/>
      <c r="H420" s="175"/>
    </row>
    <row r="421" spans="2:8" ht="24" customHeight="1" x14ac:dyDescent="0.3">
      <c r="B421" s="87" t="s">
        <v>294</v>
      </c>
      <c r="C421" s="87" t="s">
        <v>295</v>
      </c>
      <c r="D421" s="87" t="s">
        <v>296</v>
      </c>
      <c r="E421" s="87" t="s">
        <v>297</v>
      </c>
      <c r="F421" s="87" t="s">
        <v>298</v>
      </c>
      <c r="G421" s="87" t="s">
        <v>299</v>
      </c>
      <c r="H421" s="87" t="s">
        <v>300</v>
      </c>
    </row>
    <row r="422" spans="2:8" ht="19.95" customHeight="1" x14ac:dyDescent="0.3">
      <c r="B422" s="85">
        <v>1</v>
      </c>
      <c r="C422" s="86">
        <f t="shared" ref="C422:C430" si="49">C18</f>
        <v>1</v>
      </c>
      <c r="D422" s="86">
        <f t="shared" ref="D422:D430" si="50">E18</f>
        <v>2</v>
      </c>
      <c r="E422" s="9">
        <f t="shared" ref="E422:E430" si="51">I6</f>
        <v>400</v>
      </c>
      <c r="F422" s="9">
        <f t="shared" ref="F422:F430" si="52">L6</f>
        <v>12</v>
      </c>
      <c r="G422" s="97">
        <f>B350</f>
        <v>507.91524252933954</v>
      </c>
      <c r="H422" s="84" t="str">
        <f>C353</f>
        <v>BARRA A TRACCIÓN (+)</v>
      </c>
    </row>
    <row r="423" spans="2:8" ht="19.95" customHeight="1" x14ac:dyDescent="0.3">
      <c r="B423" s="25">
        <v>2</v>
      </c>
      <c r="C423" s="86">
        <f t="shared" si="49"/>
        <v>2</v>
      </c>
      <c r="D423" s="86">
        <f t="shared" si="50"/>
        <v>3</v>
      </c>
      <c r="E423" s="9">
        <f t="shared" si="51"/>
        <v>400</v>
      </c>
      <c r="F423" s="9">
        <f t="shared" si="52"/>
        <v>12</v>
      </c>
      <c r="G423" s="97">
        <f>B358</f>
        <v>0</v>
      </c>
      <c r="H423" s="84" t="str">
        <f>C361</f>
        <v>BARRA DE FUERZA NULA</v>
      </c>
    </row>
    <row r="424" spans="2:8" ht="19.95" customHeight="1" x14ac:dyDescent="0.3">
      <c r="B424" s="26">
        <v>3</v>
      </c>
      <c r="C424" s="86">
        <f t="shared" si="49"/>
        <v>4</v>
      </c>
      <c r="D424" s="86">
        <f t="shared" si="50"/>
        <v>5</v>
      </c>
      <c r="E424" s="9">
        <f t="shared" si="51"/>
        <v>400</v>
      </c>
      <c r="F424" s="9">
        <f t="shared" si="52"/>
        <v>12</v>
      </c>
      <c r="G424" s="97">
        <f>B366</f>
        <v>0</v>
      </c>
      <c r="H424" s="84" t="str">
        <f>C369</f>
        <v>BARRA DE FUERZA NULA</v>
      </c>
    </row>
    <row r="425" spans="2:8" ht="19.95" customHeight="1" x14ac:dyDescent="0.3">
      <c r="B425" s="43">
        <v>4</v>
      </c>
      <c r="C425" s="86">
        <f t="shared" si="49"/>
        <v>5</v>
      </c>
      <c r="D425" s="86">
        <f t="shared" si="50"/>
        <v>6</v>
      </c>
      <c r="E425" s="9">
        <f t="shared" si="51"/>
        <v>400</v>
      </c>
      <c r="F425" s="9">
        <f t="shared" si="52"/>
        <v>12</v>
      </c>
      <c r="G425" s="97">
        <f>B374</f>
        <v>-507.9152425293392</v>
      </c>
      <c r="H425" s="84" t="str">
        <f>C377</f>
        <v>BARRA A COMPRESIÓN (-)</v>
      </c>
    </row>
    <row r="426" spans="2:8" ht="19.95" customHeight="1" x14ac:dyDescent="0.3">
      <c r="B426" s="44">
        <v>5</v>
      </c>
      <c r="C426" s="86">
        <f t="shared" si="49"/>
        <v>1</v>
      </c>
      <c r="D426" s="86">
        <f t="shared" si="50"/>
        <v>4</v>
      </c>
      <c r="E426" s="9">
        <f t="shared" si="51"/>
        <v>250</v>
      </c>
      <c r="F426" s="9">
        <f t="shared" si="52"/>
        <v>12</v>
      </c>
      <c r="G426" s="97">
        <f>B382</f>
        <v>0</v>
      </c>
      <c r="H426" s="84" t="str">
        <f>C385</f>
        <v>BARRA DE FUERZA NULA</v>
      </c>
    </row>
    <row r="427" spans="2:8" ht="19.95" customHeight="1" x14ac:dyDescent="0.3">
      <c r="B427" s="51">
        <v>6</v>
      </c>
      <c r="C427" s="86">
        <f t="shared" si="49"/>
        <v>2</v>
      </c>
      <c r="D427" s="86">
        <f t="shared" si="50"/>
        <v>5</v>
      </c>
      <c r="E427" s="9">
        <f t="shared" si="51"/>
        <v>250</v>
      </c>
      <c r="F427" s="9">
        <f t="shared" si="52"/>
        <v>12</v>
      </c>
      <c r="G427" s="97">
        <f>B390</f>
        <v>-7182.5529734191623</v>
      </c>
      <c r="H427" s="84" t="str">
        <f>C393</f>
        <v>BARRA A COMPRESIÓN (-)</v>
      </c>
    </row>
    <row r="428" spans="2:8" ht="19.95" customHeight="1" x14ac:dyDescent="0.3">
      <c r="B428" s="52">
        <v>7</v>
      </c>
      <c r="C428" s="86">
        <f t="shared" si="49"/>
        <v>3</v>
      </c>
      <c r="D428" s="86">
        <f t="shared" si="50"/>
        <v>6</v>
      </c>
      <c r="E428" s="9">
        <f t="shared" si="51"/>
        <v>250</v>
      </c>
      <c r="F428" s="9">
        <f t="shared" si="52"/>
        <v>12</v>
      </c>
      <c r="G428" s="97">
        <f>B398</f>
        <v>-317.4470265808373</v>
      </c>
      <c r="H428" s="84" t="str">
        <f>C401</f>
        <v>BARRA A COMPRESIÓN (-)</v>
      </c>
    </row>
    <row r="429" spans="2:8" ht="19.95" customHeight="1" x14ac:dyDescent="0.3">
      <c r="B429" s="59">
        <v>8</v>
      </c>
      <c r="C429" s="86">
        <f t="shared" si="49"/>
        <v>1</v>
      </c>
      <c r="D429" s="86">
        <f t="shared" si="50"/>
        <v>5</v>
      </c>
      <c r="E429" s="9">
        <f t="shared" si="51"/>
        <v>471.69905660283018</v>
      </c>
      <c r="F429" s="9">
        <f t="shared" si="52"/>
        <v>12</v>
      </c>
      <c r="G429" s="97">
        <f>B406</f>
        <v>-598.95785183821715</v>
      </c>
      <c r="H429" s="84" t="str">
        <f>C409</f>
        <v>BARRA A COMPRESIÓN (-)</v>
      </c>
    </row>
    <row r="430" spans="2:8" ht="19.95" customHeight="1" x14ac:dyDescent="0.3">
      <c r="B430" s="60">
        <v>9</v>
      </c>
      <c r="C430" s="86">
        <f t="shared" si="49"/>
        <v>2</v>
      </c>
      <c r="D430" s="86">
        <f t="shared" si="50"/>
        <v>6</v>
      </c>
      <c r="E430" s="9">
        <f t="shared" si="51"/>
        <v>471.69905660283018</v>
      </c>
      <c r="F430" s="9">
        <f t="shared" si="52"/>
        <v>12</v>
      </c>
      <c r="G430" s="97">
        <f>B414</f>
        <v>598.95785183821783</v>
      </c>
      <c r="H430" s="84" t="str">
        <f>C417</f>
        <v>BARRA A TRACCIÓN (+)</v>
      </c>
    </row>
  </sheetData>
  <mergeCells count="147">
    <mergeCell ref="P366:U366"/>
    <mergeCell ref="P316:U316"/>
    <mergeCell ref="P272:U272"/>
    <mergeCell ref="P308:U308"/>
    <mergeCell ref="P300:U300"/>
    <mergeCell ref="P292:U292"/>
    <mergeCell ref="P358:U358"/>
    <mergeCell ref="P368:U368"/>
    <mergeCell ref="P318:U318"/>
    <mergeCell ref="P365:U365"/>
    <mergeCell ref="P362:U362"/>
    <mergeCell ref="P364:U364"/>
    <mergeCell ref="P325:U325"/>
    <mergeCell ref="B1:N1"/>
    <mergeCell ref="P265:U265"/>
    <mergeCell ref="P305:U305"/>
    <mergeCell ref="P262:U262"/>
    <mergeCell ref="P320:U320"/>
    <mergeCell ref="P314:U314"/>
    <mergeCell ref="C361:F361"/>
    <mergeCell ref="P257:U257"/>
    <mergeCell ref="P282:U282"/>
    <mergeCell ref="P297:U297"/>
    <mergeCell ref="P291:U291"/>
    <mergeCell ref="P356:U356"/>
    <mergeCell ref="E3:H3"/>
    <mergeCell ref="B16:B17"/>
    <mergeCell ref="P307:U307"/>
    <mergeCell ref="P347:U347"/>
    <mergeCell ref="K4:K5"/>
    <mergeCell ref="B2:N2"/>
    <mergeCell ref="P275:U275"/>
    <mergeCell ref="P286:U286"/>
    <mergeCell ref="P261:U261"/>
    <mergeCell ref="P270:U270"/>
    <mergeCell ref="P350:U350"/>
    <mergeCell ref="C385:F385"/>
    <mergeCell ref="P359:U359"/>
    <mergeCell ref="P263:U263"/>
    <mergeCell ref="P346:U346"/>
    <mergeCell ref="P370:U370"/>
    <mergeCell ref="C4:D4"/>
    <mergeCell ref="P355:U355"/>
    <mergeCell ref="P293:U293"/>
    <mergeCell ref="E4:F4"/>
    <mergeCell ref="P268:U268"/>
    <mergeCell ref="P243:U243"/>
    <mergeCell ref="P283:U283"/>
    <mergeCell ref="P348:U348"/>
    <mergeCell ref="P244:U244"/>
    <mergeCell ref="P240:U240"/>
    <mergeCell ref="E16:F16"/>
    <mergeCell ref="H4:H5"/>
    <mergeCell ref="P323:U323"/>
    <mergeCell ref="P354:U354"/>
    <mergeCell ref="C377:F377"/>
    <mergeCell ref="P363:U363"/>
    <mergeCell ref="P298:U298"/>
    <mergeCell ref="P255:U255"/>
    <mergeCell ref="P313:U313"/>
    <mergeCell ref="B420:H420"/>
    <mergeCell ref="P245:U245"/>
    <mergeCell ref="P285:U285"/>
    <mergeCell ref="C369:F369"/>
    <mergeCell ref="P322:U322"/>
    <mergeCell ref="C353:F353"/>
    <mergeCell ref="P269:U269"/>
    <mergeCell ref="P309:U309"/>
    <mergeCell ref="C393:F393"/>
    <mergeCell ref="P259:U259"/>
    <mergeCell ref="P324:U324"/>
    <mergeCell ref="C289:J289"/>
    <mergeCell ref="P301:U301"/>
    <mergeCell ref="P361:U361"/>
    <mergeCell ref="P295:U295"/>
    <mergeCell ref="P258:U258"/>
    <mergeCell ref="P267:U267"/>
    <mergeCell ref="P360:U360"/>
    <mergeCell ref="P273:U273"/>
    <mergeCell ref="P287:U287"/>
    <mergeCell ref="P281:U281"/>
    <mergeCell ref="P296:U296"/>
    <mergeCell ref="P312:U312"/>
    <mergeCell ref="P321:U321"/>
    <mergeCell ref="P352:U352"/>
    <mergeCell ref="P253:U253"/>
    <mergeCell ref="P249:U249"/>
    <mergeCell ref="P242:U242"/>
    <mergeCell ref="P294:U294"/>
    <mergeCell ref="P264:U264"/>
    <mergeCell ref="P357:U357"/>
    <mergeCell ref="P254:U254"/>
    <mergeCell ref="P319:U319"/>
    <mergeCell ref="P315:U315"/>
    <mergeCell ref="P284:U284"/>
    <mergeCell ref="P349:U349"/>
    <mergeCell ref="P302:U302"/>
    <mergeCell ref="P252:U252"/>
    <mergeCell ref="P266:U266"/>
    <mergeCell ref="P288:U288"/>
    <mergeCell ref="P326:U326"/>
    <mergeCell ref="P248:U248"/>
    <mergeCell ref="P279:U279"/>
    <mergeCell ref="P353:U353"/>
    <mergeCell ref="P256:U256"/>
    <mergeCell ref="P235:U235"/>
    <mergeCell ref="C300:D300"/>
    <mergeCell ref="P306:U306"/>
    <mergeCell ref="B4:B5"/>
    <mergeCell ref="P247:U247"/>
    <mergeCell ref="P241:U241"/>
    <mergeCell ref="N4:N5"/>
    <mergeCell ref="P250:U250"/>
    <mergeCell ref="C290:J290"/>
    <mergeCell ref="C16:D16"/>
    <mergeCell ref="G4:G5"/>
    <mergeCell ref="J4:J5"/>
    <mergeCell ref="L4:L5"/>
    <mergeCell ref="P234:U234"/>
    <mergeCell ref="P236:U236"/>
    <mergeCell ref="P238:U238"/>
    <mergeCell ref="P278:U278"/>
    <mergeCell ref="P239:U239"/>
    <mergeCell ref="B3:D3"/>
    <mergeCell ref="P280:U280"/>
    <mergeCell ref="M4:M5"/>
    <mergeCell ref="P274:U274"/>
    <mergeCell ref="P345:U345"/>
    <mergeCell ref="P237:U237"/>
    <mergeCell ref="P246:U246"/>
    <mergeCell ref="C409:F409"/>
    <mergeCell ref="C417:F417"/>
    <mergeCell ref="P251:U251"/>
    <mergeCell ref="I4:I5"/>
    <mergeCell ref="P303:U303"/>
    <mergeCell ref="P369:U369"/>
    <mergeCell ref="P290:U290"/>
    <mergeCell ref="C401:F401"/>
    <mergeCell ref="P299:U299"/>
    <mergeCell ref="P271:U271"/>
    <mergeCell ref="P367:U367"/>
    <mergeCell ref="C261:D261"/>
    <mergeCell ref="P317:U317"/>
    <mergeCell ref="P351:U351"/>
    <mergeCell ref="P233:U233"/>
    <mergeCell ref="P289:U289"/>
    <mergeCell ref="P304:U30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674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6</v>
      </c>
      <c r="E6" s="173"/>
      <c r="F6" s="206">
        <f>SUM(F14:G23)</f>
        <v>4</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400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651</v>
      </c>
      <c r="K14" s="172"/>
      <c r="L14" s="172"/>
      <c r="M14" s="172"/>
      <c r="N14" s="172"/>
      <c r="O14" s="173"/>
      <c r="AA14" s="20">
        <f>IF(E31="","",E31)</f>
        <v>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205" t="s">
        <v>652</v>
      </c>
      <c r="K15" s="172"/>
      <c r="L15" s="172"/>
      <c r="M15" s="172"/>
      <c r="N15" s="172"/>
      <c r="O15" s="173"/>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4000</v>
      </c>
      <c r="I16" s="22">
        <v>-6000</v>
      </c>
      <c r="J16" s="205" t="s">
        <v>653</v>
      </c>
      <c r="K16" s="172"/>
      <c r="L16" s="172"/>
      <c r="M16" s="172"/>
      <c r="N16" s="172"/>
      <c r="O16" s="173"/>
    </row>
    <row r="17" spans="2:29" ht="19.05" customHeight="1" x14ac:dyDescent="0.3">
      <c r="B17" s="89">
        <v>4</v>
      </c>
      <c r="C17" s="21">
        <v>0</v>
      </c>
      <c r="D17" s="21">
        <v>300</v>
      </c>
      <c r="E17" s="21" t="s">
        <v>326</v>
      </c>
      <c r="F17" s="88">
        <f t="shared" si="0"/>
        <v>0</v>
      </c>
      <c r="G17" s="88">
        <f t="shared" si="1"/>
        <v>0</v>
      </c>
      <c r="H17" s="22">
        <v>2000</v>
      </c>
      <c r="I17" s="22">
        <v>0</v>
      </c>
      <c r="J17" s="205" t="s">
        <v>675</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6F00-000000000000}">
      <formula1>"Fijo (articulado),Rodillo Y (despl. X libre),Rodillo X (despl. Y libre),Libre (0 reac.)"</formula1>
    </dataValidation>
  </dataValidations>
  <pageMargins left="0.75" right="0.75" top="1" bottom="1" header="0.5" footer="0.5"/>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676</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GRAFICA_55!E28</f>
        <v>0</v>
      </c>
      <c r="D6" s="22">
        <f>GRAFICA_55!F28</f>
        <v>0</v>
      </c>
      <c r="E6" s="22">
        <f>GRAFICA_55!G28</f>
        <v>400</v>
      </c>
      <c r="F6" s="22">
        <f>GRAFICA_55!H28</f>
        <v>0</v>
      </c>
      <c r="G6" s="9">
        <f t="shared" ref="G6:H11" si="0">E6-C6</f>
        <v>400</v>
      </c>
      <c r="H6" s="9">
        <f t="shared" si="0"/>
        <v>0</v>
      </c>
      <c r="I6" s="9">
        <f t="shared" ref="I6:I11" si="1">SQRT(G6*G6+H6*H6)</f>
        <v>400</v>
      </c>
      <c r="J6" s="92">
        <f t="shared" ref="J6:J11" si="2">G6/I6</f>
        <v>1</v>
      </c>
      <c r="K6" s="92">
        <f t="shared" ref="K6:K11" si="3">H6/I6</f>
        <v>0</v>
      </c>
      <c r="L6" s="22">
        <f>GRAFICA_55!N28</f>
        <v>12</v>
      </c>
      <c r="M6" s="22">
        <f>GRAFICA_55!O28</f>
        <v>2100000</v>
      </c>
      <c r="N6" s="6">
        <f t="shared" ref="N6:N11" si="4">L6*M6/I6</f>
        <v>63000</v>
      </c>
    </row>
    <row r="7" spans="2:14" ht="19.05" customHeight="1" x14ac:dyDescent="0.3">
      <c r="B7" s="25">
        <v>2</v>
      </c>
      <c r="C7" s="22">
        <f>GRAFICA_55!E29</f>
        <v>400</v>
      </c>
      <c r="D7" s="22">
        <f>GRAFICA_55!F29</f>
        <v>0</v>
      </c>
      <c r="E7" s="22">
        <f>GRAFICA_55!G29</f>
        <v>400</v>
      </c>
      <c r="F7" s="22">
        <f>GRAFICA_55!H29</f>
        <v>300</v>
      </c>
      <c r="G7" s="9">
        <f t="shared" si="0"/>
        <v>0</v>
      </c>
      <c r="H7" s="9">
        <f t="shared" si="0"/>
        <v>300</v>
      </c>
      <c r="I7" s="9">
        <f t="shared" si="1"/>
        <v>300</v>
      </c>
      <c r="J7" s="92">
        <f t="shared" si="2"/>
        <v>0</v>
      </c>
      <c r="K7" s="92">
        <f t="shared" si="3"/>
        <v>1</v>
      </c>
      <c r="L7" s="22">
        <f>GRAFICA_55!N29</f>
        <v>12</v>
      </c>
      <c r="M7" s="22">
        <f>GRAFICA_55!O29</f>
        <v>2100000</v>
      </c>
      <c r="N7" s="6">
        <f t="shared" si="4"/>
        <v>84000</v>
      </c>
    </row>
    <row r="8" spans="2:14" ht="19.05" customHeight="1" x14ac:dyDescent="0.3">
      <c r="B8" s="26">
        <v>3</v>
      </c>
      <c r="C8" s="22">
        <f>GRAFICA_55!E30</f>
        <v>400</v>
      </c>
      <c r="D8" s="22">
        <f>GRAFICA_55!F30</f>
        <v>300</v>
      </c>
      <c r="E8" s="22">
        <f>GRAFICA_55!G30</f>
        <v>0</v>
      </c>
      <c r="F8" s="22">
        <f>GRAFICA_55!H30</f>
        <v>300</v>
      </c>
      <c r="G8" s="9">
        <f t="shared" si="0"/>
        <v>-400</v>
      </c>
      <c r="H8" s="9">
        <f t="shared" si="0"/>
        <v>0</v>
      </c>
      <c r="I8" s="9">
        <f t="shared" si="1"/>
        <v>400</v>
      </c>
      <c r="J8" s="92">
        <f t="shared" si="2"/>
        <v>-1</v>
      </c>
      <c r="K8" s="92">
        <f t="shared" si="3"/>
        <v>0</v>
      </c>
      <c r="L8" s="22">
        <f>GRAFICA_55!N30</f>
        <v>12</v>
      </c>
      <c r="M8" s="22">
        <f>GRAFICA_55!O30</f>
        <v>2100000</v>
      </c>
      <c r="N8" s="6">
        <f t="shared" si="4"/>
        <v>63000</v>
      </c>
    </row>
    <row r="9" spans="2:14" ht="19.05" customHeight="1" x14ac:dyDescent="0.3">
      <c r="B9" s="43">
        <v>4</v>
      </c>
      <c r="C9" s="22">
        <f>GRAFICA_55!E31</f>
        <v>0</v>
      </c>
      <c r="D9" s="22">
        <f>GRAFICA_55!F31</f>
        <v>300</v>
      </c>
      <c r="E9" s="22">
        <f>GRAFICA_55!G31</f>
        <v>0</v>
      </c>
      <c r="F9" s="22">
        <f>GRAFICA_55!H31</f>
        <v>0</v>
      </c>
      <c r="G9" s="9">
        <f t="shared" si="0"/>
        <v>0</v>
      </c>
      <c r="H9" s="9">
        <f t="shared" si="0"/>
        <v>-300</v>
      </c>
      <c r="I9" s="9">
        <f t="shared" si="1"/>
        <v>300</v>
      </c>
      <c r="J9" s="92">
        <f t="shared" si="2"/>
        <v>0</v>
      </c>
      <c r="K9" s="92">
        <f t="shared" si="3"/>
        <v>-1</v>
      </c>
      <c r="L9" s="22">
        <f>GRAFICA_55!N31</f>
        <v>12</v>
      </c>
      <c r="M9" s="22">
        <f>GRAFICA_55!O31</f>
        <v>2100000</v>
      </c>
      <c r="N9" s="6">
        <f t="shared" si="4"/>
        <v>84000</v>
      </c>
    </row>
    <row r="10" spans="2:14" ht="19.05" customHeight="1" x14ac:dyDescent="0.3">
      <c r="B10" s="44">
        <v>5</v>
      </c>
      <c r="C10" s="22">
        <f>GRAFICA_55!E32</f>
        <v>0</v>
      </c>
      <c r="D10" s="22">
        <f>GRAFICA_55!F32</f>
        <v>0</v>
      </c>
      <c r="E10" s="22">
        <f>GRAFICA_55!G32</f>
        <v>400</v>
      </c>
      <c r="F10" s="22">
        <f>GRAFICA_55!H32</f>
        <v>300</v>
      </c>
      <c r="G10" s="9">
        <f t="shared" si="0"/>
        <v>400</v>
      </c>
      <c r="H10" s="9">
        <f t="shared" si="0"/>
        <v>300</v>
      </c>
      <c r="I10" s="9">
        <f t="shared" si="1"/>
        <v>500</v>
      </c>
      <c r="J10" s="92">
        <f t="shared" si="2"/>
        <v>0.8</v>
      </c>
      <c r="K10" s="92">
        <f t="shared" si="3"/>
        <v>0.6</v>
      </c>
      <c r="L10" s="22">
        <f>GRAFICA_55!N32</f>
        <v>12</v>
      </c>
      <c r="M10" s="22">
        <f>GRAFICA_55!O32</f>
        <v>2100000</v>
      </c>
      <c r="N10" s="6">
        <f t="shared" si="4"/>
        <v>50400</v>
      </c>
    </row>
    <row r="11" spans="2:14" ht="19.05" customHeight="1" x14ac:dyDescent="0.3">
      <c r="B11" s="51">
        <v>6</v>
      </c>
      <c r="C11" s="22">
        <f>GRAFICA_55!E33</f>
        <v>400</v>
      </c>
      <c r="D11" s="22">
        <f>GRAFICA_55!F33</f>
        <v>0</v>
      </c>
      <c r="E11" s="22">
        <f>GRAFICA_55!G33</f>
        <v>0</v>
      </c>
      <c r="F11" s="22">
        <f>GRAFICA_55!H33</f>
        <v>300</v>
      </c>
      <c r="G11" s="9">
        <f t="shared" si="0"/>
        <v>-400</v>
      </c>
      <c r="H11" s="9">
        <f t="shared" si="0"/>
        <v>300</v>
      </c>
      <c r="I11" s="9">
        <f t="shared" si="1"/>
        <v>500</v>
      </c>
      <c r="J11" s="92">
        <f t="shared" si="2"/>
        <v>-0.8</v>
      </c>
      <c r="K11" s="92">
        <f t="shared" si="3"/>
        <v>0.6</v>
      </c>
      <c r="L11" s="22">
        <f>GRAFICA_55!N33</f>
        <v>12</v>
      </c>
      <c r="M11" s="22">
        <f>GRAFICA_55!O33</f>
        <v>2100000</v>
      </c>
      <c r="N11" s="6">
        <f t="shared" si="4"/>
        <v>50400</v>
      </c>
    </row>
    <row r="13" spans="2:14" ht="18" customHeight="1" x14ac:dyDescent="0.3">
      <c r="B13" s="202" t="s">
        <v>145</v>
      </c>
      <c r="C13" s="202" t="s">
        <v>369</v>
      </c>
      <c r="D13" s="173"/>
      <c r="E13" s="202" t="s">
        <v>370</v>
      </c>
      <c r="F13" s="173"/>
    </row>
    <row r="14" spans="2:14" ht="18" customHeight="1" x14ac:dyDescent="0.3">
      <c r="B14" s="203"/>
      <c r="C14" s="81" t="s">
        <v>157</v>
      </c>
      <c r="D14" s="81" t="s">
        <v>158</v>
      </c>
      <c r="E14" s="81" t="s">
        <v>157</v>
      </c>
      <c r="F14" s="81" t="s">
        <v>158</v>
      </c>
    </row>
    <row r="15" spans="2:14" ht="19.05" customHeight="1" x14ac:dyDescent="0.3">
      <c r="B15" s="85">
        <v>1</v>
      </c>
      <c r="C15" s="23">
        <f>GRAFICA_55!C28</f>
        <v>1</v>
      </c>
      <c r="D15" s="23">
        <f>GRAFICA_55!C28</f>
        <v>1</v>
      </c>
      <c r="E15" s="23">
        <f>GRAFICA_55!D28</f>
        <v>2</v>
      </c>
      <c r="F15" s="23">
        <f>GRAFICA_55!D28</f>
        <v>2</v>
      </c>
    </row>
    <row r="16" spans="2:14" ht="19.05" customHeight="1" x14ac:dyDescent="0.3">
      <c r="B16" s="25">
        <v>2</v>
      </c>
      <c r="C16" s="23">
        <f>GRAFICA_55!C29</f>
        <v>2</v>
      </c>
      <c r="D16" s="23">
        <f>GRAFICA_55!C29</f>
        <v>2</v>
      </c>
      <c r="E16" s="23">
        <f>GRAFICA_55!D29</f>
        <v>3</v>
      </c>
      <c r="F16" s="23">
        <f>GRAFICA_55!D29</f>
        <v>3</v>
      </c>
    </row>
    <row r="17" spans="1:10" ht="19.05" customHeight="1" x14ac:dyDescent="0.3">
      <c r="B17" s="26">
        <v>3</v>
      </c>
      <c r="C17" s="23">
        <f>GRAFICA_55!C30</f>
        <v>3</v>
      </c>
      <c r="D17" s="23">
        <f>GRAFICA_55!C30</f>
        <v>3</v>
      </c>
      <c r="E17" s="23">
        <f>GRAFICA_55!D30</f>
        <v>4</v>
      </c>
      <c r="F17" s="23">
        <f>GRAFICA_55!D30</f>
        <v>4</v>
      </c>
    </row>
    <row r="18" spans="1:10" ht="19.05" customHeight="1" x14ac:dyDescent="0.3">
      <c r="B18" s="43">
        <v>4</v>
      </c>
      <c r="C18" s="23">
        <f>GRAFICA_55!C31</f>
        <v>4</v>
      </c>
      <c r="D18" s="23">
        <f>GRAFICA_55!C31</f>
        <v>4</v>
      </c>
      <c r="E18" s="23">
        <f>GRAFICA_55!D31</f>
        <v>1</v>
      </c>
      <c r="F18" s="23">
        <f>GRAFICA_55!D31</f>
        <v>1</v>
      </c>
    </row>
    <row r="19" spans="1:10" ht="19.05" customHeight="1" x14ac:dyDescent="0.3">
      <c r="B19" s="44">
        <v>5</v>
      </c>
      <c r="C19" s="23">
        <f>GRAFICA_55!C32</f>
        <v>1</v>
      </c>
      <c r="D19" s="23">
        <f>GRAFICA_55!C32</f>
        <v>1</v>
      </c>
      <c r="E19" s="23">
        <f>GRAFICA_55!D32</f>
        <v>3</v>
      </c>
      <c r="F19" s="23">
        <f>GRAFICA_55!D32</f>
        <v>3</v>
      </c>
    </row>
    <row r="20" spans="1:10" ht="19.05" customHeight="1" x14ac:dyDescent="0.3">
      <c r="B20" s="51">
        <v>6</v>
      </c>
      <c r="C20" s="23">
        <f>GRAFICA_55!C33</f>
        <v>2</v>
      </c>
      <c r="D20" s="23">
        <f>GRAFICA_55!C33</f>
        <v>2</v>
      </c>
      <c r="E20" s="23">
        <f>GRAFICA_55!D33</f>
        <v>4</v>
      </c>
      <c r="F20" s="23">
        <f>GRAFICA_55!D33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216" t="s">
        <v>207</v>
      </c>
      <c r="M136" s="172"/>
      <c r="N136" s="172"/>
      <c r="O136" s="172"/>
      <c r="P136" s="172"/>
      <c r="Q136" s="173"/>
    </row>
    <row r="137" spans="1:17" ht="16.95" customHeight="1" x14ac:dyDescent="0.3">
      <c r="B137" s="12" t="s">
        <v>208</v>
      </c>
      <c r="C137" s="12" t="s">
        <v>178</v>
      </c>
      <c r="E137" s="37" t="str">
        <f>IF(GRAFICA_55!F14=1, B137, GRAFICA_55!H14)</f>
        <v>C1X</v>
      </c>
      <c r="L137" s="215" t="s">
        <v>376</v>
      </c>
      <c r="M137" s="172"/>
      <c r="N137" s="172"/>
      <c r="O137" s="172"/>
      <c r="P137" s="172"/>
      <c r="Q137" s="173"/>
    </row>
    <row r="138" spans="1:17" ht="16.95" customHeight="1" x14ac:dyDescent="0.3">
      <c r="B138" s="12" t="s">
        <v>210</v>
      </c>
      <c r="C138" s="12" t="s">
        <v>179</v>
      </c>
      <c r="E138" s="37" t="str">
        <f>IF(GRAFICA_55!G14=1, B138, GRAFICA_55!I14)</f>
        <v>C1Y</v>
      </c>
      <c r="L138" s="215" t="s">
        <v>211</v>
      </c>
      <c r="M138" s="172"/>
      <c r="N138" s="172"/>
      <c r="O138" s="172"/>
      <c r="P138" s="172"/>
      <c r="Q138" s="173"/>
    </row>
    <row r="139" spans="1:17" ht="16.95" customHeight="1" x14ac:dyDescent="0.3">
      <c r="B139" s="12" t="s">
        <v>212</v>
      </c>
      <c r="C139" s="12" t="s">
        <v>180</v>
      </c>
      <c r="E139" s="37" t="str">
        <f>IF(GRAFICA_55!F15=1, B139, GRAFICA_55!H15)</f>
        <v>C2X</v>
      </c>
      <c r="L139" s="215" t="s">
        <v>377</v>
      </c>
      <c r="M139" s="172"/>
      <c r="N139" s="172"/>
      <c r="O139" s="172"/>
      <c r="P139" s="172"/>
      <c r="Q139" s="173"/>
    </row>
    <row r="140" spans="1:17" ht="16.95" customHeight="1" x14ac:dyDescent="0.3">
      <c r="A140" s="38" t="s">
        <v>218</v>
      </c>
      <c r="B140" s="12" t="s">
        <v>214</v>
      </c>
      <c r="C140" s="12" t="s">
        <v>181</v>
      </c>
      <c r="D140" s="13" t="s">
        <v>220</v>
      </c>
      <c r="E140" s="37" t="str">
        <f>IF(GRAFICA_55!G15=1, B140, GRAFICA_55!I15)</f>
        <v>C2Y</v>
      </c>
      <c r="L140" s="215" t="s">
        <v>215</v>
      </c>
      <c r="M140" s="172"/>
      <c r="N140" s="172"/>
      <c r="O140" s="172"/>
      <c r="P140" s="172"/>
      <c r="Q140" s="173"/>
    </row>
    <row r="141" spans="1:17" ht="16.95" customHeight="1" x14ac:dyDescent="0.3">
      <c r="B141" s="12" t="s">
        <v>216</v>
      </c>
      <c r="C141" s="12" t="s">
        <v>182</v>
      </c>
      <c r="E141" s="37">
        <f>IF(GRAFICA_55!F16=1, B141, GRAFICA_55!H16)</f>
        <v>4000</v>
      </c>
      <c r="L141" s="215" t="s">
        <v>378</v>
      </c>
      <c r="M141" s="172"/>
      <c r="N141" s="172"/>
      <c r="O141" s="172"/>
      <c r="P141" s="172"/>
      <c r="Q141" s="173"/>
    </row>
    <row r="142" spans="1:17" ht="16.95" customHeight="1" x14ac:dyDescent="0.3">
      <c r="B142" s="12" t="s">
        <v>219</v>
      </c>
      <c r="C142" s="12" t="s">
        <v>183</v>
      </c>
      <c r="E142" s="37">
        <f>IF(GRAFICA_55!G16=1, B142, GRAFICA_55!I16)</f>
        <v>-6000</v>
      </c>
      <c r="L142" s="215" t="s">
        <v>379</v>
      </c>
      <c r="M142" s="172"/>
      <c r="N142" s="172"/>
      <c r="O142" s="172"/>
      <c r="P142" s="172"/>
      <c r="Q142" s="173"/>
    </row>
    <row r="143" spans="1:17" ht="16.95" customHeight="1" x14ac:dyDescent="0.3">
      <c r="B143" s="12" t="s">
        <v>221</v>
      </c>
      <c r="C143" s="12" t="s">
        <v>184</v>
      </c>
      <c r="E143" s="37">
        <f>IF(GRAFICA_55!F17=1, B143, GRAFICA_55!H17)</f>
        <v>2000</v>
      </c>
      <c r="L143" s="215"/>
      <c r="M143" s="172"/>
      <c r="N143" s="172"/>
      <c r="O143" s="172"/>
      <c r="P143" s="172"/>
      <c r="Q143" s="173"/>
    </row>
    <row r="144" spans="1:17" ht="16.95" customHeight="1" x14ac:dyDescent="0.3">
      <c r="B144" s="12" t="s">
        <v>222</v>
      </c>
      <c r="C144" s="12" t="s">
        <v>185</v>
      </c>
      <c r="E144" s="37">
        <f>IF(GRAFICA_55!G17=1, B144, GRAFICA_55!I17)</f>
        <v>0</v>
      </c>
      <c r="L144" s="215"/>
      <c r="M144" s="172"/>
      <c r="N144" s="172"/>
      <c r="O144" s="172"/>
      <c r="P144" s="172"/>
      <c r="Q144" s="173"/>
    </row>
    <row r="145" spans="1:17" ht="16.95" customHeight="1" x14ac:dyDescent="0.3">
      <c r="L145" s="215"/>
      <c r="M145" s="172"/>
      <c r="N145" s="172"/>
      <c r="O145" s="172"/>
      <c r="P145" s="172"/>
      <c r="Q145" s="173"/>
    </row>
    <row r="146" spans="1:17" ht="16.95" customHeight="1" x14ac:dyDescent="0.35">
      <c r="A146" s="11" t="s">
        <v>227</v>
      </c>
      <c r="L146" s="215"/>
      <c r="M146" s="172"/>
      <c r="N146" s="172"/>
      <c r="O146" s="172"/>
      <c r="P146" s="172"/>
      <c r="Q146" s="173"/>
    </row>
    <row r="147" spans="1:17" ht="16.95" customHeight="1" x14ac:dyDescent="0.3">
      <c r="B147" s="12" t="s">
        <v>228</v>
      </c>
      <c r="C147" s="12" t="s">
        <v>178</v>
      </c>
      <c r="E147" s="39">
        <f>IF(GRAFICA_55!F14=1, 0, B147)</f>
        <v>0</v>
      </c>
      <c r="F147" s="14" t="str">
        <f>IF(E147&lt;&gt;0, COUNTIF(E$147:E147, "&lt;&gt;0"), "")</f>
        <v/>
      </c>
      <c r="G147" s="14">
        <f>IF(E147=0, COUNTIF(E$147:E147, 0), "")</f>
        <v>1</v>
      </c>
      <c r="L147" s="215"/>
      <c r="M147" s="172"/>
      <c r="N147" s="172"/>
      <c r="O147" s="172"/>
      <c r="P147" s="172"/>
      <c r="Q147" s="173"/>
    </row>
    <row r="148" spans="1:17" ht="16.95" customHeight="1" x14ac:dyDescent="0.3">
      <c r="B148" s="12" t="s">
        <v>229</v>
      </c>
      <c r="C148" s="12" t="s">
        <v>179</v>
      </c>
      <c r="E148" s="39">
        <f>IF(GRAFICA_55!G14=1, 0, B148)</f>
        <v>0</v>
      </c>
      <c r="F148" s="14" t="str">
        <f>IF(E148&lt;&gt;0, COUNTIF(E$147:E148, "&lt;&gt;0"), "")</f>
        <v/>
      </c>
      <c r="G148" s="14">
        <f>IF(E148=0, COUNTIF(E$147:E148, 0), "")</f>
        <v>2</v>
      </c>
      <c r="L148" s="215"/>
      <c r="M148" s="172"/>
      <c r="N148" s="172"/>
      <c r="O148" s="172"/>
      <c r="P148" s="172"/>
      <c r="Q148" s="173"/>
    </row>
    <row r="149" spans="1:17" ht="16.95" customHeight="1" x14ac:dyDescent="0.3">
      <c r="B149" s="12" t="s">
        <v>230</v>
      </c>
      <c r="C149" s="12" t="s">
        <v>180</v>
      </c>
      <c r="E149" s="39">
        <f>IF(GRAFICA_55!F15=1, 0, B149)</f>
        <v>0</v>
      </c>
      <c r="F149" s="14" t="str">
        <f>IF(E149&lt;&gt;0, COUNTIF(E$147:E149, "&lt;&gt;0"), "")</f>
        <v/>
      </c>
      <c r="G149" s="14">
        <f>IF(E149=0, COUNTIF(E$147:E149, 0), "")</f>
        <v>3</v>
      </c>
      <c r="L149" s="215"/>
      <c r="M149" s="172"/>
      <c r="N149" s="172"/>
      <c r="O149" s="172"/>
      <c r="P149" s="172"/>
      <c r="Q149" s="173"/>
    </row>
    <row r="150" spans="1:17" ht="16.95" customHeight="1" x14ac:dyDescent="0.3">
      <c r="A150" s="38" t="s">
        <v>233</v>
      </c>
      <c r="B150" s="12" t="s">
        <v>231</v>
      </c>
      <c r="C150" s="12" t="s">
        <v>181</v>
      </c>
      <c r="D150" s="13" t="s">
        <v>220</v>
      </c>
      <c r="E150" s="39">
        <f>IF(GRAFICA_55!G15=1, 0, B150)</f>
        <v>0</v>
      </c>
      <c r="F150" s="14" t="str">
        <f>IF(E150&lt;&gt;0, COUNTIF(E$147:E150, "&lt;&gt;0"), "")</f>
        <v/>
      </c>
      <c r="G150" s="14">
        <f>IF(E150=0, COUNTIF(E$147:E150, 0), "")</f>
        <v>4</v>
      </c>
      <c r="L150" s="215"/>
      <c r="M150" s="172"/>
      <c r="N150" s="172"/>
      <c r="O150" s="172"/>
      <c r="P150" s="172"/>
      <c r="Q150" s="173"/>
    </row>
    <row r="151" spans="1:17" ht="16.95" customHeight="1" x14ac:dyDescent="0.3">
      <c r="B151" s="12" t="s">
        <v>232</v>
      </c>
      <c r="C151" s="12" t="s">
        <v>182</v>
      </c>
      <c r="E151" s="39" t="str">
        <f>IF(GRAFICA_55!F16=1, 0, B151)</f>
        <v>D3X</v>
      </c>
      <c r="F151" s="14">
        <f>IF(E151&lt;&gt;0, COUNTIF(E$147:E151, "&lt;&gt;0"), "")</f>
        <v>1</v>
      </c>
      <c r="G151" s="14" t="str">
        <f>IF(E151=0, COUNTIF(E$147:E151, 0), "")</f>
        <v/>
      </c>
      <c r="L151" s="215"/>
      <c r="M151" s="172"/>
      <c r="N151" s="172"/>
      <c r="O151" s="172"/>
      <c r="P151" s="172"/>
      <c r="Q151" s="173"/>
    </row>
    <row r="152" spans="1:17" ht="16.95" customHeight="1" x14ac:dyDescent="0.3">
      <c r="B152" s="12" t="s">
        <v>234</v>
      </c>
      <c r="C152" s="12" t="s">
        <v>183</v>
      </c>
      <c r="E152" s="39" t="str">
        <f>IF(GRAFICA_55!G16=1, 0, B152)</f>
        <v>D3Y</v>
      </c>
      <c r="F152" s="14">
        <f>IF(E152&lt;&gt;0, COUNTIF(E$147:E152, "&lt;&gt;0"), "")</f>
        <v>2</v>
      </c>
      <c r="G152" s="14" t="str">
        <f>IF(E152=0, COUNTIF(E$147:E152, 0), "")</f>
        <v/>
      </c>
      <c r="L152" s="215"/>
      <c r="M152" s="172"/>
      <c r="N152" s="172"/>
      <c r="O152" s="172"/>
      <c r="P152" s="172"/>
      <c r="Q152" s="173"/>
    </row>
    <row r="153" spans="1:17" ht="16.95" customHeight="1" x14ac:dyDescent="0.3">
      <c r="B153" s="12" t="s">
        <v>235</v>
      </c>
      <c r="C153" s="12" t="s">
        <v>184</v>
      </c>
      <c r="E153" s="39" t="str">
        <f>IF(GRAFICA_55!F17=1, 0, B153)</f>
        <v>D4X</v>
      </c>
      <c r="F153" s="14">
        <f>IF(E153&lt;&gt;0, COUNTIF(E$147:E153, "&lt;&gt;0"), "")</f>
        <v>3</v>
      </c>
      <c r="G153" s="14" t="str">
        <f>IF(E153=0, COUNTIF(E$147:E153, 0), "")</f>
        <v/>
      </c>
      <c r="L153" s="215"/>
      <c r="M153" s="172"/>
      <c r="N153" s="172"/>
      <c r="O153" s="172"/>
      <c r="P153" s="172"/>
      <c r="Q153" s="173"/>
    </row>
    <row r="154" spans="1:17" ht="16.95" customHeight="1" x14ac:dyDescent="0.3">
      <c r="B154" s="12" t="s">
        <v>236</v>
      </c>
      <c r="C154" s="12" t="s">
        <v>185</v>
      </c>
      <c r="E154" s="39" t="str">
        <f>IF(GRAFICA_55!G17=1, 0, B154)</f>
        <v>D4Y</v>
      </c>
      <c r="F154" s="14">
        <f>IF(E154&lt;&gt;0, COUNTIF(E$147:E154, "&lt;&gt;0"), "")</f>
        <v>4</v>
      </c>
      <c r="G154" s="14" t="str">
        <f>IF(E154=0, COUNTIF(E$147:E154, 0), "")</f>
        <v/>
      </c>
      <c r="L154" s="215"/>
      <c r="M154" s="172"/>
      <c r="N154" s="172"/>
      <c r="O154" s="172"/>
      <c r="P154" s="172"/>
      <c r="Q154" s="173"/>
    </row>
    <row r="156" spans="1:17" ht="19.95" customHeight="1" x14ac:dyDescent="0.35">
      <c r="A156" s="15" t="s">
        <v>241</v>
      </c>
      <c r="C156" s="218" t="s">
        <v>242</v>
      </c>
      <c r="D156" s="173"/>
      <c r="E156" s="40" t="s">
        <v>243</v>
      </c>
      <c r="L156" s="216" t="s">
        <v>244</v>
      </c>
      <c r="M156" s="172"/>
      <c r="N156" s="172"/>
      <c r="O156" s="172"/>
      <c r="P156" s="172"/>
      <c r="Q156" s="173"/>
    </row>
    <row r="157" spans="1:17" ht="16.95" customHeight="1" x14ac:dyDescent="0.3">
      <c r="E157" s="40" t="s">
        <v>245</v>
      </c>
      <c r="L157" s="215" t="s">
        <v>246</v>
      </c>
      <c r="M157" s="172"/>
      <c r="N157" s="172"/>
      <c r="O157" s="172"/>
      <c r="P157" s="172"/>
      <c r="Q157" s="173"/>
    </row>
    <row r="158" spans="1:17" ht="16.95" customHeight="1" x14ac:dyDescent="0.3">
      <c r="A158" s="99" t="s">
        <v>247</v>
      </c>
      <c r="C158" s="99" t="s">
        <v>248</v>
      </c>
      <c r="L158" s="215" t="s">
        <v>250</v>
      </c>
      <c r="M158" s="172"/>
      <c r="N158" s="172"/>
      <c r="O158" s="172"/>
      <c r="P158" s="172"/>
      <c r="Q158" s="173"/>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219" t="s">
        <v>380</v>
      </c>
      <c r="M159" s="172"/>
      <c r="N159" s="172"/>
      <c r="O159" s="172"/>
      <c r="P159" s="172"/>
      <c r="Q159" s="173"/>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219" t="s">
        <v>253</v>
      </c>
      <c r="M160" s="172"/>
      <c r="N160" s="172"/>
      <c r="O160" s="172"/>
      <c r="P160" s="172"/>
      <c r="Q160" s="173"/>
    </row>
    <row r="161" spans="1:17" ht="16.95" customHeight="1" x14ac:dyDescent="0.3">
      <c r="A161" s="12" t="str">
        <f t="shared" si="12"/>
        <v>C2X</v>
      </c>
      <c r="C161" s="9">
        <f t="shared" si="13"/>
        <v>-63000</v>
      </c>
      <c r="D161" s="9">
        <f t="shared" si="13"/>
        <v>0</v>
      </c>
      <c r="E161" s="9">
        <f t="shared" si="13"/>
        <v>95256</v>
      </c>
      <c r="F161" s="9">
        <f t="shared" si="13"/>
        <v>-24192</v>
      </c>
      <c r="G161" s="9">
        <f t="shared" si="13"/>
        <v>0</v>
      </c>
      <c r="H161" s="9">
        <f t="shared" si="13"/>
        <v>0</v>
      </c>
      <c r="I161" s="9">
        <f t="shared" si="13"/>
        <v>-32256.000000000007</v>
      </c>
      <c r="J161" s="9">
        <f t="shared" si="13"/>
        <v>24192</v>
      </c>
      <c r="K161" s="13" t="s">
        <v>251</v>
      </c>
      <c r="L161" s="219" t="s">
        <v>254</v>
      </c>
      <c r="M161" s="172"/>
      <c r="N161" s="172"/>
      <c r="O161" s="172"/>
      <c r="P161" s="172"/>
      <c r="Q161" s="173"/>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219" t="s">
        <v>381</v>
      </c>
      <c r="M162" s="172"/>
      <c r="N162" s="172"/>
      <c r="O162" s="172"/>
      <c r="P162" s="172"/>
      <c r="Q162" s="173"/>
    </row>
    <row r="163" spans="1:17" ht="16.95" customHeight="1" x14ac:dyDescent="0.3">
      <c r="A163" s="41">
        <f t="shared" si="12"/>
        <v>4000</v>
      </c>
      <c r="B163" s="13" t="s">
        <v>220</v>
      </c>
      <c r="C163" s="9">
        <f t="shared" si="13"/>
        <v>-32256.000000000007</v>
      </c>
      <c r="D163" s="9">
        <f t="shared" si="13"/>
        <v>-24192</v>
      </c>
      <c r="E163" s="9">
        <f t="shared" si="13"/>
        <v>0</v>
      </c>
      <c r="F163" s="9">
        <f t="shared" si="13"/>
        <v>0</v>
      </c>
      <c r="G163" s="41">
        <f t="shared" si="13"/>
        <v>95256</v>
      </c>
      <c r="H163" s="41">
        <f t="shared" si="13"/>
        <v>24192</v>
      </c>
      <c r="I163" s="41">
        <f t="shared" si="13"/>
        <v>-63000</v>
      </c>
      <c r="J163" s="41">
        <f t="shared" si="13"/>
        <v>0</v>
      </c>
      <c r="K163" s="13" t="s">
        <v>251</v>
      </c>
      <c r="L163" s="215" t="s">
        <v>382</v>
      </c>
      <c r="M163" s="172"/>
      <c r="N163" s="172"/>
      <c r="O163" s="172"/>
      <c r="P163" s="172"/>
      <c r="Q163" s="173"/>
    </row>
    <row r="164" spans="1:17" ht="16.95" customHeight="1" x14ac:dyDescent="0.3">
      <c r="A164" s="41">
        <f t="shared" si="12"/>
        <v>-6000</v>
      </c>
      <c r="C164" s="9">
        <f t="shared" si="13"/>
        <v>-24192</v>
      </c>
      <c r="D164" s="9">
        <f t="shared" si="13"/>
        <v>-18144</v>
      </c>
      <c r="E164" s="9">
        <f t="shared" si="13"/>
        <v>0</v>
      </c>
      <c r="F164" s="9">
        <f t="shared" si="13"/>
        <v>-84000</v>
      </c>
      <c r="G164" s="41">
        <f t="shared" si="13"/>
        <v>24192</v>
      </c>
      <c r="H164" s="41">
        <f t="shared" si="13"/>
        <v>102144</v>
      </c>
      <c r="I164" s="41">
        <f t="shared" si="13"/>
        <v>0</v>
      </c>
      <c r="J164" s="41">
        <f t="shared" si="13"/>
        <v>0</v>
      </c>
      <c r="K164" s="13" t="s">
        <v>251</v>
      </c>
      <c r="L164" s="215" t="str">
        <f>E152</f>
        <v>D3Y</v>
      </c>
      <c r="M164" s="172"/>
      <c r="N164" s="172"/>
      <c r="O164" s="172"/>
      <c r="P164" s="172"/>
      <c r="Q164" s="173"/>
    </row>
    <row r="165" spans="1:17" ht="16.95" customHeight="1" x14ac:dyDescent="0.3">
      <c r="A165" s="41">
        <f t="shared" si="12"/>
        <v>2000</v>
      </c>
      <c r="C165" s="9">
        <f t="shared" si="13"/>
        <v>0</v>
      </c>
      <c r="D165" s="9">
        <f t="shared" si="13"/>
        <v>0</v>
      </c>
      <c r="E165" s="9">
        <f t="shared" si="13"/>
        <v>-32256.000000000007</v>
      </c>
      <c r="F165" s="9">
        <f t="shared" si="13"/>
        <v>24192</v>
      </c>
      <c r="G165" s="41">
        <f t="shared" si="13"/>
        <v>-63000</v>
      </c>
      <c r="H165" s="41">
        <f t="shared" si="13"/>
        <v>0</v>
      </c>
      <c r="I165" s="41">
        <f t="shared" si="13"/>
        <v>95256</v>
      </c>
      <c r="J165" s="41">
        <f t="shared" si="13"/>
        <v>-24192</v>
      </c>
      <c r="K165" s="13" t="s">
        <v>251</v>
      </c>
      <c r="L165" s="215" t="str">
        <f>E153</f>
        <v>D4X</v>
      </c>
      <c r="M165" s="172"/>
      <c r="N165" s="172"/>
      <c r="O165" s="172"/>
      <c r="P165" s="172"/>
      <c r="Q165" s="173"/>
    </row>
    <row r="166" spans="1:17" ht="16.95" customHeight="1" x14ac:dyDescent="0.3">
      <c r="A166" s="41">
        <f t="shared" si="12"/>
        <v>0</v>
      </c>
      <c r="C166" s="9">
        <f t="shared" si="13"/>
        <v>0</v>
      </c>
      <c r="D166" s="9">
        <f t="shared" si="13"/>
        <v>-84000</v>
      </c>
      <c r="E166" s="9">
        <f t="shared" si="13"/>
        <v>24192</v>
      </c>
      <c r="F166" s="9">
        <f t="shared" si="13"/>
        <v>-18144</v>
      </c>
      <c r="G166" s="41">
        <f t="shared" si="13"/>
        <v>0</v>
      </c>
      <c r="H166" s="41">
        <f t="shared" si="13"/>
        <v>0</v>
      </c>
      <c r="I166" s="41">
        <f t="shared" si="13"/>
        <v>-24192</v>
      </c>
      <c r="J166" s="41">
        <f t="shared" si="13"/>
        <v>102144</v>
      </c>
      <c r="K166" s="13" t="s">
        <v>251</v>
      </c>
      <c r="L166" s="215" t="str">
        <f>E154</f>
        <v>D4Y</v>
      </c>
      <c r="M166" s="172"/>
      <c r="N166" s="172"/>
      <c r="O166" s="172"/>
      <c r="P166" s="172"/>
      <c r="Q166" s="173"/>
    </row>
    <row r="169" spans="1:17" ht="19.95" customHeight="1" x14ac:dyDescent="0.35">
      <c r="A169" s="15" t="s">
        <v>257</v>
      </c>
      <c r="L169" s="216" t="s">
        <v>258</v>
      </c>
      <c r="M169" s="172"/>
      <c r="N169" s="172"/>
      <c r="O169" s="172"/>
      <c r="P169" s="172"/>
      <c r="Q169" s="173"/>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215" t="s">
        <v>383</v>
      </c>
      <c r="M170" s="172"/>
      <c r="N170" s="172"/>
      <c r="O170" s="172"/>
      <c r="P170" s="172"/>
      <c r="Q170" s="173"/>
    </row>
    <row r="171" spans="1:17" ht="16.95" customHeight="1" x14ac:dyDescent="0.3">
      <c r="A171" s="41">
        <f>INDEX(E$137:E$144, MATCH(I171, C$137:C$144, 0))</f>
        <v>4000</v>
      </c>
      <c r="C171" s="41">
        <f t="shared" ref="C171:F174" si="14">INDEX($B$126:$I$133, MATCH($I171, $J$126:$J$133, 0), MATCH(C$170, $B$125:$I$125, 0))</f>
        <v>95256</v>
      </c>
      <c r="D171" s="41">
        <f t="shared" si="14"/>
        <v>24192</v>
      </c>
      <c r="E171" s="41">
        <f t="shared" si="14"/>
        <v>-63000</v>
      </c>
      <c r="F171" s="41">
        <f t="shared" si="14"/>
        <v>0</v>
      </c>
      <c r="G171" s="13" t="s">
        <v>251</v>
      </c>
      <c r="H171" s="38" t="str">
        <f>INDEX(B$147:B$154, MATCH(1, F$147:F$154, 0))</f>
        <v>D3X</v>
      </c>
      <c r="I171" s="14" t="str">
        <f>INDEX(C$147:C$154, MATCH(1, F$147:F$154, 0))</f>
        <v>U3X</v>
      </c>
      <c r="L171" s="215" t="s">
        <v>384</v>
      </c>
      <c r="M171" s="172"/>
      <c r="N171" s="172"/>
      <c r="O171" s="172"/>
      <c r="P171" s="172"/>
      <c r="Q171" s="173"/>
    </row>
    <row r="172" spans="1:17" ht="16.95" customHeight="1" x14ac:dyDescent="0.3">
      <c r="A172" s="41">
        <f>INDEX(E$137:E$144, MATCH(I172, C$137:C$144, 0))</f>
        <v>-6000</v>
      </c>
      <c r="C172" s="41">
        <f t="shared" si="14"/>
        <v>24192</v>
      </c>
      <c r="D172" s="41">
        <f t="shared" si="14"/>
        <v>102144</v>
      </c>
      <c r="E172" s="41">
        <f t="shared" si="14"/>
        <v>0</v>
      </c>
      <c r="F172" s="41">
        <f t="shared" si="14"/>
        <v>0</v>
      </c>
      <c r="G172" s="13" t="s">
        <v>251</v>
      </c>
      <c r="H172" s="38" t="str">
        <f>INDEX(B$147:B$154, MATCH(2, F$147:F$154, 0))</f>
        <v>D3Y</v>
      </c>
      <c r="I172" s="14" t="str">
        <f>INDEX(C$147:C$154, MATCH(2, F$147:F$154, 0))</f>
        <v>U3Y</v>
      </c>
      <c r="L172" s="215" t="s">
        <v>385</v>
      </c>
      <c r="M172" s="172"/>
      <c r="N172" s="172"/>
      <c r="O172" s="172"/>
      <c r="P172" s="172"/>
      <c r="Q172" s="173"/>
    </row>
    <row r="173" spans="1:17" ht="16.95" customHeight="1" x14ac:dyDescent="0.3">
      <c r="A173" s="41">
        <f>INDEX(E$137:E$144, MATCH(I173, C$137:C$144, 0))</f>
        <v>2000</v>
      </c>
      <c r="B173" s="13" t="s">
        <v>220</v>
      </c>
      <c r="C173" s="41">
        <f t="shared" si="14"/>
        <v>-63000</v>
      </c>
      <c r="D173" s="41">
        <f t="shared" si="14"/>
        <v>0</v>
      </c>
      <c r="E173" s="41">
        <f t="shared" si="14"/>
        <v>95256</v>
      </c>
      <c r="F173" s="41">
        <f t="shared" si="14"/>
        <v>-24192</v>
      </c>
      <c r="G173" s="13" t="s">
        <v>251</v>
      </c>
      <c r="H173" s="38" t="str">
        <f>INDEX(B$147:B$154, MATCH(3, F$147:F$154, 0))</f>
        <v>D4X</v>
      </c>
      <c r="I173" s="14" t="str">
        <f>INDEX(C$147:C$154, MATCH(3, F$147:F$154, 0))</f>
        <v>U4X</v>
      </c>
      <c r="L173" s="215" t="s">
        <v>386</v>
      </c>
      <c r="M173" s="172"/>
      <c r="N173" s="172"/>
      <c r="O173" s="172"/>
      <c r="P173" s="172"/>
      <c r="Q173" s="173"/>
    </row>
    <row r="174" spans="1:17" ht="16.95" customHeight="1" x14ac:dyDescent="0.3">
      <c r="A174" s="41">
        <f>INDEX(E$137:E$144, MATCH(I174, C$137:C$144, 0))</f>
        <v>0</v>
      </c>
      <c r="C174" s="41">
        <f t="shared" si="14"/>
        <v>0</v>
      </c>
      <c r="D174" s="41">
        <f t="shared" si="14"/>
        <v>0</v>
      </c>
      <c r="E174" s="41">
        <f t="shared" si="14"/>
        <v>-24192</v>
      </c>
      <c r="F174" s="41">
        <f t="shared" si="14"/>
        <v>102144</v>
      </c>
      <c r="G174" s="13" t="s">
        <v>251</v>
      </c>
      <c r="H174" s="38" t="str">
        <f>INDEX(B$147:B$154, MATCH(4, F$147:F$154, 0))</f>
        <v>D4Y</v>
      </c>
      <c r="I174" s="14" t="str">
        <f>INDEX(C$147:C$154, MATCH(4, F$147:F$154, 0))</f>
        <v>U4Y</v>
      </c>
      <c r="L174" s="215" t="s">
        <v>387</v>
      </c>
      <c r="M174" s="172"/>
      <c r="N174" s="172"/>
      <c r="O174" s="172"/>
      <c r="P174" s="172"/>
      <c r="Q174" s="173"/>
    </row>
    <row r="175" spans="1:17" ht="16.95" customHeight="1" x14ac:dyDescent="0.3">
      <c r="L175" s="215" t="s">
        <v>388</v>
      </c>
      <c r="M175" s="172"/>
      <c r="N175" s="172"/>
      <c r="O175" s="172"/>
      <c r="P175" s="172"/>
      <c r="Q175" s="173"/>
    </row>
    <row r="176" spans="1:17" ht="16.95" customHeight="1" x14ac:dyDescent="0.3">
      <c r="C176" s="218" t="s">
        <v>263</v>
      </c>
      <c r="D176" s="172"/>
      <c r="E176" s="172"/>
      <c r="F176" s="173"/>
      <c r="L176" s="215"/>
      <c r="M176" s="172"/>
      <c r="N176" s="172"/>
      <c r="O176" s="172"/>
      <c r="P176" s="172"/>
      <c r="Q176" s="173"/>
    </row>
    <row r="177" spans="1:17" ht="16.95" customHeight="1" x14ac:dyDescent="0.3">
      <c r="A177" s="99" t="s">
        <v>249</v>
      </c>
      <c r="C177" s="193" t="s">
        <v>264</v>
      </c>
      <c r="D177" s="175"/>
      <c r="E177" s="175"/>
      <c r="F177" s="175"/>
      <c r="H177" s="99" t="s">
        <v>247</v>
      </c>
      <c r="L177" s="215"/>
      <c r="M177" s="172"/>
      <c r="N177" s="172"/>
      <c r="O177" s="172"/>
      <c r="P177" s="172"/>
      <c r="Q177" s="173"/>
    </row>
    <row r="178" spans="1:17" ht="16.95" customHeight="1" x14ac:dyDescent="0.3">
      <c r="A178" s="12" t="str">
        <f>H171</f>
        <v>D3X</v>
      </c>
      <c r="C178" s="93">
        <f t="array" ref="C178:F181">MINVERSE(C171:F174)</f>
        <v>2.2127329192546581E-5</v>
      </c>
      <c r="D178" s="93">
        <v>-5.2406832298136638E-6</v>
      </c>
      <c r="E178" s="93">
        <v>1.5571083505866112E-5</v>
      </c>
      <c r="F178" s="93">
        <v>3.6878881987577629E-6</v>
      </c>
      <c r="H178" s="17">
        <f>A171</f>
        <v>4000</v>
      </c>
      <c r="L178" s="215"/>
      <c r="M178" s="172"/>
      <c r="N178" s="172"/>
      <c r="O178" s="172"/>
      <c r="P178" s="172"/>
      <c r="Q178" s="173"/>
    </row>
    <row r="179" spans="1:17" ht="16.95" customHeight="1" x14ac:dyDescent="0.3">
      <c r="A179" s="12" t="str">
        <f>H172</f>
        <v>D3Y</v>
      </c>
      <c r="C179" s="93">
        <v>-5.2406832298136638E-6</v>
      </c>
      <c r="D179" s="93">
        <v>1.103131469979296E-5</v>
      </c>
      <c r="E179" s="93">
        <v>-3.6878881987577633E-6</v>
      </c>
      <c r="F179" s="93">
        <v>-8.7344720496894396E-7</v>
      </c>
      <c r="H179" s="17">
        <f>A172</f>
        <v>-6000</v>
      </c>
      <c r="L179" s="215"/>
      <c r="M179" s="172"/>
      <c r="N179" s="172"/>
      <c r="O179" s="172"/>
      <c r="P179" s="172"/>
      <c r="Q179" s="173"/>
    </row>
    <row r="180" spans="1:17" ht="16.95" customHeight="1" x14ac:dyDescent="0.3">
      <c r="A180" s="12" t="str">
        <f>H173</f>
        <v>D4X</v>
      </c>
      <c r="B180" s="13" t="s">
        <v>220</v>
      </c>
      <c r="C180" s="93">
        <v>1.5571083505866112E-5</v>
      </c>
      <c r="D180" s="93">
        <v>-3.6878881987577638E-6</v>
      </c>
      <c r="E180" s="93">
        <v>2.2127329192546581E-5</v>
      </c>
      <c r="F180" s="93">
        <v>5.2406832298136638E-6</v>
      </c>
      <c r="H180" s="17">
        <f>A173</f>
        <v>2000</v>
      </c>
      <c r="L180" s="215"/>
      <c r="M180" s="172"/>
      <c r="N180" s="172"/>
      <c r="O180" s="172"/>
      <c r="P180" s="172"/>
      <c r="Q180" s="173"/>
    </row>
    <row r="181" spans="1:17" ht="16.95" customHeight="1" x14ac:dyDescent="0.3">
      <c r="A181" s="12" t="str">
        <f>H174</f>
        <v>D4Y</v>
      </c>
      <c r="C181" s="93">
        <v>3.6878881987577638E-6</v>
      </c>
      <c r="D181" s="93">
        <v>-8.7344720496894386E-7</v>
      </c>
      <c r="E181" s="93">
        <v>5.2406832298136638E-6</v>
      </c>
      <c r="F181" s="93">
        <v>1.103131469979296E-5</v>
      </c>
      <c r="H181" s="17">
        <f>A174</f>
        <v>0</v>
      </c>
      <c r="L181" s="215"/>
      <c r="M181" s="172"/>
      <c r="N181" s="172"/>
      <c r="O181" s="172"/>
      <c r="P181" s="172"/>
      <c r="Q181" s="173"/>
    </row>
    <row r="182" spans="1:17" ht="16.95" customHeight="1" x14ac:dyDescent="0.3">
      <c r="L182" s="215"/>
      <c r="M182" s="172"/>
      <c r="N182" s="172"/>
      <c r="O182" s="172"/>
      <c r="P182" s="172"/>
      <c r="Q182" s="173"/>
    </row>
    <row r="183" spans="1:17" ht="16.95" customHeight="1" x14ac:dyDescent="0.3">
      <c r="C183" s="218" t="s">
        <v>265</v>
      </c>
      <c r="D183" s="173"/>
      <c r="L183" s="215"/>
      <c r="M183" s="172"/>
      <c r="N183" s="172"/>
      <c r="O183" s="172"/>
      <c r="P183" s="172"/>
      <c r="Q183" s="173"/>
    </row>
    <row r="184" spans="1:17" ht="16.95" customHeight="1" x14ac:dyDescent="0.3">
      <c r="A184" s="99" t="s">
        <v>249</v>
      </c>
      <c r="C184" s="99" t="s">
        <v>266</v>
      </c>
      <c r="L184" s="215"/>
      <c r="M184" s="172"/>
      <c r="N184" s="172"/>
      <c r="O184" s="172"/>
      <c r="P184" s="172"/>
      <c r="Q184" s="173"/>
    </row>
    <row r="185" spans="1:17" ht="16.95" customHeight="1" x14ac:dyDescent="0.3">
      <c r="A185" s="12" t="str">
        <f>A178</f>
        <v>D3X</v>
      </c>
      <c r="C185" s="94">
        <f t="array" ref="C185:C188">MMULT(C178:F181, H178:H181)</f>
        <v>0.15109558316080052</v>
      </c>
      <c r="D185" s="12" t="s">
        <v>267</v>
      </c>
      <c r="L185" s="215"/>
      <c r="M185" s="172"/>
      <c r="N185" s="172"/>
      <c r="O185" s="172"/>
      <c r="P185" s="172"/>
      <c r="Q185" s="173"/>
    </row>
    <row r="186" spans="1:17" ht="16.95" customHeight="1" x14ac:dyDescent="0.3">
      <c r="A186" s="12" t="str">
        <f>A179</f>
        <v>D3Y</v>
      </c>
      <c r="C186" s="94">
        <v>-9.4526397515527938E-2</v>
      </c>
      <c r="D186" s="12" t="s">
        <v>267</v>
      </c>
      <c r="L186" s="215"/>
      <c r="M186" s="172"/>
      <c r="N186" s="172"/>
      <c r="O186" s="172"/>
      <c r="P186" s="172"/>
      <c r="Q186" s="173"/>
    </row>
    <row r="187" spans="1:17" ht="16.95" customHeight="1" x14ac:dyDescent="0.3">
      <c r="A187" s="12" t="str">
        <f>A180</f>
        <v>D4X</v>
      </c>
      <c r="B187" s="13" t="s">
        <v>220</v>
      </c>
      <c r="C187" s="94">
        <v>0.12866632160110419</v>
      </c>
      <c r="D187" s="12" t="s">
        <v>267</v>
      </c>
      <c r="L187" s="215"/>
      <c r="M187" s="172"/>
      <c r="N187" s="172"/>
      <c r="O187" s="172"/>
      <c r="P187" s="172"/>
      <c r="Q187" s="173"/>
    </row>
    <row r="188" spans="1:17" ht="16.95" customHeight="1" x14ac:dyDescent="0.3">
      <c r="A188" s="12" t="str">
        <f>A181</f>
        <v>D4Y</v>
      </c>
      <c r="C188" s="94">
        <v>3.0473602484472045E-2</v>
      </c>
      <c r="D188" s="12" t="s">
        <v>267</v>
      </c>
      <c r="L188" s="215"/>
      <c r="M188" s="172"/>
      <c r="N188" s="172"/>
      <c r="O188" s="172"/>
      <c r="P188" s="172"/>
      <c r="Q188" s="173"/>
    </row>
    <row r="191" spans="1:17" ht="19.95" customHeight="1" x14ac:dyDescent="0.35">
      <c r="A191" s="11" t="s">
        <v>268</v>
      </c>
      <c r="L191" s="216" t="s">
        <v>269</v>
      </c>
      <c r="M191" s="172"/>
      <c r="N191" s="172"/>
      <c r="O191" s="172"/>
      <c r="P191" s="172"/>
      <c r="Q191" s="173"/>
    </row>
    <row r="192" spans="1:17" ht="16.95" customHeight="1" x14ac:dyDescent="0.3">
      <c r="A192" s="99" t="s">
        <v>247</v>
      </c>
      <c r="H192" s="99" t="s">
        <v>249</v>
      </c>
      <c r="L192" s="215" t="s">
        <v>389</v>
      </c>
      <c r="M192" s="172"/>
      <c r="N192" s="172"/>
      <c r="O192" s="172"/>
      <c r="P192" s="172"/>
      <c r="Q192" s="173"/>
    </row>
    <row r="193" spans="1:17" ht="16.95" customHeight="1" x14ac:dyDescent="0.3">
      <c r="A193" s="18" t="str">
        <f>INDEX(B$137:B$144, MATCH(I193, C$137:C$144, 0))</f>
        <v>C1X</v>
      </c>
      <c r="C193" s="9">
        <f t="shared" ref="C193:F196" si="15">INDEX($B$126:$I$133, MATCH($I193, $J$126:$J$133, 0), MATCH(C$170, $B$125:$I$125, 0))</f>
        <v>-32256.000000000007</v>
      </c>
      <c r="D193" s="9">
        <f t="shared" si="15"/>
        <v>-24192</v>
      </c>
      <c r="E193" s="9">
        <f t="shared" si="15"/>
        <v>0</v>
      </c>
      <c r="F193" s="9">
        <f t="shared" si="15"/>
        <v>0</v>
      </c>
      <c r="H193" s="95">
        <f>C185</f>
        <v>0.15109558316080052</v>
      </c>
      <c r="I193" s="14" t="str">
        <f>INDEX(C$147:C$154, MATCH(1, G$147:G$154, 0))</f>
        <v>U1X</v>
      </c>
      <c r="L193" s="215" t="s">
        <v>390</v>
      </c>
      <c r="M193" s="172"/>
      <c r="N193" s="172"/>
      <c r="O193" s="172"/>
      <c r="P193" s="172"/>
      <c r="Q193" s="173"/>
    </row>
    <row r="194" spans="1:17" ht="16.95" customHeight="1" x14ac:dyDescent="0.3">
      <c r="A194" s="18" t="str">
        <f>INDEX(B$137:B$144, MATCH(I194, C$137:C$144, 0))</f>
        <v>C1Y</v>
      </c>
      <c r="C194" s="9">
        <f t="shared" si="15"/>
        <v>-24192</v>
      </c>
      <c r="D194" s="9">
        <f t="shared" si="15"/>
        <v>-18144</v>
      </c>
      <c r="E194" s="9">
        <f t="shared" si="15"/>
        <v>0</v>
      </c>
      <c r="F194" s="9">
        <f t="shared" si="15"/>
        <v>-84000</v>
      </c>
      <c r="H194" s="95">
        <f>C186</f>
        <v>-9.4526397515527938E-2</v>
      </c>
      <c r="I194" s="14" t="str">
        <f>INDEX(C$147:C$154, MATCH(2, G$147:G$154, 0))</f>
        <v>U1Y</v>
      </c>
      <c r="L194" s="215" t="s">
        <v>391</v>
      </c>
      <c r="M194" s="172"/>
      <c r="N194" s="172"/>
      <c r="O194" s="172"/>
      <c r="P194" s="172"/>
      <c r="Q194" s="173"/>
    </row>
    <row r="195" spans="1:17" ht="16.95" customHeight="1" x14ac:dyDescent="0.3">
      <c r="A195" s="18" t="str">
        <f>INDEX(B$137:B$144, MATCH(I195, C$137:C$144, 0))</f>
        <v>C2X</v>
      </c>
      <c r="B195" s="13" t="s">
        <v>220</v>
      </c>
      <c r="C195" s="9">
        <f t="shared" si="15"/>
        <v>0</v>
      </c>
      <c r="D195" s="9">
        <f t="shared" si="15"/>
        <v>0</v>
      </c>
      <c r="E195" s="9">
        <f t="shared" si="15"/>
        <v>-32256.000000000007</v>
      </c>
      <c r="F195" s="9">
        <f t="shared" si="15"/>
        <v>24192</v>
      </c>
      <c r="H195" s="95">
        <f>C187</f>
        <v>0.12866632160110419</v>
      </c>
      <c r="I195" s="14" t="str">
        <f>INDEX(C$147:C$154, MATCH(3, G$147:G$154, 0))</f>
        <v>U2X</v>
      </c>
      <c r="L195" s="215" t="s">
        <v>392</v>
      </c>
      <c r="M195" s="172"/>
      <c r="N195" s="172"/>
      <c r="O195" s="172"/>
      <c r="P195" s="172"/>
      <c r="Q195" s="173"/>
    </row>
    <row r="196" spans="1:17" ht="16.95" customHeight="1" x14ac:dyDescent="0.3">
      <c r="A196" s="18" t="str">
        <f>INDEX(B$137:B$144, MATCH(I196, C$137:C$144, 0))</f>
        <v>C2Y</v>
      </c>
      <c r="C196" s="9">
        <f t="shared" si="15"/>
        <v>0</v>
      </c>
      <c r="D196" s="9">
        <f t="shared" si="15"/>
        <v>-84000</v>
      </c>
      <c r="E196" s="9">
        <f t="shared" si="15"/>
        <v>24192</v>
      </c>
      <c r="F196" s="9">
        <f t="shared" si="15"/>
        <v>-18144</v>
      </c>
      <c r="H196" s="95">
        <f>C188</f>
        <v>3.0473602484472045E-2</v>
      </c>
      <c r="I196" s="14" t="str">
        <f>INDEX(C$147:C$154, MATCH(4, G$147:G$154, 0))</f>
        <v>U2Y</v>
      </c>
      <c r="L196" s="215" t="s">
        <v>393</v>
      </c>
      <c r="M196" s="172"/>
      <c r="N196" s="172"/>
      <c r="O196" s="172"/>
      <c r="P196" s="172"/>
      <c r="Q196" s="173"/>
    </row>
    <row r="197" spans="1:17" ht="16.95" customHeight="1" x14ac:dyDescent="0.3">
      <c r="L197" s="215" t="s">
        <v>394</v>
      </c>
      <c r="M197" s="172"/>
      <c r="N197" s="172"/>
      <c r="O197" s="172"/>
      <c r="P197" s="172"/>
      <c r="Q197" s="173"/>
    </row>
    <row r="198" spans="1:17" ht="16.95" customHeight="1" x14ac:dyDescent="0.3">
      <c r="A198" s="12" t="str">
        <f>A193</f>
        <v>C1X</v>
      </c>
      <c r="C198" s="17">
        <f t="array" ref="C198:C201">MMULT(C193:F196, H193:H196)</f>
        <v>-2586.9565217391309</v>
      </c>
      <c r="D198" s="12" t="s">
        <v>273</v>
      </c>
      <c r="L198" s="215"/>
      <c r="M198" s="172"/>
      <c r="N198" s="172"/>
      <c r="O198" s="172"/>
      <c r="P198" s="172"/>
      <c r="Q198" s="173"/>
    </row>
    <row r="199" spans="1:17" ht="16.95" customHeight="1" x14ac:dyDescent="0.3">
      <c r="A199" s="12" t="str">
        <f>A194</f>
        <v>C1Y</v>
      </c>
      <c r="C199" s="17">
        <v>-4499.9999999999982</v>
      </c>
      <c r="D199" s="12" t="s">
        <v>273</v>
      </c>
      <c r="L199" s="215"/>
      <c r="M199" s="172"/>
      <c r="N199" s="172"/>
      <c r="O199" s="172"/>
      <c r="P199" s="172"/>
      <c r="Q199" s="173"/>
    </row>
    <row r="200" spans="1:17" ht="16.95" customHeight="1" x14ac:dyDescent="0.3">
      <c r="A200" s="12" t="str">
        <f>A195</f>
        <v>C2X</v>
      </c>
      <c r="B200" s="13" t="s">
        <v>220</v>
      </c>
      <c r="C200" s="17">
        <v>-3413.04347826087</v>
      </c>
      <c r="D200" s="12" t="s">
        <v>273</v>
      </c>
      <c r="L200" s="215"/>
      <c r="M200" s="172"/>
      <c r="N200" s="172"/>
      <c r="O200" s="172"/>
      <c r="P200" s="172"/>
      <c r="Q200" s="173"/>
    </row>
    <row r="201" spans="1:17" ht="16.95" customHeight="1" x14ac:dyDescent="0.3">
      <c r="A201" s="12" t="str">
        <f>A196</f>
        <v>C2Y</v>
      </c>
      <c r="C201" s="17">
        <v>10500</v>
      </c>
      <c r="D201" s="12" t="s">
        <v>273</v>
      </c>
      <c r="L201" s="215"/>
      <c r="M201" s="172"/>
      <c r="N201" s="172"/>
      <c r="O201" s="172"/>
      <c r="P201" s="172"/>
      <c r="Q201" s="173"/>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0.15109558316080052</v>
      </c>
    </row>
    <row r="211" spans="1:17" ht="19.05" customHeight="1" x14ac:dyDescent="0.3">
      <c r="A211" s="12" t="s">
        <v>234</v>
      </c>
      <c r="B211" s="12" t="s">
        <v>183</v>
      </c>
      <c r="D211" s="94">
        <f t="shared" si="16"/>
        <v>-9.4526397515527938E-2</v>
      </c>
    </row>
    <row r="212" spans="1:17" ht="19.05" customHeight="1" x14ac:dyDescent="0.3">
      <c r="A212" s="12" t="s">
        <v>235</v>
      </c>
      <c r="B212" s="12" t="s">
        <v>184</v>
      </c>
      <c r="D212" s="94">
        <f t="shared" si="16"/>
        <v>0.12866632160110419</v>
      </c>
    </row>
    <row r="213" spans="1:17" ht="19.05" customHeight="1" x14ac:dyDescent="0.3">
      <c r="A213" s="12" t="s">
        <v>236</v>
      </c>
      <c r="B213" s="12" t="s">
        <v>185</v>
      </c>
      <c r="D213" s="94">
        <f t="shared" si="16"/>
        <v>3.0473602484472045E-2</v>
      </c>
    </row>
    <row r="216" spans="1:17" ht="19.95" customHeight="1" x14ac:dyDescent="0.35">
      <c r="A216" s="11" t="s">
        <v>275</v>
      </c>
      <c r="L216" s="216" t="s">
        <v>276</v>
      </c>
      <c r="M216" s="172"/>
      <c r="N216" s="172"/>
      <c r="O216" s="172"/>
      <c r="P216" s="172"/>
      <c r="Q216" s="173"/>
    </row>
    <row r="217" spans="1:17" ht="16.95" customHeight="1" x14ac:dyDescent="0.3">
      <c r="L217" s="215" t="s">
        <v>395</v>
      </c>
      <c r="M217" s="172"/>
      <c r="N217" s="172"/>
      <c r="O217" s="172"/>
      <c r="P217" s="172"/>
      <c r="Q217" s="173"/>
    </row>
    <row r="218" spans="1:17" ht="16.95" customHeight="1" x14ac:dyDescent="0.3">
      <c r="A218" s="19" t="s">
        <v>278</v>
      </c>
      <c r="C218" s="19" t="s">
        <v>279</v>
      </c>
      <c r="D218" s="19" t="s">
        <v>280</v>
      </c>
      <c r="E218" s="19" t="s">
        <v>279</v>
      </c>
      <c r="F218" s="19" t="s">
        <v>280</v>
      </c>
      <c r="G218" s="19" t="s">
        <v>249</v>
      </c>
      <c r="L218" s="215" t="s">
        <v>396</v>
      </c>
      <c r="M218" s="172"/>
      <c r="N218" s="172"/>
      <c r="O218" s="172"/>
      <c r="P218" s="172"/>
      <c r="Q218" s="173"/>
    </row>
    <row r="219" spans="1:17" ht="16.95" customHeight="1" x14ac:dyDescent="0.3">
      <c r="C219" s="19" t="s">
        <v>282</v>
      </c>
      <c r="D219" s="19" t="s">
        <v>282</v>
      </c>
      <c r="E219" s="19" t="s">
        <v>283</v>
      </c>
      <c r="F219" s="19" t="s">
        <v>283</v>
      </c>
      <c r="L219" s="215" t="s">
        <v>397</v>
      </c>
      <c r="M219" s="172"/>
      <c r="N219" s="172"/>
      <c r="O219" s="172"/>
      <c r="P219" s="172"/>
      <c r="Q219" s="173"/>
    </row>
    <row r="220" spans="1:17" ht="16.95" customHeight="1" x14ac:dyDescent="0.3">
      <c r="A220" s="17">
        <f>N6</f>
        <v>63000</v>
      </c>
      <c r="C220" s="92">
        <f>-J6</f>
        <v>-1</v>
      </c>
      <c r="D220" s="92">
        <f>-K6</f>
        <v>0</v>
      </c>
      <c r="E220" s="92">
        <f>J6</f>
        <v>1</v>
      </c>
      <c r="F220" s="92">
        <f>K6</f>
        <v>0</v>
      </c>
      <c r="G220" s="96">
        <f>IFERROR(VLOOKUP(H220, A$206:D$213, 4, FALSE), 0)</f>
        <v>0</v>
      </c>
      <c r="H220" s="12" t="str">
        <f>"D" &amp; C15 &amp; "X"</f>
        <v>D1X</v>
      </c>
      <c r="L220" s="215" t="s">
        <v>398</v>
      </c>
      <c r="M220" s="172"/>
      <c r="N220" s="172"/>
      <c r="O220" s="172"/>
      <c r="P220" s="172"/>
      <c r="Q220" s="173"/>
    </row>
    <row r="221" spans="1:17" ht="16.95" customHeight="1" x14ac:dyDescent="0.3">
      <c r="A221" s="99" t="s">
        <v>285</v>
      </c>
      <c r="B221" s="97">
        <f>(MMULT(C220:F220, G220:G223)*A220)</f>
        <v>0</v>
      </c>
      <c r="G221" s="96">
        <f>IFERROR(VLOOKUP(H221, A$206:D$213, 4, FALSE), 0)</f>
        <v>0</v>
      </c>
      <c r="H221" s="12" t="str">
        <f>"D" &amp; D15 &amp; "Y"</f>
        <v>D1Y</v>
      </c>
      <c r="L221" s="215" t="s">
        <v>399</v>
      </c>
      <c r="M221" s="172"/>
      <c r="N221" s="172"/>
      <c r="O221" s="172"/>
      <c r="P221" s="172"/>
      <c r="Q221" s="173"/>
    </row>
    <row r="222" spans="1:17" ht="16.95" customHeight="1" x14ac:dyDescent="0.3">
      <c r="G222" s="96">
        <f>IFERROR(VLOOKUP(H222, A$206:D$213, 4, FALSE), 0)</f>
        <v>0</v>
      </c>
      <c r="H222" s="12" t="str">
        <f>"D" &amp; E15 &amp; "X"</f>
        <v>D2X</v>
      </c>
      <c r="L222" s="215" t="s">
        <v>400</v>
      </c>
      <c r="M222" s="172"/>
      <c r="N222" s="172"/>
      <c r="O222" s="172"/>
      <c r="P222" s="172"/>
      <c r="Q222" s="173"/>
    </row>
    <row r="223" spans="1:17" ht="16.95" customHeight="1" x14ac:dyDescent="0.3">
      <c r="G223" s="96">
        <f>IFERROR(VLOOKUP(H223, A$206:D$213, 4, FALSE), 0)</f>
        <v>0</v>
      </c>
      <c r="H223" s="12" t="str">
        <f>"D" &amp; F15 &amp; "Y"</f>
        <v>D2Y</v>
      </c>
      <c r="L223" s="215" t="s">
        <v>401</v>
      </c>
      <c r="M223" s="172"/>
      <c r="N223" s="172"/>
      <c r="O223" s="172"/>
      <c r="P223" s="172"/>
      <c r="Q223" s="173"/>
    </row>
    <row r="224" spans="1:17" ht="16.95" customHeight="1" x14ac:dyDescent="0.3">
      <c r="B224" s="99" t="s">
        <v>273</v>
      </c>
      <c r="C224" s="178" t="str">
        <f>IF(B221&gt;0.001,"BARRA A TRACCIÓN (+)",IF(B221&lt;-0.001,"BARRA A COMPRESIÓN (-)","BARRA DE FUERZA NULA"))</f>
        <v>BARRA DE FUERZA NULA</v>
      </c>
      <c r="D224" s="172"/>
      <c r="E224" s="172"/>
      <c r="F224" s="173"/>
      <c r="L224" s="215" t="s">
        <v>402</v>
      </c>
      <c r="M224" s="172"/>
      <c r="N224" s="172"/>
      <c r="O224" s="172"/>
      <c r="P224" s="172"/>
      <c r="Q224" s="173"/>
    </row>
    <row r="225" spans="1:17" ht="16.95" customHeight="1" x14ac:dyDescent="0.3">
      <c r="L225" s="215" t="s">
        <v>403</v>
      </c>
      <c r="M225" s="172"/>
      <c r="N225" s="172"/>
      <c r="O225" s="172"/>
      <c r="P225" s="172"/>
      <c r="Q225" s="173"/>
    </row>
    <row r="226" spans="1:17" ht="16.95" customHeight="1" x14ac:dyDescent="0.3">
      <c r="A226" s="19" t="s">
        <v>278</v>
      </c>
      <c r="C226" s="19" t="s">
        <v>279</v>
      </c>
      <c r="D226" s="19" t="s">
        <v>280</v>
      </c>
      <c r="E226" s="19" t="s">
        <v>279</v>
      </c>
      <c r="F226" s="19" t="s">
        <v>280</v>
      </c>
      <c r="G226" s="19" t="s">
        <v>249</v>
      </c>
      <c r="L226" s="215"/>
      <c r="M226" s="172"/>
      <c r="N226" s="172"/>
      <c r="O226" s="172"/>
      <c r="P226" s="172"/>
      <c r="Q226" s="173"/>
    </row>
    <row r="227" spans="1:17" ht="16.95" customHeight="1" x14ac:dyDescent="0.3">
      <c r="C227" s="19" t="s">
        <v>282</v>
      </c>
      <c r="D227" s="19" t="s">
        <v>282</v>
      </c>
      <c r="E227" s="19" t="s">
        <v>283</v>
      </c>
      <c r="F227" s="19" t="s">
        <v>283</v>
      </c>
      <c r="L227" s="215"/>
      <c r="M227" s="172"/>
      <c r="N227" s="172"/>
      <c r="O227" s="172"/>
      <c r="P227" s="172"/>
      <c r="Q227" s="173"/>
    </row>
    <row r="228" spans="1:17" ht="16.95" customHeight="1" x14ac:dyDescent="0.3">
      <c r="A228" s="17">
        <f>N7</f>
        <v>84000</v>
      </c>
      <c r="C228" s="92">
        <f>-J7</f>
        <v>0</v>
      </c>
      <c r="D228" s="92">
        <f>-K7</f>
        <v>-1</v>
      </c>
      <c r="E228" s="92">
        <f>J7</f>
        <v>0</v>
      </c>
      <c r="F228" s="92">
        <f>K7</f>
        <v>1</v>
      </c>
      <c r="G228" s="96">
        <f>IFERROR(VLOOKUP(H228, A$206:D$213, 4, FALSE), 0)</f>
        <v>0</v>
      </c>
      <c r="H228" s="12" t="str">
        <f>"D" &amp; C16 &amp; "X"</f>
        <v>D2X</v>
      </c>
      <c r="L228" s="215"/>
      <c r="M228" s="172"/>
      <c r="N228" s="172"/>
      <c r="O228" s="172"/>
      <c r="P228" s="172"/>
      <c r="Q228" s="173"/>
    </row>
    <row r="229" spans="1:17" ht="16.95" customHeight="1" x14ac:dyDescent="0.3">
      <c r="A229" s="99" t="s">
        <v>286</v>
      </c>
      <c r="B229" s="97">
        <f>(MMULT(C228:F228, G228:G231)*A228)</f>
        <v>-7940.2173913043471</v>
      </c>
      <c r="G229" s="96">
        <f>IFERROR(VLOOKUP(H229, A$206:D$213, 4, FALSE), 0)</f>
        <v>0</v>
      </c>
      <c r="H229" s="12" t="str">
        <f>"D" &amp; D16 &amp; "Y"</f>
        <v>D2Y</v>
      </c>
      <c r="L229" s="215"/>
      <c r="M229" s="172"/>
      <c r="N229" s="172"/>
      <c r="O229" s="172"/>
      <c r="P229" s="172"/>
      <c r="Q229" s="173"/>
    </row>
    <row r="230" spans="1:17" ht="16.95" customHeight="1" x14ac:dyDescent="0.3">
      <c r="G230" s="96">
        <f>IFERROR(VLOOKUP(H230, A$206:D$213, 4, FALSE), 0)</f>
        <v>0.15109558316080052</v>
      </c>
      <c r="H230" s="12" t="str">
        <f>"D" &amp; E16 &amp; "X"</f>
        <v>D3X</v>
      </c>
      <c r="L230" s="215"/>
      <c r="M230" s="172"/>
      <c r="N230" s="172"/>
      <c r="O230" s="172"/>
      <c r="P230" s="172"/>
      <c r="Q230" s="173"/>
    </row>
    <row r="231" spans="1:17" ht="16.95" customHeight="1" x14ac:dyDescent="0.3">
      <c r="G231" s="96">
        <f>IFERROR(VLOOKUP(H231, A$206:D$213, 4, FALSE), 0)</f>
        <v>-9.4526397515527938E-2</v>
      </c>
      <c r="H231" s="12" t="str">
        <f>"D" &amp; F16 &amp; "Y"</f>
        <v>D3Y</v>
      </c>
      <c r="L231" s="215"/>
      <c r="M231" s="172"/>
      <c r="N231" s="172"/>
      <c r="O231" s="172"/>
      <c r="P231" s="172"/>
      <c r="Q231" s="173"/>
    </row>
    <row r="232" spans="1:17" ht="16.95" customHeight="1" x14ac:dyDescent="0.3">
      <c r="B232" s="99" t="s">
        <v>273</v>
      </c>
      <c r="C232" s="178" t="str">
        <f>IF(B229&gt;0.001,"BARRA A TRACCIÓN (+)",IF(B229&lt;-0.001,"BARRA A COMPRESIÓN (-)","BARRA DE FUERZA NULA"))</f>
        <v>BARRA A COMPRESIÓN (-)</v>
      </c>
      <c r="D232" s="172"/>
      <c r="E232" s="172"/>
      <c r="F232" s="173"/>
      <c r="L232" s="215"/>
      <c r="M232" s="172"/>
      <c r="N232" s="172"/>
      <c r="O232" s="172"/>
      <c r="P232" s="172"/>
      <c r="Q232" s="173"/>
    </row>
    <row r="233" spans="1:17" ht="16.95" customHeight="1" x14ac:dyDescent="0.3">
      <c r="L233" s="215"/>
      <c r="M233" s="172"/>
      <c r="N233" s="172"/>
      <c r="O233" s="172"/>
      <c r="P233" s="172"/>
      <c r="Q233" s="173"/>
    </row>
    <row r="234" spans="1:17" ht="16.95" customHeight="1" x14ac:dyDescent="0.3">
      <c r="A234" s="19" t="s">
        <v>278</v>
      </c>
      <c r="C234" s="19" t="s">
        <v>279</v>
      </c>
      <c r="D234" s="19" t="s">
        <v>280</v>
      </c>
      <c r="E234" s="19" t="s">
        <v>279</v>
      </c>
      <c r="F234" s="19" t="s">
        <v>280</v>
      </c>
      <c r="G234" s="19" t="s">
        <v>249</v>
      </c>
      <c r="L234" s="215"/>
      <c r="M234" s="172"/>
      <c r="N234" s="172"/>
      <c r="O234" s="172"/>
      <c r="P234" s="172"/>
      <c r="Q234" s="173"/>
    </row>
    <row r="235" spans="1:17" ht="16.95" customHeight="1" x14ac:dyDescent="0.3">
      <c r="C235" s="19" t="s">
        <v>282</v>
      </c>
      <c r="D235" s="19" t="s">
        <v>282</v>
      </c>
      <c r="E235" s="19" t="s">
        <v>283</v>
      </c>
      <c r="F235" s="19" t="s">
        <v>283</v>
      </c>
      <c r="L235" s="215"/>
      <c r="M235" s="172"/>
      <c r="N235" s="172"/>
      <c r="O235" s="172"/>
      <c r="P235" s="172"/>
      <c r="Q235" s="173"/>
    </row>
    <row r="236" spans="1:17" ht="16.95" customHeight="1" x14ac:dyDescent="0.3">
      <c r="A236" s="17">
        <f>N8</f>
        <v>63000</v>
      </c>
      <c r="C236" s="92">
        <f>-J8</f>
        <v>1</v>
      </c>
      <c r="D236" s="92">
        <f>-K8</f>
        <v>0</v>
      </c>
      <c r="E236" s="92">
        <f>J8</f>
        <v>-1</v>
      </c>
      <c r="F236" s="92">
        <f>K8</f>
        <v>0</v>
      </c>
      <c r="G236" s="96">
        <f>IFERROR(VLOOKUP(H236, A$206:D$213, 4, FALSE), 0)</f>
        <v>0.15109558316080052</v>
      </c>
      <c r="H236" s="12" t="str">
        <f>"D" &amp; C17 &amp; "X"</f>
        <v>D3X</v>
      </c>
      <c r="L236" s="215"/>
      <c r="M236" s="172"/>
      <c r="N236" s="172"/>
      <c r="O236" s="172"/>
      <c r="P236" s="172"/>
      <c r="Q236" s="173"/>
    </row>
    <row r="237" spans="1:17" ht="16.95" customHeight="1" x14ac:dyDescent="0.3">
      <c r="A237" s="99" t="s">
        <v>287</v>
      </c>
      <c r="B237" s="97">
        <f>(MMULT(C236:F236, G236:G239)*A236)</f>
        <v>1413.0434782608684</v>
      </c>
      <c r="G237" s="96">
        <f>IFERROR(VLOOKUP(H237, A$206:D$213, 4, FALSE), 0)</f>
        <v>-9.4526397515527938E-2</v>
      </c>
      <c r="H237" s="12" t="str">
        <f>"D" &amp; D17 &amp; "Y"</f>
        <v>D3Y</v>
      </c>
      <c r="L237" s="215"/>
      <c r="M237" s="172"/>
      <c r="N237" s="172"/>
      <c r="O237" s="172"/>
      <c r="P237" s="172"/>
      <c r="Q237" s="173"/>
    </row>
    <row r="238" spans="1:17" ht="16.95" customHeight="1" x14ac:dyDescent="0.3">
      <c r="G238" s="96">
        <f>IFERROR(VLOOKUP(H238, A$206:D$213, 4, FALSE), 0)</f>
        <v>0.12866632160110419</v>
      </c>
      <c r="H238" s="12" t="str">
        <f>"D" &amp; E17 &amp; "X"</f>
        <v>D4X</v>
      </c>
      <c r="L238" s="215"/>
      <c r="M238" s="172"/>
      <c r="N238" s="172"/>
      <c r="O238" s="172"/>
      <c r="P238" s="172"/>
      <c r="Q238" s="173"/>
    </row>
    <row r="239" spans="1:17" ht="16.95" customHeight="1" x14ac:dyDescent="0.3">
      <c r="G239" s="96">
        <f>IFERROR(VLOOKUP(H239, A$206:D$213, 4, FALSE), 0)</f>
        <v>3.0473602484472045E-2</v>
      </c>
      <c r="H239" s="12" t="str">
        <f>"D" &amp; F17 &amp; "Y"</f>
        <v>D4Y</v>
      </c>
      <c r="L239" s="215"/>
      <c r="M239" s="172"/>
      <c r="N239" s="172"/>
      <c r="O239" s="172"/>
      <c r="P239" s="172"/>
      <c r="Q239" s="173"/>
    </row>
    <row r="240" spans="1:17" ht="16.95" customHeight="1" x14ac:dyDescent="0.3">
      <c r="B240" s="99" t="s">
        <v>273</v>
      </c>
      <c r="C240" s="178" t="str">
        <f>IF(B237&gt;0.001,"BARRA A TRACCIÓN (+)",IF(B237&lt;-0.001,"BARRA A COMPRESIÓN (-)","BARRA DE FUERZA NULA"))</f>
        <v>BARRA A TRACCIÓN (+)</v>
      </c>
      <c r="D240" s="172"/>
      <c r="E240" s="172"/>
      <c r="F240" s="173"/>
      <c r="L240" s="215"/>
      <c r="M240" s="172"/>
      <c r="N240" s="172"/>
      <c r="O240" s="172"/>
      <c r="P240" s="172"/>
      <c r="Q240" s="173"/>
    </row>
    <row r="241" spans="1:17" ht="16.95" customHeight="1" x14ac:dyDescent="0.3">
      <c r="L241" s="215"/>
      <c r="M241" s="172"/>
      <c r="N241" s="172"/>
      <c r="O241" s="172"/>
      <c r="P241" s="172"/>
      <c r="Q241" s="173"/>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84000</v>
      </c>
      <c r="C244" s="92">
        <f>-J9</f>
        <v>0</v>
      </c>
      <c r="D244" s="92">
        <f>-K9</f>
        <v>1</v>
      </c>
      <c r="E244" s="92">
        <f>J9</f>
        <v>0</v>
      </c>
      <c r="F244" s="92">
        <f>K9</f>
        <v>-1</v>
      </c>
      <c r="G244" s="96">
        <f>IFERROR(VLOOKUP(H244, A$206:D$213, 4, FALSE), 0)</f>
        <v>0.12866632160110419</v>
      </c>
      <c r="H244" s="12" t="str">
        <f>"D" &amp; C18 &amp; "X"</f>
        <v>D4X</v>
      </c>
    </row>
    <row r="245" spans="1:17" ht="19.95" customHeight="1" x14ac:dyDescent="0.3">
      <c r="A245" s="99" t="s">
        <v>288</v>
      </c>
      <c r="B245" s="97">
        <f>(MMULT(C244:F244, G244:G247)*A244)</f>
        <v>2559.7826086956516</v>
      </c>
      <c r="G245" s="96">
        <f>IFERROR(VLOOKUP(H245, A$206:D$213, 4, FALSE), 0)</f>
        <v>3.0473602484472045E-2</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78" t="str">
        <f>IF(B245&gt;0.001,"BARRA A TRACCIÓN (+)",IF(B245&lt;-0.001,"BARRA A COMPRESIÓN (-)","BARRA DE FUERZA NULA"))</f>
        <v>BARRA A TRACCIÓN (+)</v>
      </c>
      <c r="D248" s="172"/>
      <c r="E248" s="172"/>
      <c r="F248" s="173"/>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50400</v>
      </c>
      <c r="C252" s="92">
        <f>-J10</f>
        <v>-0.8</v>
      </c>
      <c r="D252" s="92">
        <f>-K10</f>
        <v>-0.6</v>
      </c>
      <c r="E252" s="92">
        <f>J10</f>
        <v>0.8</v>
      </c>
      <c r="F252" s="92">
        <f>K10</f>
        <v>0.6</v>
      </c>
      <c r="G252" s="96">
        <f>IFERROR(VLOOKUP(H252, A$206:D$213, 4, FALSE), 0)</f>
        <v>0</v>
      </c>
      <c r="H252" s="12" t="str">
        <f>"D" &amp; C19 &amp; "X"</f>
        <v>D1X</v>
      </c>
    </row>
    <row r="253" spans="1:17" ht="19.95" customHeight="1" x14ac:dyDescent="0.3">
      <c r="A253" s="99" t="s">
        <v>289</v>
      </c>
      <c r="B253" s="97">
        <f>(MMULT(C252:F252, G252:G255)*A252)</f>
        <v>3233.6956521739125</v>
      </c>
      <c r="G253" s="96">
        <f>IFERROR(VLOOKUP(H253, A$206:D$213, 4, FALSE), 0)</f>
        <v>0</v>
      </c>
      <c r="H253" s="12" t="str">
        <f>"D" &amp; D19 &amp; "Y"</f>
        <v>D1Y</v>
      </c>
    </row>
    <row r="254" spans="1:17" ht="19.95" customHeight="1" x14ac:dyDescent="0.3">
      <c r="G254" s="96">
        <f>IFERROR(VLOOKUP(H254, A$206:D$213, 4, FALSE), 0)</f>
        <v>0.15109558316080052</v>
      </c>
      <c r="H254" s="12" t="str">
        <f>"D" &amp; E19 &amp; "X"</f>
        <v>D3X</v>
      </c>
    </row>
    <row r="255" spans="1:17" ht="19.95" customHeight="1" x14ac:dyDescent="0.3">
      <c r="G255" s="96">
        <f>IFERROR(VLOOKUP(H255, A$206:D$213, 4, FALSE), 0)</f>
        <v>-9.4526397515527938E-2</v>
      </c>
      <c r="H255" s="12" t="str">
        <f>"D" &amp; F19 &amp; "Y"</f>
        <v>D3Y</v>
      </c>
    </row>
    <row r="256" spans="1:17" ht="19.95" customHeight="1" x14ac:dyDescent="0.3">
      <c r="B256" s="99" t="s">
        <v>273</v>
      </c>
      <c r="C256" s="178" t="str">
        <f>IF(B253&gt;0.001,"BARRA A TRACCIÓN (+)",IF(B253&lt;-0.001,"BARRA A COMPRESIÓN (-)","BARRA DE FUERZA NULA"))</f>
        <v>BARRA A TRACCIÓN (+)</v>
      </c>
      <c r="D256" s="172"/>
      <c r="E256" s="172"/>
      <c r="F256" s="173"/>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50400</v>
      </c>
      <c r="C260" s="92">
        <f>-J11</f>
        <v>0.8</v>
      </c>
      <c r="D260" s="92">
        <f>-K11</f>
        <v>-0.6</v>
      </c>
      <c r="E260" s="92">
        <f>J11</f>
        <v>-0.8</v>
      </c>
      <c r="F260" s="92">
        <f>K11</f>
        <v>0.6</v>
      </c>
      <c r="G260" s="96">
        <f>IFERROR(VLOOKUP(H260, A$206:D$213, 4, FALSE), 0)</f>
        <v>0</v>
      </c>
      <c r="H260" s="12" t="str">
        <f>"D" &amp; C20 &amp; "X"</f>
        <v>D2X</v>
      </c>
    </row>
    <row r="261" spans="1:8" ht="19.95" customHeight="1" x14ac:dyDescent="0.3">
      <c r="A261" s="99" t="s">
        <v>290</v>
      </c>
      <c r="B261" s="97">
        <f>(MMULT(C260:F260, G260:G263)*A260)</f>
        <v>-4266.304347826087</v>
      </c>
      <c r="G261" s="96">
        <f>IFERROR(VLOOKUP(H261, A$206:D$213, 4, FALSE), 0)</f>
        <v>0</v>
      </c>
      <c r="H261" s="12" t="str">
        <f>"D" &amp; D20 &amp; "Y"</f>
        <v>D2Y</v>
      </c>
    </row>
    <row r="262" spans="1:8" ht="19.95" customHeight="1" x14ac:dyDescent="0.3">
      <c r="G262" s="96">
        <f>IFERROR(VLOOKUP(H262, A$206:D$213, 4, FALSE), 0)</f>
        <v>0.12866632160110419</v>
      </c>
      <c r="H262" s="12" t="str">
        <f>"D" &amp; E20 &amp; "X"</f>
        <v>D4X</v>
      </c>
    </row>
    <row r="263" spans="1:8" ht="19.95" customHeight="1" x14ac:dyDescent="0.3">
      <c r="G263" s="96">
        <f>IFERROR(VLOOKUP(H263, A$206:D$213, 4, FALSE), 0)</f>
        <v>3.0473602484472045E-2</v>
      </c>
      <c r="H263" s="12" t="str">
        <f>"D" &amp; F20 &amp; "Y"</f>
        <v>D4Y</v>
      </c>
    </row>
    <row r="264" spans="1:8" ht="19.95" customHeight="1" x14ac:dyDescent="0.3">
      <c r="B264" s="99" t="s">
        <v>273</v>
      </c>
      <c r="C264" s="178" t="str">
        <f>IF(B261&gt;0.001,"BARRA A TRACCIÓN (+)",IF(B261&lt;-0.001,"BARRA A COMPRESIÓN (-)","BARRA DE FUERZA NULA"))</f>
        <v>BARRA A COMPRESIÓN (-)</v>
      </c>
      <c r="D264" s="172"/>
      <c r="E264" s="172"/>
      <c r="F264" s="173"/>
    </row>
    <row r="267" spans="1:8" ht="22.05" customHeight="1" x14ac:dyDescent="0.3">
      <c r="B267" s="217" t="s">
        <v>404</v>
      </c>
      <c r="C267" s="175"/>
      <c r="D267" s="175"/>
      <c r="E267" s="175"/>
      <c r="F267" s="175"/>
      <c r="G267" s="175"/>
      <c r="H267" s="175"/>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400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300</v>
      </c>
      <c r="F270" s="9">
        <f t="shared" si="20"/>
        <v>12</v>
      </c>
      <c r="G270" s="97">
        <f>B229</f>
        <v>-7940.2173913043471</v>
      </c>
      <c r="H270" s="84" t="str">
        <f>C232</f>
        <v>BARRA A COMPRESIÓN (-)</v>
      </c>
    </row>
    <row r="271" spans="1:8" ht="19.95" customHeight="1" x14ac:dyDescent="0.3">
      <c r="B271" s="26">
        <v>3</v>
      </c>
      <c r="C271" s="86">
        <f t="shared" si="17"/>
        <v>3</v>
      </c>
      <c r="D271" s="86">
        <f t="shared" si="18"/>
        <v>4</v>
      </c>
      <c r="E271" s="9">
        <f t="shared" si="19"/>
        <v>400</v>
      </c>
      <c r="F271" s="9">
        <f t="shared" si="20"/>
        <v>12</v>
      </c>
      <c r="G271" s="97">
        <f>B237</f>
        <v>1413.0434782608684</v>
      </c>
      <c r="H271" s="84" t="str">
        <f>C240</f>
        <v>BARRA A TRACCIÓN (+)</v>
      </c>
    </row>
    <row r="272" spans="1:8" ht="19.95" customHeight="1" x14ac:dyDescent="0.3">
      <c r="B272" s="43">
        <v>4</v>
      </c>
      <c r="C272" s="86">
        <f t="shared" si="17"/>
        <v>4</v>
      </c>
      <c r="D272" s="86">
        <f t="shared" si="18"/>
        <v>1</v>
      </c>
      <c r="E272" s="9">
        <f t="shared" si="19"/>
        <v>300</v>
      </c>
      <c r="F272" s="9">
        <f t="shared" si="20"/>
        <v>12</v>
      </c>
      <c r="G272" s="97">
        <f>B245</f>
        <v>2559.7826086956516</v>
      </c>
      <c r="H272" s="84" t="str">
        <f>C248</f>
        <v>BARRA A TRACCIÓN (+)</v>
      </c>
    </row>
    <row r="273" spans="2:8" ht="19.95" customHeight="1" x14ac:dyDescent="0.3">
      <c r="B273" s="44">
        <v>5</v>
      </c>
      <c r="C273" s="86">
        <f t="shared" si="17"/>
        <v>1</v>
      </c>
      <c r="D273" s="86">
        <f t="shared" si="18"/>
        <v>3</v>
      </c>
      <c r="E273" s="9">
        <f t="shared" si="19"/>
        <v>500</v>
      </c>
      <c r="F273" s="9">
        <f t="shared" si="20"/>
        <v>12</v>
      </c>
      <c r="G273" s="97">
        <f>B253</f>
        <v>3233.6956521739125</v>
      </c>
      <c r="H273" s="84" t="str">
        <f>C256</f>
        <v>BARRA A TRACCIÓN (+)</v>
      </c>
    </row>
    <row r="274" spans="2:8" ht="19.95" customHeight="1" x14ac:dyDescent="0.3">
      <c r="B274" s="51">
        <v>6</v>
      </c>
      <c r="C274" s="86">
        <f t="shared" si="17"/>
        <v>2</v>
      </c>
      <c r="D274" s="86">
        <f t="shared" si="18"/>
        <v>4</v>
      </c>
      <c r="E274" s="9">
        <f t="shared" si="19"/>
        <v>500</v>
      </c>
      <c r="F274" s="9">
        <f t="shared" si="20"/>
        <v>12</v>
      </c>
      <c r="G274" s="97">
        <f>B261</f>
        <v>-4266.304347826087</v>
      </c>
      <c r="H274" s="84" t="str">
        <f>C264</f>
        <v>BARRA A COMPRESIÓN (-)</v>
      </c>
    </row>
  </sheetData>
  <mergeCells count="116">
    <mergeCell ref="K4:K5"/>
    <mergeCell ref="L142:Q142"/>
    <mergeCell ref="C224:F224"/>
    <mergeCell ref="L234:Q234"/>
    <mergeCell ref="L172:Q172"/>
    <mergeCell ref="L162:Q162"/>
    <mergeCell ref="L156:Q156"/>
    <mergeCell ref="L171:Q171"/>
    <mergeCell ref="L153:Q153"/>
    <mergeCell ref="L238:Q238"/>
    <mergeCell ref="L170:Q170"/>
    <mergeCell ref="E13:F13"/>
    <mergeCell ref="L149:Q149"/>
    <mergeCell ref="L176:Q176"/>
    <mergeCell ref="L158:Q158"/>
    <mergeCell ref="L191:Q191"/>
    <mergeCell ref="L226:Q226"/>
    <mergeCell ref="L164:Q164"/>
    <mergeCell ref="L178:Q178"/>
    <mergeCell ref="L236:Q236"/>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B13:B14"/>
    <mergeCell ref="J4:J5"/>
    <mergeCell ref="L4:L5"/>
    <mergeCell ref="L220:Q220"/>
    <mergeCell ref="L143:Q143"/>
    <mergeCell ref="L139:Q139"/>
    <mergeCell ref="L222:Q222"/>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677</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8</v>
      </c>
      <c r="E6" s="173"/>
      <c r="F6" s="206">
        <f>SUM(F14:G23)</f>
        <v>4</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350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350</v>
      </c>
      <c r="AB8" s="20">
        <f>IF(F29="","",F29)</f>
        <v>0</v>
      </c>
      <c r="AC8" t="s">
        <v>316</v>
      </c>
    </row>
    <row r="9" spans="2:29" x14ac:dyDescent="0.3">
      <c r="AA9" s="20">
        <f>IF(G29="","",G29)</f>
        <v>700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175</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670</v>
      </c>
      <c r="K14" s="172"/>
      <c r="L14" s="172"/>
      <c r="M14" s="172"/>
      <c r="N14" s="172"/>
      <c r="O14" s="173"/>
      <c r="AA14" s="20">
        <f>IF(E31="","",E31)</f>
        <v>175</v>
      </c>
      <c r="AB14" s="20">
        <f>IF(F31="","",F31)</f>
        <v>280</v>
      </c>
      <c r="AC14" t="s">
        <v>328</v>
      </c>
    </row>
    <row r="15" spans="2:29" ht="19.05" customHeight="1" x14ac:dyDescent="0.3">
      <c r="B15" s="89">
        <v>2</v>
      </c>
      <c r="C15" s="21">
        <v>350</v>
      </c>
      <c r="D15" s="21">
        <v>0</v>
      </c>
      <c r="E15" s="21" t="s">
        <v>329</v>
      </c>
      <c r="F15" s="88">
        <f t="shared" si="0"/>
        <v>0</v>
      </c>
      <c r="G15" s="88">
        <f t="shared" si="1"/>
        <v>1</v>
      </c>
      <c r="H15" s="22">
        <v>0</v>
      </c>
      <c r="I15" s="22">
        <v>0</v>
      </c>
      <c r="J15" s="205" t="s">
        <v>671</v>
      </c>
      <c r="K15" s="172"/>
      <c r="L15" s="172"/>
      <c r="M15" s="172"/>
      <c r="N15" s="172"/>
      <c r="O15" s="173"/>
      <c r="AA15" s="20">
        <f>IF(G31="","",G31)</f>
        <v>350</v>
      </c>
      <c r="AB15" s="20">
        <f>IF(H31="","",H31)</f>
        <v>0</v>
      </c>
      <c r="AC15" t="s">
        <v>331</v>
      </c>
    </row>
    <row r="16" spans="2:29" ht="19.05" customHeight="1" x14ac:dyDescent="0.3">
      <c r="B16" s="89">
        <v>3</v>
      </c>
      <c r="C16" s="21">
        <v>700</v>
      </c>
      <c r="D16" s="21">
        <v>0</v>
      </c>
      <c r="E16" s="21" t="s">
        <v>329</v>
      </c>
      <c r="F16" s="88">
        <f t="shared" si="0"/>
        <v>0</v>
      </c>
      <c r="G16" s="88">
        <f t="shared" si="1"/>
        <v>1</v>
      </c>
      <c r="H16" s="22">
        <v>0</v>
      </c>
      <c r="I16" s="22">
        <v>0</v>
      </c>
      <c r="J16" s="205" t="s">
        <v>672</v>
      </c>
      <c r="K16" s="172"/>
      <c r="L16" s="172"/>
      <c r="M16" s="172"/>
      <c r="N16" s="172"/>
      <c r="O16" s="173"/>
    </row>
    <row r="17" spans="2:29" ht="19.05" customHeight="1" x14ac:dyDescent="0.3">
      <c r="B17" s="89">
        <v>4</v>
      </c>
      <c r="C17" s="21">
        <v>175</v>
      </c>
      <c r="D17" s="21">
        <v>280</v>
      </c>
      <c r="E17" s="21" t="s">
        <v>326</v>
      </c>
      <c r="F17" s="88">
        <f t="shared" si="0"/>
        <v>0</v>
      </c>
      <c r="G17" s="88">
        <f t="shared" si="1"/>
        <v>0</v>
      </c>
      <c r="H17" s="22">
        <v>0</v>
      </c>
      <c r="I17" s="22">
        <v>-7000</v>
      </c>
      <c r="J17" s="205" t="s">
        <v>575</v>
      </c>
      <c r="K17" s="172"/>
      <c r="L17" s="172"/>
      <c r="M17" s="172"/>
      <c r="N17" s="172"/>
      <c r="O17" s="173"/>
      <c r="AA17" s="20">
        <f>IF(E32="","",E32)</f>
        <v>175</v>
      </c>
      <c r="AB17" s="20">
        <f>IF(F32="","",F32)</f>
        <v>280</v>
      </c>
      <c r="AC17" t="s">
        <v>334</v>
      </c>
    </row>
    <row r="18" spans="2:29" ht="19.05" customHeight="1" x14ac:dyDescent="0.3">
      <c r="B18" s="89">
        <v>5</v>
      </c>
      <c r="C18" s="21">
        <v>525</v>
      </c>
      <c r="D18" s="21">
        <v>280</v>
      </c>
      <c r="E18" s="21" t="s">
        <v>326</v>
      </c>
      <c r="F18" s="88">
        <f t="shared" si="0"/>
        <v>0</v>
      </c>
      <c r="G18" s="88">
        <f t="shared" si="1"/>
        <v>0</v>
      </c>
      <c r="H18" s="22">
        <v>0</v>
      </c>
      <c r="I18" s="22">
        <v>-7000</v>
      </c>
      <c r="J18" s="205" t="s">
        <v>576</v>
      </c>
      <c r="K18" s="172"/>
      <c r="L18" s="172"/>
      <c r="M18" s="172"/>
      <c r="N18" s="172"/>
      <c r="O18" s="173"/>
      <c r="AA18" s="20">
        <f>IF(G32="","",G32)</f>
        <v>525</v>
      </c>
      <c r="AB18" s="20">
        <f>IF(H32="","",H32)</f>
        <v>280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525</v>
      </c>
      <c r="AB21" s="20">
        <f>IF(H33="","",H33)</f>
        <v>280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525</v>
      </c>
      <c r="AB23" s="20">
        <f>IF(F34="","",F34)</f>
        <v>280</v>
      </c>
      <c r="AC23" t="s">
        <v>338</v>
      </c>
    </row>
    <row r="24" spans="2:29" x14ac:dyDescent="0.3">
      <c r="AA24" s="20">
        <f>IF(G34="","",G34)</f>
        <v>700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525</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175</v>
      </c>
      <c r="H30" s="5">
        <f t="shared" si="5"/>
        <v>280</v>
      </c>
      <c r="I30" s="9">
        <f t="shared" si="6"/>
        <v>175</v>
      </c>
      <c r="J30" s="9">
        <f t="shared" si="7"/>
        <v>280</v>
      </c>
      <c r="K30" s="9">
        <f t="shared" si="8"/>
        <v>330.18933962198111</v>
      </c>
      <c r="L30" s="92">
        <f t="shared" si="9"/>
        <v>0.52999894000318004</v>
      </c>
      <c r="M30" s="92">
        <f t="shared" si="10"/>
        <v>0.84799830400508802</v>
      </c>
      <c r="N30" s="22">
        <v>12</v>
      </c>
      <c r="O30" s="24">
        <v>2100000</v>
      </c>
      <c r="AA30" s="20" t="str">
        <f>IF(G36="","",G36)</f>
        <v/>
      </c>
      <c r="AB30" s="20" t="str">
        <f>IF(H36="","",H36)</f>
        <v/>
      </c>
      <c r="AC30" t="s">
        <v>354</v>
      </c>
    </row>
    <row r="31" spans="2:29" ht="19.05" customHeight="1" x14ac:dyDescent="0.3">
      <c r="B31" s="89">
        <v>4</v>
      </c>
      <c r="C31" s="23">
        <v>4</v>
      </c>
      <c r="D31" s="23">
        <v>2</v>
      </c>
      <c r="E31" s="5">
        <f t="shared" si="2"/>
        <v>175</v>
      </c>
      <c r="F31" s="5">
        <f t="shared" si="3"/>
        <v>280</v>
      </c>
      <c r="G31" s="5">
        <f t="shared" si="4"/>
        <v>350</v>
      </c>
      <c r="H31" s="5">
        <f t="shared" si="5"/>
        <v>0</v>
      </c>
      <c r="I31" s="9">
        <f t="shared" si="6"/>
        <v>175</v>
      </c>
      <c r="J31" s="9">
        <f t="shared" si="7"/>
        <v>-280</v>
      </c>
      <c r="K31" s="9">
        <f t="shared" si="8"/>
        <v>330.18933962198111</v>
      </c>
      <c r="L31" s="92">
        <f t="shared" si="9"/>
        <v>0.52999894000318004</v>
      </c>
      <c r="M31" s="92">
        <f t="shared" si="10"/>
        <v>-0.84799830400508802</v>
      </c>
      <c r="N31" s="22">
        <v>12</v>
      </c>
      <c r="O31" s="24">
        <v>2100000</v>
      </c>
    </row>
    <row r="32" spans="2:29" ht="19.05" customHeight="1" x14ac:dyDescent="0.3">
      <c r="B32" s="89">
        <v>5</v>
      </c>
      <c r="C32" s="23">
        <v>4</v>
      </c>
      <c r="D32" s="23">
        <v>5</v>
      </c>
      <c r="E32" s="5">
        <f t="shared" si="2"/>
        <v>175</v>
      </c>
      <c r="F32" s="5">
        <f t="shared" si="3"/>
        <v>280</v>
      </c>
      <c r="G32" s="5">
        <f t="shared" si="4"/>
        <v>525</v>
      </c>
      <c r="H32" s="5">
        <f t="shared" si="5"/>
        <v>280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350</v>
      </c>
      <c r="F33" s="5">
        <f t="shared" si="3"/>
        <v>0</v>
      </c>
      <c r="G33" s="5">
        <f t="shared" si="4"/>
        <v>525</v>
      </c>
      <c r="H33" s="5">
        <f t="shared" si="5"/>
        <v>280</v>
      </c>
      <c r="I33" s="9">
        <f t="shared" si="6"/>
        <v>175</v>
      </c>
      <c r="J33" s="9">
        <f t="shared" si="7"/>
        <v>280</v>
      </c>
      <c r="K33" s="9">
        <f t="shared" si="8"/>
        <v>330.18933962198111</v>
      </c>
      <c r="L33" s="92">
        <f t="shared" si="9"/>
        <v>0.52999894000318004</v>
      </c>
      <c r="M33" s="92">
        <f t="shared" si="10"/>
        <v>0.84799830400508802</v>
      </c>
      <c r="N33" s="22">
        <v>12</v>
      </c>
      <c r="O33" s="24">
        <v>2100000</v>
      </c>
      <c r="AA33" s="20" t="str">
        <f>IF(G37="","",G37)</f>
        <v/>
      </c>
      <c r="AB33" s="20" t="str">
        <f>IF(H37="","",H37)</f>
        <v/>
      </c>
      <c r="AC33" t="s">
        <v>356</v>
      </c>
    </row>
    <row r="34" spans="2:29" ht="19.05" customHeight="1" x14ac:dyDescent="0.3">
      <c r="B34" s="89">
        <v>7</v>
      </c>
      <c r="C34" s="23">
        <v>5</v>
      </c>
      <c r="D34" s="23">
        <v>3</v>
      </c>
      <c r="E34" s="5">
        <f t="shared" si="2"/>
        <v>525</v>
      </c>
      <c r="F34" s="5">
        <f t="shared" si="3"/>
        <v>280</v>
      </c>
      <c r="G34" s="5">
        <f t="shared" si="4"/>
        <v>700</v>
      </c>
      <c r="H34" s="5">
        <f t="shared" si="5"/>
        <v>0</v>
      </c>
      <c r="I34" s="9">
        <f t="shared" si="6"/>
        <v>175</v>
      </c>
      <c r="J34" s="9">
        <f t="shared" si="7"/>
        <v>-280</v>
      </c>
      <c r="K34" s="9">
        <f t="shared" si="8"/>
        <v>330.18933962198111</v>
      </c>
      <c r="L34" s="92">
        <f t="shared" si="9"/>
        <v>0.52999894000318004</v>
      </c>
      <c r="M34" s="92">
        <f t="shared" si="10"/>
        <v>-0.84799830400508802</v>
      </c>
      <c r="N34" s="22">
        <v>12</v>
      </c>
      <c r="O34" s="24">
        <v>2100000</v>
      </c>
    </row>
    <row r="35" spans="2:29" ht="19.05" customHeight="1" x14ac:dyDescent="0.3">
      <c r="B35" s="89">
        <v>8</v>
      </c>
      <c r="C35" s="23">
        <v>1</v>
      </c>
      <c r="D35" s="23">
        <v>5</v>
      </c>
      <c r="E35" s="5">
        <f t="shared" si="2"/>
        <v>0</v>
      </c>
      <c r="F35" s="5">
        <f t="shared" si="3"/>
        <v>0</v>
      </c>
      <c r="G35" s="5">
        <f t="shared" si="4"/>
        <v>525</v>
      </c>
      <c r="H35" s="5">
        <f t="shared" si="5"/>
        <v>280</v>
      </c>
      <c r="I35" s="9">
        <f t="shared" si="6"/>
        <v>525</v>
      </c>
      <c r="J35" s="9">
        <f t="shared" si="7"/>
        <v>280</v>
      </c>
      <c r="K35" s="9">
        <f t="shared" si="8"/>
        <v>595</v>
      </c>
      <c r="L35" s="92">
        <f t="shared" si="9"/>
        <v>0.88235294117647056</v>
      </c>
      <c r="M35" s="92">
        <f t="shared" si="10"/>
        <v>0.47058823529411764</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100-000000000000}">
      <formula1>"Fijo (articulado),Rodillo Y (despl. X libre),Rodillo X (despl. Y libre),Libre (0 reac.)"</formula1>
    </dataValidation>
  </dataValidations>
  <pageMargins left="0.75" right="0.75" top="1" bottom="1" header="0.5" footer="0.5"/>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S36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678</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GRAFICA_56!E28</f>
        <v>0</v>
      </c>
      <c r="D6" s="22">
        <f>GRAFICA_56!F28</f>
        <v>0</v>
      </c>
      <c r="E6" s="22">
        <f>GRAFICA_56!G28</f>
        <v>350</v>
      </c>
      <c r="F6" s="22">
        <f>GRAFICA_56!H28</f>
        <v>0</v>
      </c>
      <c r="G6" s="9">
        <f t="shared" ref="G6:H13" si="0">E6-C6</f>
        <v>350</v>
      </c>
      <c r="H6" s="9">
        <f t="shared" si="0"/>
        <v>0</v>
      </c>
      <c r="I6" s="9">
        <f t="shared" ref="I6:I13" si="1">SQRT(G6*G6+H6*H6)</f>
        <v>350</v>
      </c>
      <c r="J6" s="92">
        <f t="shared" ref="J6:J13" si="2">G6/I6</f>
        <v>1</v>
      </c>
      <c r="K6" s="92">
        <f t="shared" ref="K6:K13" si="3">H6/I6</f>
        <v>0</v>
      </c>
      <c r="L6" s="22">
        <f>GRAFICA_56!N28</f>
        <v>12</v>
      </c>
      <c r="M6" s="22">
        <f>GRAFICA_56!O28</f>
        <v>2100000</v>
      </c>
      <c r="N6" s="6">
        <f t="shared" ref="N6:N13" si="4">L6*M6/I6</f>
        <v>72000</v>
      </c>
    </row>
    <row r="7" spans="2:14" ht="19.05" customHeight="1" x14ac:dyDescent="0.3">
      <c r="B7" s="25">
        <v>2</v>
      </c>
      <c r="C7" s="22">
        <f>GRAFICA_56!E29</f>
        <v>350</v>
      </c>
      <c r="D7" s="22">
        <f>GRAFICA_56!F29</f>
        <v>0</v>
      </c>
      <c r="E7" s="22">
        <f>GRAFICA_56!G29</f>
        <v>700</v>
      </c>
      <c r="F7" s="22">
        <f>GRAFICA_56!H29</f>
        <v>0</v>
      </c>
      <c r="G7" s="9">
        <f t="shared" si="0"/>
        <v>350</v>
      </c>
      <c r="H7" s="9">
        <f t="shared" si="0"/>
        <v>0</v>
      </c>
      <c r="I7" s="9">
        <f t="shared" si="1"/>
        <v>350</v>
      </c>
      <c r="J7" s="92">
        <f t="shared" si="2"/>
        <v>1</v>
      </c>
      <c r="K7" s="92">
        <f t="shared" si="3"/>
        <v>0</v>
      </c>
      <c r="L7" s="22">
        <f>GRAFICA_56!N29</f>
        <v>12</v>
      </c>
      <c r="M7" s="22">
        <f>GRAFICA_56!O29</f>
        <v>2100000</v>
      </c>
      <c r="N7" s="6">
        <f t="shared" si="4"/>
        <v>72000</v>
      </c>
    </row>
    <row r="8" spans="2:14" ht="19.05" customHeight="1" x14ac:dyDescent="0.3">
      <c r="B8" s="26">
        <v>3</v>
      </c>
      <c r="C8" s="22">
        <f>GRAFICA_56!E30</f>
        <v>0</v>
      </c>
      <c r="D8" s="22">
        <f>GRAFICA_56!F30</f>
        <v>0</v>
      </c>
      <c r="E8" s="22">
        <f>GRAFICA_56!G30</f>
        <v>175</v>
      </c>
      <c r="F8" s="22">
        <f>GRAFICA_56!H30</f>
        <v>280</v>
      </c>
      <c r="G8" s="9">
        <f t="shared" si="0"/>
        <v>175</v>
      </c>
      <c r="H8" s="9">
        <f t="shared" si="0"/>
        <v>280</v>
      </c>
      <c r="I8" s="9">
        <f t="shared" si="1"/>
        <v>330.18933962198111</v>
      </c>
      <c r="J8" s="92">
        <f t="shared" si="2"/>
        <v>0.52999894000318004</v>
      </c>
      <c r="K8" s="92">
        <f t="shared" si="3"/>
        <v>0.84799830400508802</v>
      </c>
      <c r="L8" s="22">
        <f>GRAFICA_56!N30</f>
        <v>12</v>
      </c>
      <c r="M8" s="22">
        <f>GRAFICA_56!O30</f>
        <v>2100000</v>
      </c>
      <c r="N8" s="6">
        <f t="shared" si="4"/>
        <v>76319.847360457919</v>
      </c>
    </row>
    <row r="9" spans="2:14" ht="19.05" customHeight="1" x14ac:dyDescent="0.3">
      <c r="B9" s="43">
        <v>4</v>
      </c>
      <c r="C9" s="22">
        <f>GRAFICA_56!E31</f>
        <v>175</v>
      </c>
      <c r="D9" s="22">
        <f>GRAFICA_56!F31</f>
        <v>280</v>
      </c>
      <c r="E9" s="22">
        <f>GRAFICA_56!G31</f>
        <v>350</v>
      </c>
      <c r="F9" s="22">
        <f>GRAFICA_56!H31</f>
        <v>0</v>
      </c>
      <c r="G9" s="9">
        <f t="shared" si="0"/>
        <v>175</v>
      </c>
      <c r="H9" s="9">
        <f t="shared" si="0"/>
        <v>-280</v>
      </c>
      <c r="I9" s="9">
        <f t="shared" si="1"/>
        <v>330.18933962198111</v>
      </c>
      <c r="J9" s="92">
        <f t="shared" si="2"/>
        <v>0.52999894000318004</v>
      </c>
      <c r="K9" s="92">
        <f t="shared" si="3"/>
        <v>-0.84799830400508802</v>
      </c>
      <c r="L9" s="22">
        <f>GRAFICA_56!N31</f>
        <v>12</v>
      </c>
      <c r="M9" s="22">
        <f>GRAFICA_56!O31</f>
        <v>2100000</v>
      </c>
      <c r="N9" s="6">
        <f t="shared" si="4"/>
        <v>76319.847360457919</v>
      </c>
    </row>
    <row r="10" spans="2:14" ht="19.05" customHeight="1" x14ac:dyDescent="0.3">
      <c r="B10" s="44">
        <v>5</v>
      </c>
      <c r="C10" s="22">
        <f>GRAFICA_56!E32</f>
        <v>175</v>
      </c>
      <c r="D10" s="22">
        <f>GRAFICA_56!F32</f>
        <v>280</v>
      </c>
      <c r="E10" s="22">
        <f>GRAFICA_56!G32</f>
        <v>525</v>
      </c>
      <c r="F10" s="22">
        <f>GRAFICA_56!H32</f>
        <v>280</v>
      </c>
      <c r="G10" s="9">
        <f t="shared" si="0"/>
        <v>350</v>
      </c>
      <c r="H10" s="9">
        <f t="shared" si="0"/>
        <v>0</v>
      </c>
      <c r="I10" s="9">
        <f t="shared" si="1"/>
        <v>350</v>
      </c>
      <c r="J10" s="92">
        <f t="shared" si="2"/>
        <v>1</v>
      </c>
      <c r="K10" s="92">
        <f t="shared" si="3"/>
        <v>0</v>
      </c>
      <c r="L10" s="22">
        <f>GRAFICA_56!N32</f>
        <v>12</v>
      </c>
      <c r="M10" s="22">
        <f>GRAFICA_56!O32</f>
        <v>2100000</v>
      </c>
      <c r="N10" s="6">
        <f t="shared" si="4"/>
        <v>72000</v>
      </c>
    </row>
    <row r="11" spans="2:14" ht="19.05" customHeight="1" x14ac:dyDescent="0.3">
      <c r="B11" s="51">
        <v>6</v>
      </c>
      <c r="C11" s="22">
        <f>GRAFICA_56!E33</f>
        <v>350</v>
      </c>
      <c r="D11" s="22">
        <f>GRAFICA_56!F33</f>
        <v>0</v>
      </c>
      <c r="E11" s="22">
        <f>GRAFICA_56!G33</f>
        <v>525</v>
      </c>
      <c r="F11" s="22">
        <f>GRAFICA_56!H33</f>
        <v>280</v>
      </c>
      <c r="G11" s="9">
        <f t="shared" si="0"/>
        <v>175</v>
      </c>
      <c r="H11" s="9">
        <f t="shared" si="0"/>
        <v>280</v>
      </c>
      <c r="I11" s="9">
        <f t="shared" si="1"/>
        <v>330.18933962198111</v>
      </c>
      <c r="J11" s="92">
        <f t="shared" si="2"/>
        <v>0.52999894000318004</v>
      </c>
      <c r="K11" s="92">
        <f t="shared" si="3"/>
        <v>0.84799830400508802</v>
      </c>
      <c r="L11" s="22">
        <f>GRAFICA_56!N33</f>
        <v>12</v>
      </c>
      <c r="M11" s="22">
        <f>GRAFICA_56!O33</f>
        <v>2100000</v>
      </c>
      <c r="N11" s="6">
        <f t="shared" si="4"/>
        <v>76319.847360457919</v>
      </c>
    </row>
    <row r="12" spans="2:14" ht="19.05" customHeight="1" x14ac:dyDescent="0.3">
      <c r="B12" s="52">
        <v>7</v>
      </c>
      <c r="C12" s="22">
        <f>GRAFICA_56!E34</f>
        <v>525</v>
      </c>
      <c r="D12" s="22">
        <f>GRAFICA_56!F34</f>
        <v>280</v>
      </c>
      <c r="E12" s="22">
        <f>GRAFICA_56!G34</f>
        <v>700</v>
      </c>
      <c r="F12" s="22">
        <f>GRAFICA_56!H34</f>
        <v>0</v>
      </c>
      <c r="G12" s="9">
        <f t="shared" si="0"/>
        <v>175</v>
      </c>
      <c r="H12" s="9">
        <f t="shared" si="0"/>
        <v>-280</v>
      </c>
      <c r="I12" s="9">
        <f t="shared" si="1"/>
        <v>330.18933962198111</v>
      </c>
      <c r="J12" s="92">
        <f t="shared" si="2"/>
        <v>0.52999894000318004</v>
      </c>
      <c r="K12" s="92">
        <f t="shared" si="3"/>
        <v>-0.84799830400508802</v>
      </c>
      <c r="L12" s="22">
        <f>GRAFICA_56!N34</f>
        <v>12</v>
      </c>
      <c r="M12" s="22">
        <f>GRAFICA_56!O34</f>
        <v>2100000</v>
      </c>
      <c r="N12" s="6">
        <f t="shared" si="4"/>
        <v>76319.847360457919</v>
      </c>
    </row>
    <row r="13" spans="2:14" ht="19.05" customHeight="1" x14ac:dyDescent="0.3">
      <c r="B13" s="59">
        <v>8</v>
      </c>
      <c r="C13" s="22">
        <f>GRAFICA_56!E35</f>
        <v>0</v>
      </c>
      <c r="D13" s="22">
        <f>GRAFICA_56!F35</f>
        <v>0</v>
      </c>
      <c r="E13" s="22">
        <f>GRAFICA_56!G35</f>
        <v>525</v>
      </c>
      <c r="F13" s="22">
        <f>GRAFICA_56!H35</f>
        <v>280</v>
      </c>
      <c r="G13" s="9">
        <f t="shared" si="0"/>
        <v>525</v>
      </c>
      <c r="H13" s="9">
        <f t="shared" si="0"/>
        <v>280</v>
      </c>
      <c r="I13" s="9">
        <f t="shared" si="1"/>
        <v>595</v>
      </c>
      <c r="J13" s="92">
        <f t="shared" si="2"/>
        <v>0.88235294117647056</v>
      </c>
      <c r="K13" s="92">
        <f t="shared" si="3"/>
        <v>0.47058823529411764</v>
      </c>
      <c r="L13" s="22">
        <f>GRAFICA_56!N35</f>
        <v>12</v>
      </c>
      <c r="M13" s="22">
        <f>GRAFICA_56!O35</f>
        <v>2100000</v>
      </c>
      <c r="N13" s="6">
        <f t="shared" si="4"/>
        <v>42352.941176470587</v>
      </c>
    </row>
    <row r="15" spans="2:14" ht="18" customHeight="1" x14ac:dyDescent="0.3">
      <c r="B15" s="202" t="s">
        <v>145</v>
      </c>
      <c r="C15" s="202" t="s">
        <v>369</v>
      </c>
      <c r="D15" s="173"/>
      <c r="E15" s="202" t="s">
        <v>370</v>
      </c>
      <c r="F15" s="173"/>
    </row>
    <row r="16" spans="2:14" ht="18" customHeight="1" x14ac:dyDescent="0.3">
      <c r="B16" s="203"/>
      <c r="C16" s="81" t="s">
        <v>157</v>
      </c>
      <c r="D16" s="81" t="s">
        <v>158</v>
      </c>
      <c r="E16" s="81" t="s">
        <v>157</v>
      </c>
      <c r="F16" s="81" t="s">
        <v>158</v>
      </c>
    </row>
    <row r="17" spans="1:6" ht="19.05" customHeight="1" x14ac:dyDescent="0.3">
      <c r="B17" s="85">
        <v>1</v>
      </c>
      <c r="C17" s="23">
        <f>GRAFICA_56!C28</f>
        <v>1</v>
      </c>
      <c r="D17" s="23">
        <f>GRAFICA_56!C28</f>
        <v>1</v>
      </c>
      <c r="E17" s="23">
        <f>GRAFICA_56!D28</f>
        <v>2</v>
      </c>
      <c r="F17" s="23">
        <f>GRAFICA_56!D28</f>
        <v>2</v>
      </c>
    </row>
    <row r="18" spans="1:6" ht="19.05" customHeight="1" x14ac:dyDescent="0.3">
      <c r="B18" s="25">
        <v>2</v>
      </c>
      <c r="C18" s="23">
        <f>GRAFICA_56!C29</f>
        <v>2</v>
      </c>
      <c r="D18" s="23">
        <f>GRAFICA_56!C29</f>
        <v>2</v>
      </c>
      <c r="E18" s="23">
        <f>GRAFICA_56!D29</f>
        <v>3</v>
      </c>
      <c r="F18" s="23">
        <f>GRAFICA_56!D29</f>
        <v>3</v>
      </c>
    </row>
    <row r="19" spans="1:6" ht="19.05" customHeight="1" x14ac:dyDescent="0.3">
      <c r="B19" s="26">
        <v>3</v>
      </c>
      <c r="C19" s="23">
        <f>GRAFICA_56!C30</f>
        <v>1</v>
      </c>
      <c r="D19" s="23">
        <f>GRAFICA_56!C30</f>
        <v>1</v>
      </c>
      <c r="E19" s="23">
        <f>GRAFICA_56!D30</f>
        <v>4</v>
      </c>
      <c r="F19" s="23">
        <f>GRAFICA_56!D30</f>
        <v>4</v>
      </c>
    </row>
    <row r="20" spans="1:6" ht="19.05" customHeight="1" x14ac:dyDescent="0.3">
      <c r="B20" s="43">
        <v>4</v>
      </c>
      <c r="C20" s="23">
        <f>GRAFICA_56!C31</f>
        <v>4</v>
      </c>
      <c r="D20" s="23">
        <f>GRAFICA_56!C31</f>
        <v>4</v>
      </c>
      <c r="E20" s="23">
        <f>GRAFICA_56!D31</f>
        <v>2</v>
      </c>
      <c r="F20" s="23">
        <f>GRAFICA_56!D31</f>
        <v>2</v>
      </c>
    </row>
    <row r="21" spans="1:6" ht="19.05" customHeight="1" x14ac:dyDescent="0.3">
      <c r="B21" s="44">
        <v>5</v>
      </c>
      <c r="C21" s="23">
        <f>GRAFICA_56!C32</f>
        <v>4</v>
      </c>
      <c r="D21" s="23">
        <f>GRAFICA_56!C32</f>
        <v>4</v>
      </c>
      <c r="E21" s="23">
        <f>GRAFICA_56!D32</f>
        <v>5</v>
      </c>
      <c r="F21" s="23">
        <f>GRAFICA_56!D32</f>
        <v>5</v>
      </c>
    </row>
    <row r="22" spans="1:6" ht="19.05" customHeight="1" x14ac:dyDescent="0.3">
      <c r="B22" s="51">
        <v>6</v>
      </c>
      <c r="C22" s="23">
        <f>GRAFICA_56!C33</f>
        <v>2</v>
      </c>
      <c r="D22" s="23">
        <f>GRAFICA_56!C33</f>
        <v>2</v>
      </c>
      <c r="E22" s="23">
        <f>GRAFICA_56!D33</f>
        <v>5</v>
      </c>
      <c r="F22" s="23">
        <f>GRAFICA_56!D33</f>
        <v>5</v>
      </c>
    </row>
    <row r="23" spans="1:6" ht="19.05" customHeight="1" x14ac:dyDescent="0.3">
      <c r="B23" s="52">
        <v>7</v>
      </c>
      <c r="C23" s="23">
        <f>GRAFICA_56!C34</f>
        <v>5</v>
      </c>
      <c r="D23" s="23">
        <f>GRAFICA_56!C34</f>
        <v>5</v>
      </c>
      <c r="E23" s="23">
        <f>GRAFICA_56!D34</f>
        <v>3</v>
      </c>
      <c r="F23" s="23">
        <f>GRAFICA_56!D34</f>
        <v>3</v>
      </c>
    </row>
    <row r="24" spans="1:6" ht="19.05" customHeight="1" x14ac:dyDescent="0.3">
      <c r="B24" s="59">
        <v>8</v>
      </c>
      <c r="C24" s="23">
        <f>GRAFICA_56!C35</f>
        <v>1</v>
      </c>
      <c r="D24" s="23">
        <f>GRAFICA_56!C35</f>
        <v>1</v>
      </c>
      <c r="E24" s="23">
        <f>GRAFICA_56!D35</f>
        <v>5</v>
      </c>
      <c r="F24" s="23">
        <f>GRAFICA_56!D35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72000</v>
      </c>
      <c r="C28" s="7">
        <f>J6*K6*N6</f>
        <v>0</v>
      </c>
      <c r="D28" s="7">
        <f>-B28</f>
        <v>-72000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-72000</v>
      </c>
      <c r="C30" s="7">
        <f>E28</f>
        <v>0</v>
      </c>
      <c r="D30" s="7">
        <f>B28</f>
        <v>72000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72000</v>
      </c>
      <c r="C34" s="8">
        <f t="shared" si="5"/>
        <v>0</v>
      </c>
      <c r="D34" s="8">
        <f t="shared" si="5"/>
        <v>-72000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-72000</v>
      </c>
      <c r="C36" s="8">
        <f t="shared" si="5"/>
        <v>0</v>
      </c>
      <c r="D36" s="8">
        <f t="shared" si="5"/>
        <v>72000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72000</v>
      </c>
      <c r="C47" s="30">
        <f>J7*K7*N7</f>
        <v>0</v>
      </c>
      <c r="D47" s="30">
        <f>-B47</f>
        <v>-72000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-72000</v>
      </c>
      <c r="C49" s="30">
        <f>E47</f>
        <v>0</v>
      </c>
      <c r="D49" s="30">
        <f>B47</f>
        <v>72000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-72000</v>
      </c>
      <c r="E57" s="31">
        <f t="shared" si="6"/>
        <v>0</v>
      </c>
      <c r="F57" s="31">
        <f t="shared" si="6"/>
        <v>72000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21438.159370915153</v>
      </c>
      <c r="C66" s="33">
        <f>J8*K8*N8</f>
        <v>34301.054993464233</v>
      </c>
      <c r="D66" s="33">
        <f>-B66</f>
        <v>-21438.159370915153</v>
      </c>
      <c r="E66" s="33">
        <f>-C66</f>
        <v>-34301.054993464233</v>
      </c>
      <c r="F66" s="32" t="str">
        <f>B65</f>
        <v>U1X</v>
      </c>
    </row>
    <row r="67" spans="1:12" ht="16.8" customHeight="1" x14ac:dyDescent="0.3">
      <c r="A67" s="28" t="s">
        <v>193</v>
      </c>
      <c r="B67" s="33">
        <f>C66</f>
        <v>34301.054993464233</v>
      </c>
      <c r="C67" s="33">
        <f>K8*K8*N8</f>
        <v>54881.687989542777</v>
      </c>
      <c r="D67" s="33">
        <f>-B67</f>
        <v>-34301.054993464233</v>
      </c>
      <c r="E67" s="33">
        <f>-C67</f>
        <v>-54881.687989542777</v>
      </c>
      <c r="F67" s="32" t="str">
        <f>C65</f>
        <v>U1Y</v>
      </c>
    </row>
    <row r="68" spans="1:12" x14ac:dyDescent="0.3">
      <c r="B68" s="33">
        <f>D66</f>
        <v>-21438.159370915153</v>
      </c>
      <c r="C68" s="33">
        <f>E66</f>
        <v>-34301.054993464233</v>
      </c>
      <c r="D68" s="33">
        <f>B66</f>
        <v>21438.159370915153</v>
      </c>
      <c r="E68" s="33">
        <f>C66</f>
        <v>34301.054993464233</v>
      </c>
      <c r="F68" s="32" t="str">
        <f>D65</f>
        <v>U4X</v>
      </c>
    </row>
    <row r="69" spans="1:12" x14ac:dyDescent="0.3">
      <c r="B69" s="33">
        <f>D67</f>
        <v>-34301.054993464233</v>
      </c>
      <c r="C69" s="33">
        <f>E67</f>
        <v>-54881.687989542777</v>
      </c>
      <c r="D69" s="33">
        <f>B67</f>
        <v>34301.054993464233</v>
      </c>
      <c r="E69" s="33">
        <f>C67</f>
        <v>54881.687989542777</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21438.159370915153</v>
      </c>
      <c r="C72" s="34">
        <f t="shared" si="7"/>
        <v>34301.054993464233</v>
      </c>
      <c r="D72" s="9">
        <f t="shared" si="7"/>
        <v>0</v>
      </c>
      <c r="E72" s="9">
        <f t="shared" si="7"/>
        <v>0</v>
      </c>
      <c r="F72" s="9">
        <f t="shared" si="7"/>
        <v>0</v>
      </c>
      <c r="G72" s="9">
        <f t="shared" si="7"/>
        <v>0</v>
      </c>
      <c r="H72" s="34">
        <f t="shared" si="7"/>
        <v>-21438.159370915153</v>
      </c>
      <c r="I72" s="34">
        <f t="shared" si="7"/>
        <v>-34301.054993464233</v>
      </c>
      <c r="J72" s="9">
        <f t="shared" si="7"/>
        <v>0</v>
      </c>
      <c r="K72" s="9">
        <f t="shared" si="7"/>
        <v>0</v>
      </c>
      <c r="L72" s="32" t="s">
        <v>178</v>
      </c>
    </row>
    <row r="73" spans="1:12" ht="19.05" customHeight="1" x14ac:dyDescent="0.3">
      <c r="B73" s="34">
        <f t="shared" si="7"/>
        <v>34301.054993464233</v>
      </c>
      <c r="C73" s="34">
        <f t="shared" si="7"/>
        <v>54881.687989542777</v>
      </c>
      <c r="D73" s="9">
        <f t="shared" si="7"/>
        <v>0</v>
      </c>
      <c r="E73" s="9">
        <f t="shared" si="7"/>
        <v>0</v>
      </c>
      <c r="F73" s="9">
        <f t="shared" si="7"/>
        <v>0</v>
      </c>
      <c r="G73" s="9">
        <f t="shared" si="7"/>
        <v>0</v>
      </c>
      <c r="H73" s="34">
        <f t="shared" si="7"/>
        <v>-34301.054993464233</v>
      </c>
      <c r="I73" s="34">
        <f t="shared" si="7"/>
        <v>-54881.687989542777</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-21438.159370915153</v>
      </c>
      <c r="C78" s="34">
        <f t="shared" si="7"/>
        <v>-34301.054993464233</v>
      </c>
      <c r="D78" s="9">
        <f t="shared" si="7"/>
        <v>0</v>
      </c>
      <c r="E78" s="9">
        <f t="shared" si="7"/>
        <v>0</v>
      </c>
      <c r="F78" s="9">
        <f t="shared" si="7"/>
        <v>0</v>
      </c>
      <c r="G78" s="9">
        <f t="shared" si="7"/>
        <v>0</v>
      </c>
      <c r="H78" s="34">
        <f t="shared" si="7"/>
        <v>21438.159370915153</v>
      </c>
      <c r="I78" s="34">
        <f t="shared" si="7"/>
        <v>34301.054993464233</v>
      </c>
      <c r="J78" s="9">
        <f t="shared" si="7"/>
        <v>0</v>
      </c>
      <c r="K78" s="9">
        <f t="shared" si="7"/>
        <v>0</v>
      </c>
      <c r="L78" s="32" t="s">
        <v>184</v>
      </c>
    </row>
    <row r="79" spans="1:12" ht="19.05" customHeight="1" x14ac:dyDescent="0.3">
      <c r="B79" s="34">
        <f t="shared" si="7"/>
        <v>-34301.054993464233</v>
      </c>
      <c r="C79" s="34">
        <f t="shared" si="7"/>
        <v>-54881.687989542777</v>
      </c>
      <c r="D79" s="9">
        <f t="shared" si="7"/>
        <v>0</v>
      </c>
      <c r="E79" s="9">
        <f t="shared" si="7"/>
        <v>0</v>
      </c>
      <c r="F79" s="9">
        <f t="shared" si="7"/>
        <v>0</v>
      </c>
      <c r="G79" s="9">
        <f t="shared" si="7"/>
        <v>0</v>
      </c>
      <c r="H79" s="34">
        <f t="shared" si="7"/>
        <v>34301.054993464233</v>
      </c>
      <c r="I79" s="34">
        <f t="shared" si="7"/>
        <v>54881.687989542777</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U2X</v>
      </c>
      <c r="E84" s="45" t="str">
        <f>CONCATENATE("U",F20,F$16)</f>
        <v>U2Y</v>
      </c>
    </row>
    <row r="85" spans="1:12" x14ac:dyDescent="0.3">
      <c r="B85" s="46">
        <f>J9*J9*N9</f>
        <v>21438.159370915153</v>
      </c>
      <c r="C85" s="46">
        <f>J9*K9*N9</f>
        <v>-34301.054993464233</v>
      </c>
      <c r="D85" s="46">
        <f>-B85</f>
        <v>-21438.159370915153</v>
      </c>
      <c r="E85" s="46">
        <f>-C85</f>
        <v>34301.054993464233</v>
      </c>
      <c r="F85" s="45" t="str">
        <f>B84</f>
        <v>U4X</v>
      </c>
    </row>
    <row r="86" spans="1:12" ht="16.8" customHeight="1" x14ac:dyDescent="0.3">
      <c r="A86" s="28" t="s">
        <v>195</v>
      </c>
      <c r="B86" s="46">
        <f>C85</f>
        <v>-34301.054993464233</v>
      </c>
      <c r="C86" s="46">
        <f>K9*K9*N9</f>
        <v>54881.687989542777</v>
      </c>
      <c r="D86" s="46">
        <f>-B86</f>
        <v>34301.054993464233</v>
      </c>
      <c r="E86" s="46">
        <f>-C86</f>
        <v>-54881.687989542777</v>
      </c>
      <c r="F86" s="45" t="str">
        <f>C84</f>
        <v>U4Y</v>
      </c>
    </row>
    <row r="87" spans="1:12" x14ac:dyDescent="0.3">
      <c r="B87" s="46">
        <f>D85</f>
        <v>-21438.159370915153</v>
      </c>
      <c r="C87" s="46">
        <f>E85</f>
        <v>34301.054993464233</v>
      </c>
      <c r="D87" s="46">
        <f>B85</f>
        <v>21438.159370915153</v>
      </c>
      <c r="E87" s="46">
        <f>C85</f>
        <v>-34301.054993464233</v>
      </c>
      <c r="F87" s="45" t="str">
        <f>D84</f>
        <v>U2X</v>
      </c>
    </row>
    <row r="88" spans="1:12" x14ac:dyDescent="0.3">
      <c r="B88" s="46">
        <f>D86</f>
        <v>34301.054993464233</v>
      </c>
      <c r="C88" s="46">
        <f>E86</f>
        <v>-54881.687989542777</v>
      </c>
      <c r="D88" s="46">
        <f>B86</f>
        <v>-34301.054993464233</v>
      </c>
      <c r="E88" s="46">
        <f>C86</f>
        <v>54881.687989542777</v>
      </c>
      <c r="F88" s="45" t="str">
        <f>E84</f>
        <v>U2Y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47">
        <f t="shared" si="8"/>
        <v>21438.159370915153</v>
      </c>
      <c r="E93" s="47">
        <f t="shared" si="8"/>
        <v>-34301.054993464233</v>
      </c>
      <c r="F93" s="9">
        <f t="shared" si="8"/>
        <v>0</v>
      </c>
      <c r="G93" s="9">
        <f t="shared" si="8"/>
        <v>0</v>
      </c>
      <c r="H93" s="47">
        <f t="shared" si="8"/>
        <v>-21438.159370915153</v>
      </c>
      <c r="I93" s="47">
        <f t="shared" si="8"/>
        <v>34301.054993464233</v>
      </c>
      <c r="J93" s="9">
        <f t="shared" si="8"/>
        <v>0</v>
      </c>
      <c r="K93" s="9">
        <f t="shared" si="8"/>
        <v>0</v>
      </c>
      <c r="L93" s="45" t="s">
        <v>180</v>
      </c>
    </row>
    <row r="94" spans="1:12" ht="19.05" customHeight="1" x14ac:dyDescent="0.3">
      <c r="B94" s="9">
        <f t="shared" si="8"/>
        <v>0</v>
      </c>
      <c r="C94" s="9">
        <f t="shared" si="8"/>
        <v>0</v>
      </c>
      <c r="D94" s="47">
        <f t="shared" si="8"/>
        <v>-34301.054993464233</v>
      </c>
      <c r="E94" s="47">
        <f t="shared" si="8"/>
        <v>54881.687989542777</v>
      </c>
      <c r="F94" s="9">
        <f t="shared" si="8"/>
        <v>0</v>
      </c>
      <c r="G94" s="9">
        <f t="shared" si="8"/>
        <v>0</v>
      </c>
      <c r="H94" s="47">
        <f t="shared" si="8"/>
        <v>34301.054993464233</v>
      </c>
      <c r="I94" s="47">
        <f t="shared" si="8"/>
        <v>-54881.687989542777</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47">
        <f t="shared" si="8"/>
        <v>-21438.159370915153</v>
      </c>
      <c r="E97" s="47">
        <f t="shared" si="8"/>
        <v>34301.054993464233</v>
      </c>
      <c r="F97" s="9">
        <f t="shared" si="8"/>
        <v>0</v>
      </c>
      <c r="G97" s="9">
        <f t="shared" si="8"/>
        <v>0</v>
      </c>
      <c r="H97" s="47">
        <f t="shared" si="8"/>
        <v>21438.159370915153</v>
      </c>
      <c r="I97" s="47">
        <f t="shared" si="8"/>
        <v>-34301.054993464233</v>
      </c>
      <c r="J97" s="9">
        <f t="shared" si="8"/>
        <v>0</v>
      </c>
      <c r="K97" s="9">
        <f t="shared" si="8"/>
        <v>0</v>
      </c>
      <c r="L97" s="45" t="s">
        <v>184</v>
      </c>
    </row>
    <row r="98" spans="1:12" ht="19.05" customHeight="1" x14ac:dyDescent="0.3">
      <c r="B98" s="9">
        <f t="shared" si="8"/>
        <v>0</v>
      </c>
      <c r="C98" s="9">
        <f t="shared" si="8"/>
        <v>0</v>
      </c>
      <c r="D98" s="47">
        <f t="shared" si="8"/>
        <v>34301.054993464233</v>
      </c>
      <c r="E98" s="47">
        <f t="shared" si="8"/>
        <v>-54881.687989542777</v>
      </c>
      <c r="F98" s="9">
        <f t="shared" si="8"/>
        <v>0</v>
      </c>
      <c r="G98" s="9">
        <f t="shared" si="8"/>
        <v>0</v>
      </c>
      <c r="H98" s="47">
        <f t="shared" si="8"/>
        <v>-34301.054993464233</v>
      </c>
      <c r="I98" s="47">
        <f t="shared" si="8"/>
        <v>54881.687989542777</v>
      </c>
      <c r="J98" s="9">
        <f t="shared" si="8"/>
        <v>0</v>
      </c>
      <c r="K98" s="9">
        <f t="shared" si="8"/>
        <v>0</v>
      </c>
      <c r="L98" s="45" t="s">
        <v>185</v>
      </c>
    </row>
    <row r="99" spans="1:12"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9">
        <f t="shared" si="8"/>
        <v>0</v>
      </c>
      <c r="I100" s="9">
        <f t="shared" si="8"/>
        <v>0</v>
      </c>
      <c r="J100" s="9">
        <f t="shared" si="8"/>
        <v>0</v>
      </c>
      <c r="K100" s="9">
        <f t="shared" si="8"/>
        <v>0</v>
      </c>
      <c r="L100" s="45" t="s">
        <v>187</v>
      </c>
    </row>
    <row r="103" spans="1:12" ht="18" customHeight="1" x14ac:dyDescent="0.3">
      <c r="B103" s="48" t="str">
        <f>CONCATENATE("U",C21,C$16)</f>
        <v>U4X</v>
      </c>
      <c r="C103" s="48" t="str">
        <f>CONCATENATE("U",D21,D$16)</f>
        <v>U4Y</v>
      </c>
      <c r="D103" s="48" t="str">
        <f>CONCATENATE("U",E21,E$16)</f>
        <v>U5X</v>
      </c>
      <c r="E103" s="48" t="str">
        <f>CONCATENATE("U",F21,F$16)</f>
        <v>U5Y</v>
      </c>
    </row>
    <row r="104" spans="1:12" x14ac:dyDescent="0.3">
      <c r="B104" s="49">
        <f>J10*J10*N10</f>
        <v>72000</v>
      </c>
      <c r="C104" s="49">
        <f>J10*K10*N10</f>
        <v>0</v>
      </c>
      <c r="D104" s="49">
        <f>-B104</f>
        <v>-72000</v>
      </c>
      <c r="E104" s="49">
        <f>-C104</f>
        <v>0</v>
      </c>
      <c r="F104" s="48" t="str">
        <f>B103</f>
        <v>U4X</v>
      </c>
    </row>
    <row r="105" spans="1:12" ht="16.8" customHeight="1" x14ac:dyDescent="0.3">
      <c r="A105" s="28" t="s">
        <v>197</v>
      </c>
      <c r="B105" s="49">
        <f>C104</f>
        <v>0</v>
      </c>
      <c r="C105" s="49">
        <f>K10*K10*N10</f>
        <v>0</v>
      </c>
      <c r="D105" s="49">
        <f>-B105</f>
        <v>0</v>
      </c>
      <c r="E105" s="49">
        <f>-C105</f>
        <v>0</v>
      </c>
      <c r="F105" s="48" t="str">
        <f>C103</f>
        <v>U4Y</v>
      </c>
    </row>
    <row r="106" spans="1:12" x14ac:dyDescent="0.3">
      <c r="B106" s="49">
        <f>D104</f>
        <v>-72000</v>
      </c>
      <c r="C106" s="49">
        <f>E104</f>
        <v>0</v>
      </c>
      <c r="D106" s="49">
        <f>B104</f>
        <v>72000</v>
      </c>
      <c r="E106" s="49">
        <f>C104</f>
        <v>0</v>
      </c>
      <c r="F106" s="48" t="str">
        <f>D103</f>
        <v>U5X</v>
      </c>
    </row>
    <row r="107" spans="1:12" x14ac:dyDescent="0.3">
      <c r="B107" s="49">
        <f>D105</f>
        <v>0</v>
      </c>
      <c r="C107" s="49">
        <f>E105</f>
        <v>0</v>
      </c>
      <c r="D107" s="49">
        <f>B105</f>
        <v>0</v>
      </c>
      <c r="E107" s="49">
        <f>C105</f>
        <v>0</v>
      </c>
      <c r="F107" s="48" t="str">
        <f>E103</f>
        <v>U5Y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182</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50">
        <f t="shared" si="9"/>
        <v>72000</v>
      </c>
      <c r="I116" s="50">
        <f t="shared" si="9"/>
        <v>0</v>
      </c>
      <c r="J116" s="50">
        <f t="shared" si="9"/>
        <v>-72000</v>
      </c>
      <c r="K116" s="50">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185</v>
      </c>
    </row>
    <row r="118" spans="1:12" ht="19.05" customHeight="1" x14ac:dyDescent="0.3">
      <c r="B118" s="9">
        <f t="shared" si="9"/>
        <v>0</v>
      </c>
      <c r="C118" s="9">
        <f t="shared" si="9"/>
        <v>0</v>
      </c>
      <c r="D118" s="9">
        <f t="shared" si="9"/>
        <v>0</v>
      </c>
      <c r="E118" s="9">
        <f t="shared" si="9"/>
        <v>0</v>
      </c>
      <c r="F118" s="9">
        <f t="shared" si="9"/>
        <v>0</v>
      </c>
      <c r="G118" s="9">
        <f t="shared" si="9"/>
        <v>0</v>
      </c>
      <c r="H118" s="50">
        <f t="shared" si="9"/>
        <v>-72000</v>
      </c>
      <c r="I118" s="50">
        <f t="shared" si="9"/>
        <v>0</v>
      </c>
      <c r="J118" s="50">
        <f t="shared" si="9"/>
        <v>72000</v>
      </c>
      <c r="K118" s="50">
        <f t="shared" si="9"/>
        <v>0</v>
      </c>
      <c r="L118" s="48" t="s">
        <v>186</v>
      </c>
    </row>
    <row r="119" spans="1:12" ht="19.05" customHeight="1" x14ac:dyDescent="0.3">
      <c r="B119" s="9">
        <f t="shared" si="9"/>
        <v>0</v>
      </c>
      <c r="C119" s="9">
        <f t="shared" si="9"/>
        <v>0</v>
      </c>
      <c r="D119" s="9">
        <f t="shared" si="9"/>
        <v>0</v>
      </c>
      <c r="E119" s="9">
        <f t="shared" si="9"/>
        <v>0</v>
      </c>
      <c r="F119" s="9">
        <f t="shared" si="9"/>
        <v>0</v>
      </c>
      <c r="G119" s="9">
        <f t="shared" si="9"/>
        <v>0</v>
      </c>
      <c r="H119" s="50">
        <f t="shared" si="9"/>
        <v>0</v>
      </c>
      <c r="I119" s="50">
        <f t="shared" si="9"/>
        <v>0</v>
      </c>
      <c r="J119" s="50">
        <f t="shared" si="9"/>
        <v>0</v>
      </c>
      <c r="K119" s="50">
        <f t="shared" si="9"/>
        <v>0</v>
      </c>
      <c r="L119" s="48" t="s">
        <v>187</v>
      </c>
    </row>
    <row r="122" spans="1:12" ht="18" customHeight="1" x14ac:dyDescent="0.3">
      <c r="B122" s="53" t="str">
        <f>CONCATENATE("U",C22,C$16)</f>
        <v>U2X</v>
      </c>
      <c r="C122" s="53" t="str">
        <f>CONCATENATE("U",D22,D$16)</f>
        <v>U2Y</v>
      </c>
      <c r="D122" s="53" t="str">
        <f>CONCATENATE("U",E22,E$16)</f>
        <v>U5X</v>
      </c>
      <c r="E122" s="53" t="str">
        <f>CONCATENATE("U",F22,F$16)</f>
        <v>U5Y</v>
      </c>
    </row>
    <row r="123" spans="1:12" x14ac:dyDescent="0.3">
      <c r="B123" s="54">
        <f>J11*J11*N11</f>
        <v>21438.159370915153</v>
      </c>
      <c r="C123" s="54">
        <f>J11*K11*N11</f>
        <v>34301.054993464233</v>
      </c>
      <c r="D123" s="54">
        <f>-B123</f>
        <v>-21438.159370915153</v>
      </c>
      <c r="E123" s="54">
        <f>-C123</f>
        <v>-34301.054993464233</v>
      </c>
      <c r="F123" s="53" t="str">
        <f>B122</f>
        <v>U2X</v>
      </c>
    </row>
    <row r="124" spans="1:12" ht="16.8" customHeight="1" x14ac:dyDescent="0.3">
      <c r="A124" s="28" t="s">
        <v>199</v>
      </c>
      <c r="B124" s="54">
        <f>C123</f>
        <v>34301.054993464233</v>
      </c>
      <c r="C124" s="54">
        <f>K11*K11*N11</f>
        <v>54881.687989542777</v>
      </c>
      <c r="D124" s="54">
        <f>-B124</f>
        <v>-34301.054993464233</v>
      </c>
      <c r="E124" s="54">
        <f>-C124</f>
        <v>-54881.687989542777</v>
      </c>
      <c r="F124" s="53" t="str">
        <f>C122</f>
        <v>U2Y</v>
      </c>
    </row>
    <row r="125" spans="1:12" x14ac:dyDescent="0.3">
      <c r="B125" s="54">
        <f>D123</f>
        <v>-21438.159370915153</v>
      </c>
      <c r="C125" s="54">
        <f>E123</f>
        <v>-34301.054993464233</v>
      </c>
      <c r="D125" s="54">
        <f>B123</f>
        <v>21438.159370915153</v>
      </c>
      <c r="E125" s="54">
        <f>C123</f>
        <v>34301.054993464233</v>
      </c>
      <c r="F125" s="53" t="str">
        <f>D122</f>
        <v>U5X</v>
      </c>
    </row>
    <row r="126" spans="1:12" x14ac:dyDescent="0.3">
      <c r="B126" s="54">
        <f>D124</f>
        <v>-34301.054993464233</v>
      </c>
      <c r="C126" s="54">
        <f>E124</f>
        <v>-54881.687989542777</v>
      </c>
      <c r="D126" s="54">
        <f>B124</f>
        <v>34301.054993464233</v>
      </c>
      <c r="E126" s="54">
        <f>C124</f>
        <v>54881.687989542777</v>
      </c>
      <c r="F126" s="53" t="str">
        <f>E122</f>
        <v>U5Y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21438.159370915153</v>
      </c>
      <c r="E131" s="55">
        <f t="shared" si="10"/>
        <v>34301.054993464233</v>
      </c>
      <c r="F131" s="9">
        <f t="shared" si="10"/>
        <v>0</v>
      </c>
      <c r="G131" s="9">
        <f t="shared" si="10"/>
        <v>0</v>
      </c>
      <c r="H131" s="9">
        <f t="shared" si="10"/>
        <v>0</v>
      </c>
      <c r="I131" s="9">
        <f t="shared" si="10"/>
        <v>0</v>
      </c>
      <c r="J131" s="55">
        <f t="shared" si="10"/>
        <v>-21438.159370915153</v>
      </c>
      <c r="K131" s="55">
        <f t="shared" si="10"/>
        <v>-34301.054993464233</v>
      </c>
      <c r="L131" s="53" t="s">
        <v>180</v>
      </c>
    </row>
    <row r="132" spans="1:12" ht="19.05" customHeight="1" x14ac:dyDescent="0.3">
      <c r="B132" s="9">
        <f t="shared" si="10"/>
        <v>0</v>
      </c>
      <c r="C132" s="9">
        <f t="shared" si="10"/>
        <v>0</v>
      </c>
      <c r="D132" s="55">
        <f t="shared" si="10"/>
        <v>34301.054993464233</v>
      </c>
      <c r="E132" s="55">
        <f t="shared" si="10"/>
        <v>54881.687989542777</v>
      </c>
      <c r="F132" s="9">
        <f t="shared" si="10"/>
        <v>0</v>
      </c>
      <c r="G132" s="9">
        <f t="shared" si="10"/>
        <v>0</v>
      </c>
      <c r="H132" s="9">
        <f t="shared" si="10"/>
        <v>0</v>
      </c>
      <c r="I132" s="9">
        <f t="shared" si="10"/>
        <v>0</v>
      </c>
      <c r="J132" s="55">
        <f t="shared" si="10"/>
        <v>-34301.054993464233</v>
      </c>
      <c r="K132" s="55">
        <f t="shared" si="10"/>
        <v>-54881.687989542777</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184</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185</v>
      </c>
    </row>
    <row r="137" spans="1:12" ht="19.05" customHeight="1" x14ac:dyDescent="0.3">
      <c r="B137" s="9">
        <f t="shared" si="10"/>
        <v>0</v>
      </c>
      <c r="C137" s="9">
        <f t="shared" si="10"/>
        <v>0</v>
      </c>
      <c r="D137" s="55">
        <f t="shared" si="10"/>
        <v>-21438.159370915153</v>
      </c>
      <c r="E137" s="55">
        <f t="shared" si="10"/>
        <v>-34301.054993464233</v>
      </c>
      <c r="F137" s="9">
        <f t="shared" si="10"/>
        <v>0</v>
      </c>
      <c r="G137" s="9">
        <f t="shared" si="10"/>
        <v>0</v>
      </c>
      <c r="H137" s="9">
        <f t="shared" si="10"/>
        <v>0</v>
      </c>
      <c r="I137" s="9">
        <f t="shared" si="10"/>
        <v>0</v>
      </c>
      <c r="J137" s="55">
        <f t="shared" si="10"/>
        <v>21438.159370915153</v>
      </c>
      <c r="K137" s="55">
        <f t="shared" si="10"/>
        <v>34301.054993464233</v>
      </c>
      <c r="L137" s="53" t="s">
        <v>186</v>
      </c>
    </row>
    <row r="138" spans="1:12" ht="19.05" customHeight="1" x14ac:dyDescent="0.3">
      <c r="B138" s="9">
        <f t="shared" si="10"/>
        <v>0</v>
      </c>
      <c r="C138" s="9">
        <f t="shared" si="10"/>
        <v>0</v>
      </c>
      <c r="D138" s="55">
        <f t="shared" si="10"/>
        <v>-34301.054993464233</v>
      </c>
      <c r="E138" s="55">
        <f t="shared" si="10"/>
        <v>-54881.687989542777</v>
      </c>
      <c r="F138" s="9">
        <f t="shared" si="10"/>
        <v>0</v>
      </c>
      <c r="G138" s="9">
        <f t="shared" si="10"/>
        <v>0</v>
      </c>
      <c r="H138" s="9">
        <f t="shared" si="10"/>
        <v>0</v>
      </c>
      <c r="I138" s="9">
        <f t="shared" si="10"/>
        <v>0</v>
      </c>
      <c r="J138" s="55">
        <f t="shared" si="10"/>
        <v>34301.054993464233</v>
      </c>
      <c r="K138" s="55">
        <f t="shared" si="10"/>
        <v>54881.687989542777</v>
      </c>
      <c r="L138" s="53" t="s">
        <v>187</v>
      </c>
    </row>
    <row r="141" spans="1:12" ht="18" customHeight="1" x14ac:dyDescent="0.3">
      <c r="B141" s="56" t="str">
        <f>CONCATENATE("U",C23,C$16)</f>
        <v>U5X</v>
      </c>
      <c r="C141" s="56" t="str">
        <f>CONCATENATE("U",D23,D$16)</f>
        <v>U5Y</v>
      </c>
      <c r="D141" s="56" t="str">
        <f>CONCATENATE("U",E23,E$16)</f>
        <v>U3X</v>
      </c>
      <c r="E141" s="56" t="str">
        <f>CONCATENATE("U",F23,F$16)</f>
        <v>U3Y</v>
      </c>
    </row>
    <row r="142" spans="1:12" x14ac:dyDescent="0.3">
      <c r="B142" s="57">
        <f>J12*J12*N12</f>
        <v>21438.159370915153</v>
      </c>
      <c r="C142" s="57">
        <f>J12*K12*N12</f>
        <v>-34301.054993464233</v>
      </c>
      <c r="D142" s="57">
        <f>-B142</f>
        <v>-21438.159370915153</v>
      </c>
      <c r="E142" s="57">
        <f>-C142</f>
        <v>34301.054993464233</v>
      </c>
      <c r="F142" s="56" t="str">
        <f>B141</f>
        <v>U5X</v>
      </c>
    </row>
    <row r="143" spans="1:12" ht="16.8" customHeight="1" x14ac:dyDescent="0.3">
      <c r="A143" s="28" t="s">
        <v>201</v>
      </c>
      <c r="B143" s="57">
        <f>C142</f>
        <v>-34301.054993464233</v>
      </c>
      <c r="C143" s="57">
        <f>K12*K12*N12</f>
        <v>54881.687989542777</v>
      </c>
      <c r="D143" s="57">
        <f>-B143</f>
        <v>34301.054993464233</v>
      </c>
      <c r="E143" s="57">
        <f>-C143</f>
        <v>-54881.687989542777</v>
      </c>
      <c r="F143" s="56" t="str">
        <f>C141</f>
        <v>U5Y</v>
      </c>
    </row>
    <row r="144" spans="1:12" x14ac:dyDescent="0.3">
      <c r="B144" s="57">
        <f>D142</f>
        <v>-21438.159370915153</v>
      </c>
      <c r="C144" s="57">
        <f>E142</f>
        <v>34301.054993464233</v>
      </c>
      <c r="D144" s="57">
        <f>B142</f>
        <v>21438.159370915153</v>
      </c>
      <c r="E144" s="57">
        <f>C142</f>
        <v>-34301.054993464233</v>
      </c>
      <c r="F144" s="56" t="str">
        <f>D141</f>
        <v>U3X</v>
      </c>
    </row>
    <row r="145" spans="1:12" x14ac:dyDescent="0.3">
      <c r="B145" s="57">
        <f>D143</f>
        <v>34301.054993464233</v>
      </c>
      <c r="C145" s="57">
        <f>E143</f>
        <v>-54881.687989542777</v>
      </c>
      <c r="D145" s="57">
        <f>B143</f>
        <v>-34301.054993464233</v>
      </c>
      <c r="E145" s="57">
        <f>C143</f>
        <v>54881.687989542777</v>
      </c>
      <c r="F145" s="56" t="str">
        <f>E141</f>
        <v>U3Y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180</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181</v>
      </c>
    </row>
    <row r="152" spans="1:12" ht="19.05" customHeight="1" x14ac:dyDescent="0.3">
      <c r="A152" s="28" t="s">
        <v>202</v>
      </c>
      <c r="B152" s="9">
        <f t="shared" si="11"/>
        <v>0</v>
      </c>
      <c r="C152" s="9">
        <f t="shared" si="11"/>
        <v>0</v>
      </c>
      <c r="D152" s="9">
        <f t="shared" si="11"/>
        <v>0</v>
      </c>
      <c r="E152" s="9">
        <f t="shared" si="11"/>
        <v>0</v>
      </c>
      <c r="F152" s="58">
        <f t="shared" si="11"/>
        <v>21438.159370915153</v>
      </c>
      <c r="G152" s="58">
        <f t="shared" si="11"/>
        <v>-34301.054993464233</v>
      </c>
      <c r="H152" s="9">
        <f t="shared" si="11"/>
        <v>0</v>
      </c>
      <c r="I152" s="9">
        <f t="shared" si="11"/>
        <v>0</v>
      </c>
      <c r="J152" s="58">
        <f t="shared" si="11"/>
        <v>-21438.159370915153</v>
      </c>
      <c r="K152" s="58">
        <f t="shared" si="11"/>
        <v>34301.054993464233</v>
      </c>
      <c r="L152" s="56" t="s">
        <v>182</v>
      </c>
    </row>
    <row r="153" spans="1:12" ht="19.05" customHeight="1" x14ac:dyDescent="0.3">
      <c r="B153" s="9">
        <f t="shared" si="11"/>
        <v>0</v>
      </c>
      <c r="C153" s="9">
        <f t="shared" si="11"/>
        <v>0</v>
      </c>
      <c r="D153" s="9">
        <f t="shared" si="11"/>
        <v>0</v>
      </c>
      <c r="E153" s="9">
        <f t="shared" si="11"/>
        <v>0</v>
      </c>
      <c r="F153" s="58">
        <f t="shared" si="11"/>
        <v>-34301.054993464233</v>
      </c>
      <c r="G153" s="58">
        <f t="shared" si="11"/>
        <v>54881.687989542777</v>
      </c>
      <c r="H153" s="9">
        <f t="shared" si="11"/>
        <v>0</v>
      </c>
      <c r="I153" s="9">
        <f t="shared" si="11"/>
        <v>0</v>
      </c>
      <c r="J153" s="58">
        <f t="shared" si="11"/>
        <v>34301.054993464233</v>
      </c>
      <c r="K153" s="58">
        <f t="shared" si="11"/>
        <v>-54881.687989542777</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9">
        <f t="shared" si="11"/>
        <v>0</v>
      </c>
      <c r="E156" s="9">
        <f t="shared" si="11"/>
        <v>0</v>
      </c>
      <c r="F156" s="58">
        <f t="shared" si="11"/>
        <v>-21438.159370915153</v>
      </c>
      <c r="G156" s="58">
        <f t="shared" si="11"/>
        <v>34301.054993464233</v>
      </c>
      <c r="H156" s="9">
        <f t="shared" si="11"/>
        <v>0</v>
      </c>
      <c r="I156" s="9">
        <f t="shared" si="11"/>
        <v>0</v>
      </c>
      <c r="J156" s="58">
        <f t="shared" si="11"/>
        <v>21438.159370915153</v>
      </c>
      <c r="K156" s="58">
        <f t="shared" si="11"/>
        <v>-34301.054993464233</v>
      </c>
      <c r="L156" s="56" t="s">
        <v>186</v>
      </c>
    </row>
    <row r="157" spans="1:12" ht="19.05" customHeight="1" x14ac:dyDescent="0.3">
      <c r="B157" s="9">
        <f t="shared" si="11"/>
        <v>0</v>
      </c>
      <c r="C157" s="9">
        <f t="shared" si="11"/>
        <v>0</v>
      </c>
      <c r="D157" s="9">
        <f t="shared" si="11"/>
        <v>0</v>
      </c>
      <c r="E157" s="9">
        <f t="shared" si="11"/>
        <v>0</v>
      </c>
      <c r="F157" s="58">
        <f t="shared" si="11"/>
        <v>34301.054993464233</v>
      </c>
      <c r="G157" s="58">
        <f t="shared" si="11"/>
        <v>-54881.687989542777</v>
      </c>
      <c r="H157" s="9">
        <f t="shared" si="11"/>
        <v>0</v>
      </c>
      <c r="I157" s="9">
        <f t="shared" si="11"/>
        <v>0</v>
      </c>
      <c r="J157" s="58">
        <f t="shared" si="11"/>
        <v>-34301.054993464233</v>
      </c>
      <c r="K157" s="58">
        <f t="shared" si="11"/>
        <v>54881.687989542777</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32973.743130470175</v>
      </c>
      <c r="C161" s="62">
        <f>J13*K13*N13</f>
        <v>17585.996336250762</v>
      </c>
      <c r="D161" s="62">
        <f>-B161</f>
        <v>-32973.743130470175</v>
      </c>
      <c r="E161" s="62">
        <f>-C161</f>
        <v>-17585.996336250762</v>
      </c>
      <c r="F161" s="61" t="str">
        <f>B160</f>
        <v>U1X</v>
      </c>
    </row>
    <row r="162" spans="1:12" ht="16.8" customHeight="1" x14ac:dyDescent="0.3">
      <c r="A162" s="28" t="s">
        <v>203</v>
      </c>
      <c r="B162" s="62">
        <f>C161</f>
        <v>17585.996336250762</v>
      </c>
      <c r="C162" s="62">
        <f>K13*K13*N13</f>
        <v>9379.198046000407</v>
      </c>
      <c r="D162" s="62">
        <f>-B162</f>
        <v>-17585.996336250762</v>
      </c>
      <c r="E162" s="62">
        <f>-C162</f>
        <v>-9379.198046000407</v>
      </c>
      <c r="F162" s="61" t="str">
        <f>C160</f>
        <v>U1Y</v>
      </c>
    </row>
    <row r="163" spans="1:12" x14ac:dyDescent="0.3">
      <c r="B163" s="62">
        <f>D161</f>
        <v>-32973.743130470175</v>
      </c>
      <c r="C163" s="62">
        <f>E161</f>
        <v>-17585.996336250762</v>
      </c>
      <c r="D163" s="62">
        <f>B161</f>
        <v>32973.743130470175</v>
      </c>
      <c r="E163" s="62">
        <f>C161</f>
        <v>17585.996336250762</v>
      </c>
      <c r="F163" s="61" t="str">
        <f>D160</f>
        <v>U5X</v>
      </c>
    </row>
    <row r="164" spans="1:12" x14ac:dyDescent="0.3">
      <c r="B164" s="62">
        <f>D162</f>
        <v>-17585.996336250762</v>
      </c>
      <c r="C164" s="62">
        <f>E162</f>
        <v>-9379.198046000407</v>
      </c>
      <c r="D164" s="62">
        <f>B162</f>
        <v>17585.996336250762</v>
      </c>
      <c r="E164" s="62">
        <f>C162</f>
        <v>9379.198046000407</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32973.743130470175</v>
      </c>
      <c r="C167" s="63">
        <f t="shared" si="12"/>
        <v>17585.996336250762</v>
      </c>
      <c r="D167" s="9">
        <f t="shared" si="12"/>
        <v>0</v>
      </c>
      <c r="E167" s="9">
        <f t="shared" si="12"/>
        <v>0</v>
      </c>
      <c r="F167" s="9">
        <f t="shared" si="12"/>
        <v>0</v>
      </c>
      <c r="G167" s="9">
        <f t="shared" si="12"/>
        <v>0</v>
      </c>
      <c r="H167" s="9">
        <f t="shared" si="12"/>
        <v>0</v>
      </c>
      <c r="I167" s="9">
        <f t="shared" si="12"/>
        <v>0</v>
      </c>
      <c r="J167" s="63">
        <f t="shared" si="12"/>
        <v>-32973.743130470175</v>
      </c>
      <c r="K167" s="63">
        <f t="shared" si="12"/>
        <v>-17585.996336250762</v>
      </c>
      <c r="L167" s="61" t="s">
        <v>178</v>
      </c>
    </row>
    <row r="168" spans="1:12" ht="19.05" customHeight="1" x14ac:dyDescent="0.3">
      <c r="B168" s="63">
        <f t="shared" si="12"/>
        <v>17585.996336250762</v>
      </c>
      <c r="C168" s="63">
        <f t="shared" si="12"/>
        <v>9379.198046000407</v>
      </c>
      <c r="D168" s="9">
        <f t="shared" si="12"/>
        <v>0</v>
      </c>
      <c r="E168" s="9">
        <f t="shared" si="12"/>
        <v>0</v>
      </c>
      <c r="F168" s="9">
        <f t="shared" si="12"/>
        <v>0</v>
      </c>
      <c r="G168" s="9">
        <f t="shared" si="12"/>
        <v>0</v>
      </c>
      <c r="H168" s="9">
        <f t="shared" si="12"/>
        <v>0</v>
      </c>
      <c r="I168" s="9">
        <f t="shared" si="12"/>
        <v>0</v>
      </c>
      <c r="J168" s="63">
        <f t="shared" si="12"/>
        <v>-17585.996336250762</v>
      </c>
      <c r="K168" s="63">
        <f t="shared" si="12"/>
        <v>-9379.198046000407</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-32973.743130470175</v>
      </c>
      <c r="C175" s="63">
        <f t="shared" si="12"/>
        <v>-17585.996336250762</v>
      </c>
      <c r="D175" s="9">
        <f t="shared" si="12"/>
        <v>0</v>
      </c>
      <c r="E175" s="9">
        <f t="shared" si="12"/>
        <v>0</v>
      </c>
      <c r="F175" s="9">
        <f t="shared" si="12"/>
        <v>0</v>
      </c>
      <c r="G175" s="9">
        <f t="shared" si="12"/>
        <v>0</v>
      </c>
      <c r="H175" s="9">
        <f t="shared" si="12"/>
        <v>0</v>
      </c>
      <c r="I175" s="9">
        <f t="shared" si="12"/>
        <v>0</v>
      </c>
      <c r="J175" s="63">
        <f t="shared" si="12"/>
        <v>32973.743130470175</v>
      </c>
      <c r="K175" s="63">
        <f t="shared" si="12"/>
        <v>17585.996336250762</v>
      </c>
      <c r="L175" s="61" t="s">
        <v>186</v>
      </c>
    </row>
    <row r="176" spans="1:12" ht="19.05" customHeight="1" x14ac:dyDescent="0.3">
      <c r="B176" s="63">
        <f t="shared" si="12"/>
        <v>-17585.996336250762</v>
      </c>
      <c r="C176" s="63">
        <f t="shared" si="12"/>
        <v>-9379.198046000407</v>
      </c>
      <c r="D176" s="9">
        <f t="shared" si="12"/>
        <v>0</v>
      </c>
      <c r="E176" s="9">
        <f t="shared" si="12"/>
        <v>0</v>
      </c>
      <c r="F176" s="9">
        <f t="shared" si="12"/>
        <v>0</v>
      </c>
      <c r="G176" s="9">
        <f t="shared" si="12"/>
        <v>0</v>
      </c>
      <c r="H176" s="9">
        <f t="shared" si="12"/>
        <v>0</v>
      </c>
      <c r="I176" s="9">
        <f t="shared" si="12"/>
        <v>0</v>
      </c>
      <c r="J176" s="63">
        <f t="shared" si="12"/>
        <v>17585.996336250762</v>
      </c>
      <c r="K176" s="63">
        <f t="shared" si="12"/>
        <v>9379.198046000407</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126411.90250138532</v>
      </c>
      <c r="C180" s="36">
        <f t="shared" si="13"/>
        <v>51887.051329714996</v>
      </c>
      <c r="D180" s="9">
        <f t="shared" si="13"/>
        <v>-72000</v>
      </c>
      <c r="E180" s="9">
        <f t="shared" si="13"/>
        <v>0</v>
      </c>
      <c r="F180" s="9">
        <f t="shared" si="13"/>
        <v>0</v>
      </c>
      <c r="G180" s="9">
        <f t="shared" si="13"/>
        <v>0</v>
      </c>
      <c r="H180" s="9">
        <f t="shared" si="13"/>
        <v>-21438.159370915153</v>
      </c>
      <c r="I180" s="9">
        <f t="shared" si="13"/>
        <v>-34301.054993464233</v>
      </c>
      <c r="J180" s="9">
        <f t="shared" si="13"/>
        <v>-32973.743130470175</v>
      </c>
      <c r="K180" s="9">
        <f t="shared" si="13"/>
        <v>-17585.996336250762</v>
      </c>
      <c r="L180" s="89" t="s">
        <v>178</v>
      </c>
    </row>
    <row r="181" spans="1:19" ht="19.95" customHeight="1" x14ac:dyDescent="0.3">
      <c r="B181" s="36">
        <f t="shared" ref="B181:K181" si="14">B35+B54+B73+B92+B111+B130+B149+B168</f>
        <v>51887.051329714996</v>
      </c>
      <c r="C181" s="35">
        <f t="shared" si="14"/>
        <v>64260.886035543183</v>
      </c>
      <c r="D181" s="9">
        <f t="shared" si="14"/>
        <v>0</v>
      </c>
      <c r="E181" s="9">
        <f t="shared" si="14"/>
        <v>0</v>
      </c>
      <c r="F181" s="9">
        <f t="shared" si="14"/>
        <v>0</v>
      </c>
      <c r="G181" s="9">
        <f t="shared" si="14"/>
        <v>0</v>
      </c>
      <c r="H181" s="9">
        <f t="shared" si="14"/>
        <v>-34301.054993464233</v>
      </c>
      <c r="I181" s="9">
        <f t="shared" si="14"/>
        <v>-54881.687989542777</v>
      </c>
      <c r="J181" s="9">
        <f t="shared" si="14"/>
        <v>-17585.996336250762</v>
      </c>
      <c r="K181" s="9">
        <f t="shared" si="14"/>
        <v>-9379.198046000407</v>
      </c>
      <c r="L181" s="89" t="s">
        <v>179</v>
      </c>
    </row>
    <row r="182" spans="1:19" ht="19.95" customHeight="1" x14ac:dyDescent="0.3">
      <c r="B182" s="9">
        <f t="shared" ref="B182:K182" si="15">B36+B55+B74+B93+B112+B131+B150+B169</f>
        <v>-72000</v>
      </c>
      <c r="C182" s="9">
        <f t="shared" si="15"/>
        <v>0</v>
      </c>
      <c r="D182" s="35">
        <f t="shared" si="15"/>
        <v>186876.3187418303</v>
      </c>
      <c r="E182" s="36">
        <f t="shared" si="15"/>
        <v>0</v>
      </c>
      <c r="F182" s="9">
        <f t="shared" si="15"/>
        <v>-72000</v>
      </c>
      <c r="G182" s="9">
        <f t="shared" si="15"/>
        <v>0</v>
      </c>
      <c r="H182" s="9">
        <f t="shared" si="15"/>
        <v>-21438.159370915153</v>
      </c>
      <c r="I182" s="9">
        <f t="shared" si="15"/>
        <v>34301.054993464233</v>
      </c>
      <c r="J182" s="9">
        <f t="shared" si="15"/>
        <v>-21438.159370915153</v>
      </c>
      <c r="K182" s="9">
        <f t="shared" si="15"/>
        <v>-34301.054993464233</v>
      </c>
      <c r="L182" s="89" t="s">
        <v>180</v>
      </c>
    </row>
    <row r="183" spans="1:19" ht="19.95" customHeight="1" x14ac:dyDescent="0.3">
      <c r="B183" s="9">
        <f t="shared" ref="B183:K183" si="16">B37+B56+B75+B94+B113+B132+B151+B170</f>
        <v>0</v>
      </c>
      <c r="C183" s="9">
        <f t="shared" si="16"/>
        <v>0</v>
      </c>
      <c r="D183" s="36">
        <f t="shared" si="16"/>
        <v>0</v>
      </c>
      <c r="E183" s="35">
        <f t="shared" si="16"/>
        <v>109763.37597908555</v>
      </c>
      <c r="F183" s="9">
        <f t="shared" si="16"/>
        <v>0</v>
      </c>
      <c r="G183" s="9">
        <f t="shared" si="16"/>
        <v>0</v>
      </c>
      <c r="H183" s="9">
        <f t="shared" si="16"/>
        <v>34301.054993464233</v>
      </c>
      <c r="I183" s="9">
        <f t="shared" si="16"/>
        <v>-54881.687989542777</v>
      </c>
      <c r="J183" s="9">
        <f t="shared" si="16"/>
        <v>-34301.054993464233</v>
      </c>
      <c r="K183" s="9">
        <f t="shared" si="16"/>
        <v>-54881.687989542777</v>
      </c>
      <c r="L183" s="89" t="s">
        <v>181</v>
      </c>
    </row>
    <row r="184" spans="1:19" ht="19.95" customHeight="1" x14ac:dyDescent="0.3">
      <c r="A184" s="28" t="s">
        <v>205</v>
      </c>
      <c r="B184" s="9">
        <f t="shared" ref="B184:K184" si="17">B38+B57+B76+B95+B114+B133+B152+B171</f>
        <v>0</v>
      </c>
      <c r="C184" s="9">
        <f t="shared" si="17"/>
        <v>0</v>
      </c>
      <c r="D184" s="9">
        <f t="shared" si="17"/>
        <v>-72000</v>
      </c>
      <c r="E184" s="9">
        <f t="shared" si="17"/>
        <v>0</v>
      </c>
      <c r="F184" s="35">
        <f t="shared" si="17"/>
        <v>93438.159370915149</v>
      </c>
      <c r="G184" s="36">
        <f t="shared" si="17"/>
        <v>-34301.054993464233</v>
      </c>
      <c r="H184" s="9">
        <f t="shared" si="17"/>
        <v>0</v>
      </c>
      <c r="I184" s="9">
        <f t="shared" si="17"/>
        <v>0</v>
      </c>
      <c r="J184" s="9">
        <f t="shared" si="17"/>
        <v>-21438.159370915153</v>
      </c>
      <c r="K184" s="9">
        <f t="shared" si="17"/>
        <v>34301.054993464233</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-34301.054993464233</v>
      </c>
      <c r="G185" s="35">
        <f t="shared" si="18"/>
        <v>54881.687989542777</v>
      </c>
      <c r="H185" s="9">
        <f t="shared" si="18"/>
        <v>0</v>
      </c>
      <c r="I185" s="9">
        <f t="shared" si="18"/>
        <v>0</v>
      </c>
      <c r="J185" s="9">
        <f t="shared" si="18"/>
        <v>34301.054993464233</v>
      </c>
      <c r="K185" s="9">
        <f t="shared" si="18"/>
        <v>-54881.687989542777</v>
      </c>
      <c r="L185" s="89" t="s">
        <v>183</v>
      </c>
    </row>
    <row r="186" spans="1:19" ht="19.95" customHeight="1" x14ac:dyDescent="0.3">
      <c r="B186" s="9">
        <f t="shared" ref="B186:K186" si="19">B40+B59+B78+B97+B116+B135+B154+B173</f>
        <v>-21438.159370915153</v>
      </c>
      <c r="C186" s="9">
        <f t="shared" si="19"/>
        <v>-34301.054993464233</v>
      </c>
      <c r="D186" s="9">
        <f t="shared" si="19"/>
        <v>-21438.159370915153</v>
      </c>
      <c r="E186" s="9">
        <f t="shared" si="19"/>
        <v>34301.054993464233</v>
      </c>
      <c r="F186" s="9">
        <f t="shared" si="19"/>
        <v>0</v>
      </c>
      <c r="G186" s="9">
        <f t="shared" si="19"/>
        <v>0</v>
      </c>
      <c r="H186" s="35">
        <f t="shared" si="19"/>
        <v>114876.3187418303</v>
      </c>
      <c r="I186" s="36">
        <f t="shared" si="19"/>
        <v>0</v>
      </c>
      <c r="J186" s="9">
        <f t="shared" si="19"/>
        <v>-72000</v>
      </c>
      <c r="K186" s="9">
        <f t="shared" si="19"/>
        <v>0</v>
      </c>
      <c r="L186" s="89" t="s">
        <v>184</v>
      </c>
    </row>
    <row r="187" spans="1:19" ht="19.95" customHeight="1" x14ac:dyDescent="0.3">
      <c r="B187" s="9">
        <f t="shared" ref="B187:K187" si="20">B41+B60+B79+B98+B117+B136+B155+B174</f>
        <v>-34301.054993464233</v>
      </c>
      <c r="C187" s="9">
        <f t="shared" si="20"/>
        <v>-54881.687989542777</v>
      </c>
      <c r="D187" s="9">
        <f t="shared" si="20"/>
        <v>34301.054993464233</v>
      </c>
      <c r="E187" s="9">
        <f t="shared" si="20"/>
        <v>-54881.687989542777</v>
      </c>
      <c r="F187" s="9">
        <f t="shared" si="20"/>
        <v>0</v>
      </c>
      <c r="G187" s="9">
        <f t="shared" si="20"/>
        <v>0</v>
      </c>
      <c r="H187" s="36">
        <f t="shared" si="20"/>
        <v>0</v>
      </c>
      <c r="I187" s="35">
        <f t="shared" si="20"/>
        <v>109763.37597908555</v>
      </c>
      <c r="J187" s="9">
        <f t="shared" si="20"/>
        <v>0</v>
      </c>
      <c r="K187" s="9">
        <f t="shared" si="20"/>
        <v>0</v>
      </c>
      <c r="L187" s="89" t="s">
        <v>185</v>
      </c>
    </row>
    <row r="188" spans="1:19" ht="19.95" customHeight="1" x14ac:dyDescent="0.3">
      <c r="B188" s="9">
        <f t="shared" ref="B188:K188" si="21">B42+B61+B80+B99+B118+B137+B156+B175</f>
        <v>-32973.743130470175</v>
      </c>
      <c r="C188" s="9">
        <f t="shared" si="21"/>
        <v>-17585.996336250762</v>
      </c>
      <c r="D188" s="9">
        <f t="shared" si="21"/>
        <v>-21438.159370915153</v>
      </c>
      <c r="E188" s="9">
        <f t="shared" si="21"/>
        <v>-34301.054993464233</v>
      </c>
      <c r="F188" s="9">
        <f t="shared" si="21"/>
        <v>-21438.159370915153</v>
      </c>
      <c r="G188" s="9">
        <f t="shared" si="21"/>
        <v>34301.054993464233</v>
      </c>
      <c r="H188" s="9">
        <f t="shared" si="21"/>
        <v>-72000</v>
      </c>
      <c r="I188" s="9">
        <f t="shared" si="21"/>
        <v>0</v>
      </c>
      <c r="J188" s="35">
        <f t="shared" si="21"/>
        <v>147850.06187230046</v>
      </c>
      <c r="K188" s="36">
        <f t="shared" si="21"/>
        <v>17585.996336250762</v>
      </c>
      <c r="L188" s="89" t="s">
        <v>186</v>
      </c>
    </row>
    <row r="189" spans="1:19" ht="19.95" customHeight="1" x14ac:dyDescent="0.3">
      <c r="B189" s="9">
        <f t="shared" ref="B189:K189" si="22">B43+B62+B81+B100+B119+B138+B157+B176</f>
        <v>-17585.996336250762</v>
      </c>
      <c r="C189" s="9">
        <f t="shared" si="22"/>
        <v>-9379.198046000407</v>
      </c>
      <c r="D189" s="9">
        <f t="shared" si="22"/>
        <v>-34301.054993464233</v>
      </c>
      <c r="E189" s="9">
        <f t="shared" si="22"/>
        <v>-54881.687989542777</v>
      </c>
      <c r="F189" s="9">
        <f t="shared" si="22"/>
        <v>34301.054993464233</v>
      </c>
      <c r="G189" s="9">
        <f t="shared" si="22"/>
        <v>-54881.687989542777</v>
      </c>
      <c r="H189" s="9">
        <f t="shared" si="22"/>
        <v>0</v>
      </c>
      <c r="I189" s="9">
        <f t="shared" si="22"/>
        <v>0</v>
      </c>
      <c r="J189" s="36">
        <f t="shared" si="22"/>
        <v>17585.996336250762</v>
      </c>
      <c r="K189" s="35">
        <f t="shared" si="22"/>
        <v>119142.57402508597</v>
      </c>
      <c r="L189" s="89" t="s">
        <v>187</v>
      </c>
    </row>
    <row r="192" spans="1:19" ht="19.95" customHeight="1" x14ac:dyDescent="0.35">
      <c r="A192" s="11" t="s">
        <v>206</v>
      </c>
      <c r="N192" s="216" t="s">
        <v>207</v>
      </c>
      <c r="O192" s="172"/>
      <c r="P192" s="172"/>
      <c r="Q192" s="172"/>
      <c r="R192" s="172"/>
      <c r="S192" s="173"/>
    </row>
    <row r="193" spans="1:19" ht="16.95" customHeight="1" x14ac:dyDescent="0.3">
      <c r="B193" s="12" t="s">
        <v>208</v>
      </c>
      <c r="C193" s="12" t="s">
        <v>178</v>
      </c>
      <c r="E193" s="37" t="str">
        <f>IF(GRAFICA_56!F14=1, B193, GRAFICA_56!H14)</f>
        <v>C1X</v>
      </c>
      <c r="N193" s="215" t="s">
        <v>376</v>
      </c>
      <c r="O193" s="172"/>
      <c r="P193" s="172"/>
      <c r="Q193" s="172"/>
      <c r="R193" s="172"/>
      <c r="S193" s="173"/>
    </row>
    <row r="194" spans="1:19" ht="16.95" customHeight="1" x14ac:dyDescent="0.3">
      <c r="B194" s="12" t="s">
        <v>210</v>
      </c>
      <c r="C194" s="12" t="s">
        <v>179</v>
      </c>
      <c r="E194" s="37" t="str">
        <f>IF(GRAFICA_56!G14=1, B194, GRAFICA_56!I14)</f>
        <v>C1Y</v>
      </c>
      <c r="N194" s="215" t="s">
        <v>211</v>
      </c>
      <c r="O194" s="172"/>
      <c r="P194" s="172"/>
      <c r="Q194" s="172"/>
      <c r="R194" s="172"/>
      <c r="S194" s="173"/>
    </row>
    <row r="195" spans="1:19" ht="16.95" customHeight="1" x14ac:dyDescent="0.3">
      <c r="B195" s="12" t="s">
        <v>212</v>
      </c>
      <c r="C195" s="12" t="s">
        <v>180</v>
      </c>
      <c r="E195" s="37">
        <f>IF(GRAFICA_56!F15=1, B195, GRAFICA_56!H15)</f>
        <v>0</v>
      </c>
      <c r="N195" s="215" t="s">
        <v>377</v>
      </c>
      <c r="O195" s="172"/>
      <c r="P195" s="172"/>
      <c r="Q195" s="172"/>
      <c r="R195" s="172"/>
      <c r="S195" s="173"/>
    </row>
    <row r="196" spans="1:19" ht="16.95" customHeight="1" x14ac:dyDescent="0.3">
      <c r="B196" s="12" t="s">
        <v>214</v>
      </c>
      <c r="C196" s="12" t="s">
        <v>181</v>
      </c>
      <c r="E196" s="37" t="str">
        <f>IF(GRAFICA_56!G15=1, B196, GRAFICA_56!I15)</f>
        <v>C2Y</v>
      </c>
      <c r="N196" s="215" t="s">
        <v>215</v>
      </c>
      <c r="O196" s="172"/>
      <c r="P196" s="172"/>
      <c r="Q196" s="172"/>
      <c r="R196" s="172"/>
      <c r="S196" s="173"/>
    </row>
    <row r="197" spans="1:19" ht="16.95" customHeight="1" x14ac:dyDescent="0.3">
      <c r="A197" s="38" t="s">
        <v>218</v>
      </c>
      <c r="B197" s="12" t="s">
        <v>216</v>
      </c>
      <c r="C197" s="12" t="s">
        <v>182</v>
      </c>
      <c r="D197" s="13" t="s">
        <v>220</v>
      </c>
      <c r="E197" s="37">
        <f>IF(GRAFICA_56!F16=1, B197, GRAFICA_56!H16)</f>
        <v>0</v>
      </c>
      <c r="N197" s="215" t="s">
        <v>378</v>
      </c>
      <c r="O197" s="172"/>
      <c r="P197" s="172"/>
      <c r="Q197" s="172"/>
      <c r="R197" s="172"/>
      <c r="S197" s="173"/>
    </row>
    <row r="198" spans="1:19" ht="16.95" customHeight="1" x14ac:dyDescent="0.3">
      <c r="B198" s="12" t="s">
        <v>219</v>
      </c>
      <c r="C198" s="12" t="s">
        <v>183</v>
      </c>
      <c r="E198" s="37" t="str">
        <f>IF(GRAFICA_56!G16=1, B198, GRAFICA_56!I16)</f>
        <v>C3Y</v>
      </c>
      <c r="N198" s="215" t="s">
        <v>379</v>
      </c>
      <c r="O198" s="172"/>
      <c r="P198" s="172"/>
      <c r="Q198" s="172"/>
      <c r="R198" s="172"/>
      <c r="S198" s="173"/>
    </row>
    <row r="199" spans="1:19" ht="16.95" customHeight="1" x14ac:dyDescent="0.3">
      <c r="B199" s="12" t="s">
        <v>221</v>
      </c>
      <c r="C199" s="12" t="s">
        <v>184</v>
      </c>
      <c r="E199" s="37">
        <f>IF(GRAFICA_56!F17=1, B199, GRAFICA_56!H17)</f>
        <v>0</v>
      </c>
      <c r="N199" s="215"/>
      <c r="O199" s="172"/>
      <c r="P199" s="172"/>
      <c r="Q199" s="172"/>
      <c r="R199" s="172"/>
      <c r="S199" s="173"/>
    </row>
    <row r="200" spans="1:19" ht="16.95" customHeight="1" x14ac:dyDescent="0.3">
      <c r="B200" s="12" t="s">
        <v>222</v>
      </c>
      <c r="C200" s="12" t="s">
        <v>185</v>
      </c>
      <c r="E200" s="37">
        <f>IF(GRAFICA_56!G17=1, B200, GRAFICA_56!I17)</f>
        <v>-7000</v>
      </c>
      <c r="N200" s="215"/>
      <c r="O200" s="172"/>
      <c r="P200" s="172"/>
      <c r="Q200" s="172"/>
      <c r="R200" s="172"/>
      <c r="S200" s="173"/>
    </row>
    <row r="201" spans="1:19" ht="16.95" customHeight="1" x14ac:dyDescent="0.3">
      <c r="B201" s="12" t="s">
        <v>223</v>
      </c>
      <c r="C201" s="12" t="s">
        <v>186</v>
      </c>
      <c r="E201" s="37">
        <f>IF(GRAFICA_56!F18=1, B201, GRAFICA_56!H18)</f>
        <v>0</v>
      </c>
      <c r="N201" s="215"/>
      <c r="O201" s="172"/>
      <c r="P201" s="172"/>
      <c r="Q201" s="172"/>
      <c r="R201" s="172"/>
      <c r="S201" s="173"/>
    </row>
    <row r="202" spans="1:19" ht="16.95" customHeight="1" x14ac:dyDescent="0.3">
      <c r="B202" s="12" t="s">
        <v>224</v>
      </c>
      <c r="C202" s="12" t="s">
        <v>187</v>
      </c>
      <c r="E202" s="37">
        <f>IF(GRAFICA_56!G18=1, B202, GRAFICA_56!I18)</f>
        <v>-7000</v>
      </c>
      <c r="N202" s="215"/>
      <c r="O202" s="172"/>
      <c r="P202" s="172"/>
      <c r="Q202" s="172"/>
      <c r="R202" s="172"/>
      <c r="S202" s="173"/>
    </row>
    <row r="203" spans="1:19" ht="16.95" customHeight="1" x14ac:dyDescent="0.3">
      <c r="N203" s="215"/>
      <c r="O203" s="172"/>
      <c r="P203" s="172"/>
      <c r="Q203" s="172"/>
      <c r="R203" s="172"/>
      <c r="S203" s="173"/>
    </row>
    <row r="204" spans="1:19" ht="16.95" customHeight="1" x14ac:dyDescent="0.35">
      <c r="A204" s="11" t="s">
        <v>227</v>
      </c>
      <c r="N204" s="215"/>
      <c r="O204" s="172"/>
      <c r="P204" s="172"/>
      <c r="Q204" s="172"/>
      <c r="R204" s="172"/>
      <c r="S204" s="173"/>
    </row>
    <row r="205" spans="1:19" ht="16.95" customHeight="1" x14ac:dyDescent="0.3">
      <c r="B205" s="12" t="s">
        <v>228</v>
      </c>
      <c r="C205" s="12" t="s">
        <v>178</v>
      </c>
      <c r="E205" s="39">
        <f>IF(GRAFICA_56!F14=1, 0, B205)</f>
        <v>0</v>
      </c>
      <c r="F205" s="14" t="str">
        <f>IF(E205&lt;&gt;0, COUNTIF(E$205:E205, "&lt;&gt;0"), "")</f>
        <v/>
      </c>
      <c r="G205" s="14">
        <f>IF(E205=0, COUNTIF(E$205:E205, 0), "")</f>
        <v>1</v>
      </c>
      <c r="N205" s="215"/>
      <c r="O205" s="172"/>
      <c r="P205" s="172"/>
      <c r="Q205" s="172"/>
      <c r="R205" s="172"/>
      <c r="S205" s="173"/>
    </row>
    <row r="206" spans="1:19" ht="16.95" customHeight="1" x14ac:dyDescent="0.3">
      <c r="B206" s="12" t="s">
        <v>229</v>
      </c>
      <c r="C206" s="12" t="s">
        <v>179</v>
      </c>
      <c r="E206" s="39">
        <f>IF(GRAFICA_56!G14=1, 0, B206)</f>
        <v>0</v>
      </c>
      <c r="F206" s="14" t="str">
        <f>IF(E206&lt;&gt;0, COUNTIF(E$205:E206, "&lt;&gt;0"), "")</f>
        <v/>
      </c>
      <c r="G206" s="14">
        <f>IF(E206=0, COUNTIF(E$205:E206, 0), "")</f>
        <v>2</v>
      </c>
      <c r="N206" s="215"/>
      <c r="O206" s="172"/>
      <c r="P206" s="172"/>
      <c r="Q206" s="172"/>
      <c r="R206" s="172"/>
      <c r="S206" s="173"/>
    </row>
    <row r="207" spans="1:19" ht="16.95" customHeight="1" x14ac:dyDescent="0.3">
      <c r="B207" s="12" t="s">
        <v>230</v>
      </c>
      <c r="C207" s="12" t="s">
        <v>180</v>
      </c>
      <c r="E207" s="39" t="str">
        <f>IF(GRAFICA_56!F15=1, 0, B207)</f>
        <v>D2X</v>
      </c>
      <c r="F207" s="14">
        <f>IF(E207&lt;&gt;0, COUNTIF(E$205:E207, "&lt;&gt;0"), "")</f>
        <v>1</v>
      </c>
      <c r="G207" s="14" t="str">
        <f>IF(E207=0, COUNTIF(E$205:E207, 0), "")</f>
        <v/>
      </c>
      <c r="N207" s="215"/>
      <c r="O207" s="172"/>
      <c r="P207" s="172"/>
      <c r="Q207" s="172"/>
      <c r="R207" s="172"/>
      <c r="S207" s="173"/>
    </row>
    <row r="208" spans="1:19" ht="16.95" customHeight="1" x14ac:dyDescent="0.3">
      <c r="B208" s="12" t="s">
        <v>231</v>
      </c>
      <c r="C208" s="12" t="s">
        <v>181</v>
      </c>
      <c r="E208" s="39">
        <f>IF(GRAFICA_56!G15=1, 0, B208)</f>
        <v>0</v>
      </c>
      <c r="F208" s="14" t="str">
        <f>IF(E208&lt;&gt;0, COUNTIF(E$205:E208, "&lt;&gt;0"), "")</f>
        <v/>
      </c>
      <c r="G208" s="14">
        <f>IF(E208=0, COUNTIF(E$205:E208, 0), "")</f>
        <v>3</v>
      </c>
      <c r="N208" s="215"/>
      <c r="O208" s="172"/>
      <c r="P208" s="172"/>
      <c r="Q208" s="172"/>
      <c r="R208" s="172"/>
      <c r="S208" s="173"/>
    </row>
    <row r="209" spans="1:19" ht="16.95" customHeight="1" x14ac:dyDescent="0.3">
      <c r="A209" s="38" t="s">
        <v>233</v>
      </c>
      <c r="B209" s="12" t="s">
        <v>232</v>
      </c>
      <c r="C209" s="12" t="s">
        <v>182</v>
      </c>
      <c r="D209" s="13" t="s">
        <v>220</v>
      </c>
      <c r="E209" s="39" t="str">
        <f>IF(GRAFICA_56!F16=1, 0, B209)</f>
        <v>D3X</v>
      </c>
      <c r="F209" s="14">
        <f>IF(E209&lt;&gt;0, COUNTIF(E$205:E209, "&lt;&gt;0"), "")</f>
        <v>2</v>
      </c>
      <c r="G209" s="14" t="str">
        <f>IF(E209=0, COUNTIF(E$205:E209, 0), "")</f>
        <v/>
      </c>
      <c r="N209" s="215"/>
      <c r="O209" s="172"/>
      <c r="P209" s="172"/>
      <c r="Q209" s="172"/>
      <c r="R209" s="172"/>
      <c r="S209" s="173"/>
    </row>
    <row r="210" spans="1:19" ht="16.95" customHeight="1" x14ac:dyDescent="0.3">
      <c r="B210" s="12" t="s">
        <v>234</v>
      </c>
      <c r="C210" s="12" t="s">
        <v>183</v>
      </c>
      <c r="E210" s="39">
        <f>IF(GRAFICA_56!G16=1, 0, B210)</f>
        <v>0</v>
      </c>
      <c r="F210" s="14" t="str">
        <f>IF(E210&lt;&gt;0, COUNTIF(E$205:E210, "&lt;&gt;0"), "")</f>
        <v/>
      </c>
      <c r="G210" s="14">
        <f>IF(E210=0, COUNTIF(E$205:E210, 0), "")</f>
        <v>4</v>
      </c>
      <c r="N210" s="215"/>
      <c r="O210" s="172"/>
      <c r="P210" s="172"/>
      <c r="Q210" s="172"/>
      <c r="R210" s="172"/>
      <c r="S210" s="173"/>
    </row>
    <row r="211" spans="1:19" ht="16.95" customHeight="1" x14ac:dyDescent="0.3">
      <c r="B211" s="12" t="s">
        <v>235</v>
      </c>
      <c r="C211" s="12" t="s">
        <v>184</v>
      </c>
      <c r="E211" s="39" t="str">
        <f>IF(GRAFICA_56!F17=1, 0, B211)</f>
        <v>D4X</v>
      </c>
      <c r="F211" s="14">
        <f>IF(E211&lt;&gt;0, COUNTIF(E$205:E211, "&lt;&gt;0"), "")</f>
        <v>3</v>
      </c>
      <c r="G211" s="14" t="str">
        <f>IF(E211=0, COUNTIF(E$205:E211, 0), "")</f>
        <v/>
      </c>
      <c r="N211" s="215"/>
      <c r="O211" s="172"/>
      <c r="P211" s="172"/>
      <c r="Q211" s="172"/>
      <c r="R211" s="172"/>
      <c r="S211" s="173"/>
    </row>
    <row r="212" spans="1:19" ht="16.95" customHeight="1" x14ac:dyDescent="0.3">
      <c r="B212" s="12" t="s">
        <v>236</v>
      </c>
      <c r="C212" s="12" t="s">
        <v>185</v>
      </c>
      <c r="E212" s="39" t="str">
        <f>IF(GRAFICA_56!G17=1, 0, B212)</f>
        <v>D4Y</v>
      </c>
      <c r="F212" s="14">
        <f>IF(E212&lt;&gt;0, COUNTIF(E$205:E212, "&lt;&gt;0"), "")</f>
        <v>4</v>
      </c>
      <c r="G212" s="14" t="str">
        <f>IF(E212=0, COUNTIF(E$205:E212, 0), "")</f>
        <v/>
      </c>
      <c r="N212" s="215"/>
      <c r="O212" s="172"/>
      <c r="P212" s="172"/>
      <c r="Q212" s="172"/>
      <c r="R212" s="172"/>
      <c r="S212" s="173"/>
    </row>
    <row r="213" spans="1:19" ht="16.95" customHeight="1" x14ac:dyDescent="0.3">
      <c r="B213" s="12" t="s">
        <v>237</v>
      </c>
      <c r="C213" s="12" t="s">
        <v>186</v>
      </c>
      <c r="E213" s="39" t="str">
        <f>IF(GRAFICA_56!F18=1, 0, B213)</f>
        <v>D5X</v>
      </c>
      <c r="F213" s="14">
        <f>IF(E213&lt;&gt;0, COUNTIF(E$205:E213, "&lt;&gt;0"), "")</f>
        <v>5</v>
      </c>
      <c r="G213" s="14" t="str">
        <f>IF(E213=0, COUNTIF(E$205:E213, 0), "")</f>
        <v/>
      </c>
      <c r="N213" s="215"/>
      <c r="O213" s="172"/>
      <c r="P213" s="172"/>
      <c r="Q213" s="172"/>
      <c r="R213" s="172"/>
      <c r="S213" s="173"/>
    </row>
    <row r="214" spans="1:19" ht="16.95" customHeight="1" x14ac:dyDescent="0.3">
      <c r="B214" s="12" t="s">
        <v>238</v>
      </c>
      <c r="C214" s="12" t="s">
        <v>187</v>
      </c>
      <c r="E214" s="39" t="str">
        <f>IF(GRAFICA_56!G18=1, 0, B214)</f>
        <v>D5Y</v>
      </c>
      <c r="F214" s="14">
        <f>IF(E214&lt;&gt;0, COUNTIF(E$205:E214, "&lt;&gt;0"), "")</f>
        <v>6</v>
      </c>
      <c r="G214" s="14" t="str">
        <f>IF(E214=0, COUNTIF(E$205:E214, 0), "")</f>
        <v/>
      </c>
      <c r="N214" s="215"/>
      <c r="O214" s="172"/>
      <c r="P214" s="172"/>
      <c r="Q214" s="172"/>
      <c r="R214" s="172"/>
      <c r="S214" s="173"/>
    </row>
    <row r="216" spans="1:19" ht="19.95" customHeight="1" x14ac:dyDescent="0.35">
      <c r="A216" s="15" t="s">
        <v>241</v>
      </c>
      <c r="C216" s="218" t="s">
        <v>242</v>
      </c>
      <c r="D216" s="173"/>
      <c r="E216" s="40" t="s">
        <v>243</v>
      </c>
      <c r="N216" s="216" t="s">
        <v>244</v>
      </c>
      <c r="O216" s="172"/>
      <c r="P216" s="172"/>
      <c r="Q216" s="172"/>
      <c r="R216" s="172"/>
      <c r="S216" s="173"/>
    </row>
    <row r="217" spans="1:19" ht="16.95" customHeight="1" x14ac:dyDescent="0.3">
      <c r="E217" s="40" t="s">
        <v>245</v>
      </c>
      <c r="N217" s="215" t="s">
        <v>246</v>
      </c>
      <c r="O217" s="172"/>
      <c r="P217" s="172"/>
      <c r="Q217" s="172"/>
      <c r="R217" s="172"/>
      <c r="S217" s="173"/>
    </row>
    <row r="218" spans="1:19" ht="16.95" customHeight="1" x14ac:dyDescent="0.3">
      <c r="A218" s="99" t="s">
        <v>247</v>
      </c>
      <c r="C218" s="99" t="s">
        <v>248</v>
      </c>
      <c r="N218" s="215" t="s">
        <v>250</v>
      </c>
      <c r="O218" s="172"/>
      <c r="P218" s="172"/>
      <c r="Q218" s="172"/>
      <c r="R218" s="172"/>
      <c r="S218" s="173"/>
    </row>
    <row r="219" spans="1:19" ht="16.95" customHeight="1" x14ac:dyDescent="0.3">
      <c r="A219" s="12" t="str">
        <f t="shared" ref="A219:A228" si="23">E193</f>
        <v>C1X</v>
      </c>
      <c r="C219" s="9">
        <f t="shared" ref="C219:L219" si="24">B180</f>
        <v>126411.90250138532</v>
      </c>
      <c r="D219" s="9">
        <f t="shared" si="24"/>
        <v>51887.051329714996</v>
      </c>
      <c r="E219" s="9">
        <f t="shared" si="24"/>
        <v>-72000</v>
      </c>
      <c r="F219" s="9">
        <f t="shared" si="24"/>
        <v>0</v>
      </c>
      <c r="G219" s="9">
        <f t="shared" si="24"/>
        <v>0</v>
      </c>
      <c r="H219" s="9">
        <f t="shared" si="24"/>
        <v>0</v>
      </c>
      <c r="I219" s="9">
        <f t="shared" si="24"/>
        <v>-21438.159370915153</v>
      </c>
      <c r="J219" s="9">
        <f t="shared" si="24"/>
        <v>-34301.054993464233</v>
      </c>
      <c r="K219" s="9">
        <f t="shared" si="24"/>
        <v>-32973.743130470175</v>
      </c>
      <c r="L219" s="9">
        <f t="shared" si="24"/>
        <v>-17585.996336250762</v>
      </c>
      <c r="M219" s="13" t="s">
        <v>251</v>
      </c>
      <c r="N219" s="219" t="s">
        <v>380</v>
      </c>
      <c r="O219" s="172"/>
      <c r="P219" s="172"/>
      <c r="Q219" s="172"/>
      <c r="R219" s="172"/>
      <c r="S219" s="173"/>
    </row>
    <row r="220" spans="1:19" ht="16.95" customHeight="1" x14ac:dyDescent="0.3">
      <c r="A220" s="12" t="str">
        <f t="shared" si="23"/>
        <v>C1Y</v>
      </c>
      <c r="C220" s="9">
        <f t="shared" ref="C220:L220" si="25">B181</f>
        <v>51887.051329714996</v>
      </c>
      <c r="D220" s="9">
        <f t="shared" si="25"/>
        <v>64260.886035543183</v>
      </c>
      <c r="E220" s="9">
        <f t="shared" si="25"/>
        <v>0</v>
      </c>
      <c r="F220" s="9">
        <f t="shared" si="25"/>
        <v>0</v>
      </c>
      <c r="G220" s="9">
        <f t="shared" si="25"/>
        <v>0</v>
      </c>
      <c r="H220" s="9">
        <f t="shared" si="25"/>
        <v>0</v>
      </c>
      <c r="I220" s="9">
        <f t="shared" si="25"/>
        <v>-34301.054993464233</v>
      </c>
      <c r="J220" s="9">
        <f t="shared" si="25"/>
        <v>-54881.687989542777</v>
      </c>
      <c r="K220" s="9">
        <f t="shared" si="25"/>
        <v>-17585.996336250762</v>
      </c>
      <c r="L220" s="9">
        <f t="shared" si="25"/>
        <v>-9379.198046000407</v>
      </c>
      <c r="M220" s="13" t="s">
        <v>251</v>
      </c>
      <c r="N220" s="219" t="s">
        <v>253</v>
      </c>
      <c r="O220" s="172"/>
      <c r="P220" s="172"/>
      <c r="Q220" s="172"/>
      <c r="R220" s="172"/>
      <c r="S220" s="173"/>
    </row>
    <row r="221" spans="1:19" ht="16.95" customHeight="1" x14ac:dyDescent="0.3">
      <c r="A221" s="41">
        <f t="shared" si="23"/>
        <v>0</v>
      </c>
      <c r="C221" s="9">
        <f t="shared" ref="C221:L221" si="26">B182</f>
        <v>-72000</v>
      </c>
      <c r="D221" s="9">
        <f t="shared" si="26"/>
        <v>0</v>
      </c>
      <c r="E221" s="41">
        <f t="shared" si="26"/>
        <v>186876.3187418303</v>
      </c>
      <c r="F221" s="9">
        <f t="shared" si="26"/>
        <v>0</v>
      </c>
      <c r="G221" s="41">
        <f t="shared" si="26"/>
        <v>-72000</v>
      </c>
      <c r="H221" s="9">
        <f t="shared" si="26"/>
        <v>0</v>
      </c>
      <c r="I221" s="41">
        <f t="shared" si="26"/>
        <v>-21438.159370915153</v>
      </c>
      <c r="J221" s="41">
        <f t="shared" si="26"/>
        <v>34301.054993464233</v>
      </c>
      <c r="K221" s="41">
        <f t="shared" si="26"/>
        <v>-21438.159370915153</v>
      </c>
      <c r="L221" s="41">
        <f t="shared" si="26"/>
        <v>-34301.054993464233</v>
      </c>
      <c r="M221" s="13" t="s">
        <v>251</v>
      </c>
      <c r="N221" s="215" t="s">
        <v>254</v>
      </c>
      <c r="O221" s="172"/>
      <c r="P221" s="172"/>
      <c r="Q221" s="172"/>
      <c r="R221" s="172"/>
      <c r="S221" s="173"/>
    </row>
    <row r="222" spans="1:19" ht="16.95" customHeight="1" x14ac:dyDescent="0.3">
      <c r="A222" s="12" t="str">
        <f t="shared" si="23"/>
        <v>C2Y</v>
      </c>
      <c r="C222" s="9">
        <f t="shared" ref="C222:L222" si="27">B183</f>
        <v>0</v>
      </c>
      <c r="D222" s="9">
        <f t="shared" si="27"/>
        <v>0</v>
      </c>
      <c r="E222" s="9">
        <f t="shared" si="27"/>
        <v>0</v>
      </c>
      <c r="F222" s="9">
        <f t="shared" si="27"/>
        <v>109763.37597908555</v>
      </c>
      <c r="G222" s="9">
        <f t="shared" si="27"/>
        <v>0</v>
      </c>
      <c r="H222" s="9">
        <f t="shared" si="27"/>
        <v>0</v>
      </c>
      <c r="I222" s="9">
        <f t="shared" si="27"/>
        <v>34301.054993464233</v>
      </c>
      <c r="J222" s="9">
        <f t="shared" si="27"/>
        <v>-54881.687989542777</v>
      </c>
      <c r="K222" s="9">
        <f t="shared" si="27"/>
        <v>-34301.054993464233</v>
      </c>
      <c r="L222" s="9">
        <f t="shared" si="27"/>
        <v>-54881.687989542777</v>
      </c>
      <c r="M222" s="13" t="s">
        <v>251</v>
      </c>
      <c r="N222" s="219" t="s">
        <v>381</v>
      </c>
      <c r="O222" s="172"/>
      <c r="P222" s="172"/>
      <c r="Q222" s="172"/>
      <c r="R222" s="172"/>
      <c r="S222" s="173"/>
    </row>
    <row r="223" spans="1:19" ht="16.95" customHeight="1" x14ac:dyDescent="0.3">
      <c r="A223" s="41">
        <f t="shared" si="23"/>
        <v>0</v>
      </c>
      <c r="C223" s="9">
        <f t="shared" ref="C223:L223" si="28">B184</f>
        <v>0</v>
      </c>
      <c r="D223" s="9">
        <f t="shared" si="28"/>
        <v>0</v>
      </c>
      <c r="E223" s="41">
        <f t="shared" si="28"/>
        <v>-72000</v>
      </c>
      <c r="F223" s="9">
        <f t="shared" si="28"/>
        <v>0</v>
      </c>
      <c r="G223" s="41">
        <f t="shared" si="28"/>
        <v>93438.159370915149</v>
      </c>
      <c r="H223" s="9">
        <f t="shared" si="28"/>
        <v>-34301.054993464233</v>
      </c>
      <c r="I223" s="41">
        <f t="shared" si="28"/>
        <v>0</v>
      </c>
      <c r="J223" s="41">
        <f t="shared" si="28"/>
        <v>0</v>
      </c>
      <c r="K223" s="41">
        <f t="shared" si="28"/>
        <v>-21438.159370915153</v>
      </c>
      <c r="L223" s="41">
        <f t="shared" si="28"/>
        <v>34301.054993464233</v>
      </c>
      <c r="M223" s="13" t="s">
        <v>251</v>
      </c>
      <c r="N223" s="215" t="s">
        <v>382</v>
      </c>
      <c r="O223" s="172"/>
      <c r="P223" s="172"/>
      <c r="Q223" s="172"/>
      <c r="R223" s="172"/>
      <c r="S223" s="173"/>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-34301.054993464233</v>
      </c>
      <c r="H224" s="9">
        <f t="shared" si="29"/>
        <v>54881.687989542777</v>
      </c>
      <c r="I224" s="9">
        <f t="shared" si="29"/>
        <v>0</v>
      </c>
      <c r="J224" s="9">
        <f t="shared" si="29"/>
        <v>0</v>
      </c>
      <c r="K224" s="9">
        <f t="shared" si="29"/>
        <v>34301.054993464233</v>
      </c>
      <c r="L224" s="9">
        <f t="shared" si="29"/>
        <v>-54881.687989542777</v>
      </c>
      <c r="M224" s="13" t="s">
        <v>251</v>
      </c>
      <c r="N224" s="219">
        <f>E210</f>
        <v>0</v>
      </c>
      <c r="O224" s="172"/>
      <c r="P224" s="172"/>
      <c r="Q224" s="172"/>
      <c r="R224" s="172"/>
      <c r="S224" s="173"/>
    </row>
    <row r="225" spans="1:19" ht="16.95" customHeight="1" x14ac:dyDescent="0.3">
      <c r="A225" s="41">
        <f t="shared" si="23"/>
        <v>0</v>
      </c>
      <c r="C225" s="9">
        <f t="shared" ref="C225:L225" si="30">B186</f>
        <v>-21438.159370915153</v>
      </c>
      <c r="D225" s="9">
        <f t="shared" si="30"/>
        <v>-34301.054993464233</v>
      </c>
      <c r="E225" s="41">
        <f t="shared" si="30"/>
        <v>-21438.159370915153</v>
      </c>
      <c r="F225" s="9">
        <f t="shared" si="30"/>
        <v>34301.054993464233</v>
      </c>
      <c r="G225" s="41">
        <f t="shared" si="30"/>
        <v>0</v>
      </c>
      <c r="H225" s="9">
        <f t="shared" si="30"/>
        <v>0</v>
      </c>
      <c r="I225" s="41">
        <f t="shared" si="30"/>
        <v>114876.3187418303</v>
      </c>
      <c r="J225" s="41">
        <f t="shared" si="30"/>
        <v>0</v>
      </c>
      <c r="K225" s="41">
        <f t="shared" si="30"/>
        <v>-72000</v>
      </c>
      <c r="L225" s="41">
        <f t="shared" si="30"/>
        <v>0</v>
      </c>
      <c r="M225" s="13" t="s">
        <v>251</v>
      </c>
      <c r="N225" s="215" t="str">
        <f>E211</f>
        <v>D4X</v>
      </c>
      <c r="O225" s="172"/>
      <c r="P225" s="172"/>
      <c r="Q225" s="172"/>
      <c r="R225" s="172"/>
      <c r="S225" s="173"/>
    </row>
    <row r="226" spans="1:19" ht="16.95" customHeight="1" x14ac:dyDescent="0.3">
      <c r="A226" s="41">
        <f t="shared" si="23"/>
        <v>-7000</v>
      </c>
      <c r="C226" s="9">
        <f t="shared" ref="C226:L226" si="31">B187</f>
        <v>-34301.054993464233</v>
      </c>
      <c r="D226" s="9">
        <f t="shared" si="31"/>
        <v>-54881.687989542777</v>
      </c>
      <c r="E226" s="41">
        <f t="shared" si="31"/>
        <v>34301.054993464233</v>
      </c>
      <c r="F226" s="9">
        <f t="shared" si="31"/>
        <v>-54881.687989542777</v>
      </c>
      <c r="G226" s="41">
        <f t="shared" si="31"/>
        <v>0</v>
      </c>
      <c r="H226" s="9">
        <f t="shared" si="31"/>
        <v>0</v>
      </c>
      <c r="I226" s="41">
        <f t="shared" si="31"/>
        <v>0</v>
      </c>
      <c r="J226" s="41">
        <f t="shared" si="31"/>
        <v>109763.37597908555</v>
      </c>
      <c r="K226" s="41">
        <f t="shared" si="31"/>
        <v>0</v>
      </c>
      <c r="L226" s="41">
        <f t="shared" si="31"/>
        <v>0</v>
      </c>
      <c r="M226" s="13" t="s">
        <v>251</v>
      </c>
      <c r="N226" s="215" t="str">
        <f>E212</f>
        <v>D4Y</v>
      </c>
      <c r="O226" s="172"/>
      <c r="P226" s="172"/>
      <c r="Q226" s="172"/>
      <c r="R226" s="172"/>
      <c r="S226" s="173"/>
    </row>
    <row r="227" spans="1:19" ht="16.95" customHeight="1" x14ac:dyDescent="0.3">
      <c r="A227" s="41">
        <f t="shared" si="23"/>
        <v>0</v>
      </c>
      <c r="C227" s="9">
        <f t="shared" ref="C227:L227" si="32">B188</f>
        <v>-32973.743130470175</v>
      </c>
      <c r="D227" s="9">
        <f t="shared" si="32"/>
        <v>-17585.996336250762</v>
      </c>
      <c r="E227" s="41">
        <f t="shared" si="32"/>
        <v>-21438.159370915153</v>
      </c>
      <c r="F227" s="9">
        <f t="shared" si="32"/>
        <v>-34301.054993464233</v>
      </c>
      <c r="G227" s="41">
        <f t="shared" si="32"/>
        <v>-21438.159370915153</v>
      </c>
      <c r="H227" s="9">
        <f t="shared" si="32"/>
        <v>34301.054993464233</v>
      </c>
      <c r="I227" s="41">
        <f t="shared" si="32"/>
        <v>-72000</v>
      </c>
      <c r="J227" s="41">
        <f t="shared" si="32"/>
        <v>0</v>
      </c>
      <c r="K227" s="41">
        <f t="shared" si="32"/>
        <v>147850.06187230046</v>
      </c>
      <c r="L227" s="41">
        <f t="shared" si="32"/>
        <v>17585.996336250762</v>
      </c>
      <c r="M227" s="13" t="s">
        <v>251</v>
      </c>
      <c r="N227" s="215" t="str">
        <f>E213</f>
        <v>D5X</v>
      </c>
      <c r="O227" s="172"/>
      <c r="P227" s="172"/>
      <c r="Q227" s="172"/>
      <c r="R227" s="172"/>
      <c r="S227" s="173"/>
    </row>
    <row r="228" spans="1:19" ht="16.95" customHeight="1" x14ac:dyDescent="0.3">
      <c r="A228" s="41">
        <f t="shared" si="23"/>
        <v>-7000</v>
      </c>
      <c r="C228" s="9">
        <f t="shared" ref="C228:L228" si="33">B189</f>
        <v>-17585.996336250762</v>
      </c>
      <c r="D228" s="9">
        <f t="shared" si="33"/>
        <v>-9379.198046000407</v>
      </c>
      <c r="E228" s="41">
        <f t="shared" si="33"/>
        <v>-34301.054993464233</v>
      </c>
      <c r="F228" s="9">
        <f t="shared" si="33"/>
        <v>-54881.687989542777</v>
      </c>
      <c r="G228" s="41">
        <f t="shared" si="33"/>
        <v>34301.054993464233</v>
      </c>
      <c r="H228" s="9">
        <f t="shared" si="33"/>
        <v>-54881.687989542777</v>
      </c>
      <c r="I228" s="41">
        <f t="shared" si="33"/>
        <v>0</v>
      </c>
      <c r="J228" s="41">
        <f t="shared" si="33"/>
        <v>0</v>
      </c>
      <c r="K228" s="41">
        <f t="shared" si="33"/>
        <v>17585.996336250762</v>
      </c>
      <c r="L228" s="41">
        <f t="shared" si="33"/>
        <v>119142.57402508597</v>
      </c>
      <c r="M228" s="13" t="s">
        <v>251</v>
      </c>
      <c r="N228" s="215" t="str">
        <f>E214</f>
        <v>D5Y</v>
      </c>
      <c r="O228" s="172"/>
      <c r="P228" s="172"/>
      <c r="Q228" s="172"/>
      <c r="R228" s="172"/>
      <c r="S228" s="173"/>
    </row>
    <row r="231" spans="1:19" ht="19.95" customHeight="1" x14ac:dyDescent="0.35">
      <c r="A231" s="15" t="s">
        <v>257</v>
      </c>
      <c r="N231" s="216" t="s">
        <v>258</v>
      </c>
      <c r="O231" s="172"/>
      <c r="P231" s="172"/>
      <c r="Q231" s="172"/>
      <c r="R231" s="172"/>
      <c r="S231" s="173"/>
    </row>
    <row r="232" spans="1:19" ht="16.95" customHeight="1" x14ac:dyDescent="0.3">
      <c r="C232" s="38" t="str">
        <f>INDEX(C$205:C$214, MATCH(1, F$205:F$214, 0))</f>
        <v>U2X</v>
      </c>
      <c r="D232" s="38" t="str">
        <f>INDEX(C$205:C$214, MATCH(2, F$205:F$214, 0))</f>
        <v>U3X</v>
      </c>
      <c r="E232" s="38" t="str">
        <f>INDEX(C$205:C$214, MATCH(3, F$205:F$214, 0))</f>
        <v>U4X</v>
      </c>
      <c r="F232" s="38" t="str">
        <f>INDEX(C$205:C$214, MATCH(4, F$205:F$214, 0))</f>
        <v>U4Y</v>
      </c>
      <c r="G232" s="38" t="str">
        <f>INDEX(C$205:C$214, MATCH(5, F$205:F$214, 0))</f>
        <v>U5X</v>
      </c>
      <c r="H232" s="38" t="str">
        <f>INDEX(C$205:C$214, MATCH(6, F$205:F$214, 0))</f>
        <v>U5Y</v>
      </c>
      <c r="N232" s="215" t="s">
        <v>383</v>
      </c>
      <c r="O232" s="172"/>
      <c r="P232" s="172"/>
      <c r="Q232" s="172"/>
      <c r="R232" s="172"/>
      <c r="S232" s="173"/>
    </row>
    <row r="233" spans="1:19" ht="16.95" customHeight="1" x14ac:dyDescent="0.3">
      <c r="A233" s="41">
        <f t="shared" ref="A233:A238" si="34">INDEX(E$193:E$202, MATCH(K233, C$193:C$202, 0))</f>
        <v>0</v>
      </c>
      <c r="C233" s="41">
        <f t="shared" ref="C233:H238" si="35">INDEX($B$180:$K$189, MATCH($K233, $L$180:$L$189, 0), MATCH(C$232, $B$179:$K$179, 0))</f>
        <v>186876.3187418303</v>
      </c>
      <c r="D233" s="41">
        <f t="shared" si="35"/>
        <v>-72000</v>
      </c>
      <c r="E233" s="41">
        <f t="shared" si="35"/>
        <v>-21438.159370915153</v>
      </c>
      <c r="F233" s="41">
        <f t="shared" si="35"/>
        <v>34301.054993464233</v>
      </c>
      <c r="G233" s="41">
        <f t="shared" si="35"/>
        <v>-21438.159370915153</v>
      </c>
      <c r="H233" s="41">
        <f t="shared" si="35"/>
        <v>-34301.054993464233</v>
      </c>
      <c r="I233" s="13" t="s">
        <v>251</v>
      </c>
      <c r="J233" s="38" t="str">
        <f>INDEX(B$205:B$214, MATCH(1, F$205:F$214, 0))</f>
        <v>D2X</v>
      </c>
      <c r="K233" s="14" t="str">
        <f>INDEX(C$205:C$214, MATCH(1, F$205:F$214, 0))</f>
        <v>U2X</v>
      </c>
      <c r="N233" s="215" t="s">
        <v>384</v>
      </c>
      <c r="O233" s="172"/>
      <c r="P233" s="172"/>
      <c r="Q233" s="172"/>
      <c r="R233" s="172"/>
      <c r="S233" s="173"/>
    </row>
    <row r="234" spans="1:19" ht="16.95" customHeight="1" x14ac:dyDescent="0.3">
      <c r="A234" s="41">
        <f t="shared" si="34"/>
        <v>0</v>
      </c>
      <c r="C234" s="41">
        <f t="shared" si="35"/>
        <v>-72000</v>
      </c>
      <c r="D234" s="41">
        <f t="shared" si="35"/>
        <v>93438.159370915149</v>
      </c>
      <c r="E234" s="41">
        <f t="shared" si="35"/>
        <v>0</v>
      </c>
      <c r="F234" s="41">
        <f t="shared" si="35"/>
        <v>0</v>
      </c>
      <c r="G234" s="41">
        <f t="shared" si="35"/>
        <v>-21438.159370915153</v>
      </c>
      <c r="H234" s="41">
        <f t="shared" si="35"/>
        <v>34301.054993464233</v>
      </c>
      <c r="I234" s="13" t="s">
        <v>251</v>
      </c>
      <c r="J234" s="38" t="str">
        <f>INDEX(B$205:B$214, MATCH(2, F$205:F$214, 0))</f>
        <v>D3X</v>
      </c>
      <c r="K234" s="14" t="str">
        <f>INDEX(C$205:C$214, MATCH(2, F$205:F$214, 0))</f>
        <v>U3X</v>
      </c>
      <c r="N234" s="215" t="s">
        <v>385</v>
      </c>
      <c r="O234" s="172"/>
      <c r="P234" s="172"/>
      <c r="Q234" s="172"/>
      <c r="R234" s="172"/>
      <c r="S234" s="173"/>
    </row>
    <row r="235" spans="1:19" ht="16.95" customHeight="1" x14ac:dyDescent="0.3">
      <c r="A235" s="41">
        <f t="shared" si="34"/>
        <v>0</v>
      </c>
      <c r="C235" s="41">
        <f t="shared" si="35"/>
        <v>-21438.159370915153</v>
      </c>
      <c r="D235" s="41">
        <f t="shared" si="35"/>
        <v>0</v>
      </c>
      <c r="E235" s="41">
        <f t="shared" si="35"/>
        <v>114876.3187418303</v>
      </c>
      <c r="F235" s="41">
        <f t="shared" si="35"/>
        <v>0</v>
      </c>
      <c r="G235" s="41">
        <f t="shared" si="35"/>
        <v>-72000</v>
      </c>
      <c r="H235" s="41">
        <f t="shared" si="35"/>
        <v>0</v>
      </c>
      <c r="I235" s="13" t="s">
        <v>251</v>
      </c>
      <c r="J235" s="38" t="str">
        <f>INDEX(B$205:B$214, MATCH(3, F$205:F$214, 0))</f>
        <v>D4X</v>
      </c>
      <c r="K235" s="14" t="str">
        <f>INDEX(C$205:C$214, MATCH(3, F$205:F$214, 0))</f>
        <v>U4X</v>
      </c>
      <c r="N235" s="215" t="s">
        <v>386</v>
      </c>
      <c r="O235" s="172"/>
      <c r="P235" s="172"/>
      <c r="Q235" s="172"/>
      <c r="R235" s="172"/>
      <c r="S235" s="173"/>
    </row>
    <row r="236" spans="1:19" ht="16.95" customHeight="1" x14ac:dyDescent="0.3">
      <c r="A236" s="41">
        <f t="shared" si="34"/>
        <v>-7000</v>
      </c>
      <c r="B236" s="13" t="s">
        <v>220</v>
      </c>
      <c r="C236" s="41">
        <f t="shared" si="35"/>
        <v>34301.054993464233</v>
      </c>
      <c r="D236" s="41">
        <f t="shared" si="35"/>
        <v>0</v>
      </c>
      <c r="E236" s="41">
        <f t="shared" si="35"/>
        <v>0</v>
      </c>
      <c r="F236" s="41">
        <f t="shared" si="35"/>
        <v>109763.37597908555</v>
      </c>
      <c r="G236" s="41">
        <f t="shared" si="35"/>
        <v>0</v>
      </c>
      <c r="H236" s="41">
        <f t="shared" si="35"/>
        <v>0</v>
      </c>
      <c r="I236" s="13" t="s">
        <v>251</v>
      </c>
      <c r="J236" s="38" t="str">
        <f>INDEX(B$205:B$214, MATCH(4, F$205:F$214, 0))</f>
        <v>D4Y</v>
      </c>
      <c r="K236" s="14" t="str">
        <f>INDEX(C$205:C$214, MATCH(4, F$205:F$214, 0))</f>
        <v>U4Y</v>
      </c>
      <c r="N236" s="215" t="s">
        <v>387</v>
      </c>
      <c r="O236" s="172"/>
      <c r="P236" s="172"/>
      <c r="Q236" s="172"/>
      <c r="R236" s="172"/>
      <c r="S236" s="173"/>
    </row>
    <row r="237" spans="1:19" ht="16.95" customHeight="1" x14ac:dyDescent="0.3">
      <c r="A237" s="41">
        <f t="shared" si="34"/>
        <v>0</v>
      </c>
      <c r="C237" s="41">
        <f t="shared" si="35"/>
        <v>-21438.159370915153</v>
      </c>
      <c r="D237" s="41">
        <f t="shared" si="35"/>
        <v>-21438.159370915153</v>
      </c>
      <c r="E237" s="41">
        <f t="shared" si="35"/>
        <v>-72000</v>
      </c>
      <c r="F237" s="41">
        <f t="shared" si="35"/>
        <v>0</v>
      </c>
      <c r="G237" s="41">
        <f t="shared" si="35"/>
        <v>147850.06187230046</v>
      </c>
      <c r="H237" s="41">
        <f t="shared" si="35"/>
        <v>17585.996336250762</v>
      </c>
      <c r="I237" s="13" t="s">
        <v>251</v>
      </c>
      <c r="J237" s="38" t="str">
        <f>INDEX(B$205:B$214, MATCH(5, F$205:F$214, 0))</f>
        <v>D5X</v>
      </c>
      <c r="K237" s="14" t="str">
        <f>INDEX(C$205:C$214, MATCH(5, F$205:F$214, 0))</f>
        <v>U5X</v>
      </c>
      <c r="N237" s="215" t="s">
        <v>388</v>
      </c>
      <c r="O237" s="172"/>
      <c r="P237" s="172"/>
      <c r="Q237" s="172"/>
      <c r="R237" s="172"/>
      <c r="S237" s="173"/>
    </row>
    <row r="238" spans="1:19" ht="16.95" customHeight="1" x14ac:dyDescent="0.3">
      <c r="A238" s="41">
        <f t="shared" si="34"/>
        <v>-7000</v>
      </c>
      <c r="C238" s="41">
        <f t="shared" si="35"/>
        <v>-34301.054993464233</v>
      </c>
      <c r="D238" s="41">
        <f t="shared" si="35"/>
        <v>34301.054993464233</v>
      </c>
      <c r="E238" s="41">
        <f t="shared" si="35"/>
        <v>0</v>
      </c>
      <c r="F238" s="41">
        <f t="shared" si="35"/>
        <v>0</v>
      </c>
      <c r="G238" s="41">
        <f t="shared" si="35"/>
        <v>17585.996336250762</v>
      </c>
      <c r="H238" s="41">
        <f t="shared" si="35"/>
        <v>119142.57402508597</v>
      </c>
      <c r="I238" s="13" t="s">
        <v>251</v>
      </c>
      <c r="J238" s="38" t="str">
        <f>INDEX(B$205:B$214, MATCH(6, F$205:F$214, 0))</f>
        <v>D5Y</v>
      </c>
      <c r="K238" s="14" t="str">
        <f>INDEX(C$205:C$214, MATCH(6, F$205:F$214, 0))</f>
        <v>U5Y</v>
      </c>
      <c r="N238" s="215"/>
      <c r="O238" s="172"/>
      <c r="P238" s="172"/>
      <c r="Q238" s="172"/>
      <c r="R238" s="172"/>
      <c r="S238" s="173"/>
    </row>
    <row r="239" spans="1:19" ht="16.95" customHeight="1" x14ac:dyDescent="0.3">
      <c r="N239" s="215"/>
      <c r="O239" s="172"/>
      <c r="P239" s="172"/>
      <c r="Q239" s="172"/>
      <c r="R239" s="172"/>
      <c r="S239" s="173"/>
    </row>
    <row r="240" spans="1:19" ht="16.95" customHeight="1" x14ac:dyDescent="0.3">
      <c r="C240" s="218" t="s">
        <v>263</v>
      </c>
      <c r="D240" s="172"/>
      <c r="E240" s="172"/>
      <c r="F240" s="172"/>
      <c r="G240" s="172"/>
      <c r="H240" s="173"/>
      <c r="N240" s="215"/>
      <c r="O240" s="172"/>
      <c r="P240" s="172"/>
      <c r="Q240" s="172"/>
      <c r="R240" s="172"/>
      <c r="S240" s="173"/>
    </row>
    <row r="241" spans="1:19" ht="16.95" customHeight="1" x14ac:dyDescent="0.3">
      <c r="A241" s="99" t="s">
        <v>249</v>
      </c>
      <c r="C241" s="193" t="s">
        <v>264</v>
      </c>
      <c r="D241" s="175"/>
      <c r="E241" s="175"/>
      <c r="F241" s="175"/>
      <c r="G241" s="175"/>
      <c r="H241" s="175"/>
      <c r="J241" s="99" t="s">
        <v>247</v>
      </c>
      <c r="N241" s="215"/>
      <c r="O241" s="172"/>
      <c r="P241" s="172"/>
      <c r="Q241" s="172"/>
      <c r="R241" s="172"/>
      <c r="S241" s="173"/>
    </row>
    <row r="242" spans="1:19" ht="16.95" customHeight="1" x14ac:dyDescent="0.3">
      <c r="A242" s="12" t="str">
        <f t="shared" ref="A242:A247" si="36">J233</f>
        <v>D2X</v>
      </c>
      <c r="C242" s="93">
        <f t="array" ref="C242:H247">MINVERSE(C233:H238)</f>
        <v>1.1189951470144301E-5</v>
      </c>
      <c r="D242" s="93">
        <v>1.0234866849889018E-5</v>
      </c>
      <c r="E242" s="93">
        <v>5.874262394396472E-6</v>
      </c>
      <c r="F242" s="93">
        <v>-3.4968598344200933E-6</v>
      </c>
      <c r="G242" s="93">
        <v>6.0405788364177288E-6</v>
      </c>
      <c r="H242" s="93">
        <v>-6.1664931956076855E-7</v>
      </c>
      <c r="J242" s="17">
        <f t="shared" ref="J242:J247" si="37">A233</f>
        <v>0</v>
      </c>
      <c r="N242" s="215"/>
      <c r="O242" s="172"/>
      <c r="P242" s="172"/>
      <c r="Q242" s="172"/>
      <c r="R242" s="172"/>
      <c r="S242" s="173"/>
    </row>
    <row r="243" spans="1:19" ht="16.95" customHeight="1" x14ac:dyDescent="0.3">
      <c r="A243" s="12" t="str">
        <f t="shared" si="36"/>
        <v>D3X</v>
      </c>
      <c r="C243" s="93">
        <v>1.0234866849889018E-5</v>
      </c>
      <c r="D243" s="93">
        <v>2.2424872393584155E-5</v>
      </c>
      <c r="E243" s="93">
        <v>7.5399645284024362E-6</v>
      </c>
      <c r="F243" s="93">
        <v>-3.1983958905903175E-6</v>
      </c>
      <c r="G243" s="93">
        <v>8.9825925249838234E-6</v>
      </c>
      <c r="H243" s="93">
        <v>-4.8353654810078223E-6</v>
      </c>
      <c r="J243" s="17">
        <f t="shared" si="37"/>
        <v>0</v>
      </c>
      <c r="N243" s="215"/>
      <c r="O243" s="172"/>
      <c r="P243" s="172"/>
      <c r="Q243" s="172"/>
      <c r="R243" s="172"/>
      <c r="S243" s="173"/>
    </row>
    <row r="244" spans="1:19" ht="16.95" customHeight="1" x14ac:dyDescent="0.3">
      <c r="A244" s="12" t="str">
        <f t="shared" si="36"/>
        <v>D4X</v>
      </c>
      <c r="C244" s="93">
        <v>5.8742623943964711E-6</v>
      </c>
      <c r="D244" s="93">
        <v>7.5399645284024362E-6</v>
      </c>
      <c r="E244" s="93">
        <v>1.6071543105136621E-5</v>
      </c>
      <c r="F244" s="93">
        <v>-1.8357069982488971E-6</v>
      </c>
      <c r="G244" s="93">
        <v>1.0004254653070755E-5</v>
      </c>
      <c r="H244" s="93">
        <v>-1.9562287291864069E-6</v>
      </c>
      <c r="J244" s="17">
        <f t="shared" si="37"/>
        <v>0</v>
      </c>
      <c r="N244" s="215"/>
      <c r="O244" s="172"/>
      <c r="P244" s="172"/>
      <c r="Q244" s="172"/>
      <c r="R244" s="172"/>
      <c r="S244" s="173"/>
    </row>
    <row r="245" spans="1:19" ht="16.95" customHeight="1" x14ac:dyDescent="0.3">
      <c r="A245" s="12" t="str">
        <f t="shared" si="36"/>
        <v>D4Y</v>
      </c>
      <c r="B245" s="13" t="s">
        <v>220</v>
      </c>
      <c r="C245" s="93">
        <v>-3.4968598344200933E-6</v>
      </c>
      <c r="D245" s="93">
        <v>-3.1983958905903175E-6</v>
      </c>
      <c r="E245" s="93">
        <v>-1.8357069982488971E-6</v>
      </c>
      <c r="F245" s="93">
        <v>1.0203275650871705E-5</v>
      </c>
      <c r="G245" s="93">
        <v>-1.88768088638054E-6</v>
      </c>
      <c r="H245" s="93">
        <v>1.9270291236274017E-7</v>
      </c>
      <c r="J245" s="17">
        <f t="shared" si="37"/>
        <v>-7000</v>
      </c>
      <c r="N245" s="215"/>
      <c r="O245" s="172"/>
      <c r="P245" s="172"/>
      <c r="Q245" s="172"/>
      <c r="R245" s="172"/>
      <c r="S245" s="173"/>
    </row>
    <row r="246" spans="1:19" ht="16.95" customHeight="1" x14ac:dyDescent="0.3">
      <c r="A246" s="12" t="str">
        <f t="shared" si="36"/>
        <v>D5X</v>
      </c>
      <c r="C246" s="93">
        <v>6.0405788364177297E-6</v>
      </c>
      <c r="D246" s="93">
        <v>8.9825925249838234E-6</v>
      </c>
      <c r="E246" s="93">
        <v>1.0004254653070757E-5</v>
      </c>
      <c r="F246" s="93">
        <v>-1.8876808863805402E-6</v>
      </c>
      <c r="G246" s="93">
        <v>1.4163236868234646E-5</v>
      </c>
      <c r="H246" s="93">
        <v>-2.9375628977393497E-6</v>
      </c>
      <c r="J246" s="17">
        <f t="shared" si="37"/>
        <v>0</v>
      </c>
      <c r="N246" s="215"/>
      <c r="O246" s="172"/>
      <c r="P246" s="172"/>
      <c r="Q246" s="172"/>
      <c r="R246" s="172"/>
      <c r="S246" s="173"/>
    </row>
    <row r="247" spans="1:19" ht="16.95" customHeight="1" x14ac:dyDescent="0.3">
      <c r="A247" s="12" t="str">
        <f t="shared" si="36"/>
        <v>D5Y</v>
      </c>
      <c r="C247" s="93">
        <v>-6.1664931956076887E-7</v>
      </c>
      <c r="D247" s="93">
        <v>-4.8353654810078214E-6</v>
      </c>
      <c r="E247" s="93">
        <v>-1.9562287291864069E-6</v>
      </c>
      <c r="F247" s="93">
        <v>1.9270291236274014E-7</v>
      </c>
      <c r="G247" s="93">
        <v>-2.9375628977393493E-6</v>
      </c>
      <c r="H247" s="93">
        <v>1.0041468343304908E-5</v>
      </c>
      <c r="J247" s="17">
        <f t="shared" si="37"/>
        <v>-7000</v>
      </c>
      <c r="N247" s="215"/>
      <c r="O247" s="172"/>
      <c r="P247" s="172"/>
      <c r="Q247" s="172"/>
      <c r="R247" s="172"/>
      <c r="S247" s="173"/>
    </row>
    <row r="248" spans="1:19" ht="16.95" customHeight="1" x14ac:dyDescent="0.3">
      <c r="N248" s="215"/>
      <c r="O248" s="172"/>
      <c r="P248" s="172"/>
      <c r="Q248" s="172"/>
      <c r="R248" s="172"/>
      <c r="S248" s="173"/>
    </row>
    <row r="249" spans="1:19" ht="16.95" customHeight="1" x14ac:dyDescent="0.3">
      <c r="C249" s="218" t="s">
        <v>265</v>
      </c>
      <c r="D249" s="173"/>
      <c r="N249" s="215"/>
      <c r="O249" s="172"/>
      <c r="P249" s="172"/>
      <c r="Q249" s="172"/>
      <c r="R249" s="172"/>
      <c r="S249" s="173"/>
    </row>
    <row r="250" spans="1:19" ht="16.95" customHeight="1" x14ac:dyDescent="0.3">
      <c r="A250" s="99" t="s">
        <v>249</v>
      </c>
      <c r="C250" s="99" t="s">
        <v>266</v>
      </c>
      <c r="N250" s="215"/>
      <c r="O250" s="172"/>
      <c r="P250" s="172"/>
      <c r="Q250" s="172"/>
      <c r="R250" s="172"/>
      <c r="S250" s="173"/>
    </row>
    <row r="251" spans="1:19" ht="16.95" customHeight="1" x14ac:dyDescent="0.3">
      <c r="A251" s="12" t="str">
        <f t="shared" ref="A251:A256" si="38">A242</f>
        <v>D2X</v>
      </c>
      <c r="C251" s="94">
        <f t="array" ref="C251:C256">MMULT(C242:H247, J242:J247)</f>
        <v>2.8794564077866035E-2</v>
      </c>
      <c r="D251" s="12" t="s">
        <v>267</v>
      </c>
      <c r="N251" s="215"/>
      <c r="O251" s="172"/>
      <c r="P251" s="172"/>
      <c r="Q251" s="172"/>
      <c r="R251" s="172"/>
      <c r="S251" s="173"/>
    </row>
    <row r="252" spans="1:19" ht="16.95" customHeight="1" x14ac:dyDescent="0.3">
      <c r="A252" s="12" t="str">
        <f t="shared" si="38"/>
        <v>D3X</v>
      </c>
      <c r="C252" s="94">
        <v>5.6236329601186977E-2</v>
      </c>
      <c r="D252" s="12" t="s">
        <v>267</v>
      </c>
      <c r="N252" s="215"/>
      <c r="O252" s="172"/>
      <c r="P252" s="172"/>
      <c r="Q252" s="172"/>
      <c r="R252" s="172"/>
      <c r="S252" s="173"/>
    </row>
    <row r="253" spans="1:19" ht="16.95" customHeight="1" x14ac:dyDescent="0.3">
      <c r="A253" s="12" t="str">
        <f t="shared" si="38"/>
        <v>D4X</v>
      </c>
      <c r="C253" s="94">
        <v>2.6543550092047126E-2</v>
      </c>
      <c r="D253" s="12" t="s">
        <v>267</v>
      </c>
      <c r="N253" s="215"/>
      <c r="O253" s="172"/>
      <c r="P253" s="172"/>
      <c r="Q253" s="172"/>
      <c r="R253" s="172"/>
      <c r="S253" s="173"/>
    </row>
    <row r="254" spans="1:19" ht="16.95" customHeight="1" x14ac:dyDescent="0.3">
      <c r="A254" s="12" t="str">
        <f t="shared" si="38"/>
        <v>D4Y</v>
      </c>
      <c r="B254" s="13" t="s">
        <v>220</v>
      </c>
      <c r="C254" s="94">
        <v>-7.2771849942641118E-2</v>
      </c>
      <c r="D254" s="12" t="s">
        <v>267</v>
      </c>
      <c r="N254" s="215"/>
      <c r="O254" s="172"/>
      <c r="P254" s="172"/>
      <c r="Q254" s="172"/>
      <c r="R254" s="172"/>
      <c r="S254" s="173"/>
    </row>
    <row r="255" spans="1:19" ht="16.95" customHeight="1" x14ac:dyDescent="0.3">
      <c r="A255" s="12" t="str">
        <f t="shared" si="38"/>
        <v>D5X</v>
      </c>
      <c r="C255" s="94">
        <v>3.377670648883923E-2</v>
      </c>
      <c r="D255" s="12" t="s">
        <v>267</v>
      </c>
      <c r="N255" s="215"/>
      <c r="O255" s="172"/>
      <c r="P255" s="172"/>
      <c r="Q255" s="172"/>
      <c r="R255" s="172"/>
      <c r="S255" s="173"/>
    </row>
    <row r="256" spans="1:19" ht="16.95" customHeight="1" x14ac:dyDescent="0.3">
      <c r="A256" s="12" t="str">
        <f t="shared" si="38"/>
        <v>D5Y</v>
      </c>
      <c r="C256" s="94">
        <v>-7.1639198789673536E-2</v>
      </c>
      <c r="D256" s="12" t="s">
        <v>267</v>
      </c>
      <c r="N256" s="215"/>
      <c r="O256" s="172"/>
      <c r="P256" s="172"/>
      <c r="Q256" s="172"/>
      <c r="R256" s="172"/>
      <c r="S256" s="173"/>
    </row>
    <row r="259" spans="1:19" ht="19.95" customHeight="1" x14ac:dyDescent="0.35">
      <c r="A259" s="11" t="s">
        <v>268</v>
      </c>
      <c r="N259" s="216" t="s">
        <v>269</v>
      </c>
      <c r="O259" s="172"/>
      <c r="P259" s="172"/>
      <c r="Q259" s="172"/>
      <c r="R259" s="172"/>
      <c r="S259" s="173"/>
    </row>
    <row r="260" spans="1:19" ht="16.95" customHeight="1" x14ac:dyDescent="0.3">
      <c r="A260" s="99" t="s">
        <v>247</v>
      </c>
      <c r="J260" s="99" t="s">
        <v>249</v>
      </c>
      <c r="N260" s="215" t="s">
        <v>389</v>
      </c>
      <c r="O260" s="172"/>
      <c r="P260" s="172"/>
      <c r="Q260" s="172"/>
      <c r="R260" s="172"/>
      <c r="S260" s="173"/>
    </row>
    <row r="261" spans="1:19" ht="16.95" customHeight="1" x14ac:dyDescent="0.3">
      <c r="A261" s="18" t="str">
        <f>INDEX(B$193:B$202, MATCH(K261, C$193:C$202, 0))</f>
        <v>C1X</v>
      </c>
      <c r="C261" s="9">
        <f t="shared" ref="C261:H264" si="39">INDEX($B$180:$K$189, MATCH($K261, $L$180:$L$189, 0), MATCH(C$232, $B$179:$K$179, 0))</f>
        <v>-72000</v>
      </c>
      <c r="D261" s="9">
        <f t="shared" si="39"/>
        <v>0</v>
      </c>
      <c r="E261" s="9">
        <f t="shared" si="39"/>
        <v>-21438.159370915153</v>
      </c>
      <c r="F261" s="9">
        <f t="shared" si="39"/>
        <v>-34301.054993464233</v>
      </c>
      <c r="G261" s="9">
        <f t="shared" si="39"/>
        <v>-32973.743130470175</v>
      </c>
      <c r="H261" s="9">
        <f t="shared" si="39"/>
        <v>-17585.996336250762</v>
      </c>
      <c r="J261" s="95">
        <f t="shared" ref="J261:J266" si="40">C251</f>
        <v>2.8794564077866035E-2</v>
      </c>
      <c r="K261" s="14" t="str">
        <f>INDEX(C$205:C$214, MATCH(1, G$205:G$214, 0))</f>
        <v>U1X</v>
      </c>
      <c r="N261" s="215" t="s">
        <v>390</v>
      </c>
      <c r="O261" s="172"/>
      <c r="P261" s="172"/>
      <c r="Q261" s="172"/>
      <c r="R261" s="172"/>
      <c r="S261" s="173"/>
    </row>
    <row r="262" spans="1:19" ht="16.95" customHeight="1" x14ac:dyDescent="0.3">
      <c r="A262" s="18" t="str">
        <f>INDEX(B$193:B$202, MATCH(K262, C$193:C$202, 0))</f>
        <v>C1Y</v>
      </c>
      <c r="C262" s="9">
        <f t="shared" si="39"/>
        <v>0</v>
      </c>
      <c r="D262" s="9">
        <f t="shared" si="39"/>
        <v>0</v>
      </c>
      <c r="E262" s="9">
        <f t="shared" si="39"/>
        <v>-34301.054993464233</v>
      </c>
      <c r="F262" s="9">
        <f t="shared" si="39"/>
        <v>-54881.687989542777</v>
      </c>
      <c r="G262" s="9">
        <f t="shared" si="39"/>
        <v>-17585.996336250762</v>
      </c>
      <c r="H262" s="9">
        <f t="shared" si="39"/>
        <v>-9379.198046000407</v>
      </c>
      <c r="J262" s="95">
        <f t="shared" si="40"/>
        <v>5.6236329601186977E-2</v>
      </c>
      <c r="K262" s="14" t="str">
        <f>INDEX(C$205:C$214, MATCH(2, G$205:G$214, 0))</f>
        <v>U1Y</v>
      </c>
      <c r="N262" s="215" t="s">
        <v>391</v>
      </c>
      <c r="O262" s="172"/>
      <c r="P262" s="172"/>
      <c r="Q262" s="172"/>
      <c r="R262" s="172"/>
      <c r="S262" s="173"/>
    </row>
    <row r="263" spans="1:19" ht="16.95" customHeight="1" x14ac:dyDescent="0.3">
      <c r="A263" s="18" t="str">
        <f>INDEX(B$193:B$202, MATCH(K263, C$193:C$202, 0))</f>
        <v>C2Y</v>
      </c>
      <c r="B263" s="13" t="s">
        <v>220</v>
      </c>
      <c r="C263" s="9">
        <f t="shared" si="39"/>
        <v>0</v>
      </c>
      <c r="D263" s="9">
        <f t="shared" si="39"/>
        <v>0</v>
      </c>
      <c r="E263" s="9">
        <f t="shared" si="39"/>
        <v>34301.054993464233</v>
      </c>
      <c r="F263" s="9">
        <f t="shared" si="39"/>
        <v>-54881.687989542777</v>
      </c>
      <c r="G263" s="9">
        <f t="shared" si="39"/>
        <v>-34301.054993464233</v>
      </c>
      <c r="H263" s="9">
        <f t="shared" si="39"/>
        <v>-54881.687989542777</v>
      </c>
      <c r="J263" s="95">
        <f t="shared" si="40"/>
        <v>2.6543550092047126E-2</v>
      </c>
      <c r="K263" s="14" t="str">
        <f>INDEX(C$205:C$214, MATCH(3, G$205:G$214, 0))</f>
        <v>U2Y</v>
      </c>
      <c r="N263" s="215" t="s">
        <v>392</v>
      </c>
      <c r="O263" s="172"/>
      <c r="P263" s="172"/>
      <c r="Q263" s="172"/>
      <c r="R263" s="172"/>
      <c r="S263" s="173"/>
    </row>
    <row r="264" spans="1:19" ht="16.95" customHeight="1" x14ac:dyDescent="0.3">
      <c r="A264" s="18" t="str">
        <f>INDEX(B$193:B$202, MATCH(K264, C$193:C$202, 0))</f>
        <v>C3Y</v>
      </c>
      <c r="C264" s="9">
        <f t="shared" si="39"/>
        <v>0</v>
      </c>
      <c r="D264" s="9">
        <f t="shared" si="39"/>
        <v>-34301.054993464233</v>
      </c>
      <c r="E264" s="9">
        <f t="shared" si="39"/>
        <v>0</v>
      </c>
      <c r="F264" s="9">
        <f t="shared" si="39"/>
        <v>0</v>
      </c>
      <c r="G264" s="9">
        <f t="shared" si="39"/>
        <v>34301.054993464233</v>
      </c>
      <c r="H264" s="9">
        <f t="shared" si="39"/>
        <v>-54881.687989542777</v>
      </c>
      <c r="J264" s="95">
        <f t="shared" si="40"/>
        <v>-7.2771849942641118E-2</v>
      </c>
      <c r="K264" s="14" t="str">
        <f>INDEX(C$205:C$214, MATCH(4, G$205:G$214, 0))</f>
        <v>U3Y</v>
      </c>
      <c r="N264" s="215" t="s">
        <v>393</v>
      </c>
      <c r="O264" s="172"/>
      <c r="P264" s="172"/>
      <c r="Q264" s="172"/>
      <c r="R264" s="172"/>
      <c r="S264" s="173"/>
    </row>
    <row r="265" spans="1:19" ht="16.95" customHeight="1" x14ac:dyDescent="0.3">
      <c r="J265" s="95">
        <f t="shared" si="40"/>
        <v>3.377670648883923E-2</v>
      </c>
      <c r="N265" s="215" t="s">
        <v>394</v>
      </c>
      <c r="O265" s="172"/>
      <c r="P265" s="172"/>
      <c r="Q265" s="172"/>
      <c r="R265" s="172"/>
      <c r="S265" s="173"/>
    </row>
    <row r="266" spans="1:19" ht="16.95" customHeight="1" x14ac:dyDescent="0.3">
      <c r="J266" s="95">
        <f t="shared" si="40"/>
        <v>-7.1639198789673536E-2</v>
      </c>
      <c r="N266" s="215"/>
      <c r="O266" s="172"/>
      <c r="P266" s="172"/>
      <c r="Q266" s="172"/>
      <c r="R266" s="172"/>
      <c r="S266" s="173"/>
    </row>
    <row r="267" spans="1:19" ht="16.95" customHeight="1" x14ac:dyDescent="0.3">
      <c r="N267" s="215"/>
      <c r="O267" s="172"/>
      <c r="P267" s="172"/>
      <c r="Q267" s="172"/>
      <c r="R267" s="172"/>
      <c r="S267" s="173"/>
    </row>
    <row r="268" spans="1:19" ht="16.95" customHeight="1" x14ac:dyDescent="0.3">
      <c r="A268" s="12" t="str">
        <f>A261</f>
        <v>C1X</v>
      </c>
      <c r="C268" s="17">
        <f t="array" ref="C268:C271">MMULT(C261:H264, J261:J266)</f>
        <v>-1.3642420526593924E-12</v>
      </c>
      <c r="D268" s="12" t="s">
        <v>273</v>
      </c>
      <c r="N268" s="215"/>
      <c r="O268" s="172"/>
      <c r="P268" s="172"/>
      <c r="Q268" s="172"/>
      <c r="R268" s="172"/>
      <c r="S268" s="173"/>
    </row>
    <row r="269" spans="1:19" ht="16.95" customHeight="1" x14ac:dyDescent="0.3">
      <c r="A269" s="12" t="str">
        <f>A262</f>
        <v>C1Y</v>
      </c>
      <c r="C269" s="17">
        <v>3161.2913882865723</v>
      </c>
      <c r="D269" s="12" t="s">
        <v>273</v>
      </c>
      <c r="N269" s="215"/>
      <c r="O269" s="172"/>
      <c r="P269" s="172"/>
      <c r="Q269" s="172"/>
      <c r="R269" s="172"/>
      <c r="S269" s="173"/>
    </row>
    <row r="270" spans="1:19" ht="16.95" customHeight="1" x14ac:dyDescent="0.3">
      <c r="A270" s="12" t="str">
        <f>A263</f>
        <v>C2Y</v>
      </c>
      <c r="B270" s="13" t="s">
        <v>220</v>
      </c>
      <c r="C270" s="17">
        <v>7677.4172234268572</v>
      </c>
      <c r="D270" s="12" t="s">
        <v>273</v>
      </c>
      <c r="N270" s="215"/>
      <c r="O270" s="172"/>
      <c r="P270" s="172"/>
      <c r="Q270" s="172"/>
      <c r="R270" s="172"/>
      <c r="S270" s="173"/>
    </row>
    <row r="271" spans="1:19" ht="16.95" customHeight="1" x14ac:dyDescent="0.3">
      <c r="A271" s="12" t="str">
        <f>A264</f>
        <v>C3Y</v>
      </c>
      <c r="C271" s="17">
        <v>3161.2913882865732</v>
      </c>
      <c r="D271" s="12" t="s">
        <v>273</v>
      </c>
      <c r="N271" s="215"/>
      <c r="O271" s="172"/>
      <c r="P271" s="172"/>
      <c r="Q271" s="172"/>
      <c r="R271" s="172"/>
      <c r="S271" s="173"/>
    </row>
    <row r="274" spans="1:19" ht="19.95" customHeight="1" x14ac:dyDescent="0.35">
      <c r="A274" s="11" t="s">
        <v>274</v>
      </c>
    </row>
    <row r="276" spans="1:19" ht="19.05" customHeight="1" x14ac:dyDescent="0.3">
      <c r="A276" s="12" t="s">
        <v>228</v>
      </c>
      <c r="B276" s="12" t="s">
        <v>178</v>
      </c>
      <c r="D276" s="94">
        <f t="shared" ref="D276:D285" si="41">IFERROR(INDEX(C$251:C$256, MATCH(A276, A$251:A$256, 0)), 0)</f>
        <v>0</v>
      </c>
    </row>
    <row r="277" spans="1:19" ht="19.05" customHeight="1" x14ac:dyDescent="0.3">
      <c r="A277" s="12" t="s">
        <v>229</v>
      </c>
      <c r="B277" s="12" t="s">
        <v>179</v>
      </c>
      <c r="D277" s="94">
        <f t="shared" si="41"/>
        <v>0</v>
      </c>
    </row>
    <row r="278" spans="1:19" ht="19.05" customHeight="1" x14ac:dyDescent="0.3">
      <c r="A278" s="12" t="s">
        <v>230</v>
      </c>
      <c r="B278" s="12" t="s">
        <v>180</v>
      </c>
      <c r="D278" s="94">
        <f t="shared" si="41"/>
        <v>2.8794564077866035E-2</v>
      </c>
    </row>
    <row r="279" spans="1:19" ht="19.05" customHeight="1" x14ac:dyDescent="0.3">
      <c r="A279" s="12" t="s">
        <v>231</v>
      </c>
      <c r="B279" s="12" t="s">
        <v>181</v>
      </c>
      <c r="D279" s="94">
        <f t="shared" si="41"/>
        <v>0</v>
      </c>
    </row>
    <row r="280" spans="1:19" ht="19.05" customHeight="1" x14ac:dyDescent="0.3">
      <c r="A280" s="12" t="s">
        <v>232</v>
      </c>
      <c r="B280" s="12" t="s">
        <v>182</v>
      </c>
      <c r="D280" s="94">
        <f t="shared" si="41"/>
        <v>5.6236329601186977E-2</v>
      </c>
    </row>
    <row r="281" spans="1:19" ht="19.05" customHeight="1" x14ac:dyDescent="0.3">
      <c r="A281" s="12" t="s">
        <v>234</v>
      </c>
      <c r="B281" s="12" t="s">
        <v>183</v>
      </c>
      <c r="D281" s="94">
        <f t="shared" si="41"/>
        <v>0</v>
      </c>
    </row>
    <row r="282" spans="1:19" ht="19.05" customHeight="1" x14ac:dyDescent="0.3">
      <c r="A282" s="12" t="s">
        <v>235</v>
      </c>
      <c r="B282" s="12" t="s">
        <v>184</v>
      </c>
      <c r="D282" s="94">
        <f t="shared" si="41"/>
        <v>2.6543550092047126E-2</v>
      </c>
    </row>
    <row r="283" spans="1:19" ht="19.05" customHeight="1" x14ac:dyDescent="0.3">
      <c r="A283" s="12" t="s">
        <v>236</v>
      </c>
      <c r="B283" s="12" t="s">
        <v>185</v>
      </c>
      <c r="D283" s="94">
        <f t="shared" si="41"/>
        <v>-7.2771849942641118E-2</v>
      </c>
    </row>
    <row r="284" spans="1:19" ht="19.05" customHeight="1" x14ac:dyDescent="0.3">
      <c r="A284" s="12" t="s">
        <v>237</v>
      </c>
      <c r="B284" s="12" t="s">
        <v>186</v>
      </c>
      <c r="D284" s="94">
        <f t="shared" si="41"/>
        <v>3.377670648883923E-2</v>
      </c>
    </row>
    <row r="285" spans="1:19" ht="19.05" customHeight="1" x14ac:dyDescent="0.3">
      <c r="A285" s="12" t="s">
        <v>238</v>
      </c>
      <c r="B285" s="12" t="s">
        <v>187</v>
      </c>
      <c r="D285" s="94">
        <f t="shared" si="41"/>
        <v>-7.1639198789673536E-2</v>
      </c>
    </row>
    <row r="288" spans="1:19" ht="19.95" customHeight="1" x14ac:dyDescent="0.35">
      <c r="A288" s="11" t="s">
        <v>275</v>
      </c>
      <c r="N288" s="216" t="s">
        <v>276</v>
      </c>
      <c r="O288" s="172"/>
      <c r="P288" s="172"/>
      <c r="Q288" s="172"/>
      <c r="R288" s="172"/>
      <c r="S288" s="173"/>
    </row>
    <row r="289" spans="1:19" ht="16.95" customHeight="1" x14ac:dyDescent="0.3">
      <c r="N289" s="215" t="s">
        <v>395</v>
      </c>
      <c r="O289" s="172"/>
      <c r="P289" s="172"/>
      <c r="Q289" s="172"/>
      <c r="R289" s="172"/>
      <c r="S289" s="173"/>
    </row>
    <row r="290" spans="1:19" ht="16.95" customHeight="1" x14ac:dyDescent="0.3">
      <c r="A290" s="19" t="s">
        <v>278</v>
      </c>
      <c r="C290" s="19" t="s">
        <v>279</v>
      </c>
      <c r="D290" s="19" t="s">
        <v>280</v>
      </c>
      <c r="E290" s="19" t="s">
        <v>279</v>
      </c>
      <c r="F290" s="19" t="s">
        <v>280</v>
      </c>
      <c r="G290" s="19" t="s">
        <v>249</v>
      </c>
      <c r="N290" s="215" t="s">
        <v>396</v>
      </c>
      <c r="O290" s="172"/>
      <c r="P290" s="172"/>
      <c r="Q290" s="172"/>
      <c r="R290" s="172"/>
      <c r="S290" s="173"/>
    </row>
    <row r="291" spans="1:19" ht="16.95" customHeight="1" x14ac:dyDescent="0.3">
      <c r="C291" s="19" t="s">
        <v>282</v>
      </c>
      <c r="D291" s="19" t="s">
        <v>282</v>
      </c>
      <c r="E291" s="19" t="s">
        <v>283</v>
      </c>
      <c r="F291" s="19" t="s">
        <v>283</v>
      </c>
      <c r="N291" s="215" t="s">
        <v>397</v>
      </c>
      <c r="O291" s="172"/>
      <c r="P291" s="172"/>
      <c r="Q291" s="172"/>
      <c r="R291" s="172"/>
      <c r="S291" s="173"/>
    </row>
    <row r="292" spans="1:19" ht="16.95" customHeight="1" x14ac:dyDescent="0.3">
      <c r="A292" s="17">
        <f>N6</f>
        <v>72000</v>
      </c>
      <c r="C292" s="92">
        <f>-J6</f>
        <v>-1</v>
      </c>
      <c r="D292" s="92">
        <f>-K6</f>
        <v>0</v>
      </c>
      <c r="E292" s="92">
        <f>J6</f>
        <v>1</v>
      </c>
      <c r="F292" s="92">
        <f>K6</f>
        <v>0</v>
      </c>
      <c r="G292" s="96">
        <f>IFERROR(VLOOKUP(H292, A$276:D$285, 4, FALSE), 0)</f>
        <v>0</v>
      </c>
      <c r="H292" s="12" t="str">
        <f>"D" &amp; C17 &amp; "X"</f>
        <v>D1X</v>
      </c>
      <c r="N292" s="215" t="s">
        <v>398</v>
      </c>
      <c r="O292" s="172"/>
      <c r="P292" s="172"/>
      <c r="Q292" s="172"/>
      <c r="R292" s="172"/>
      <c r="S292" s="173"/>
    </row>
    <row r="293" spans="1:19" ht="16.95" customHeight="1" x14ac:dyDescent="0.3">
      <c r="A293" s="99" t="s">
        <v>285</v>
      </c>
      <c r="B293" s="97">
        <f>(MMULT(C292:F292, G292:G295)*A292)</f>
        <v>2073.2086136063544</v>
      </c>
      <c r="G293" s="96">
        <f>IFERROR(VLOOKUP(H293, A$276:D$285, 4, FALSE), 0)</f>
        <v>0</v>
      </c>
      <c r="H293" s="12" t="str">
        <f>"D" &amp; D17 &amp; "Y"</f>
        <v>D1Y</v>
      </c>
      <c r="N293" s="215" t="s">
        <v>399</v>
      </c>
      <c r="O293" s="172"/>
      <c r="P293" s="172"/>
      <c r="Q293" s="172"/>
      <c r="R293" s="172"/>
      <c r="S293" s="173"/>
    </row>
    <row r="294" spans="1:19" ht="16.95" customHeight="1" x14ac:dyDescent="0.3">
      <c r="G294" s="96">
        <f>IFERROR(VLOOKUP(H294, A$276:D$285, 4, FALSE), 0)</f>
        <v>2.8794564077866035E-2</v>
      </c>
      <c r="H294" s="12" t="str">
        <f>"D" &amp; E17 &amp; "X"</f>
        <v>D2X</v>
      </c>
      <c r="N294" s="215" t="s">
        <v>400</v>
      </c>
      <c r="O294" s="172"/>
      <c r="P294" s="172"/>
      <c r="Q294" s="172"/>
      <c r="R294" s="172"/>
      <c r="S294" s="173"/>
    </row>
    <row r="295" spans="1:19" ht="16.95" customHeight="1" x14ac:dyDescent="0.3">
      <c r="G295" s="96">
        <f>IFERROR(VLOOKUP(H295, A$276:D$285, 4, FALSE), 0)</f>
        <v>0</v>
      </c>
      <c r="H295" s="12" t="str">
        <f>"D" &amp; F17 &amp; "Y"</f>
        <v>D2Y</v>
      </c>
      <c r="N295" s="215" t="s">
        <v>401</v>
      </c>
      <c r="O295" s="172"/>
      <c r="P295" s="172"/>
      <c r="Q295" s="172"/>
      <c r="R295" s="172"/>
      <c r="S295" s="173"/>
    </row>
    <row r="296" spans="1:19" ht="16.95" customHeight="1" x14ac:dyDescent="0.3">
      <c r="B296" s="99" t="s">
        <v>273</v>
      </c>
      <c r="C296" s="178" t="str">
        <f>IF(B293&gt;0.001,"BARRA A TRACCIÓN (+)",IF(B293&lt;-0.001,"BARRA A COMPRESIÓN (-)","BARRA DE FUERZA NULA"))</f>
        <v>BARRA A TRACCIÓN (+)</v>
      </c>
      <c r="D296" s="172"/>
      <c r="E296" s="172"/>
      <c r="F296" s="173"/>
      <c r="N296" s="215" t="s">
        <v>402</v>
      </c>
      <c r="O296" s="172"/>
      <c r="P296" s="172"/>
      <c r="Q296" s="172"/>
      <c r="R296" s="172"/>
      <c r="S296" s="173"/>
    </row>
    <row r="297" spans="1:19" ht="16.95" customHeight="1" x14ac:dyDescent="0.3">
      <c r="N297" s="215" t="s">
        <v>403</v>
      </c>
      <c r="O297" s="172"/>
      <c r="P297" s="172"/>
      <c r="Q297" s="172"/>
      <c r="R297" s="172"/>
      <c r="S297" s="173"/>
    </row>
    <row r="298" spans="1:19" ht="16.95" customHeight="1" x14ac:dyDescent="0.3">
      <c r="A298" s="19" t="s">
        <v>278</v>
      </c>
      <c r="C298" s="19" t="s">
        <v>279</v>
      </c>
      <c r="D298" s="19" t="s">
        <v>280</v>
      </c>
      <c r="E298" s="19" t="s">
        <v>279</v>
      </c>
      <c r="F298" s="19" t="s">
        <v>280</v>
      </c>
      <c r="G298" s="19" t="s">
        <v>249</v>
      </c>
      <c r="N298" s="215"/>
      <c r="O298" s="172"/>
      <c r="P298" s="172"/>
      <c r="Q298" s="172"/>
      <c r="R298" s="172"/>
      <c r="S298" s="173"/>
    </row>
    <row r="299" spans="1:19" ht="16.95" customHeight="1" x14ac:dyDescent="0.3">
      <c r="C299" s="19" t="s">
        <v>282</v>
      </c>
      <c r="D299" s="19" t="s">
        <v>282</v>
      </c>
      <c r="E299" s="19" t="s">
        <v>283</v>
      </c>
      <c r="F299" s="19" t="s">
        <v>283</v>
      </c>
      <c r="N299" s="215"/>
      <c r="O299" s="172"/>
      <c r="P299" s="172"/>
      <c r="Q299" s="172"/>
      <c r="R299" s="172"/>
      <c r="S299" s="173"/>
    </row>
    <row r="300" spans="1:19" ht="16.95" customHeight="1" x14ac:dyDescent="0.3">
      <c r="A300" s="17">
        <f>N7</f>
        <v>72000</v>
      </c>
      <c r="C300" s="92">
        <f>-J7</f>
        <v>-1</v>
      </c>
      <c r="D300" s="92">
        <f>-K7</f>
        <v>0</v>
      </c>
      <c r="E300" s="92">
        <f>J7</f>
        <v>1</v>
      </c>
      <c r="F300" s="92">
        <f>K7</f>
        <v>0</v>
      </c>
      <c r="G300" s="96">
        <f>IFERROR(VLOOKUP(H300, A$276:D$285, 4, FALSE), 0)</f>
        <v>2.8794564077866035E-2</v>
      </c>
      <c r="H300" s="12" t="str">
        <f>"D" &amp; C18 &amp; "X"</f>
        <v>D2X</v>
      </c>
      <c r="N300" s="215"/>
      <c r="O300" s="172"/>
      <c r="P300" s="172"/>
      <c r="Q300" s="172"/>
      <c r="R300" s="172"/>
      <c r="S300" s="173"/>
    </row>
    <row r="301" spans="1:19" ht="16.95" customHeight="1" x14ac:dyDescent="0.3">
      <c r="A301" s="99" t="s">
        <v>286</v>
      </c>
      <c r="B301" s="97">
        <f>(MMULT(C300:F300, G300:G303)*A300)</f>
        <v>1975.8071176791079</v>
      </c>
      <c r="G301" s="96">
        <f>IFERROR(VLOOKUP(H301, A$276:D$285, 4, FALSE), 0)</f>
        <v>0</v>
      </c>
      <c r="H301" s="12" t="str">
        <f>"D" &amp; D18 &amp; "Y"</f>
        <v>D2Y</v>
      </c>
      <c r="N301" s="215"/>
      <c r="O301" s="172"/>
      <c r="P301" s="172"/>
      <c r="Q301" s="172"/>
      <c r="R301" s="172"/>
      <c r="S301" s="173"/>
    </row>
    <row r="302" spans="1:19" ht="16.95" customHeight="1" x14ac:dyDescent="0.3">
      <c r="G302" s="96">
        <f>IFERROR(VLOOKUP(H302, A$276:D$285, 4, FALSE), 0)</f>
        <v>5.6236329601186977E-2</v>
      </c>
      <c r="H302" s="12" t="str">
        <f>"D" &amp; E18 &amp; "X"</f>
        <v>D3X</v>
      </c>
      <c r="N302" s="215"/>
      <c r="O302" s="172"/>
      <c r="P302" s="172"/>
      <c r="Q302" s="172"/>
      <c r="R302" s="172"/>
      <c r="S302" s="173"/>
    </row>
    <row r="303" spans="1:19" ht="16.95" customHeight="1" x14ac:dyDescent="0.3">
      <c r="G303" s="96">
        <f>IFERROR(VLOOKUP(H303, A$276:D$285, 4, FALSE), 0)</f>
        <v>0</v>
      </c>
      <c r="H303" s="12" t="str">
        <f>"D" &amp; F18 &amp; "Y"</f>
        <v>D3Y</v>
      </c>
      <c r="N303" s="215"/>
      <c r="O303" s="172"/>
      <c r="P303" s="172"/>
      <c r="Q303" s="172"/>
      <c r="R303" s="172"/>
      <c r="S303" s="173"/>
    </row>
    <row r="304" spans="1:19" ht="16.95" customHeight="1" x14ac:dyDescent="0.3">
      <c r="B304" s="99" t="s">
        <v>273</v>
      </c>
      <c r="C304" s="178" t="str">
        <f>IF(B301&gt;0.001,"BARRA A TRACCIÓN (+)",IF(B301&lt;-0.001,"BARRA A COMPRESIÓN (-)","BARRA DE FUERZA NULA"))</f>
        <v>BARRA A TRACCIÓN (+)</v>
      </c>
      <c r="D304" s="172"/>
      <c r="E304" s="172"/>
      <c r="F304" s="173"/>
      <c r="N304" s="215"/>
      <c r="O304" s="172"/>
      <c r="P304" s="172"/>
      <c r="Q304" s="172"/>
      <c r="R304" s="172"/>
      <c r="S304" s="173"/>
    </row>
    <row r="305" spans="1:19" ht="16.95" customHeight="1" x14ac:dyDescent="0.3">
      <c r="N305" s="215"/>
      <c r="O305" s="172"/>
      <c r="P305" s="172"/>
      <c r="Q305" s="172"/>
      <c r="R305" s="172"/>
      <c r="S305" s="173"/>
    </row>
    <row r="306" spans="1:19" ht="16.95" customHeight="1" x14ac:dyDescent="0.3">
      <c r="A306" s="19" t="s">
        <v>278</v>
      </c>
      <c r="C306" s="19" t="s">
        <v>279</v>
      </c>
      <c r="D306" s="19" t="s">
        <v>280</v>
      </c>
      <c r="E306" s="19" t="s">
        <v>279</v>
      </c>
      <c r="F306" s="19" t="s">
        <v>280</v>
      </c>
      <c r="G306" s="19" t="s">
        <v>249</v>
      </c>
      <c r="N306" s="215"/>
      <c r="O306" s="172"/>
      <c r="P306" s="172"/>
      <c r="Q306" s="172"/>
      <c r="R306" s="172"/>
      <c r="S306" s="173"/>
    </row>
    <row r="307" spans="1:19" ht="16.95" customHeight="1" x14ac:dyDescent="0.3">
      <c r="C307" s="19" t="s">
        <v>282</v>
      </c>
      <c r="D307" s="19" t="s">
        <v>282</v>
      </c>
      <c r="E307" s="19" t="s">
        <v>283</v>
      </c>
      <c r="F307" s="19" t="s">
        <v>283</v>
      </c>
      <c r="N307" s="215"/>
      <c r="O307" s="172"/>
      <c r="P307" s="172"/>
      <c r="Q307" s="172"/>
      <c r="R307" s="172"/>
      <c r="S307" s="173"/>
    </row>
    <row r="308" spans="1:19" ht="16.95" customHeight="1" x14ac:dyDescent="0.3">
      <c r="A308" s="17">
        <f>N8</f>
        <v>76319.847360457919</v>
      </c>
      <c r="C308" s="92">
        <f>-J8</f>
        <v>-0.52999894000318004</v>
      </c>
      <c r="D308" s="92">
        <f>-K8</f>
        <v>-0.84799830400508802</v>
      </c>
      <c r="E308" s="92">
        <f>J8</f>
        <v>0.52999894000318004</v>
      </c>
      <c r="F308" s="92">
        <f>K8</f>
        <v>0.84799830400508802</v>
      </c>
      <c r="G308" s="96">
        <f>IFERROR(VLOOKUP(H308, A$276:D$285, 4, FALSE), 0)</f>
        <v>0</v>
      </c>
      <c r="H308" s="12" t="str">
        <f>"D" &amp; C19 &amp; "X"</f>
        <v>D1X</v>
      </c>
      <c r="N308" s="215"/>
      <c r="O308" s="172"/>
      <c r="P308" s="172"/>
      <c r="Q308" s="172"/>
      <c r="R308" s="172"/>
      <c r="S308" s="173"/>
    </row>
    <row r="309" spans="1:19" ht="16.95" customHeight="1" x14ac:dyDescent="0.3">
      <c r="A309" s="99" t="s">
        <v>287</v>
      </c>
      <c r="B309" s="97">
        <f>(MMULT(C308:F308, G308:G311)*A308)</f>
        <v>-3636.0570262723954</v>
      </c>
      <c r="G309" s="96">
        <f>IFERROR(VLOOKUP(H309, A$276:D$285, 4, FALSE), 0)</f>
        <v>0</v>
      </c>
      <c r="H309" s="12" t="str">
        <f>"D" &amp; D19 &amp; "Y"</f>
        <v>D1Y</v>
      </c>
      <c r="N309" s="215"/>
      <c r="O309" s="172"/>
      <c r="P309" s="172"/>
      <c r="Q309" s="172"/>
      <c r="R309" s="172"/>
      <c r="S309" s="173"/>
    </row>
    <row r="310" spans="1:19" ht="16.95" customHeight="1" x14ac:dyDescent="0.3">
      <c r="G310" s="96">
        <f>IFERROR(VLOOKUP(H310, A$276:D$285, 4, FALSE), 0)</f>
        <v>2.6543550092047126E-2</v>
      </c>
      <c r="H310" s="12" t="str">
        <f>"D" &amp; E19 &amp; "X"</f>
        <v>D4X</v>
      </c>
      <c r="N310" s="215"/>
      <c r="O310" s="172"/>
      <c r="P310" s="172"/>
      <c r="Q310" s="172"/>
      <c r="R310" s="172"/>
      <c r="S310" s="173"/>
    </row>
    <row r="311" spans="1:19" ht="16.95" customHeight="1" x14ac:dyDescent="0.3">
      <c r="G311" s="96">
        <f>IFERROR(VLOOKUP(H311, A$276:D$285, 4, FALSE), 0)</f>
        <v>-7.2771849942641118E-2</v>
      </c>
      <c r="H311" s="12" t="str">
        <f>"D" &amp; F19 &amp; "Y"</f>
        <v>D4Y</v>
      </c>
      <c r="N311" s="215"/>
      <c r="O311" s="172"/>
      <c r="P311" s="172"/>
      <c r="Q311" s="172"/>
      <c r="R311" s="172"/>
      <c r="S311" s="173"/>
    </row>
    <row r="312" spans="1:19" ht="16.95" customHeight="1" x14ac:dyDescent="0.3">
      <c r="B312" s="99" t="s">
        <v>273</v>
      </c>
      <c r="C312" s="178" t="str">
        <f>IF(B309&gt;0.001,"BARRA A TRACCIÓN (+)",IF(B309&lt;-0.001,"BARRA A COMPRESIÓN (-)","BARRA DE FUERZA NULA"))</f>
        <v>BARRA A COMPRESIÓN (-)</v>
      </c>
      <c r="D312" s="172"/>
      <c r="E312" s="172"/>
      <c r="F312" s="173"/>
      <c r="N312" s="215"/>
      <c r="O312" s="172"/>
      <c r="P312" s="172"/>
      <c r="Q312" s="172"/>
      <c r="R312" s="172"/>
      <c r="S312" s="173"/>
    </row>
    <row r="313" spans="1:19" ht="16.95" customHeight="1" x14ac:dyDescent="0.3">
      <c r="N313" s="215"/>
      <c r="O313" s="172"/>
      <c r="P313" s="172"/>
      <c r="Q313" s="172"/>
      <c r="R313" s="172"/>
      <c r="S313" s="173"/>
    </row>
    <row r="314" spans="1:19" ht="18" customHeight="1" x14ac:dyDescent="0.3">
      <c r="A314" s="19" t="s">
        <v>278</v>
      </c>
      <c r="C314" s="19" t="s">
        <v>279</v>
      </c>
      <c r="D314" s="19" t="s">
        <v>280</v>
      </c>
      <c r="E314" s="19" t="s">
        <v>279</v>
      </c>
      <c r="F314" s="19" t="s">
        <v>280</v>
      </c>
      <c r="G314" s="19" t="s">
        <v>249</v>
      </c>
    </row>
    <row r="315" spans="1:19" ht="16.05" customHeight="1" x14ac:dyDescent="0.3">
      <c r="C315" s="19" t="s">
        <v>282</v>
      </c>
      <c r="D315" s="19" t="s">
        <v>282</v>
      </c>
      <c r="E315" s="19" t="s">
        <v>283</v>
      </c>
      <c r="F315" s="19" t="s">
        <v>283</v>
      </c>
    </row>
    <row r="316" spans="1:19" ht="19.95" customHeight="1" x14ac:dyDescent="0.3">
      <c r="A316" s="17">
        <f>N9</f>
        <v>76319.847360457919</v>
      </c>
      <c r="C316" s="92">
        <f>-J9</f>
        <v>-0.52999894000318004</v>
      </c>
      <c r="D316" s="92">
        <f>-K9</f>
        <v>0.84799830400508802</v>
      </c>
      <c r="E316" s="92">
        <f>J9</f>
        <v>0.52999894000318004</v>
      </c>
      <c r="F316" s="92">
        <f>K9</f>
        <v>-0.84799830400508802</v>
      </c>
      <c r="G316" s="96">
        <f>IFERROR(VLOOKUP(H316, A$276:D$285, 4, FALSE), 0)</f>
        <v>2.6543550092047126E-2</v>
      </c>
      <c r="H316" s="12" t="str">
        <f>"D" &amp; C20 &amp; "X"</f>
        <v>D4X</v>
      </c>
    </row>
    <row r="317" spans="1:19" ht="19.95" customHeight="1" x14ac:dyDescent="0.3">
      <c r="A317" s="99" t="s">
        <v>288</v>
      </c>
      <c r="B317" s="97">
        <f>(MMULT(C316:F316, G316:G319)*A316)</f>
        <v>-4618.6764642771313</v>
      </c>
      <c r="G317" s="96">
        <f>IFERROR(VLOOKUP(H317, A$276:D$285, 4, FALSE), 0)</f>
        <v>-7.2771849942641118E-2</v>
      </c>
      <c r="H317" s="12" t="str">
        <f>"D" &amp; D20 &amp; "Y"</f>
        <v>D4Y</v>
      </c>
    </row>
    <row r="318" spans="1:19" ht="19.95" customHeight="1" x14ac:dyDescent="0.3">
      <c r="G318" s="96">
        <f>IFERROR(VLOOKUP(H318, A$276:D$285, 4, FALSE), 0)</f>
        <v>2.8794564077866035E-2</v>
      </c>
      <c r="H318" s="12" t="str">
        <f>"D" &amp; E20 &amp; "X"</f>
        <v>D2X</v>
      </c>
    </row>
    <row r="319" spans="1:19" ht="19.95" customHeight="1" x14ac:dyDescent="0.3">
      <c r="G319" s="96">
        <f>IFERROR(VLOOKUP(H319, A$276:D$285, 4, FALSE), 0)</f>
        <v>0</v>
      </c>
      <c r="H319" s="12" t="str">
        <f>"D" &amp; F20 &amp; "Y"</f>
        <v>D2Y</v>
      </c>
    </row>
    <row r="320" spans="1:19" ht="19.95" customHeight="1" x14ac:dyDescent="0.3">
      <c r="B320" s="99" t="s">
        <v>273</v>
      </c>
      <c r="C320" s="178" t="str">
        <f>IF(B317&gt;0.001,"BARRA A TRACCIÓN (+)",IF(B317&lt;-0.001,"BARRA A COMPRESIÓN (-)","BARRA DE FUERZA NULA"))</f>
        <v>BARRA A COMPRESIÓN (-)</v>
      </c>
      <c r="D320" s="172"/>
      <c r="E320" s="172"/>
      <c r="F320" s="173"/>
    </row>
    <row r="322" spans="1:8" ht="18" customHeight="1" x14ac:dyDescent="0.3">
      <c r="A322" s="19" t="s">
        <v>278</v>
      </c>
      <c r="C322" s="19" t="s">
        <v>279</v>
      </c>
      <c r="D322" s="19" t="s">
        <v>280</v>
      </c>
      <c r="E322" s="19" t="s">
        <v>279</v>
      </c>
      <c r="F322" s="19" t="s">
        <v>280</v>
      </c>
      <c r="G322" s="19" t="s">
        <v>249</v>
      </c>
    </row>
    <row r="323" spans="1:8" ht="16.05" customHeight="1" x14ac:dyDescent="0.3">
      <c r="C323" s="19" t="s">
        <v>282</v>
      </c>
      <c r="D323" s="19" t="s">
        <v>282</v>
      </c>
      <c r="E323" s="19" t="s">
        <v>283</v>
      </c>
      <c r="F323" s="19" t="s">
        <v>283</v>
      </c>
    </row>
    <row r="324" spans="1:8" ht="19.95" customHeight="1" x14ac:dyDescent="0.3">
      <c r="A324" s="17">
        <f>N10</f>
        <v>72000</v>
      </c>
      <c r="C324" s="92">
        <f>-J10</f>
        <v>-1</v>
      </c>
      <c r="D324" s="92">
        <f>-K10</f>
        <v>0</v>
      </c>
      <c r="E324" s="92">
        <f>J10</f>
        <v>1</v>
      </c>
      <c r="F324" s="92">
        <f>K10</f>
        <v>0</v>
      </c>
      <c r="G324" s="96">
        <f>IFERROR(VLOOKUP(H324, A$276:D$285, 4, FALSE), 0)</f>
        <v>2.6543550092047126E-2</v>
      </c>
      <c r="H324" s="12" t="str">
        <f>"D" &amp; C21 &amp; "X"</f>
        <v>D4X</v>
      </c>
    </row>
    <row r="325" spans="1:8" ht="19.95" customHeight="1" x14ac:dyDescent="0.3">
      <c r="A325" s="99" t="s">
        <v>289</v>
      </c>
      <c r="B325" s="97">
        <f>(MMULT(C324:F324, G324:G327)*A324)</f>
        <v>520.78726056903145</v>
      </c>
      <c r="G325" s="96">
        <f>IFERROR(VLOOKUP(H325, A$276:D$285, 4, FALSE), 0)</f>
        <v>-7.2771849942641118E-2</v>
      </c>
      <c r="H325" s="12" t="str">
        <f>"D" &amp; D21 &amp; "Y"</f>
        <v>D4Y</v>
      </c>
    </row>
    <row r="326" spans="1:8" ht="19.95" customHeight="1" x14ac:dyDescent="0.3">
      <c r="G326" s="96">
        <f>IFERROR(VLOOKUP(H326, A$276:D$285, 4, FALSE), 0)</f>
        <v>3.377670648883923E-2</v>
      </c>
      <c r="H326" s="12" t="str">
        <f>"D" &amp; E21 &amp; "X"</f>
        <v>D5X</v>
      </c>
    </row>
    <row r="327" spans="1:8" ht="19.95" customHeight="1" x14ac:dyDescent="0.3">
      <c r="G327" s="96">
        <f>IFERROR(VLOOKUP(H327, A$276:D$285, 4, FALSE), 0)</f>
        <v>-7.1639198789673536E-2</v>
      </c>
      <c r="H327" s="12" t="str">
        <f>"D" &amp; F21 &amp; "Y"</f>
        <v>D5Y</v>
      </c>
    </row>
    <row r="328" spans="1:8" ht="19.95" customHeight="1" x14ac:dyDescent="0.3">
      <c r="B328" s="99" t="s">
        <v>273</v>
      </c>
      <c r="C328" s="178" t="str">
        <f>IF(B325&gt;0.001,"BARRA A TRACCIÓN (+)",IF(B325&lt;-0.001,"BARRA A COMPRESIÓN (-)","BARRA DE FUERZA NULA"))</f>
        <v>BARRA A TRACCIÓN (+)</v>
      </c>
      <c r="D328" s="172"/>
      <c r="E328" s="172"/>
      <c r="F328" s="173"/>
    </row>
    <row r="330" spans="1:8" ht="18" customHeight="1" x14ac:dyDescent="0.3">
      <c r="A330" s="19" t="s">
        <v>278</v>
      </c>
      <c r="C330" s="19" t="s">
        <v>279</v>
      </c>
      <c r="D330" s="19" t="s">
        <v>280</v>
      </c>
      <c r="E330" s="19" t="s">
        <v>279</v>
      </c>
      <c r="F330" s="19" t="s">
        <v>280</v>
      </c>
      <c r="G330" s="19" t="s">
        <v>249</v>
      </c>
    </row>
    <row r="331" spans="1:8" ht="16.05" customHeight="1" x14ac:dyDescent="0.3">
      <c r="C331" s="19" t="s">
        <v>282</v>
      </c>
      <c r="D331" s="19" t="s">
        <v>282</v>
      </c>
      <c r="E331" s="19" t="s">
        <v>283</v>
      </c>
      <c r="F331" s="19" t="s">
        <v>283</v>
      </c>
    </row>
    <row r="332" spans="1:8" ht="19.95" customHeight="1" x14ac:dyDescent="0.3">
      <c r="A332" s="17">
        <f>N11</f>
        <v>76319.847360457919</v>
      </c>
      <c r="C332" s="92">
        <f>-J11</f>
        <v>-0.52999894000318004</v>
      </c>
      <c r="D332" s="92">
        <f>-K11</f>
        <v>-0.84799830400508802</v>
      </c>
      <c r="E332" s="92">
        <f>J11</f>
        <v>0.52999894000318004</v>
      </c>
      <c r="F332" s="92">
        <f>K11</f>
        <v>0.84799830400508802</v>
      </c>
      <c r="G332" s="96">
        <f>IFERROR(VLOOKUP(H332, A$276:D$285, 4, FALSE), 0)</f>
        <v>2.8794564077866035E-2</v>
      </c>
      <c r="H332" s="12" t="str">
        <f>"D" &amp; C22 &amp; "X"</f>
        <v>D2X</v>
      </c>
    </row>
    <row r="333" spans="1:8" ht="19.95" customHeight="1" x14ac:dyDescent="0.3">
      <c r="A333" s="99" t="s">
        <v>290</v>
      </c>
      <c r="B333" s="97">
        <f>(MMULT(C332:F332, G332:G335)*A332)</f>
        <v>-4434.8996893147869</v>
      </c>
      <c r="G333" s="96">
        <f>IFERROR(VLOOKUP(H333, A$276:D$285, 4, FALSE), 0)</f>
        <v>0</v>
      </c>
      <c r="H333" s="12" t="str">
        <f>"D" &amp; D22 &amp; "Y"</f>
        <v>D2Y</v>
      </c>
    </row>
    <row r="334" spans="1:8" ht="19.95" customHeight="1" x14ac:dyDescent="0.3">
      <c r="G334" s="96">
        <f>IFERROR(VLOOKUP(H334, A$276:D$285, 4, FALSE), 0)</f>
        <v>3.377670648883923E-2</v>
      </c>
      <c r="H334" s="12" t="str">
        <f>"D" &amp; E22 &amp; "X"</f>
        <v>D5X</v>
      </c>
    </row>
    <row r="335" spans="1:8" ht="19.95" customHeight="1" x14ac:dyDescent="0.3">
      <c r="G335" s="96">
        <f>IFERROR(VLOOKUP(H335, A$276:D$285, 4, FALSE), 0)</f>
        <v>-7.1639198789673536E-2</v>
      </c>
      <c r="H335" s="12" t="str">
        <f>"D" &amp; F22 &amp; "Y"</f>
        <v>D5Y</v>
      </c>
    </row>
    <row r="336" spans="1:8" ht="19.95" customHeight="1" x14ac:dyDescent="0.3">
      <c r="B336" s="99" t="s">
        <v>273</v>
      </c>
      <c r="C336" s="178" t="str">
        <f>IF(B333&gt;0.001,"BARRA A TRACCIÓN (+)",IF(B333&lt;-0.001,"BARRA A COMPRESIÓN (-)","BARRA DE FUERZA NULA"))</f>
        <v>BARRA A COMPRESIÓN (-)</v>
      </c>
      <c r="D336" s="172"/>
      <c r="E336" s="172"/>
      <c r="F336" s="173"/>
    </row>
    <row r="338" spans="1:8" ht="18" customHeight="1" x14ac:dyDescent="0.3">
      <c r="A338" s="19" t="s">
        <v>278</v>
      </c>
      <c r="C338" s="19" t="s">
        <v>279</v>
      </c>
      <c r="D338" s="19" t="s">
        <v>280</v>
      </c>
      <c r="E338" s="19" t="s">
        <v>279</v>
      </c>
      <c r="F338" s="19" t="s">
        <v>280</v>
      </c>
      <c r="G338" s="19" t="s">
        <v>249</v>
      </c>
    </row>
    <row r="339" spans="1:8" ht="16.05" customHeight="1" x14ac:dyDescent="0.3">
      <c r="C339" s="19" t="s">
        <v>282</v>
      </c>
      <c r="D339" s="19" t="s">
        <v>282</v>
      </c>
      <c r="E339" s="19" t="s">
        <v>283</v>
      </c>
      <c r="F339" s="19" t="s">
        <v>283</v>
      </c>
    </row>
    <row r="340" spans="1:8" ht="19.95" customHeight="1" x14ac:dyDescent="0.3">
      <c r="A340" s="17">
        <f>N12</f>
        <v>76319.847360457919</v>
      </c>
      <c r="C340" s="92">
        <f>-J12</f>
        <v>-0.52999894000318004</v>
      </c>
      <c r="D340" s="92">
        <f>-K12</f>
        <v>0.84799830400508802</v>
      </c>
      <c r="E340" s="92">
        <f>J12</f>
        <v>0.52999894000318004</v>
      </c>
      <c r="F340" s="92">
        <f>K12</f>
        <v>-0.84799830400508802</v>
      </c>
      <c r="G340" s="96">
        <f>IFERROR(VLOOKUP(H340, A$276:D$285, 4, FALSE), 0)</f>
        <v>3.377670648883923E-2</v>
      </c>
      <c r="H340" s="12" t="str">
        <f>"D" &amp; C23 &amp; "X"</f>
        <v>D5X</v>
      </c>
    </row>
    <row r="341" spans="1:8" ht="19.95" customHeight="1" x14ac:dyDescent="0.3">
      <c r="A341" s="99" t="s">
        <v>291</v>
      </c>
      <c r="B341" s="97">
        <f>(MMULT(C340:F340, G340:G343)*A340)</f>
        <v>-3727.9454137535699</v>
      </c>
      <c r="G341" s="96">
        <f>IFERROR(VLOOKUP(H341, A$276:D$285, 4, FALSE), 0)</f>
        <v>-7.1639198789673536E-2</v>
      </c>
      <c r="H341" s="12" t="str">
        <f>"D" &amp; D23 &amp; "Y"</f>
        <v>D5Y</v>
      </c>
    </row>
    <row r="342" spans="1:8" ht="19.95" customHeight="1" x14ac:dyDescent="0.3">
      <c r="G342" s="96">
        <f>IFERROR(VLOOKUP(H342, A$276:D$285, 4, FALSE), 0)</f>
        <v>5.6236329601186977E-2</v>
      </c>
      <c r="H342" s="12" t="str">
        <f>"D" &amp; E23 &amp; "X"</f>
        <v>D3X</v>
      </c>
    </row>
    <row r="343" spans="1:8" ht="19.95" customHeight="1" x14ac:dyDescent="0.3">
      <c r="G343" s="96">
        <f>IFERROR(VLOOKUP(H343, A$276:D$285, 4, FALSE), 0)</f>
        <v>0</v>
      </c>
      <c r="H343" s="12" t="str">
        <f>"D" &amp; F23 &amp; "Y"</f>
        <v>D3Y</v>
      </c>
    </row>
    <row r="344" spans="1:8" ht="19.95" customHeight="1" x14ac:dyDescent="0.3">
      <c r="B344" s="99" t="s">
        <v>273</v>
      </c>
      <c r="C344" s="178" t="str">
        <f>IF(B341&gt;0.001,"BARRA A TRACCIÓN (+)",IF(B341&lt;-0.001,"BARRA A COMPRESIÓN (-)","BARRA DE FUERZA NULA"))</f>
        <v>BARRA A COMPRESIÓN (-)</v>
      </c>
      <c r="D344" s="172"/>
      <c r="E344" s="172"/>
      <c r="F344" s="173"/>
    </row>
    <row r="346" spans="1:8" ht="18" customHeight="1" x14ac:dyDescent="0.3">
      <c r="A346" s="19" t="s">
        <v>278</v>
      </c>
      <c r="C346" s="19" t="s">
        <v>279</v>
      </c>
      <c r="D346" s="19" t="s">
        <v>280</v>
      </c>
      <c r="E346" s="19" t="s">
        <v>279</v>
      </c>
      <c r="F346" s="19" t="s">
        <v>280</v>
      </c>
      <c r="G346" s="19" t="s">
        <v>249</v>
      </c>
    </row>
    <row r="347" spans="1:8" ht="16.05" customHeight="1" x14ac:dyDescent="0.3">
      <c r="C347" s="19" t="s">
        <v>282</v>
      </c>
      <c r="D347" s="19" t="s">
        <v>282</v>
      </c>
      <c r="E347" s="19" t="s">
        <v>283</v>
      </c>
      <c r="F347" s="19" t="s">
        <v>283</v>
      </c>
    </row>
    <row r="348" spans="1:8" ht="19.95" customHeight="1" x14ac:dyDescent="0.3">
      <c r="A348" s="17">
        <f>N13</f>
        <v>42352.941176470587</v>
      </c>
      <c r="C348" s="92">
        <f>-J13</f>
        <v>-0.88235294117647056</v>
      </c>
      <c r="D348" s="92">
        <f>-K13</f>
        <v>-0.47058823529411764</v>
      </c>
      <c r="E348" s="92">
        <f>J13</f>
        <v>0.88235294117647056</v>
      </c>
      <c r="F348" s="92">
        <f>K13</f>
        <v>0.47058823529411764</v>
      </c>
      <c r="G348" s="96">
        <f>IFERROR(VLOOKUP(H348, A$276:D$285, 4, FALSE), 0)</f>
        <v>0</v>
      </c>
      <c r="H348" s="12" t="str">
        <f>"D" &amp; C24 &amp; "X"</f>
        <v>D1X</v>
      </c>
    </row>
    <row r="349" spans="1:8" ht="19.95" customHeight="1" x14ac:dyDescent="0.3">
      <c r="A349" s="99" t="s">
        <v>292</v>
      </c>
      <c r="B349" s="97">
        <f>(MMULT(C348:F348, G348:G351)*A348)</f>
        <v>-165.58254307631796</v>
      </c>
      <c r="G349" s="96">
        <f>IFERROR(VLOOKUP(H349, A$276:D$285, 4, FALSE), 0)</f>
        <v>0</v>
      </c>
      <c r="H349" s="12" t="str">
        <f>"D" &amp; D24 &amp; "Y"</f>
        <v>D1Y</v>
      </c>
    </row>
    <row r="350" spans="1:8" ht="19.95" customHeight="1" x14ac:dyDescent="0.3">
      <c r="G350" s="96">
        <f>IFERROR(VLOOKUP(H350, A$276:D$285, 4, FALSE), 0)</f>
        <v>3.377670648883923E-2</v>
      </c>
      <c r="H350" s="12" t="str">
        <f>"D" &amp; E24 &amp; "X"</f>
        <v>D5X</v>
      </c>
    </row>
    <row r="351" spans="1:8" ht="19.95" customHeight="1" x14ac:dyDescent="0.3">
      <c r="G351" s="96">
        <f>IFERROR(VLOOKUP(H351, A$276:D$285, 4, FALSE), 0)</f>
        <v>-7.1639198789673536E-2</v>
      </c>
      <c r="H351" s="12" t="str">
        <f>"D" &amp; F24 &amp; "Y"</f>
        <v>D5Y</v>
      </c>
    </row>
    <row r="352" spans="1:8" ht="19.95" customHeight="1" x14ac:dyDescent="0.3">
      <c r="B352" s="99" t="s">
        <v>273</v>
      </c>
      <c r="C352" s="178" t="str">
        <f>IF(B349&gt;0.001,"BARRA A TRACCIÓN (+)",IF(B349&lt;-0.001,"BARRA A COMPRESIÓN (-)","BARRA DE FUERZA NULA"))</f>
        <v>BARRA A COMPRESIÓN (-)</v>
      </c>
      <c r="D352" s="172"/>
      <c r="E352" s="172"/>
      <c r="F352" s="173"/>
    </row>
    <row r="355" spans="2:8" ht="22.05" customHeight="1" x14ac:dyDescent="0.3">
      <c r="B355" s="217" t="s">
        <v>404</v>
      </c>
      <c r="C355" s="175"/>
      <c r="D355" s="175"/>
      <c r="E355" s="175"/>
      <c r="F355" s="175"/>
      <c r="G355" s="175"/>
      <c r="H355" s="175"/>
    </row>
    <row r="356" spans="2:8" ht="24" customHeight="1" x14ac:dyDescent="0.3">
      <c r="B356" s="87" t="s">
        <v>294</v>
      </c>
      <c r="C356" s="87" t="s">
        <v>295</v>
      </c>
      <c r="D356" s="87" t="s">
        <v>296</v>
      </c>
      <c r="E356" s="87" t="s">
        <v>297</v>
      </c>
      <c r="F356" s="87" t="s">
        <v>298</v>
      </c>
      <c r="G356" s="87" t="s">
        <v>299</v>
      </c>
      <c r="H356" s="87" t="s">
        <v>300</v>
      </c>
    </row>
    <row r="357" spans="2:8" ht="19.95" customHeight="1" x14ac:dyDescent="0.3">
      <c r="B357" s="85">
        <v>1</v>
      </c>
      <c r="C357" s="86">
        <f t="shared" ref="C357:C364" si="42">C17</f>
        <v>1</v>
      </c>
      <c r="D357" s="86">
        <f t="shared" ref="D357:D364" si="43">E17</f>
        <v>2</v>
      </c>
      <c r="E357" s="9">
        <f t="shared" ref="E357:E364" si="44">I6</f>
        <v>350</v>
      </c>
      <c r="F357" s="9">
        <f t="shared" ref="F357:F364" si="45">L6</f>
        <v>12</v>
      </c>
      <c r="G357" s="97">
        <f>B293</f>
        <v>2073.2086136063544</v>
      </c>
      <c r="H357" s="84" t="str">
        <f>C296</f>
        <v>BARRA A TRACCIÓN (+)</v>
      </c>
    </row>
    <row r="358" spans="2:8" ht="19.95" customHeight="1" x14ac:dyDescent="0.3">
      <c r="B358" s="25">
        <v>2</v>
      </c>
      <c r="C358" s="86">
        <f t="shared" si="42"/>
        <v>2</v>
      </c>
      <c r="D358" s="86">
        <f t="shared" si="43"/>
        <v>3</v>
      </c>
      <c r="E358" s="9">
        <f t="shared" si="44"/>
        <v>350</v>
      </c>
      <c r="F358" s="9">
        <f t="shared" si="45"/>
        <v>12</v>
      </c>
      <c r="G358" s="97">
        <f>B301</f>
        <v>1975.8071176791079</v>
      </c>
      <c r="H358" s="84" t="str">
        <f>C304</f>
        <v>BARRA A TRACCIÓN (+)</v>
      </c>
    </row>
    <row r="359" spans="2:8" ht="19.95" customHeight="1" x14ac:dyDescent="0.3">
      <c r="B359" s="26">
        <v>3</v>
      </c>
      <c r="C359" s="86">
        <f t="shared" si="42"/>
        <v>1</v>
      </c>
      <c r="D359" s="86">
        <f t="shared" si="43"/>
        <v>4</v>
      </c>
      <c r="E359" s="9">
        <f t="shared" si="44"/>
        <v>330.18933962198111</v>
      </c>
      <c r="F359" s="9">
        <f t="shared" si="45"/>
        <v>12</v>
      </c>
      <c r="G359" s="97">
        <f>B309</f>
        <v>-3636.0570262723954</v>
      </c>
      <c r="H359" s="84" t="str">
        <f>C312</f>
        <v>BARRA A COMPRESIÓN (-)</v>
      </c>
    </row>
    <row r="360" spans="2:8" ht="19.95" customHeight="1" x14ac:dyDescent="0.3">
      <c r="B360" s="43">
        <v>4</v>
      </c>
      <c r="C360" s="86">
        <f t="shared" si="42"/>
        <v>4</v>
      </c>
      <c r="D360" s="86">
        <f t="shared" si="43"/>
        <v>2</v>
      </c>
      <c r="E360" s="9">
        <f t="shared" si="44"/>
        <v>330.18933962198111</v>
      </c>
      <c r="F360" s="9">
        <f t="shared" si="45"/>
        <v>12</v>
      </c>
      <c r="G360" s="97">
        <f>B317</f>
        <v>-4618.6764642771313</v>
      </c>
      <c r="H360" s="84" t="str">
        <f>C320</f>
        <v>BARRA A COMPRESIÓN (-)</v>
      </c>
    </row>
    <row r="361" spans="2:8" ht="19.95" customHeight="1" x14ac:dyDescent="0.3">
      <c r="B361" s="44">
        <v>5</v>
      </c>
      <c r="C361" s="86">
        <f t="shared" si="42"/>
        <v>4</v>
      </c>
      <c r="D361" s="86">
        <f t="shared" si="43"/>
        <v>5</v>
      </c>
      <c r="E361" s="9">
        <f t="shared" si="44"/>
        <v>350</v>
      </c>
      <c r="F361" s="9">
        <f t="shared" si="45"/>
        <v>12</v>
      </c>
      <c r="G361" s="97">
        <f>B325</f>
        <v>520.78726056903145</v>
      </c>
      <c r="H361" s="84" t="str">
        <f>C328</f>
        <v>BARRA A TRACCIÓN (+)</v>
      </c>
    </row>
    <row r="362" spans="2:8" ht="19.95" customHeight="1" x14ac:dyDescent="0.3">
      <c r="B362" s="51">
        <v>6</v>
      </c>
      <c r="C362" s="86">
        <f t="shared" si="42"/>
        <v>2</v>
      </c>
      <c r="D362" s="86">
        <f t="shared" si="43"/>
        <v>5</v>
      </c>
      <c r="E362" s="9">
        <f t="shared" si="44"/>
        <v>330.18933962198111</v>
      </c>
      <c r="F362" s="9">
        <f t="shared" si="45"/>
        <v>12</v>
      </c>
      <c r="G362" s="97">
        <f>B333</f>
        <v>-4434.8996893147869</v>
      </c>
      <c r="H362" s="84" t="str">
        <f>C336</f>
        <v>BARRA A COMPRESIÓN (-)</v>
      </c>
    </row>
    <row r="363" spans="2:8" ht="19.95" customHeight="1" x14ac:dyDescent="0.3">
      <c r="B363" s="52">
        <v>7</v>
      </c>
      <c r="C363" s="86">
        <f t="shared" si="42"/>
        <v>5</v>
      </c>
      <c r="D363" s="86">
        <f t="shared" si="43"/>
        <v>3</v>
      </c>
      <c r="E363" s="9">
        <f t="shared" si="44"/>
        <v>330.18933962198111</v>
      </c>
      <c r="F363" s="9">
        <f t="shared" si="45"/>
        <v>12</v>
      </c>
      <c r="G363" s="97">
        <f>B341</f>
        <v>-3727.9454137535699</v>
      </c>
      <c r="H363" s="84" t="str">
        <f>C344</f>
        <v>BARRA A COMPRESIÓN (-)</v>
      </c>
    </row>
    <row r="364" spans="2:8" ht="19.95" customHeight="1" x14ac:dyDescent="0.3">
      <c r="B364" s="59">
        <v>8</v>
      </c>
      <c r="C364" s="86">
        <f t="shared" si="42"/>
        <v>1</v>
      </c>
      <c r="D364" s="86">
        <f t="shared" si="43"/>
        <v>5</v>
      </c>
      <c r="E364" s="9">
        <f t="shared" si="44"/>
        <v>595</v>
      </c>
      <c r="F364" s="9">
        <f t="shared" si="45"/>
        <v>12</v>
      </c>
      <c r="G364" s="97">
        <f>B349</f>
        <v>-165.58254307631796</v>
      </c>
      <c r="H364" s="84" t="str">
        <f>C352</f>
        <v>BARRA A COMPRESIÓN (-)</v>
      </c>
    </row>
  </sheetData>
  <mergeCells count="132">
    <mergeCell ref="C328:F328"/>
    <mergeCell ref="C15:D15"/>
    <mergeCell ref="N194:S194"/>
    <mergeCell ref="N307:S307"/>
    <mergeCell ref="N294:S294"/>
    <mergeCell ref="C352:F352"/>
    <mergeCell ref="N244:S244"/>
    <mergeCell ref="N259:S259"/>
    <mergeCell ref="J4:J5"/>
    <mergeCell ref="N293:S293"/>
    <mergeCell ref="L4:L5"/>
    <mergeCell ref="N308:S308"/>
    <mergeCell ref="N220:S220"/>
    <mergeCell ref="N271:S271"/>
    <mergeCell ref="N312:S312"/>
    <mergeCell ref="C344:F344"/>
    <mergeCell ref="N313:S313"/>
    <mergeCell ref="K4:K5"/>
    <mergeCell ref="N300:S300"/>
    <mergeCell ref="C336:F336"/>
    <mergeCell ref="N306:S306"/>
    <mergeCell ref="N303:S303"/>
    <mergeCell ref="N289:S289"/>
    <mergeCell ref="N304:S304"/>
    <mergeCell ref="N256:S256"/>
    <mergeCell ref="N213:S213"/>
    <mergeCell ref="N265:S265"/>
    <mergeCell ref="N249:S249"/>
    <mergeCell ref="N205:S205"/>
    <mergeCell ref="N210:S210"/>
    <mergeCell ref="E15:F15"/>
    <mergeCell ref="N226:S226"/>
    <mergeCell ref="N192:S192"/>
    <mergeCell ref="N240:S240"/>
    <mergeCell ref="C241:H241"/>
    <mergeCell ref="N196:S196"/>
    <mergeCell ref="B1:N1"/>
    <mergeCell ref="N246:S246"/>
    <mergeCell ref="N311:S311"/>
    <mergeCell ref="N193:S193"/>
    <mergeCell ref="N255:S255"/>
    <mergeCell ref="N233:S233"/>
    <mergeCell ref="N298:S298"/>
    <mergeCell ref="N295:S295"/>
    <mergeCell ref="N248:S248"/>
    <mergeCell ref="N297:S297"/>
    <mergeCell ref="N235:S235"/>
    <mergeCell ref="C216:D216"/>
    <mergeCell ref="N219:S219"/>
    <mergeCell ref="N290:S290"/>
    <mergeCell ref="N299:S299"/>
    <mergeCell ref="N200:S200"/>
    <mergeCell ref="C4:D4"/>
    <mergeCell ref="E4:F4"/>
    <mergeCell ref="C304:F304"/>
    <mergeCell ref="E3:H3"/>
    <mergeCell ref="H4:H5"/>
    <mergeCell ref="N263:S263"/>
    <mergeCell ref="N247:S247"/>
    <mergeCell ref="N199:S199"/>
    <mergeCell ref="B355:H355"/>
    <mergeCell ref="N202:S202"/>
    <mergeCell ref="N211:S211"/>
    <mergeCell ref="N245:S245"/>
    <mergeCell ref="C240:H240"/>
    <mergeCell ref="N195:S195"/>
    <mergeCell ref="N208:S208"/>
    <mergeCell ref="N260:S260"/>
    <mergeCell ref="N217:S217"/>
    <mergeCell ref="N269:S269"/>
    <mergeCell ref="N201:S201"/>
    <mergeCell ref="N250:S250"/>
    <mergeCell ref="N197:S197"/>
    <mergeCell ref="N310:S310"/>
    <mergeCell ref="N206:S206"/>
    <mergeCell ref="N237:S237"/>
    <mergeCell ref="N221:S221"/>
    <mergeCell ref="N203:S203"/>
    <mergeCell ref="N301:S301"/>
    <mergeCell ref="N239:S239"/>
    <mergeCell ref="N236:S236"/>
    <mergeCell ref="N223:S223"/>
    <mergeCell ref="N232:S232"/>
    <mergeCell ref="N264:S264"/>
    <mergeCell ref="N296:S296"/>
    <mergeCell ref="N266:S266"/>
    <mergeCell ref="N218:S218"/>
    <mergeCell ref="B2:N2"/>
    <mergeCell ref="N228:S228"/>
    <mergeCell ref="N302:S302"/>
    <mergeCell ref="C320:F320"/>
    <mergeCell ref="B4:B5"/>
    <mergeCell ref="N212:S212"/>
    <mergeCell ref="N268:S268"/>
    <mergeCell ref="N243:S243"/>
    <mergeCell ref="N305:S305"/>
    <mergeCell ref="N4:N5"/>
    <mergeCell ref="N234:S234"/>
    <mergeCell ref="N292:S292"/>
    <mergeCell ref="N209:S209"/>
    <mergeCell ref="N267:S267"/>
    <mergeCell ref="N214:S214"/>
    <mergeCell ref="C312:F312"/>
    <mergeCell ref="N224:S224"/>
    <mergeCell ref="N251:S251"/>
    <mergeCell ref="N238:S238"/>
    <mergeCell ref="N309:S309"/>
    <mergeCell ref="C296:F296"/>
    <mergeCell ref="B3:D3"/>
    <mergeCell ref="M4:M5"/>
    <mergeCell ref="N227:S227"/>
    <mergeCell ref="N242:S242"/>
    <mergeCell ref="N291:S291"/>
    <mergeCell ref="C249:D249"/>
    <mergeCell ref="N252:S252"/>
    <mergeCell ref="N288:S288"/>
    <mergeCell ref="N241:S241"/>
    <mergeCell ref="G4:G5"/>
    <mergeCell ref="I4:I5"/>
    <mergeCell ref="N216:S216"/>
    <mergeCell ref="N198:S198"/>
    <mergeCell ref="N225:S225"/>
    <mergeCell ref="N253:S253"/>
    <mergeCell ref="N231:S231"/>
    <mergeCell ref="N262:S262"/>
    <mergeCell ref="B15:B16"/>
    <mergeCell ref="N261:S261"/>
    <mergeCell ref="N270:S270"/>
    <mergeCell ref="N222:S222"/>
    <mergeCell ref="N254:S254"/>
    <mergeCell ref="N207:S207"/>
    <mergeCell ref="N204:S20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679</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4</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350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350</v>
      </c>
      <c r="AB8" s="20">
        <f>IF(F29="","",F29)</f>
        <v>0</v>
      </c>
      <c r="AC8" t="s">
        <v>316</v>
      </c>
    </row>
    <row r="9" spans="2:29" x14ac:dyDescent="0.3">
      <c r="AA9" s="20">
        <f>IF(G29="","",G29)</f>
        <v>700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250</v>
      </c>
      <c r="AC11" t="s">
        <v>324</v>
      </c>
    </row>
    <row r="12" spans="2:29" x14ac:dyDescent="0.3">
      <c r="AA12" s="20">
        <f>IF(G30="","",G30)</f>
        <v>350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651</v>
      </c>
      <c r="K14" s="172"/>
      <c r="L14" s="172"/>
      <c r="M14" s="172"/>
      <c r="N14" s="172"/>
      <c r="O14" s="173"/>
      <c r="AA14" s="20">
        <f>IF(E31="","",E31)</f>
        <v>350</v>
      </c>
      <c r="AB14" s="20">
        <f>IF(F31="","",F31)</f>
        <v>250</v>
      </c>
      <c r="AC14" t="s">
        <v>328</v>
      </c>
    </row>
    <row r="15" spans="2:29" ht="19.05" customHeight="1" x14ac:dyDescent="0.3">
      <c r="B15" s="89">
        <v>2</v>
      </c>
      <c r="C15" s="21">
        <v>350</v>
      </c>
      <c r="D15" s="21">
        <v>0</v>
      </c>
      <c r="E15" s="21" t="s">
        <v>326</v>
      </c>
      <c r="F15" s="88">
        <f t="shared" si="0"/>
        <v>0</v>
      </c>
      <c r="G15" s="88">
        <f t="shared" si="1"/>
        <v>0</v>
      </c>
      <c r="H15" s="22">
        <v>0</v>
      </c>
      <c r="I15" s="22">
        <v>-6500</v>
      </c>
      <c r="J15" s="205" t="s">
        <v>626</v>
      </c>
      <c r="K15" s="172"/>
      <c r="L15" s="172"/>
      <c r="M15" s="172"/>
      <c r="N15" s="172"/>
      <c r="O15" s="173"/>
      <c r="AA15" s="20">
        <f>IF(G31="","",G31)</f>
        <v>700</v>
      </c>
      <c r="AB15" s="20">
        <f>IF(H31="","",H31)</f>
        <v>250</v>
      </c>
      <c r="AC15" t="s">
        <v>331</v>
      </c>
    </row>
    <row r="16" spans="2:29" ht="19.05" customHeight="1" x14ac:dyDescent="0.3">
      <c r="B16" s="89">
        <v>3</v>
      </c>
      <c r="C16" s="21">
        <v>700</v>
      </c>
      <c r="D16" s="21">
        <v>0</v>
      </c>
      <c r="E16" s="21" t="s">
        <v>332</v>
      </c>
      <c r="F16" s="88">
        <f t="shared" si="0"/>
        <v>1</v>
      </c>
      <c r="G16" s="88">
        <f t="shared" si="1"/>
        <v>1</v>
      </c>
      <c r="H16" s="22">
        <v>0</v>
      </c>
      <c r="I16" s="22">
        <v>0</v>
      </c>
      <c r="J16" s="205" t="s">
        <v>652</v>
      </c>
      <c r="K16" s="172"/>
      <c r="L16" s="172"/>
      <c r="M16" s="172"/>
      <c r="N16" s="172"/>
      <c r="O16" s="173"/>
    </row>
    <row r="17" spans="2:29" ht="19.05" customHeight="1" x14ac:dyDescent="0.3">
      <c r="B17" s="89">
        <v>4</v>
      </c>
      <c r="C17" s="21">
        <v>0</v>
      </c>
      <c r="D17" s="21">
        <v>250</v>
      </c>
      <c r="E17" s="21" t="s">
        <v>326</v>
      </c>
      <c r="F17" s="88">
        <f t="shared" si="0"/>
        <v>0</v>
      </c>
      <c r="G17" s="88">
        <f t="shared" si="1"/>
        <v>0</v>
      </c>
      <c r="H17" s="22">
        <v>1500</v>
      </c>
      <c r="I17" s="22">
        <v>0</v>
      </c>
      <c r="J17" s="205" t="s">
        <v>627</v>
      </c>
      <c r="K17" s="172"/>
      <c r="L17" s="172"/>
      <c r="M17" s="172"/>
      <c r="N17" s="172"/>
      <c r="O17" s="173"/>
      <c r="AA17" s="20">
        <f>IF(E32="","",E32)</f>
        <v>0</v>
      </c>
      <c r="AB17" s="20">
        <f>IF(F32="","",F32)</f>
        <v>0</v>
      </c>
      <c r="AC17" t="s">
        <v>334</v>
      </c>
    </row>
    <row r="18" spans="2:29" ht="19.05" customHeight="1" x14ac:dyDescent="0.3">
      <c r="B18" s="89">
        <v>5</v>
      </c>
      <c r="C18" s="21">
        <v>350</v>
      </c>
      <c r="D18" s="21">
        <v>250</v>
      </c>
      <c r="E18" s="21" t="s">
        <v>326</v>
      </c>
      <c r="F18" s="88">
        <f t="shared" si="0"/>
        <v>0</v>
      </c>
      <c r="G18" s="88">
        <f t="shared" si="1"/>
        <v>0</v>
      </c>
      <c r="H18" s="22">
        <v>0</v>
      </c>
      <c r="I18" s="22">
        <v>-8000</v>
      </c>
      <c r="J18" s="205" t="s">
        <v>631</v>
      </c>
      <c r="K18" s="172"/>
      <c r="L18" s="172"/>
      <c r="M18" s="172"/>
      <c r="N18" s="172"/>
      <c r="O18" s="173"/>
      <c r="AA18" s="20">
        <f>IF(G32="","",G32)</f>
        <v>0</v>
      </c>
      <c r="AB18" s="20">
        <f>IF(H32="","",H32)</f>
        <v>250</v>
      </c>
      <c r="AC18" t="s">
        <v>335</v>
      </c>
    </row>
    <row r="19" spans="2:29" ht="19.05" customHeight="1" x14ac:dyDescent="0.3">
      <c r="B19" s="89">
        <v>6</v>
      </c>
      <c r="C19" s="21">
        <v>700</v>
      </c>
      <c r="D19" s="21">
        <v>250</v>
      </c>
      <c r="E19" s="21" t="s">
        <v>326</v>
      </c>
      <c r="F19" s="88">
        <f t="shared" si="0"/>
        <v>0</v>
      </c>
      <c r="G19" s="88">
        <f t="shared" si="1"/>
        <v>0</v>
      </c>
      <c r="H19" s="22">
        <v>0</v>
      </c>
      <c r="I19" s="22">
        <v>0</v>
      </c>
      <c r="J19" s="205" t="s">
        <v>632</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250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700</v>
      </c>
      <c r="AB23" s="20">
        <f>IF(F34="","",F34)</f>
        <v>0</v>
      </c>
      <c r="AC23" t="s">
        <v>338</v>
      </c>
    </row>
    <row r="24" spans="2:29" x14ac:dyDescent="0.3">
      <c r="AA24" s="20">
        <f>IF(G34="","",G34)</f>
        <v>700</v>
      </c>
      <c r="AB24" s="20">
        <f>IF(H34="","",H34)</f>
        <v>250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350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250</v>
      </c>
      <c r="AC29" t="s">
        <v>353</v>
      </c>
    </row>
    <row r="30" spans="2:29" ht="19.05" customHeight="1" x14ac:dyDescent="0.3">
      <c r="B30" s="89">
        <v>3</v>
      </c>
      <c r="C30" s="23">
        <v>4</v>
      </c>
      <c r="D30" s="23">
        <v>5</v>
      </c>
      <c r="E30" s="5">
        <f t="shared" si="2"/>
        <v>0</v>
      </c>
      <c r="F30" s="5">
        <f t="shared" si="3"/>
        <v>250</v>
      </c>
      <c r="G30" s="5">
        <f t="shared" si="4"/>
        <v>350</v>
      </c>
      <c r="H30" s="5">
        <f t="shared" si="5"/>
        <v>250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250</v>
      </c>
      <c r="G31" s="5">
        <f t="shared" si="4"/>
        <v>700</v>
      </c>
      <c r="H31" s="5">
        <f t="shared" si="5"/>
        <v>250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250</v>
      </c>
      <c r="I33" s="9">
        <f t="shared" si="6"/>
        <v>0</v>
      </c>
      <c r="J33" s="9">
        <f t="shared" si="7"/>
        <v>250</v>
      </c>
      <c r="K33" s="9">
        <f t="shared" si="8"/>
        <v>250</v>
      </c>
      <c r="L33" s="92">
        <f t="shared" si="9"/>
        <v>0</v>
      </c>
      <c r="M33" s="92">
        <f t="shared" si="10"/>
        <v>1</v>
      </c>
      <c r="N33" s="22">
        <v>12</v>
      </c>
      <c r="O33" s="24">
        <v>2100000</v>
      </c>
      <c r="AA33" s="20">
        <f>IF(G37="","",G37)</f>
        <v>700</v>
      </c>
      <c r="AB33" s="20">
        <f>IF(H37="","",H37)</f>
        <v>250</v>
      </c>
      <c r="AC33" t="s">
        <v>356</v>
      </c>
    </row>
    <row r="34" spans="2:29" ht="19.05" customHeight="1" x14ac:dyDescent="0.3">
      <c r="B34" s="89">
        <v>7</v>
      </c>
      <c r="C34" s="23">
        <v>3</v>
      </c>
      <c r="D34" s="23">
        <v>6</v>
      </c>
      <c r="E34" s="5">
        <f t="shared" si="2"/>
        <v>700</v>
      </c>
      <c r="F34" s="5">
        <f t="shared" si="3"/>
        <v>0</v>
      </c>
      <c r="G34" s="5">
        <f t="shared" si="4"/>
        <v>700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250</v>
      </c>
      <c r="I35" s="9">
        <f t="shared" si="6"/>
        <v>350</v>
      </c>
      <c r="J35" s="9">
        <f t="shared" si="7"/>
        <v>250</v>
      </c>
      <c r="K35" s="9">
        <f t="shared" si="8"/>
        <v>430.11626335213134</v>
      </c>
      <c r="L35" s="92">
        <f t="shared" si="9"/>
        <v>0.813733471206735</v>
      </c>
      <c r="M35" s="92">
        <f t="shared" si="10"/>
        <v>0.58123819371909635</v>
      </c>
      <c r="N35" s="22">
        <v>12</v>
      </c>
      <c r="O35" s="24">
        <v>2100000</v>
      </c>
      <c r="AA35" s="20">
        <f>IF(E38="","",E38)</f>
        <v>350</v>
      </c>
      <c r="AB35" s="20">
        <f>IF(F38="","",F38)</f>
        <v>250</v>
      </c>
      <c r="AC35" t="s">
        <v>357</v>
      </c>
    </row>
    <row r="36" spans="2:29" ht="19.05" customHeight="1" x14ac:dyDescent="0.3">
      <c r="B36" s="89">
        <v>9</v>
      </c>
      <c r="C36" s="23">
        <v>4</v>
      </c>
      <c r="D36" s="23">
        <v>2</v>
      </c>
      <c r="E36" s="5">
        <f t="shared" si="2"/>
        <v>0</v>
      </c>
      <c r="F36" s="5">
        <f t="shared" si="3"/>
        <v>250</v>
      </c>
      <c r="G36" s="5">
        <f t="shared" si="4"/>
        <v>350</v>
      </c>
      <c r="H36" s="5">
        <f t="shared" si="5"/>
        <v>0</v>
      </c>
      <c r="I36" s="9">
        <f t="shared" si="6"/>
        <v>350</v>
      </c>
      <c r="J36" s="9">
        <f t="shared" si="7"/>
        <v>-250</v>
      </c>
      <c r="K36" s="9">
        <f t="shared" si="8"/>
        <v>430.11626335213134</v>
      </c>
      <c r="L36" s="92">
        <f t="shared" si="9"/>
        <v>0.813733471206735</v>
      </c>
      <c r="M36" s="92">
        <f t="shared" si="10"/>
        <v>-0.58123819371909635</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250</v>
      </c>
      <c r="I37" s="9">
        <f t="shared" si="6"/>
        <v>350</v>
      </c>
      <c r="J37" s="9">
        <f t="shared" si="7"/>
        <v>250</v>
      </c>
      <c r="K37" s="9">
        <f t="shared" si="8"/>
        <v>430.11626335213134</v>
      </c>
      <c r="L37" s="92">
        <f t="shared" si="9"/>
        <v>0.813733471206735</v>
      </c>
      <c r="M37" s="92">
        <f t="shared" si="10"/>
        <v>0.58123819371909635</v>
      </c>
      <c r="N37" s="22">
        <v>12</v>
      </c>
      <c r="O37" s="24">
        <v>2100000</v>
      </c>
    </row>
    <row r="38" spans="2:29" ht="19.05" customHeight="1" x14ac:dyDescent="0.3">
      <c r="B38" s="89">
        <v>11</v>
      </c>
      <c r="C38" s="23">
        <v>5</v>
      </c>
      <c r="D38" s="23">
        <v>3</v>
      </c>
      <c r="E38" s="5">
        <f t="shared" si="2"/>
        <v>350</v>
      </c>
      <c r="F38" s="5">
        <f t="shared" si="3"/>
        <v>250</v>
      </c>
      <c r="G38" s="5">
        <f t="shared" si="4"/>
        <v>700</v>
      </c>
      <c r="H38" s="5">
        <f t="shared" si="5"/>
        <v>0</v>
      </c>
      <c r="I38" s="9">
        <f t="shared" si="6"/>
        <v>350</v>
      </c>
      <c r="J38" s="9">
        <f t="shared" si="7"/>
        <v>-250</v>
      </c>
      <c r="K38" s="9">
        <f t="shared" si="8"/>
        <v>430.11626335213134</v>
      </c>
      <c r="L38" s="92">
        <f t="shared" si="9"/>
        <v>0.813733471206735</v>
      </c>
      <c r="M38" s="92">
        <f t="shared" si="10"/>
        <v>-0.58123819371909635</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300-000000000000}">
      <formula1>"Fijo (articulado),Rodillo Y (despl. X libre),Rodillo X (despl. Y libre),Libre (0 reac.)"</formula1>
    </dataValidation>
  </dataValidations>
  <pageMargins left="0.75" right="0.75" top="1" bottom="1" header="0.5" footer="0.5"/>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680</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GRAFICA_57!E28</f>
        <v>0</v>
      </c>
      <c r="D6" s="22">
        <f>GRAFICA_57!F28</f>
        <v>0</v>
      </c>
      <c r="E6" s="22">
        <f>GRAFICA_57!G28</f>
        <v>350</v>
      </c>
      <c r="F6" s="22">
        <f>GRAFICA_57!H28</f>
        <v>0</v>
      </c>
      <c r="G6" s="9">
        <f t="shared" ref="G6:G16" si="0">E6-C6</f>
        <v>350</v>
      </c>
      <c r="H6" s="9">
        <f t="shared" ref="H6:H16" si="1">F6-D6</f>
        <v>0</v>
      </c>
      <c r="I6" s="9">
        <f t="shared" ref="I6:I16" si="2">SQRT(G6*G6+H6*H6)</f>
        <v>350</v>
      </c>
      <c r="J6" s="92">
        <f t="shared" ref="J6:J16" si="3">G6/I6</f>
        <v>1</v>
      </c>
      <c r="K6" s="92">
        <f t="shared" ref="K6:K16" si="4">H6/I6</f>
        <v>0</v>
      </c>
      <c r="L6" s="22">
        <f>GRAFICA_57!N28</f>
        <v>12</v>
      </c>
      <c r="M6" s="22">
        <f>GRAFICA_57!O28</f>
        <v>2100000</v>
      </c>
      <c r="N6" s="6">
        <f t="shared" ref="N6:N16" si="5">L6*M6/I6</f>
        <v>72000</v>
      </c>
    </row>
    <row r="7" spans="2:14" ht="19.05" customHeight="1" x14ac:dyDescent="0.3">
      <c r="B7" s="25">
        <v>2</v>
      </c>
      <c r="C7" s="22">
        <f>GRAFICA_57!E29</f>
        <v>350</v>
      </c>
      <c r="D7" s="22">
        <f>GRAFICA_57!F29</f>
        <v>0</v>
      </c>
      <c r="E7" s="22">
        <f>GRAFICA_57!G29</f>
        <v>700</v>
      </c>
      <c r="F7" s="22">
        <f>GRAFICA_57!H29</f>
        <v>0</v>
      </c>
      <c r="G7" s="9">
        <f t="shared" si="0"/>
        <v>350</v>
      </c>
      <c r="H7" s="9">
        <f t="shared" si="1"/>
        <v>0</v>
      </c>
      <c r="I7" s="9">
        <f t="shared" si="2"/>
        <v>350</v>
      </c>
      <c r="J7" s="92">
        <f t="shared" si="3"/>
        <v>1</v>
      </c>
      <c r="K7" s="92">
        <f t="shared" si="4"/>
        <v>0</v>
      </c>
      <c r="L7" s="22">
        <f>GRAFICA_57!N29</f>
        <v>12</v>
      </c>
      <c r="M7" s="22">
        <f>GRAFICA_57!O29</f>
        <v>2100000</v>
      </c>
      <c r="N7" s="6">
        <f t="shared" si="5"/>
        <v>72000</v>
      </c>
    </row>
    <row r="8" spans="2:14" ht="19.05" customHeight="1" x14ac:dyDescent="0.3">
      <c r="B8" s="26">
        <v>3</v>
      </c>
      <c r="C8" s="22">
        <f>GRAFICA_57!E30</f>
        <v>0</v>
      </c>
      <c r="D8" s="22">
        <f>GRAFICA_57!F30</f>
        <v>250</v>
      </c>
      <c r="E8" s="22">
        <f>GRAFICA_57!G30</f>
        <v>350</v>
      </c>
      <c r="F8" s="22">
        <f>GRAFICA_57!H30</f>
        <v>250</v>
      </c>
      <c r="G8" s="9">
        <f t="shared" si="0"/>
        <v>350</v>
      </c>
      <c r="H8" s="9">
        <f t="shared" si="1"/>
        <v>0</v>
      </c>
      <c r="I8" s="9">
        <f t="shared" si="2"/>
        <v>350</v>
      </c>
      <c r="J8" s="92">
        <f t="shared" si="3"/>
        <v>1</v>
      </c>
      <c r="K8" s="92">
        <f t="shared" si="4"/>
        <v>0</v>
      </c>
      <c r="L8" s="22">
        <f>GRAFICA_57!N30</f>
        <v>12</v>
      </c>
      <c r="M8" s="22">
        <f>GRAFICA_57!O30</f>
        <v>2100000</v>
      </c>
      <c r="N8" s="6">
        <f t="shared" si="5"/>
        <v>72000</v>
      </c>
    </row>
    <row r="9" spans="2:14" ht="19.05" customHeight="1" x14ac:dyDescent="0.3">
      <c r="B9" s="43">
        <v>4</v>
      </c>
      <c r="C9" s="22">
        <f>GRAFICA_57!E31</f>
        <v>350</v>
      </c>
      <c r="D9" s="22">
        <f>GRAFICA_57!F31</f>
        <v>250</v>
      </c>
      <c r="E9" s="22">
        <f>GRAFICA_57!G31</f>
        <v>700</v>
      </c>
      <c r="F9" s="22">
        <f>GRAFICA_57!H31</f>
        <v>250</v>
      </c>
      <c r="G9" s="9">
        <f t="shared" si="0"/>
        <v>350</v>
      </c>
      <c r="H9" s="9">
        <f t="shared" si="1"/>
        <v>0</v>
      </c>
      <c r="I9" s="9">
        <f t="shared" si="2"/>
        <v>350</v>
      </c>
      <c r="J9" s="92">
        <f t="shared" si="3"/>
        <v>1</v>
      </c>
      <c r="K9" s="92">
        <f t="shared" si="4"/>
        <v>0</v>
      </c>
      <c r="L9" s="22">
        <f>GRAFICA_57!N31</f>
        <v>12</v>
      </c>
      <c r="M9" s="22">
        <f>GRAFICA_57!O31</f>
        <v>2100000</v>
      </c>
      <c r="N9" s="6">
        <f t="shared" si="5"/>
        <v>72000</v>
      </c>
    </row>
    <row r="10" spans="2:14" ht="19.05" customHeight="1" x14ac:dyDescent="0.3">
      <c r="B10" s="44">
        <v>5</v>
      </c>
      <c r="C10" s="22">
        <f>GRAFICA_57!E32</f>
        <v>0</v>
      </c>
      <c r="D10" s="22">
        <f>GRAFICA_57!F32</f>
        <v>0</v>
      </c>
      <c r="E10" s="22">
        <f>GRAFICA_57!G32</f>
        <v>0</v>
      </c>
      <c r="F10" s="22">
        <f>GRAFICA_57!H32</f>
        <v>250</v>
      </c>
      <c r="G10" s="9">
        <f t="shared" si="0"/>
        <v>0</v>
      </c>
      <c r="H10" s="9">
        <f t="shared" si="1"/>
        <v>250</v>
      </c>
      <c r="I10" s="9">
        <f t="shared" si="2"/>
        <v>250</v>
      </c>
      <c r="J10" s="92">
        <f t="shared" si="3"/>
        <v>0</v>
      </c>
      <c r="K10" s="92">
        <f t="shared" si="4"/>
        <v>1</v>
      </c>
      <c r="L10" s="22">
        <f>GRAFICA_57!N32</f>
        <v>12</v>
      </c>
      <c r="M10" s="22">
        <f>GRAFICA_57!O32</f>
        <v>2100000</v>
      </c>
      <c r="N10" s="6">
        <f t="shared" si="5"/>
        <v>100800</v>
      </c>
    </row>
    <row r="11" spans="2:14" ht="19.05" customHeight="1" x14ac:dyDescent="0.3">
      <c r="B11" s="51">
        <v>6</v>
      </c>
      <c r="C11" s="22">
        <f>GRAFICA_57!E33</f>
        <v>350</v>
      </c>
      <c r="D11" s="22">
        <f>GRAFICA_57!F33</f>
        <v>0</v>
      </c>
      <c r="E11" s="22">
        <f>GRAFICA_57!G33</f>
        <v>350</v>
      </c>
      <c r="F11" s="22">
        <f>GRAFICA_57!H33</f>
        <v>250</v>
      </c>
      <c r="G11" s="9">
        <f t="shared" si="0"/>
        <v>0</v>
      </c>
      <c r="H11" s="9">
        <f t="shared" si="1"/>
        <v>250</v>
      </c>
      <c r="I11" s="9">
        <f t="shared" si="2"/>
        <v>250</v>
      </c>
      <c r="J11" s="92">
        <f t="shared" si="3"/>
        <v>0</v>
      </c>
      <c r="K11" s="92">
        <f t="shared" si="4"/>
        <v>1</v>
      </c>
      <c r="L11" s="22">
        <f>GRAFICA_57!N33</f>
        <v>12</v>
      </c>
      <c r="M11" s="22">
        <f>GRAFICA_57!O33</f>
        <v>2100000</v>
      </c>
      <c r="N11" s="6">
        <f t="shared" si="5"/>
        <v>100800</v>
      </c>
    </row>
    <row r="12" spans="2:14" ht="19.05" customHeight="1" x14ac:dyDescent="0.3">
      <c r="B12" s="52">
        <v>7</v>
      </c>
      <c r="C12" s="22">
        <f>GRAFICA_57!E34</f>
        <v>700</v>
      </c>
      <c r="D12" s="22">
        <f>GRAFICA_57!F34</f>
        <v>0</v>
      </c>
      <c r="E12" s="22">
        <f>GRAFICA_57!G34</f>
        <v>700</v>
      </c>
      <c r="F12" s="22">
        <f>GRAFICA_57!H34</f>
        <v>250</v>
      </c>
      <c r="G12" s="9">
        <f t="shared" si="0"/>
        <v>0</v>
      </c>
      <c r="H12" s="9">
        <f t="shared" si="1"/>
        <v>250</v>
      </c>
      <c r="I12" s="9">
        <f t="shared" si="2"/>
        <v>250</v>
      </c>
      <c r="J12" s="92">
        <f t="shared" si="3"/>
        <v>0</v>
      </c>
      <c r="K12" s="92">
        <f t="shared" si="4"/>
        <v>1</v>
      </c>
      <c r="L12" s="22">
        <f>GRAFICA_57!N34</f>
        <v>12</v>
      </c>
      <c r="M12" s="22">
        <f>GRAFICA_57!O34</f>
        <v>2100000</v>
      </c>
      <c r="N12" s="6">
        <f t="shared" si="5"/>
        <v>100800</v>
      </c>
    </row>
    <row r="13" spans="2:14" ht="19.05" customHeight="1" x14ac:dyDescent="0.3">
      <c r="B13" s="59">
        <v>8</v>
      </c>
      <c r="C13" s="22">
        <f>GRAFICA_57!E35</f>
        <v>0</v>
      </c>
      <c r="D13" s="22">
        <f>GRAFICA_57!F35</f>
        <v>0</v>
      </c>
      <c r="E13" s="22">
        <f>GRAFICA_57!G35</f>
        <v>350</v>
      </c>
      <c r="F13" s="22">
        <f>GRAFICA_57!H35</f>
        <v>250</v>
      </c>
      <c r="G13" s="9">
        <f t="shared" si="0"/>
        <v>350</v>
      </c>
      <c r="H13" s="9">
        <f t="shared" si="1"/>
        <v>250</v>
      </c>
      <c r="I13" s="9">
        <f t="shared" si="2"/>
        <v>430.11626335213134</v>
      </c>
      <c r="J13" s="92">
        <f t="shared" si="3"/>
        <v>0.813733471206735</v>
      </c>
      <c r="K13" s="92">
        <f t="shared" si="4"/>
        <v>0.58123819371909635</v>
      </c>
      <c r="L13" s="22">
        <f>GRAFICA_57!N35</f>
        <v>12</v>
      </c>
      <c r="M13" s="22">
        <f>GRAFICA_57!O35</f>
        <v>2100000</v>
      </c>
      <c r="N13" s="6">
        <f t="shared" si="5"/>
        <v>58588.809926884918</v>
      </c>
    </row>
    <row r="14" spans="2:14" ht="19.05" customHeight="1" x14ac:dyDescent="0.3">
      <c r="B14" s="60">
        <v>9</v>
      </c>
      <c r="C14" s="22">
        <f>GRAFICA_57!E36</f>
        <v>0</v>
      </c>
      <c r="D14" s="22">
        <f>GRAFICA_57!F36</f>
        <v>250</v>
      </c>
      <c r="E14" s="22">
        <f>GRAFICA_57!G36</f>
        <v>350</v>
      </c>
      <c r="F14" s="22">
        <f>GRAFICA_57!H36</f>
        <v>0</v>
      </c>
      <c r="G14" s="9">
        <f t="shared" si="0"/>
        <v>350</v>
      </c>
      <c r="H14" s="9">
        <f t="shared" si="1"/>
        <v>-250</v>
      </c>
      <c r="I14" s="9">
        <f t="shared" si="2"/>
        <v>430.11626335213134</v>
      </c>
      <c r="J14" s="92">
        <f t="shared" si="3"/>
        <v>0.813733471206735</v>
      </c>
      <c r="K14" s="92">
        <f t="shared" si="4"/>
        <v>-0.58123819371909635</v>
      </c>
      <c r="L14" s="22">
        <f>GRAFICA_57!N36</f>
        <v>12</v>
      </c>
      <c r="M14" s="22">
        <f>GRAFICA_57!O36</f>
        <v>2100000</v>
      </c>
      <c r="N14" s="6">
        <f t="shared" si="5"/>
        <v>58588.809926884918</v>
      </c>
    </row>
    <row r="15" spans="2:14" ht="19.05" customHeight="1" x14ac:dyDescent="0.3">
      <c r="B15" s="67">
        <v>10</v>
      </c>
      <c r="C15" s="22">
        <f>GRAFICA_57!E37</f>
        <v>350</v>
      </c>
      <c r="D15" s="22">
        <f>GRAFICA_57!F37</f>
        <v>0</v>
      </c>
      <c r="E15" s="22">
        <f>GRAFICA_57!G37</f>
        <v>700</v>
      </c>
      <c r="F15" s="22">
        <f>GRAFICA_57!H37</f>
        <v>250</v>
      </c>
      <c r="G15" s="9">
        <f t="shared" si="0"/>
        <v>350</v>
      </c>
      <c r="H15" s="9">
        <f t="shared" si="1"/>
        <v>250</v>
      </c>
      <c r="I15" s="9">
        <f t="shared" si="2"/>
        <v>430.11626335213134</v>
      </c>
      <c r="J15" s="92">
        <f t="shared" si="3"/>
        <v>0.813733471206735</v>
      </c>
      <c r="K15" s="92">
        <f t="shared" si="4"/>
        <v>0.58123819371909635</v>
      </c>
      <c r="L15" s="22">
        <f>GRAFICA_57!N37</f>
        <v>12</v>
      </c>
      <c r="M15" s="22">
        <f>GRAFICA_57!O37</f>
        <v>2100000</v>
      </c>
      <c r="N15" s="6">
        <f t="shared" si="5"/>
        <v>58588.809926884918</v>
      </c>
    </row>
    <row r="16" spans="2:14" ht="19.05" customHeight="1" x14ac:dyDescent="0.3">
      <c r="B16" s="68">
        <v>11</v>
      </c>
      <c r="C16" s="22">
        <f>GRAFICA_57!E38</f>
        <v>350</v>
      </c>
      <c r="D16" s="22">
        <f>GRAFICA_57!F38</f>
        <v>250</v>
      </c>
      <c r="E16" s="22">
        <f>GRAFICA_57!G38</f>
        <v>700</v>
      </c>
      <c r="F16" s="22">
        <f>GRAFICA_57!H38</f>
        <v>0</v>
      </c>
      <c r="G16" s="9">
        <f t="shared" si="0"/>
        <v>350</v>
      </c>
      <c r="H16" s="9">
        <f t="shared" si="1"/>
        <v>-250</v>
      </c>
      <c r="I16" s="9">
        <f t="shared" si="2"/>
        <v>430.11626335213134</v>
      </c>
      <c r="J16" s="92">
        <f t="shared" si="3"/>
        <v>0.813733471206735</v>
      </c>
      <c r="K16" s="92">
        <f t="shared" si="4"/>
        <v>-0.58123819371909635</v>
      </c>
      <c r="L16" s="22">
        <f>GRAFICA_57!N38</f>
        <v>12</v>
      </c>
      <c r="M16" s="22">
        <f>GRAFICA_57!O38</f>
        <v>2100000</v>
      </c>
      <c r="N16" s="6">
        <f t="shared" si="5"/>
        <v>58588.809926884918</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GRAFICA_57!C28</f>
        <v>1</v>
      </c>
      <c r="D20" s="23">
        <f>GRAFICA_57!C28</f>
        <v>1</v>
      </c>
      <c r="E20" s="23">
        <f>GRAFICA_57!D28</f>
        <v>2</v>
      </c>
      <c r="F20" s="23">
        <f>GRAFICA_57!D28</f>
        <v>2</v>
      </c>
    </row>
    <row r="21" spans="2:6" ht="19.05" customHeight="1" x14ac:dyDescent="0.3">
      <c r="B21" s="25">
        <v>2</v>
      </c>
      <c r="C21" s="23">
        <f>GRAFICA_57!C29</f>
        <v>2</v>
      </c>
      <c r="D21" s="23">
        <f>GRAFICA_57!C29</f>
        <v>2</v>
      </c>
      <c r="E21" s="23">
        <f>GRAFICA_57!D29</f>
        <v>3</v>
      </c>
      <c r="F21" s="23">
        <f>GRAFICA_57!D29</f>
        <v>3</v>
      </c>
    </row>
    <row r="22" spans="2:6" ht="19.05" customHeight="1" x14ac:dyDescent="0.3">
      <c r="B22" s="26">
        <v>3</v>
      </c>
      <c r="C22" s="23">
        <f>GRAFICA_57!C30</f>
        <v>4</v>
      </c>
      <c r="D22" s="23">
        <f>GRAFICA_57!C30</f>
        <v>4</v>
      </c>
      <c r="E22" s="23">
        <f>GRAFICA_57!D30</f>
        <v>5</v>
      </c>
      <c r="F22" s="23">
        <f>GRAFICA_57!D30</f>
        <v>5</v>
      </c>
    </row>
    <row r="23" spans="2:6" ht="19.05" customHeight="1" x14ac:dyDescent="0.3">
      <c r="B23" s="43">
        <v>4</v>
      </c>
      <c r="C23" s="23">
        <f>GRAFICA_57!C31</f>
        <v>5</v>
      </c>
      <c r="D23" s="23">
        <f>GRAFICA_57!C31</f>
        <v>5</v>
      </c>
      <c r="E23" s="23">
        <f>GRAFICA_57!D31</f>
        <v>6</v>
      </c>
      <c r="F23" s="23">
        <f>GRAFICA_57!D31</f>
        <v>6</v>
      </c>
    </row>
    <row r="24" spans="2:6" ht="19.05" customHeight="1" x14ac:dyDescent="0.3">
      <c r="B24" s="44">
        <v>5</v>
      </c>
      <c r="C24" s="23">
        <f>GRAFICA_57!C32</f>
        <v>1</v>
      </c>
      <c r="D24" s="23">
        <f>GRAFICA_57!C32</f>
        <v>1</v>
      </c>
      <c r="E24" s="23">
        <f>GRAFICA_57!D32</f>
        <v>4</v>
      </c>
      <c r="F24" s="23">
        <f>GRAFICA_57!D32</f>
        <v>4</v>
      </c>
    </row>
    <row r="25" spans="2:6" ht="19.05" customHeight="1" x14ac:dyDescent="0.3">
      <c r="B25" s="51">
        <v>6</v>
      </c>
      <c r="C25" s="23">
        <f>GRAFICA_57!C33</f>
        <v>2</v>
      </c>
      <c r="D25" s="23">
        <f>GRAFICA_57!C33</f>
        <v>2</v>
      </c>
      <c r="E25" s="23">
        <f>GRAFICA_57!D33</f>
        <v>5</v>
      </c>
      <c r="F25" s="23">
        <f>GRAFICA_57!D33</f>
        <v>5</v>
      </c>
    </row>
    <row r="26" spans="2:6" ht="19.05" customHeight="1" x14ac:dyDescent="0.3">
      <c r="B26" s="52">
        <v>7</v>
      </c>
      <c r="C26" s="23">
        <f>GRAFICA_57!C34</f>
        <v>3</v>
      </c>
      <c r="D26" s="23">
        <f>GRAFICA_57!C34</f>
        <v>3</v>
      </c>
      <c r="E26" s="23">
        <f>GRAFICA_57!D34</f>
        <v>6</v>
      </c>
      <c r="F26" s="23">
        <f>GRAFICA_57!D34</f>
        <v>6</v>
      </c>
    </row>
    <row r="27" spans="2:6" ht="19.05" customHeight="1" x14ac:dyDescent="0.3">
      <c r="B27" s="59">
        <v>8</v>
      </c>
      <c r="C27" s="23">
        <f>GRAFICA_57!C35</f>
        <v>1</v>
      </c>
      <c r="D27" s="23">
        <f>GRAFICA_57!C35</f>
        <v>1</v>
      </c>
      <c r="E27" s="23">
        <f>GRAFICA_57!D35</f>
        <v>5</v>
      </c>
      <c r="F27" s="23">
        <f>GRAFICA_57!D35</f>
        <v>5</v>
      </c>
    </row>
    <row r="28" spans="2:6" ht="19.05" customHeight="1" x14ac:dyDescent="0.3">
      <c r="B28" s="60">
        <v>9</v>
      </c>
      <c r="C28" s="23">
        <f>GRAFICA_57!C36</f>
        <v>4</v>
      </c>
      <c r="D28" s="23">
        <f>GRAFICA_57!C36</f>
        <v>4</v>
      </c>
      <c r="E28" s="23">
        <f>GRAFICA_57!D36</f>
        <v>2</v>
      </c>
      <c r="F28" s="23">
        <f>GRAFICA_57!D36</f>
        <v>2</v>
      </c>
    </row>
    <row r="29" spans="2:6" ht="19.05" customHeight="1" x14ac:dyDescent="0.3">
      <c r="B29" s="67">
        <v>10</v>
      </c>
      <c r="C29" s="23">
        <f>GRAFICA_57!C37</f>
        <v>2</v>
      </c>
      <c r="D29" s="23">
        <f>GRAFICA_57!C37</f>
        <v>2</v>
      </c>
      <c r="E29" s="23">
        <f>GRAFICA_57!D37</f>
        <v>6</v>
      </c>
      <c r="F29" s="23">
        <f>GRAFICA_57!D37</f>
        <v>6</v>
      </c>
    </row>
    <row r="30" spans="2:6" ht="19.05" customHeight="1" x14ac:dyDescent="0.3">
      <c r="B30" s="68">
        <v>11</v>
      </c>
      <c r="C30" s="23">
        <f>GRAFICA_57!C38</f>
        <v>5</v>
      </c>
      <c r="D30" s="23">
        <f>GRAFICA_57!C38</f>
        <v>5</v>
      </c>
      <c r="E30" s="23">
        <f>GRAFICA_57!D38</f>
        <v>3</v>
      </c>
      <c r="F30" s="23">
        <f>GRAFICA_57!D38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72000</v>
      </c>
      <c r="C34" s="7">
        <f>J6*K6*N6</f>
        <v>0</v>
      </c>
      <c r="D34" s="7">
        <f>-B34</f>
        <v>-72000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-72000</v>
      </c>
      <c r="C36" s="7">
        <f>E34</f>
        <v>0</v>
      </c>
      <c r="D36" s="7">
        <f>B34</f>
        <v>72000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72000</v>
      </c>
      <c r="C40" s="8">
        <f t="shared" si="6"/>
        <v>0</v>
      </c>
      <c r="D40" s="8">
        <f t="shared" si="6"/>
        <v>-72000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72000</v>
      </c>
      <c r="C55" s="30">
        <f>J7*K7*N7</f>
        <v>0</v>
      </c>
      <c r="D55" s="30">
        <f>-B55</f>
        <v>-72000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-72000</v>
      </c>
      <c r="C57" s="30">
        <f>E55</f>
        <v>0</v>
      </c>
      <c r="D57" s="30">
        <f>B55</f>
        <v>72000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72000</v>
      </c>
      <c r="E63" s="31">
        <f t="shared" si="7"/>
        <v>0</v>
      </c>
      <c r="F63" s="31">
        <f t="shared" si="7"/>
        <v>-72000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72000</v>
      </c>
      <c r="C76" s="33">
        <f>J8*K8*N8</f>
        <v>0</v>
      </c>
      <c r="D76" s="33">
        <f>-B76</f>
        <v>-72000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-72000</v>
      </c>
      <c r="C78" s="33">
        <f>E76</f>
        <v>0</v>
      </c>
      <c r="D78" s="33">
        <f>B76</f>
        <v>72000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72000</v>
      </c>
      <c r="I88" s="34">
        <f t="shared" si="8"/>
        <v>0</v>
      </c>
      <c r="J88" s="34">
        <f t="shared" si="8"/>
        <v>-72000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72000</v>
      </c>
      <c r="C97" s="46">
        <f>J9*K9*N9</f>
        <v>0</v>
      </c>
      <c r="D97" s="46">
        <f>-B97</f>
        <v>-72000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-72000</v>
      </c>
      <c r="C99" s="46">
        <f>E97</f>
        <v>0</v>
      </c>
      <c r="D99" s="46">
        <f>B97</f>
        <v>72000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72000</v>
      </c>
      <c r="K111" s="47">
        <f t="shared" si="9"/>
        <v>0</v>
      </c>
      <c r="L111" s="47">
        <f t="shared" si="9"/>
        <v>-72000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100800</v>
      </c>
      <c r="D119" s="49">
        <f>-B119</f>
        <v>0</v>
      </c>
      <c r="E119" s="49">
        <f>-C119</f>
        <v>-100800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-100800</v>
      </c>
      <c r="D121" s="49">
        <f>B119</f>
        <v>0</v>
      </c>
      <c r="E121" s="49">
        <f>C119</f>
        <v>100800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100800</v>
      </c>
      <c r="D125" s="9">
        <f t="shared" si="10"/>
        <v>0</v>
      </c>
      <c r="E125" s="9">
        <f t="shared" si="10"/>
        <v>0</v>
      </c>
      <c r="F125" s="9">
        <f t="shared" si="10"/>
        <v>0</v>
      </c>
      <c r="G125" s="9">
        <f t="shared" si="10"/>
        <v>0</v>
      </c>
      <c r="H125" s="50">
        <f t="shared" si="10"/>
        <v>0</v>
      </c>
      <c r="I125" s="50">
        <f t="shared" si="10"/>
        <v>-100800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-100800</v>
      </c>
      <c r="D131" s="9">
        <f t="shared" si="10"/>
        <v>0</v>
      </c>
      <c r="E131" s="9">
        <f t="shared" si="10"/>
        <v>0</v>
      </c>
      <c r="F131" s="9">
        <f t="shared" si="10"/>
        <v>0</v>
      </c>
      <c r="G131" s="9">
        <f t="shared" si="10"/>
        <v>0</v>
      </c>
      <c r="H131" s="50">
        <f t="shared" si="10"/>
        <v>0</v>
      </c>
      <c r="I131" s="50">
        <f t="shared" si="10"/>
        <v>100800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100800</v>
      </c>
      <c r="D140" s="54">
        <f>-B140</f>
        <v>0</v>
      </c>
      <c r="E140" s="54">
        <f>-C140</f>
        <v>-100800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-100800</v>
      </c>
      <c r="D142" s="54">
        <f>B140</f>
        <v>0</v>
      </c>
      <c r="E142" s="54">
        <f>C140</f>
        <v>100800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100800</v>
      </c>
      <c r="F148" s="9">
        <f t="shared" si="11"/>
        <v>0</v>
      </c>
      <c r="G148" s="9">
        <f t="shared" si="11"/>
        <v>0</v>
      </c>
      <c r="H148" s="9">
        <f t="shared" si="11"/>
        <v>0</v>
      </c>
      <c r="I148" s="9">
        <f t="shared" si="11"/>
        <v>0</v>
      </c>
      <c r="J148" s="55">
        <f t="shared" si="11"/>
        <v>0</v>
      </c>
      <c r="K148" s="55">
        <f t="shared" si="11"/>
        <v>-100800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-100800</v>
      </c>
      <c r="F154" s="9">
        <f t="shared" si="11"/>
        <v>0</v>
      </c>
      <c r="G154" s="9">
        <f t="shared" si="11"/>
        <v>0</v>
      </c>
      <c r="H154" s="9">
        <f t="shared" si="11"/>
        <v>0</v>
      </c>
      <c r="I154" s="9">
        <f t="shared" si="11"/>
        <v>0</v>
      </c>
      <c r="J154" s="55">
        <f t="shared" si="11"/>
        <v>0</v>
      </c>
      <c r="K154" s="55">
        <f t="shared" si="11"/>
        <v>100800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100800</v>
      </c>
      <c r="D161" s="57">
        <f>-B161</f>
        <v>0</v>
      </c>
      <c r="E161" s="57">
        <f>-C161</f>
        <v>-100800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-100800</v>
      </c>
      <c r="D163" s="57">
        <f>B161</f>
        <v>0</v>
      </c>
      <c r="E163" s="57">
        <f>C161</f>
        <v>100800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100800</v>
      </c>
      <c r="H171" s="9">
        <f t="shared" si="12"/>
        <v>0</v>
      </c>
      <c r="I171" s="9">
        <f t="shared" si="12"/>
        <v>0</v>
      </c>
      <c r="J171" s="9">
        <f t="shared" si="12"/>
        <v>0</v>
      </c>
      <c r="K171" s="9">
        <f t="shared" si="12"/>
        <v>0</v>
      </c>
      <c r="L171" s="58">
        <f t="shared" si="12"/>
        <v>0</v>
      </c>
      <c r="M171" s="58">
        <f t="shared" si="12"/>
        <v>-100800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-100800</v>
      </c>
      <c r="H177" s="9">
        <f t="shared" si="12"/>
        <v>0</v>
      </c>
      <c r="I177" s="9">
        <f t="shared" si="12"/>
        <v>0</v>
      </c>
      <c r="J177" s="9">
        <f t="shared" si="12"/>
        <v>0</v>
      </c>
      <c r="K177" s="9">
        <f t="shared" si="12"/>
        <v>0</v>
      </c>
      <c r="L177" s="58">
        <f t="shared" si="12"/>
        <v>0</v>
      </c>
      <c r="M177" s="58">
        <f t="shared" si="12"/>
        <v>100800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38795.293059694071</v>
      </c>
      <c r="C181" s="62">
        <f>J13*K13*N13</f>
        <v>27710.923614067189</v>
      </c>
      <c r="D181" s="62">
        <f>-B181</f>
        <v>-38795.293059694071</v>
      </c>
      <c r="E181" s="62">
        <f>-C181</f>
        <v>-27710.923614067189</v>
      </c>
      <c r="F181" s="61" t="str">
        <f>B180</f>
        <v>U1X</v>
      </c>
    </row>
    <row r="182" spans="1:14" ht="16.8" customHeight="1" x14ac:dyDescent="0.3">
      <c r="A182" s="28" t="s">
        <v>203</v>
      </c>
      <c r="B182" s="62">
        <f>C181</f>
        <v>27710.923614067189</v>
      </c>
      <c r="C182" s="62">
        <f>K13*K13*N13</f>
        <v>19793.516867190847</v>
      </c>
      <c r="D182" s="62">
        <f>-B182</f>
        <v>-27710.923614067189</v>
      </c>
      <c r="E182" s="62">
        <f>-C182</f>
        <v>-19793.516867190847</v>
      </c>
      <c r="F182" s="61" t="str">
        <f>C180</f>
        <v>U1Y</v>
      </c>
    </row>
    <row r="183" spans="1:14" x14ac:dyDescent="0.3">
      <c r="B183" s="62">
        <f>D181</f>
        <v>-38795.293059694071</v>
      </c>
      <c r="C183" s="62">
        <f>E181</f>
        <v>-27710.923614067189</v>
      </c>
      <c r="D183" s="62">
        <f>B181</f>
        <v>38795.293059694071</v>
      </c>
      <c r="E183" s="62">
        <f>C181</f>
        <v>27710.923614067189</v>
      </c>
      <c r="F183" s="61" t="str">
        <f>D180</f>
        <v>U5X</v>
      </c>
    </row>
    <row r="184" spans="1:14" x14ac:dyDescent="0.3">
      <c r="B184" s="62">
        <f>D182</f>
        <v>-27710.923614067189</v>
      </c>
      <c r="C184" s="62">
        <f>E182</f>
        <v>-19793.516867190847</v>
      </c>
      <c r="D184" s="62">
        <f>B182</f>
        <v>27710.923614067189</v>
      </c>
      <c r="E184" s="62">
        <f>C182</f>
        <v>19793.516867190847</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38795.293059694071</v>
      </c>
      <c r="C187" s="63">
        <f t="shared" si="13"/>
        <v>27710.923614067189</v>
      </c>
      <c r="D187" s="9">
        <f t="shared" si="13"/>
        <v>0</v>
      </c>
      <c r="E187" s="9">
        <f t="shared" si="13"/>
        <v>0</v>
      </c>
      <c r="F187" s="9">
        <f t="shared" si="13"/>
        <v>0</v>
      </c>
      <c r="G187" s="9">
        <f t="shared" si="13"/>
        <v>0</v>
      </c>
      <c r="H187" s="9">
        <f t="shared" si="13"/>
        <v>0</v>
      </c>
      <c r="I187" s="9">
        <f t="shared" si="13"/>
        <v>0</v>
      </c>
      <c r="J187" s="63">
        <f t="shared" si="13"/>
        <v>-38795.293059694071</v>
      </c>
      <c r="K187" s="63">
        <f t="shared" si="13"/>
        <v>-27710.923614067189</v>
      </c>
      <c r="L187" s="9">
        <f t="shared" si="13"/>
        <v>0</v>
      </c>
      <c r="M187" s="9">
        <f t="shared" si="13"/>
        <v>0</v>
      </c>
      <c r="N187" s="61" t="s">
        <v>178</v>
      </c>
    </row>
    <row r="188" spans="1:14" ht="19.05" customHeight="1" x14ac:dyDescent="0.3">
      <c r="B188" s="63">
        <f t="shared" si="13"/>
        <v>27710.923614067189</v>
      </c>
      <c r="C188" s="63">
        <f t="shared" si="13"/>
        <v>19793.516867190847</v>
      </c>
      <c r="D188" s="9">
        <f t="shared" si="13"/>
        <v>0</v>
      </c>
      <c r="E188" s="9">
        <f t="shared" si="13"/>
        <v>0</v>
      </c>
      <c r="F188" s="9">
        <f t="shared" si="13"/>
        <v>0</v>
      </c>
      <c r="G188" s="9">
        <f t="shared" si="13"/>
        <v>0</v>
      </c>
      <c r="H188" s="9">
        <f t="shared" si="13"/>
        <v>0</v>
      </c>
      <c r="I188" s="9">
        <f t="shared" si="13"/>
        <v>0</v>
      </c>
      <c r="J188" s="63">
        <f t="shared" si="13"/>
        <v>-27710.923614067189</v>
      </c>
      <c r="K188" s="63">
        <f t="shared" si="13"/>
        <v>-19793.516867190847</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-38795.293059694071</v>
      </c>
      <c r="C195" s="63">
        <f t="shared" si="13"/>
        <v>-27710.923614067189</v>
      </c>
      <c r="D195" s="9">
        <f t="shared" si="13"/>
        <v>0</v>
      </c>
      <c r="E195" s="9">
        <f t="shared" si="13"/>
        <v>0</v>
      </c>
      <c r="F195" s="9">
        <f t="shared" si="13"/>
        <v>0</v>
      </c>
      <c r="G195" s="9">
        <f t="shared" si="13"/>
        <v>0</v>
      </c>
      <c r="H195" s="9">
        <f t="shared" si="13"/>
        <v>0</v>
      </c>
      <c r="I195" s="9">
        <f t="shared" si="13"/>
        <v>0</v>
      </c>
      <c r="J195" s="63">
        <f t="shared" si="13"/>
        <v>38795.293059694071</v>
      </c>
      <c r="K195" s="63">
        <f t="shared" si="13"/>
        <v>27710.923614067189</v>
      </c>
      <c r="L195" s="9">
        <f t="shared" si="13"/>
        <v>0</v>
      </c>
      <c r="M195" s="9">
        <f t="shared" si="13"/>
        <v>0</v>
      </c>
      <c r="N195" s="61" t="s">
        <v>186</v>
      </c>
    </row>
    <row r="196" spans="1:14" ht="19.05" customHeight="1" x14ac:dyDescent="0.3">
      <c r="B196" s="63">
        <f t="shared" si="13"/>
        <v>-27710.923614067189</v>
      </c>
      <c r="C196" s="63">
        <f t="shared" si="13"/>
        <v>-19793.516867190847</v>
      </c>
      <c r="D196" s="9">
        <f t="shared" si="13"/>
        <v>0</v>
      </c>
      <c r="E196" s="9">
        <f t="shared" si="13"/>
        <v>0</v>
      </c>
      <c r="F196" s="9">
        <f t="shared" si="13"/>
        <v>0</v>
      </c>
      <c r="G196" s="9">
        <f t="shared" si="13"/>
        <v>0</v>
      </c>
      <c r="H196" s="9">
        <f t="shared" si="13"/>
        <v>0</v>
      </c>
      <c r="I196" s="9">
        <f t="shared" si="13"/>
        <v>0</v>
      </c>
      <c r="J196" s="63">
        <f t="shared" si="13"/>
        <v>27710.923614067189</v>
      </c>
      <c r="K196" s="63">
        <f t="shared" si="13"/>
        <v>19793.516867190847</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38795.293059694071</v>
      </c>
      <c r="C202" s="65">
        <f>J14*K14*N14</f>
        <v>-27710.923614067189</v>
      </c>
      <c r="D202" s="65">
        <f>-B202</f>
        <v>-38795.293059694071</v>
      </c>
      <c r="E202" s="65">
        <f>-C202</f>
        <v>27710.923614067189</v>
      </c>
      <c r="F202" s="64" t="str">
        <f>B201</f>
        <v>U4X</v>
      </c>
    </row>
    <row r="203" spans="1:14" ht="16.8" customHeight="1" x14ac:dyDescent="0.3">
      <c r="A203" s="28" t="s">
        <v>528</v>
      </c>
      <c r="B203" s="65">
        <f>C202</f>
        <v>-27710.923614067189</v>
      </c>
      <c r="C203" s="65">
        <f>K14*K14*N14</f>
        <v>19793.516867190847</v>
      </c>
      <c r="D203" s="65">
        <f>-B203</f>
        <v>27710.923614067189</v>
      </c>
      <c r="E203" s="65">
        <f>-C203</f>
        <v>-19793.516867190847</v>
      </c>
      <c r="F203" s="64" t="str">
        <f>C201</f>
        <v>U4Y</v>
      </c>
    </row>
    <row r="204" spans="1:14" x14ac:dyDescent="0.3">
      <c r="B204" s="65">
        <f>D202</f>
        <v>-38795.293059694071</v>
      </c>
      <c r="C204" s="65">
        <f>E202</f>
        <v>27710.923614067189</v>
      </c>
      <c r="D204" s="65">
        <f>B202</f>
        <v>38795.293059694071</v>
      </c>
      <c r="E204" s="65">
        <f>C202</f>
        <v>-27710.923614067189</v>
      </c>
      <c r="F204" s="64" t="str">
        <f>D201</f>
        <v>U2X</v>
      </c>
    </row>
    <row r="205" spans="1:14" x14ac:dyDescent="0.3">
      <c r="B205" s="65">
        <f>D203</f>
        <v>27710.923614067189</v>
      </c>
      <c r="C205" s="65">
        <f>E203</f>
        <v>-19793.516867190847</v>
      </c>
      <c r="D205" s="65">
        <f>B203</f>
        <v>-27710.923614067189</v>
      </c>
      <c r="E205" s="65">
        <f>C203</f>
        <v>19793.516867190847</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38795.293059694071</v>
      </c>
      <c r="E210" s="66">
        <f t="shared" si="14"/>
        <v>-27710.923614067189</v>
      </c>
      <c r="F210" s="9">
        <f t="shared" si="14"/>
        <v>0</v>
      </c>
      <c r="G210" s="9">
        <f t="shared" si="14"/>
        <v>0</v>
      </c>
      <c r="H210" s="66">
        <f t="shared" si="14"/>
        <v>-38795.293059694071</v>
      </c>
      <c r="I210" s="66">
        <f t="shared" si="14"/>
        <v>27710.923614067189</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-27710.923614067189</v>
      </c>
      <c r="E211" s="66">
        <f t="shared" si="14"/>
        <v>19793.516867190847</v>
      </c>
      <c r="F211" s="9">
        <f t="shared" si="14"/>
        <v>0</v>
      </c>
      <c r="G211" s="9">
        <f t="shared" si="14"/>
        <v>0</v>
      </c>
      <c r="H211" s="66">
        <f t="shared" si="14"/>
        <v>27710.923614067189</v>
      </c>
      <c r="I211" s="66">
        <f t="shared" si="14"/>
        <v>-19793.516867190847</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-38795.293059694071</v>
      </c>
      <c r="E214" s="66">
        <f t="shared" si="14"/>
        <v>27710.923614067189</v>
      </c>
      <c r="F214" s="9">
        <f t="shared" si="14"/>
        <v>0</v>
      </c>
      <c r="G214" s="9">
        <f t="shared" si="14"/>
        <v>0</v>
      </c>
      <c r="H214" s="66">
        <f t="shared" si="14"/>
        <v>38795.293059694071</v>
      </c>
      <c r="I214" s="66">
        <f t="shared" si="14"/>
        <v>-27710.923614067189</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27710.923614067189</v>
      </c>
      <c r="E215" s="66">
        <f t="shared" si="14"/>
        <v>-19793.516867190847</v>
      </c>
      <c r="F215" s="9">
        <f t="shared" si="14"/>
        <v>0</v>
      </c>
      <c r="G215" s="9">
        <f t="shared" si="14"/>
        <v>0</v>
      </c>
      <c r="H215" s="66">
        <f t="shared" si="14"/>
        <v>-27710.923614067189</v>
      </c>
      <c r="I215" s="66">
        <f t="shared" si="14"/>
        <v>19793.516867190847</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38795.293059694071</v>
      </c>
      <c r="C223" s="70">
        <f>J15*K15*N15</f>
        <v>27710.923614067189</v>
      </c>
      <c r="D223" s="70">
        <f>-B223</f>
        <v>-38795.293059694071</v>
      </c>
      <c r="E223" s="70">
        <f>-C223</f>
        <v>-27710.923614067189</v>
      </c>
      <c r="F223" s="69" t="str">
        <f>B222</f>
        <v>U2X</v>
      </c>
    </row>
    <row r="224" spans="1:14" ht="16.8" customHeight="1" x14ac:dyDescent="0.3">
      <c r="A224" s="28" t="s">
        <v>581</v>
      </c>
      <c r="B224" s="70">
        <f>C223</f>
        <v>27710.923614067189</v>
      </c>
      <c r="C224" s="70">
        <f>K15*K15*N15</f>
        <v>19793.516867190847</v>
      </c>
      <c r="D224" s="70">
        <f>-B224</f>
        <v>-27710.923614067189</v>
      </c>
      <c r="E224" s="70">
        <f>-C224</f>
        <v>-19793.516867190847</v>
      </c>
      <c r="F224" s="69" t="str">
        <f>C222</f>
        <v>U2Y</v>
      </c>
    </row>
    <row r="225" spans="1:14" x14ac:dyDescent="0.3">
      <c r="B225" s="70">
        <f>D223</f>
        <v>-38795.293059694071</v>
      </c>
      <c r="C225" s="70">
        <f>E223</f>
        <v>-27710.923614067189</v>
      </c>
      <c r="D225" s="70">
        <f>B223</f>
        <v>38795.293059694071</v>
      </c>
      <c r="E225" s="70">
        <f>C223</f>
        <v>27710.923614067189</v>
      </c>
      <c r="F225" s="69" t="str">
        <f>D222</f>
        <v>U6X</v>
      </c>
    </row>
    <row r="226" spans="1:14" x14ac:dyDescent="0.3">
      <c r="B226" s="70">
        <f>D224</f>
        <v>-27710.923614067189</v>
      </c>
      <c r="C226" s="70">
        <f>E224</f>
        <v>-19793.516867190847</v>
      </c>
      <c r="D226" s="70">
        <f>B224</f>
        <v>27710.923614067189</v>
      </c>
      <c r="E226" s="70">
        <f>C224</f>
        <v>19793.516867190847</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38795.293059694071</v>
      </c>
      <c r="E231" s="71">
        <f t="shared" si="15"/>
        <v>27710.923614067189</v>
      </c>
      <c r="F231" s="9">
        <f t="shared" si="15"/>
        <v>0</v>
      </c>
      <c r="G231" s="9">
        <f t="shared" si="15"/>
        <v>0</v>
      </c>
      <c r="H231" s="9">
        <f t="shared" si="15"/>
        <v>0</v>
      </c>
      <c r="I231" s="9">
        <f t="shared" si="15"/>
        <v>0</v>
      </c>
      <c r="J231" s="9">
        <f t="shared" si="15"/>
        <v>0</v>
      </c>
      <c r="K231" s="9">
        <f t="shared" si="15"/>
        <v>0</v>
      </c>
      <c r="L231" s="71">
        <f t="shared" si="15"/>
        <v>-38795.293059694071</v>
      </c>
      <c r="M231" s="71">
        <f t="shared" si="15"/>
        <v>-27710.923614067189</v>
      </c>
      <c r="N231" s="69" t="s">
        <v>180</v>
      </c>
    </row>
    <row r="232" spans="1:14" ht="19.05" customHeight="1" x14ac:dyDescent="0.3">
      <c r="B232" s="9">
        <f t="shared" si="15"/>
        <v>0</v>
      </c>
      <c r="C232" s="9">
        <f t="shared" si="15"/>
        <v>0</v>
      </c>
      <c r="D232" s="71">
        <f t="shared" si="15"/>
        <v>27710.923614067189</v>
      </c>
      <c r="E232" s="71">
        <f t="shared" si="15"/>
        <v>19793.516867190847</v>
      </c>
      <c r="F232" s="9">
        <f t="shared" si="15"/>
        <v>0</v>
      </c>
      <c r="G232" s="9">
        <f t="shared" si="15"/>
        <v>0</v>
      </c>
      <c r="H232" s="9">
        <f t="shared" si="15"/>
        <v>0</v>
      </c>
      <c r="I232" s="9">
        <f t="shared" si="15"/>
        <v>0</v>
      </c>
      <c r="J232" s="9">
        <f t="shared" si="15"/>
        <v>0</v>
      </c>
      <c r="K232" s="9">
        <f t="shared" si="15"/>
        <v>0</v>
      </c>
      <c r="L232" s="71">
        <f t="shared" si="15"/>
        <v>-27710.923614067189</v>
      </c>
      <c r="M232" s="71">
        <f t="shared" si="15"/>
        <v>-19793.516867190847</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-38795.293059694071</v>
      </c>
      <c r="E239" s="71">
        <f t="shared" si="15"/>
        <v>-27710.923614067189</v>
      </c>
      <c r="F239" s="9">
        <f t="shared" si="15"/>
        <v>0</v>
      </c>
      <c r="G239" s="9">
        <f t="shared" si="15"/>
        <v>0</v>
      </c>
      <c r="H239" s="9">
        <f t="shared" si="15"/>
        <v>0</v>
      </c>
      <c r="I239" s="9">
        <f t="shared" si="15"/>
        <v>0</v>
      </c>
      <c r="J239" s="9">
        <f t="shared" si="15"/>
        <v>0</v>
      </c>
      <c r="K239" s="9">
        <f t="shared" si="15"/>
        <v>0</v>
      </c>
      <c r="L239" s="71">
        <f t="shared" si="15"/>
        <v>38795.293059694071</v>
      </c>
      <c r="M239" s="71">
        <f t="shared" si="15"/>
        <v>27710.923614067189</v>
      </c>
      <c r="N239" s="69" t="s">
        <v>188</v>
      </c>
    </row>
    <row r="240" spans="1:14" ht="19.05" customHeight="1" x14ac:dyDescent="0.3">
      <c r="B240" s="9">
        <f t="shared" si="15"/>
        <v>0</v>
      </c>
      <c r="C240" s="9">
        <f t="shared" si="15"/>
        <v>0</v>
      </c>
      <c r="D240" s="71">
        <f t="shared" si="15"/>
        <v>-27710.923614067189</v>
      </c>
      <c r="E240" s="71">
        <f t="shared" si="15"/>
        <v>-19793.516867190847</v>
      </c>
      <c r="F240" s="9">
        <f t="shared" si="15"/>
        <v>0</v>
      </c>
      <c r="G240" s="9">
        <f t="shared" si="15"/>
        <v>0</v>
      </c>
      <c r="H240" s="9">
        <f t="shared" si="15"/>
        <v>0</v>
      </c>
      <c r="I240" s="9">
        <f t="shared" si="15"/>
        <v>0</v>
      </c>
      <c r="J240" s="9">
        <f t="shared" si="15"/>
        <v>0</v>
      </c>
      <c r="K240" s="9">
        <f t="shared" si="15"/>
        <v>0</v>
      </c>
      <c r="L240" s="71">
        <f t="shared" si="15"/>
        <v>27710.923614067189</v>
      </c>
      <c r="M240" s="71">
        <f t="shared" si="15"/>
        <v>19793.516867190847</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38795.293059694071</v>
      </c>
      <c r="C244" s="73">
        <f>J16*K16*N16</f>
        <v>-27710.923614067189</v>
      </c>
      <c r="D244" s="73">
        <f>-B244</f>
        <v>-38795.293059694071</v>
      </c>
      <c r="E244" s="73">
        <f>-C244</f>
        <v>27710.923614067189</v>
      </c>
      <c r="F244" s="72" t="str">
        <f>B243</f>
        <v>U5X</v>
      </c>
    </row>
    <row r="245" spans="1:14" ht="16.8" customHeight="1" x14ac:dyDescent="0.3">
      <c r="A245" s="28" t="s">
        <v>583</v>
      </c>
      <c r="B245" s="73">
        <f>C244</f>
        <v>-27710.923614067189</v>
      </c>
      <c r="C245" s="73">
        <f>K16*K16*N16</f>
        <v>19793.516867190847</v>
      </c>
      <c r="D245" s="73">
        <f>-B245</f>
        <v>27710.923614067189</v>
      </c>
      <c r="E245" s="73">
        <f>-C245</f>
        <v>-19793.516867190847</v>
      </c>
      <c r="F245" s="72" t="str">
        <f>C243</f>
        <v>U5Y</v>
      </c>
    </row>
    <row r="246" spans="1:14" x14ac:dyDescent="0.3">
      <c r="B246" s="73">
        <f>D244</f>
        <v>-38795.293059694071</v>
      </c>
      <c r="C246" s="73">
        <f>E244</f>
        <v>27710.923614067189</v>
      </c>
      <c r="D246" s="73">
        <f>B244</f>
        <v>38795.293059694071</v>
      </c>
      <c r="E246" s="73">
        <f>C244</f>
        <v>-27710.923614067189</v>
      </c>
      <c r="F246" s="72" t="str">
        <f>D243</f>
        <v>U3X</v>
      </c>
    </row>
    <row r="247" spans="1:14" x14ac:dyDescent="0.3">
      <c r="B247" s="73">
        <f>D245</f>
        <v>27710.923614067189</v>
      </c>
      <c r="C247" s="73">
        <f>E245</f>
        <v>-19793.516867190847</v>
      </c>
      <c r="D247" s="73">
        <f>B245</f>
        <v>-27710.923614067189</v>
      </c>
      <c r="E247" s="73">
        <f>C245</f>
        <v>19793.516867190847</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38795.293059694071</v>
      </c>
      <c r="G254" s="74">
        <f t="shared" si="16"/>
        <v>-27710.923614067189</v>
      </c>
      <c r="H254" s="9">
        <f t="shared" si="16"/>
        <v>0</v>
      </c>
      <c r="I254" s="9">
        <f t="shared" si="16"/>
        <v>0</v>
      </c>
      <c r="J254" s="74">
        <f t="shared" si="16"/>
        <v>-38795.293059694071</v>
      </c>
      <c r="K254" s="74">
        <f t="shared" si="16"/>
        <v>27710.923614067189</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-27710.923614067189</v>
      </c>
      <c r="G255" s="74">
        <f t="shared" si="16"/>
        <v>19793.516867190847</v>
      </c>
      <c r="H255" s="9">
        <f t="shared" si="16"/>
        <v>0</v>
      </c>
      <c r="I255" s="9">
        <f t="shared" si="16"/>
        <v>0</v>
      </c>
      <c r="J255" s="74">
        <f t="shared" si="16"/>
        <v>27710.923614067189</v>
      </c>
      <c r="K255" s="74">
        <f t="shared" si="16"/>
        <v>-19793.516867190847</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-38795.293059694071</v>
      </c>
      <c r="G258" s="74">
        <f t="shared" si="16"/>
        <v>27710.923614067189</v>
      </c>
      <c r="H258" s="9">
        <f t="shared" si="16"/>
        <v>0</v>
      </c>
      <c r="I258" s="9">
        <f t="shared" si="16"/>
        <v>0</v>
      </c>
      <c r="J258" s="74">
        <f t="shared" si="16"/>
        <v>38795.293059694071</v>
      </c>
      <c r="K258" s="74">
        <f t="shared" si="16"/>
        <v>-27710.923614067189</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27710.923614067189</v>
      </c>
      <c r="G259" s="74">
        <f t="shared" si="16"/>
        <v>-19793.516867190847</v>
      </c>
      <c r="H259" s="9">
        <f t="shared" si="16"/>
        <v>0</v>
      </c>
      <c r="I259" s="9">
        <f t="shared" si="16"/>
        <v>0</v>
      </c>
      <c r="J259" s="74">
        <f t="shared" si="16"/>
        <v>-27710.923614067189</v>
      </c>
      <c r="K259" s="74">
        <f t="shared" si="16"/>
        <v>19793.516867190847</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110795.29305969407</v>
      </c>
      <c r="C265" s="36">
        <f t="shared" si="17"/>
        <v>27710.923614067189</v>
      </c>
      <c r="D265" s="9">
        <f t="shared" si="17"/>
        <v>-72000</v>
      </c>
      <c r="E265" s="9">
        <f t="shared" si="17"/>
        <v>0</v>
      </c>
      <c r="F265" s="9">
        <f t="shared" si="17"/>
        <v>0</v>
      </c>
      <c r="G265" s="9">
        <f t="shared" si="17"/>
        <v>0</v>
      </c>
      <c r="H265" s="9">
        <f t="shared" si="17"/>
        <v>0</v>
      </c>
      <c r="I265" s="9">
        <f t="shared" si="17"/>
        <v>0</v>
      </c>
      <c r="J265" s="9">
        <f t="shared" si="17"/>
        <v>-38795.293059694071</v>
      </c>
      <c r="K265" s="9">
        <f t="shared" si="17"/>
        <v>-27710.923614067189</v>
      </c>
      <c r="L265" s="9">
        <f t="shared" si="17"/>
        <v>0</v>
      </c>
      <c r="M265" s="9">
        <f t="shared" si="17"/>
        <v>0</v>
      </c>
      <c r="N265" s="89" t="s">
        <v>178</v>
      </c>
    </row>
    <row r="266" spans="1:14" ht="19.95" customHeight="1" x14ac:dyDescent="0.3">
      <c r="B266" s="36">
        <f t="shared" ref="B266:M266" si="18">B41+B62+B83+B104+B125+B146+B167+B188+B209+B230+B251</f>
        <v>27710.923614067189</v>
      </c>
      <c r="C266" s="35">
        <f t="shared" si="18"/>
        <v>120593.51686719085</v>
      </c>
      <c r="D266" s="9">
        <f t="shared" si="18"/>
        <v>0</v>
      </c>
      <c r="E266" s="9">
        <f t="shared" si="18"/>
        <v>0</v>
      </c>
      <c r="F266" s="9">
        <f t="shared" si="18"/>
        <v>0</v>
      </c>
      <c r="G266" s="9">
        <f t="shared" si="18"/>
        <v>0</v>
      </c>
      <c r="H266" s="9">
        <f t="shared" si="18"/>
        <v>0</v>
      </c>
      <c r="I266" s="9">
        <f t="shared" si="18"/>
        <v>-100800</v>
      </c>
      <c r="J266" s="9">
        <f t="shared" si="18"/>
        <v>-27710.923614067189</v>
      </c>
      <c r="K266" s="9">
        <f t="shared" si="18"/>
        <v>-19793.516867190847</v>
      </c>
      <c r="L266" s="9">
        <f t="shared" si="18"/>
        <v>0</v>
      </c>
      <c r="M266" s="9">
        <f t="shared" si="18"/>
        <v>0</v>
      </c>
      <c r="N266" s="89" t="s">
        <v>179</v>
      </c>
    </row>
    <row r="267" spans="1:14" ht="19.95" customHeight="1" x14ac:dyDescent="0.3">
      <c r="B267" s="9">
        <f t="shared" ref="B267:M267" si="19">B42+B63+B84+B105+B126+B147+B168+B189+B210+B231+B252</f>
        <v>-72000</v>
      </c>
      <c r="C267" s="9">
        <f t="shared" si="19"/>
        <v>0</v>
      </c>
      <c r="D267" s="35">
        <f t="shared" si="19"/>
        <v>221590.58611938811</v>
      </c>
      <c r="E267" s="36">
        <f t="shared" si="19"/>
        <v>0</v>
      </c>
      <c r="F267" s="9">
        <f t="shared" si="19"/>
        <v>-72000</v>
      </c>
      <c r="G267" s="9">
        <f t="shared" si="19"/>
        <v>0</v>
      </c>
      <c r="H267" s="9">
        <f t="shared" si="19"/>
        <v>-38795.293059694071</v>
      </c>
      <c r="I267" s="9">
        <f t="shared" si="19"/>
        <v>27710.923614067189</v>
      </c>
      <c r="J267" s="9">
        <f t="shared" si="19"/>
        <v>0</v>
      </c>
      <c r="K267" s="9">
        <f t="shared" si="19"/>
        <v>0</v>
      </c>
      <c r="L267" s="9">
        <f t="shared" si="19"/>
        <v>-38795.293059694071</v>
      </c>
      <c r="M267" s="9">
        <f t="shared" si="19"/>
        <v>-27710.923614067189</v>
      </c>
      <c r="N267" s="89" t="s">
        <v>180</v>
      </c>
    </row>
    <row r="268" spans="1:14" ht="19.95" customHeight="1" x14ac:dyDescent="0.3">
      <c r="B268" s="9">
        <f t="shared" ref="B268:M268" si="20">B43+B64+B85+B106+B127+B148+B169+B190+B211+B232+B253</f>
        <v>0</v>
      </c>
      <c r="C268" s="9">
        <f t="shared" si="20"/>
        <v>0</v>
      </c>
      <c r="D268" s="36">
        <f t="shared" si="20"/>
        <v>0</v>
      </c>
      <c r="E268" s="35">
        <f t="shared" si="20"/>
        <v>140387.03373438169</v>
      </c>
      <c r="F268" s="9">
        <f t="shared" si="20"/>
        <v>0</v>
      </c>
      <c r="G268" s="9">
        <f t="shared" si="20"/>
        <v>0</v>
      </c>
      <c r="H268" s="9">
        <f t="shared" si="20"/>
        <v>27710.923614067189</v>
      </c>
      <c r="I268" s="9">
        <f t="shared" si="20"/>
        <v>-19793.516867190847</v>
      </c>
      <c r="J268" s="9">
        <f t="shared" si="20"/>
        <v>0</v>
      </c>
      <c r="K268" s="9">
        <f t="shared" si="20"/>
        <v>-100800</v>
      </c>
      <c r="L268" s="9">
        <f t="shared" si="20"/>
        <v>-27710.923614067189</v>
      </c>
      <c r="M268" s="9">
        <f t="shared" si="20"/>
        <v>-19793.516867190847</v>
      </c>
      <c r="N268" s="89" t="s">
        <v>181</v>
      </c>
    </row>
    <row r="269" spans="1:14" ht="19.95" customHeight="1" x14ac:dyDescent="0.3">
      <c r="B269" s="9">
        <f t="shared" ref="B269:M269" si="21">B44+B65+B86+B107+B128+B149+B170+B191+B212+B233+B254</f>
        <v>0</v>
      </c>
      <c r="C269" s="9">
        <f t="shared" si="21"/>
        <v>0</v>
      </c>
      <c r="D269" s="9">
        <f t="shared" si="21"/>
        <v>-72000</v>
      </c>
      <c r="E269" s="9">
        <f t="shared" si="21"/>
        <v>0</v>
      </c>
      <c r="F269" s="35">
        <f t="shared" si="21"/>
        <v>110795.29305969407</v>
      </c>
      <c r="G269" s="36">
        <f t="shared" si="21"/>
        <v>-27710.923614067189</v>
      </c>
      <c r="H269" s="9">
        <f t="shared" si="21"/>
        <v>0</v>
      </c>
      <c r="I269" s="9">
        <f t="shared" si="21"/>
        <v>0</v>
      </c>
      <c r="J269" s="9">
        <f t="shared" si="21"/>
        <v>-38795.293059694071</v>
      </c>
      <c r="K269" s="9">
        <f t="shared" si="21"/>
        <v>27710.923614067189</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-27710.923614067189</v>
      </c>
      <c r="G270" s="35">
        <f t="shared" si="22"/>
        <v>120593.51686719085</v>
      </c>
      <c r="H270" s="9">
        <f t="shared" si="22"/>
        <v>0</v>
      </c>
      <c r="I270" s="9">
        <f t="shared" si="22"/>
        <v>0</v>
      </c>
      <c r="J270" s="9">
        <f t="shared" si="22"/>
        <v>27710.923614067189</v>
      </c>
      <c r="K270" s="9">
        <f t="shared" si="22"/>
        <v>-19793.516867190847</v>
      </c>
      <c r="L270" s="9">
        <f t="shared" si="22"/>
        <v>0</v>
      </c>
      <c r="M270" s="9">
        <f t="shared" si="22"/>
        <v>-100800</v>
      </c>
      <c r="N270" s="89" t="s">
        <v>183</v>
      </c>
    </row>
    <row r="271" spans="1:14" ht="19.95" customHeight="1" x14ac:dyDescent="0.3">
      <c r="B271" s="9">
        <f t="shared" ref="B271:M271" si="23">B46+B67+B88+B109+B130+B151+B172+B193+B214+B235+B256</f>
        <v>0</v>
      </c>
      <c r="C271" s="9">
        <f t="shared" si="23"/>
        <v>0</v>
      </c>
      <c r="D271" s="9">
        <f t="shared" si="23"/>
        <v>-38795.293059694071</v>
      </c>
      <c r="E271" s="9">
        <f t="shared" si="23"/>
        <v>27710.923614067189</v>
      </c>
      <c r="F271" s="9">
        <f t="shared" si="23"/>
        <v>0</v>
      </c>
      <c r="G271" s="9">
        <f t="shared" si="23"/>
        <v>0</v>
      </c>
      <c r="H271" s="35">
        <f t="shared" si="23"/>
        <v>110795.29305969407</v>
      </c>
      <c r="I271" s="36">
        <f t="shared" si="23"/>
        <v>-27710.923614067189</v>
      </c>
      <c r="J271" s="9">
        <f t="shared" si="23"/>
        <v>-72000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-100800</v>
      </c>
      <c r="D272" s="9">
        <f t="shared" si="24"/>
        <v>27710.923614067189</v>
      </c>
      <c r="E272" s="9">
        <f t="shared" si="24"/>
        <v>-19793.516867190847</v>
      </c>
      <c r="F272" s="9">
        <f t="shared" si="24"/>
        <v>0</v>
      </c>
      <c r="G272" s="9">
        <f t="shared" si="24"/>
        <v>0</v>
      </c>
      <c r="H272" s="36">
        <f t="shared" si="24"/>
        <v>-27710.923614067189</v>
      </c>
      <c r="I272" s="35">
        <f t="shared" si="24"/>
        <v>120593.51686719085</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-38795.293059694071</v>
      </c>
      <c r="C273" s="9">
        <f t="shared" si="25"/>
        <v>-27710.923614067189</v>
      </c>
      <c r="D273" s="9">
        <f t="shared" si="25"/>
        <v>0</v>
      </c>
      <c r="E273" s="9">
        <f t="shared" si="25"/>
        <v>0</v>
      </c>
      <c r="F273" s="9">
        <f t="shared" si="25"/>
        <v>-38795.293059694071</v>
      </c>
      <c r="G273" s="9">
        <f t="shared" si="25"/>
        <v>27710.923614067189</v>
      </c>
      <c r="H273" s="9">
        <f t="shared" si="25"/>
        <v>-72000</v>
      </c>
      <c r="I273" s="9">
        <f t="shared" si="25"/>
        <v>0</v>
      </c>
      <c r="J273" s="35">
        <f t="shared" si="25"/>
        <v>221590.58611938811</v>
      </c>
      <c r="K273" s="36">
        <f t="shared" si="25"/>
        <v>0</v>
      </c>
      <c r="L273" s="9">
        <f t="shared" si="25"/>
        <v>-72000</v>
      </c>
      <c r="M273" s="9">
        <f t="shared" si="25"/>
        <v>0</v>
      </c>
      <c r="N273" s="89" t="s">
        <v>186</v>
      </c>
    </row>
    <row r="274" spans="1:21" ht="19.95" customHeight="1" x14ac:dyDescent="0.3">
      <c r="B274" s="9">
        <f t="shared" ref="B274:M274" si="26">B49+B70+B91+B112+B133+B154+B175+B196+B217+B238+B259</f>
        <v>-27710.923614067189</v>
      </c>
      <c r="C274" s="9">
        <f t="shared" si="26"/>
        <v>-19793.516867190847</v>
      </c>
      <c r="D274" s="9">
        <f t="shared" si="26"/>
        <v>0</v>
      </c>
      <c r="E274" s="9">
        <f t="shared" si="26"/>
        <v>-100800</v>
      </c>
      <c r="F274" s="9">
        <f t="shared" si="26"/>
        <v>27710.923614067189</v>
      </c>
      <c r="G274" s="9">
        <f t="shared" si="26"/>
        <v>-19793.516867190847</v>
      </c>
      <c r="H274" s="9">
        <f t="shared" si="26"/>
        <v>0</v>
      </c>
      <c r="I274" s="9">
        <f t="shared" si="26"/>
        <v>0</v>
      </c>
      <c r="J274" s="36">
        <f t="shared" si="26"/>
        <v>0</v>
      </c>
      <c r="K274" s="35">
        <f t="shared" si="26"/>
        <v>140387.03373438169</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-38795.293059694071</v>
      </c>
      <c r="E275" s="9">
        <f t="shared" si="27"/>
        <v>-27710.923614067189</v>
      </c>
      <c r="F275" s="9">
        <f t="shared" si="27"/>
        <v>0</v>
      </c>
      <c r="G275" s="9">
        <f t="shared" si="27"/>
        <v>0</v>
      </c>
      <c r="H275" s="9">
        <f t="shared" si="27"/>
        <v>0</v>
      </c>
      <c r="I275" s="9">
        <f t="shared" si="27"/>
        <v>0</v>
      </c>
      <c r="J275" s="9">
        <f t="shared" si="27"/>
        <v>-72000</v>
      </c>
      <c r="K275" s="9">
        <f t="shared" si="27"/>
        <v>0</v>
      </c>
      <c r="L275" s="35">
        <f t="shared" si="27"/>
        <v>110795.29305969407</v>
      </c>
      <c r="M275" s="36">
        <f t="shared" si="27"/>
        <v>27710.923614067189</v>
      </c>
      <c r="N275" s="89" t="s">
        <v>188</v>
      </c>
    </row>
    <row r="276" spans="1:21" ht="19.95" customHeight="1" x14ac:dyDescent="0.3">
      <c r="B276" s="9">
        <f t="shared" ref="B276:M276" si="28">B51+B72+B93+B114+B135+B156+B177+B198+B219+B240+B261</f>
        <v>0</v>
      </c>
      <c r="C276" s="9">
        <f t="shared" si="28"/>
        <v>0</v>
      </c>
      <c r="D276" s="9">
        <f t="shared" si="28"/>
        <v>-27710.923614067189</v>
      </c>
      <c r="E276" s="9">
        <f t="shared" si="28"/>
        <v>-19793.516867190847</v>
      </c>
      <c r="F276" s="9">
        <f t="shared" si="28"/>
        <v>0</v>
      </c>
      <c r="G276" s="9">
        <f t="shared" si="28"/>
        <v>-100800</v>
      </c>
      <c r="H276" s="9">
        <f t="shared" si="28"/>
        <v>0</v>
      </c>
      <c r="I276" s="9">
        <f t="shared" si="28"/>
        <v>0</v>
      </c>
      <c r="J276" s="9">
        <f t="shared" si="28"/>
        <v>0</v>
      </c>
      <c r="K276" s="9">
        <f t="shared" si="28"/>
        <v>0</v>
      </c>
      <c r="L276" s="36">
        <f t="shared" si="28"/>
        <v>27710.923614067189</v>
      </c>
      <c r="M276" s="35">
        <f t="shared" si="28"/>
        <v>120593.51686719085</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IF(GRAFICA_57!F14=1, B280, GRAFICA_57!H14)</f>
        <v>C1X</v>
      </c>
      <c r="P280" s="215" t="s">
        <v>376</v>
      </c>
      <c r="Q280" s="172"/>
      <c r="R280" s="172"/>
      <c r="S280" s="172"/>
      <c r="T280" s="172"/>
      <c r="U280" s="173"/>
    </row>
    <row r="281" spans="1:21" ht="16.95" customHeight="1" x14ac:dyDescent="0.3">
      <c r="B281" s="12" t="s">
        <v>210</v>
      </c>
      <c r="C281" s="12" t="s">
        <v>179</v>
      </c>
      <c r="E281" s="37" t="str">
        <f>IF(GRAFICA_57!G14=1, B281, GRAFICA_57!I14)</f>
        <v>C1Y</v>
      </c>
      <c r="P281" s="215" t="s">
        <v>211</v>
      </c>
      <c r="Q281" s="172"/>
      <c r="R281" s="172"/>
      <c r="S281" s="172"/>
      <c r="T281" s="172"/>
      <c r="U281" s="173"/>
    </row>
    <row r="282" spans="1:21" ht="16.95" customHeight="1" x14ac:dyDescent="0.3">
      <c r="B282" s="12" t="s">
        <v>212</v>
      </c>
      <c r="C282" s="12" t="s">
        <v>180</v>
      </c>
      <c r="E282" s="37">
        <f>IF(GRAFICA_57!F15=1, B282, GRAFICA_57!H15)</f>
        <v>0</v>
      </c>
      <c r="P282" s="215" t="s">
        <v>377</v>
      </c>
      <c r="Q282" s="172"/>
      <c r="R282" s="172"/>
      <c r="S282" s="172"/>
      <c r="T282" s="172"/>
      <c r="U282" s="173"/>
    </row>
    <row r="283" spans="1:21" ht="16.95" customHeight="1" x14ac:dyDescent="0.3">
      <c r="B283" s="12" t="s">
        <v>214</v>
      </c>
      <c r="C283" s="12" t="s">
        <v>181</v>
      </c>
      <c r="E283" s="37">
        <f>IF(GRAFICA_57!G15=1, B283, GRAFICA_57!I15)</f>
        <v>-6500</v>
      </c>
      <c r="P283" s="215" t="s">
        <v>215</v>
      </c>
      <c r="Q283" s="172"/>
      <c r="R283" s="172"/>
      <c r="S283" s="172"/>
      <c r="T283" s="172"/>
      <c r="U283" s="173"/>
    </row>
    <row r="284" spans="1:21" ht="16.95" customHeight="1" x14ac:dyDescent="0.3">
      <c r="B284" s="12" t="s">
        <v>216</v>
      </c>
      <c r="C284" s="12" t="s">
        <v>182</v>
      </c>
      <c r="E284" s="37" t="str">
        <f>IF(GRAFICA_57!F16=1, B284, GRAFICA_57!H16)</f>
        <v>C3X</v>
      </c>
      <c r="P284" s="215" t="s">
        <v>378</v>
      </c>
      <c r="Q284" s="172"/>
      <c r="R284" s="172"/>
      <c r="S284" s="172"/>
      <c r="T284" s="172"/>
      <c r="U284" s="173"/>
    </row>
    <row r="285" spans="1:21" ht="16.95" customHeight="1" x14ac:dyDescent="0.3">
      <c r="A285" s="38" t="s">
        <v>218</v>
      </c>
      <c r="B285" s="12" t="s">
        <v>219</v>
      </c>
      <c r="C285" s="12" t="s">
        <v>183</v>
      </c>
      <c r="D285" s="13" t="s">
        <v>220</v>
      </c>
      <c r="E285" s="37" t="str">
        <f>IF(GRAFICA_57!G16=1, B285, GRAFICA_57!I16)</f>
        <v>C3Y</v>
      </c>
      <c r="P285" s="215" t="s">
        <v>379</v>
      </c>
      <c r="Q285" s="172"/>
      <c r="R285" s="172"/>
      <c r="S285" s="172"/>
      <c r="T285" s="172"/>
      <c r="U285" s="173"/>
    </row>
    <row r="286" spans="1:21" ht="16.95" customHeight="1" x14ac:dyDescent="0.3">
      <c r="B286" s="12" t="s">
        <v>221</v>
      </c>
      <c r="C286" s="12" t="s">
        <v>184</v>
      </c>
      <c r="E286" s="37">
        <f>IF(GRAFICA_57!F17=1, B286, GRAFICA_57!H17)</f>
        <v>1500</v>
      </c>
      <c r="P286" s="215"/>
      <c r="Q286" s="172"/>
      <c r="R286" s="172"/>
      <c r="S286" s="172"/>
      <c r="T286" s="172"/>
      <c r="U286" s="173"/>
    </row>
    <row r="287" spans="1:21" ht="16.95" customHeight="1" x14ac:dyDescent="0.3">
      <c r="B287" s="12" t="s">
        <v>222</v>
      </c>
      <c r="C287" s="12" t="s">
        <v>185</v>
      </c>
      <c r="E287" s="37">
        <f>IF(GRAFICA_57!G17=1, B287, GRAFICA_57!I17)</f>
        <v>0</v>
      </c>
      <c r="P287" s="215"/>
      <c r="Q287" s="172"/>
      <c r="R287" s="172"/>
      <c r="S287" s="172"/>
      <c r="T287" s="172"/>
      <c r="U287" s="173"/>
    </row>
    <row r="288" spans="1:21" ht="16.95" customHeight="1" x14ac:dyDescent="0.3">
      <c r="B288" s="12" t="s">
        <v>223</v>
      </c>
      <c r="C288" s="12" t="s">
        <v>186</v>
      </c>
      <c r="E288" s="37">
        <f>IF(GRAFICA_57!F18=1, B288, GRAFICA_57!H18)</f>
        <v>0</v>
      </c>
      <c r="P288" s="215"/>
      <c r="Q288" s="172"/>
      <c r="R288" s="172"/>
      <c r="S288" s="172"/>
      <c r="T288" s="172"/>
      <c r="U288" s="173"/>
    </row>
    <row r="289" spans="1:21" ht="16.95" customHeight="1" x14ac:dyDescent="0.3">
      <c r="B289" s="12" t="s">
        <v>224</v>
      </c>
      <c r="C289" s="12" t="s">
        <v>187</v>
      </c>
      <c r="E289" s="37">
        <f>IF(GRAFICA_57!G18=1, B289, GRAFICA_57!I18)</f>
        <v>-8000</v>
      </c>
      <c r="P289" s="215"/>
      <c r="Q289" s="172"/>
      <c r="R289" s="172"/>
      <c r="S289" s="172"/>
      <c r="T289" s="172"/>
      <c r="U289" s="173"/>
    </row>
    <row r="290" spans="1:21" ht="16.95" customHeight="1" x14ac:dyDescent="0.3">
      <c r="B290" s="12" t="s">
        <v>225</v>
      </c>
      <c r="C290" s="12" t="s">
        <v>188</v>
      </c>
      <c r="E290" s="37">
        <f>IF(GRAFICA_57!F19=1, B290, GRAFICA_57!H19)</f>
        <v>0</v>
      </c>
      <c r="P290" s="215"/>
      <c r="Q290" s="172"/>
      <c r="R290" s="172"/>
      <c r="S290" s="172"/>
      <c r="T290" s="172"/>
      <c r="U290" s="173"/>
    </row>
    <row r="291" spans="1:21" ht="16.95" customHeight="1" x14ac:dyDescent="0.3">
      <c r="B291" s="12" t="s">
        <v>226</v>
      </c>
      <c r="C291" s="12" t="s">
        <v>189</v>
      </c>
      <c r="E291" s="37">
        <f>IF(GRAFICA_57!G19=1, B291, GRAFICA_57!I19)</f>
        <v>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IF(GRAFICA_57!F14=1,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IF(GRAFICA_57!G14=1,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t="str">
        <f>IF(GRAFICA_57!F15=1, 0, B296)</f>
        <v>D2X</v>
      </c>
      <c r="F296" s="14">
        <f>IF(E296&lt;&gt;0, COUNTIF(E$294:E296, "&lt;&gt;0"), "")</f>
        <v>1</v>
      </c>
      <c r="G296" s="14" t="str">
        <f>IF(E296=0, COUNTIF(E$294:E296, 0), "")</f>
        <v/>
      </c>
      <c r="P296" s="215"/>
      <c r="Q296" s="172"/>
      <c r="R296" s="172"/>
      <c r="S296" s="172"/>
      <c r="T296" s="172"/>
      <c r="U296" s="173"/>
    </row>
    <row r="297" spans="1:21" ht="16.95" customHeight="1" x14ac:dyDescent="0.3">
      <c r="B297" s="12" t="s">
        <v>231</v>
      </c>
      <c r="C297" s="12" t="s">
        <v>181</v>
      </c>
      <c r="E297" s="39" t="str">
        <f>IF(GRAFICA_57!G15=1, 0, B297)</f>
        <v>D2Y</v>
      </c>
      <c r="F297" s="14">
        <f>IF(E297&lt;&gt;0, COUNTIF(E$294:E297, "&lt;&gt;0"), "")</f>
        <v>2</v>
      </c>
      <c r="G297" s="14" t="str">
        <f>IF(E297=0, COUNTIF(E$294:E297, 0), "")</f>
        <v/>
      </c>
      <c r="P297" s="215"/>
      <c r="Q297" s="172"/>
      <c r="R297" s="172"/>
      <c r="S297" s="172"/>
      <c r="T297" s="172"/>
      <c r="U297" s="173"/>
    </row>
    <row r="298" spans="1:21" ht="16.95" customHeight="1" x14ac:dyDescent="0.3">
      <c r="B298" s="12" t="s">
        <v>232</v>
      </c>
      <c r="C298" s="12" t="s">
        <v>182</v>
      </c>
      <c r="E298" s="39">
        <f>IF(GRAFICA_57!F16=1, 0, B298)</f>
        <v>0</v>
      </c>
      <c r="F298" s="14" t="str">
        <f>IF(E298&lt;&gt;0, COUNTIF(E$294:E298, "&lt;&gt;0"), "")</f>
        <v/>
      </c>
      <c r="G298" s="14">
        <f>IF(E298=0, COUNTIF(E$294:E298, 0), "")</f>
        <v>3</v>
      </c>
      <c r="P298" s="215"/>
      <c r="Q298" s="172"/>
      <c r="R298" s="172"/>
      <c r="S298" s="172"/>
      <c r="T298" s="172"/>
      <c r="U298" s="173"/>
    </row>
    <row r="299" spans="1:21" ht="16.95" customHeight="1" x14ac:dyDescent="0.3">
      <c r="A299" s="38" t="s">
        <v>233</v>
      </c>
      <c r="B299" s="12" t="s">
        <v>234</v>
      </c>
      <c r="C299" s="12" t="s">
        <v>183</v>
      </c>
      <c r="D299" s="13" t="s">
        <v>220</v>
      </c>
      <c r="E299" s="39">
        <f>IF(GRAFICA_57!G16=1, 0, B299)</f>
        <v>0</v>
      </c>
      <c r="F299" s="14" t="str">
        <f>IF(E299&lt;&gt;0, COUNTIF(E$294:E299, "&lt;&gt;0"), "")</f>
        <v/>
      </c>
      <c r="G299" s="14">
        <f>IF(E299=0, COUNTIF(E$294:E299, 0), "")</f>
        <v>4</v>
      </c>
      <c r="P299" s="215"/>
      <c r="Q299" s="172"/>
      <c r="R299" s="172"/>
      <c r="S299" s="172"/>
      <c r="T299" s="172"/>
      <c r="U299" s="173"/>
    </row>
    <row r="300" spans="1:21" ht="16.95" customHeight="1" x14ac:dyDescent="0.3">
      <c r="B300" s="12" t="s">
        <v>235</v>
      </c>
      <c r="C300" s="12" t="s">
        <v>184</v>
      </c>
      <c r="E300" s="39" t="str">
        <f>IF(GRAFICA_57!F17=1, 0, B300)</f>
        <v>D4X</v>
      </c>
      <c r="F300" s="14">
        <f>IF(E300&lt;&gt;0, COUNTIF(E$294:E300, "&lt;&gt;0"), "")</f>
        <v>3</v>
      </c>
      <c r="G300" s="14" t="str">
        <f>IF(E300=0, COUNTIF(E$294:E300, 0), "")</f>
        <v/>
      </c>
      <c r="P300" s="215"/>
      <c r="Q300" s="172"/>
      <c r="R300" s="172"/>
      <c r="S300" s="172"/>
      <c r="T300" s="172"/>
      <c r="U300" s="173"/>
    </row>
    <row r="301" spans="1:21" ht="16.95" customHeight="1" x14ac:dyDescent="0.3">
      <c r="B301" s="12" t="s">
        <v>236</v>
      </c>
      <c r="C301" s="12" t="s">
        <v>185</v>
      </c>
      <c r="E301" s="39" t="str">
        <f>IF(GRAFICA_57!G17=1, 0, B301)</f>
        <v>D4Y</v>
      </c>
      <c r="F301" s="14">
        <f>IF(E301&lt;&gt;0, COUNTIF(E$294:E301, "&lt;&gt;0"), "")</f>
        <v>4</v>
      </c>
      <c r="G301" s="14" t="str">
        <f>IF(E301=0, COUNTIF(E$294:E301, 0), "")</f>
        <v/>
      </c>
      <c r="P301" s="215"/>
      <c r="Q301" s="172"/>
      <c r="R301" s="172"/>
      <c r="S301" s="172"/>
      <c r="T301" s="172"/>
      <c r="U301" s="173"/>
    </row>
    <row r="302" spans="1:21" ht="16.95" customHeight="1" x14ac:dyDescent="0.3">
      <c r="B302" s="12" t="s">
        <v>237</v>
      </c>
      <c r="C302" s="12" t="s">
        <v>186</v>
      </c>
      <c r="E302" s="39" t="str">
        <f>IF(GRAFICA_57!F18=1, 0, B302)</f>
        <v>D5X</v>
      </c>
      <c r="F302" s="14">
        <f>IF(E302&lt;&gt;0, COUNTIF(E$294:E302, "&lt;&gt;0"), "")</f>
        <v>5</v>
      </c>
      <c r="G302" s="14" t="str">
        <f>IF(E302=0, COUNTIF(E$294:E302, 0), "")</f>
        <v/>
      </c>
      <c r="P302" s="215"/>
      <c r="Q302" s="172"/>
      <c r="R302" s="172"/>
      <c r="S302" s="172"/>
      <c r="T302" s="172"/>
      <c r="U302" s="173"/>
    </row>
    <row r="303" spans="1:21" ht="16.95" customHeight="1" x14ac:dyDescent="0.3">
      <c r="B303" s="12" t="s">
        <v>238</v>
      </c>
      <c r="C303" s="12" t="s">
        <v>187</v>
      </c>
      <c r="E303" s="39" t="str">
        <f>IF(GRAFICA_57!G18=1, 0, B303)</f>
        <v>D5Y</v>
      </c>
      <c r="F303" s="14">
        <f>IF(E303&lt;&gt;0, COUNTIF(E$294:E303, "&lt;&gt;0"), "")</f>
        <v>6</v>
      </c>
      <c r="G303" s="14" t="str">
        <f>IF(E303=0, COUNTIF(E$294:E303, 0), "")</f>
        <v/>
      </c>
      <c r="P303" s="215"/>
      <c r="Q303" s="172"/>
      <c r="R303" s="172"/>
      <c r="S303" s="172"/>
      <c r="T303" s="172"/>
      <c r="U303" s="173"/>
    </row>
    <row r="304" spans="1:21" ht="16.95" customHeight="1" x14ac:dyDescent="0.3">
      <c r="B304" s="12" t="s">
        <v>239</v>
      </c>
      <c r="C304" s="12" t="s">
        <v>188</v>
      </c>
      <c r="E304" s="39" t="str">
        <f>IF(GRAFICA_57!F19=1, 0, B304)</f>
        <v>D6X</v>
      </c>
      <c r="F304" s="14">
        <f>IF(E304&lt;&gt;0, COUNTIF(E$294:E304, "&lt;&gt;0"), "")</f>
        <v>7</v>
      </c>
      <c r="G304" s="14" t="str">
        <f>IF(E304=0, COUNTIF(E$294:E304, 0), "")</f>
        <v/>
      </c>
      <c r="P304" s="215"/>
      <c r="Q304" s="172"/>
      <c r="R304" s="172"/>
      <c r="S304" s="172"/>
      <c r="T304" s="172"/>
      <c r="U304" s="173"/>
    </row>
    <row r="305" spans="1:21" ht="16.95" customHeight="1" x14ac:dyDescent="0.3">
      <c r="B305" s="12" t="s">
        <v>240</v>
      </c>
      <c r="C305" s="12" t="s">
        <v>189</v>
      </c>
      <c r="E305" s="39" t="str">
        <f>IF(GRAFICA_57!G19=1, 0, B305)</f>
        <v>D6Y</v>
      </c>
      <c r="F305" s="14">
        <f>IF(E305&lt;&gt;0, COUNTIF(E$294:E305, "&lt;&gt;0"), "")</f>
        <v>8</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110795.29305969407</v>
      </c>
      <c r="D310" s="9">
        <f t="shared" si="30"/>
        <v>27710.923614067189</v>
      </c>
      <c r="E310" s="9">
        <f t="shared" si="30"/>
        <v>-72000</v>
      </c>
      <c r="F310" s="9">
        <f t="shared" si="30"/>
        <v>0</v>
      </c>
      <c r="G310" s="9">
        <f t="shared" si="30"/>
        <v>0</v>
      </c>
      <c r="H310" s="9">
        <f t="shared" si="30"/>
        <v>0</v>
      </c>
      <c r="I310" s="9">
        <f t="shared" si="30"/>
        <v>0</v>
      </c>
      <c r="J310" s="9">
        <f t="shared" si="30"/>
        <v>0</v>
      </c>
      <c r="K310" s="9">
        <f t="shared" si="30"/>
        <v>-38795.293059694071</v>
      </c>
      <c r="L310" s="9">
        <f t="shared" si="30"/>
        <v>-27710.923614067189</v>
      </c>
      <c r="M310" s="9">
        <f t="shared" si="30"/>
        <v>0</v>
      </c>
      <c r="N310" s="9">
        <f t="shared" si="30"/>
        <v>0</v>
      </c>
      <c r="O310" s="13" t="s">
        <v>251</v>
      </c>
      <c r="P310" s="219" t="s">
        <v>380</v>
      </c>
      <c r="Q310" s="172"/>
      <c r="R310" s="172"/>
      <c r="S310" s="172"/>
      <c r="T310" s="172"/>
      <c r="U310" s="173"/>
    </row>
    <row r="311" spans="1:21" ht="16.95" customHeight="1" x14ac:dyDescent="0.3">
      <c r="A311" s="12" t="str">
        <f t="shared" si="29"/>
        <v>C1Y</v>
      </c>
      <c r="C311" s="9">
        <f t="shared" ref="C311:N311" si="31">B266</f>
        <v>27710.923614067189</v>
      </c>
      <c r="D311" s="9">
        <f t="shared" si="31"/>
        <v>120593.51686719085</v>
      </c>
      <c r="E311" s="9">
        <f t="shared" si="31"/>
        <v>0</v>
      </c>
      <c r="F311" s="9">
        <f t="shared" si="31"/>
        <v>0</v>
      </c>
      <c r="G311" s="9">
        <f t="shared" si="31"/>
        <v>0</v>
      </c>
      <c r="H311" s="9">
        <f t="shared" si="31"/>
        <v>0</v>
      </c>
      <c r="I311" s="9">
        <f t="shared" si="31"/>
        <v>0</v>
      </c>
      <c r="J311" s="9">
        <f t="shared" si="31"/>
        <v>-100800</v>
      </c>
      <c r="K311" s="9">
        <f t="shared" si="31"/>
        <v>-27710.923614067189</v>
      </c>
      <c r="L311" s="9">
        <f t="shared" si="31"/>
        <v>-19793.516867190847</v>
      </c>
      <c r="M311" s="9">
        <f t="shared" si="31"/>
        <v>0</v>
      </c>
      <c r="N311" s="9">
        <f t="shared" si="31"/>
        <v>0</v>
      </c>
      <c r="O311" s="13" t="s">
        <v>251</v>
      </c>
      <c r="P311" s="219" t="s">
        <v>253</v>
      </c>
      <c r="Q311" s="172"/>
      <c r="R311" s="172"/>
      <c r="S311" s="172"/>
      <c r="T311" s="172"/>
      <c r="U311" s="173"/>
    </row>
    <row r="312" spans="1:21" ht="16.95" customHeight="1" x14ac:dyDescent="0.3">
      <c r="A312" s="41">
        <f t="shared" si="29"/>
        <v>0</v>
      </c>
      <c r="C312" s="9">
        <f t="shared" ref="C312:N312" si="32">B267</f>
        <v>-72000</v>
      </c>
      <c r="D312" s="9">
        <f t="shared" si="32"/>
        <v>0</v>
      </c>
      <c r="E312" s="41">
        <f t="shared" si="32"/>
        <v>221590.58611938811</v>
      </c>
      <c r="F312" s="41">
        <f t="shared" si="32"/>
        <v>0</v>
      </c>
      <c r="G312" s="9">
        <f t="shared" si="32"/>
        <v>-72000</v>
      </c>
      <c r="H312" s="9">
        <f t="shared" si="32"/>
        <v>0</v>
      </c>
      <c r="I312" s="41">
        <f t="shared" si="32"/>
        <v>-38795.293059694071</v>
      </c>
      <c r="J312" s="41">
        <f t="shared" si="32"/>
        <v>27710.923614067189</v>
      </c>
      <c r="K312" s="41">
        <f t="shared" si="32"/>
        <v>0</v>
      </c>
      <c r="L312" s="41">
        <f t="shared" si="32"/>
        <v>0</v>
      </c>
      <c r="M312" s="41">
        <f t="shared" si="32"/>
        <v>-38795.293059694071</v>
      </c>
      <c r="N312" s="41">
        <f t="shared" si="32"/>
        <v>-27710.923614067189</v>
      </c>
      <c r="O312" s="13" t="s">
        <v>251</v>
      </c>
      <c r="P312" s="215" t="s">
        <v>254</v>
      </c>
      <c r="Q312" s="172"/>
      <c r="R312" s="172"/>
      <c r="S312" s="172"/>
      <c r="T312" s="172"/>
      <c r="U312" s="173"/>
    </row>
    <row r="313" spans="1:21" ht="16.95" customHeight="1" x14ac:dyDescent="0.3">
      <c r="A313" s="41">
        <f t="shared" si="29"/>
        <v>-6500</v>
      </c>
      <c r="C313" s="9">
        <f t="shared" ref="C313:N313" si="33">B268</f>
        <v>0</v>
      </c>
      <c r="D313" s="9">
        <f t="shared" si="33"/>
        <v>0</v>
      </c>
      <c r="E313" s="41">
        <f t="shared" si="33"/>
        <v>0</v>
      </c>
      <c r="F313" s="41">
        <f t="shared" si="33"/>
        <v>140387.03373438169</v>
      </c>
      <c r="G313" s="9">
        <f t="shared" si="33"/>
        <v>0</v>
      </c>
      <c r="H313" s="9">
        <f t="shared" si="33"/>
        <v>0</v>
      </c>
      <c r="I313" s="41">
        <f t="shared" si="33"/>
        <v>27710.923614067189</v>
      </c>
      <c r="J313" s="41">
        <f t="shared" si="33"/>
        <v>-19793.516867190847</v>
      </c>
      <c r="K313" s="41">
        <f t="shared" si="33"/>
        <v>0</v>
      </c>
      <c r="L313" s="41">
        <f t="shared" si="33"/>
        <v>-100800</v>
      </c>
      <c r="M313" s="41">
        <f t="shared" si="33"/>
        <v>-27710.923614067189</v>
      </c>
      <c r="N313" s="41">
        <f t="shared" si="33"/>
        <v>-19793.516867190847</v>
      </c>
      <c r="O313" s="13" t="s">
        <v>251</v>
      </c>
      <c r="P313" s="215" t="s">
        <v>381</v>
      </c>
      <c r="Q313" s="172"/>
      <c r="R313" s="172"/>
      <c r="S313" s="172"/>
      <c r="T313" s="172"/>
      <c r="U313" s="173"/>
    </row>
    <row r="314" spans="1:21" ht="16.95" customHeight="1" x14ac:dyDescent="0.3">
      <c r="A314" s="12" t="str">
        <f t="shared" si="29"/>
        <v>C3X</v>
      </c>
      <c r="C314" s="9">
        <f t="shared" ref="C314:N314" si="34">B269</f>
        <v>0</v>
      </c>
      <c r="D314" s="9">
        <f t="shared" si="34"/>
        <v>0</v>
      </c>
      <c r="E314" s="9">
        <f t="shared" si="34"/>
        <v>-72000</v>
      </c>
      <c r="F314" s="9">
        <f t="shared" si="34"/>
        <v>0</v>
      </c>
      <c r="G314" s="9">
        <f t="shared" si="34"/>
        <v>110795.29305969407</v>
      </c>
      <c r="H314" s="9">
        <f t="shared" si="34"/>
        <v>-27710.923614067189</v>
      </c>
      <c r="I314" s="9">
        <f t="shared" si="34"/>
        <v>0</v>
      </c>
      <c r="J314" s="9">
        <f t="shared" si="34"/>
        <v>0</v>
      </c>
      <c r="K314" s="9">
        <f t="shared" si="34"/>
        <v>-38795.293059694071</v>
      </c>
      <c r="L314" s="9">
        <f t="shared" si="34"/>
        <v>27710.923614067189</v>
      </c>
      <c r="M314" s="9">
        <f t="shared" si="34"/>
        <v>0</v>
      </c>
      <c r="N314" s="9">
        <f t="shared" si="34"/>
        <v>0</v>
      </c>
      <c r="O314" s="13" t="s">
        <v>251</v>
      </c>
      <c r="P314" s="219" t="s">
        <v>382</v>
      </c>
      <c r="Q314" s="172"/>
      <c r="R314" s="172"/>
      <c r="S314" s="172"/>
      <c r="T314" s="172"/>
      <c r="U314" s="173"/>
    </row>
    <row r="315" spans="1:21" ht="16.95" customHeight="1" x14ac:dyDescent="0.3">
      <c r="A315" s="12" t="str">
        <f t="shared" si="29"/>
        <v>C3Y</v>
      </c>
      <c r="C315" s="9">
        <f t="shared" ref="C315:N315" si="35">B270</f>
        <v>0</v>
      </c>
      <c r="D315" s="9">
        <f t="shared" si="35"/>
        <v>0</v>
      </c>
      <c r="E315" s="9">
        <f t="shared" si="35"/>
        <v>0</v>
      </c>
      <c r="F315" s="9">
        <f t="shared" si="35"/>
        <v>0</v>
      </c>
      <c r="G315" s="9">
        <f t="shared" si="35"/>
        <v>-27710.923614067189</v>
      </c>
      <c r="H315" s="9">
        <f t="shared" si="35"/>
        <v>120593.51686719085</v>
      </c>
      <c r="I315" s="9">
        <f t="shared" si="35"/>
        <v>0</v>
      </c>
      <c r="J315" s="9">
        <f t="shared" si="35"/>
        <v>0</v>
      </c>
      <c r="K315" s="9">
        <f t="shared" si="35"/>
        <v>27710.923614067189</v>
      </c>
      <c r="L315" s="9">
        <f t="shared" si="35"/>
        <v>-19793.516867190847</v>
      </c>
      <c r="M315" s="9">
        <f t="shared" si="35"/>
        <v>0</v>
      </c>
      <c r="N315" s="9">
        <f t="shared" si="35"/>
        <v>-100800</v>
      </c>
      <c r="O315" s="13" t="s">
        <v>251</v>
      </c>
      <c r="P315" s="219">
        <f t="shared" ref="P315:P321" si="36">E299</f>
        <v>0</v>
      </c>
      <c r="Q315" s="172"/>
      <c r="R315" s="172"/>
      <c r="S315" s="172"/>
      <c r="T315" s="172"/>
      <c r="U315" s="173"/>
    </row>
    <row r="316" spans="1:21" ht="16.95" customHeight="1" x14ac:dyDescent="0.3">
      <c r="A316" s="41">
        <f t="shared" si="29"/>
        <v>1500</v>
      </c>
      <c r="B316" s="13" t="s">
        <v>220</v>
      </c>
      <c r="C316" s="9">
        <f t="shared" ref="C316:N316" si="37">B271</f>
        <v>0</v>
      </c>
      <c r="D316" s="9">
        <f t="shared" si="37"/>
        <v>0</v>
      </c>
      <c r="E316" s="41">
        <f t="shared" si="37"/>
        <v>-38795.293059694071</v>
      </c>
      <c r="F316" s="41">
        <f t="shared" si="37"/>
        <v>27710.923614067189</v>
      </c>
      <c r="G316" s="9">
        <f t="shared" si="37"/>
        <v>0</v>
      </c>
      <c r="H316" s="9">
        <f t="shared" si="37"/>
        <v>0</v>
      </c>
      <c r="I316" s="41">
        <f t="shared" si="37"/>
        <v>110795.29305969407</v>
      </c>
      <c r="J316" s="41">
        <f t="shared" si="37"/>
        <v>-27710.923614067189</v>
      </c>
      <c r="K316" s="41">
        <f t="shared" si="37"/>
        <v>-72000</v>
      </c>
      <c r="L316" s="41">
        <f t="shared" si="37"/>
        <v>0</v>
      </c>
      <c r="M316" s="41">
        <f t="shared" si="37"/>
        <v>0</v>
      </c>
      <c r="N316" s="41">
        <f t="shared" si="37"/>
        <v>0</v>
      </c>
      <c r="O316" s="13" t="s">
        <v>251</v>
      </c>
      <c r="P316" s="215" t="str">
        <f t="shared" si="36"/>
        <v>D4X</v>
      </c>
      <c r="Q316" s="172"/>
      <c r="R316" s="172"/>
      <c r="S316" s="172"/>
      <c r="T316" s="172"/>
      <c r="U316" s="173"/>
    </row>
    <row r="317" spans="1:21" ht="16.95" customHeight="1" x14ac:dyDescent="0.3">
      <c r="A317" s="41">
        <f t="shared" si="29"/>
        <v>0</v>
      </c>
      <c r="C317" s="9">
        <f t="shared" ref="C317:N317" si="38">B272</f>
        <v>0</v>
      </c>
      <c r="D317" s="9">
        <f t="shared" si="38"/>
        <v>-100800</v>
      </c>
      <c r="E317" s="41">
        <f t="shared" si="38"/>
        <v>27710.923614067189</v>
      </c>
      <c r="F317" s="41">
        <f t="shared" si="38"/>
        <v>-19793.516867190847</v>
      </c>
      <c r="G317" s="9">
        <f t="shared" si="38"/>
        <v>0</v>
      </c>
      <c r="H317" s="9">
        <f t="shared" si="38"/>
        <v>0</v>
      </c>
      <c r="I317" s="41">
        <f t="shared" si="38"/>
        <v>-27710.923614067189</v>
      </c>
      <c r="J317" s="41">
        <f t="shared" si="38"/>
        <v>120593.51686719085</v>
      </c>
      <c r="K317" s="41">
        <f t="shared" si="38"/>
        <v>0</v>
      </c>
      <c r="L317" s="41">
        <f t="shared" si="38"/>
        <v>0</v>
      </c>
      <c r="M317" s="41">
        <f t="shared" si="38"/>
        <v>0</v>
      </c>
      <c r="N317" s="41">
        <f t="shared" si="38"/>
        <v>0</v>
      </c>
      <c r="O317" s="13" t="s">
        <v>251</v>
      </c>
      <c r="P317" s="215" t="str">
        <f t="shared" si="36"/>
        <v>D4Y</v>
      </c>
      <c r="Q317" s="172"/>
      <c r="R317" s="172"/>
      <c r="S317" s="172"/>
      <c r="T317" s="172"/>
      <c r="U317" s="173"/>
    </row>
    <row r="318" spans="1:21" ht="16.95" customHeight="1" x14ac:dyDescent="0.3">
      <c r="A318" s="41">
        <f t="shared" si="29"/>
        <v>0</v>
      </c>
      <c r="C318" s="9">
        <f t="shared" ref="C318:N318" si="39">B273</f>
        <v>-38795.293059694071</v>
      </c>
      <c r="D318" s="9">
        <f t="shared" si="39"/>
        <v>-27710.923614067189</v>
      </c>
      <c r="E318" s="41">
        <f t="shared" si="39"/>
        <v>0</v>
      </c>
      <c r="F318" s="41">
        <f t="shared" si="39"/>
        <v>0</v>
      </c>
      <c r="G318" s="9">
        <f t="shared" si="39"/>
        <v>-38795.293059694071</v>
      </c>
      <c r="H318" s="9">
        <f t="shared" si="39"/>
        <v>27710.923614067189</v>
      </c>
      <c r="I318" s="41">
        <f t="shared" si="39"/>
        <v>-72000</v>
      </c>
      <c r="J318" s="41">
        <f t="shared" si="39"/>
        <v>0</v>
      </c>
      <c r="K318" s="41">
        <f t="shared" si="39"/>
        <v>221590.58611938811</v>
      </c>
      <c r="L318" s="41">
        <f t="shared" si="39"/>
        <v>0</v>
      </c>
      <c r="M318" s="41">
        <f t="shared" si="39"/>
        <v>-72000</v>
      </c>
      <c r="N318" s="41">
        <f t="shared" si="39"/>
        <v>0</v>
      </c>
      <c r="O318" s="13" t="s">
        <v>251</v>
      </c>
      <c r="P318" s="215" t="str">
        <f t="shared" si="36"/>
        <v>D5X</v>
      </c>
      <c r="Q318" s="172"/>
      <c r="R318" s="172"/>
      <c r="S318" s="172"/>
      <c r="T318" s="172"/>
      <c r="U318" s="173"/>
    </row>
    <row r="319" spans="1:21" ht="16.95" customHeight="1" x14ac:dyDescent="0.3">
      <c r="A319" s="41">
        <f t="shared" si="29"/>
        <v>-8000</v>
      </c>
      <c r="C319" s="9">
        <f t="shared" ref="C319:N319" si="40">B274</f>
        <v>-27710.923614067189</v>
      </c>
      <c r="D319" s="9">
        <f t="shared" si="40"/>
        <v>-19793.516867190847</v>
      </c>
      <c r="E319" s="41">
        <f t="shared" si="40"/>
        <v>0</v>
      </c>
      <c r="F319" s="41">
        <f t="shared" si="40"/>
        <v>-100800</v>
      </c>
      <c r="G319" s="9">
        <f t="shared" si="40"/>
        <v>27710.923614067189</v>
      </c>
      <c r="H319" s="9">
        <f t="shared" si="40"/>
        <v>-19793.516867190847</v>
      </c>
      <c r="I319" s="41">
        <f t="shared" si="40"/>
        <v>0</v>
      </c>
      <c r="J319" s="41">
        <f t="shared" si="40"/>
        <v>0</v>
      </c>
      <c r="K319" s="41">
        <f t="shared" si="40"/>
        <v>0</v>
      </c>
      <c r="L319" s="41">
        <f t="shared" si="40"/>
        <v>140387.03373438169</v>
      </c>
      <c r="M319" s="41">
        <f t="shared" si="40"/>
        <v>0</v>
      </c>
      <c r="N319" s="41">
        <f t="shared" si="40"/>
        <v>0</v>
      </c>
      <c r="O319" s="13" t="s">
        <v>251</v>
      </c>
      <c r="P319" s="215" t="str">
        <f t="shared" si="36"/>
        <v>D5Y</v>
      </c>
      <c r="Q319" s="172"/>
      <c r="R319" s="172"/>
      <c r="S319" s="172"/>
      <c r="T319" s="172"/>
      <c r="U319" s="173"/>
    </row>
    <row r="320" spans="1:21" ht="16.95" customHeight="1" x14ac:dyDescent="0.3">
      <c r="A320" s="41">
        <f t="shared" si="29"/>
        <v>0</v>
      </c>
      <c r="C320" s="9">
        <f t="shared" ref="C320:N320" si="41">B275</f>
        <v>0</v>
      </c>
      <c r="D320" s="9">
        <f t="shared" si="41"/>
        <v>0</v>
      </c>
      <c r="E320" s="41">
        <f t="shared" si="41"/>
        <v>-38795.293059694071</v>
      </c>
      <c r="F320" s="41">
        <f t="shared" si="41"/>
        <v>-27710.923614067189</v>
      </c>
      <c r="G320" s="9">
        <f t="shared" si="41"/>
        <v>0</v>
      </c>
      <c r="H320" s="9">
        <f t="shared" si="41"/>
        <v>0</v>
      </c>
      <c r="I320" s="41">
        <f t="shared" si="41"/>
        <v>0</v>
      </c>
      <c r="J320" s="41">
        <f t="shared" si="41"/>
        <v>0</v>
      </c>
      <c r="K320" s="41">
        <f t="shared" si="41"/>
        <v>-72000</v>
      </c>
      <c r="L320" s="41">
        <f t="shared" si="41"/>
        <v>0</v>
      </c>
      <c r="M320" s="41">
        <f t="shared" si="41"/>
        <v>110795.29305969407</v>
      </c>
      <c r="N320" s="41">
        <f t="shared" si="41"/>
        <v>27710.923614067189</v>
      </c>
      <c r="O320" s="13" t="s">
        <v>251</v>
      </c>
      <c r="P320" s="215" t="str">
        <f t="shared" si="36"/>
        <v>D6X</v>
      </c>
      <c r="Q320" s="172"/>
      <c r="R320" s="172"/>
      <c r="S320" s="172"/>
      <c r="T320" s="172"/>
      <c r="U320" s="173"/>
    </row>
    <row r="321" spans="1:21" ht="16.95" customHeight="1" x14ac:dyDescent="0.3">
      <c r="A321" s="41">
        <f t="shared" si="29"/>
        <v>0</v>
      </c>
      <c r="C321" s="9">
        <f t="shared" ref="C321:N321" si="42">B276</f>
        <v>0</v>
      </c>
      <c r="D321" s="9">
        <f t="shared" si="42"/>
        <v>0</v>
      </c>
      <c r="E321" s="41">
        <f t="shared" si="42"/>
        <v>-27710.923614067189</v>
      </c>
      <c r="F321" s="41">
        <f t="shared" si="42"/>
        <v>-19793.516867190847</v>
      </c>
      <c r="G321" s="9">
        <f t="shared" si="42"/>
        <v>0</v>
      </c>
      <c r="H321" s="9">
        <f t="shared" si="42"/>
        <v>-100800</v>
      </c>
      <c r="I321" s="41">
        <f t="shared" si="42"/>
        <v>0</v>
      </c>
      <c r="J321" s="41">
        <f t="shared" si="42"/>
        <v>0</v>
      </c>
      <c r="K321" s="41">
        <f t="shared" si="42"/>
        <v>0</v>
      </c>
      <c r="L321" s="41">
        <f t="shared" si="42"/>
        <v>0</v>
      </c>
      <c r="M321" s="41">
        <f t="shared" si="42"/>
        <v>27710.923614067189</v>
      </c>
      <c r="N321" s="41">
        <f t="shared" si="42"/>
        <v>120593.51686719085</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U2X</v>
      </c>
      <c r="D325" s="38" t="str">
        <f>INDEX(C$294:C$305, MATCH(2, F$294:F$305, 0))</f>
        <v>U2Y</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215" t="s">
        <v>383</v>
      </c>
      <c r="Q325" s="172"/>
      <c r="R325" s="172"/>
      <c r="S325" s="172"/>
      <c r="T325" s="172"/>
      <c r="U325" s="173"/>
    </row>
    <row r="326" spans="1:21" ht="16.95" customHeight="1" x14ac:dyDescent="0.3">
      <c r="A326" s="41">
        <f t="shared" ref="A326:A333" si="43">INDEX(E$280:E$291, MATCH(M326, C$280:C$291, 0))</f>
        <v>0</v>
      </c>
      <c r="C326" s="41">
        <f t="shared" ref="C326:J333" si="44">INDEX($B$265:$M$276, MATCH($M326, $N$265:$N$276, 0), MATCH(C$325, $B$264:$M$264, 0))</f>
        <v>221590.58611938811</v>
      </c>
      <c r="D326" s="41">
        <f t="shared" si="44"/>
        <v>0</v>
      </c>
      <c r="E326" s="41">
        <f t="shared" si="44"/>
        <v>-38795.293059694071</v>
      </c>
      <c r="F326" s="41">
        <f t="shared" si="44"/>
        <v>27710.923614067189</v>
      </c>
      <c r="G326" s="41">
        <f t="shared" si="44"/>
        <v>0</v>
      </c>
      <c r="H326" s="41">
        <f t="shared" si="44"/>
        <v>0</v>
      </c>
      <c r="I326" s="41">
        <f t="shared" si="44"/>
        <v>-38795.293059694071</v>
      </c>
      <c r="J326" s="41">
        <f t="shared" si="44"/>
        <v>-27710.923614067189</v>
      </c>
      <c r="K326" s="13" t="s">
        <v>251</v>
      </c>
      <c r="L326" s="38" t="str">
        <f>INDEX(B$294:B$305, MATCH(1, F$294:F$305, 0))</f>
        <v>D2X</v>
      </c>
      <c r="M326" s="14" t="str">
        <f>INDEX(C$294:C$305, MATCH(1, F$294:F$305, 0))</f>
        <v>U2X</v>
      </c>
      <c r="P326" s="215" t="s">
        <v>384</v>
      </c>
      <c r="Q326" s="172"/>
      <c r="R326" s="172"/>
      <c r="S326" s="172"/>
      <c r="T326" s="172"/>
      <c r="U326" s="173"/>
    </row>
    <row r="327" spans="1:21" ht="16.95" customHeight="1" x14ac:dyDescent="0.3">
      <c r="A327" s="41">
        <f t="shared" si="43"/>
        <v>-6500</v>
      </c>
      <c r="C327" s="41">
        <f t="shared" si="44"/>
        <v>0</v>
      </c>
      <c r="D327" s="41">
        <f t="shared" si="44"/>
        <v>140387.03373438169</v>
      </c>
      <c r="E327" s="41">
        <f t="shared" si="44"/>
        <v>27710.923614067189</v>
      </c>
      <c r="F327" s="41">
        <f t="shared" si="44"/>
        <v>-19793.516867190847</v>
      </c>
      <c r="G327" s="41">
        <f t="shared" si="44"/>
        <v>0</v>
      </c>
      <c r="H327" s="41">
        <f t="shared" si="44"/>
        <v>-100800</v>
      </c>
      <c r="I327" s="41">
        <f t="shared" si="44"/>
        <v>-27710.923614067189</v>
      </c>
      <c r="J327" s="41">
        <f t="shared" si="44"/>
        <v>-19793.516867190847</v>
      </c>
      <c r="K327" s="13" t="s">
        <v>251</v>
      </c>
      <c r="L327" s="38" t="str">
        <f>INDEX(B$294:B$305, MATCH(2, F$294:F$305, 0))</f>
        <v>D2Y</v>
      </c>
      <c r="M327" s="14" t="str">
        <f>INDEX(C$294:C$305, MATCH(2, F$294:F$305, 0))</f>
        <v>U2Y</v>
      </c>
      <c r="P327" s="215" t="s">
        <v>385</v>
      </c>
      <c r="Q327" s="172"/>
      <c r="R327" s="172"/>
      <c r="S327" s="172"/>
      <c r="T327" s="172"/>
      <c r="U327" s="173"/>
    </row>
    <row r="328" spans="1:21" ht="16.95" customHeight="1" x14ac:dyDescent="0.3">
      <c r="A328" s="41">
        <f t="shared" si="43"/>
        <v>1500</v>
      </c>
      <c r="C328" s="41">
        <f t="shared" si="44"/>
        <v>-38795.293059694071</v>
      </c>
      <c r="D328" s="41">
        <f t="shared" si="44"/>
        <v>27710.923614067189</v>
      </c>
      <c r="E328" s="41">
        <f t="shared" si="44"/>
        <v>110795.29305969407</v>
      </c>
      <c r="F328" s="41">
        <f t="shared" si="44"/>
        <v>-27710.923614067189</v>
      </c>
      <c r="G328" s="41">
        <f t="shared" si="44"/>
        <v>-72000</v>
      </c>
      <c r="H328" s="41">
        <f t="shared" si="44"/>
        <v>0</v>
      </c>
      <c r="I328" s="41">
        <f t="shared" si="44"/>
        <v>0</v>
      </c>
      <c r="J328" s="41">
        <f t="shared" si="44"/>
        <v>0</v>
      </c>
      <c r="K328" s="13" t="s">
        <v>251</v>
      </c>
      <c r="L328" s="38" t="str">
        <f>INDEX(B$294:B$305, MATCH(3, F$294:F$305, 0))</f>
        <v>D4X</v>
      </c>
      <c r="M328" s="14" t="str">
        <f>INDEX(C$294:C$305, MATCH(3, F$294:F$305, 0))</f>
        <v>U4X</v>
      </c>
      <c r="P328" s="215" t="s">
        <v>386</v>
      </c>
      <c r="Q328" s="172"/>
      <c r="R328" s="172"/>
      <c r="S328" s="172"/>
      <c r="T328" s="172"/>
      <c r="U328" s="173"/>
    </row>
    <row r="329" spans="1:21" ht="16.95" customHeight="1" x14ac:dyDescent="0.3">
      <c r="A329" s="41">
        <f t="shared" si="43"/>
        <v>0</v>
      </c>
      <c r="C329" s="41">
        <f t="shared" si="44"/>
        <v>27710.923614067189</v>
      </c>
      <c r="D329" s="41">
        <f t="shared" si="44"/>
        <v>-19793.516867190847</v>
      </c>
      <c r="E329" s="41">
        <f t="shared" si="44"/>
        <v>-27710.923614067189</v>
      </c>
      <c r="F329" s="41">
        <f t="shared" si="44"/>
        <v>120593.51686719085</v>
      </c>
      <c r="G329" s="41">
        <f t="shared" si="44"/>
        <v>0</v>
      </c>
      <c r="H329" s="41">
        <f t="shared" si="44"/>
        <v>0</v>
      </c>
      <c r="I329" s="41">
        <f t="shared" si="44"/>
        <v>0</v>
      </c>
      <c r="J329" s="41">
        <f t="shared" si="44"/>
        <v>0</v>
      </c>
      <c r="K329" s="13" t="s">
        <v>251</v>
      </c>
      <c r="L329" s="38" t="str">
        <f>INDEX(B$294:B$305, MATCH(4, F$294:F$305, 0))</f>
        <v>D4Y</v>
      </c>
      <c r="M329" s="14" t="str">
        <f>INDEX(C$294:C$305, MATCH(4, F$294:F$305, 0))</f>
        <v>U4Y</v>
      </c>
      <c r="P329" s="215" t="s">
        <v>387</v>
      </c>
      <c r="Q329" s="172"/>
      <c r="R329" s="172"/>
      <c r="S329" s="172"/>
      <c r="T329" s="172"/>
      <c r="U329" s="173"/>
    </row>
    <row r="330" spans="1:21" ht="16.95" customHeight="1" x14ac:dyDescent="0.3">
      <c r="A330" s="41">
        <f t="shared" si="43"/>
        <v>0</v>
      </c>
      <c r="B330" s="13" t="s">
        <v>220</v>
      </c>
      <c r="C330" s="41">
        <f t="shared" si="44"/>
        <v>0</v>
      </c>
      <c r="D330" s="41">
        <f t="shared" si="44"/>
        <v>0</v>
      </c>
      <c r="E330" s="41">
        <f t="shared" si="44"/>
        <v>-72000</v>
      </c>
      <c r="F330" s="41">
        <f t="shared" si="44"/>
        <v>0</v>
      </c>
      <c r="G330" s="41">
        <f t="shared" si="44"/>
        <v>221590.58611938811</v>
      </c>
      <c r="H330" s="41">
        <f t="shared" si="44"/>
        <v>0</v>
      </c>
      <c r="I330" s="41">
        <f t="shared" si="44"/>
        <v>-72000</v>
      </c>
      <c r="J330" s="41">
        <f t="shared" si="44"/>
        <v>0</v>
      </c>
      <c r="K330" s="13" t="s">
        <v>251</v>
      </c>
      <c r="L330" s="38" t="str">
        <f>INDEX(B$294:B$305, MATCH(5, F$294:F$305, 0))</f>
        <v>D5X</v>
      </c>
      <c r="M330" s="14" t="str">
        <f>INDEX(C$294:C$305, MATCH(5, F$294:F$305, 0))</f>
        <v>U5X</v>
      </c>
      <c r="P330" s="215" t="s">
        <v>388</v>
      </c>
      <c r="Q330" s="172"/>
      <c r="R330" s="172"/>
      <c r="S330" s="172"/>
      <c r="T330" s="172"/>
      <c r="U330" s="173"/>
    </row>
    <row r="331" spans="1:21" ht="16.95" customHeight="1" x14ac:dyDescent="0.3">
      <c r="A331" s="41">
        <f t="shared" si="43"/>
        <v>-8000</v>
      </c>
      <c r="C331" s="41">
        <f t="shared" si="44"/>
        <v>0</v>
      </c>
      <c r="D331" s="41">
        <f t="shared" si="44"/>
        <v>-100800</v>
      </c>
      <c r="E331" s="41">
        <f t="shared" si="44"/>
        <v>0</v>
      </c>
      <c r="F331" s="41">
        <f t="shared" si="44"/>
        <v>0</v>
      </c>
      <c r="G331" s="41">
        <f t="shared" si="44"/>
        <v>0</v>
      </c>
      <c r="H331" s="41">
        <f t="shared" si="44"/>
        <v>140387.03373438169</v>
      </c>
      <c r="I331" s="41">
        <f t="shared" si="44"/>
        <v>0</v>
      </c>
      <c r="J331" s="41">
        <f t="shared" si="44"/>
        <v>0</v>
      </c>
      <c r="K331" s="13" t="s">
        <v>251</v>
      </c>
      <c r="L331" s="38" t="str">
        <f>INDEX(B$294:B$305, MATCH(6, F$294:F$305, 0))</f>
        <v>D5Y</v>
      </c>
      <c r="M331" s="14" t="str">
        <f>INDEX(C$294:C$305, MATCH(6, F$294:F$305, 0))</f>
        <v>U5Y</v>
      </c>
      <c r="P331" s="215"/>
      <c r="Q331" s="172"/>
      <c r="R331" s="172"/>
      <c r="S331" s="172"/>
      <c r="T331" s="172"/>
      <c r="U331" s="173"/>
    </row>
    <row r="332" spans="1:21" ht="16.95" customHeight="1" x14ac:dyDescent="0.3">
      <c r="A332" s="41">
        <f t="shared" si="43"/>
        <v>0</v>
      </c>
      <c r="C332" s="41">
        <f t="shared" si="44"/>
        <v>-38795.293059694071</v>
      </c>
      <c r="D332" s="41">
        <f t="shared" si="44"/>
        <v>-27710.923614067189</v>
      </c>
      <c r="E332" s="41">
        <f t="shared" si="44"/>
        <v>0</v>
      </c>
      <c r="F332" s="41">
        <f t="shared" si="44"/>
        <v>0</v>
      </c>
      <c r="G332" s="41">
        <f t="shared" si="44"/>
        <v>-72000</v>
      </c>
      <c r="H332" s="41">
        <f t="shared" si="44"/>
        <v>0</v>
      </c>
      <c r="I332" s="41">
        <f t="shared" si="44"/>
        <v>110795.29305969407</v>
      </c>
      <c r="J332" s="41">
        <f t="shared" si="44"/>
        <v>27710.923614067189</v>
      </c>
      <c r="K332" s="13" t="s">
        <v>251</v>
      </c>
      <c r="L332" s="38" t="str">
        <f>INDEX(B$294:B$305, MATCH(7, F$294:F$305, 0))</f>
        <v>D6X</v>
      </c>
      <c r="M332" s="14" t="str">
        <f>INDEX(C$294:C$305, MATCH(7, F$294:F$305, 0))</f>
        <v>U6X</v>
      </c>
      <c r="P332" s="215"/>
      <c r="Q332" s="172"/>
      <c r="R332" s="172"/>
      <c r="S332" s="172"/>
      <c r="T332" s="172"/>
      <c r="U332" s="173"/>
    </row>
    <row r="333" spans="1:21" ht="16.95" customHeight="1" x14ac:dyDescent="0.3">
      <c r="A333" s="41">
        <f t="shared" si="43"/>
        <v>0</v>
      </c>
      <c r="C333" s="41">
        <f t="shared" si="44"/>
        <v>-27710.923614067189</v>
      </c>
      <c r="D333" s="41">
        <f t="shared" si="44"/>
        <v>-19793.516867190847</v>
      </c>
      <c r="E333" s="41">
        <f t="shared" si="44"/>
        <v>0</v>
      </c>
      <c r="F333" s="41">
        <f t="shared" si="44"/>
        <v>0</v>
      </c>
      <c r="G333" s="41">
        <f t="shared" si="44"/>
        <v>0</v>
      </c>
      <c r="H333" s="41">
        <f t="shared" si="44"/>
        <v>0</v>
      </c>
      <c r="I333" s="41">
        <f t="shared" si="44"/>
        <v>27710.923614067189</v>
      </c>
      <c r="J333" s="41">
        <f t="shared" si="44"/>
        <v>120593.51686719085</v>
      </c>
      <c r="K333" s="13" t="s">
        <v>251</v>
      </c>
      <c r="L333" s="38" t="str">
        <f>INDEX(B$294:B$305, MATCH(8, F$294:F$305, 0))</f>
        <v>D6Y</v>
      </c>
      <c r="M333" s="14" t="str">
        <f>INDEX(C$294:C$305, MATCH(8, F$294:F$305, 0))</f>
        <v>U6Y</v>
      </c>
      <c r="P333" s="215"/>
      <c r="Q333" s="172"/>
      <c r="R333" s="172"/>
      <c r="S333" s="172"/>
      <c r="T333" s="172"/>
      <c r="U333" s="173"/>
    </row>
    <row r="334" spans="1:21" ht="16.95" customHeight="1" x14ac:dyDescent="0.3">
      <c r="P334" s="215"/>
      <c r="Q334" s="172"/>
      <c r="R334" s="172"/>
      <c r="S334" s="172"/>
      <c r="T334" s="172"/>
      <c r="U334" s="173"/>
    </row>
    <row r="335" spans="1:21" ht="16.95" customHeight="1" x14ac:dyDescent="0.3">
      <c r="C335" s="218" t="s">
        <v>263</v>
      </c>
      <c r="D335" s="172"/>
      <c r="E335" s="172"/>
      <c r="F335" s="172"/>
      <c r="G335" s="172"/>
      <c r="H335" s="172"/>
      <c r="I335" s="172"/>
      <c r="J335" s="173"/>
      <c r="P335" s="215"/>
      <c r="Q335" s="172"/>
      <c r="R335" s="172"/>
      <c r="S335" s="172"/>
      <c r="T335" s="172"/>
      <c r="U335" s="173"/>
    </row>
    <row r="336" spans="1:21" ht="16.95" customHeight="1" x14ac:dyDescent="0.3">
      <c r="A336" s="99" t="s">
        <v>249</v>
      </c>
      <c r="C336" s="193" t="s">
        <v>264</v>
      </c>
      <c r="D336" s="175"/>
      <c r="E336" s="175"/>
      <c r="F336" s="175"/>
      <c r="G336" s="175"/>
      <c r="H336" s="175"/>
      <c r="I336" s="175"/>
      <c r="J336" s="175"/>
      <c r="L336" s="99" t="s">
        <v>247</v>
      </c>
      <c r="P336" s="215"/>
      <c r="Q336" s="172"/>
      <c r="R336" s="172"/>
      <c r="S336" s="172"/>
      <c r="T336" s="172"/>
      <c r="U336" s="173"/>
    </row>
    <row r="337" spans="1:21" ht="16.95" customHeight="1" x14ac:dyDescent="0.3">
      <c r="A337" s="12" t="str">
        <f t="shared" ref="A337:A344" si="45">L326</f>
        <v>D2X</v>
      </c>
      <c r="C337" s="93">
        <f t="array" ref="C337:J344">MINVERSE(C326:J333)</f>
        <v>5.8015559084382966E-6</v>
      </c>
      <c r="D337" s="93">
        <v>2.8182625547783131E-22</v>
      </c>
      <c r="E337" s="93">
        <v>3.2639699379645441E-6</v>
      </c>
      <c r="F337" s="93">
        <v>-5.8310639592150417E-7</v>
      </c>
      <c r="G337" s="93">
        <v>2.1210814019583954E-6</v>
      </c>
      <c r="H337" s="93">
        <v>2.1919819870497991E-22</v>
      </c>
      <c r="I337" s="93">
        <v>3.2639699379645441E-6</v>
      </c>
      <c r="J337" s="93">
        <v>5.8310639592150396E-7</v>
      </c>
      <c r="L337" s="17">
        <f t="shared" ref="L337:L344" si="46">A326</f>
        <v>0</v>
      </c>
      <c r="P337" s="215"/>
      <c r="Q337" s="172"/>
      <c r="R337" s="172"/>
      <c r="S337" s="172"/>
      <c r="T337" s="172"/>
      <c r="U337" s="173"/>
    </row>
    <row r="338" spans="1:21" ht="16.95" customHeight="1" x14ac:dyDescent="0.3">
      <c r="A338" s="12" t="str">
        <f t="shared" si="45"/>
        <v>D2Y</v>
      </c>
      <c r="C338" s="93">
        <v>7.4140328910673271E-23</v>
      </c>
      <c r="D338" s="93">
        <v>1.9516631498815856E-5</v>
      </c>
      <c r="E338" s="93">
        <v>-4.3288933770014884E-6</v>
      </c>
      <c r="F338" s="93">
        <v>2.2086190698987171E-6</v>
      </c>
      <c r="G338" s="93">
        <v>3.4598820158314192E-22</v>
      </c>
      <c r="H338" s="93">
        <v>1.4013234717978372E-5</v>
      </c>
      <c r="I338" s="93">
        <v>4.3288933770014876E-6</v>
      </c>
      <c r="J338" s="93">
        <v>2.2086190698987171E-6</v>
      </c>
      <c r="L338" s="17">
        <f t="shared" si="46"/>
        <v>-6500</v>
      </c>
      <c r="P338" s="215"/>
      <c r="Q338" s="172"/>
      <c r="R338" s="172"/>
      <c r="S338" s="172"/>
      <c r="T338" s="172"/>
      <c r="U338" s="173"/>
    </row>
    <row r="339" spans="1:21" ht="16.95" customHeight="1" x14ac:dyDescent="0.3">
      <c r="A339" s="12" t="str">
        <f t="shared" si="45"/>
        <v>D4X</v>
      </c>
      <c r="C339" s="93">
        <v>3.2639699379645432E-6</v>
      </c>
      <c r="D339" s="93">
        <v>-4.3288933770014867E-6</v>
      </c>
      <c r="E339" s="93">
        <v>1.6259224875765681E-5</v>
      </c>
      <c r="F339" s="93">
        <v>2.2756322228748983E-6</v>
      </c>
      <c r="G339" s="93">
        <v>6.8305751437115877E-6</v>
      </c>
      <c r="H339" s="93">
        <v>-3.1082105006032646E-6</v>
      </c>
      <c r="I339" s="93">
        <v>4.7628744246173067E-6</v>
      </c>
      <c r="J339" s="93">
        <v>-1.0549493464766757E-6</v>
      </c>
      <c r="L339" s="17">
        <f t="shared" si="46"/>
        <v>1500</v>
      </c>
      <c r="P339" s="215"/>
      <c r="Q339" s="172"/>
      <c r="R339" s="172"/>
      <c r="S339" s="172"/>
      <c r="T339" s="172"/>
      <c r="U339" s="173"/>
    </row>
    <row r="340" spans="1:21" ht="16.95" customHeight="1" x14ac:dyDescent="0.3">
      <c r="A340" s="12" t="str">
        <f t="shared" si="45"/>
        <v>D4Y</v>
      </c>
      <c r="C340" s="93">
        <v>-5.8310639592150396E-7</v>
      </c>
      <c r="D340" s="93">
        <v>2.2086190698987171E-6</v>
      </c>
      <c r="E340" s="93">
        <v>2.2756322228748979E-6</v>
      </c>
      <c r="F340" s="93">
        <v>9.3117329644509348E-6</v>
      </c>
      <c r="G340" s="93">
        <v>1.0821843887542827E-6</v>
      </c>
      <c r="H340" s="93">
        <v>1.5858216839812569E-6</v>
      </c>
      <c r="I340" s="93">
        <v>1.0549493464766757E-6</v>
      </c>
      <c r="J340" s="93">
        <v>-1.3895429733473125E-8</v>
      </c>
      <c r="L340" s="17">
        <f t="shared" si="46"/>
        <v>0</v>
      </c>
      <c r="P340" s="215"/>
      <c r="Q340" s="172"/>
      <c r="R340" s="172"/>
      <c r="S340" s="172"/>
      <c r="T340" s="172"/>
      <c r="U340" s="173"/>
    </row>
    <row r="341" spans="1:21" ht="16.95" customHeight="1" x14ac:dyDescent="0.3">
      <c r="A341" s="12" t="str">
        <f t="shared" si="45"/>
        <v>D5X</v>
      </c>
      <c r="B341" s="13" t="s">
        <v>220</v>
      </c>
      <c r="C341" s="93">
        <v>2.1210814019583954E-6</v>
      </c>
      <c r="D341" s="93">
        <v>-3.889600787690684E-23</v>
      </c>
      <c r="E341" s="93">
        <v>6.8305751437115903E-6</v>
      </c>
      <c r="F341" s="93">
        <v>1.0821843887542829E-6</v>
      </c>
      <c r="G341" s="93">
        <v>8.951656545669984E-6</v>
      </c>
      <c r="H341" s="93">
        <v>3.1505766380294539E-22</v>
      </c>
      <c r="I341" s="93">
        <v>6.8305751437115911E-6</v>
      </c>
      <c r="J341" s="93">
        <v>-1.0821843887542829E-6</v>
      </c>
      <c r="L341" s="17">
        <f t="shared" si="46"/>
        <v>0</v>
      </c>
      <c r="P341" s="215"/>
      <c r="Q341" s="172"/>
      <c r="R341" s="172"/>
      <c r="S341" s="172"/>
      <c r="T341" s="172"/>
      <c r="U341" s="173"/>
    </row>
    <row r="342" spans="1:21" ht="16.95" customHeight="1" x14ac:dyDescent="0.3">
      <c r="A342" s="12" t="str">
        <f t="shared" si="45"/>
        <v>D5Y</v>
      </c>
      <c r="C342" s="93">
        <v>5.5985062214436862E-23</v>
      </c>
      <c r="D342" s="93">
        <v>1.4013234717978373E-5</v>
      </c>
      <c r="E342" s="93">
        <v>-3.108210500603265E-6</v>
      </c>
      <c r="F342" s="93">
        <v>1.5858216839812569E-6</v>
      </c>
      <c r="G342" s="93">
        <v>8.3977593321655287E-23</v>
      </c>
      <c r="H342" s="93">
        <v>1.7184878085940886E-5</v>
      </c>
      <c r="I342" s="93">
        <v>3.1082105006032659E-6</v>
      </c>
      <c r="J342" s="93">
        <v>1.5858216839812569E-6</v>
      </c>
      <c r="L342" s="17">
        <f t="shared" si="46"/>
        <v>-8000</v>
      </c>
      <c r="P342" s="215"/>
      <c r="Q342" s="172"/>
      <c r="R342" s="172"/>
      <c r="S342" s="172"/>
      <c r="T342" s="172"/>
      <c r="U342" s="173"/>
    </row>
    <row r="343" spans="1:21" ht="16.95" customHeight="1" x14ac:dyDescent="0.3">
      <c r="A343" s="12" t="str">
        <f t="shared" si="45"/>
        <v>D6X</v>
      </c>
      <c r="C343" s="93">
        <v>3.2639699379645436E-6</v>
      </c>
      <c r="D343" s="93">
        <v>4.3288933770014876E-6</v>
      </c>
      <c r="E343" s="93">
        <v>4.7628744246173059E-6</v>
      </c>
      <c r="F343" s="93">
        <v>1.0549493464766755E-6</v>
      </c>
      <c r="G343" s="93">
        <v>6.8305751437115903E-6</v>
      </c>
      <c r="H343" s="93">
        <v>3.1082105006032655E-6</v>
      </c>
      <c r="I343" s="93">
        <v>1.6259224875765681E-5</v>
      </c>
      <c r="J343" s="93">
        <v>-2.2756322228748983E-6</v>
      </c>
      <c r="L343" s="17">
        <f t="shared" si="46"/>
        <v>0</v>
      </c>
      <c r="P343" s="215"/>
      <c r="Q343" s="172"/>
      <c r="R343" s="172"/>
      <c r="S343" s="172"/>
      <c r="T343" s="172"/>
      <c r="U343" s="173"/>
    </row>
    <row r="344" spans="1:21" ht="16.95" customHeight="1" x14ac:dyDescent="0.3">
      <c r="A344" s="12" t="str">
        <f t="shared" si="45"/>
        <v>D6Y</v>
      </c>
      <c r="C344" s="93">
        <v>5.8310639592150364E-7</v>
      </c>
      <c r="D344" s="93">
        <v>2.2086190698987171E-6</v>
      </c>
      <c r="E344" s="93">
        <v>-1.0549493464766757E-6</v>
      </c>
      <c r="F344" s="93">
        <v>-1.3895429733473147E-8</v>
      </c>
      <c r="G344" s="93">
        <v>-1.0821843887542829E-6</v>
      </c>
      <c r="H344" s="93">
        <v>1.5858216839812567E-6</v>
      </c>
      <c r="I344" s="93">
        <v>-2.2756322228748979E-6</v>
      </c>
      <c r="J344" s="93">
        <v>9.3117329644509331E-6</v>
      </c>
      <c r="L344" s="17">
        <f t="shared" si="46"/>
        <v>0</v>
      </c>
      <c r="P344" s="215"/>
      <c r="Q344" s="172"/>
      <c r="R344" s="172"/>
      <c r="S344" s="172"/>
      <c r="T344" s="172"/>
      <c r="U344" s="173"/>
    </row>
    <row r="345" spans="1:21" ht="16.95" customHeight="1" x14ac:dyDescent="0.3">
      <c r="P345" s="215"/>
      <c r="Q345" s="172"/>
      <c r="R345" s="172"/>
      <c r="S345" s="172"/>
      <c r="T345" s="172"/>
      <c r="U345" s="173"/>
    </row>
    <row r="346" spans="1:21" ht="16.95" customHeight="1" x14ac:dyDescent="0.3">
      <c r="C346" s="218" t="s">
        <v>265</v>
      </c>
      <c r="D346" s="173"/>
      <c r="P346" s="215"/>
      <c r="Q346" s="172"/>
      <c r="R346" s="172"/>
      <c r="S346" s="172"/>
      <c r="T346" s="172"/>
      <c r="U346" s="173"/>
    </row>
    <row r="347" spans="1:21" ht="16.95" customHeight="1" x14ac:dyDescent="0.3">
      <c r="A347" s="99" t="s">
        <v>249</v>
      </c>
      <c r="C347" s="99" t="s">
        <v>266</v>
      </c>
      <c r="P347" s="215"/>
      <c r="Q347" s="172"/>
      <c r="R347" s="172"/>
      <c r="S347" s="172"/>
      <c r="T347" s="172"/>
      <c r="U347" s="173"/>
    </row>
    <row r="348" spans="1:21" ht="16.95" customHeight="1" x14ac:dyDescent="0.3">
      <c r="A348" s="12" t="str">
        <f t="shared" ref="A348:A355" si="47">A337</f>
        <v>D2X</v>
      </c>
      <c r="C348" s="94">
        <f t="array" ref="C348:C355">MMULT(C337:J344, L337:L344)</f>
        <v>4.8959549069468129E-3</v>
      </c>
      <c r="D348" s="12" t="s">
        <v>267</v>
      </c>
      <c r="P348" s="215"/>
      <c r="Q348" s="172"/>
      <c r="R348" s="172"/>
      <c r="S348" s="172"/>
      <c r="T348" s="172"/>
      <c r="U348" s="173"/>
    </row>
    <row r="349" spans="1:21" ht="16.95" customHeight="1" x14ac:dyDescent="0.3">
      <c r="A349" s="12" t="str">
        <f t="shared" si="47"/>
        <v>D2Y</v>
      </c>
      <c r="C349" s="94">
        <v>-0.24545732255163227</v>
      </c>
      <c r="D349" s="12" t="s">
        <v>267</v>
      </c>
      <c r="P349" s="215"/>
      <c r="Q349" s="172"/>
      <c r="R349" s="172"/>
      <c r="S349" s="172"/>
      <c r="T349" s="172"/>
      <c r="U349" s="173"/>
    </row>
    <row r="350" spans="1:21" ht="16.95" customHeight="1" x14ac:dyDescent="0.3">
      <c r="A350" s="12" t="str">
        <f t="shared" si="47"/>
        <v>D4X</v>
      </c>
      <c r="C350" s="94">
        <v>7.7392328268984303E-2</v>
      </c>
      <c r="D350" s="12" t="s">
        <v>267</v>
      </c>
      <c r="P350" s="215"/>
      <c r="Q350" s="172"/>
      <c r="R350" s="172"/>
      <c r="S350" s="172"/>
      <c r="T350" s="172"/>
      <c r="U350" s="173"/>
    </row>
    <row r="351" spans="1:21" ht="16.95" customHeight="1" x14ac:dyDescent="0.3">
      <c r="A351" s="12" t="str">
        <f t="shared" si="47"/>
        <v>D4Y</v>
      </c>
      <c r="C351" s="94">
        <v>-2.3629149091879371E-2</v>
      </c>
      <c r="D351" s="12" t="s">
        <v>267</v>
      </c>
      <c r="P351" s="215"/>
      <c r="Q351" s="172"/>
      <c r="R351" s="172"/>
      <c r="S351" s="172"/>
      <c r="T351" s="172"/>
      <c r="U351" s="173"/>
    </row>
    <row r="352" spans="1:21" ht="16.95" customHeight="1" x14ac:dyDescent="0.3">
      <c r="A352" s="12" t="str">
        <f t="shared" si="47"/>
        <v>D5X</v>
      </c>
      <c r="B352" s="13" t="s">
        <v>220</v>
      </c>
      <c r="C352" s="94">
        <v>1.0245862715567385E-2</v>
      </c>
      <c r="D352" s="12" t="s">
        <v>267</v>
      </c>
      <c r="P352" s="215"/>
      <c r="Q352" s="172"/>
      <c r="R352" s="172"/>
      <c r="S352" s="172"/>
      <c r="T352" s="172"/>
      <c r="U352" s="173"/>
    </row>
    <row r="353" spans="1:21" ht="16.95" customHeight="1" x14ac:dyDescent="0.3">
      <c r="A353" s="12" t="str">
        <f t="shared" si="47"/>
        <v>D5Y</v>
      </c>
      <c r="C353" s="94">
        <v>-0.23322736610529143</v>
      </c>
      <c r="D353" s="12" t="s">
        <v>267</v>
      </c>
      <c r="P353" s="215"/>
      <c r="Q353" s="172"/>
      <c r="R353" s="172"/>
      <c r="S353" s="172"/>
      <c r="T353" s="172"/>
      <c r="U353" s="173"/>
    </row>
    <row r="354" spans="1:21" ht="16.95" customHeight="1" x14ac:dyDescent="0.3">
      <c r="A354" s="12" t="str">
        <f t="shared" si="47"/>
        <v>D6X</v>
      </c>
      <c r="C354" s="94">
        <v>-4.5859179318409833E-2</v>
      </c>
      <c r="D354" s="12" t="s">
        <v>267</v>
      </c>
      <c r="P354" s="215"/>
      <c r="Q354" s="172"/>
      <c r="R354" s="172"/>
      <c r="S354" s="172"/>
      <c r="T354" s="172"/>
      <c r="U354" s="173"/>
    </row>
    <row r="355" spans="1:21" ht="16.95" customHeight="1" x14ac:dyDescent="0.3">
      <c r="A355" s="12" t="str">
        <f t="shared" si="47"/>
        <v>D6Y</v>
      </c>
      <c r="C355" s="94">
        <v>-2.8625021445906729E-2</v>
      </c>
      <c r="D355" s="12" t="s">
        <v>267</v>
      </c>
      <c r="P355" s="215"/>
      <c r="Q355" s="172"/>
      <c r="R355" s="172"/>
      <c r="S355" s="172"/>
      <c r="T355" s="172"/>
      <c r="U355" s="173"/>
    </row>
    <row r="358" spans="1:21" ht="19.95" customHeight="1" x14ac:dyDescent="0.35">
      <c r="A358" s="11" t="s">
        <v>268</v>
      </c>
      <c r="P358" s="216" t="s">
        <v>269</v>
      </c>
      <c r="Q358" s="172"/>
      <c r="R358" s="172"/>
      <c r="S358" s="172"/>
      <c r="T358" s="172"/>
      <c r="U358" s="173"/>
    </row>
    <row r="359" spans="1:21" ht="16.95" customHeight="1" x14ac:dyDescent="0.3">
      <c r="A359" s="99" t="s">
        <v>247</v>
      </c>
      <c r="L359" s="99" t="s">
        <v>249</v>
      </c>
      <c r="P359" s="215" t="s">
        <v>389</v>
      </c>
      <c r="Q359" s="172"/>
      <c r="R359" s="172"/>
      <c r="S359" s="172"/>
      <c r="T359" s="172"/>
      <c r="U359" s="173"/>
    </row>
    <row r="360" spans="1:21" ht="16.95" customHeight="1" x14ac:dyDescent="0.3">
      <c r="A360" s="18" t="str">
        <f>INDEX(B$280:B$291, MATCH(M360, C$280:C$291, 0))</f>
        <v>C1X</v>
      </c>
      <c r="C360" s="9">
        <f t="shared" ref="C360:J363" si="48">INDEX($B$265:$M$276, MATCH($M360, $N$265:$N$276, 0), MATCH(C$325, $B$264:$M$264, 0))</f>
        <v>-72000</v>
      </c>
      <c r="D360" s="9">
        <f t="shared" si="48"/>
        <v>0</v>
      </c>
      <c r="E360" s="9">
        <f t="shared" si="48"/>
        <v>0</v>
      </c>
      <c r="F360" s="9">
        <f t="shared" si="48"/>
        <v>0</v>
      </c>
      <c r="G360" s="9">
        <f t="shared" si="48"/>
        <v>-38795.293059694071</v>
      </c>
      <c r="H360" s="9">
        <f t="shared" si="48"/>
        <v>-27710.923614067189</v>
      </c>
      <c r="I360" s="9">
        <f t="shared" si="48"/>
        <v>0</v>
      </c>
      <c r="J360" s="9">
        <f t="shared" si="48"/>
        <v>0</v>
      </c>
      <c r="L360" s="95">
        <f t="shared" ref="L360:L367" si="49">C348</f>
        <v>4.8959549069468129E-3</v>
      </c>
      <c r="M360" s="14" t="str">
        <f>INDEX(C$294:C$305, MATCH(1, G$294:G$305, 0))</f>
        <v>U1X</v>
      </c>
      <c r="P360" s="215" t="s">
        <v>390</v>
      </c>
      <c r="Q360" s="172"/>
      <c r="R360" s="172"/>
      <c r="S360" s="172"/>
      <c r="T360" s="172"/>
      <c r="U360" s="173"/>
    </row>
    <row r="361" spans="1:21" ht="16.95" customHeight="1" x14ac:dyDescent="0.3">
      <c r="A361" s="18" t="str">
        <f>INDEX(B$280:B$291, MATCH(M361, C$280:C$291, 0))</f>
        <v>C1Y</v>
      </c>
      <c r="C361" s="9">
        <f t="shared" si="48"/>
        <v>0</v>
      </c>
      <c r="D361" s="9">
        <f t="shared" si="48"/>
        <v>0</v>
      </c>
      <c r="E361" s="9">
        <f t="shared" si="48"/>
        <v>0</v>
      </c>
      <c r="F361" s="9">
        <f t="shared" si="48"/>
        <v>-100800</v>
      </c>
      <c r="G361" s="9">
        <f t="shared" si="48"/>
        <v>-27710.923614067189</v>
      </c>
      <c r="H361" s="9">
        <f t="shared" si="48"/>
        <v>-19793.516867190847</v>
      </c>
      <c r="I361" s="9">
        <f t="shared" si="48"/>
        <v>0</v>
      </c>
      <c r="J361" s="9">
        <f t="shared" si="48"/>
        <v>0</v>
      </c>
      <c r="L361" s="95">
        <f t="shared" si="49"/>
        <v>-0.24545732255163227</v>
      </c>
      <c r="M361" s="14" t="str">
        <f>INDEX(C$294:C$305, MATCH(2, G$294:G$305, 0))</f>
        <v>U1Y</v>
      </c>
      <c r="P361" s="215" t="s">
        <v>391</v>
      </c>
      <c r="Q361" s="172"/>
      <c r="R361" s="172"/>
      <c r="S361" s="172"/>
      <c r="T361" s="172"/>
      <c r="U361" s="173"/>
    </row>
    <row r="362" spans="1:21" ht="16.95" customHeight="1" x14ac:dyDescent="0.3">
      <c r="A362" s="18" t="str">
        <f>INDEX(B$280:B$291, MATCH(M362, C$280:C$291, 0))</f>
        <v>C3X</v>
      </c>
      <c r="B362" s="13" t="s">
        <v>220</v>
      </c>
      <c r="C362" s="9">
        <f t="shared" si="48"/>
        <v>-72000</v>
      </c>
      <c r="D362" s="9">
        <f t="shared" si="48"/>
        <v>0</v>
      </c>
      <c r="E362" s="9">
        <f t="shared" si="48"/>
        <v>0</v>
      </c>
      <c r="F362" s="9">
        <f t="shared" si="48"/>
        <v>0</v>
      </c>
      <c r="G362" s="9">
        <f t="shared" si="48"/>
        <v>-38795.293059694071</v>
      </c>
      <c r="H362" s="9">
        <f t="shared" si="48"/>
        <v>27710.923614067189</v>
      </c>
      <c r="I362" s="9">
        <f t="shared" si="48"/>
        <v>0</v>
      </c>
      <c r="J362" s="9">
        <f t="shared" si="48"/>
        <v>0</v>
      </c>
      <c r="L362" s="95">
        <f t="shared" si="49"/>
        <v>7.7392328268984303E-2</v>
      </c>
      <c r="M362" s="14" t="str">
        <f>INDEX(C$294:C$305, MATCH(3, G$294:G$305, 0))</f>
        <v>U3X</v>
      </c>
      <c r="P362" s="215" t="s">
        <v>392</v>
      </c>
      <c r="Q362" s="172"/>
      <c r="R362" s="172"/>
      <c r="S362" s="172"/>
      <c r="T362" s="172"/>
      <c r="U362" s="173"/>
    </row>
    <row r="363" spans="1:21" ht="16.95" customHeight="1" x14ac:dyDescent="0.3">
      <c r="A363" s="18" t="str">
        <f>INDEX(B$280:B$291, MATCH(M363, C$280:C$291, 0))</f>
        <v>C3Y</v>
      </c>
      <c r="C363" s="9">
        <f t="shared" si="48"/>
        <v>0</v>
      </c>
      <c r="D363" s="9">
        <f t="shared" si="48"/>
        <v>0</v>
      </c>
      <c r="E363" s="9">
        <f t="shared" si="48"/>
        <v>0</v>
      </c>
      <c r="F363" s="9">
        <f t="shared" si="48"/>
        <v>0</v>
      </c>
      <c r="G363" s="9">
        <f t="shared" si="48"/>
        <v>27710.923614067189</v>
      </c>
      <c r="H363" s="9">
        <f t="shared" si="48"/>
        <v>-19793.516867190847</v>
      </c>
      <c r="I363" s="9">
        <f t="shared" si="48"/>
        <v>0</v>
      </c>
      <c r="J363" s="9">
        <f t="shared" si="48"/>
        <v>-100800</v>
      </c>
      <c r="L363" s="95">
        <f t="shared" si="49"/>
        <v>-2.3629149091879371E-2</v>
      </c>
      <c r="M363" s="14" t="str">
        <f>INDEX(C$294:C$305, MATCH(4, G$294:G$305, 0))</f>
        <v>U3Y</v>
      </c>
      <c r="P363" s="215" t="s">
        <v>393</v>
      </c>
      <c r="Q363" s="172"/>
      <c r="R363" s="172"/>
      <c r="S363" s="172"/>
      <c r="T363" s="172"/>
      <c r="U363" s="173"/>
    </row>
    <row r="364" spans="1:21" ht="16.95" customHeight="1" x14ac:dyDescent="0.3">
      <c r="L364" s="95">
        <f t="shared" si="49"/>
        <v>1.0245862715567385E-2</v>
      </c>
      <c r="P364" s="215" t="s">
        <v>394</v>
      </c>
      <c r="Q364" s="172"/>
      <c r="R364" s="172"/>
      <c r="S364" s="172"/>
      <c r="T364" s="172"/>
      <c r="U364" s="173"/>
    </row>
    <row r="365" spans="1:21" ht="16.95" customHeight="1" x14ac:dyDescent="0.3">
      <c r="L365" s="95">
        <f t="shared" si="49"/>
        <v>-0.23322736610529143</v>
      </c>
      <c r="P365" s="215"/>
      <c r="Q365" s="172"/>
      <c r="R365" s="172"/>
      <c r="S365" s="172"/>
      <c r="T365" s="172"/>
      <c r="U365" s="173"/>
    </row>
    <row r="366" spans="1:21" ht="16.95" customHeight="1" x14ac:dyDescent="0.3">
      <c r="L366" s="95">
        <f t="shared" si="49"/>
        <v>-4.5859179318409833E-2</v>
      </c>
      <c r="P366" s="215"/>
      <c r="Q366" s="172"/>
      <c r="R366" s="172"/>
      <c r="S366" s="172"/>
      <c r="T366" s="172"/>
      <c r="U366" s="173"/>
    </row>
    <row r="367" spans="1:21" ht="16.95" customHeight="1" x14ac:dyDescent="0.3">
      <c r="L367" s="95">
        <f t="shared" si="49"/>
        <v>-2.8625021445906729E-2</v>
      </c>
      <c r="P367" s="215"/>
      <c r="Q367" s="172"/>
      <c r="R367" s="172"/>
      <c r="S367" s="172"/>
      <c r="T367" s="172"/>
      <c r="U367" s="173"/>
    </row>
    <row r="368" spans="1:21" ht="16.95" customHeight="1" x14ac:dyDescent="0.3">
      <c r="P368" s="215"/>
      <c r="Q368" s="172"/>
      <c r="R368" s="172"/>
      <c r="S368" s="172"/>
      <c r="T368" s="172"/>
      <c r="U368" s="173"/>
    </row>
    <row r="369" spans="1:21" ht="16.95" customHeight="1" x14ac:dyDescent="0.3">
      <c r="A369" s="12" t="str">
        <f>A360</f>
        <v>C1X</v>
      </c>
      <c r="C369" s="17">
        <f t="array" ref="C369:C372">MMULT(C360:J363, L360:L367)</f>
        <v>5712.9457268538135</v>
      </c>
      <c r="D369" s="12" t="s">
        <v>273</v>
      </c>
      <c r="P369" s="215"/>
      <c r="Q369" s="172"/>
      <c r="R369" s="172"/>
      <c r="S369" s="172"/>
      <c r="T369" s="172"/>
      <c r="U369" s="173"/>
    </row>
    <row r="370" spans="1:21" ht="16.95" customHeight="1" x14ac:dyDescent="0.3">
      <c r="A370" s="12" t="str">
        <f>A361</f>
        <v>C1Y</v>
      </c>
      <c r="C370" s="17">
        <v>6714.2857142857138</v>
      </c>
      <c r="D370" s="12" t="s">
        <v>273</v>
      </c>
      <c r="P370" s="215"/>
      <c r="Q370" s="172"/>
      <c r="R370" s="172"/>
      <c r="S370" s="172"/>
      <c r="T370" s="172"/>
      <c r="U370" s="173"/>
    </row>
    <row r="371" spans="1:21" ht="16.95" customHeight="1" x14ac:dyDescent="0.3">
      <c r="A371" s="12" t="str">
        <f>A362</f>
        <v>C3X</v>
      </c>
      <c r="B371" s="13" t="s">
        <v>220</v>
      </c>
      <c r="C371" s="17">
        <v>-7212.9457268538135</v>
      </c>
      <c r="D371" s="12" t="s">
        <v>273</v>
      </c>
      <c r="P371" s="215"/>
      <c r="Q371" s="172"/>
      <c r="R371" s="172"/>
      <c r="S371" s="172"/>
      <c r="T371" s="172"/>
      <c r="U371" s="173"/>
    </row>
    <row r="372" spans="1:21" ht="16.95" customHeight="1" x14ac:dyDescent="0.3">
      <c r="A372" s="12" t="str">
        <f>A363</f>
        <v>C3Y</v>
      </c>
      <c r="C372" s="17">
        <v>7785.7142857142853</v>
      </c>
      <c r="D372" s="12" t="s">
        <v>273</v>
      </c>
      <c r="P372" s="215"/>
      <c r="Q372" s="172"/>
      <c r="R372" s="172"/>
      <c r="S372" s="172"/>
      <c r="T372" s="172"/>
      <c r="U372" s="173"/>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4.8959549069468129E-3</v>
      </c>
    </row>
    <row r="380" spans="1:21" ht="19.05" customHeight="1" x14ac:dyDescent="0.3">
      <c r="A380" s="12" t="s">
        <v>231</v>
      </c>
      <c r="B380" s="12" t="s">
        <v>181</v>
      </c>
      <c r="D380" s="94">
        <f t="shared" si="50"/>
        <v>-0.24545732255163227</v>
      </c>
    </row>
    <row r="381" spans="1:21" ht="19.05" customHeight="1" x14ac:dyDescent="0.3">
      <c r="A381" s="12" t="s">
        <v>232</v>
      </c>
      <c r="B381" s="12" t="s">
        <v>182</v>
      </c>
      <c r="D381" s="94">
        <f t="shared" si="50"/>
        <v>0</v>
      </c>
    </row>
    <row r="382" spans="1:21" ht="19.05" customHeight="1" x14ac:dyDescent="0.3">
      <c r="A382" s="12" t="s">
        <v>234</v>
      </c>
      <c r="B382" s="12" t="s">
        <v>183</v>
      </c>
      <c r="D382" s="94">
        <f t="shared" si="50"/>
        <v>0</v>
      </c>
    </row>
    <row r="383" spans="1:21" ht="19.05" customHeight="1" x14ac:dyDescent="0.3">
      <c r="A383" s="12" t="s">
        <v>235</v>
      </c>
      <c r="B383" s="12" t="s">
        <v>184</v>
      </c>
      <c r="D383" s="94">
        <f t="shared" si="50"/>
        <v>7.7392328268984303E-2</v>
      </c>
    </row>
    <row r="384" spans="1:21" ht="19.05" customHeight="1" x14ac:dyDescent="0.3">
      <c r="A384" s="12" t="s">
        <v>236</v>
      </c>
      <c r="B384" s="12" t="s">
        <v>185</v>
      </c>
      <c r="D384" s="94">
        <f t="shared" si="50"/>
        <v>-2.3629149091879371E-2</v>
      </c>
    </row>
    <row r="385" spans="1:21" ht="19.05" customHeight="1" x14ac:dyDescent="0.3">
      <c r="A385" s="12" t="s">
        <v>237</v>
      </c>
      <c r="B385" s="12" t="s">
        <v>186</v>
      </c>
      <c r="D385" s="94">
        <f t="shared" si="50"/>
        <v>1.0245862715567385E-2</v>
      </c>
    </row>
    <row r="386" spans="1:21" ht="19.05" customHeight="1" x14ac:dyDescent="0.3">
      <c r="A386" s="12" t="s">
        <v>238</v>
      </c>
      <c r="B386" s="12" t="s">
        <v>187</v>
      </c>
      <c r="D386" s="94">
        <f t="shared" si="50"/>
        <v>-0.23322736610529143</v>
      </c>
    </row>
    <row r="387" spans="1:21" ht="19.05" customHeight="1" x14ac:dyDescent="0.3">
      <c r="A387" s="12" t="s">
        <v>239</v>
      </c>
      <c r="B387" s="12" t="s">
        <v>188</v>
      </c>
      <c r="D387" s="94">
        <f t="shared" si="50"/>
        <v>-4.5859179318409833E-2</v>
      </c>
    </row>
    <row r="388" spans="1:21" ht="19.05" customHeight="1" x14ac:dyDescent="0.3">
      <c r="A388" s="12" t="s">
        <v>240</v>
      </c>
      <c r="B388" s="12" t="s">
        <v>189</v>
      </c>
      <c r="D388" s="94">
        <f t="shared" si="50"/>
        <v>-2.8625021445906729E-2</v>
      </c>
    </row>
    <row r="391" spans="1:21" ht="19.95" customHeight="1" x14ac:dyDescent="0.35">
      <c r="A391" s="11" t="s">
        <v>275</v>
      </c>
      <c r="P391" s="216" t="s">
        <v>276</v>
      </c>
      <c r="Q391" s="172"/>
      <c r="R391" s="172"/>
      <c r="S391" s="172"/>
      <c r="T391" s="172"/>
      <c r="U391" s="173"/>
    </row>
    <row r="392" spans="1:21" ht="16.95" customHeight="1" x14ac:dyDescent="0.3">
      <c r="P392" s="215" t="s">
        <v>395</v>
      </c>
      <c r="Q392" s="172"/>
      <c r="R392" s="172"/>
      <c r="S392" s="172"/>
      <c r="T392" s="172"/>
      <c r="U392" s="173"/>
    </row>
    <row r="393" spans="1:21" ht="16.95" customHeight="1" x14ac:dyDescent="0.3">
      <c r="A393" s="19" t="s">
        <v>278</v>
      </c>
      <c r="C393" s="19" t="s">
        <v>279</v>
      </c>
      <c r="D393" s="19" t="s">
        <v>280</v>
      </c>
      <c r="E393" s="19" t="s">
        <v>279</v>
      </c>
      <c r="F393" s="19" t="s">
        <v>280</v>
      </c>
      <c r="G393" s="19" t="s">
        <v>249</v>
      </c>
      <c r="P393" s="215" t="s">
        <v>396</v>
      </c>
      <c r="Q393" s="172"/>
      <c r="R393" s="172"/>
      <c r="S393" s="172"/>
      <c r="T393" s="172"/>
      <c r="U393" s="173"/>
    </row>
    <row r="394" spans="1:21" ht="16.95" customHeight="1" x14ac:dyDescent="0.3">
      <c r="C394" s="19" t="s">
        <v>282</v>
      </c>
      <c r="D394" s="19" t="s">
        <v>282</v>
      </c>
      <c r="E394" s="19" t="s">
        <v>283</v>
      </c>
      <c r="F394" s="19" t="s">
        <v>283</v>
      </c>
      <c r="P394" s="215" t="s">
        <v>397</v>
      </c>
      <c r="Q394" s="172"/>
      <c r="R394" s="172"/>
      <c r="S394" s="172"/>
      <c r="T394" s="172"/>
      <c r="U394" s="173"/>
    </row>
    <row r="395" spans="1:21" ht="16.95" customHeight="1" x14ac:dyDescent="0.3">
      <c r="A395" s="17">
        <f>N6</f>
        <v>72000</v>
      </c>
      <c r="C395" s="92">
        <f>-J6</f>
        <v>-1</v>
      </c>
      <c r="D395" s="92">
        <f>-K6</f>
        <v>0</v>
      </c>
      <c r="E395" s="92">
        <f>J6</f>
        <v>1</v>
      </c>
      <c r="F395" s="92">
        <f>K6</f>
        <v>0</v>
      </c>
      <c r="G395" s="96">
        <f>IFERROR(VLOOKUP(H395, A$377:D$388, 4, FALSE), 0)</f>
        <v>0</v>
      </c>
      <c r="H395" s="12" t="str">
        <f>"D" &amp; C20 &amp; "X"</f>
        <v>D1X</v>
      </c>
      <c r="P395" s="215" t="s">
        <v>398</v>
      </c>
      <c r="Q395" s="172"/>
      <c r="R395" s="172"/>
      <c r="S395" s="172"/>
      <c r="T395" s="172"/>
      <c r="U395" s="173"/>
    </row>
    <row r="396" spans="1:21" ht="16.95" customHeight="1" x14ac:dyDescent="0.3">
      <c r="A396" s="99" t="s">
        <v>285</v>
      </c>
      <c r="B396" s="97">
        <f>(MMULT(C395:F395, G395:G398)*A395)</f>
        <v>352.50875330017055</v>
      </c>
      <c r="G396" s="96">
        <f>IFERROR(VLOOKUP(H396, A$377:D$388, 4, FALSE), 0)</f>
        <v>0</v>
      </c>
      <c r="H396" s="12" t="str">
        <f>"D" &amp; D20 &amp; "Y"</f>
        <v>D1Y</v>
      </c>
      <c r="P396" s="215" t="s">
        <v>399</v>
      </c>
      <c r="Q396" s="172"/>
      <c r="R396" s="172"/>
      <c r="S396" s="172"/>
      <c r="T396" s="172"/>
      <c r="U396" s="173"/>
    </row>
    <row r="397" spans="1:21" ht="16.95" customHeight="1" x14ac:dyDescent="0.3">
      <c r="G397" s="96">
        <f>IFERROR(VLOOKUP(H397, A$377:D$388, 4, FALSE), 0)</f>
        <v>4.8959549069468129E-3</v>
      </c>
      <c r="H397" s="12" t="str">
        <f>"D" &amp; E20 &amp; "X"</f>
        <v>D2X</v>
      </c>
      <c r="P397" s="215" t="s">
        <v>400</v>
      </c>
      <c r="Q397" s="172"/>
      <c r="R397" s="172"/>
      <c r="S397" s="172"/>
      <c r="T397" s="172"/>
      <c r="U397" s="173"/>
    </row>
    <row r="398" spans="1:21" ht="16.95" customHeight="1" x14ac:dyDescent="0.3">
      <c r="G398" s="96">
        <f>IFERROR(VLOOKUP(H398, A$377:D$388, 4, FALSE), 0)</f>
        <v>-0.24545732255163227</v>
      </c>
      <c r="H398" s="12" t="str">
        <f>"D" &amp; F20 &amp; "Y"</f>
        <v>D2Y</v>
      </c>
      <c r="P398" s="215" t="s">
        <v>401</v>
      </c>
      <c r="Q398" s="172"/>
      <c r="R398" s="172"/>
      <c r="S398" s="172"/>
      <c r="T398" s="172"/>
      <c r="U398" s="173"/>
    </row>
    <row r="399" spans="1:21" ht="16.95" customHeight="1" x14ac:dyDescent="0.3">
      <c r="B399" s="99" t="s">
        <v>273</v>
      </c>
      <c r="C399" s="178" t="str">
        <f>IF(B396&gt;0.001,"BARRA A TRACCIÓN (+)",IF(B396&lt;-0.001,"BARRA A COMPRESIÓN (-)","BARRA DE FUERZA NULA"))</f>
        <v>BARRA A TRACCIÓN (+)</v>
      </c>
      <c r="D399" s="172"/>
      <c r="E399" s="172"/>
      <c r="F399" s="173"/>
      <c r="P399" s="215" t="s">
        <v>402</v>
      </c>
      <c r="Q399" s="172"/>
      <c r="R399" s="172"/>
      <c r="S399" s="172"/>
      <c r="T399" s="172"/>
      <c r="U399" s="173"/>
    </row>
    <row r="400" spans="1:21" ht="16.95" customHeight="1" x14ac:dyDescent="0.3">
      <c r="P400" s="215" t="s">
        <v>403</v>
      </c>
      <c r="Q400" s="172"/>
      <c r="R400" s="172"/>
      <c r="S400" s="172"/>
      <c r="T400" s="172"/>
      <c r="U400" s="173"/>
    </row>
    <row r="401" spans="1:21" ht="16.95" customHeight="1" x14ac:dyDescent="0.3">
      <c r="A401" s="19" t="s">
        <v>278</v>
      </c>
      <c r="C401" s="19" t="s">
        <v>279</v>
      </c>
      <c r="D401" s="19" t="s">
        <v>280</v>
      </c>
      <c r="E401" s="19" t="s">
        <v>279</v>
      </c>
      <c r="F401" s="19" t="s">
        <v>280</v>
      </c>
      <c r="G401" s="19" t="s">
        <v>249</v>
      </c>
      <c r="P401" s="215"/>
      <c r="Q401" s="172"/>
      <c r="R401" s="172"/>
      <c r="S401" s="172"/>
      <c r="T401" s="172"/>
      <c r="U401" s="173"/>
    </row>
    <row r="402" spans="1:21" ht="16.95" customHeight="1" x14ac:dyDescent="0.3">
      <c r="C402" s="19" t="s">
        <v>282</v>
      </c>
      <c r="D402" s="19" t="s">
        <v>282</v>
      </c>
      <c r="E402" s="19" t="s">
        <v>283</v>
      </c>
      <c r="F402" s="19" t="s">
        <v>283</v>
      </c>
      <c r="P402" s="215"/>
      <c r="Q402" s="172"/>
      <c r="R402" s="172"/>
      <c r="S402" s="172"/>
      <c r="T402" s="172"/>
      <c r="U402" s="173"/>
    </row>
    <row r="403" spans="1:21" ht="16.95" customHeight="1" x14ac:dyDescent="0.3">
      <c r="A403" s="17">
        <f>N7</f>
        <v>72000</v>
      </c>
      <c r="C403" s="92">
        <f>-J7</f>
        <v>-1</v>
      </c>
      <c r="D403" s="92">
        <f>-K7</f>
        <v>0</v>
      </c>
      <c r="E403" s="92">
        <f>J7</f>
        <v>1</v>
      </c>
      <c r="F403" s="92">
        <f>K7</f>
        <v>0</v>
      </c>
      <c r="G403" s="96">
        <f>IFERROR(VLOOKUP(H403, A$377:D$388, 4, FALSE), 0)</f>
        <v>4.8959549069468129E-3</v>
      </c>
      <c r="H403" s="12" t="str">
        <f>"D" &amp; C21 &amp; "X"</f>
        <v>D2X</v>
      </c>
      <c r="P403" s="215"/>
      <c r="Q403" s="172"/>
      <c r="R403" s="172"/>
      <c r="S403" s="172"/>
      <c r="T403" s="172"/>
      <c r="U403" s="173"/>
    </row>
    <row r="404" spans="1:21" ht="16.95" customHeight="1" x14ac:dyDescent="0.3">
      <c r="A404" s="99" t="s">
        <v>286</v>
      </c>
      <c r="B404" s="97">
        <f>(MMULT(C403:F403, G403:G406)*A403)</f>
        <v>-352.50875330017055</v>
      </c>
      <c r="G404" s="96">
        <f>IFERROR(VLOOKUP(H404, A$377:D$388, 4, FALSE), 0)</f>
        <v>-0.24545732255163227</v>
      </c>
      <c r="H404" s="12" t="str">
        <f>"D" &amp; D21 &amp; "Y"</f>
        <v>D2Y</v>
      </c>
      <c r="P404" s="215"/>
      <c r="Q404" s="172"/>
      <c r="R404" s="172"/>
      <c r="S404" s="172"/>
      <c r="T404" s="172"/>
      <c r="U404" s="173"/>
    </row>
    <row r="405" spans="1:21" ht="16.95" customHeight="1" x14ac:dyDescent="0.3">
      <c r="G405" s="96">
        <f>IFERROR(VLOOKUP(H405, A$377:D$388, 4, FALSE), 0)</f>
        <v>0</v>
      </c>
      <c r="H405" s="12" t="str">
        <f>"D" &amp; E21 &amp; "X"</f>
        <v>D3X</v>
      </c>
      <c r="P405" s="215"/>
      <c r="Q405" s="172"/>
      <c r="R405" s="172"/>
      <c r="S405" s="172"/>
      <c r="T405" s="172"/>
      <c r="U405" s="173"/>
    </row>
    <row r="406" spans="1:21" ht="16.95" customHeight="1" x14ac:dyDescent="0.3">
      <c r="G406" s="96">
        <f>IFERROR(VLOOKUP(H406, A$377:D$388, 4, FALSE), 0)</f>
        <v>0</v>
      </c>
      <c r="H406" s="12" t="str">
        <f>"D" &amp; F21 &amp; "Y"</f>
        <v>D3Y</v>
      </c>
      <c r="P406" s="215"/>
      <c r="Q406" s="172"/>
      <c r="R406" s="172"/>
      <c r="S406" s="172"/>
      <c r="T406" s="172"/>
      <c r="U406" s="173"/>
    </row>
    <row r="407" spans="1:21" ht="16.95" customHeight="1" x14ac:dyDescent="0.3">
      <c r="B407" s="99" t="s">
        <v>273</v>
      </c>
      <c r="C407" s="178" t="str">
        <f>IF(B404&gt;0.001,"BARRA A TRACCIÓN (+)",IF(B404&lt;-0.001,"BARRA A COMPRESIÓN (-)","BARRA DE FUERZA NULA"))</f>
        <v>BARRA A COMPRESIÓN (-)</v>
      </c>
      <c r="D407" s="172"/>
      <c r="E407" s="172"/>
      <c r="F407" s="173"/>
      <c r="P407" s="215"/>
      <c r="Q407" s="172"/>
      <c r="R407" s="172"/>
      <c r="S407" s="172"/>
      <c r="T407" s="172"/>
      <c r="U407" s="173"/>
    </row>
    <row r="408" spans="1:21" ht="16.95" customHeight="1" x14ac:dyDescent="0.3">
      <c r="P408" s="215"/>
      <c r="Q408" s="172"/>
      <c r="R408" s="172"/>
      <c r="S408" s="172"/>
      <c r="T408" s="172"/>
      <c r="U408" s="173"/>
    </row>
    <row r="409" spans="1:21" ht="16.95" customHeight="1" x14ac:dyDescent="0.3">
      <c r="A409" s="19" t="s">
        <v>278</v>
      </c>
      <c r="C409" s="19" t="s">
        <v>279</v>
      </c>
      <c r="D409" s="19" t="s">
        <v>280</v>
      </c>
      <c r="E409" s="19" t="s">
        <v>279</v>
      </c>
      <c r="F409" s="19" t="s">
        <v>280</v>
      </c>
      <c r="G409" s="19" t="s">
        <v>249</v>
      </c>
      <c r="P409" s="215"/>
      <c r="Q409" s="172"/>
      <c r="R409" s="172"/>
      <c r="S409" s="172"/>
      <c r="T409" s="172"/>
      <c r="U409" s="173"/>
    </row>
    <row r="410" spans="1:21" ht="16.95" customHeight="1" x14ac:dyDescent="0.3">
      <c r="C410" s="19" t="s">
        <v>282</v>
      </c>
      <c r="D410" s="19" t="s">
        <v>282</v>
      </c>
      <c r="E410" s="19" t="s">
        <v>283</v>
      </c>
      <c r="F410" s="19" t="s">
        <v>283</v>
      </c>
      <c r="P410" s="215"/>
      <c r="Q410" s="172"/>
      <c r="R410" s="172"/>
      <c r="S410" s="172"/>
      <c r="T410" s="172"/>
      <c r="U410" s="173"/>
    </row>
    <row r="411" spans="1:21" ht="16.95" customHeight="1" x14ac:dyDescent="0.3">
      <c r="A411" s="17">
        <f>N8</f>
        <v>72000</v>
      </c>
      <c r="C411" s="92">
        <f>-J8</f>
        <v>-1</v>
      </c>
      <c r="D411" s="92">
        <f>-K8</f>
        <v>0</v>
      </c>
      <c r="E411" s="92">
        <f>J8</f>
        <v>1</v>
      </c>
      <c r="F411" s="92">
        <f>K8</f>
        <v>0</v>
      </c>
      <c r="G411" s="96">
        <f>IFERROR(VLOOKUP(H411, A$377:D$388, 4, FALSE), 0)</f>
        <v>7.7392328268984303E-2</v>
      </c>
      <c r="H411" s="12" t="str">
        <f>"D" &amp; C22 &amp; "X"</f>
        <v>D4X</v>
      </c>
      <c r="P411" s="215"/>
      <c r="Q411" s="172"/>
      <c r="R411" s="172"/>
      <c r="S411" s="172"/>
      <c r="T411" s="172"/>
      <c r="U411" s="173"/>
    </row>
    <row r="412" spans="1:21" ht="16.95" customHeight="1" x14ac:dyDescent="0.3">
      <c r="A412" s="99" t="s">
        <v>287</v>
      </c>
      <c r="B412" s="97">
        <f>(MMULT(C411:F411, G411:G414)*A411)</f>
        <v>-4834.5455198460177</v>
      </c>
      <c r="G412" s="96">
        <f>IFERROR(VLOOKUP(H412, A$377:D$388, 4, FALSE), 0)</f>
        <v>-2.3629149091879371E-2</v>
      </c>
      <c r="H412" s="12" t="str">
        <f>"D" &amp; D22 &amp; "Y"</f>
        <v>D4Y</v>
      </c>
      <c r="P412" s="215"/>
      <c r="Q412" s="172"/>
      <c r="R412" s="172"/>
      <c r="S412" s="172"/>
      <c r="T412" s="172"/>
      <c r="U412" s="173"/>
    </row>
    <row r="413" spans="1:21" ht="16.95" customHeight="1" x14ac:dyDescent="0.3">
      <c r="G413" s="96">
        <f>IFERROR(VLOOKUP(H413, A$377:D$388, 4, FALSE), 0)</f>
        <v>1.0245862715567385E-2</v>
      </c>
      <c r="H413" s="12" t="str">
        <f>"D" &amp; E22 &amp; "X"</f>
        <v>D5X</v>
      </c>
      <c r="P413" s="215"/>
      <c r="Q413" s="172"/>
      <c r="R413" s="172"/>
      <c r="S413" s="172"/>
      <c r="T413" s="172"/>
      <c r="U413" s="173"/>
    </row>
    <row r="414" spans="1:21" ht="16.95" customHeight="1" x14ac:dyDescent="0.3">
      <c r="G414" s="96">
        <f>IFERROR(VLOOKUP(H414, A$377:D$388, 4, FALSE), 0)</f>
        <v>-0.23322736610529143</v>
      </c>
      <c r="H414" s="12" t="str">
        <f>"D" &amp; F22 &amp; "Y"</f>
        <v>D5Y</v>
      </c>
      <c r="P414" s="215"/>
      <c r="Q414" s="172"/>
      <c r="R414" s="172"/>
      <c r="S414" s="172"/>
      <c r="T414" s="172"/>
      <c r="U414" s="173"/>
    </row>
    <row r="415" spans="1:21" ht="16.95" customHeight="1" x14ac:dyDescent="0.3">
      <c r="B415" s="99" t="s">
        <v>273</v>
      </c>
      <c r="C415" s="178" t="str">
        <f>IF(B412&gt;0.001,"BARRA A TRACCIÓN (+)",IF(B412&lt;-0.001,"BARRA A COMPRESIÓN (-)","BARRA DE FUERZA NULA"))</f>
        <v>BARRA A COMPRESIÓN (-)</v>
      </c>
      <c r="D415" s="172"/>
      <c r="E415" s="172"/>
      <c r="F415" s="173"/>
      <c r="P415" s="215"/>
      <c r="Q415" s="172"/>
      <c r="R415" s="172"/>
      <c r="S415" s="172"/>
      <c r="T415" s="172"/>
      <c r="U415" s="173"/>
    </row>
    <row r="416" spans="1:21" ht="16.95" customHeight="1" x14ac:dyDescent="0.3">
      <c r="P416" s="215"/>
      <c r="Q416" s="172"/>
      <c r="R416" s="172"/>
      <c r="S416" s="172"/>
      <c r="T416" s="172"/>
      <c r="U416" s="173"/>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72000</v>
      </c>
      <c r="C419" s="92">
        <f>-J9</f>
        <v>-1</v>
      </c>
      <c r="D419" s="92">
        <f>-K9</f>
        <v>0</v>
      </c>
      <c r="E419" s="92">
        <f>J9</f>
        <v>1</v>
      </c>
      <c r="F419" s="92">
        <f>K9</f>
        <v>0</v>
      </c>
      <c r="G419" s="96">
        <f>IFERROR(VLOOKUP(H419, A$377:D$388, 4, FALSE), 0)</f>
        <v>1.0245862715567385E-2</v>
      </c>
      <c r="H419" s="12" t="str">
        <f>"D" &amp; C23 &amp; "X"</f>
        <v>D5X</v>
      </c>
    </row>
    <row r="420" spans="1:8" ht="19.95" customHeight="1" x14ac:dyDescent="0.3">
      <c r="A420" s="99" t="s">
        <v>288</v>
      </c>
      <c r="B420" s="97">
        <f>(MMULT(C419:F419, G419:G422)*A419)</f>
        <v>-4039.5630264463598</v>
      </c>
      <c r="G420" s="96">
        <f>IFERROR(VLOOKUP(H420, A$377:D$388, 4, FALSE), 0)</f>
        <v>-0.23322736610529143</v>
      </c>
      <c r="H420" s="12" t="str">
        <f>"D" &amp; D23 &amp; "Y"</f>
        <v>D5Y</v>
      </c>
    </row>
    <row r="421" spans="1:8" ht="19.95" customHeight="1" x14ac:dyDescent="0.3">
      <c r="G421" s="96">
        <f>IFERROR(VLOOKUP(H421, A$377:D$388, 4, FALSE), 0)</f>
        <v>-4.5859179318409833E-2</v>
      </c>
      <c r="H421" s="12" t="str">
        <f>"D" &amp; E23 &amp; "X"</f>
        <v>D6X</v>
      </c>
    </row>
    <row r="422" spans="1:8" ht="19.95" customHeight="1" x14ac:dyDescent="0.3">
      <c r="G422" s="96">
        <f>IFERROR(VLOOKUP(H422, A$377:D$388, 4, FALSE), 0)</f>
        <v>-2.8625021445906729E-2</v>
      </c>
      <c r="H422" s="12" t="str">
        <f>"D" &amp; F23 &amp; "Y"</f>
        <v>D6Y</v>
      </c>
    </row>
    <row r="423" spans="1:8" ht="19.95" customHeight="1" x14ac:dyDescent="0.3">
      <c r="B423" s="99" t="s">
        <v>273</v>
      </c>
      <c r="C423" s="178" t="str">
        <f>IF(B420&gt;0.001,"BARRA A TRACCIÓN (+)",IF(B420&lt;-0.001,"BARRA A COMPRESIÓN (-)","BARRA DE FUERZA NULA"))</f>
        <v>BARRA A COMPRESIÓN (-)</v>
      </c>
      <c r="D423" s="172"/>
      <c r="E423" s="172"/>
      <c r="F423" s="173"/>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100800</v>
      </c>
      <c r="C427" s="92">
        <f>-J10</f>
        <v>0</v>
      </c>
      <c r="D427" s="92">
        <f>-K10</f>
        <v>-1</v>
      </c>
      <c r="E427" s="92">
        <f>J10</f>
        <v>0</v>
      </c>
      <c r="F427" s="92">
        <f>K10</f>
        <v>1</v>
      </c>
      <c r="G427" s="96">
        <f>IFERROR(VLOOKUP(H427, A$377:D$388, 4, FALSE), 0)</f>
        <v>0</v>
      </c>
      <c r="H427" s="12" t="str">
        <f>"D" &amp; C24 &amp; "X"</f>
        <v>D1X</v>
      </c>
    </row>
    <row r="428" spans="1:8" ht="19.95" customHeight="1" x14ac:dyDescent="0.3">
      <c r="A428" s="99" t="s">
        <v>289</v>
      </c>
      <c r="B428" s="97">
        <f>(MMULT(C427:F427, G427:G430)*A427)</f>
        <v>-2381.8182284614404</v>
      </c>
      <c r="G428" s="96">
        <f>IFERROR(VLOOKUP(H428, A$377:D$388, 4, FALSE), 0)</f>
        <v>0</v>
      </c>
      <c r="H428" s="12" t="str">
        <f>"D" &amp; D24 &amp; "Y"</f>
        <v>D1Y</v>
      </c>
    </row>
    <row r="429" spans="1:8" ht="19.95" customHeight="1" x14ac:dyDescent="0.3">
      <c r="G429" s="96">
        <f>IFERROR(VLOOKUP(H429, A$377:D$388, 4, FALSE), 0)</f>
        <v>7.7392328268984303E-2</v>
      </c>
      <c r="H429" s="12" t="str">
        <f>"D" &amp; E24 &amp; "X"</f>
        <v>D4X</v>
      </c>
    </row>
    <row r="430" spans="1:8" ht="19.95" customHeight="1" x14ac:dyDescent="0.3">
      <c r="G430" s="96">
        <f>IFERROR(VLOOKUP(H430, A$377:D$388, 4, FALSE), 0)</f>
        <v>-2.3629149091879371E-2</v>
      </c>
      <c r="H430" s="12" t="str">
        <f>"D" &amp; F24 &amp; "Y"</f>
        <v>D4Y</v>
      </c>
    </row>
    <row r="431" spans="1:8" ht="19.95" customHeight="1" x14ac:dyDescent="0.3">
      <c r="B431" s="99" t="s">
        <v>273</v>
      </c>
      <c r="C431" s="178" t="str">
        <f>IF(B428&gt;0.001,"BARRA A TRACCIÓN (+)",IF(B428&lt;-0.001,"BARRA A COMPRESIÓN (-)","BARRA DE FUERZA NULA"))</f>
        <v>BARRA A COMPRESIÓN (-)</v>
      </c>
      <c r="D431" s="172"/>
      <c r="E431" s="172"/>
      <c r="F431" s="173"/>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100800</v>
      </c>
      <c r="C435" s="92">
        <f>-J11</f>
        <v>0</v>
      </c>
      <c r="D435" s="92">
        <f>-K11</f>
        <v>-1</v>
      </c>
      <c r="E435" s="92">
        <f>J11</f>
        <v>0</v>
      </c>
      <c r="F435" s="92">
        <f>K11</f>
        <v>1</v>
      </c>
      <c r="G435" s="96">
        <f>IFERROR(VLOOKUP(H435, A$377:D$388, 4, FALSE), 0)</f>
        <v>4.8959549069468129E-3</v>
      </c>
      <c r="H435" s="12" t="str">
        <f>"D" &amp; C25 &amp; "X"</f>
        <v>D2X</v>
      </c>
    </row>
    <row r="436" spans="1:8" ht="19.95" customHeight="1" x14ac:dyDescent="0.3">
      <c r="A436" s="99" t="s">
        <v>290</v>
      </c>
      <c r="B436" s="97">
        <f>(MMULT(C435:F435, G435:G438)*A435)</f>
        <v>1232.7796097911566</v>
      </c>
      <c r="G436" s="96">
        <f>IFERROR(VLOOKUP(H436, A$377:D$388, 4, FALSE), 0)</f>
        <v>-0.24545732255163227</v>
      </c>
      <c r="H436" s="12" t="str">
        <f>"D" &amp; D25 &amp; "Y"</f>
        <v>D2Y</v>
      </c>
    </row>
    <row r="437" spans="1:8" ht="19.95" customHeight="1" x14ac:dyDescent="0.3">
      <c r="G437" s="96">
        <f>IFERROR(VLOOKUP(H437, A$377:D$388, 4, FALSE), 0)</f>
        <v>1.0245862715567385E-2</v>
      </c>
      <c r="H437" s="12" t="str">
        <f>"D" &amp; E25 &amp; "X"</f>
        <v>D5X</v>
      </c>
    </row>
    <row r="438" spans="1:8" ht="19.95" customHeight="1" x14ac:dyDescent="0.3">
      <c r="G438" s="96">
        <f>IFERROR(VLOOKUP(H438, A$377:D$388, 4, FALSE), 0)</f>
        <v>-0.23322736610529143</v>
      </c>
      <c r="H438" s="12" t="str">
        <f>"D" &amp; F25 &amp; "Y"</f>
        <v>D5Y</v>
      </c>
    </row>
    <row r="439" spans="1:8" ht="19.95" customHeight="1" x14ac:dyDescent="0.3">
      <c r="B439" s="99" t="s">
        <v>273</v>
      </c>
      <c r="C439" s="178" t="str">
        <f>IF(B436&gt;0.001,"BARRA A TRACCIÓN (+)",IF(B436&lt;-0.001,"BARRA A COMPRESIÓN (-)","BARRA DE FUERZA NULA"))</f>
        <v>BARRA A TRACCIÓN (+)</v>
      </c>
      <c r="D439" s="172"/>
      <c r="E439" s="172"/>
      <c r="F439" s="173"/>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100800</v>
      </c>
      <c r="C443" s="92">
        <f>-J12</f>
        <v>0</v>
      </c>
      <c r="D443" s="92">
        <f>-K12</f>
        <v>-1</v>
      </c>
      <c r="E443" s="92">
        <f>J12</f>
        <v>0</v>
      </c>
      <c r="F443" s="92">
        <f>K12</f>
        <v>1</v>
      </c>
      <c r="G443" s="96">
        <f>IFERROR(VLOOKUP(H443, A$377:D$388, 4, FALSE), 0)</f>
        <v>0</v>
      </c>
      <c r="H443" s="12" t="str">
        <f>"D" &amp; C26 &amp; "X"</f>
        <v>D3X</v>
      </c>
    </row>
    <row r="444" spans="1:8" ht="19.95" customHeight="1" x14ac:dyDescent="0.3">
      <c r="A444" s="99" t="s">
        <v>291</v>
      </c>
      <c r="B444" s="97">
        <f>(MMULT(C443:F443, G443:G446)*A443)</f>
        <v>-2885.4021617473982</v>
      </c>
      <c r="G444" s="96">
        <f>IFERROR(VLOOKUP(H444, A$377:D$388, 4, FALSE), 0)</f>
        <v>0</v>
      </c>
      <c r="H444" s="12" t="str">
        <f>"D" &amp; D26 &amp; "Y"</f>
        <v>D3Y</v>
      </c>
    </row>
    <row r="445" spans="1:8" ht="19.95" customHeight="1" x14ac:dyDescent="0.3">
      <c r="G445" s="96">
        <f>IFERROR(VLOOKUP(H445, A$377:D$388, 4, FALSE), 0)</f>
        <v>-4.5859179318409833E-2</v>
      </c>
      <c r="H445" s="12" t="str">
        <f>"D" &amp; E26 &amp; "X"</f>
        <v>D6X</v>
      </c>
    </row>
    <row r="446" spans="1:8" ht="19.95" customHeight="1" x14ac:dyDescent="0.3">
      <c r="G446" s="96">
        <f>IFERROR(VLOOKUP(H446, A$377:D$388, 4, FALSE), 0)</f>
        <v>-2.8625021445906729E-2</v>
      </c>
      <c r="H446" s="12" t="str">
        <f>"D" &amp; F26 &amp; "Y"</f>
        <v>D6Y</v>
      </c>
    </row>
    <row r="447" spans="1:8" ht="19.95" customHeight="1" x14ac:dyDescent="0.3">
      <c r="B447" s="99" t="s">
        <v>273</v>
      </c>
      <c r="C447" s="178" t="str">
        <f>IF(B444&gt;0.001,"BARRA A TRACCIÓN (+)",IF(B444&lt;-0.001,"BARRA A COMPRESIÓN (-)","BARRA DE FUERZA NULA"))</f>
        <v>BARRA A COMPRESIÓN (-)</v>
      </c>
      <c r="D447" s="172"/>
      <c r="E447" s="172"/>
      <c r="F447" s="173"/>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58588.809926884918</v>
      </c>
      <c r="C451" s="92">
        <f>-J13</f>
        <v>-0.813733471206735</v>
      </c>
      <c r="D451" s="92">
        <f>-K13</f>
        <v>-0.58123819371909635</v>
      </c>
      <c r="E451" s="92">
        <f>J13</f>
        <v>0.813733471206735</v>
      </c>
      <c r="F451" s="92">
        <f>K13</f>
        <v>0.58123819371909635</v>
      </c>
      <c r="G451" s="96">
        <f>IFERROR(VLOOKUP(H451, A$377:D$388, 4, FALSE), 0)</f>
        <v>0</v>
      </c>
      <c r="H451" s="12" t="str">
        <f>"D" &amp; C27 &amp; "X"</f>
        <v>D1X</v>
      </c>
    </row>
    <row r="452" spans="1:8" ht="19.95" customHeight="1" x14ac:dyDescent="0.3">
      <c r="A452" s="99" t="s">
        <v>292</v>
      </c>
      <c r="B452" s="97">
        <f>(MMULT(C451:F451, G451:G454)*A451)</f>
        <v>-7453.8589043893589</v>
      </c>
      <c r="G452" s="96">
        <f>IFERROR(VLOOKUP(H452, A$377:D$388, 4, FALSE), 0)</f>
        <v>0</v>
      </c>
      <c r="H452" s="12" t="str">
        <f>"D" &amp; D27 &amp; "Y"</f>
        <v>D1Y</v>
      </c>
    </row>
    <row r="453" spans="1:8" ht="19.95" customHeight="1" x14ac:dyDescent="0.3">
      <c r="G453" s="96">
        <f>IFERROR(VLOOKUP(H453, A$377:D$388, 4, FALSE), 0)</f>
        <v>1.0245862715567385E-2</v>
      </c>
      <c r="H453" s="12" t="str">
        <f>"D" &amp; E27 &amp; "X"</f>
        <v>D5X</v>
      </c>
    </row>
    <row r="454" spans="1:8" ht="19.95" customHeight="1" x14ac:dyDescent="0.3">
      <c r="G454" s="96">
        <f>IFERROR(VLOOKUP(H454, A$377:D$388, 4, FALSE), 0)</f>
        <v>-0.23322736610529143</v>
      </c>
      <c r="H454" s="12" t="str">
        <f>"D" &amp; F27 &amp; "Y"</f>
        <v>D5Y</v>
      </c>
    </row>
    <row r="455" spans="1:8" ht="19.95" customHeight="1" x14ac:dyDescent="0.3">
      <c r="B455" s="99" t="s">
        <v>273</v>
      </c>
      <c r="C455" s="178" t="str">
        <f>IF(B452&gt;0.001,"BARRA A TRACCIÓN (+)",IF(B452&lt;-0.001,"BARRA A COMPRESIÓN (-)","BARRA DE FUERZA NULA"))</f>
        <v>BARRA A COMPRESIÓN (-)</v>
      </c>
      <c r="D455" s="172"/>
      <c r="E455" s="172"/>
      <c r="F455" s="173"/>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58588.809926884918</v>
      </c>
      <c r="C459" s="92">
        <f>-J14</f>
        <v>-0.813733471206735</v>
      </c>
      <c r="D459" s="92">
        <f>-K14</f>
        <v>0.58123819371909635</v>
      </c>
      <c r="E459" s="92">
        <f>J14</f>
        <v>0.813733471206735</v>
      </c>
      <c r="F459" s="92">
        <f>K14</f>
        <v>-0.58123819371909635</v>
      </c>
      <c r="G459" s="96">
        <f>IFERROR(VLOOKUP(H459, A$377:D$388, 4, FALSE), 0)</f>
        <v>7.7392328268984303E-2</v>
      </c>
      <c r="H459" s="12" t="str">
        <f>"D" &amp; C28 &amp; "X"</f>
        <v>D4X</v>
      </c>
    </row>
    <row r="460" spans="1:8" ht="19.95" customHeight="1" x14ac:dyDescent="0.3">
      <c r="A460" s="99" t="s">
        <v>530</v>
      </c>
      <c r="B460" s="97">
        <f>(MMULT(C459:F459, G459:G462)*A459)</f>
        <v>4097.8350256393105</v>
      </c>
      <c r="G460" s="96">
        <f>IFERROR(VLOOKUP(H460, A$377:D$388, 4, FALSE), 0)</f>
        <v>-2.3629149091879371E-2</v>
      </c>
      <c r="H460" s="12" t="str">
        <f>"D" &amp; D28 &amp; "Y"</f>
        <v>D4Y</v>
      </c>
    </row>
    <row r="461" spans="1:8" ht="19.95" customHeight="1" x14ac:dyDescent="0.3">
      <c r="G461" s="96">
        <f>IFERROR(VLOOKUP(H461, A$377:D$388, 4, FALSE), 0)</f>
        <v>4.8959549069468129E-3</v>
      </c>
      <c r="H461" s="12" t="str">
        <f>"D" &amp; E28 &amp; "X"</f>
        <v>D2X</v>
      </c>
    </row>
    <row r="462" spans="1:8" ht="19.95" customHeight="1" x14ac:dyDescent="0.3">
      <c r="G462" s="96">
        <f>IFERROR(VLOOKUP(H462, A$377:D$388, 4, FALSE), 0)</f>
        <v>-0.24545732255163227</v>
      </c>
      <c r="H462" s="12" t="str">
        <f>"D" &amp; F28 &amp; "Y"</f>
        <v>D2Y</v>
      </c>
    </row>
    <row r="463" spans="1:8" ht="19.95" customHeight="1" x14ac:dyDescent="0.3">
      <c r="B463" s="99" t="s">
        <v>273</v>
      </c>
      <c r="C463" s="178" t="str">
        <f>IF(B460&gt;0.001,"BARRA A TRACCIÓN (+)",IF(B460&lt;-0.001,"BARRA A COMPRESIÓN (-)","BARRA DE FUERZA NULA"))</f>
        <v>BARRA A TRACCIÓN (+)</v>
      </c>
      <c r="D463" s="172"/>
      <c r="E463" s="172"/>
      <c r="F463" s="173"/>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58588.809926884918</v>
      </c>
      <c r="C467" s="92">
        <f>-J15</f>
        <v>-0.813733471206735</v>
      </c>
      <c r="D467" s="92">
        <f>-K15</f>
        <v>-0.58123819371909635</v>
      </c>
      <c r="E467" s="92">
        <f>J15</f>
        <v>0.813733471206735</v>
      </c>
      <c r="F467" s="92">
        <f>K15</f>
        <v>0.58123819371909635</v>
      </c>
      <c r="G467" s="96">
        <f>IFERROR(VLOOKUP(H467, A$377:D$388, 4, FALSE), 0)</f>
        <v>4.8959549069468129E-3</v>
      </c>
      <c r="H467" s="12" t="str">
        <f>"D" &amp; C29 &amp; "X"</f>
        <v>D2X</v>
      </c>
    </row>
    <row r="468" spans="1:8" ht="19.95" customHeight="1" x14ac:dyDescent="0.3">
      <c r="A468" s="99" t="s">
        <v>589</v>
      </c>
      <c r="B468" s="97">
        <f>(MMULT(C467:F467, G467:G470)*A467)</f>
        <v>4964.2335843158125</v>
      </c>
      <c r="G468" s="96">
        <f>IFERROR(VLOOKUP(H468, A$377:D$388, 4, FALSE), 0)</f>
        <v>-0.24545732255163227</v>
      </c>
      <c r="H468" s="12" t="str">
        <f>"D" &amp; D29 &amp; "Y"</f>
        <v>D2Y</v>
      </c>
    </row>
    <row r="469" spans="1:8" ht="19.95" customHeight="1" x14ac:dyDescent="0.3">
      <c r="G469" s="96">
        <f>IFERROR(VLOOKUP(H469, A$377:D$388, 4, FALSE), 0)</f>
        <v>-4.5859179318409833E-2</v>
      </c>
      <c r="H469" s="12" t="str">
        <f>"D" &amp; E29 &amp; "X"</f>
        <v>D6X</v>
      </c>
    </row>
    <row r="470" spans="1:8" ht="19.95" customHeight="1" x14ac:dyDescent="0.3">
      <c r="G470" s="96">
        <f>IFERROR(VLOOKUP(H470, A$377:D$388, 4, FALSE), 0)</f>
        <v>-2.8625021445906729E-2</v>
      </c>
      <c r="H470" s="12" t="str">
        <f>"D" &amp; F29 &amp; "Y"</f>
        <v>D6Y</v>
      </c>
    </row>
    <row r="471" spans="1:8" ht="19.95" customHeight="1" x14ac:dyDescent="0.3">
      <c r="B471" s="99" t="s">
        <v>273</v>
      </c>
      <c r="C471" s="178" t="str">
        <f>IF(B468&gt;0.001,"BARRA A TRACCIÓN (+)",IF(B468&lt;-0.001,"BARRA A COMPRESIÓN (-)","BARRA DE FUERZA NULA"))</f>
        <v>BARRA A TRACCIÓN (+)</v>
      </c>
      <c r="D471" s="172"/>
      <c r="E471" s="172"/>
      <c r="F471" s="173"/>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58588.809926884918</v>
      </c>
      <c r="C475" s="92">
        <f>-J16</f>
        <v>-0.813733471206735</v>
      </c>
      <c r="D475" s="92">
        <f>-K16</f>
        <v>0.58123819371909635</v>
      </c>
      <c r="E475" s="92">
        <f>J16</f>
        <v>0.813733471206735</v>
      </c>
      <c r="F475" s="92">
        <f>K16</f>
        <v>-0.58123819371909635</v>
      </c>
      <c r="G475" s="96">
        <f>IFERROR(VLOOKUP(H475, A$377:D$388, 4, FALSE), 0)</f>
        <v>1.0245862715567385E-2</v>
      </c>
      <c r="H475" s="12" t="str">
        <f>"D" &amp; C30 &amp; "X"</f>
        <v>D5X</v>
      </c>
    </row>
    <row r="476" spans="1:8" ht="19.95" customHeight="1" x14ac:dyDescent="0.3">
      <c r="A476" s="99" t="s">
        <v>590</v>
      </c>
      <c r="B476" s="97">
        <f>(MMULT(C475:F475, G475:G478)*A475)</f>
        <v>-8430.8157600791365</v>
      </c>
      <c r="G476" s="96">
        <f>IFERROR(VLOOKUP(H476, A$377:D$388, 4, FALSE), 0)</f>
        <v>-0.23322736610529143</v>
      </c>
      <c r="H476" s="12" t="str">
        <f>"D" &amp; D30 &amp; "Y"</f>
        <v>D5Y</v>
      </c>
    </row>
    <row r="477" spans="1:8" ht="19.95" customHeight="1" x14ac:dyDescent="0.3">
      <c r="G477" s="96">
        <f>IFERROR(VLOOKUP(H477, A$377:D$388, 4, FALSE), 0)</f>
        <v>0</v>
      </c>
      <c r="H477" s="12" t="str">
        <f>"D" &amp; E30 &amp; "X"</f>
        <v>D3X</v>
      </c>
    </row>
    <row r="478" spans="1:8" ht="19.95" customHeight="1" x14ac:dyDescent="0.3">
      <c r="G478" s="96">
        <f>IFERROR(VLOOKUP(H478, A$377:D$388, 4, FALSE), 0)</f>
        <v>0</v>
      </c>
      <c r="H478" s="12" t="str">
        <f>"D" &amp; F30 &amp; "Y"</f>
        <v>D3Y</v>
      </c>
    </row>
    <row r="479" spans="1:8" ht="19.95" customHeight="1" x14ac:dyDescent="0.3">
      <c r="B479" s="99" t="s">
        <v>273</v>
      </c>
      <c r="C479" s="178" t="str">
        <f>IF(B476&gt;0.001,"BARRA A TRACCIÓN (+)",IF(B476&lt;-0.001,"BARRA A COMPRESIÓN (-)","BARRA DE FUERZA NULA"))</f>
        <v>BARRA A COMPRESIÓN (-)</v>
      </c>
      <c r="D479" s="172"/>
      <c r="E479" s="172"/>
      <c r="F479" s="173"/>
    </row>
    <row r="482" spans="2:8" ht="22.05" customHeight="1" x14ac:dyDescent="0.3">
      <c r="B482" s="217" t="s">
        <v>404</v>
      </c>
      <c r="C482" s="175"/>
      <c r="D482" s="175"/>
      <c r="E482" s="175"/>
      <c r="F482" s="175"/>
      <c r="G482" s="175"/>
      <c r="H482" s="175"/>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350</v>
      </c>
      <c r="F484" s="9">
        <f t="shared" ref="F484:F494" si="54">L6</f>
        <v>12</v>
      </c>
      <c r="G484" s="97">
        <f>B396</f>
        <v>352.50875330017055</v>
      </c>
      <c r="H484" s="84" t="str">
        <f>C399</f>
        <v>BARRA A TRACCIÓN (+)</v>
      </c>
    </row>
    <row r="485" spans="2:8" ht="19.95" customHeight="1" x14ac:dyDescent="0.3">
      <c r="B485" s="25">
        <v>2</v>
      </c>
      <c r="C485" s="86">
        <f t="shared" si="51"/>
        <v>2</v>
      </c>
      <c r="D485" s="86">
        <f t="shared" si="52"/>
        <v>3</v>
      </c>
      <c r="E485" s="9">
        <f t="shared" si="53"/>
        <v>350</v>
      </c>
      <c r="F485" s="9">
        <f t="shared" si="54"/>
        <v>12</v>
      </c>
      <c r="G485" s="97">
        <f>B404</f>
        <v>-352.50875330017055</v>
      </c>
      <c r="H485" s="84" t="str">
        <f>C407</f>
        <v>BARRA A COMPRESIÓN (-)</v>
      </c>
    </row>
    <row r="486" spans="2:8" ht="19.95" customHeight="1" x14ac:dyDescent="0.3">
      <c r="B486" s="26">
        <v>3</v>
      </c>
      <c r="C486" s="86">
        <f t="shared" si="51"/>
        <v>4</v>
      </c>
      <c r="D486" s="86">
        <f t="shared" si="52"/>
        <v>5</v>
      </c>
      <c r="E486" s="9">
        <f t="shared" si="53"/>
        <v>350</v>
      </c>
      <c r="F486" s="9">
        <f t="shared" si="54"/>
        <v>12</v>
      </c>
      <c r="G486" s="97">
        <f>B412</f>
        <v>-4834.5455198460177</v>
      </c>
      <c r="H486" s="84" t="str">
        <f>C415</f>
        <v>BARRA A COMPRESIÓN (-)</v>
      </c>
    </row>
    <row r="487" spans="2:8" ht="19.95" customHeight="1" x14ac:dyDescent="0.3">
      <c r="B487" s="43">
        <v>4</v>
      </c>
      <c r="C487" s="86">
        <f t="shared" si="51"/>
        <v>5</v>
      </c>
      <c r="D487" s="86">
        <f t="shared" si="52"/>
        <v>6</v>
      </c>
      <c r="E487" s="9">
        <f t="shared" si="53"/>
        <v>350</v>
      </c>
      <c r="F487" s="9">
        <f t="shared" si="54"/>
        <v>12</v>
      </c>
      <c r="G487" s="97">
        <f>B420</f>
        <v>-4039.5630264463598</v>
      </c>
      <c r="H487" s="84" t="str">
        <f>C423</f>
        <v>BARRA A COMPRESIÓN (-)</v>
      </c>
    </row>
    <row r="488" spans="2:8" ht="19.95" customHeight="1" x14ac:dyDescent="0.3">
      <c r="B488" s="44">
        <v>5</v>
      </c>
      <c r="C488" s="86">
        <f t="shared" si="51"/>
        <v>1</v>
      </c>
      <c r="D488" s="86">
        <f t="shared" si="52"/>
        <v>4</v>
      </c>
      <c r="E488" s="9">
        <f t="shared" si="53"/>
        <v>250</v>
      </c>
      <c r="F488" s="9">
        <f t="shared" si="54"/>
        <v>12</v>
      </c>
      <c r="G488" s="97">
        <f>B428</f>
        <v>-2381.8182284614404</v>
      </c>
      <c r="H488" s="84" t="str">
        <f>C431</f>
        <v>BARRA A COMPRESIÓN (-)</v>
      </c>
    </row>
    <row r="489" spans="2:8" ht="19.95" customHeight="1" x14ac:dyDescent="0.3">
      <c r="B489" s="51">
        <v>6</v>
      </c>
      <c r="C489" s="86">
        <f t="shared" si="51"/>
        <v>2</v>
      </c>
      <c r="D489" s="86">
        <f t="shared" si="52"/>
        <v>5</v>
      </c>
      <c r="E489" s="9">
        <f t="shared" si="53"/>
        <v>250</v>
      </c>
      <c r="F489" s="9">
        <f t="shared" si="54"/>
        <v>12</v>
      </c>
      <c r="G489" s="97">
        <f>B436</f>
        <v>1232.7796097911566</v>
      </c>
      <c r="H489" s="84" t="str">
        <f>C439</f>
        <v>BARRA A TRACCIÓN (+)</v>
      </c>
    </row>
    <row r="490" spans="2:8" ht="19.95" customHeight="1" x14ac:dyDescent="0.3">
      <c r="B490" s="52">
        <v>7</v>
      </c>
      <c r="C490" s="86">
        <f t="shared" si="51"/>
        <v>3</v>
      </c>
      <c r="D490" s="86">
        <f t="shared" si="52"/>
        <v>6</v>
      </c>
      <c r="E490" s="9">
        <f t="shared" si="53"/>
        <v>250</v>
      </c>
      <c r="F490" s="9">
        <f t="shared" si="54"/>
        <v>12</v>
      </c>
      <c r="G490" s="97">
        <f>B444</f>
        <v>-2885.4021617473982</v>
      </c>
      <c r="H490" s="84" t="str">
        <f>C447</f>
        <v>BARRA A COMPRESIÓN (-)</v>
      </c>
    </row>
    <row r="491" spans="2:8" ht="19.95" customHeight="1" x14ac:dyDescent="0.3">
      <c r="B491" s="59">
        <v>8</v>
      </c>
      <c r="C491" s="86">
        <f t="shared" si="51"/>
        <v>1</v>
      </c>
      <c r="D491" s="86">
        <f t="shared" si="52"/>
        <v>5</v>
      </c>
      <c r="E491" s="9">
        <f t="shared" si="53"/>
        <v>430.11626335213134</v>
      </c>
      <c r="F491" s="9">
        <f t="shared" si="54"/>
        <v>12</v>
      </c>
      <c r="G491" s="97">
        <f>B452</f>
        <v>-7453.8589043893589</v>
      </c>
      <c r="H491" s="84" t="str">
        <f>C455</f>
        <v>BARRA A COMPRESIÓN (-)</v>
      </c>
    </row>
    <row r="492" spans="2:8" ht="19.95" customHeight="1" x14ac:dyDescent="0.3">
      <c r="B492" s="60">
        <v>9</v>
      </c>
      <c r="C492" s="86">
        <f t="shared" si="51"/>
        <v>4</v>
      </c>
      <c r="D492" s="86">
        <f t="shared" si="52"/>
        <v>2</v>
      </c>
      <c r="E492" s="9">
        <f t="shared" si="53"/>
        <v>430.11626335213134</v>
      </c>
      <c r="F492" s="9">
        <f t="shared" si="54"/>
        <v>12</v>
      </c>
      <c r="G492" s="97">
        <f>B460</f>
        <v>4097.8350256393105</v>
      </c>
      <c r="H492" s="84" t="str">
        <f>C463</f>
        <v>BARRA A TRACCIÓN (+)</v>
      </c>
    </row>
    <row r="493" spans="2:8" ht="19.95" customHeight="1" x14ac:dyDescent="0.3">
      <c r="B493" s="67">
        <v>10</v>
      </c>
      <c r="C493" s="86">
        <f t="shared" si="51"/>
        <v>2</v>
      </c>
      <c r="D493" s="86">
        <f t="shared" si="52"/>
        <v>6</v>
      </c>
      <c r="E493" s="9">
        <f t="shared" si="53"/>
        <v>430.11626335213134</v>
      </c>
      <c r="F493" s="9">
        <f t="shared" si="54"/>
        <v>12</v>
      </c>
      <c r="G493" s="97">
        <f>B468</f>
        <v>4964.2335843158125</v>
      </c>
      <c r="H493" s="84" t="str">
        <f>C471</f>
        <v>BARRA A TRACCIÓN (+)</v>
      </c>
    </row>
    <row r="494" spans="2:8" ht="19.95" customHeight="1" x14ac:dyDescent="0.3">
      <c r="B494" s="68">
        <v>11</v>
      </c>
      <c r="C494" s="86">
        <f t="shared" si="51"/>
        <v>5</v>
      </c>
      <c r="D494" s="86">
        <f t="shared" si="52"/>
        <v>3</v>
      </c>
      <c r="E494" s="9">
        <f t="shared" si="53"/>
        <v>430.11626335213134</v>
      </c>
      <c r="F494" s="9">
        <f t="shared" si="54"/>
        <v>12</v>
      </c>
      <c r="G494" s="97">
        <f>B476</f>
        <v>-8430.8157600791365</v>
      </c>
      <c r="H494" s="84" t="str">
        <f>C479</f>
        <v>BARRA A COMPRESIÓN (-)</v>
      </c>
    </row>
  </sheetData>
  <mergeCells count="149">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 ref="C447:F447"/>
    <mergeCell ref="P311:U311"/>
    <mergeCell ref="C439:F439"/>
    <mergeCell ref="P320:U320"/>
    <mergeCell ref="P314:U314"/>
    <mergeCell ref="P329:U329"/>
    <mergeCell ref="P282:U282"/>
    <mergeCell ref="P297:U297"/>
    <mergeCell ref="P291:U291"/>
    <mergeCell ref="P359:U359"/>
    <mergeCell ref="P346:U346"/>
    <mergeCell ref="P355:U355"/>
    <mergeCell ref="P293:U293"/>
    <mergeCell ref="P283:U283"/>
    <mergeCell ref="P396:U396"/>
    <mergeCell ref="P348:U348"/>
    <mergeCell ref="C335:J335"/>
    <mergeCell ref="P338:U338"/>
    <mergeCell ref="P285:U285"/>
    <mergeCell ref="P288:U288"/>
    <mergeCell ref="P366:U366"/>
    <mergeCell ref="P340:U340"/>
    <mergeCell ref="P316:U316"/>
    <mergeCell ref="P308:U308"/>
    <mergeCell ref="P412:U412"/>
    <mergeCell ref="P365:U365"/>
    <mergeCell ref="P364:U364"/>
    <mergeCell ref="P404:U404"/>
    <mergeCell ref="P406:U406"/>
    <mergeCell ref="P414:U414"/>
    <mergeCell ref="P367:U367"/>
    <mergeCell ref="B1:N1"/>
    <mergeCell ref="P305:U305"/>
    <mergeCell ref="C4:D4"/>
    <mergeCell ref="E4:F4"/>
    <mergeCell ref="E3:H3"/>
    <mergeCell ref="J4:J5"/>
    <mergeCell ref="P300:U300"/>
    <mergeCell ref="P371:U371"/>
    <mergeCell ref="P405:U405"/>
    <mergeCell ref="P292:U292"/>
    <mergeCell ref="P358:U358"/>
    <mergeCell ref="P301:U301"/>
    <mergeCell ref="P361:U361"/>
    <mergeCell ref="P295:U295"/>
    <mergeCell ref="P401:U401"/>
    <mergeCell ref="P339:U339"/>
    <mergeCell ref="C415:F415"/>
    <mergeCell ref="C18:D18"/>
    <mergeCell ref="E18:F18"/>
    <mergeCell ref="C399:F399"/>
    <mergeCell ref="P410:U410"/>
    <mergeCell ref="P307:U307"/>
    <mergeCell ref="P347:U347"/>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K4:K5"/>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C455:F455"/>
    <mergeCell ref="P354:U354"/>
    <mergeCell ref="P363:U363"/>
    <mergeCell ref="P298:U298"/>
    <mergeCell ref="P313:U313"/>
    <mergeCell ref="P394:U394"/>
    <mergeCell ref="P369:U369"/>
    <mergeCell ref="P343:U343"/>
    <mergeCell ref="P290:U290"/>
    <mergeCell ref="H4:H5"/>
    <mergeCell ref="C336:J336"/>
    <mergeCell ref="P317:U317"/>
    <mergeCell ref="P351:U351"/>
    <mergeCell ref="P326:U326"/>
    <mergeCell ref="P289:U289"/>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681</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4</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280</v>
      </c>
      <c r="AC11" t="s">
        <v>324</v>
      </c>
    </row>
    <row r="12" spans="2:29" x14ac:dyDescent="0.3">
      <c r="AA12" s="20">
        <f>IF(G30="","",G30)</f>
        <v>400</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670</v>
      </c>
      <c r="K14" s="172"/>
      <c r="L14" s="172"/>
      <c r="M14" s="172"/>
      <c r="N14" s="172"/>
      <c r="O14" s="173"/>
      <c r="AA14" s="20">
        <f>IF(E31="","",E31)</f>
        <v>400</v>
      </c>
      <c r="AB14" s="20">
        <f>IF(F31="","",F31)</f>
        <v>280</v>
      </c>
      <c r="AC14" t="s">
        <v>328</v>
      </c>
    </row>
    <row r="15" spans="2:29" ht="19.05" customHeight="1" x14ac:dyDescent="0.3">
      <c r="B15" s="89">
        <v>2</v>
      </c>
      <c r="C15" s="21">
        <v>400</v>
      </c>
      <c r="D15" s="21">
        <v>0</v>
      </c>
      <c r="E15" s="21" t="s">
        <v>329</v>
      </c>
      <c r="F15" s="88">
        <f t="shared" si="0"/>
        <v>0</v>
      </c>
      <c r="G15" s="88">
        <f t="shared" si="1"/>
        <v>1</v>
      </c>
      <c r="H15" s="22">
        <v>0</v>
      </c>
      <c r="I15" s="22">
        <v>0</v>
      </c>
      <c r="J15" s="205" t="s">
        <v>671</v>
      </c>
      <c r="K15" s="172"/>
      <c r="L15" s="172"/>
      <c r="M15" s="172"/>
      <c r="N15" s="172"/>
      <c r="O15" s="173"/>
      <c r="AA15" s="20">
        <f>IF(G31="","",G31)</f>
        <v>800</v>
      </c>
      <c r="AB15" s="20">
        <f>IF(H31="","",H31)</f>
        <v>280</v>
      </c>
      <c r="AC15" t="s">
        <v>331</v>
      </c>
    </row>
    <row r="16" spans="2:29" ht="19.05" customHeight="1" x14ac:dyDescent="0.3">
      <c r="B16" s="89">
        <v>3</v>
      </c>
      <c r="C16" s="21">
        <v>800</v>
      </c>
      <c r="D16" s="21">
        <v>0</v>
      </c>
      <c r="E16" s="21" t="s">
        <v>329</v>
      </c>
      <c r="F16" s="88">
        <f t="shared" si="0"/>
        <v>0</v>
      </c>
      <c r="G16" s="88">
        <f t="shared" si="1"/>
        <v>1</v>
      </c>
      <c r="H16" s="22">
        <v>0</v>
      </c>
      <c r="I16" s="22">
        <v>0</v>
      </c>
      <c r="J16" s="205" t="s">
        <v>672</v>
      </c>
      <c r="K16" s="172"/>
      <c r="L16" s="172"/>
      <c r="M16" s="172"/>
      <c r="N16" s="172"/>
      <c r="O16" s="173"/>
    </row>
    <row r="17" spans="2:29" ht="19.05" customHeight="1" x14ac:dyDescent="0.3">
      <c r="B17" s="89">
        <v>4</v>
      </c>
      <c r="C17" s="21">
        <v>0</v>
      </c>
      <c r="D17" s="21">
        <v>280</v>
      </c>
      <c r="E17" s="21" t="s">
        <v>326</v>
      </c>
      <c r="F17" s="88">
        <f t="shared" si="0"/>
        <v>0</v>
      </c>
      <c r="G17" s="88">
        <f t="shared" si="1"/>
        <v>0</v>
      </c>
      <c r="H17" s="22">
        <v>2000</v>
      </c>
      <c r="I17" s="22">
        <v>0</v>
      </c>
      <c r="J17" s="205" t="s">
        <v>596</v>
      </c>
      <c r="K17" s="172"/>
      <c r="L17" s="172"/>
      <c r="M17" s="172"/>
      <c r="N17" s="172"/>
      <c r="O17" s="173"/>
      <c r="AA17" s="20">
        <f>IF(E32="","",E32)</f>
        <v>0</v>
      </c>
      <c r="AB17" s="20">
        <f>IF(F32="","",F32)</f>
        <v>0</v>
      </c>
      <c r="AC17" t="s">
        <v>334</v>
      </c>
    </row>
    <row r="18" spans="2:29" ht="19.05" customHeight="1" x14ac:dyDescent="0.3">
      <c r="B18" s="89">
        <v>5</v>
      </c>
      <c r="C18" s="21">
        <v>400</v>
      </c>
      <c r="D18" s="21">
        <v>280</v>
      </c>
      <c r="E18" s="21" t="s">
        <v>326</v>
      </c>
      <c r="F18" s="88">
        <f t="shared" si="0"/>
        <v>0</v>
      </c>
      <c r="G18" s="88">
        <f t="shared" si="1"/>
        <v>0</v>
      </c>
      <c r="H18" s="22">
        <v>0</v>
      </c>
      <c r="I18" s="22">
        <v>-9000</v>
      </c>
      <c r="J18" s="205" t="s">
        <v>682</v>
      </c>
      <c r="K18" s="172"/>
      <c r="L18" s="172"/>
      <c r="M18" s="172"/>
      <c r="N18" s="172"/>
      <c r="O18" s="173"/>
      <c r="AA18" s="20">
        <f>IF(G32="","",G32)</f>
        <v>0</v>
      </c>
      <c r="AB18" s="20">
        <f>IF(H32="","",H32)</f>
        <v>280</v>
      </c>
      <c r="AC18" t="s">
        <v>335</v>
      </c>
    </row>
    <row r="19" spans="2:29" ht="19.05" customHeight="1" x14ac:dyDescent="0.3">
      <c r="B19" s="89">
        <v>6</v>
      </c>
      <c r="C19" s="21">
        <v>800</v>
      </c>
      <c r="D19" s="21">
        <v>280</v>
      </c>
      <c r="E19" s="21" t="s">
        <v>326</v>
      </c>
      <c r="F19" s="88">
        <f t="shared" si="0"/>
        <v>0</v>
      </c>
      <c r="G19" s="88">
        <f t="shared" si="1"/>
        <v>0</v>
      </c>
      <c r="H19" s="22">
        <v>0</v>
      </c>
      <c r="I19" s="22">
        <v>0</v>
      </c>
      <c r="J19" s="205" t="s">
        <v>640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280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800</v>
      </c>
      <c r="AB23" s="20">
        <f>IF(F34="","",F34)</f>
        <v>0</v>
      </c>
      <c r="AC23" t="s">
        <v>338</v>
      </c>
    </row>
    <row r="24" spans="2:29" x14ac:dyDescent="0.3">
      <c r="AA24" s="20">
        <f>IF(G34="","",G34)</f>
        <v>800</v>
      </c>
      <c r="AB24" s="20">
        <f>IF(H34="","",H34)</f>
        <v>280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400</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280</v>
      </c>
      <c r="AC29" t="s">
        <v>353</v>
      </c>
    </row>
    <row r="30" spans="2:29" ht="19.05" customHeight="1" x14ac:dyDescent="0.3">
      <c r="B30" s="89">
        <v>3</v>
      </c>
      <c r="C30" s="23">
        <v>4</v>
      </c>
      <c r="D30" s="23">
        <v>5</v>
      </c>
      <c r="E30" s="5">
        <f t="shared" si="2"/>
        <v>0</v>
      </c>
      <c r="F30" s="5">
        <f t="shared" si="3"/>
        <v>280</v>
      </c>
      <c r="G30" s="5">
        <f t="shared" si="4"/>
        <v>400</v>
      </c>
      <c r="H30" s="5">
        <f t="shared" si="5"/>
        <v>280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280</v>
      </c>
      <c r="G31" s="5">
        <f t="shared" si="4"/>
        <v>800</v>
      </c>
      <c r="H31" s="5">
        <f t="shared" si="5"/>
        <v>280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280</v>
      </c>
      <c r="I32" s="9">
        <f t="shared" si="6"/>
        <v>0</v>
      </c>
      <c r="J32" s="9">
        <f t="shared" si="7"/>
        <v>280</v>
      </c>
      <c r="K32" s="9">
        <f t="shared" si="8"/>
        <v>280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280</v>
      </c>
      <c r="I33" s="9">
        <f t="shared" si="6"/>
        <v>0</v>
      </c>
      <c r="J33" s="9">
        <f t="shared" si="7"/>
        <v>280</v>
      </c>
      <c r="K33" s="9">
        <f t="shared" si="8"/>
        <v>280</v>
      </c>
      <c r="L33" s="92">
        <f t="shared" si="9"/>
        <v>0</v>
      </c>
      <c r="M33" s="92">
        <f t="shared" si="10"/>
        <v>1</v>
      </c>
      <c r="N33" s="22">
        <v>12</v>
      </c>
      <c r="O33" s="24">
        <v>2100000</v>
      </c>
      <c r="AA33" s="20">
        <f>IF(G37="","",G37)</f>
        <v>800</v>
      </c>
      <c r="AB33" s="20">
        <f>IF(H37="","",H37)</f>
        <v>280</v>
      </c>
      <c r="AC33" t="s">
        <v>356</v>
      </c>
    </row>
    <row r="34" spans="2:29" ht="19.05" customHeight="1" x14ac:dyDescent="0.3">
      <c r="B34" s="89">
        <v>7</v>
      </c>
      <c r="C34" s="23">
        <v>3</v>
      </c>
      <c r="D34" s="23">
        <v>6</v>
      </c>
      <c r="E34" s="5">
        <f t="shared" si="2"/>
        <v>800</v>
      </c>
      <c r="F34" s="5">
        <f t="shared" si="3"/>
        <v>0</v>
      </c>
      <c r="G34" s="5">
        <f t="shared" si="4"/>
        <v>800</v>
      </c>
      <c r="H34" s="5">
        <f t="shared" si="5"/>
        <v>280</v>
      </c>
      <c r="I34" s="9">
        <f t="shared" si="6"/>
        <v>0</v>
      </c>
      <c r="J34" s="9">
        <f t="shared" si="7"/>
        <v>280</v>
      </c>
      <c r="K34" s="9">
        <f t="shared" si="8"/>
        <v>280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280</v>
      </c>
      <c r="I35" s="9">
        <f t="shared" si="6"/>
        <v>400</v>
      </c>
      <c r="J35" s="9">
        <f t="shared" si="7"/>
        <v>280</v>
      </c>
      <c r="K35" s="9">
        <f t="shared" si="8"/>
        <v>488.26222462934811</v>
      </c>
      <c r="L35" s="92">
        <f t="shared" si="9"/>
        <v>0.81923192051904048</v>
      </c>
      <c r="M35" s="92">
        <f t="shared" si="10"/>
        <v>0.57346234436332832</v>
      </c>
      <c r="N35" s="22">
        <v>12</v>
      </c>
      <c r="O35" s="24">
        <v>2100000</v>
      </c>
      <c r="AA35" s="20">
        <f>IF(E38="","",E38)</f>
        <v>400</v>
      </c>
      <c r="AB35" s="20">
        <f>IF(F38="","",F38)</f>
        <v>280</v>
      </c>
      <c r="AC35" t="s">
        <v>357</v>
      </c>
    </row>
    <row r="36" spans="2:29" ht="19.05" customHeight="1" x14ac:dyDescent="0.3">
      <c r="B36" s="89">
        <v>9</v>
      </c>
      <c r="C36" s="23">
        <v>4</v>
      </c>
      <c r="D36" s="23">
        <v>2</v>
      </c>
      <c r="E36" s="5">
        <f t="shared" si="2"/>
        <v>0</v>
      </c>
      <c r="F36" s="5">
        <f t="shared" si="3"/>
        <v>280</v>
      </c>
      <c r="G36" s="5">
        <f t="shared" si="4"/>
        <v>400</v>
      </c>
      <c r="H36" s="5">
        <f t="shared" si="5"/>
        <v>0</v>
      </c>
      <c r="I36" s="9">
        <f t="shared" si="6"/>
        <v>400</v>
      </c>
      <c r="J36" s="9">
        <f t="shared" si="7"/>
        <v>-280</v>
      </c>
      <c r="K36" s="9">
        <f t="shared" si="8"/>
        <v>488.26222462934811</v>
      </c>
      <c r="L36" s="92">
        <f t="shared" si="9"/>
        <v>0.81923192051904048</v>
      </c>
      <c r="M36" s="92">
        <f t="shared" si="10"/>
        <v>-0.57346234436332832</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280</v>
      </c>
      <c r="I37" s="9">
        <f t="shared" si="6"/>
        <v>400</v>
      </c>
      <c r="J37" s="9">
        <f t="shared" si="7"/>
        <v>280</v>
      </c>
      <c r="K37" s="9">
        <f t="shared" si="8"/>
        <v>488.26222462934811</v>
      </c>
      <c r="L37" s="92">
        <f t="shared" si="9"/>
        <v>0.81923192051904048</v>
      </c>
      <c r="M37" s="92">
        <f t="shared" si="10"/>
        <v>0.57346234436332832</v>
      </c>
      <c r="N37" s="22">
        <v>12</v>
      </c>
      <c r="O37" s="24">
        <v>2100000</v>
      </c>
    </row>
    <row r="38" spans="2:29" ht="19.05" customHeight="1" x14ac:dyDescent="0.3">
      <c r="B38" s="89">
        <v>11</v>
      </c>
      <c r="C38" s="23">
        <v>5</v>
      </c>
      <c r="D38" s="23">
        <v>3</v>
      </c>
      <c r="E38" s="5">
        <f t="shared" si="2"/>
        <v>400</v>
      </c>
      <c r="F38" s="5">
        <f t="shared" si="3"/>
        <v>280</v>
      </c>
      <c r="G38" s="5">
        <f t="shared" si="4"/>
        <v>800</v>
      </c>
      <c r="H38" s="5">
        <f t="shared" si="5"/>
        <v>0</v>
      </c>
      <c r="I38" s="9">
        <f t="shared" si="6"/>
        <v>400</v>
      </c>
      <c r="J38" s="9">
        <f t="shared" si="7"/>
        <v>-280</v>
      </c>
      <c r="K38" s="9">
        <f t="shared" si="8"/>
        <v>488.26222462934811</v>
      </c>
      <c r="L38" s="92">
        <f t="shared" si="9"/>
        <v>0.81923192051904048</v>
      </c>
      <c r="M38" s="92">
        <f t="shared" si="10"/>
        <v>-0.57346234436332832</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500-000000000000}">
      <formula1>"Fijo (articulado),Rodillo Y (despl. X libre),Rodillo X (despl. Y libre),Libre (0 reac.)"</formula1>
    </dataValidation>
  </dataValidations>
  <pageMargins left="0.75" right="0.75" top="1" bottom="1" header="0.5" footer="0.5"/>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683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GRAFICA_58!E28</f>
        <v>0</v>
      </c>
      <c r="D6" s="22">
        <f>GRAFICA_58!F28</f>
        <v>0</v>
      </c>
      <c r="E6" s="22">
        <f>GRAFICA_58!G28</f>
        <v>400</v>
      </c>
      <c r="F6" s="22">
        <f>GRAFICA_58!H28</f>
        <v>0</v>
      </c>
      <c r="G6" s="9">
        <f t="shared" ref="G6:G16" si="0">E6-C6</f>
        <v>400</v>
      </c>
      <c r="H6" s="9">
        <f t="shared" ref="H6:H16" si="1">F6-D6</f>
        <v>0</v>
      </c>
      <c r="I6" s="9">
        <f t="shared" ref="I6:I16" si="2">SQRT(G6*G6+H6*H6)</f>
        <v>400</v>
      </c>
      <c r="J6" s="92">
        <f t="shared" ref="J6:J16" si="3">G6/I6</f>
        <v>1</v>
      </c>
      <c r="K6" s="92">
        <f t="shared" ref="K6:K16" si="4">H6/I6</f>
        <v>0</v>
      </c>
      <c r="L6" s="22">
        <f>GRAFICA_58!N28</f>
        <v>12</v>
      </c>
      <c r="M6" s="22">
        <f>GRAFICA_58!O28</f>
        <v>2100000</v>
      </c>
      <c r="N6" s="6">
        <f t="shared" ref="N6:N16" si="5">L6*M6/I6</f>
        <v>63000</v>
      </c>
    </row>
    <row r="7" spans="2:14" ht="19.05" customHeight="1" x14ac:dyDescent="0.3">
      <c r="B7" s="25">
        <v>2</v>
      </c>
      <c r="C7" s="22">
        <f>GRAFICA_58!E29</f>
        <v>400</v>
      </c>
      <c r="D7" s="22">
        <f>GRAFICA_58!F29</f>
        <v>0</v>
      </c>
      <c r="E7" s="22">
        <f>GRAFICA_58!G29</f>
        <v>800</v>
      </c>
      <c r="F7" s="22">
        <f>GRAFICA_58!H29</f>
        <v>0</v>
      </c>
      <c r="G7" s="9">
        <f t="shared" si="0"/>
        <v>400</v>
      </c>
      <c r="H7" s="9">
        <f t="shared" si="1"/>
        <v>0</v>
      </c>
      <c r="I7" s="9">
        <f t="shared" si="2"/>
        <v>400</v>
      </c>
      <c r="J7" s="92">
        <f t="shared" si="3"/>
        <v>1</v>
      </c>
      <c r="K7" s="92">
        <f t="shared" si="4"/>
        <v>0</v>
      </c>
      <c r="L7" s="22">
        <f>GRAFICA_58!N29</f>
        <v>12</v>
      </c>
      <c r="M7" s="22">
        <f>GRAFICA_58!O29</f>
        <v>2100000</v>
      </c>
      <c r="N7" s="6">
        <f t="shared" si="5"/>
        <v>63000</v>
      </c>
    </row>
    <row r="8" spans="2:14" ht="19.05" customHeight="1" x14ac:dyDescent="0.3">
      <c r="B8" s="26">
        <v>3</v>
      </c>
      <c r="C8" s="22">
        <f>GRAFICA_58!E30</f>
        <v>0</v>
      </c>
      <c r="D8" s="22">
        <f>GRAFICA_58!F30</f>
        <v>280</v>
      </c>
      <c r="E8" s="22">
        <f>GRAFICA_58!G30</f>
        <v>400</v>
      </c>
      <c r="F8" s="22">
        <f>GRAFICA_58!H30</f>
        <v>280</v>
      </c>
      <c r="G8" s="9">
        <f t="shared" si="0"/>
        <v>400</v>
      </c>
      <c r="H8" s="9">
        <f t="shared" si="1"/>
        <v>0</v>
      </c>
      <c r="I8" s="9">
        <f t="shared" si="2"/>
        <v>400</v>
      </c>
      <c r="J8" s="92">
        <f t="shared" si="3"/>
        <v>1</v>
      </c>
      <c r="K8" s="92">
        <f t="shared" si="4"/>
        <v>0</v>
      </c>
      <c r="L8" s="22">
        <f>GRAFICA_58!N30</f>
        <v>12</v>
      </c>
      <c r="M8" s="22">
        <f>GRAFICA_58!O30</f>
        <v>2100000</v>
      </c>
      <c r="N8" s="6">
        <f t="shared" si="5"/>
        <v>63000</v>
      </c>
    </row>
    <row r="9" spans="2:14" ht="19.05" customHeight="1" x14ac:dyDescent="0.3">
      <c r="B9" s="43">
        <v>4</v>
      </c>
      <c r="C9" s="22">
        <f>GRAFICA_58!E31</f>
        <v>400</v>
      </c>
      <c r="D9" s="22">
        <f>GRAFICA_58!F31</f>
        <v>280</v>
      </c>
      <c r="E9" s="22">
        <f>GRAFICA_58!G31</f>
        <v>800</v>
      </c>
      <c r="F9" s="22">
        <f>GRAFICA_58!H31</f>
        <v>280</v>
      </c>
      <c r="G9" s="9">
        <f t="shared" si="0"/>
        <v>400</v>
      </c>
      <c r="H9" s="9">
        <f t="shared" si="1"/>
        <v>0</v>
      </c>
      <c r="I9" s="9">
        <f t="shared" si="2"/>
        <v>400</v>
      </c>
      <c r="J9" s="92">
        <f t="shared" si="3"/>
        <v>1</v>
      </c>
      <c r="K9" s="92">
        <f t="shared" si="4"/>
        <v>0</v>
      </c>
      <c r="L9" s="22">
        <f>GRAFICA_58!N31</f>
        <v>12</v>
      </c>
      <c r="M9" s="22">
        <f>GRAFICA_58!O31</f>
        <v>2100000</v>
      </c>
      <c r="N9" s="6">
        <f t="shared" si="5"/>
        <v>63000</v>
      </c>
    </row>
    <row r="10" spans="2:14" ht="19.05" customHeight="1" x14ac:dyDescent="0.3">
      <c r="B10" s="44">
        <v>5</v>
      </c>
      <c r="C10" s="22">
        <f>GRAFICA_58!E32</f>
        <v>0</v>
      </c>
      <c r="D10" s="22">
        <f>GRAFICA_58!F32</f>
        <v>0</v>
      </c>
      <c r="E10" s="22">
        <f>GRAFICA_58!G32</f>
        <v>0</v>
      </c>
      <c r="F10" s="22">
        <f>GRAFICA_58!H32</f>
        <v>280</v>
      </c>
      <c r="G10" s="9">
        <f t="shared" si="0"/>
        <v>0</v>
      </c>
      <c r="H10" s="9">
        <f t="shared" si="1"/>
        <v>280</v>
      </c>
      <c r="I10" s="9">
        <f t="shared" si="2"/>
        <v>280</v>
      </c>
      <c r="J10" s="92">
        <f t="shared" si="3"/>
        <v>0</v>
      </c>
      <c r="K10" s="92">
        <f t="shared" si="4"/>
        <v>1</v>
      </c>
      <c r="L10" s="22">
        <f>GRAFICA_58!N32</f>
        <v>12</v>
      </c>
      <c r="M10" s="22">
        <f>GRAFICA_58!O32</f>
        <v>2100000</v>
      </c>
      <c r="N10" s="6">
        <f t="shared" si="5"/>
        <v>90000</v>
      </c>
    </row>
    <row r="11" spans="2:14" ht="19.05" customHeight="1" x14ac:dyDescent="0.3">
      <c r="B11" s="51">
        <v>6</v>
      </c>
      <c r="C11" s="22">
        <f>GRAFICA_58!E33</f>
        <v>400</v>
      </c>
      <c r="D11" s="22">
        <f>GRAFICA_58!F33</f>
        <v>0</v>
      </c>
      <c r="E11" s="22">
        <f>GRAFICA_58!G33</f>
        <v>400</v>
      </c>
      <c r="F11" s="22">
        <f>GRAFICA_58!H33</f>
        <v>280</v>
      </c>
      <c r="G11" s="9">
        <f t="shared" si="0"/>
        <v>0</v>
      </c>
      <c r="H11" s="9">
        <f t="shared" si="1"/>
        <v>280</v>
      </c>
      <c r="I11" s="9">
        <f t="shared" si="2"/>
        <v>280</v>
      </c>
      <c r="J11" s="92">
        <f t="shared" si="3"/>
        <v>0</v>
      </c>
      <c r="K11" s="92">
        <f t="shared" si="4"/>
        <v>1</v>
      </c>
      <c r="L11" s="22">
        <f>GRAFICA_58!N33</f>
        <v>12</v>
      </c>
      <c r="M11" s="22">
        <f>GRAFICA_58!O33</f>
        <v>2100000</v>
      </c>
      <c r="N11" s="6">
        <f t="shared" si="5"/>
        <v>90000</v>
      </c>
    </row>
    <row r="12" spans="2:14" ht="19.05" customHeight="1" x14ac:dyDescent="0.3">
      <c r="B12" s="52">
        <v>7</v>
      </c>
      <c r="C12" s="22">
        <f>GRAFICA_58!E34</f>
        <v>800</v>
      </c>
      <c r="D12" s="22">
        <f>GRAFICA_58!F34</f>
        <v>0</v>
      </c>
      <c r="E12" s="22">
        <f>GRAFICA_58!G34</f>
        <v>800</v>
      </c>
      <c r="F12" s="22">
        <f>GRAFICA_58!H34</f>
        <v>280</v>
      </c>
      <c r="G12" s="9">
        <f t="shared" si="0"/>
        <v>0</v>
      </c>
      <c r="H12" s="9">
        <f t="shared" si="1"/>
        <v>280</v>
      </c>
      <c r="I12" s="9">
        <f t="shared" si="2"/>
        <v>280</v>
      </c>
      <c r="J12" s="92">
        <f t="shared" si="3"/>
        <v>0</v>
      </c>
      <c r="K12" s="92">
        <f t="shared" si="4"/>
        <v>1</v>
      </c>
      <c r="L12" s="22">
        <f>GRAFICA_58!N34</f>
        <v>12</v>
      </c>
      <c r="M12" s="22">
        <f>GRAFICA_58!O34</f>
        <v>2100000</v>
      </c>
      <c r="N12" s="6">
        <f t="shared" si="5"/>
        <v>90000</v>
      </c>
    </row>
    <row r="13" spans="2:14" ht="19.05" customHeight="1" x14ac:dyDescent="0.3">
      <c r="B13" s="59">
        <v>8</v>
      </c>
      <c r="C13" s="22">
        <f>GRAFICA_58!E35</f>
        <v>0</v>
      </c>
      <c r="D13" s="22">
        <f>GRAFICA_58!F35</f>
        <v>0</v>
      </c>
      <c r="E13" s="22">
        <f>GRAFICA_58!G35</f>
        <v>400</v>
      </c>
      <c r="F13" s="22">
        <f>GRAFICA_58!H35</f>
        <v>280</v>
      </c>
      <c r="G13" s="9">
        <f t="shared" si="0"/>
        <v>400</v>
      </c>
      <c r="H13" s="9">
        <f t="shared" si="1"/>
        <v>280</v>
      </c>
      <c r="I13" s="9">
        <f t="shared" si="2"/>
        <v>488.26222462934811</v>
      </c>
      <c r="J13" s="92">
        <f t="shared" si="3"/>
        <v>0.81923192051904048</v>
      </c>
      <c r="K13" s="92">
        <f t="shared" si="4"/>
        <v>0.57346234436332832</v>
      </c>
      <c r="L13" s="22">
        <f>GRAFICA_58!N35</f>
        <v>12</v>
      </c>
      <c r="M13" s="22">
        <f>GRAFICA_58!O35</f>
        <v>2100000</v>
      </c>
      <c r="N13" s="6">
        <f t="shared" si="5"/>
        <v>51611.610992699549</v>
      </c>
    </row>
    <row r="14" spans="2:14" ht="19.05" customHeight="1" x14ac:dyDescent="0.3">
      <c r="B14" s="60">
        <v>9</v>
      </c>
      <c r="C14" s="22">
        <f>GRAFICA_58!E36</f>
        <v>0</v>
      </c>
      <c r="D14" s="22">
        <f>GRAFICA_58!F36</f>
        <v>280</v>
      </c>
      <c r="E14" s="22">
        <f>GRAFICA_58!G36</f>
        <v>400</v>
      </c>
      <c r="F14" s="22">
        <f>GRAFICA_58!H36</f>
        <v>0</v>
      </c>
      <c r="G14" s="9">
        <f t="shared" si="0"/>
        <v>400</v>
      </c>
      <c r="H14" s="9">
        <f t="shared" si="1"/>
        <v>-280</v>
      </c>
      <c r="I14" s="9">
        <f t="shared" si="2"/>
        <v>488.26222462934811</v>
      </c>
      <c r="J14" s="92">
        <f t="shared" si="3"/>
        <v>0.81923192051904048</v>
      </c>
      <c r="K14" s="92">
        <f t="shared" si="4"/>
        <v>-0.57346234436332832</v>
      </c>
      <c r="L14" s="22">
        <f>GRAFICA_58!N36</f>
        <v>12</v>
      </c>
      <c r="M14" s="22">
        <f>GRAFICA_58!O36</f>
        <v>2100000</v>
      </c>
      <c r="N14" s="6">
        <f t="shared" si="5"/>
        <v>51611.610992699549</v>
      </c>
    </row>
    <row r="15" spans="2:14" ht="19.05" customHeight="1" x14ac:dyDescent="0.3">
      <c r="B15" s="67">
        <v>10</v>
      </c>
      <c r="C15" s="22">
        <f>GRAFICA_58!E37</f>
        <v>400</v>
      </c>
      <c r="D15" s="22">
        <f>GRAFICA_58!F37</f>
        <v>0</v>
      </c>
      <c r="E15" s="22">
        <f>GRAFICA_58!G37</f>
        <v>800</v>
      </c>
      <c r="F15" s="22">
        <f>GRAFICA_58!H37</f>
        <v>280</v>
      </c>
      <c r="G15" s="9">
        <f t="shared" si="0"/>
        <v>400</v>
      </c>
      <c r="H15" s="9">
        <f t="shared" si="1"/>
        <v>280</v>
      </c>
      <c r="I15" s="9">
        <f t="shared" si="2"/>
        <v>488.26222462934811</v>
      </c>
      <c r="J15" s="92">
        <f t="shared" si="3"/>
        <v>0.81923192051904048</v>
      </c>
      <c r="K15" s="92">
        <f t="shared" si="4"/>
        <v>0.57346234436332832</v>
      </c>
      <c r="L15" s="22">
        <f>GRAFICA_58!N37</f>
        <v>12</v>
      </c>
      <c r="M15" s="22">
        <f>GRAFICA_58!O37</f>
        <v>2100000</v>
      </c>
      <c r="N15" s="6">
        <f t="shared" si="5"/>
        <v>51611.610992699549</v>
      </c>
    </row>
    <row r="16" spans="2:14" ht="19.05" customHeight="1" x14ac:dyDescent="0.3">
      <c r="B16" s="68">
        <v>11</v>
      </c>
      <c r="C16" s="22">
        <f>GRAFICA_58!E38</f>
        <v>400</v>
      </c>
      <c r="D16" s="22">
        <f>GRAFICA_58!F38</f>
        <v>280</v>
      </c>
      <c r="E16" s="22">
        <f>GRAFICA_58!G38</f>
        <v>800</v>
      </c>
      <c r="F16" s="22">
        <f>GRAFICA_58!H38</f>
        <v>0</v>
      </c>
      <c r="G16" s="9">
        <f t="shared" si="0"/>
        <v>400</v>
      </c>
      <c r="H16" s="9">
        <f t="shared" si="1"/>
        <v>-280</v>
      </c>
      <c r="I16" s="9">
        <f t="shared" si="2"/>
        <v>488.26222462934811</v>
      </c>
      <c r="J16" s="92">
        <f t="shared" si="3"/>
        <v>0.81923192051904048</v>
      </c>
      <c r="K16" s="92">
        <f t="shared" si="4"/>
        <v>-0.57346234436332832</v>
      </c>
      <c r="L16" s="22">
        <f>GRAFICA_58!N38</f>
        <v>12</v>
      </c>
      <c r="M16" s="22">
        <f>GRAFICA_58!O38</f>
        <v>2100000</v>
      </c>
      <c r="N16" s="6">
        <f t="shared" si="5"/>
        <v>51611.610992699549</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GRAFICA_58!C28</f>
        <v>1</v>
      </c>
      <c r="D20" s="23">
        <f>GRAFICA_58!C28</f>
        <v>1</v>
      </c>
      <c r="E20" s="23">
        <f>GRAFICA_58!D28</f>
        <v>2</v>
      </c>
      <c r="F20" s="23">
        <f>GRAFICA_58!D28</f>
        <v>2</v>
      </c>
    </row>
    <row r="21" spans="2:6" ht="19.05" customHeight="1" x14ac:dyDescent="0.3">
      <c r="B21" s="25">
        <v>2</v>
      </c>
      <c r="C21" s="23">
        <f>GRAFICA_58!C29</f>
        <v>2</v>
      </c>
      <c r="D21" s="23">
        <f>GRAFICA_58!C29</f>
        <v>2</v>
      </c>
      <c r="E21" s="23">
        <f>GRAFICA_58!D29</f>
        <v>3</v>
      </c>
      <c r="F21" s="23">
        <f>GRAFICA_58!D29</f>
        <v>3</v>
      </c>
    </row>
    <row r="22" spans="2:6" ht="19.05" customHeight="1" x14ac:dyDescent="0.3">
      <c r="B22" s="26">
        <v>3</v>
      </c>
      <c r="C22" s="23">
        <f>GRAFICA_58!C30</f>
        <v>4</v>
      </c>
      <c r="D22" s="23">
        <f>GRAFICA_58!C30</f>
        <v>4</v>
      </c>
      <c r="E22" s="23">
        <f>GRAFICA_58!D30</f>
        <v>5</v>
      </c>
      <c r="F22" s="23">
        <f>GRAFICA_58!D30</f>
        <v>5</v>
      </c>
    </row>
    <row r="23" spans="2:6" ht="19.05" customHeight="1" x14ac:dyDescent="0.3">
      <c r="B23" s="43">
        <v>4</v>
      </c>
      <c r="C23" s="23">
        <f>GRAFICA_58!C31</f>
        <v>5</v>
      </c>
      <c r="D23" s="23">
        <f>GRAFICA_58!C31</f>
        <v>5</v>
      </c>
      <c r="E23" s="23">
        <f>GRAFICA_58!D31</f>
        <v>6</v>
      </c>
      <c r="F23" s="23">
        <f>GRAFICA_58!D31</f>
        <v>6</v>
      </c>
    </row>
    <row r="24" spans="2:6" ht="19.05" customHeight="1" x14ac:dyDescent="0.3">
      <c r="B24" s="44">
        <v>5</v>
      </c>
      <c r="C24" s="23">
        <f>GRAFICA_58!C32</f>
        <v>1</v>
      </c>
      <c r="D24" s="23">
        <f>GRAFICA_58!C32</f>
        <v>1</v>
      </c>
      <c r="E24" s="23">
        <f>GRAFICA_58!D32</f>
        <v>4</v>
      </c>
      <c r="F24" s="23">
        <f>GRAFICA_58!D32</f>
        <v>4</v>
      </c>
    </row>
    <row r="25" spans="2:6" ht="19.05" customHeight="1" x14ac:dyDescent="0.3">
      <c r="B25" s="51">
        <v>6</v>
      </c>
      <c r="C25" s="23">
        <f>GRAFICA_58!C33</f>
        <v>2</v>
      </c>
      <c r="D25" s="23">
        <f>GRAFICA_58!C33</f>
        <v>2</v>
      </c>
      <c r="E25" s="23">
        <f>GRAFICA_58!D33</f>
        <v>5</v>
      </c>
      <c r="F25" s="23">
        <f>GRAFICA_58!D33</f>
        <v>5</v>
      </c>
    </row>
    <row r="26" spans="2:6" ht="19.05" customHeight="1" x14ac:dyDescent="0.3">
      <c r="B26" s="52">
        <v>7</v>
      </c>
      <c r="C26" s="23">
        <f>GRAFICA_58!C34</f>
        <v>3</v>
      </c>
      <c r="D26" s="23">
        <f>GRAFICA_58!C34</f>
        <v>3</v>
      </c>
      <c r="E26" s="23">
        <f>GRAFICA_58!D34</f>
        <v>6</v>
      </c>
      <c r="F26" s="23">
        <f>GRAFICA_58!D34</f>
        <v>6</v>
      </c>
    </row>
    <row r="27" spans="2:6" ht="19.05" customHeight="1" x14ac:dyDescent="0.3">
      <c r="B27" s="59">
        <v>8</v>
      </c>
      <c r="C27" s="23">
        <f>GRAFICA_58!C35</f>
        <v>1</v>
      </c>
      <c r="D27" s="23">
        <f>GRAFICA_58!C35</f>
        <v>1</v>
      </c>
      <c r="E27" s="23">
        <f>GRAFICA_58!D35</f>
        <v>5</v>
      </c>
      <c r="F27" s="23">
        <f>GRAFICA_58!D35</f>
        <v>5</v>
      </c>
    </row>
    <row r="28" spans="2:6" ht="19.05" customHeight="1" x14ac:dyDescent="0.3">
      <c r="B28" s="60">
        <v>9</v>
      </c>
      <c r="C28" s="23">
        <f>GRAFICA_58!C36</f>
        <v>4</v>
      </c>
      <c r="D28" s="23">
        <f>GRAFICA_58!C36</f>
        <v>4</v>
      </c>
      <c r="E28" s="23">
        <f>GRAFICA_58!D36</f>
        <v>2</v>
      </c>
      <c r="F28" s="23">
        <f>GRAFICA_58!D36</f>
        <v>2</v>
      </c>
    </row>
    <row r="29" spans="2:6" ht="19.05" customHeight="1" x14ac:dyDescent="0.3">
      <c r="B29" s="67">
        <v>10</v>
      </c>
      <c r="C29" s="23">
        <f>GRAFICA_58!C37</f>
        <v>2</v>
      </c>
      <c r="D29" s="23">
        <f>GRAFICA_58!C37</f>
        <v>2</v>
      </c>
      <c r="E29" s="23">
        <f>GRAFICA_58!D37</f>
        <v>6</v>
      </c>
      <c r="F29" s="23">
        <f>GRAFICA_58!D37</f>
        <v>6</v>
      </c>
    </row>
    <row r="30" spans="2:6" ht="19.05" customHeight="1" x14ac:dyDescent="0.3">
      <c r="B30" s="68">
        <v>11</v>
      </c>
      <c r="C30" s="23">
        <f>GRAFICA_58!C38</f>
        <v>5</v>
      </c>
      <c r="D30" s="23">
        <f>GRAFICA_58!C38</f>
        <v>5</v>
      </c>
      <c r="E30" s="23">
        <f>GRAFICA_58!D38</f>
        <v>3</v>
      </c>
      <c r="F30" s="23">
        <f>GRAFICA_58!D38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90000</v>
      </c>
      <c r="D119" s="49">
        <f>-B119</f>
        <v>0</v>
      </c>
      <c r="E119" s="49">
        <f>-C119</f>
        <v>-90000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-90000</v>
      </c>
      <c r="D121" s="49">
        <f>B119</f>
        <v>0</v>
      </c>
      <c r="E121" s="49">
        <f>C119</f>
        <v>90000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90000</v>
      </c>
      <c r="D125" s="9">
        <f t="shared" si="10"/>
        <v>0</v>
      </c>
      <c r="E125" s="9">
        <f t="shared" si="10"/>
        <v>0</v>
      </c>
      <c r="F125" s="9">
        <f t="shared" si="10"/>
        <v>0</v>
      </c>
      <c r="G125" s="9">
        <f t="shared" si="10"/>
        <v>0</v>
      </c>
      <c r="H125" s="50">
        <f t="shared" si="10"/>
        <v>0</v>
      </c>
      <c r="I125" s="50">
        <f t="shared" si="10"/>
        <v>-90000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-90000</v>
      </c>
      <c r="D131" s="9">
        <f t="shared" si="10"/>
        <v>0</v>
      </c>
      <c r="E131" s="9">
        <f t="shared" si="10"/>
        <v>0</v>
      </c>
      <c r="F131" s="9">
        <f t="shared" si="10"/>
        <v>0</v>
      </c>
      <c r="G131" s="9">
        <f t="shared" si="10"/>
        <v>0</v>
      </c>
      <c r="H131" s="50">
        <f t="shared" si="10"/>
        <v>0</v>
      </c>
      <c r="I131" s="50">
        <f t="shared" si="10"/>
        <v>90000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90000</v>
      </c>
      <c r="D140" s="54">
        <f>-B140</f>
        <v>0</v>
      </c>
      <c r="E140" s="54">
        <f>-C140</f>
        <v>-90000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-90000</v>
      </c>
      <c r="D142" s="54">
        <f>B140</f>
        <v>0</v>
      </c>
      <c r="E142" s="54">
        <f>C140</f>
        <v>90000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90000</v>
      </c>
      <c r="F148" s="9">
        <f t="shared" si="11"/>
        <v>0</v>
      </c>
      <c r="G148" s="9">
        <f t="shared" si="11"/>
        <v>0</v>
      </c>
      <c r="H148" s="9">
        <f t="shared" si="11"/>
        <v>0</v>
      </c>
      <c r="I148" s="9">
        <f t="shared" si="11"/>
        <v>0</v>
      </c>
      <c r="J148" s="55">
        <f t="shared" si="11"/>
        <v>0</v>
      </c>
      <c r="K148" s="55">
        <f t="shared" si="11"/>
        <v>-90000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-90000</v>
      </c>
      <c r="F154" s="9">
        <f t="shared" si="11"/>
        <v>0</v>
      </c>
      <c r="G154" s="9">
        <f t="shared" si="11"/>
        <v>0</v>
      </c>
      <c r="H154" s="9">
        <f t="shared" si="11"/>
        <v>0</v>
      </c>
      <c r="I154" s="9">
        <f t="shared" si="11"/>
        <v>0</v>
      </c>
      <c r="J154" s="55">
        <f t="shared" si="11"/>
        <v>0</v>
      </c>
      <c r="K154" s="55">
        <f t="shared" si="11"/>
        <v>90000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90000</v>
      </c>
      <c r="D161" s="57">
        <f>-B161</f>
        <v>0</v>
      </c>
      <c r="E161" s="57">
        <f>-C161</f>
        <v>-90000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-90000</v>
      </c>
      <c r="D163" s="57">
        <f>B161</f>
        <v>0</v>
      </c>
      <c r="E163" s="57">
        <f>C161</f>
        <v>90000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90000</v>
      </c>
      <c r="H171" s="9">
        <f t="shared" si="12"/>
        <v>0</v>
      </c>
      <c r="I171" s="9">
        <f t="shared" si="12"/>
        <v>0</v>
      </c>
      <c r="J171" s="9">
        <f t="shared" si="12"/>
        <v>0</v>
      </c>
      <c r="K171" s="9">
        <f t="shared" si="12"/>
        <v>0</v>
      </c>
      <c r="L171" s="58">
        <f t="shared" si="12"/>
        <v>0</v>
      </c>
      <c r="M171" s="58">
        <f t="shared" si="12"/>
        <v>-90000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-90000</v>
      </c>
      <c r="H177" s="9">
        <f t="shared" si="12"/>
        <v>0</v>
      </c>
      <c r="I177" s="9">
        <f t="shared" si="12"/>
        <v>0</v>
      </c>
      <c r="J177" s="9">
        <f t="shared" si="12"/>
        <v>0</v>
      </c>
      <c r="K177" s="9">
        <f t="shared" si="12"/>
        <v>0</v>
      </c>
      <c r="L177" s="58">
        <f t="shared" si="12"/>
        <v>0</v>
      </c>
      <c r="M177" s="58">
        <f t="shared" si="12"/>
        <v>90000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34638.66509577151</v>
      </c>
      <c r="C181" s="62">
        <f>J13*K13*N13</f>
        <v>24247.065567040056</v>
      </c>
      <c r="D181" s="62">
        <f>-B181</f>
        <v>-34638.66509577151</v>
      </c>
      <c r="E181" s="62">
        <f>-C181</f>
        <v>-24247.065567040056</v>
      </c>
      <c r="F181" s="61" t="str">
        <f>B180</f>
        <v>U1X</v>
      </c>
    </row>
    <row r="182" spans="1:14" ht="16.8" customHeight="1" x14ac:dyDescent="0.3">
      <c r="A182" s="28" t="s">
        <v>203</v>
      </c>
      <c r="B182" s="62">
        <f>C181</f>
        <v>24247.065567040056</v>
      </c>
      <c r="C182" s="62">
        <f>K13*K13*N13</f>
        <v>16972.945896928042</v>
      </c>
      <c r="D182" s="62">
        <f>-B182</f>
        <v>-24247.065567040056</v>
      </c>
      <c r="E182" s="62">
        <f>-C182</f>
        <v>-16972.945896928042</v>
      </c>
      <c r="F182" s="61" t="str">
        <f>C180</f>
        <v>U1Y</v>
      </c>
    </row>
    <row r="183" spans="1:14" x14ac:dyDescent="0.3">
      <c r="B183" s="62">
        <f>D181</f>
        <v>-34638.66509577151</v>
      </c>
      <c r="C183" s="62">
        <f>E181</f>
        <v>-24247.065567040056</v>
      </c>
      <c r="D183" s="62">
        <f>B181</f>
        <v>34638.66509577151</v>
      </c>
      <c r="E183" s="62">
        <f>C181</f>
        <v>24247.065567040056</v>
      </c>
      <c r="F183" s="61" t="str">
        <f>D180</f>
        <v>U5X</v>
      </c>
    </row>
    <row r="184" spans="1:14" x14ac:dyDescent="0.3">
      <c r="B184" s="62">
        <f>D182</f>
        <v>-24247.065567040056</v>
      </c>
      <c r="C184" s="62">
        <f>E182</f>
        <v>-16972.945896928042</v>
      </c>
      <c r="D184" s="62">
        <f>B182</f>
        <v>24247.065567040056</v>
      </c>
      <c r="E184" s="62">
        <f>C182</f>
        <v>16972.945896928042</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34638.66509577151</v>
      </c>
      <c r="C187" s="63">
        <f t="shared" si="13"/>
        <v>24247.065567040056</v>
      </c>
      <c r="D187" s="9">
        <f t="shared" si="13"/>
        <v>0</v>
      </c>
      <c r="E187" s="9">
        <f t="shared" si="13"/>
        <v>0</v>
      </c>
      <c r="F187" s="9">
        <f t="shared" si="13"/>
        <v>0</v>
      </c>
      <c r="G187" s="9">
        <f t="shared" si="13"/>
        <v>0</v>
      </c>
      <c r="H187" s="9">
        <f t="shared" si="13"/>
        <v>0</v>
      </c>
      <c r="I187" s="9">
        <f t="shared" si="13"/>
        <v>0</v>
      </c>
      <c r="J187" s="63">
        <f t="shared" si="13"/>
        <v>-34638.66509577151</v>
      </c>
      <c r="K187" s="63">
        <f t="shared" si="13"/>
        <v>-24247.065567040056</v>
      </c>
      <c r="L187" s="9">
        <f t="shared" si="13"/>
        <v>0</v>
      </c>
      <c r="M187" s="9">
        <f t="shared" si="13"/>
        <v>0</v>
      </c>
      <c r="N187" s="61" t="s">
        <v>178</v>
      </c>
    </row>
    <row r="188" spans="1:14" ht="19.05" customHeight="1" x14ac:dyDescent="0.3">
      <c r="B188" s="63">
        <f t="shared" si="13"/>
        <v>24247.065567040056</v>
      </c>
      <c r="C188" s="63">
        <f t="shared" si="13"/>
        <v>16972.945896928042</v>
      </c>
      <c r="D188" s="9">
        <f t="shared" si="13"/>
        <v>0</v>
      </c>
      <c r="E188" s="9">
        <f t="shared" si="13"/>
        <v>0</v>
      </c>
      <c r="F188" s="9">
        <f t="shared" si="13"/>
        <v>0</v>
      </c>
      <c r="G188" s="9">
        <f t="shared" si="13"/>
        <v>0</v>
      </c>
      <c r="H188" s="9">
        <f t="shared" si="13"/>
        <v>0</v>
      </c>
      <c r="I188" s="9">
        <f t="shared" si="13"/>
        <v>0</v>
      </c>
      <c r="J188" s="63">
        <f t="shared" si="13"/>
        <v>-24247.065567040056</v>
      </c>
      <c r="K188" s="63">
        <f t="shared" si="13"/>
        <v>-16972.945896928042</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-34638.66509577151</v>
      </c>
      <c r="C195" s="63">
        <f t="shared" si="13"/>
        <v>-24247.065567040056</v>
      </c>
      <c r="D195" s="9">
        <f t="shared" si="13"/>
        <v>0</v>
      </c>
      <c r="E195" s="9">
        <f t="shared" si="13"/>
        <v>0</v>
      </c>
      <c r="F195" s="9">
        <f t="shared" si="13"/>
        <v>0</v>
      </c>
      <c r="G195" s="9">
        <f t="shared" si="13"/>
        <v>0</v>
      </c>
      <c r="H195" s="9">
        <f t="shared" si="13"/>
        <v>0</v>
      </c>
      <c r="I195" s="9">
        <f t="shared" si="13"/>
        <v>0</v>
      </c>
      <c r="J195" s="63">
        <f t="shared" si="13"/>
        <v>34638.66509577151</v>
      </c>
      <c r="K195" s="63">
        <f t="shared" si="13"/>
        <v>24247.065567040056</v>
      </c>
      <c r="L195" s="9">
        <f t="shared" si="13"/>
        <v>0</v>
      </c>
      <c r="M195" s="9">
        <f t="shared" si="13"/>
        <v>0</v>
      </c>
      <c r="N195" s="61" t="s">
        <v>186</v>
      </c>
    </row>
    <row r="196" spans="1:14" ht="19.05" customHeight="1" x14ac:dyDescent="0.3">
      <c r="B196" s="63">
        <f t="shared" si="13"/>
        <v>-24247.065567040056</v>
      </c>
      <c r="C196" s="63">
        <f t="shared" si="13"/>
        <v>-16972.945896928042</v>
      </c>
      <c r="D196" s="9">
        <f t="shared" si="13"/>
        <v>0</v>
      </c>
      <c r="E196" s="9">
        <f t="shared" si="13"/>
        <v>0</v>
      </c>
      <c r="F196" s="9">
        <f t="shared" si="13"/>
        <v>0</v>
      </c>
      <c r="G196" s="9">
        <f t="shared" si="13"/>
        <v>0</v>
      </c>
      <c r="H196" s="9">
        <f t="shared" si="13"/>
        <v>0</v>
      </c>
      <c r="I196" s="9">
        <f t="shared" si="13"/>
        <v>0</v>
      </c>
      <c r="J196" s="63">
        <f t="shared" si="13"/>
        <v>24247.065567040056</v>
      </c>
      <c r="K196" s="63">
        <f t="shared" si="13"/>
        <v>16972.945896928042</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34638.66509577151</v>
      </c>
      <c r="C202" s="65">
        <f>J14*K14*N14</f>
        <v>-24247.065567040056</v>
      </c>
      <c r="D202" s="65">
        <f>-B202</f>
        <v>-34638.66509577151</v>
      </c>
      <c r="E202" s="65">
        <f>-C202</f>
        <v>24247.065567040056</v>
      </c>
      <c r="F202" s="64" t="str">
        <f>B201</f>
        <v>U4X</v>
      </c>
    </row>
    <row r="203" spans="1:14" ht="16.8" customHeight="1" x14ac:dyDescent="0.3">
      <c r="A203" s="28" t="s">
        <v>528</v>
      </c>
      <c r="B203" s="65">
        <f>C202</f>
        <v>-24247.065567040056</v>
      </c>
      <c r="C203" s="65">
        <f>K14*K14*N14</f>
        <v>16972.945896928042</v>
      </c>
      <c r="D203" s="65">
        <f>-B203</f>
        <v>24247.065567040056</v>
      </c>
      <c r="E203" s="65">
        <f>-C203</f>
        <v>-16972.945896928042</v>
      </c>
      <c r="F203" s="64" t="str">
        <f>C201</f>
        <v>U4Y</v>
      </c>
    </row>
    <row r="204" spans="1:14" x14ac:dyDescent="0.3">
      <c r="B204" s="65">
        <f>D202</f>
        <v>-34638.66509577151</v>
      </c>
      <c r="C204" s="65">
        <f>E202</f>
        <v>24247.065567040056</v>
      </c>
      <c r="D204" s="65">
        <f>B202</f>
        <v>34638.66509577151</v>
      </c>
      <c r="E204" s="65">
        <f>C202</f>
        <v>-24247.065567040056</v>
      </c>
      <c r="F204" s="64" t="str">
        <f>D201</f>
        <v>U2X</v>
      </c>
    </row>
    <row r="205" spans="1:14" x14ac:dyDescent="0.3">
      <c r="B205" s="65">
        <f>D203</f>
        <v>24247.065567040056</v>
      </c>
      <c r="C205" s="65">
        <f>E203</f>
        <v>-16972.945896928042</v>
      </c>
      <c r="D205" s="65">
        <f>B203</f>
        <v>-24247.065567040056</v>
      </c>
      <c r="E205" s="65">
        <f>C203</f>
        <v>16972.945896928042</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34638.66509577151</v>
      </c>
      <c r="E210" s="66">
        <f t="shared" si="14"/>
        <v>-24247.065567040056</v>
      </c>
      <c r="F210" s="9">
        <f t="shared" si="14"/>
        <v>0</v>
      </c>
      <c r="G210" s="9">
        <f t="shared" si="14"/>
        <v>0</v>
      </c>
      <c r="H210" s="66">
        <f t="shared" si="14"/>
        <v>-34638.66509577151</v>
      </c>
      <c r="I210" s="66">
        <f t="shared" si="14"/>
        <v>24247.065567040056</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-24247.065567040056</v>
      </c>
      <c r="E211" s="66">
        <f t="shared" si="14"/>
        <v>16972.945896928042</v>
      </c>
      <c r="F211" s="9">
        <f t="shared" si="14"/>
        <v>0</v>
      </c>
      <c r="G211" s="9">
        <f t="shared" si="14"/>
        <v>0</v>
      </c>
      <c r="H211" s="66">
        <f t="shared" si="14"/>
        <v>24247.065567040056</v>
      </c>
      <c r="I211" s="66">
        <f t="shared" si="14"/>
        <v>-16972.945896928042</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-34638.66509577151</v>
      </c>
      <c r="E214" s="66">
        <f t="shared" si="14"/>
        <v>24247.065567040056</v>
      </c>
      <c r="F214" s="9">
        <f t="shared" si="14"/>
        <v>0</v>
      </c>
      <c r="G214" s="9">
        <f t="shared" si="14"/>
        <v>0</v>
      </c>
      <c r="H214" s="66">
        <f t="shared" si="14"/>
        <v>34638.66509577151</v>
      </c>
      <c r="I214" s="66">
        <f t="shared" si="14"/>
        <v>-24247.065567040056</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24247.065567040056</v>
      </c>
      <c r="E215" s="66">
        <f t="shared" si="14"/>
        <v>-16972.945896928042</v>
      </c>
      <c r="F215" s="9">
        <f t="shared" si="14"/>
        <v>0</v>
      </c>
      <c r="G215" s="9">
        <f t="shared" si="14"/>
        <v>0</v>
      </c>
      <c r="H215" s="66">
        <f t="shared" si="14"/>
        <v>-24247.065567040056</v>
      </c>
      <c r="I215" s="66">
        <f t="shared" si="14"/>
        <v>16972.945896928042</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34638.66509577151</v>
      </c>
      <c r="C223" s="70">
        <f>J15*K15*N15</f>
        <v>24247.065567040056</v>
      </c>
      <c r="D223" s="70">
        <f>-B223</f>
        <v>-34638.66509577151</v>
      </c>
      <c r="E223" s="70">
        <f>-C223</f>
        <v>-24247.065567040056</v>
      </c>
      <c r="F223" s="69" t="str">
        <f>B222</f>
        <v>U2X</v>
      </c>
    </row>
    <row r="224" spans="1:14" ht="16.8" customHeight="1" x14ac:dyDescent="0.3">
      <c r="A224" s="28" t="s">
        <v>581</v>
      </c>
      <c r="B224" s="70">
        <f>C223</f>
        <v>24247.065567040056</v>
      </c>
      <c r="C224" s="70">
        <f>K15*K15*N15</f>
        <v>16972.945896928042</v>
      </c>
      <c r="D224" s="70">
        <f>-B224</f>
        <v>-24247.065567040056</v>
      </c>
      <c r="E224" s="70">
        <f>-C224</f>
        <v>-16972.945896928042</v>
      </c>
      <c r="F224" s="69" t="str">
        <f>C222</f>
        <v>U2Y</v>
      </c>
    </row>
    <row r="225" spans="1:14" x14ac:dyDescent="0.3">
      <c r="B225" s="70">
        <f>D223</f>
        <v>-34638.66509577151</v>
      </c>
      <c r="C225" s="70">
        <f>E223</f>
        <v>-24247.065567040056</v>
      </c>
      <c r="D225" s="70">
        <f>B223</f>
        <v>34638.66509577151</v>
      </c>
      <c r="E225" s="70">
        <f>C223</f>
        <v>24247.065567040056</v>
      </c>
      <c r="F225" s="69" t="str">
        <f>D222</f>
        <v>U6X</v>
      </c>
    </row>
    <row r="226" spans="1:14" x14ac:dyDescent="0.3">
      <c r="B226" s="70">
        <f>D224</f>
        <v>-24247.065567040056</v>
      </c>
      <c r="C226" s="70">
        <f>E224</f>
        <v>-16972.945896928042</v>
      </c>
      <c r="D226" s="70">
        <f>B224</f>
        <v>24247.065567040056</v>
      </c>
      <c r="E226" s="70">
        <f>C224</f>
        <v>16972.945896928042</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34638.66509577151</v>
      </c>
      <c r="E231" s="71">
        <f t="shared" si="15"/>
        <v>24247.065567040056</v>
      </c>
      <c r="F231" s="9">
        <f t="shared" si="15"/>
        <v>0</v>
      </c>
      <c r="G231" s="9">
        <f t="shared" si="15"/>
        <v>0</v>
      </c>
      <c r="H231" s="9">
        <f t="shared" si="15"/>
        <v>0</v>
      </c>
      <c r="I231" s="9">
        <f t="shared" si="15"/>
        <v>0</v>
      </c>
      <c r="J231" s="9">
        <f t="shared" si="15"/>
        <v>0</v>
      </c>
      <c r="K231" s="9">
        <f t="shared" si="15"/>
        <v>0</v>
      </c>
      <c r="L231" s="71">
        <f t="shared" si="15"/>
        <v>-34638.66509577151</v>
      </c>
      <c r="M231" s="71">
        <f t="shared" si="15"/>
        <v>-24247.065567040056</v>
      </c>
      <c r="N231" s="69" t="s">
        <v>180</v>
      </c>
    </row>
    <row r="232" spans="1:14" ht="19.05" customHeight="1" x14ac:dyDescent="0.3">
      <c r="B232" s="9">
        <f t="shared" si="15"/>
        <v>0</v>
      </c>
      <c r="C232" s="9">
        <f t="shared" si="15"/>
        <v>0</v>
      </c>
      <c r="D232" s="71">
        <f t="shared" si="15"/>
        <v>24247.065567040056</v>
      </c>
      <c r="E232" s="71">
        <f t="shared" si="15"/>
        <v>16972.945896928042</v>
      </c>
      <c r="F232" s="9">
        <f t="shared" si="15"/>
        <v>0</v>
      </c>
      <c r="G232" s="9">
        <f t="shared" si="15"/>
        <v>0</v>
      </c>
      <c r="H232" s="9">
        <f t="shared" si="15"/>
        <v>0</v>
      </c>
      <c r="I232" s="9">
        <f t="shared" si="15"/>
        <v>0</v>
      </c>
      <c r="J232" s="9">
        <f t="shared" si="15"/>
        <v>0</v>
      </c>
      <c r="K232" s="9">
        <f t="shared" si="15"/>
        <v>0</v>
      </c>
      <c r="L232" s="71">
        <f t="shared" si="15"/>
        <v>-24247.065567040056</v>
      </c>
      <c r="M232" s="71">
        <f t="shared" si="15"/>
        <v>-16972.945896928042</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-34638.66509577151</v>
      </c>
      <c r="E239" s="71">
        <f t="shared" si="15"/>
        <v>-24247.065567040056</v>
      </c>
      <c r="F239" s="9">
        <f t="shared" si="15"/>
        <v>0</v>
      </c>
      <c r="G239" s="9">
        <f t="shared" si="15"/>
        <v>0</v>
      </c>
      <c r="H239" s="9">
        <f t="shared" si="15"/>
        <v>0</v>
      </c>
      <c r="I239" s="9">
        <f t="shared" si="15"/>
        <v>0</v>
      </c>
      <c r="J239" s="9">
        <f t="shared" si="15"/>
        <v>0</v>
      </c>
      <c r="K239" s="9">
        <f t="shared" si="15"/>
        <v>0</v>
      </c>
      <c r="L239" s="71">
        <f t="shared" si="15"/>
        <v>34638.66509577151</v>
      </c>
      <c r="M239" s="71">
        <f t="shared" si="15"/>
        <v>24247.065567040056</v>
      </c>
      <c r="N239" s="69" t="s">
        <v>188</v>
      </c>
    </row>
    <row r="240" spans="1:14" ht="19.05" customHeight="1" x14ac:dyDescent="0.3">
      <c r="B240" s="9">
        <f t="shared" si="15"/>
        <v>0</v>
      </c>
      <c r="C240" s="9">
        <f t="shared" si="15"/>
        <v>0</v>
      </c>
      <c r="D240" s="71">
        <f t="shared" si="15"/>
        <v>-24247.065567040056</v>
      </c>
      <c r="E240" s="71">
        <f t="shared" si="15"/>
        <v>-16972.945896928042</v>
      </c>
      <c r="F240" s="9">
        <f t="shared" si="15"/>
        <v>0</v>
      </c>
      <c r="G240" s="9">
        <f t="shared" si="15"/>
        <v>0</v>
      </c>
      <c r="H240" s="9">
        <f t="shared" si="15"/>
        <v>0</v>
      </c>
      <c r="I240" s="9">
        <f t="shared" si="15"/>
        <v>0</v>
      </c>
      <c r="J240" s="9">
        <f t="shared" si="15"/>
        <v>0</v>
      </c>
      <c r="K240" s="9">
        <f t="shared" si="15"/>
        <v>0</v>
      </c>
      <c r="L240" s="71">
        <f t="shared" si="15"/>
        <v>24247.065567040056</v>
      </c>
      <c r="M240" s="71">
        <f t="shared" si="15"/>
        <v>16972.945896928042</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34638.66509577151</v>
      </c>
      <c r="C244" s="73">
        <f>J16*K16*N16</f>
        <v>-24247.065567040056</v>
      </c>
      <c r="D244" s="73">
        <f>-B244</f>
        <v>-34638.66509577151</v>
      </c>
      <c r="E244" s="73">
        <f>-C244</f>
        <v>24247.065567040056</v>
      </c>
      <c r="F244" s="72" t="str">
        <f>B243</f>
        <v>U5X</v>
      </c>
    </row>
    <row r="245" spans="1:14" ht="16.8" customHeight="1" x14ac:dyDescent="0.3">
      <c r="A245" s="28" t="s">
        <v>583</v>
      </c>
      <c r="B245" s="73">
        <f>C244</f>
        <v>-24247.065567040056</v>
      </c>
      <c r="C245" s="73">
        <f>K16*K16*N16</f>
        <v>16972.945896928042</v>
      </c>
      <c r="D245" s="73">
        <f>-B245</f>
        <v>24247.065567040056</v>
      </c>
      <c r="E245" s="73">
        <f>-C245</f>
        <v>-16972.945896928042</v>
      </c>
      <c r="F245" s="72" t="str">
        <f>C243</f>
        <v>U5Y</v>
      </c>
    </row>
    <row r="246" spans="1:14" x14ac:dyDescent="0.3">
      <c r="B246" s="73">
        <f>D244</f>
        <v>-34638.66509577151</v>
      </c>
      <c r="C246" s="73">
        <f>E244</f>
        <v>24247.065567040056</v>
      </c>
      <c r="D246" s="73">
        <f>B244</f>
        <v>34638.66509577151</v>
      </c>
      <c r="E246" s="73">
        <f>C244</f>
        <v>-24247.065567040056</v>
      </c>
      <c r="F246" s="72" t="str">
        <f>D243</f>
        <v>U3X</v>
      </c>
    </row>
    <row r="247" spans="1:14" x14ac:dyDescent="0.3">
      <c r="B247" s="73">
        <f>D245</f>
        <v>24247.065567040056</v>
      </c>
      <c r="C247" s="73">
        <f>E245</f>
        <v>-16972.945896928042</v>
      </c>
      <c r="D247" s="73">
        <f>B245</f>
        <v>-24247.065567040056</v>
      </c>
      <c r="E247" s="73">
        <f>C245</f>
        <v>16972.945896928042</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34638.66509577151</v>
      </c>
      <c r="G254" s="74">
        <f t="shared" si="16"/>
        <v>-24247.065567040056</v>
      </c>
      <c r="H254" s="9">
        <f t="shared" si="16"/>
        <v>0</v>
      </c>
      <c r="I254" s="9">
        <f t="shared" si="16"/>
        <v>0</v>
      </c>
      <c r="J254" s="74">
        <f t="shared" si="16"/>
        <v>-34638.66509577151</v>
      </c>
      <c r="K254" s="74">
        <f t="shared" si="16"/>
        <v>24247.065567040056</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-24247.065567040056</v>
      </c>
      <c r="G255" s="74">
        <f t="shared" si="16"/>
        <v>16972.945896928042</v>
      </c>
      <c r="H255" s="9">
        <f t="shared" si="16"/>
        <v>0</v>
      </c>
      <c r="I255" s="9">
        <f t="shared" si="16"/>
        <v>0</v>
      </c>
      <c r="J255" s="74">
        <f t="shared" si="16"/>
        <v>24247.065567040056</v>
      </c>
      <c r="K255" s="74">
        <f t="shared" si="16"/>
        <v>-16972.945896928042</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-34638.66509577151</v>
      </c>
      <c r="G258" s="74">
        <f t="shared" si="16"/>
        <v>24247.065567040056</v>
      </c>
      <c r="H258" s="9">
        <f t="shared" si="16"/>
        <v>0</v>
      </c>
      <c r="I258" s="9">
        <f t="shared" si="16"/>
        <v>0</v>
      </c>
      <c r="J258" s="74">
        <f t="shared" si="16"/>
        <v>34638.66509577151</v>
      </c>
      <c r="K258" s="74">
        <f t="shared" si="16"/>
        <v>-24247.065567040056</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24247.065567040056</v>
      </c>
      <c r="G259" s="74">
        <f t="shared" si="16"/>
        <v>-16972.945896928042</v>
      </c>
      <c r="H259" s="9">
        <f t="shared" si="16"/>
        <v>0</v>
      </c>
      <c r="I259" s="9">
        <f t="shared" si="16"/>
        <v>0</v>
      </c>
      <c r="J259" s="74">
        <f t="shared" si="16"/>
        <v>-24247.065567040056</v>
      </c>
      <c r="K259" s="74">
        <f t="shared" si="16"/>
        <v>16972.945896928042</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97638.665095771517</v>
      </c>
      <c r="C265" s="36">
        <f t="shared" si="17"/>
        <v>24247.065567040056</v>
      </c>
      <c r="D265" s="9">
        <f t="shared" si="17"/>
        <v>-63000</v>
      </c>
      <c r="E265" s="9">
        <f t="shared" si="17"/>
        <v>0</v>
      </c>
      <c r="F265" s="9">
        <f t="shared" si="17"/>
        <v>0</v>
      </c>
      <c r="G265" s="9">
        <f t="shared" si="17"/>
        <v>0</v>
      </c>
      <c r="H265" s="9">
        <f t="shared" si="17"/>
        <v>0</v>
      </c>
      <c r="I265" s="9">
        <f t="shared" si="17"/>
        <v>0</v>
      </c>
      <c r="J265" s="9">
        <f t="shared" si="17"/>
        <v>-34638.66509577151</v>
      </c>
      <c r="K265" s="9">
        <f t="shared" si="17"/>
        <v>-24247.065567040056</v>
      </c>
      <c r="L265" s="9">
        <f t="shared" si="17"/>
        <v>0</v>
      </c>
      <c r="M265" s="9">
        <f t="shared" si="17"/>
        <v>0</v>
      </c>
      <c r="N265" s="89" t="s">
        <v>178</v>
      </c>
    </row>
    <row r="266" spans="1:14" ht="19.95" customHeight="1" x14ac:dyDescent="0.3">
      <c r="B266" s="36">
        <f t="shared" ref="B266:M266" si="18">B41+B62+B83+B104+B125+B146+B167+B188+B209+B230+B251</f>
        <v>24247.065567040056</v>
      </c>
      <c r="C266" s="35">
        <f t="shared" si="18"/>
        <v>106972.94589692804</v>
      </c>
      <c r="D266" s="9">
        <f t="shared" si="18"/>
        <v>0</v>
      </c>
      <c r="E266" s="9">
        <f t="shared" si="18"/>
        <v>0</v>
      </c>
      <c r="F266" s="9">
        <f t="shared" si="18"/>
        <v>0</v>
      </c>
      <c r="G266" s="9">
        <f t="shared" si="18"/>
        <v>0</v>
      </c>
      <c r="H266" s="9">
        <f t="shared" si="18"/>
        <v>0</v>
      </c>
      <c r="I266" s="9">
        <f t="shared" si="18"/>
        <v>-90000</v>
      </c>
      <c r="J266" s="9">
        <f t="shared" si="18"/>
        <v>-24247.065567040056</v>
      </c>
      <c r="K266" s="9">
        <f t="shared" si="18"/>
        <v>-16972.945896928042</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195277.33019154303</v>
      </c>
      <c r="E267" s="36">
        <f t="shared" si="19"/>
        <v>0</v>
      </c>
      <c r="F267" s="9">
        <f t="shared" si="19"/>
        <v>-63000</v>
      </c>
      <c r="G267" s="9">
        <f t="shared" si="19"/>
        <v>0</v>
      </c>
      <c r="H267" s="9">
        <f t="shared" si="19"/>
        <v>-34638.66509577151</v>
      </c>
      <c r="I267" s="9">
        <f t="shared" si="19"/>
        <v>24247.065567040056</v>
      </c>
      <c r="J267" s="9">
        <f t="shared" si="19"/>
        <v>0</v>
      </c>
      <c r="K267" s="9">
        <f t="shared" si="19"/>
        <v>0</v>
      </c>
      <c r="L267" s="9">
        <f t="shared" si="19"/>
        <v>-34638.66509577151</v>
      </c>
      <c r="M267" s="9">
        <f t="shared" si="19"/>
        <v>-24247.065567040056</v>
      </c>
      <c r="N267" s="89" t="s">
        <v>180</v>
      </c>
    </row>
    <row r="268" spans="1:14" ht="19.95" customHeight="1" x14ac:dyDescent="0.3">
      <c r="B268" s="9">
        <f t="shared" ref="B268:M268" si="20">B43+B64+B85+B106+B127+B148+B169+B190+B211+B232+B253</f>
        <v>0</v>
      </c>
      <c r="C268" s="9">
        <f t="shared" si="20"/>
        <v>0</v>
      </c>
      <c r="D268" s="36">
        <f t="shared" si="20"/>
        <v>0</v>
      </c>
      <c r="E268" s="35">
        <f t="shared" si="20"/>
        <v>123945.89179385608</v>
      </c>
      <c r="F268" s="9">
        <f t="shared" si="20"/>
        <v>0</v>
      </c>
      <c r="G268" s="9">
        <f t="shared" si="20"/>
        <v>0</v>
      </c>
      <c r="H268" s="9">
        <f t="shared" si="20"/>
        <v>24247.065567040056</v>
      </c>
      <c r="I268" s="9">
        <f t="shared" si="20"/>
        <v>-16972.945896928042</v>
      </c>
      <c r="J268" s="9">
        <f t="shared" si="20"/>
        <v>0</v>
      </c>
      <c r="K268" s="9">
        <f t="shared" si="20"/>
        <v>-90000</v>
      </c>
      <c r="L268" s="9">
        <f t="shared" si="20"/>
        <v>-24247.065567040056</v>
      </c>
      <c r="M268" s="9">
        <f t="shared" si="20"/>
        <v>-16972.945896928042</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97638.665095771517</v>
      </c>
      <c r="G269" s="36">
        <f t="shared" si="21"/>
        <v>-24247.065567040056</v>
      </c>
      <c r="H269" s="9">
        <f t="shared" si="21"/>
        <v>0</v>
      </c>
      <c r="I269" s="9">
        <f t="shared" si="21"/>
        <v>0</v>
      </c>
      <c r="J269" s="9">
        <f t="shared" si="21"/>
        <v>-34638.66509577151</v>
      </c>
      <c r="K269" s="9">
        <f t="shared" si="21"/>
        <v>24247.065567040056</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-24247.065567040056</v>
      </c>
      <c r="G270" s="35">
        <f t="shared" si="22"/>
        <v>106972.94589692804</v>
      </c>
      <c r="H270" s="9">
        <f t="shared" si="22"/>
        <v>0</v>
      </c>
      <c r="I270" s="9">
        <f t="shared" si="22"/>
        <v>0</v>
      </c>
      <c r="J270" s="9">
        <f t="shared" si="22"/>
        <v>24247.065567040056</v>
      </c>
      <c r="K270" s="9">
        <f t="shared" si="22"/>
        <v>-16972.945896928042</v>
      </c>
      <c r="L270" s="9">
        <f t="shared" si="22"/>
        <v>0</v>
      </c>
      <c r="M270" s="9">
        <f t="shared" si="22"/>
        <v>-90000</v>
      </c>
      <c r="N270" s="89" t="s">
        <v>183</v>
      </c>
    </row>
    <row r="271" spans="1:14" ht="19.95" customHeight="1" x14ac:dyDescent="0.3">
      <c r="B271" s="9">
        <f t="shared" ref="B271:M271" si="23">B46+B67+B88+B109+B130+B151+B172+B193+B214+B235+B256</f>
        <v>0</v>
      </c>
      <c r="C271" s="9">
        <f t="shared" si="23"/>
        <v>0</v>
      </c>
      <c r="D271" s="9">
        <f t="shared" si="23"/>
        <v>-34638.66509577151</v>
      </c>
      <c r="E271" s="9">
        <f t="shared" si="23"/>
        <v>24247.065567040056</v>
      </c>
      <c r="F271" s="9">
        <f t="shared" si="23"/>
        <v>0</v>
      </c>
      <c r="G271" s="9">
        <f t="shared" si="23"/>
        <v>0</v>
      </c>
      <c r="H271" s="35">
        <f t="shared" si="23"/>
        <v>97638.665095771517</v>
      </c>
      <c r="I271" s="36">
        <f t="shared" si="23"/>
        <v>-24247.065567040056</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-90000</v>
      </c>
      <c r="D272" s="9">
        <f t="shared" si="24"/>
        <v>24247.065567040056</v>
      </c>
      <c r="E272" s="9">
        <f t="shared" si="24"/>
        <v>-16972.945896928042</v>
      </c>
      <c r="F272" s="9">
        <f t="shared" si="24"/>
        <v>0</v>
      </c>
      <c r="G272" s="9">
        <f t="shared" si="24"/>
        <v>0</v>
      </c>
      <c r="H272" s="36">
        <f t="shared" si="24"/>
        <v>-24247.065567040056</v>
      </c>
      <c r="I272" s="35">
        <f t="shared" si="24"/>
        <v>106972.94589692804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-34638.66509577151</v>
      </c>
      <c r="C273" s="9">
        <f t="shared" si="25"/>
        <v>-24247.065567040056</v>
      </c>
      <c r="D273" s="9">
        <f t="shared" si="25"/>
        <v>0</v>
      </c>
      <c r="E273" s="9">
        <f t="shared" si="25"/>
        <v>0</v>
      </c>
      <c r="F273" s="9">
        <f t="shared" si="25"/>
        <v>-34638.66509577151</v>
      </c>
      <c r="G273" s="9">
        <f t="shared" si="25"/>
        <v>24247.065567040056</v>
      </c>
      <c r="H273" s="9">
        <f t="shared" si="25"/>
        <v>-63000</v>
      </c>
      <c r="I273" s="9">
        <f t="shared" si="25"/>
        <v>0</v>
      </c>
      <c r="J273" s="35">
        <f t="shared" si="25"/>
        <v>195277.33019154303</v>
      </c>
      <c r="K273" s="36">
        <f t="shared" si="25"/>
        <v>0</v>
      </c>
      <c r="L273" s="9">
        <f t="shared" si="25"/>
        <v>-63000</v>
      </c>
      <c r="M273" s="9">
        <f t="shared" si="25"/>
        <v>0</v>
      </c>
      <c r="N273" s="89" t="s">
        <v>186</v>
      </c>
    </row>
    <row r="274" spans="1:21" ht="19.95" customHeight="1" x14ac:dyDescent="0.3">
      <c r="B274" s="9">
        <f t="shared" ref="B274:M274" si="26">B49+B70+B91+B112+B133+B154+B175+B196+B217+B238+B259</f>
        <v>-24247.065567040056</v>
      </c>
      <c r="C274" s="9">
        <f t="shared" si="26"/>
        <v>-16972.945896928042</v>
      </c>
      <c r="D274" s="9">
        <f t="shared" si="26"/>
        <v>0</v>
      </c>
      <c r="E274" s="9">
        <f t="shared" si="26"/>
        <v>-90000</v>
      </c>
      <c r="F274" s="9">
        <f t="shared" si="26"/>
        <v>24247.065567040056</v>
      </c>
      <c r="G274" s="9">
        <f t="shared" si="26"/>
        <v>-16972.945896928042</v>
      </c>
      <c r="H274" s="9">
        <f t="shared" si="26"/>
        <v>0</v>
      </c>
      <c r="I274" s="9">
        <f t="shared" si="26"/>
        <v>0</v>
      </c>
      <c r="J274" s="36">
        <f t="shared" si="26"/>
        <v>0</v>
      </c>
      <c r="K274" s="35">
        <f t="shared" si="26"/>
        <v>123945.89179385608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-34638.66509577151</v>
      </c>
      <c r="E275" s="9">
        <f t="shared" si="27"/>
        <v>-24247.065567040056</v>
      </c>
      <c r="F275" s="9">
        <f t="shared" si="27"/>
        <v>0</v>
      </c>
      <c r="G275" s="9">
        <f t="shared" si="27"/>
        <v>0</v>
      </c>
      <c r="H275" s="9">
        <f t="shared" si="27"/>
        <v>0</v>
      </c>
      <c r="I275" s="9">
        <f t="shared" si="27"/>
        <v>0</v>
      </c>
      <c r="J275" s="9">
        <f t="shared" si="27"/>
        <v>-63000</v>
      </c>
      <c r="K275" s="9">
        <f t="shared" si="27"/>
        <v>0</v>
      </c>
      <c r="L275" s="35">
        <f t="shared" si="27"/>
        <v>97638.665095771517</v>
      </c>
      <c r="M275" s="36">
        <f t="shared" si="27"/>
        <v>24247.065567040056</v>
      </c>
      <c r="N275" s="89" t="s">
        <v>188</v>
      </c>
    </row>
    <row r="276" spans="1:21" ht="19.95" customHeight="1" x14ac:dyDescent="0.3">
      <c r="B276" s="9">
        <f t="shared" ref="B276:M276" si="28">B51+B72+B93+B114+B135+B156+B177+B198+B219+B240+B261</f>
        <v>0</v>
      </c>
      <c r="C276" s="9">
        <f t="shared" si="28"/>
        <v>0</v>
      </c>
      <c r="D276" s="9">
        <f t="shared" si="28"/>
        <v>-24247.065567040056</v>
      </c>
      <c r="E276" s="9">
        <f t="shared" si="28"/>
        <v>-16972.945896928042</v>
      </c>
      <c r="F276" s="9">
        <f t="shared" si="28"/>
        <v>0</v>
      </c>
      <c r="G276" s="9">
        <f t="shared" si="28"/>
        <v>-90000</v>
      </c>
      <c r="H276" s="9">
        <f t="shared" si="28"/>
        <v>0</v>
      </c>
      <c r="I276" s="9">
        <f t="shared" si="28"/>
        <v>0</v>
      </c>
      <c r="J276" s="9">
        <f t="shared" si="28"/>
        <v>0</v>
      </c>
      <c r="K276" s="9">
        <f t="shared" si="28"/>
        <v>0</v>
      </c>
      <c r="L276" s="36">
        <f t="shared" si="28"/>
        <v>24247.065567040056</v>
      </c>
      <c r="M276" s="35">
        <f t="shared" si="28"/>
        <v>106972.94589692804</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IF(GRAFICA_58!F14=1, B280, GRAFICA_58!H14)</f>
        <v>C1X</v>
      </c>
      <c r="P280" s="215" t="s">
        <v>376</v>
      </c>
      <c r="Q280" s="172"/>
      <c r="R280" s="172"/>
      <c r="S280" s="172"/>
      <c r="T280" s="172"/>
      <c r="U280" s="173"/>
    </row>
    <row r="281" spans="1:21" ht="16.95" customHeight="1" x14ac:dyDescent="0.3">
      <c r="B281" s="12" t="s">
        <v>210</v>
      </c>
      <c r="C281" s="12" t="s">
        <v>179</v>
      </c>
      <c r="E281" s="37" t="str">
        <f>IF(GRAFICA_58!G14=1, B281, GRAFICA_58!I14)</f>
        <v>C1Y</v>
      </c>
      <c r="P281" s="215" t="s">
        <v>211</v>
      </c>
      <c r="Q281" s="172"/>
      <c r="R281" s="172"/>
      <c r="S281" s="172"/>
      <c r="T281" s="172"/>
      <c r="U281" s="173"/>
    </row>
    <row r="282" spans="1:21" ht="16.95" customHeight="1" x14ac:dyDescent="0.3">
      <c r="B282" s="12" t="s">
        <v>212</v>
      </c>
      <c r="C282" s="12" t="s">
        <v>180</v>
      </c>
      <c r="E282" s="37">
        <f>IF(GRAFICA_58!F15=1, B282, GRAFICA_58!H15)</f>
        <v>0</v>
      </c>
      <c r="P282" s="215" t="s">
        <v>377</v>
      </c>
      <c r="Q282" s="172"/>
      <c r="R282" s="172"/>
      <c r="S282" s="172"/>
      <c r="T282" s="172"/>
      <c r="U282" s="173"/>
    </row>
    <row r="283" spans="1:21" ht="16.95" customHeight="1" x14ac:dyDescent="0.3">
      <c r="B283" s="12" t="s">
        <v>214</v>
      </c>
      <c r="C283" s="12" t="s">
        <v>181</v>
      </c>
      <c r="E283" s="37" t="str">
        <f>IF(GRAFICA_58!G15=1, B283, GRAFICA_58!I15)</f>
        <v>C2Y</v>
      </c>
      <c r="P283" s="215" t="s">
        <v>215</v>
      </c>
      <c r="Q283" s="172"/>
      <c r="R283" s="172"/>
      <c r="S283" s="172"/>
      <c r="T283" s="172"/>
      <c r="U283" s="173"/>
    </row>
    <row r="284" spans="1:21" ht="16.95" customHeight="1" x14ac:dyDescent="0.3">
      <c r="B284" s="12" t="s">
        <v>216</v>
      </c>
      <c r="C284" s="12" t="s">
        <v>182</v>
      </c>
      <c r="E284" s="37">
        <f>IF(GRAFICA_58!F16=1, B284, GRAFICA_58!H16)</f>
        <v>0</v>
      </c>
      <c r="P284" s="215" t="s">
        <v>378</v>
      </c>
      <c r="Q284" s="172"/>
      <c r="R284" s="172"/>
      <c r="S284" s="172"/>
      <c r="T284" s="172"/>
      <c r="U284" s="173"/>
    </row>
    <row r="285" spans="1:21" ht="16.95" customHeight="1" x14ac:dyDescent="0.3">
      <c r="A285" s="38" t="s">
        <v>218</v>
      </c>
      <c r="B285" s="12" t="s">
        <v>219</v>
      </c>
      <c r="C285" s="12" t="s">
        <v>183</v>
      </c>
      <c r="D285" s="13" t="s">
        <v>220</v>
      </c>
      <c r="E285" s="37" t="str">
        <f>IF(GRAFICA_58!G16=1, B285, GRAFICA_58!I16)</f>
        <v>C3Y</v>
      </c>
      <c r="P285" s="215" t="s">
        <v>379</v>
      </c>
      <c r="Q285" s="172"/>
      <c r="R285" s="172"/>
      <c r="S285" s="172"/>
      <c r="T285" s="172"/>
      <c r="U285" s="173"/>
    </row>
    <row r="286" spans="1:21" ht="16.95" customHeight="1" x14ac:dyDescent="0.3">
      <c r="B286" s="12" t="s">
        <v>221</v>
      </c>
      <c r="C286" s="12" t="s">
        <v>184</v>
      </c>
      <c r="E286" s="37">
        <f>IF(GRAFICA_58!F17=1, B286, GRAFICA_58!H17)</f>
        <v>2000</v>
      </c>
      <c r="P286" s="215"/>
      <c r="Q286" s="172"/>
      <c r="R286" s="172"/>
      <c r="S286" s="172"/>
      <c r="T286" s="172"/>
      <c r="U286" s="173"/>
    </row>
    <row r="287" spans="1:21" ht="16.95" customHeight="1" x14ac:dyDescent="0.3">
      <c r="B287" s="12" t="s">
        <v>222</v>
      </c>
      <c r="C287" s="12" t="s">
        <v>185</v>
      </c>
      <c r="E287" s="37">
        <f>IF(GRAFICA_58!G17=1, B287, GRAFICA_58!I17)</f>
        <v>0</v>
      </c>
      <c r="P287" s="215"/>
      <c r="Q287" s="172"/>
      <c r="R287" s="172"/>
      <c r="S287" s="172"/>
      <c r="T287" s="172"/>
      <c r="U287" s="173"/>
    </row>
    <row r="288" spans="1:21" ht="16.95" customHeight="1" x14ac:dyDescent="0.3">
      <c r="B288" s="12" t="s">
        <v>223</v>
      </c>
      <c r="C288" s="12" t="s">
        <v>186</v>
      </c>
      <c r="E288" s="37">
        <f>IF(GRAFICA_58!F18=1, B288, GRAFICA_58!H18)</f>
        <v>0</v>
      </c>
      <c r="P288" s="215"/>
      <c r="Q288" s="172"/>
      <c r="R288" s="172"/>
      <c r="S288" s="172"/>
      <c r="T288" s="172"/>
      <c r="U288" s="173"/>
    </row>
    <row r="289" spans="1:21" ht="16.95" customHeight="1" x14ac:dyDescent="0.3">
      <c r="B289" s="12" t="s">
        <v>224</v>
      </c>
      <c r="C289" s="12" t="s">
        <v>187</v>
      </c>
      <c r="E289" s="37">
        <f>IF(GRAFICA_58!G18=1, B289, GRAFICA_58!I18)</f>
        <v>-9000</v>
      </c>
      <c r="P289" s="215"/>
      <c r="Q289" s="172"/>
      <c r="R289" s="172"/>
      <c r="S289" s="172"/>
      <c r="T289" s="172"/>
      <c r="U289" s="173"/>
    </row>
    <row r="290" spans="1:21" ht="16.95" customHeight="1" x14ac:dyDescent="0.3">
      <c r="B290" s="12" t="s">
        <v>225</v>
      </c>
      <c r="C290" s="12" t="s">
        <v>188</v>
      </c>
      <c r="E290" s="37">
        <f>IF(GRAFICA_58!F19=1, B290, GRAFICA_58!H19)</f>
        <v>0</v>
      </c>
      <c r="P290" s="215"/>
      <c r="Q290" s="172"/>
      <c r="R290" s="172"/>
      <c r="S290" s="172"/>
      <c r="T290" s="172"/>
      <c r="U290" s="173"/>
    </row>
    <row r="291" spans="1:21" ht="16.95" customHeight="1" x14ac:dyDescent="0.3">
      <c r="B291" s="12" t="s">
        <v>226</v>
      </c>
      <c r="C291" s="12" t="s">
        <v>189</v>
      </c>
      <c r="E291" s="37">
        <f>IF(GRAFICA_58!G19=1, B291, GRAFICA_58!I19)</f>
        <v>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IF(GRAFICA_58!F14=1,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IF(GRAFICA_58!G14=1,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t="str">
        <f>IF(GRAFICA_58!F15=1, 0, B296)</f>
        <v>D2X</v>
      </c>
      <c r="F296" s="14">
        <f>IF(E296&lt;&gt;0, COUNTIF(E$294:E296, "&lt;&gt;0"), "")</f>
        <v>1</v>
      </c>
      <c r="G296" s="14" t="str">
        <f>IF(E296=0, COUNTIF(E$294:E296, 0), "")</f>
        <v/>
      </c>
      <c r="P296" s="215"/>
      <c r="Q296" s="172"/>
      <c r="R296" s="172"/>
      <c r="S296" s="172"/>
      <c r="T296" s="172"/>
      <c r="U296" s="173"/>
    </row>
    <row r="297" spans="1:21" ht="16.95" customHeight="1" x14ac:dyDescent="0.3">
      <c r="B297" s="12" t="s">
        <v>231</v>
      </c>
      <c r="C297" s="12" t="s">
        <v>181</v>
      </c>
      <c r="E297" s="39">
        <f>IF(GRAFICA_58!G15=1, 0, B297)</f>
        <v>0</v>
      </c>
      <c r="F297" s="14" t="str">
        <f>IF(E297&lt;&gt;0, COUNTIF(E$294:E297, "&lt;&gt;0"), "")</f>
        <v/>
      </c>
      <c r="G297" s="14">
        <f>IF(E297=0, COUNTIF(E$294:E297, 0), "")</f>
        <v>3</v>
      </c>
      <c r="P297" s="215"/>
      <c r="Q297" s="172"/>
      <c r="R297" s="172"/>
      <c r="S297" s="172"/>
      <c r="T297" s="172"/>
      <c r="U297" s="173"/>
    </row>
    <row r="298" spans="1:21" ht="16.95" customHeight="1" x14ac:dyDescent="0.3">
      <c r="B298" s="12" t="s">
        <v>232</v>
      </c>
      <c r="C298" s="12" t="s">
        <v>182</v>
      </c>
      <c r="E298" s="39" t="str">
        <f>IF(GRAFICA_58!F16=1, 0, B298)</f>
        <v>D3X</v>
      </c>
      <c r="F298" s="14">
        <f>IF(E298&lt;&gt;0, COUNTIF(E$294:E298, "&lt;&gt;0"), "")</f>
        <v>2</v>
      </c>
      <c r="G298" s="14" t="str">
        <f>IF(E298=0, COUNTIF(E$294:E298, 0), "")</f>
        <v/>
      </c>
      <c r="P298" s="215"/>
      <c r="Q298" s="172"/>
      <c r="R298" s="172"/>
      <c r="S298" s="172"/>
      <c r="T298" s="172"/>
      <c r="U298" s="173"/>
    </row>
    <row r="299" spans="1:21" ht="16.95" customHeight="1" x14ac:dyDescent="0.3">
      <c r="A299" s="38" t="s">
        <v>233</v>
      </c>
      <c r="B299" s="12" t="s">
        <v>234</v>
      </c>
      <c r="C299" s="12" t="s">
        <v>183</v>
      </c>
      <c r="D299" s="13" t="s">
        <v>220</v>
      </c>
      <c r="E299" s="39">
        <f>IF(GRAFICA_58!G16=1, 0, B299)</f>
        <v>0</v>
      </c>
      <c r="F299" s="14" t="str">
        <f>IF(E299&lt;&gt;0, COUNTIF(E$294:E299, "&lt;&gt;0"), "")</f>
        <v/>
      </c>
      <c r="G299" s="14">
        <f>IF(E299=0, COUNTIF(E$294:E299, 0), "")</f>
        <v>4</v>
      </c>
      <c r="P299" s="215"/>
      <c r="Q299" s="172"/>
      <c r="R299" s="172"/>
      <c r="S299" s="172"/>
      <c r="T299" s="172"/>
      <c r="U299" s="173"/>
    </row>
    <row r="300" spans="1:21" ht="16.95" customHeight="1" x14ac:dyDescent="0.3">
      <c r="B300" s="12" t="s">
        <v>235</v>
      </c>
      <c r="C300" s="12" t="s">
        <v>184</v>
      </c>
      <c r="E300" s="39" t="str">
        <f>IF(GRAFICA_58!F17=1, 0, B300)</f>
        <v>D4X</v>
      </c>
      <c r="F300" s="14">
        <f>IF(E300&lt;&gt;0, COUNTIF(E$294:E300, "&lt;&gt;0"), "")</f>
        <v>3</v>
      </c>
      <c r="G300" s="14" t="str">
        <f>IF(E300=0, COUNTIF(E$294:E300, 0), "")</f>
        <v/>
      </c>
      <c r="P300" s="215"/>
      <c r="Q300" s="172"/>
      <c r="R300" s="172"/>
      <c r="S300" s="172"/>
      <c r="T300" s="172"/>
      <c r="U300" s="173"/>
    </row>
    <row r="301" spans="1:21" ht="16.95" customHeight="1" x14ac:dyDescent="0.3">
      <c r="B301" s="12" t="s">
        <v>236</v>
      </c>
      <c r="C301" s="12" t="s">
        <v>185</v>
      </c>
      <c r="E301" s="39" t="str">
        <f>IF(GRAFICA_58!G17=1, 0, B301)</f>
        <v>D4Y</v>
      </c>
      <c r="F301" s="14">
        <f>IF(E301&lt;&gt;0, COUNTIF(E$294:E301, "&lt;&gt;0"), "")</f>
        <v>4</v>
      </c>
      <c r="G301" s="14" t="str">
        <f>IF(E301=0, COUNTIF(E$294:E301, 0), "")</f>
        <v/>
      </c>
      <c r="P301" s="215"/>
      <c r="Q301" s="172"/>
      <c r="R301" s="172"/>
      <c r="S301" s="172"/>
      <c r="T301" s="172"/>
      <c r="U301" s="173"/>
    </row>
    <row r="302" spans="1:21" ht="16.95" customHeight="1" x14ac:dyDescent="0.3">
      <c r="B302" s="12" t="s">
        <v>237</v>
      </c>
      <c r="C302" s="12" t="s">
        <v>186</v>
      </c>
      <c r="E302" s="39" t="str">
        <f>IF(GRAFICA_58!F18=1, 0, B302)</f>
        <v>D5X</v>
      </c>
      <c r="F302" s="14">
        <f>IF(E302&lt;&gt;0, COUNTIF(E$294:E302, "&lt;&gt;0"), "")</f>
        <v>5</v>
      </c>
      <c r="G302" s="14" t="str">
        <f>IF(E302=0, COUNTIF(E$294:E302, 0), "")</f>
        <v/>
      </c>
      <c r="P302" s="215"/>
      <c r="Q302" s="172"/>
      <c r="R302" s="172"/>
      <c r="S302" s="172"/>
      <c r="T302" s="172"/>
      <c r="U302" s="173"/>
    </row>
    <row r="303" spans="1:21" ht="16.95" customHeight="1" x14ac:dyDescent="0.3">
      <c r="B303" s="12" t="s">
        <v>238</v>
      </c>
      <c r="C303" s="12" t="s">
        <v>187</v>
      </c>
      <c r="E303" s="39" t="str">
        <f>IF(GRAFICA_58!G18=1, 0, B303)</f>
        <v>D5Y</v>
      </c>
      <c r="F303" s="14">
        <f>IF(E303&lt;&gt;0, COUNTIF(E$294:E303, "&lt;&gt;0"), "")</f>
        <v>6</v>
      </c>
      <c r="G303" s="14" t="str">
        <f>IF(E303=0, COUNTIF(E$294:E303, 0), "")</f>
        <v/>
      </c>
      <c r="P303" s="215"/>
      <c r="Q303" s="172"/>
      <c r="R303" s="172"/>
      <c r="S303" s="172"/>
      <c r="T303" s="172"/>
      <c r="U303" s="173"/>
    </row>
    <row r="304" spans="1:21" ht="16.95" customHeight="1" x14ac:dyDescent="0.3">
      <c r="B304" s="12" t="s">
        <v>239</v>
      </c>
      <c r="C304" s="12" t="s">
        <v>188</v>
      </c>
      <c r="E304" s="39" t="str">
        <f>IF(GRAFICA_58!F19=1, 0, B304)</f>
        <v>D6X</v>
      </c>
      <c r="F304" s="14">
        <f>IF(E304&lt;&gt;0, COUNTIF(E$294:E304, "&lt;&gt;0"), "")</f>
        <v>7</v>
      </c>
      <c r="G304" s="14" t="str">
        <f>IF(E304=0, COUNTIF(E$294:E304, 0), "")</f>
        <v/>
      </c>
      <c r="P304" s="215"/>
      <c r="Q304" s="172"/>
      <c r="R304" s="172"/>
      <c r="S304" s="172"/>
      <c r="T304" s="172"/>
      <c r="U304" s="173"/>
    </row>
    <row r="305" spans="1:21" ht="16.95" customHeight="1" x14ac:dyDescent="0.3">
      <c r="B305" s="12" t="s">
        <v>240</v>
      </c>
      <c r="C305" s="12" t="s">
        <v>189</v>
      </c>
      <c r="E305" s="39" t="str">
        <f>IF(GRAFICA_58!G19=1, 0, B305)</f>
        <v>D6Y</v>
      </c>
      <c r="F305" s="14">
        <f>IF(E305&lt;&gt;0, COUNTIF(E$294:E305, "&lt;&gt;0"), "")</f>
        <v>8</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97638.665095771517</v>
      </c>
      <c r="D310" s="9">
        <f t="shared" si="30"/>
        <v>24247.065567040056</v>
      </c>
      <c r="E310" s="9">
        <f t="shared" si="30"/>
        <v>-63000</v>
      </c>
      <c r="F310" s="9">
        <f t="shared" si="30"/>
        <v>0</v>
      </c>
      <c r="G310" s="9">
        <f t="shared" si="30"/>
        <v>0</v>
      </c>
      <c r="H310" s="9">
        <f t="shared" si="30"/>
        <v>0</v>
      </c>
      <c r="I310" s="9">
        <f t="shared" si="30"/>
        <v>0</v>
      </c>
      <c r="J310" s="9">
        <f t="shared" si="30"/>
        <v>0</v>
      </c>
      <c r="K310" s="9">
        <f t="shared" si="30"/>
        <v>-34638.66509577151</v>
      </c>
      <c r="L310" s="9">
        <f t="shared" si="30"/>
        <v>-24247.065567040056</v>
      </c>
      <c r="M310" s="9">
        <f t="shared" si="30"/>
        <v>0</v>
      </c>
      <c r="N310" s="9">
        <f t="shared" si="30"/>
        <v>0</v>
      </c>
      <c r="O310" s="13" t="s">
        <v>251</v>
      </c>
      <c r="P310" s="219" t="s">
        <v>380</v>
      </c>
      <c r="Q310" s="172"/>
      <c r="R310" s="172"/>
      <c r="S310" s="172"/>
      <c r="T310" s="172"/>
      <c r="U310" s="173"/>
    </row>
    <row r="311" spans="1:21" ht="16.95" customHeight="1" x14ac:dyDescent="0.3">
      <c r="A311" s="12" t="str">
        <f t="shared" si="29"/>
        <v>C1Y</v>
      </c>
      <c r="C311" s="9">
        <f t="shared" ref="C311:N311" si="31">B266</f>
        <v>24247.065567040056</v>
      </c>
      <c r="D311" s="9">
        <f t="shared" si="31"/>
        <v>106972.94589692804</v>
      </c>
      <c r="E311" s="9">
        <f t="shared" si="31"/>
        <v>0</v>
      </c>
      <c r="F311" s="9">
        <f t="shared" si="31"/>
        <v>0</v>
      </c>
      <c r="G311" s="9">
        <f t="shared" si="31"/>
        <v>0</v>
      </c>
      <c r="H311" s="9">
        <f t="shared" si="31"/>
        <v>0</v>
      </c>
      <c r="I311" s="9">
        <f t="shared" si="31"/>
        <v>0</v>
      </c>
      <c r="J311" s="9">
        <f t="shared" si="31"/>
        <v>-90000</v>
      </c>
      <c r="K311" s="9">
        <f t="shared" si="31"/>
        <v>-24247.065567040056</v>
      </c>
      <c r="L311" s="9">
        <f t="shared" si="31"/>
        <v>-16972.945896928042</v>
      </c>
      <c r="M311" s="9">
        <f t="shared" si="31"/>
        <v>0</v>
      </c>
      <c r="N311" s="9">
        <f t="shared" si="31"/>
        <v>0</v>
      </c>
      <c r="O311" s="13" t="s">
        <v>251</v>
      </c>
      <c r="P311" s="219" t="s">
        <v>253</v>
      </c>
      <c r="Q311" s="172"/>
      <c r="R311" s="172"/>
      <c r="S311" s="172"/>
      <c r="T311" s="172"/>
      <c r="U311" s="173"/>
    </row>
    <row r="312" spans="1:21" ht="16.95" customHeight="1" x14ac:dyDescent="0.3">
      <c r="A312" s="41">
        <f t="shared" si="29"/>
        <v>0</v>
      </c>
      <c r="C312" s="9">
        <f t="shared" ref="C312:N312" si="32">B267</f>
        <v>-63000</v>
      </c>
      <c r="D312" s="9">
        <f t="shared" si="32"/>
        <v>0</v>
      </c>
      <c r="E312" s="41">
        <f t="shared" si="32"/>
        <v>195277.33019154303</v>
      </c>
      <c r="F312" s="9">
        <f t="shared" si="32"/>
        <v>0</v>
      </c>
      <c r="G312" s="41">
        <f t="shared" si="32"/>
        <v>-63000</v>
      </c>
      <c r="H312" s="9">
        <f t="shared" si="32"/>
        <v>0</v>
      </c>
      <c r="I312" s="41">
        <f t="shared" si="32"/>
        <v>-34638.66509577151</v>
      </c>
      <c r="J312" s="41">
        <f t="shared" si="32"/>
        <v>24247.065567040056</v>
      </c>
      <c r="K312" s="41">
        <f t="shared" si="32"/>
        <v>0</v>
      </c>
      <c r="L312" s="41">
        <f t="shared" si="32"/>
        <v>0</v>
      </c>
      <c r="M312" s="41">
        <f t="shared" si="32"/>
        <v>-34638.66509577151</v>
      </c>
      <c r="N312" s="41">
        <f t="shared" si="32"/>
        <v>-24247.065567040056</v>
      </c>
      <c r="O312" s="13" t="s">
        <v>251</v>
      </c>
      <c r="P312" s="215" t="s">
        <v>254</v>
      </c>
      <c r="Q312" s="172"/>
      <c r="R312" s="172"/>
      <c r="S312" s="172"/>
      <c r="T312" s="172"/>
      <c r="U312" s="173"/>
    </row>
    <row r="313" spans="1:21" ht="16.95" customHeight="1" x14ac:dyDescent="0.3">
      <c r="A313" s="12" t="str">
        <f t="shared" si="29"/>
        <v>C2Y</v>
      </c>
      <c r="C313" s="9">
        <f t="shared" ref="C313:N313" si="33">B268</f>
        <v>0</v>
      </c>
      <c r="D313" s="9">
        <f t="shared" si="33"/>
        <v>0</v>
      </c>
      <c r="E313" s="9">
        <f t="shared" si="33"/>
        <v>0</v>
      </c>
      <c r="F313" s="9">
        <f t="shared" si="33"/>
        <v>123945.89179385608</v>
      </c>
      <c r="G313" s="9">
        <f t="shared" si="33"/>
        <v>0</v>
      </c>
      <c r="H313" s="9">
        <f t="shared" si="33"/>
        <v>0</v>
      </c>
      <c r="I313" s="9">
        <f t="shared" si="33"/>
        <v>24247.065567040056</v>
      </c>
      <c r="J313" s="9">
        <f t="shared" si="33"/>
        <v>-16972.945896928042</v>
      </c>
      <c r="K313" s="9">
        <f t="shared" si="33"/>
        <v>0</v>
      </c>
      <c r="L313" s="9">
        <f t="shared" si="33"/>
        <v>-90000</v>
      </c>
      <c r="M313" s="9">
        <f t="shared" si="33"/>
        <v>-24247.065567040056</v>
      </c>
      <c r="N313" s="9">
        <f t="shared" si="33"/>
        <v>-16972.945896928042</v>
      </c>
      <c r="O313" s="13" t="s">
        <v>251</v>
      </c>
      <c r="P313" s="219" t="s">
        <v>381</v>
      </c>
      <c r="Q313" s="172"/>
      <c r="R313" s="172"/>
      <c r="S313" s="172"/>
      <c r="T313" s="172"/>
      <c r="U313" s="173"/>
    </row>
    <row r="314" spans="1:21" ht="16.95" customHeight="1" x14ac:dyDescent="0.3">
      <c r="A314" s="41">
        <f t="shared" si="29"/>
        <v>0</v>
      </c>
      <c r="C314" s="9">
        <f t="shared" ref="C314:N314" si="34">B269</f>
        <v>0</v>
      </c>
      <c r="D314" s="9">
        <f t="shared" si="34"/>
        <v>0</v>
      </c>
      <c r="E314" s="41">
        <f t="shared" si="34"/>
        <v>-63000</v>
      </c>
      <c r="F314" s="9">
        <f t="shared" si="34"/>
        <v>0</v>
      </c>
      <c r="G314" s="41">
        <f t="shared" si="34"/>
        <v>97638.665095771517</v>
      </c>
      <c r="H314" s="9">
        <f t="shared" si="34"/>
        <v>-24247.065567040056</v>
      </c>
      <c r="I314" s="41">
        <f t="shared" si="34"/>
        <v>0</v>
      </c>
      <c r="J314" s="41">
        <f t="shared" si="34"/>
        <v>0</v>
      </c>
      <c r="K314" s="41">
        <f t="shared" si="34"/>
        <v>-34638.66509577151</v>
      </c>
      <c r="L314" s="41">
        <f t="shared" si="34"/>
        <v>24247.065567040056</v>
      </c>
      <c r="M314" s="41">
        <f t="shared" si="34"/>
        <v>0</v>
      </c>
      <c r="N314" s="41">
        <f t="shared" si="34"/>
        <v>0</v>
      </c>
      <c r="O314" s="13" t="s">
        <v>251</v>
      </c>
      <c r="P314" s="215" t="s">
        <v>382</v>
      </c>
      <c r="Q314" s="172"/>
      <c r="R314" s="172"/>
      <c r="S314" s="172"/>
      <c r="T314" s="172"/>
      <c r="U314" s="173"/>
    </row>
    <row r="315" spans="1:21" ht="16.95" customHeight="1" x14ac:dyDescent="0.3">
      <c r="A315" s="12" t="str">
        <f t="shared" si="29"/>
        <v>C3Y</v>
      </c>
      <c r="C315" s="9">
        <f t="shared" ref="C315:N315" si="35">B270</f>
        <v>0</v>
      </c>
      <c r="D315" s="9">
        <f t="shared" si="35"/>
        <v>0</v>
      </c>
      <c r="E315" s="9">
        <f t="shared" si="35"/>
        <v>0</v>
      </c>
      <c r="F315" s="9">
        <f t="shared" si="35"/>
        <v>0</v>
      </c>
      <c r="G315" s="9">
        <f t="shared" si="35"/>
        <v>-24247.065567040056</v>
      </c>
      <c r="H315" s="9">
        <f t="shared" si="35"/>
        <v>106972.94589692804</v>
      </c>
      <c r="I315" s="9">
        <f t="shared" si="35"/>
        <v>0</v>
      </c>
      <c r="J315" s="9">
        <f t="shared" si="35"/>
        <v>0</v>
      </c>
      <c r="K315" s="9">
        <f t="shared" si="35"/>
        <v>24247.065567040056</v>
      </c>
      <c r="L315" s="9">
        <f t="shared" si="35"/>
        <v>-16972.945896928042</v>
      </c>
      <c r="M315" s="9">
        <f t="shared" si="35"/>
        <v>0</v>
      </c>
      <c r="N315" s="9">
        <f t="shared" si="35"/>
        <v>-90000</v>
      </c>
      <c r="O315" s="13" t="s">
        <v>251</v>
      </c>
      <c r="P315" s="219">
        <f t="shared" ref="P315:P321" si="36">E299</f>
        <v>0</v>
      </c>
      <c r="Q315" s="172"/>
      <c r="R315" s="172"/>
      <c r="S315" s="172"/>
      <c r="T315" s="172"/>
      <c r="U315" s="173"/>
    </row>
    <row r="316" spans="1:21" ht="16.95" customHeight="1" x14ac:dyDescent="0.3">
      <c r="A316" s="41">
        <f t="shared" si="29"/>
        <v>2000</v>
      </c>
      <c r="B316" s="13" t="s">
        <v>220</v>
      </c>
      <c r="C316" s="9">
        <f t="shared" ref="C316:N316" si="37">B271</f>
        <v>0</v>
      </c>
      <c r="D316" s="9">
        <f t="shared" si="37"/>
        <v>0</v>
      </c>
      <c r="E316" s="41">
        <f t="shared" si="37"/>
        <v>-34638.66509577151</v>
      </c>
      <c r="F316" s="9">
        <f t="shared" si="37"/>
        <v>24247.065567040056</v>
      </c>
      <c r="G316" s="41">
        <f t="shared" si="37"/>
        <v>0</v>
      </c>
      <c r="H316" s="9">
        <f t="shared" si="37"/>
        <v>0</v>
      </c>
      <c r="I316" s="41">
        <f t="shared" si="37"/>
        <v>97638.665095771517</v>
      </c>
      <c r="J316" s="41">
        <f t="shared" si="37"/>
        <v>-24247.065567040056</v>
      </c>
      <c r="K316" s="41">
        <f t="shared" si="37"/>
        <v>-63000</v>
      </c>
      <c r="L316" s="41">
        <f t="shared" si="37"/>
        <v>0</v>
      </c>
      <c r="M316" s="41">
        <f t="shared" si="37"/>
        <v>0</v>
      </c>
      <c r="N316" s="41">
        <f t="shared" si="37"/>
        <v>0</v>
      </c>
      <c r="O316" s="13" t="s">
        <v>251</v>
      </c>
      <c r="P316" s="215" t="str">
        <f t="shared" si="36"/>
        <v>D4X</v>
      </c>
      <c r="Q316" s="172"/>
      <c r="R316" s="172"/>
      <c r="S316" s="172"/>
      <c r="T316" s="172"/>
      <c r="U316" s="173"/>
    </row>
    <row r="317" spans="1:21" ht="16.95" customHeight="1" x14ac:dyDescent="0.3">
      <c r="A317" s="41">
        <f t="shared" si="29"/>
        <v>0</v>
      </c>
      <c r="C317" s="9">
        <f t="shared" ref="C317:N317" si="38">B272</f>
        <v>0</v>
      </c>
      <c r="D317" s="9">
        <f t="shared" si="38"/>
        <v>-90000</v>
      </c>
      <c r="E317" s="41">
        <f t="shared" si="38"/>
        <v>24247.065567040056</v>
      </c>
      <c r="F317" s="9">
        <f t="shared" si="38"/>
        <v>-16972.945896928042</v>
      </c>
      <c r="G317" s="41">
        <f t="shared" si="38"/>
        <v>0</v>
      </c>
      <c r="H317" s="9">
        <f t="shared" si="38"/>
        <v>0</v>
      </c>
      <c r="I317" s="41">
        <f t="shared" si="38"/>
        <v>-24247.065567040056</v>
      </c>
      <c r="J317" s="41">
        <f t="shared" si="38"/>
        <v>106972.94589692804</v>
      </c>
      <c r="K317" s="41">
        <f t="shared" si="38"/>
        <v>0</v>
      </c>
      <c r="L317" s="41">
        <f t="shared" si="38"/>
        <v>0</v>
      </c>
      <c r="M317" s="41">
        <f t="shared" si="38"/>
        <v>0</v>
      </c>
      <c r="N317" s="41">
        <f t="shared" si="38"/>
        <v>0</v>
      </c>
      <c r="O317" s="13" t="s">
        <v>251</v>
      </c>
      <c r="P317" s="215" t="str">
        <f t="shared" si="36"/>
        <v>D4Y</v>
      </c>
      <c r="Q317" s="172"/>
      <c r="R317" s="172"/>
      <c r="S317" s="172"/>
      <c r="T317" s="172"/>
      <c r="U317" s="173"/>
    </row>
    <row r="318" spans="1:21" ht="16.95" customHeight="1" x14ac:dyDescent="0.3">
      <c r="A318" s="41">
        <f t="shared" si="29"/>
        <v>0</v>
      </c>
      <c r="C318" s="9">
        <f t="shared" ref="C318:N318" si="39">B273</f>
        <v>-34638.66509577151</v>
      </c>
      <c r="D318" s="9">
        <f t="shared" si="39"/>
        <v>-24247.065567040056</v>
      </c>
      <c r="E318" s="41">
        <f t="shared" si="39"/>
        <v>0</v>
      </c>
      <c r="F318" s="9">
        <f t="shared" si="39"/>
        <v>0</v>
      </c>
      <c r="G318" s="41">
        <f t="shared" si="39"/>
        <v>-34638.66509577151</v>
      </c>
      <c r="H318" s="9">
        <f t="shared" si="39"/>
        <v>24247.065567040056</v>
      </c>
      <c r="I318" s="41">
        <f t="shared" si="39"/>
        <v>-63000</v>
      </c>
      <c r="J318" s="41">
        <f t="shared" si="39"/>
        <v>0</v>
      </c>
      <c r="K318" s="41">
        <f t="shared" si="39"/>
        <v>195277.33019154303</v>
      </c>
      <c r="L318" s="41">
        <f t="shared" si="39"/>
        <v>0</v>
      </c>
      <c r="M318" s="41">
        <f t="shared" si="39"/>
        <v>-63000</v>
      </c>
      <c r="N318" s="41">
        <f t="shared" si="39"/>
        <v>0</v>
      </c>
      <c r="O318" s="13" t="s">
        <v>251</v>
      </c>
      <c r="P318" s="215" t="str">
        <f t="shared" si="36"/>
        <v>D5X</v>
      </c>
      <c r="Q318" s="172"/>
      <c r="R318" s="172"/>
      <c r="S318" s="172"/>
      <c r="T318" s="172"/>
      <c r="U318" s="173"/>
    </row>
    <row r="319" spans="1:21" ht="16.95" customHeight="1" x14ac:dyDescent="0.3">
      <c r="A319" s="41">
        <f t="shared" si="29"/>
        <v>-9000</v>
      </c>
      <c r="C319" s="9">
        <f t="shared" ref="C319:N319" si="40">B274</f>
        <v>-24247.065567040056</v>
      </c>
      <c r="D319" s="9">
        <f t="shared" si="40"/>
        <v>-16972.945896928042</v>
      </c>
      <c r="E319" s="41">
        <f t="shared" si="40"/>
        <v>0</v>
      </c>
      <c r="F319" s="9">
        <f t="shared" si="40"/>
        <v>-90000</v>
      </c>
      <c r="G319" s="41">
        <f t="shared" si="40"/>
        <v>24247.065567040056</v>
      </c>
      <c r="H319" s="9">
        <f t="shared" si="40"/>
        <v>-16972.945896928042</v>
      </c>
      <c r="I319" s="41">
        <f t="shared" si="40"/>
        <v>0</v>
      </c>
      <c r="J319" s="41">
        <f t="shared" si="40"/>
        <v>0</v>
      </c>
      <c r="K319" s="41">
        <f t="shared" si="40"/>
        <v>0</v>
      </c>
      <c r="L319" s="41">
        <f t="shared" si="40"/>
        <v>123945.89179385608</v>
      </c>
      <c r="M319" s="41">
        <f t="shared" si="40"/>
        <v>0</v>
      </c>
      <c r="N319" s="41">
        <f t="shared" si="40"/>
        <v>0</v>
      </c>
      <c r="O319" s="13" t="s">
        <v>251</v>
      </c>
      <c r="P319" s="215" t="str">
        <f t="shared" si="36"/>
        <v>D5Y</v>
      </c>
      <c r="Q319" s="172"/>
      <c r="R319" s="172"/>
      <c r="S319" s="172"/>
      <c r="T319" s="172"/>
      <c r="U319" s="173"/>
    </row>
    <row r="320" spans="1:21" ht="16.95" customHeight="1" x14ac:dyDescent="0.3">
      <c r="A320" s="41">
        <f t="shared" si="29"/>
        <v>0</v>
      </c>
      <c r="C320" s="9">
        <f t="shared" ref="C320:N320" si="41">B275</f>
        <v>0</v>
      </c>
      <c r="D320" s="9">
        <f t="shared" si="41"/>
        <v>0</v>
      </c>
      <c r="E320" s="41">
        <f t="shared" si="41"/>
        <v>-34638.66509577151</v>
      </c>
      <c r="F320" s="9">
        <f t="shared" si="41"/>
        <v>-24247.065567040056</v>
      </c>
      <c r="G320" s="41">
        <f t="shared" si="41"/>
        <v>0</v>
      </c>
      <c r="H320" s="9">
        <f t="shared" si="41"/>
        <v>0</v>
      </c>
      <c r="I320" s="41">
        <f t="shared" si="41"/>
        <v>0</v>
      </c>
      <c r="J320" s="41">
        <f t="shared" si="41"/>
        <v>0</v>
      </c>
      <c r="K320" s="41">
        <f t="shared" si="41"/>
        <v>-63000</v>
      </c>
      <c r="L320" s="41">
        <f t="shared" si="41"/>
        <v>0</v>
      </c>
      <c r="M320" s="41">
        <f t="shared" si="41"/>
        <v>97638.665095771517</v>
      </c>
      <c r="N320" s="41">
        <f t="shared" si="41"/>
        <v>24247.065567040056</v>
      </c>
      <c r="O320" s="13" t="s">
        <v>251</v>
      </c>
      <c r="P320" s="215" t="str">
        <f t="shared" si="36"/>
        <v>D6X</v>
      </c>
      <c r="Q320" s="172"/>
      <c r="R320" s="172"/>
      <c r="S320" s="172"/>
      <c r="T320" s="172"/>
      <c r="U320" s="173"/>
    </row>
    <row r="321" spans="1:21" ht="16.95" customHeight="1" x14ac:dyDescent="0.3">
      <c r="A321" s="41">
        <f t="shared" si="29"/>
        <v>0</v>
      </c>
      <c r="C321" s="9">
        <f t="shared" ref="C321:N321" si="42">B276</f>
        <v>0</v>
      </c>
      <c r="D321" s="9">
        <f t="shared" si="42"/>
        <v>0</v>
      </c>
      <c r="E321" s="41">
        <f t="shared" si="42"/>
        <v>-24247.065567040056</v>
      </c>
      <c r="F321" s="9">
        <f t="shared" si="42"/>
        <v>-16972.945896928042</v>
      </c>
      <c r="G321" s="41">
        <f t="shared" si="42"/>
        <v>0</v>
      </c>
      <c r="H321" s="9">
        <f t="shared" si="42"/>
        <v>-90000</v>
      </c>
      <c r="I321" s="41">
        <f t="shared" si="42"/>
        <v>0</v>
      </c>
      <c r="J321" s="41">
        <f t="shared" si="42"/>
        <v>0</v>
      </c>
      <c r="K321" s="41">
        <f t="shared" si="42"/>
        <v>0</v>
      </c>
      <c r="L321" s="41">
        <f t="shared" si="42"/>
        <v>0</v>
      </c>
      <c r="M321" s="41">
        <f t="shared" si="42"/>
        <v>24247.065567040056</v>
      </c>
      <c r="N321" s="41">
        <f t="shared" si="42"/>
        <v>106972.94589692804</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U2X</v>
      </c>
      <c r="D325" s="38" t="str">
        <f>INDEX(C$294:C$305, MATCH(2, F$294:F$305, 0))</f>
        <v>U3X</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215" t="s">
        <v>383</v>
      </c>
      <c r="Q325" s="172"/>
      <c r="R325" s="172"/>
      <c r="S325" s="172"/>
      <c r="T325" s="172"/>
      <c r="U325" s="173"/>
    </row>
    <row r="326" spans="1:21" ht="16.95" customHeight="1" x14ac:dyDescent="0.3">
      <c r="A326" s="41">
        <f t="shared" ref="A326:A333" si="43">INDEX(E$280:E$291, MATCH(M326, C$280:C$291, 0))</f>
        <v>0</v>
      </c>
      <c r="C326" s="41">
        <f t="shared" ref="C326:J333" si="44">INDEX($B$265:$M$276, MATCH($M326, $N$265:$N$276, 0), MATCH(C$325, $B$264:$M$264, 0))</f>
        <v>195277.33019154303</v>
      </c>
      <c r="D326" s="41">
        <f t="shared" si="44"/>
        <v>-63000</v>
      </c>
      <c r="E326" s="41">
        <f t="shared" si="44"/>
        <v>-34638.66509577151</v>
      </c>
      <c r="F326" s="41">
        <f t="shared" si="44"/>
        <v>24247.065567040056</v>
      </c>
      <c r="G326" s="41">
        <f t="shared" si="44"/>
        <v>0</v>
      </c>
      <c r="H326" s="41">
        <f t="shared" si="44"/>
        <v>0</v>
      </c>
      <c r="I326" s="41">
        <f t="shared" si="44"/>
        <v>-34638.66509577151</v>
      </c>
      <c r="J326" s="41">
        <f t="shared" si="44"/>
        <v>-24247.065567040056</v>
      </c>
      <c r="K326" s="13" t="s">
        <v>251</v>
      </c>
      <c r="L326" s="38" t="str">
        <f>INDEX(B$294:B$305, MATCH(1, F$294:F$305, 0))</f>
        <v>D2X</v>
      </c>
      <c r="M326" s="14" t="str">
        <f>INDEX(C$294:C$305, MATCH(1, F$294:F$305, 0))</f>
        <v>U2X</v>
      </c>
      <c r="P326" s="215" t="s">
        <v>384</v>
      </c>
      <c r="Q326" s="172"/>
      <c r="R326" s="172"/>
      <c r="S326" s="172"/>
      <c r="T326" s="172"/>
      <c r="U326" s="173"/>
    </row>
    <row r="327" spans="1:21" ht="16.95" customHeight="1" x14ac:dyDescent="0.3">
      <c r="A327" s="41">
        <f t="shared" si="43"/>
        <v>0</v>
      </c>
      <c r="C327" s="41">
        <f t="shared" si="44"/>
        <v>-63000</v>
      </c>
      <c r="D327" s="41">
        <f t="shared" si="44"/>
        <v>97638.665095771517</v>
      </c>
      <c r="E327" s="41">
        <f t="shared" si="44"/>
        <v>0</v>
      </c>
      <c r="F327" s="41">
        <f t="shared" si="44"/>
        <v>0</v>
      </c>
      <c r="G327" s="41">
        <f t="shared" si="44"/>
        <v>-34638.66509577151</v>
      </c>
      <c r="H327" s="41">
        <f t="shared" si="44"/>
        <v>24247.065567040056</v>
      </c>
      <c r="I327" s="41">
        <f t="shared" si="44"/>
        <v>0</v>
      </c>
      <c r="J327" s="41">
        <f t="shared" si="44"/>
        <v>0</v>
      </c>
      <c r="K327" s="13" t="s">
        <v>251</v>
      </c>
      <c r="L327" s="38" t="str">
        <f>INDEX(B$294:B$305, MATCH(2, F$294:F$305, 0))</f>
        <v>D3X</v>
      </c>
      <c r="M327" s="14" t="str">
        <f>INDEX(C$294:C$305, MATCH(2, F$294:F$305, 0))</f>
        <v>U3X</v>
      </c>
      <c r="P327" s="215" t="s">
        <v>385</v>
      </c>
      <c r="Q327" s="172"/>
      <c r="R327" s="172"/>
      <c r="S327" s="172"/>
      <c r="T327" s="172"/>
      <c r="U327" s="173"/>
    </row>
    <row r="328" spans="1:21" ht="16.95" customHeight="1" x14ac:dyDescent="0.3">
      <c r="A328" s="41">
        <f t="shared" si="43"/>
        <v>2000</v>
      </c>
      <c r="C328" s="41">
        <f t="shared" si="44"/>
        <v>-34638.66509577151</v>
      </c>
      <c r="D328" s="41">
        <f t="shared" si="44"/>
        <v>0</v>
      </c>
      <c r="E328" s="41">
        <f t="shared" si="44"/>
        <v>97638.665095771517</v>
      </c>
      <c r="F328" s="41">
        <f t="shared" si="44"/>
        <v>-24247.065567040056</v>
      </c>
      <c r="G328" s="41">
        <f t="shared" si="44"/>
        <v>-63000</v>
      </c>
      <c r="H328" s="41">
        <f t="shared" si="44"/>
        <v>0</v>
      </c>
      <c r="I328" s="41">
        <f t="shared" si="44"/>
        <v>0</v>
      </c>
      <c r="J328" s="41">
        <f t="shared" si="44"/>
        <v>0</v>
      </c>
      <c r="K328" s="13" t="s">
        <v>251</v>
      </c>
      <c r="L328" s="38" t="str">
        <f>INDEX(B$294:B$305, MATCH(3, F$294:F$305, 0))</f>
        <v>D4X</v>
      </c>
      <c r="M328" s="14" t="str">
        <f>INDEX(C$294:C$305, MATCH(3, F$294:F$305, 0))</f>
        <v>U4X</v>
      </c>
      <c r="P328" s="215" t="s">
        <v>386</v>
      </c>
      <c r="Q328" s="172"/>
      <c r="R328" s="172"/>
      <c r="S328" s="172"/>
      <c r="T328" s="172"/>
      <c r="U328" s="173"/>
    </row>
    <row r="329" spans="1:21" ht="16.95" customHeight="1" x14ac:dyDescent="0.3">
      <c r="A329" s="41">
        <f t="shared" si="43"/>
        <v>0</v>
      </c>
      <c r="C329" s="41">
        <f t="shared" si="44"/>
        <v>24247.065567040056</v>
      </c>
      <c r="D329" s="41">
        <f t="shared" si="44"/>
        <v>0</v>
      </c>
      <c r="E329" s="41">
        <f t="shared" si="44"/>
        <v>-24247.065567040056</v>
      </c>
      <c r="F329" s="41">
        <f t="shared" si="44"/>
        <v>106972.94589692804</v>
      </c>
      <c r="G329" s="41">
        <f t="shared" si="44"/>
        <v>0</v>
      </c>
      <c r="H329" s="41">
        <f t="shared" si="44"/>
        <v>0</v>
      </c>
      <c r="I329" s="41">
        <f t="shared" si="44"/>
        <v>0</v>
      </c>
      <c r="J329" s="41">
        <f t="shared" si="44"/>
        <v>0</v>
      </c>
      <c r="K329" s="13" t="s">
        <v>251</v>
      </c>
      <c r="L329" s="38" t="str">
        <f>INDEX(B$294:B$305, MATCH(4, F$294:F$305, 0))</f>
        <v>D4Y</v>
      </c>
      <c r="M329" s="14" t="str">
        <f>INDEX(C$294:C$305, MATCH(4, F$294:F$305, 0))</f>
        <v>U4Y</v>
      </c>
      <c r="P329" s="215" t="s">
        <v>387</v>
      </c>
      <c r="Q329" s="172"/>
      <c r="R329" s="172"/>
      <c r="S329" s="172"/>
      <c r="T329" s="172"/>
      <c r="U329" s="173"/>
    </row>
    <row r="330" spans="1:21" ht="16.95" customHeight="1" x14ac:dyDescent="0.3">
      <c r="A330" s="41">
        <f t="shared" si="43"/>
        <v>0</v>
      </c>
      <c r="B330" s="13" t="s">
        <v>220</v>
      </c>
      <c r="C330" s="41">
        <f t="shared" si="44"/>
        <v>0</v>
      </c>
      <c r="D330" s="41">
        <f t="shared" si="44"/>
        <v>-34638.66509577151</v>
      </c>
      <c r="E330" s="41">
        <f t="shared" si="44"/>
        <v>-63000</v>
      </c>
      <c r="F330" s="41">
        <f t="shared" si="44"/>
        <v>0</v>
      </c>
      <c r="G330" s="41">
        <f t="shared" si="44"/>
        <v>195277.33019154303</v>
      </c>
      <c r="H330" s="41">
        <f t="shared" si="44"/>
        <v>0</v>
      </c>
      <c r="I330" s="41">
        <f t="shared" si="44"/>
        <v>-63000</v>
      </c>
      <c r="J330" s="41">
        <f t="shared" si="44"/>
        <v>0</v>
      </c>
      <c r="K330" s="13" t="s">
        <v>251</v>
      </c>
      <c r="L330" s="38" t="str">
        <f>INDEX(B$294:B$305, MATCH(5, F$294:F$305, 0))</f>
        <v>D5X</v>
      </c>
      <c r="M330" s="14" t="str">
        <f>INDEX(C$294:C$305, MATCH(5, F$294:F$305, 0))</f>
        <v>U5X</v>
      </c>
      <c r="P330" s="215" t="s">
        <v>388</v>
      </c>
      <c r="Q330" s="172"/>
      <c r="R330" s="172"/>
      <c r="S330" s="172"/>
      <c r="T330" s="172"/>
      <c r="U330" s="173"/>
    </row>
    <row r="331" spans="1:21" ht="16.95" customHeight="1" x14ac:dyDescent="0.3">
      <c r="A331" s="41">
        <f t="shared" si="43"/>
        <v>-9000</v>
      </c>
      <c r="C331" s="41">
        <f t="shared" si="44"/>
        <v>0</v>
      </c>
      <c r="D331" s="41">
        <f t="shared" si="44"/>
        <v>24247.065567040056</v>
      </c>
      <c r="E331" s="41">
        <f t="shared" si="44"/>
        <v>0</v>
      </c>
      <c r="F331" s="41">
        <f t="shared" si="44"/>
        <v>0</v>
      </c>
      <c r="G331" s="41">
        <f t="shared" si="44"/>
        <v>0</v>
      </c>
      <c r="H331" s="41">
        <f t="shared" si="44"/>
        <v>123945.89179385608</v>
      </c>
      <c r="I331" s="41">
        <f t="shared" si="44"/>
        <v>0</v>
      </c>
      <c r="J331" s="41">
        <f t="shared" si="44"/>
        <v>0</v>
      </c>
      <c r="K331" s="13" t="s">
        <v>251</v>
      </c>
      <c r="L331" s="38" t="str">
        <f>INDEX(B$294:B$305, MATCH(6, F$294:F$305, 0))</f>
        <v>D5Y</v>
      </c>
      <c r="M331" s="14" t="str">
        <f>INDEX(C$294:C$305, MATCH(6, F$294:F$305, 0))</f>
        <v>U5Y</v>
      </c>
      <c r="P331" s="215"/>
      <c r="Q331" s="172"/>
      <c r="R331" s="172"/>
      <c r="S331" s="172"/>
      <c r="T331" s="172"/>
      <c r="U331" s="173"/>
    </row>
    <row r="332" spans="1:21" ht="16.95" customHeight="1" x14ac:dyDescent="0.3">
      <c r="A332" s="41">
        <f t="shared" si="43"/>
        <v>0</v>
      </c>
      <c r="C332" s="41">
        <f t="shared" si="44"/>
        <v>-34638.66509577151</v>
      </c>
      <c r="D332" s="41">
        <f t="shared" si="44"/>
        <v>0</v>
      </c>
      <c r="E332" s="41">
        <f t="shared" si="44"/>
        <v>0</v>
      </c>
      <c r="F332" s="41">
        <f t="shared" si="44"/>
        <v>0</v>
      </c>
      <c r="G332" s="41">
        <f t="shared" si="44"/>
        <v>-63000</v>
      </c>
      <c r="H332" s="41">
        <f t="shared" si="44"/>
        <v>0</v>
      </c>
      <c r="I332" s="41">
        <f t="shared" si="44"/>
        <v>97638.665095771517</v>
      </c>
      <c r="J332" s="41">
        <f t="shared" si="44"/>
        <v>24247.065567040056</v>
      </c>
      <c r="K332" s="13" t="s">
        <v>251</v>
      </c>
      <c r="L332" s="38" t="str">
        <f>INDEX(B$294:B$305, MATCH(7, F$294:F$305, 0))</f>
        <v>D6X</v>
      </c>
      <c r="M332" s="14" t="str">
        <f>INDEX(C$294:C$305, MATCH(7, F$294:F$305, 0))</f>
        <v>U6X</v>
      </c>
      <c r="P332" s="215"/>
      <c r="Q332" s="172"/>
      <c r="R332" s="172"/>
      <c r="S332" s="172"/>
      <c r="T332" s="172"/>
      <c r="U332" s="173"/>
    </row>
    <row r="333" spans="1:21" ht="16.95" customHeight="1" x14ac:dyDescent="0.3">
      <c r="A333" s="41">
        <f t="shared" si="43"/>
        <v>0</v>
      </c>
      <c r="C333" s="41">
        <f t="shared" si="44"/>
        <v>-24247.065567040056</v>
      </c>
      <c r="D333" s="41">
        <f t="shared" si="44"/>
        <v>0</v>
      </c>
      <c r="E333" s="41">
        <f t="shared" si="44"/>
        <v>0</v>
      </c>
      <c r="F333" s="41">
        <f t="shared" si="44"/>
        <v>0</v>
      </c>
      <c r="G333" s="41">
        <f t="shared" si="44"/>
        <v>0</v>
      </c>
      <c r="H333" s="41">
        <f t="shared" si="44"/>
        <v>0</v>
      </c>
      <c r="I333" s="41">
        <f t="shared" si="44"/>
        <v>24247.065567040056</v>
      </c>
      <c r="J333" s="41">
        <f t="shared" si="44"/>
        <v>106972.94589692804</v>
      </c>
      <c r="K333" s="13" t="s">
        <v>251</v>
      </c>
      <c r="L333" s="38" t="str">
        <f>INDEX(B$294:B$305, MATCH(8, F$294:F$305, 0))</f>
        <v>D6Y</v>
      </c>
      <c r="M333" s="14" t="str">
        <f>INDEX(C$294:C$305, MATCH(8, F$294:F$305, 0))</f>
        <v>U6Y</v>
      </c>
      <c r="P333" s="215"/>
      <c r="Q333" s="172"/>
      <c r="R333" s="172"/>
      <c r="S333" s="172"/>
      <c r="T333" s="172"/>
      <c r="U333" s="173"/>
    </row>
    <row r="334" spans="1:21" ht="16.95" customHeight="1" x14ac:dyDescent="0.3">
      <c r="P334" s="215"/>
      <c r="Q334" s="172"/>
      <c r="R334" s="172"/>
      <c r="S334" s="172"/>
      <c r="T334" s="172"/>
      <c r="U334" s="173"/>
    </row>
    <row r="335" spans="1:21" ht="16.95" customHeight="1" x14ac:dyDescent="0.3">
      <c r="C335" s="218" t="s">
        <v>263</v>
      </c>
      <c r="D335" s="172"/>
      <c r="E335" s="172"/>
      <c r="F335" s="172"/>
      <c r="G335" s="172"/>
      <c r="H335" s="172"/>
      <c r="I335" s="172"/>
      <c r="J335" s="173"/>
      <c r="P335" s="215"/>
      <c r="Q335" s="172"/>
      <c r="R335" s="172"/>
      <c r="S335" s="172"/>
      <c r="T335" s="172"/>
      <c r="U335" s="173"/>
    </row>
    <row r="336" spans="1:21" ht="16.95" customHeight="1" x14ac:dyDescent="0.3">
      <c r="A336" s="99" t="s">
        <v>249</v>
      </c>
      <c r="C336" s="193" t="s">
        <v>264</v>
      </c>
      <c r="D336" s="175"/>
      <c r="E336" s="175"/>
      <c r="F336" s="175"/>
      <c r="G336" s="175"/>
      <c r="H336" s="175"/>
      <c r="I336" s="175"/>
      <c r="J336" s="175"/>
      <c r="L336" s="99" t="s">
        <v>247</v>
      </c>
      <c r="P336" s="215"/>
      <c r="Q336" s="172"/>
      <c r="R336" s="172"/>
      <c r="S336" s="172"/>
      <c r="T336" s="172"/>
      <c r="U336" s="173"/>
    </row>
    <row r="337" spans="1:21" ht="16.95" customHeight="1" x14ac:dyDescent="0.3">
      <c r="A337" s="12" t="str">
        <f t="shared" ref="A337:A344" si="45">L326</f>
        <v>D2X</v>
      </c>
      <c r="C337" s="93">
        <f t="array" ref="C337:J344">MINVERSE(C326:J333)</f>
        <v>1.2281480340987558E-5</v>
      </c>
      <c r="D337" s="93">
        <v>1.1344049596746745E-5</v>
      </c>
      <c r="E337" s="93">
        <v>9.4126892810745585E-6</v>
      </c>
      <c r="F337" s="93">
        <v>-6.50255673007939E-7</v>
      </c>
      <c r="G337" s="93">
        <v>8.0856368871808058E-6</v>
      </c>
      <c r="H337" s="93">
        <v>-2.2191934753718648E-6</v>
      </c>
      <c r="I337" s="93">
        <v>9.4126892810745568E-6</v>
      </c>
      <c r="J337" s="93">
        <v>6.5025567300793858E-7</v>
      </c>
      <c r="L337" s="17">
        <f t="shared" ref="L337:L344" si="46">A326</f>
        <v>0</v>
      </c>
      <c r="P337" s="215"/>
      <c r="Q337" s="172"/>
      <c r="R337" s="172"/>
      <c r="S337" s="172"/>
      <c r="T337" s="172"/>
      <c r="U337" s="173"/>
    </row>
    <row r="338" spans="1:21" ht="16.95" customHeight="1" x14ac:dyDescent="0.3">
      <c r="A338" s="12" t="str">
        <f t="shared" si="45"/>
        <v>D3X</v>
      </c>
      <c r="C338" s="93">
        <v>1.1344049596746747E-5</v>
      </c>
      <c r="D338" s="93">
        <v>2.2688099193493497E-5</v>
      </c>
      <c r="E338" s="93">
        <v>1.1344049596746742E-5</v>
      </c>
      <c r="F338" s="93">
        <v>-7.8531103637219609E-22</v>
      </c>
      <c r="G338" s="93">
        <v>1.1344049596746742E-5</v>
      </c>
      <c r="H338" s="93">
        <v>-4.4383869507437314E-6</v>
      </c>
      <c r="I338" s="93">
        <v>1.134404959674674E-5</v>
      </c>
      <c r="J338" s="93">
        <v>3.5899933091300393E-22</v>
      </c>
      <c r="L338" s="17">
        <f t="shared" si="46"/>
        <v>0</v>
      </c>
      <c r="P338" s="215"/>
      <c r="Q338" s="172"/>
      <c r="R338" s="172"/>
      <c r="S338" s="172"/>
      <c r="T338" s="172"/>
      <c r="U338" s="173"/>
    </row>
    <row r="339" spans="1:21" ht="16.95" customHeight="1" x14ac:dyDescent="0.3">
      <c r="A339" s="12" t="str">
        <f t="shared" si="45"/>
        <v>D4X</v>
      </c>
      <c r="C339" s="93">
        <v>9.4126892810745585E-6</v>
      </c>
      <c r="D339" s="93">
        <v>1.1344049596746742E-5</v>
      </c>
      <c r="E339" s="93">
        <v>2.2925537106984568E-5</v>
      </c>
      <c r="F339" s="93">
        <v>3.0628950571107315E-6</v>
      </c>
      <c r="G339" s="93">
        <v>1.3303327472970193E-5</v>
      </c>
      <c r="H339" s="93">
        <v>-2.2191934753718648E-6</v>
      </c>
      <c r="I339" s="93">
        <v>1.207280474656931E-5</v>
      </c>
      <c r="J339" s="93">
        <v>-6.0295613593643114E-7</v>
      </c>
      <c r="L339" s="17">
        <f t="shared" si="46"/>
        <v>2000</v>
      </c>
      <c r="P339" s="215"/>
      <c r="Q339" s="172"/>
      <c r="R339" s="172"/>
      <c r="S339" s="172"/>
      <c r="T339" s="172"/>
      <c r="U339" s="173"/>
    </row>
    <row r="340" spans="1:21" ht="16.95" customHeight="1" x14ac:dyDescent="0.3">
      <c r="A340" s="12" t="str">
        <f t="shared" si="45"/>
        <v>D4Y</v>
      </c>
      <c r="C340" s="93">
        <v>-6.5025567300793879E-7</v>
      </c>
      <c r="D340" s="93">
        <v>-8.6189978314223733E-22</v>
      </c>
      <c r="E340" s="93">
        <v>3.0628950571107331E-6</v>
      </c>
      <c r="F340" s="93">
        <v>1.0189800795649515E-5</v>
      </c>
      <c r="G340" s="93">
        <v>1.1826699235156434E-6</v>
      </c>
      <c r="H340" s="93">
        <v>1.4364996385703952E-22</v>
      </c>
      <c r="I340" s="93">
        <v>6.0295613593643061E-7</v>
      </c>
      <c r="J340" s="93">
        <v>-2.8405975591381395E-7</v>
      </c>
      <c r="L340" s="17">
        <f t="shared" si="46"/>
        <v>0</v>
      </c>
      <c r="P340" s="215"/>
      <c r="Q340" s="172"/>
      <c r="R340" s="172"/>
      <c r="S340" s="172"/>
      <c r="T340" s="172"/>
      <c r="U340" s="173"/>
    </row>
    <row r="341" spans="1:21" ht="16.95" customHeight="1" x14ac:dyDescent="0.3">
      <c r="A341" s="12" t="str">
        <f t="shared" si="45"/>
        <v>D5X</v>
      </c>
      <c r="B341" s="13" t="s">
        <v>220</v>
      </c>
      <c r="C341" s="93">
        <v>8.0856368871808075E-6</v>
      </c>
      <c r="D341" s="93">
        <v>1.1344049596746743E-5</v>
      </c>
      <c r="E341" s="93">
        <v>1.3303327472970195E-5</v>
      </c>
      <c r="F341" s="93">
        <v>1.1826699235156434E-6</v>
      </c>
      <c r="G341" s="93">
        <v>1.5716939561777633E-5</v>
      </c>
      <c r="H341" s="93">
        <v>-2.2191934753718648E-6</v>
      </c>
      <c r="I341" s="93">
        <v>1.3303327472970193E-5</v>
      </c>
      <c r="J341" s="93">
        <v>-1.1826699235156438E-6</v>
      </c>
      <c r="L341" s="17">
        <f t="shared" si="46"/>
        <v>0</v>
      </c>
      <c r="P341" s="215"/>
      <c r="Q341" s="172"/>
      <c r="R341" s="172"/>
      <c r="S341" s="172"/>
      <c r="T341" s="172"/>
      <c r="U341" s="173"/>
    </row>
    <row r="342" spans="1:21" ht="16.95" customHeight="1" x14ac:dyDescent="0.3">
      <c r="A342" s="12" t="str">
        <f t="shared" si="45"/>
        <v>D5Y</v>
      </c>
      <c r="C342" s="93">
        <v>-2.2191934753718653E-6</v>
      </c>
      <c r="D342" s="93">
        <v>-4.4383869507437331E-6</v>
      </c>
      <c r="E342" s="93">
        <v>-2.2191934753718648E-6</v>
      </c>
      <c r="F342" s="93">
        <v>1.3035627330405229E-22</v>
      </c>
      <c r="G342" s="93">
        <v>-2.2191934753718648E-6</v>
      </c>
      <c r="H342" s="93">
        <v>8.9363015052466799E-6</v>
      </c>
      <c r="I342" s="93">
        <v>-2.2191934753718648E-6</v>
      </c>
      <c r="J342" s="93">
        <v>-1.2091016654288908E-22</v>
      </c>
      <c r="L342" s="17">
        <f t="shared" si="46"/>
        <v>-9000</v>
      </c>
      <c r="P342" s="215"/>
      <c r="Q342" s="172"/>
      <c r="R342" s="172"/>
      <c r="S342" s="172"/>
      <c r="T342" s="172"/>
      <c r="U342" s="173"/>
    </row>
    <row r="343" spans="1:21" ht="16.95" customHeight="1" x14ac:dyDescent="0.3">
      <c r="A343" s="12" t="str">
        <f t="shared" si="45"/>
        <v>D6X</v>
      </c>
      <c r="C343" s="93">
        <v>9.4126892810745585E-6</v>
      </c>
      <c r="D343" s="93">
        <v>1.1344049596746743E-5</v>
      </c>
      <c r="E343" s="93">
        <v>1.2072804746569312E-5</v>
      </c>
      <c r="F343" s="93">
        <v>6.0295613593643103E-7</v>
      </c>
      <c r="G343" s="93">
        <v>1.3303327472970193E-5</v>
      </c>
      <c r="H343" s="93">
        <v>-2.2191934753718648E-6</v>
      </c>
      <c r="I343" s="93">
        <v>2.2925537106984568E-5</v>
      </c>
      <c r="J343" s="93">
        <v>-3.0628950571107323E-6</v>
      </c>
      <c r="L343" s="17">
        <f t="shared" si="46"/>
        <v>0</v>
      </c>
      <c r="P343" s="215"/>
      <c r="Q343" s="172"/>
      <c r="R343" s="172"/>
      <c r="S343" s="172"/>
      <c r="T343" s="172"/>
      <c r="U343" s="173"/>
    </row>
    <row r="344" spans="1:21" ht="16.95" customHeight="1" x14ac:dyDescent="0.3">
      <c r="A344" s="12" t="str">
        <f t="shared" si="45"/>
        <v>D6Y</v>
      </c>
      <c r="C344" s="93">
        <v>6.5025567300793869E-7</v>
      </c>
      <c r="D344" s="93">
        <v>8.4847135947553742E-22</v>
      </c>
      <c r="E344" s="93">
        <v>-6.0295613593643092E-7</v>
      </c>
      <c r="F344" s="93">
        <v>-2.8405975591381401E-7</v>
      </c>
      <c r="G344" s="93">
        <v>-1.1826699235156429E-6</v>
      </c>
      <c r="H344" s="93">
        <v>-1.4141189324592289E-22</v>
      </c>
      <c r="I344" s="93">
        <v>-3.0628950571107323E-6</v>
      </c>
      <c r="J344" s="93">
        <v>1.0189800795649515E-5</v>
      </c>
      <c r="L344" s="17">
        <f t="shared" si="46"/>
        <v>0</v>
      </c>
      <c r="P344" s="215"/>
      <c r="Q344" s="172"/>
      <c r="R344" s="172"/>
      <c r="S344" s="172"/>
      <c r="T344" s="172"/>
      <c r="U344" s="173"/>
    </row>
    <row r="345" spans="1:21" ht="16.95" customHeight="1" x14ac:dyDescent="0.3">
      <c r="P345" s="215"/>
      <c r="Q345" s="172"/>
      <c r="R345" s="172"/>
      <c r="S345" s="172"/>
      <c r="T345" s="172"/>
      <c r="U345" s="173"/>
    </row>
    <row r="346" spans="1:21" ht="16.95" customHeight="1" x14ac:dyDescent="0.3">
      <c r="C346" s="218" t="s">
        <v>265</v>
      </c>
      <c r="D346" s="173"/>
      <c r="P346" s="215"/>
      <c r="Q346" s="172"/>
      <c r="R346" s="172"/>
      <c r="S346" s="172"/>
      <c r="T346" s="172"/>
      <c r="U346" s="173"/>
    </row>
    <row r="347" spans="1:21" ht="16.95" customHeight="1" x14ac:dyDescent="0.3">
      <c r="A347" s="99" t="s">
        <v>249</v>
      </c>
      <c r="C347" s="99" t="s">
        <v>266</v>
      </c>
      <c r="P347" s="215"/>
      <c r="Q347" s="172"/>
      <c r="R347" s="172"/>
      <c r="S347" s="172"/>
      <c r="T347" s="172"/>
      <c r="U347" s="173"/>
    </row>
    <row r="348" spans="1:21" ht="16.95" customHeight="1" x14ac:dyDescent="0.3">
      <c r="A348" s="12" t="str">
        <f t="shared" ref="A348:A355" si="47">A337</f>
        <v>D2X</v>
      </c>
      <c r="C348" s="94">
        <f t="array" ref="C348:C355">MMULT(C337:J344, L337:L344)</f>
        <v>3.8798119840495901E-2</v>
      </c>
      <c r="D348" s="12" t="s">
        <v>267</v>
      </c>
      <c r="P348" s="215"/>
      <c r="Q348" s="172"/>
      <c r="R348" s="172"/>
      <c r="S348" s="172"/>
      <c r="T348" s="172"/>
      <c r="U348" s="173"/>
    </row>
    <row r="349" spans="1:21" ht="16.95" customHeight="1" x14ac:dyDescent="0.3">
      <c r="A349" s="12" t="str">
        <f t="shared" si="47"/>
        <v>D3X</v>
      </c>
      <c r="C349" s="94">
        <v>6.2633581750187073E-2</v>
      </c>
      <c r="D349" s="12" t="s">
        <v>267</v>
      </c>
      <c r="P349" s="215"/>
      <c r="Q349" s="172"/>
      <c r="R349" s="172"/>
      <c r="S349" s="172"/>
      <c r="T349" s="172"/>
      <c r="U349" s="173"/>
    </row>
    <row r="350" spans="1:21" ht="16.95" customHeight="1" x14ac:dyDescent="0.3">
      <c r="A350" s="12" t="str">
        <f t="shared" si="47"/>
        <v>D4X</v>
      </c>
      <c r="C350" s="94">
        <v>6.5823815492315918E-2</v>
      </c>
      <c r="D350" s="12" t="s">
        <v>267</v>
      </c>
      <c r="P350" s="215"/>
      <c r="Q350" s="172"/>
      <c r="R350" s="172"/>
      <c r="S350" s="172"/>
      <c r="T350" s="172"/>
      <c r="U350" s="173"/>
    </row>
    <row r="351" spans="1:21" ht="16.95" customHeight="1" x14ac:dyDescent="0.3">
      <c r="A351" s="12" t="str">
        <f t="shared" si="47"/>
        <v>D4Y</v>
      </c>
      <c r="C351" s="94">
        <v>6.1257901142214655E-3</v>
      </c>
      <c r="D351" s="12" t="s">
        <v>267</v>
      </c>
      <c r="P351" s="215"/>
      <c r="Q351" s="172"/>
      <c r="R351" s="172"/>
      <c r="S351" s="172"/>
      <c r="T351" s="172"/>
      <c r="U351" s="173"/>
    </row>
    <row r="352" spans="1:21" ht="16.95" customHeight="1" x14ac:dyDescent="0.3">
      <c r="A352" s="12" t="str">
        <f t="shared" si="47"/>
        <v>D5X</v>
      </c>
      <c r="B352" s="13" t="s">
        <v>220</v>
      </c>
      <c r="C352" s="94">
        <v>4.6579396224287174E-2</v>
      </c>
      <c r="D352" s="12" t="s">
        <v>267</v>
      </c>
      <c r="P352" s="215"/>
      <c r="Q352" s="172"/>
      <c r="R352" s="172"/>
      <c r="S352" s="172"/>
      <c r="T352" s="172"/>
      <c r="U352" s="173"/>
    </row>
    <row r="353" spans="1:21" ht="16.95" customHeight="1" x14ac:dyDescent="0.3">
      <c r="A353" s="12" t="str">
        <f t="shared" si="47"/>
        <v>D5Y</v>
      </c>
      <c r="C353" s="94">
        <v>-8.4865100497963836E-2</v>
      </c>
      <c r="D353" s="12" t="s">
        <v>267</v>
      </c>
      <c r="P353" s="215"/>
      <c r="Q353" s="172"/>
      <c r="R353" s="172"/>
      <c r="S353" s="172"/>
      <c r="T353" s="172"/>
      <c r="U353" s="173"/>
    </row>
    <row r="354" spans="1:21" ht="16.95" customHeight="1" x14ac:dyDescent="0.3">
      <c r="A354" s="12" t="str">
        <f t="shared" si="47"/>
        <v>D6X</v>
      </c>
      <c r="C354" s="94">
        <v>4.4118350771485411E-2</v>
      </c>
      <c r="D354" s="12" t="s">
        <v>267</v>
      </c>
      <c r="P354" s="215"/>
      <c r="Q354" s="172"/>
      <c r="R354" s="172"/>
      <c r="S354" s="172"/>
      <c r="T354" s="172"/>
      <c r="U354" s="173"/>
    </row>
    <row r="355" spans="1:21" ht="16.95" customHeight="1" x14ac:dyDescent="0.3">
      <c r="A355" s="12" t="str">
        <f t="shared" si="47"/>
        <v>D6Y</v>
      </c>
      <c r="C355" s="94">
        <v>-1.2059122718728606E-3</v>
      </c>
      <c r="D355" s="12" t="s">
        <v>267</v>
      </c>
      <c r="P355" s="215"/>
      <c r="Q355" s="172"/>
      <c r="R355" s="172"/>
      <c r="S355" s="172"/>
      <c r="T355" s="172"/>
      <c r="U355" s="173"/>
    </row>
    <row r="358" spans="1:21" ht="19.95" customHeight="1" x14ac:dyDescent="0.35">
      <c r="A358" s="11" t="s">
        <v>268</v>
      </c>
      <c r="P358" s="216" t="s">
        <v>269</v>
      </c>
      <c r="Q358" s="172"/>
      <c r="R358" s="172"/>
      <c r="S358" s="172"/>
      <c r="T358" s="172"/>
      <c r="U358" s="173"/>
    </row>
    <row r="359" spans="1:21" ht="16.95" customHeight="1" x14ac:dyDescent="0.3">
      <c r="A359" s="99" t="s">
        <v>247</v>
      </c>
      <c r="L359" s="99" t="s">
        <v>249</v>
      </c>
      <c r="P359" s="215" t="s">
        <v>389</v>
      </c>
      <c r="Q359" s="172"/>
      <c r="R359" s="172"/>
      <c r="S359" s="172"/>
      <c r="T359" s="172"/>
      <c r="U359" s="173"/>
    </row>
    <row r="360" spans="1:21" ht="16.95" customHeight="1" x14ac:dyDescent="0.3">
      <c r="A360" s="18" t="str">
        <f>INDEX(B$280:B$291, MATCH(M360, C$280:C$291, 0))</f>
        <v>C1X</v>
      </c>
      <c r="C360" s="9">
        <f t="shared" ref="C360:J363" si="48">INDEX($B$265:$M$276, MATCH($M360, $N$265:$N$276, 0), MATCH(C$325, $B$264:$M$264, 0))</f>
        <v>-63000</v>
      </c>
      <c r="D360" s="9">
        <f t="shared" si="48"/>
        <v>0</v>
      </c>
      <c r="E360" s="9">
        <f t="shared" si="48"/>
        <v>0</v>
      </c>
      <c r="F360" s="9">
        <f t="shared" si="48"/>
        <v>0</v>
      </c>
      <c r="G360" s="9">
        <f t="shared" si="48"/>
        <v>-34638.66509577151</v>
      </c>
      <c r="H360" s="9">
        <f t="shared" si="48"/>
        <v>-24247.065567040056</v>
      </c>
      <c r="I360" s="9">
        <f t="shared" si="48"/>
        <v>0</v>
      </c>
      <c r="J360" s="9">
        <f t="shared" si="48"/>
        <v>0</v>
      </c>
      <c r="L360" s="95">
        <f t="shared" ref="L360:L367" si="49">C348</f>
        <v>3.8798119840495901E-2</v>
      </c>
      <c r="M360" s="14" t="str">
        <f>INDEX(C$294:C$305, MATCH(1, G$294:G$305, 0))</f>
        <v>U1X</v>
      </c>
      <c r="P360" s="215" t="s">
        <v>390</v>
      </c>
      <c r="Q360" s="172"/>
      <c r="R360" s="172"/>
      <c r="S360" s="172"/>
      <c r="T360" s="172"/>
      <c r="U360" s="173"/>
    </row>
    <row r="361" spans="1:21" ht="16.95" customHeight="1" x14ac:dyDescent="0.3">
      <c r="A361" s="18" t="str">
        <f>INDEX(B$280:B$291, MATCH(M361, C$280:C$291, 0))</f>
        <v>C1Y</v>
      </c>
      <c r="C361" s="9">
        <f t="shared" si="48"/>
        <v>0</v>
      </c>
      <c r="D361" s="9">
        <f t="shared" si="48"/>
        <v>0</v>
      </c>
      <c r="E361" s="9">
        <f t="shared" si="48"/>
        <v>0</v>
      </c>
      <c r="F361" s="9">
        <f t="shared" si="48"/>
        <v>-90000</v>
      </c>
      <c r="G361" s="9">
        <f t="shared" si="48"/>
        <v>-24247.065567040056</v>
      </c>
      <c r="H361" s="9">
        <f t="shared" si="48"/>
        <v>-16972.945896928042</v>
      </c>
      <c r="I361" s="9">
        <f t="shared" si="48"/>
        <v>0</v>
      </c>
      <c r="J361" s="9">
        <f t="shared" si="48"/>
        <v>0</v>
      </c>
      <c r="L361" s="95">
        <f t="shared" si="49"/>
        <v>6.2633581750187073E-2</v>
      </c>
      <c r="M361" s="14" t="str">
        <f>INDEX(C$294:C$305, MATCH(2, G$294:G$305, 0))</f>
        <v>U1Y</v>
      </c>
      <c r="P361" s="215" t="s">
        <v>391</v>
      </c>
      <c r="Q361" s="172"/>
      <c r="R361" s="172"/>
      <c r="S361" s="172"/>
      <c r="T361" s="172"/>
      <c r="U361" s="173"/>
    </row>
    <row r="362" spans="1:21" ht="16.95" customHeight="1" x14ac:dyDescent="0.3">
      <c r="A362" s="18" t="str">
        <f>INDEX(B$280:B$291, MATCH(M362, C$280:C$291, 0))</f>
        <v>C2Y</v>
      </c>
      <c r="B362" s="13" t="s">
        <v>220</v>
      </c>
      <c r="C362" s="9">
        <f t="shared" si="48"/>
        <v>0</v>
      </c>
      <c r="D362" s="9">
        <f t="shared" si="48"/>
        <v>0</v>
      </c>
      <c r="E362" s="9">
        <f t="shared" si="48"/>
        <v>24247.065567040056</v>
      </c>
      <c r="F362" s="9">
        <f t="shared" si="48"/>
        <v>-16972.945896928042</v>
      </c>
      <c r="G362" s="9">
        <f t="shared" si="48"/>
        <v>0</v>
      </c>
      <c r="H362" s="9">
        <f t="shared" si="48"/>
        <v>-90000</v>
      </c>
      <c r="I362" s="9">
        <f t="shared" si="48"/>
        <v>-24247.065567040056</v>
      </c>
      <c r="J362" s="9">
        <f t="shared" si="48"/>
        <v>-16972.945896928042</v>
      </c>
      <c r="L362" s="95">
        <f t="shared" si="49"/>
        <v>6.5823815492315918E-2</v>
      </c>
      <c r="M362" s="14" t="str">
        <f>INDEX(C$294:C$305, MATCH(3, G$294:G$305, 0))</f>
        <v>U2Y</v>
      </c>
      <c r="P362" s="215" t="s">
        <v>392</v>
      </c>
      <c r="Q362" s="172"/>
      <c r="R362" s="172"/>
      <c r="S362" s="172"/>
      <c r="T362" s="172"/>
      <c r="U362" s="173"/>
    </row>
    <row r="363" spans="1:21" ht="16.95" customHeight="1" x14ac:dyDescent="0.3">
      <c r="A363" s="18" t="str">
        <f>INDEX(B$280:B$291, MATCH(M363, C$280:C$291, 0))</f>
        <v>C3Y</v>
      </c>
      <c r="C363" s="9">
        <f t="shared" si="48"/>
        <v>0</v>
      </c>
      <c r="D363" s="9">
        <f t="shared" si="48"/>
        <v>-24247.065567040056</v>
      </c>
      <c r="E363" s="9">
        <f t="shared" si="48"/>
        <v>0</v>
      </c>
      <c r="F363" s="9">
        <f t="shared" si="48"/>
        <v>0</v>
      </c>
      <c r="G363" s="9">
        <f t="shared" si="48"/>
        <v>24247.065567040056</v>
      </c>
      <c r="H363" s="9">
        <f t="shared" si="48"/>
        <v>-16972.945896928042</v>
      </c>
      <c r="I363" s="9">
        <f t="shared" si="48"/>
        <v>0</v>
      </c>
      <c r="J363" s="9">
        <f t="shared" si="48"/>
        <v>-90000</v>
      </c>
      <c r="L363" s="95">
        <f t="shared" si="49"/>
        <v>6.1257901142214655E-3</v>
      </c>
      <c r="M363" s="14" t="str">
        <f>INDEX(C$294:C$305, MATCH(4, G$294:G$305, 0))</f>
        <v>U3Y</v>
      </c>
      <c r="P363" s="215" t="s">
        <v>393</v>
      </c>
      <c r="Q363" s="172"/>
      <c r="R363" s="172"/>
      <c r="S363" s="172"/>
      <c r="T363" s="172"/>
      <c r="U363" s="173"/>
    </row>
    <row r="364" spans="1:21" ht="16.95" customHeight="1" x14ac:dyDescent="0.3">
      <c r="L364" s="95">
        <f t="shared" si="49"/>
        <v>4.6579396224287174E-2</v>
      </c>
      <c r="P364" s="215" t="s">
        <v>394</v>
      </c>
      <c r="Q364" s="172"/>
      <c r="R364" s="172"/>
      <c r="S364" s="172"/>
      <c r="T364" s="172"/>
      <c r="U364" s="173"/>
    </row>
    <row r="365" spans="1:21" ht="16.95" customHeight="1" x14ac:dyDescent="0.3">
      <c r="L365" s="95">
        <f t="shared" si="49"/>
        <v>-8.4865100497963836E-2</v>
      </c>
      <c r="P365" s="215"/>
      <c r="Q365" s="172"/>
      <c r="R365" s="172"/>
      <c r="S365" s="172"/>
      <c r="T365" s="172"/>
      <c r="U365" s="173"/>
    </row>
    <row r="366" spans="1:21" ht="16.95" customHeight="1" x14ac:dyDescent="0.3">
      <c r="L366" s="95">
        <f t="shared" si="49"/>
        <v>4.4118350771485411E-2</v>
      </c>
      <c r="P366" s="215"/>
      <c r="Q366" s="172"/>
      <c r="R366" s="172"/>
      <c r="S366" s="172"/>
      <c r="T366" s="172"/>
      <c r="U366" s="173"/>
    </row>
    <row r="367" spans="1:21" ht="16.95" customHeight="1" x14ac:dyDescent="0.3">
      <c r="L367" s="95">
        <f t="shared" si="49"/>
        <v>-1.2059122718728606E-3</v>
      </c>
      <c r="P367" s="215"/>
      <c r="Q367" s="172"/>
      <c r="R367" s="172"/>
      <c r="S367" s="172"/>
      <c r="T367" s="172"/>
      <c r="U367" s="173"/>
    </row>
    <row r="368" spans="1:21" ht="16.95" customHeight="1" x14ac:dyDescent="0.3">
      <c r="P368" s="215"/>
      <c r="Q368" s="172"/>
      <c r="R368" s="172"/>
      <c r="S368" s="172"/>
      <c r="T368" s="172"/>
      <c r="U368" s="173"/>
    </row>
    <row r="369" spans="1:21" ht="16.95" customHeight="1" x14ac:dyDescent="0.3">
      <c r="A369" s="12" t="str">
        <f>A360</f>
        <v>C1X</v>
      </c>
      <c r="C369" s="17">
        <f t="array" ref="C369:C372">MMULT(C360:J363, L360:L367)</f>
        <v>-1999.9999999999959</v>
      </c>
      <c r="D369" s="12" t="s">
        <v>273</v>
      </c>
      <c r="P369" s="215"/>
      <c r="Q369" s="172"/>
      <c r="R369" s="172"/>
      <c r="S369" s="172"/>
      <c r="T369" s="172"/>
      <c r="U369" s="173"/>
    </row>
    <row r="370" spans="1:21" ht="16.95" customHeight="1" x14ac:dyDescent="0.3">
      <c r="A370" s="12" t="str">
        <f>A361</f>
        <v>C1Y</v>
      </c>
      <c r="C370" s="17">
        <v>-240.32402531405978</v>
      </c>
      <c r="D370" s="12" t="s">
        <v>273</v>
      </c>
      <c r="P370" s="215"/>
      <c r="Q370" s="172"/>
      <c r="R370" s="172"/>
      <c r="S370" s="172"/>
      <c r="T370" s="172"/>
      <c r="U370" s="173"/>
    </row>
    <row r="371" spans="1:21" ht="16.95" customHeight="1" x14ac:dyDescent="0.3">
      <c r="A371" s="12" t="str">
        <f>A362</f>
        <v>C2Y</v>
      </c>
      <c r="B371" s="13" t="s">
        <v>220</v>
      </c>
      <c r="C371" s="17">
        <v>8080.6480506281205</v>
      </c>
      <c r="D371" s="12" t="s">
        <v>273</v>
      </c>
      <c r="P371" s="215"/>
      <c r="Q371" s="172"/>
      <c r="R371" s="172"/>
      <c r="S371" s="172"/>
      <c r="T371" s="172"/>
      <c r="U371" s="173"/>
    </row>
    <row r="372" spans="1:21" ht="16.95" customHeight="1" x14ac:dyDescent="0.3">
      <c r="A372" s="12" t="str">
        <f>A363</f>
        <v>C3Y</v>
      </c>
      <c r="C372" s="17">
        <v>1159.6759746859384</v>
      </c>
      <c r="D372" s="12" t="s">
        <v>273</v>
      </c>
      <c r="P372" s="215"/>
      <c r="Q372" s="172"/>
      <c r="R372" s="172"/>
      <c r="S372" s="172"/>
      <c r="T372" s="172"/>
      <c r="U372" s="173"/>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3.8798119840495901E-2</v>
      </c>
    </row>
    <row r="380" spans="1:21" ht="19.05" customHeight="1" x14ac:dyDescent="0.3">
      <c r="A380" s="12" t="s">
        <v>231</v>
      </c>
      <c r="B380" s="12" t="s">
        <v>181</v>
      </c>
      <c r="D380" s="94">
        <f t="shared" si="50"/>
        <v>0</v>
      </c>
    </row>
    <row r="381" spans="1:21" ht="19.05" customHeight="1" x14ac:dyDescent="0.3">
      <c r="A381" s="12" t="s">
        <v>232</v>
      </c>
      <c r="B381" s="12" t="s">
        <v>182</v>
      </c>
      <c r="D381" s="94">
        <f t="shared" si="50"/>
        <v>6.2633581750187073E-2</v>
      </c>
    </row>
    <row r="382" spans="1:21" ht="19.05" customHeight="1" x14ac:dyDescent="0.3">
      <c r="A382" s="12" t="s">
        <v>234</v>
      </c>
      <c r="B382" s="12" t="s">
        <v>183</v>
      </c>
      <c r="D382" s="94">
        <f t="shared" si="50"/>
        <v>0</v>
      </c>
    </row>
    <row r="383" spans="1:21" ht="19.05" customHeight="1" x14ac:dyDescent="0.3">
      <c r="A383" s="12" t="s">
        <v>235</v>
      </c>
      <c r="B383" s="12" t="s">
        <v>184</v>
      </c>
      <c r="D383" s="94">
        <f t="shared" si="50"/>
        <v>6.5823815492315918E-2</v>
      </c>
    </row>
    <row r="384" spans="1:21" ht="19.05" customHeight="1" x14ac:dyDescent="0.3">
      <c r="A384" s="12" t="s">
        <v>236</v>
      </c>
      <c r="B384" s="12" t="s">
        <v>185</v>
      </c>
      <c r="D384" s="94">
        <f t="shared" si="50"/>
        <v>6.1257901142214655E-3</v>
      </c>
    </row>
    <row r="385" spans="1:21" ht="19.05" customHeight="1" x14ac:dyDescent="0.3">
      <c r="A385" s="12" t="s">
        <v>237</v>
      </c>
      <c r="B385" s="12" t="s">
        <v>186</v>
      </c>
      <c r="D385" s="94">
        <f t="shared" si="50"/>
        <v>4.6579396224287174E-2</v>
      </c>
    </row>
    <row r="386" spans="1:21" ht="19.05" customHeight="1" x14ac:dyDescent="0.3">
      <c r="A386" s="12" t="s">
        <v>238</v>
      </c>
      <c r="B386" s="12" t="s">
        <v>187</v>
      </c>
      <c r="D386" s="94">
        <f t="shared" si="50"/>
        <v>-8.4865100497963836E-2</v>
      </c>
    </row>
    <row r="387" spans="1:21" ht="19.05" customHeight="1" x14ac:dyDescent="0.3">
      <c r="A387" s="12" t="s">
        <v>239</v>
      </c>
      <c r="B387" s="12" t="s">
        <v>188</v>
      </c>
      <c r="D387" s="94">
        <f t="shared" si="50"/>
        <v>4.4118350771485411E-2</v>
      </c>
    </row>
    <row r="388" spans="1:21" ht="19.05" customHeight="1" x14ac:dyDescent="0.3">
      <c r="A388" s="12" t="s">
        <v>240</v>
      </c>
      <c r="B388" s="12" t="s">
        <v>189</v>
      </c>
      <c r="D388" s="94">
        <f t="shared" si="50"/>
        <v>-1.2059122718728606E-3</v>
      </c>
    </row>
    <row r="391" spans="1:21" ht="19.95" customHeight="1" x14ac:dyDescent="0.35">
      <c r="A391" s="11" t="s">
        <v>275</v>
      </c>
      <c r="P391" s="216" t="s">
        <v>276</v>
      </c>
      <c r="Q391" s="172"/>
      <c r="R391" s="172"/>
      <c r="S391" s="172"/>
      <c r="T391" s="172"/>
      <c r="U391" s="173"/>
    </row>
    <row r="392" spans="1:21" ht="16.95" customHeight="1" x14ac:dyDescent="0.3">
      <c r="P392" s="215" t="s">
        <v>395</v>
      </c>
      <c r="Q392" s="172"/>
      <c r="R392" s="172"/>
      <c r="S392" s="172"/>
      <c r="T392" s="172"/>
      <c r="U392" s="173"/>
    </row>
    <row r="393" spans="1:21" ht="16.95" customHeight="1" x14ac:dyDescent="0.3">
      <c r="A393" s="19" t="s">
        <v>278</v>
      </c>
      <c r="C393" s="19" t="s">
        <v>279</v>
      </c>
      <c r="D393" s="19" t="s">
        <v>280</v>
      </c>
      <c r="E393" s="19" t="s">
        <v>279</v>
      </c>
      <c r="F393" s="19" t="s">
        <v>280</v>
      </c>
      <c r="G393" s="19" t="s">
        <v>249</v>
      </c>
      <c r="P393" s="215" t="s">
        <v>396</v>
      </c>
      <c r="Q393" s="172"/>
      <c r="R393" s="172"/>
      <c r="S393" s="172"/>
      <c r="T393" s="172"/>
      <c r="U393" s="173"/>
    </row>
    <row r="394" spans="1:21" ht="16.95" customHeight="1" x14ac:dyDescent="0.3">
      <c r="C394" s="19" t="s">
        <v>282</v>
      </c>
      <c r="D394" s="19" t="s">
        <v>282</v>
      </c>
      <c r="E394" s="19" t="s">
        <v>283</v>
      </c>
      <c r="F394" s="19" t="s">
        <v>283</v>
      </c>
      <c r="P394" s="215" t="s">
        <v>397</v>
      </c>
      <c r="Q394" s="172"/>
      <c r="R394" s="172"/>
      <c r="S394" s="172"/>
      <c r="T394" s="172"/>
      <c r="U394" s="173"/>
    </row>
    <row r="395" spans="1:21" ht="16.95" customHeight="1" x14ac:dyDescent="0.3">
      <c r="A395" s="17">
        <f>N6</f>
        <v>63000</v>
      </c>
      <c r="C395" s="92">
        <f>-J6</f>
        <v>-1</v>
      </c>
      <c r="D395" s="92">
        <f>-K6</f>
        <v>0</v>
      </c>
      <c r="E395" s="92">
        <f>J6</f>
        <v>1</v>
      </c>
      <c r="F395" s="92">
        <f>K6</f>
        <v>0</v>
      </c>
      <c r="G395" s="96">
        <f>IFERROR(VLOOKUP(H395, A$377:D$388, 4, FALSE), 0)</f>
        <v>0</v>
      </c>
      <c r="H395" s="12" t="str">
        <f>"D" &amp; C20 &amp; "X"</f>
        <v>D1X</v>
      </c>
      <c r="P395" s="215" t="s">
        <v>398</v>
      </c>
      <c r="Q395" s="172"/>
      <c r="R395" s="172"/>
      <c r="S395" s="172"/>
      <c r="T395" s="172"/>
      <c r="U395" s="173"/>
    </row>
    <row r="396" spans="1:21" ht="16.95" customHeight="1" x14ac:dyDescent="0.3">
      <c r="A396" s="99" t="s">
        <v>285</v>
      </c>
      <c r="B396" s="97">
        <f>(MMULT(C395:F395, G395:G398)*A395)</f>
        <v>2444.2815499512417</v>
      </c>
      <c r="G396" s="96">
        <f>IFERROR(VLOOKUP(H396, A$377:D$388, 4, FALSE), 0)</f>
        <v>0</v>
      </c>
      <c r="H396" s="12" t="str">
        <f>"D" &amp; D20 &amp; "Y"</f>
        <v>D1Y</v>
      </c>
      <c r="P396" s="215" t="s">
        <v>399</v>
      </c>
      <c r="Q396" s="172"/>
      <c r="R396" s="172"/>
      <c r="S396" s="172"/>
      <c r="T396" s="172"/>
      <c r="U396" s="173"/>
    </row>
    <row r="397" spans="1:21" ht="16.95" customHeight="1" x14ac:dyDescent="0.3">
      <c r="G397" s="96">
        <f>IFERROR(VLOOKUP(H397, A$377:D$388, 4, FALSE), 0)</f>
        <v>3.8798119840495901E-2</v>
      </c>
      <c r="H397" s="12" t="str">
        <f>"D" &amp; E20 &amp; "X"</f>
        <v>D2X</v>
      </c>
      <c r="P397" s="215" t="s">
        <v>400</v>
      </c>
      <c r="Q397" s="172"/>
      <c r="R397" s="172"/>
      <c r="S397" s="172"/>
      <c r="T397" s="172"/>
      <c r="U397" s="173"/>
    </row>
    <row r="398" spans="1:21" ht="16.95" customHeight="1" x14ac:dyDescent="0.3">
      <c r="G398" s="96">
        <f>IFERROR(VLOOKUP(H398, A$377:D$388, 4, FALSE), 0)</f>
        <v>0</v>
      </c>
      <c r="H398" s="12" t="str">
        <f>"D" &amp; F20 &amp; "Y"</f>
        <v>D2Y</v>
      </c>
      <c r="P398" s="215" t="s">
        <v>401</v>
      </c>
      <c r="Q398" s="172"/>
      <c r="R398" s="172"/>
      <c r="S398" s="172"/>
      <c r="T398" s="172"/>
      <c r="U398" s="173"/>
    </row>
    <row r="399" spans="1:21" ht="16.95" customHeight="1" x14ac:dyDescent="0.3">
      <c r="B399" s="99" t="s">
        <v>273</v>
      </c>
      <c r="C399" s="178" t="str">
        <f>IF(B396&gt;0.001,"BARRA A TRACCIÓN (+)",IF(B396&lt;-0.001,"BARRA A COMPRESIÓN (-)","BARRA DE FUERZA NULA"))</f>
        <v>BARRA A TRACCIÓN (+)</v>
      </c>
      <c r="D399" s="172"/>
      <c r="E399" s="172"/>
      <c r="F399" s="173"/>
      <c r="P399" s="215" t="s">
        <v>402</v>
      </c>
      <c r="Q399" s="172"/>
      <c r="R399" s="172"/>
      <c r="S399" s="172"/>
      <c r="T399" s="172"/>
      <c r="U399" s="173"/>
    </row>
    <row r="400" spans="1:21" ht="16.95" customHeight="1" x14ac:dyDescent="0.3">
      <c r="P400" s="215" t="s">
        <v>403</v>
      </c>
      <c r="Q400" s="172"/>
      <c r="R400" s="172"/>
      <c r="S400" s="172"/>
      <c r="T400" s="172"/>
      <c r="U400" s="173"/>
    </row>
    <row r="401" spans="1:21" ht="16.95" customHeight="1" x14ac:dyDescent="0.3">
      <c r="A401" s="19" t="s">
        <v>278</v>
      </c>
      <c r="C401" s="19" t="s">
        <v>279</v>
      </c>
      <c r="D401" s="19" t="s">
        <v>280</v>
      </c>
      <c r="E401" s="19" t="s">
        <v>279</v>
      </c>
      <c r="F401" s="19" t="s">
        <v>280</v>
      </c>
      <c r="G401" s="19" t="s">
        <v>249</v>
      </c>
      <c r="P401" s="215"/>
      <c r="Q401" s="172"/>
      <c r="R401" s="172"/>
      <c r="S401" s="172"/>
      <c r="T401" s="172"/>
      <c r="U401" s="173"/>
    </row>
    <row r="402" spans="1:21" ht="16.95" customHeight="1" x14ac:dyDescent="0.3">
      <c r="C402" s="19" t="s">
        <v>282</v>
      </c>
      <c r="D402" s="19" t="s">
        <v>282</v>
      </c>
      <c r="E402" s="19" t="s">
        <v>283</v>
      </c>
      <c r="F402" s="19" t="s">
        <v>283</v>
      </c>
      <c r="P402" s="215"/>
      <c r="Q402" s="172"/>
      <c r="R402" s="172"/>
      <c r="S402" s="172"/>
      <c r="T402" s="172"/>
      <c r="U402" s="173"/>
    </row>
    <row r="403" spans="1:21" ht="16.95" customHeight="1" x14ac:dyDescent="0.3">
      <c r="A403" s="17">
        <f>N7</f>
        <v>63000</v>
      </c>
      <c r="C403" s="92">
        <f>-J7</f>
        <v>-1</v>
      </c>
      <c r="D403" s="92">
        <f>-K7</f>
        <v>0</v>
      </c>
      <c r="E403" s="92">
        <f>J7</f>
        <v>1</v>
      </c>
      <c r="F403" s="92">
        <f>K7</f>
        <v>0</v>
      </c>
      <c r="G403" s="96">
        <f>IFERROR(VLOOKUP(H403, A$377:D$388, 4, FALSE), 0)</f>
        <v>3.8798119840495901E-2</v>
      </c>
      <c r="H403" s="12" t="str">
        <f>"D" &amp; C21 &amp; "X"</f>
        <v>D2X</v>
      </c>
      <c r="P403" s="215"/>
      <c r="Q403" s="172"/>
      <c r="R403" s="172"/>
      <c r="S403" s="172"/>
      <c r="T403" s="172"/>
      <c r="U403" s="173"/>
    </row>
    <row r="404" spans="1:21" ht="16.95" customHeight="1" x14ac:dyDescent="0.3">
      <c r="A404" s="99" t="s">
        <v>286</v>
      </c>
      <c r="B404" s="97">
        <f>(MMULT(C403:F403, G403:G406)*A403)</f>
        <v>1501.6341003105438</v>
      </c>
      <c r="G404" s="96">
        <f>IFERROR(VLOOKUP(H404, A$377:D$388, 4, FALSE), 0)</f>
        <v>0</v>
      </c>
      <c r="H404" s="12" t="str">
        <f>"D" &amp; D21 &amp; "Y"</f>
        <v>D2Y</v>
      </c>
      <c r="P404" s="215"/>
      <c r="Q404" s="172"/>
      <c r="R404" s="172"/>
      <c r="S404" s="172"/>
      <c r="T404" s="172"/>
      <c r="U404" s="173"/>
    </row>
    <row r="405" spans="1:21" ht="16.95" customHeight="1" x14ac:dyDescent="0.3">
      <c r="G405" s="96">
        <f>IFERROR(VLOOKUP(H405, A$377:D$388, 4, FALSE), 0)</f>
        <v>6.2633581750187073E-2</v>
      </c>
      <c r="H405" s="12" t="str">
        <f>"D" &amp; E21 &amp; "X"</f>
        <v>D3X</v>
      </c>
      <c r="P405" s="215"/>
      <c r="Q405" s="172"/>
      <c r="R405" s="172"/>
      <c r="S405" s="172"/>
      <c r="T405" s="172"/>
      <c r="U405" s="173"/>
    </row>
    <row r="406" spans="1:21" ht="16.95" customHeight="1" x14ac:dyDescent="0.3">
      <c r="G406" s="96">
        <f>IFERROR(VLOOKUP(H406, A$377:D$388, 4, FALSE), 0)</f>
        <v>0</v>
      </c>
      <c r="H406" s="12" t="str">
        <f>"D" &amp; F21 &amp; "Y"</f>
        <v>D3Y</v>
      </c>
      <c r="P406" s="215"/>
      <c r="Q406" s="172"/>
      <c r="R406" s="172"/>
      <c r="S406" s="172"/>
      <c r="T406" s="172"/>
      <c r="U406" s="173"/>
    </row>
    <row r="407" spans="1:21" ht="16.95" customHeight="1" x14ac:dyDescent="0.3">
      <c r="B407" s="99" t="s">
        <v>273</v>
      </c>
      <c r="C407" s="178" t="str">
        <f>IF(B404&gt;0.001,"BARRA A TRACCIÓN (+)",IF(B404&lt;-0.001,"BARRA A COMPRESIÓN (-)","BARRA DE FUERZA NULA"))</f>
        <v>BARRA A TRACCIÓN (+)</v>
      </c>
      <c r="D407" s="172"/>
      <c r="E407" s="172"/>
      <c r="F407" s="173"/>
      <c r="P407" s="215"/>
      <c r="Q407" s="172"/>
      <c r="R407" s="172"/>
      <c r="S407" s="172"/>
      <c r="T407" s="172"/>
      <c r="U407" s="173"/>
    </row>
    <row r="408" spans="1:21" ht="16.95" customHeight="1" x14ac:dyDescent="0.3">
      <c r="P408" s="215"/>
      <c r="Q408" s="172"/>
      <c r="R408" s="172"/>
      <c r="S408" s="172"/>
      <c r="T408" s="172"/>
      <c r="U408" s="173"/>
    </row>
    <row r="409" spans="1:21" ht="16.95" customHeight="1" x14ac:dyDescent="0.3">
      <c r="A409" s="19" t="s">
        <v>278</v>
      </c>
      <c r="C409" s="19" t="s">
        <v>279</v>
      </c>
      <c r="D409" s="19" t="s">
        <v>280</v>
      </c>
      <c r="E409" s="19" t="s">
        <v>279</v>
      </c>
      <c r="F409" s="19" t="s">
        <v>280</v>
      </c>
      <c r="G409" s="19" t="s">
        <v>249</v>
      </c>
      <c r="P409" s="215"/>
      <c r="Q409" s="172"/>
      <c r="R409" s="172"/>
      <c r="S409" s="172"/>
      <c r="T409" s="172"/>
      <c r="U409" s="173"/>
    </row>
    <row r="410" spans="1:21" ht="16.95" customHeight="1" x14ac:dyDescent="0.3">
      <c r="C410" s="19" t="s">
        <v>282</v>
      </c>
      <c r="D410" s="19" t="s">
        <v>282</v>
      </c>
      <c r="E410" s="19" t="s">
        <v>283</v>
      </c>
      <c r="F410" s="19" t="s">
        <v>283</v>
      </c>
      <c r="P410" s="215"/>
      <c r="Q410" s="172"/>
      <c r="R410" s="172"/>
      <c r="S410" s="172"/>
      <c r="T410" s="172"/>
      <c r="U410" s="173"/>
    </row>
    <row r="411" spans="1:21" ht="16.95" customHeight="1" x14ac:dyDescent="0.3">
      <c r="A411" s="17">
        <f>N8</f>
        <v>63000</v>
      </c>
      <c r="C411" s="92">
        <f>-J8</f>
        <v>-1</v>
      </c>
      <c r="D411" s="92">
        <f>-K8</f>
        <v>0</v>
      </c>
      <c r="E411" s="92">
        <f>J8</f>
        <v>1</v>
      </c>
      <c r="F411" s="92">
        <f>K8</f>
        <v>0</v>
      </c>
      <c r="G411" s="96">
        <f>IFERROR(VLOOKUP(H411, A$377:D$388, 4, FALSE), 0)</f>
        <v>6.5823815492315918E-2</v>
      </c>
      <c r="H411" s="12" t="str">
        <f>"D" &amp; C22 &amp; "X"</f>
        <v>D4X</v>
      </c>
      <c r="P411" s="215"/>
      <c r="Q411" s="172"/>
      <c r="R411" s="172"/>
      <c r="S411" s="172"/>
      <c r="T411" s="172"/>
      <c r="U411" s="173"/>
    </row>
    <row r="412" spans="1:21" ht="16.95" customHeight="1" x14ac:dyDescent="0.3">
      <c r="A412" s="99" t="s">
        <v>287</v>
      </c>
      <c r="B412" s="97">
        <f>(MMULT(C411:F411, G411:G414)*A411)</f>
        <v>-1212.3984138858109</v>
      </c>
      <c r="G412" s="96">
        <f>IFERROR(VLOOKUP(H412, A$377:D$388, 4, FALSE), 0)</f>
        <v>6.1257901142214655E-3</v>
      </c>
      <c r="H412" s="12" t="str">
        <f>"D" &amp; D22 &amp; "Y"</f>
        <v>D4Y</v>
      </c>
      <c r="P412" s="215"/>
      <c r="Q412" s="172"/>
      <c r="R412" s="172"/>
      <c r="S412" s="172"/>
      <c r="T412" s="172"/>
      <c r="U412" s="173"/>
    </row>
    <row r="413" spans="1:21" ht="16.95" customHeight="1" x14ac:dyDescent="0.3">
      <c r="G413" s="96">
        <f>IFERROR(VLOOKUP(H413, A$377:D$388, 4, FALSE), 0)</f>
        <v>4.6579396224287174E-2</v>
      </c>
      <c r="H413" s="12" t="str">
        <f>"D" &amp; E22 &amp; "X"</f>
        <v>D5X</v>
      </c>
      <c r="P413" s="215"/>
      <c r="Q413" s="172"/>
      <c r="R413" s="172"/>
      <c r="S413" s="172"/>
      <c r="T413" s="172"/>
      <c r="U413" s="173"/>
    </row>
    <row r="414" spans="1:21" ht="16.95" customHeight="1" x14ac:dyDescent="0.3">
      <c r="G414" s="96">
        <f>IFERROR(VLOOKUP(H414, A$377:D$388, 4, FALSE), 0)</f>
        <v>-8.4865100497963836E-2</v>
      </c>
      <c r="H414" s="12" t="str">
        <f>"D" &amp; F22 &amp; "Y"</f>
        <v>D5Y</v>
      </c>
      <c r="P414" s="215"/>
      <c r="Q414" s="172"/>
      <c r="R414" s="172"/>
      <c r="S414" s="172"/>
      <c r="T414" s="172"/>
      <c r="U414" s="173"/>
    </row>
    <row r="415" spans="1:21" ht="16.95" customHeight="1" x14ac:dyDescent="0.3">
      <c r="B415" s="99" t="s">
        <v>273</v>
      </c>
      <c r="C415" s="178" t="str">
        <f>IF(B412&gt;0.001,"BARRA A TRACCIÓN (+)",IF(B412&lt;-0.001,"BARRA A COMPRESIÓN (-)","BARRA DE FUERZA NULA"))</f>
        <v>BARRA A COMPRESIÓN (-)</v>
      </c>
      <c r="D415" s="172"/>
      <c r="E415" s="172"/>
      <c r="F415" s="173"/>
      <c r="P415" s="215"/>
      <c r="Q415" s="172"/>
      <c r="R415" s="172"/>
      <c r="S415" s="172"/>
      <c r="T415" s="172"/>
      <c r="U415" s="173"/>
    </row>
    <row r="416" spans="1:21" ht="16.95" customHeight="1" x14ac:dyDescent="0.3">
      <c r="P416" s="215"/>
      <c r="Q416" s="172"/>
      <c r="R416" s="172"/>
      <c r="S416" s="172"/>
      <c r="T416" s="172"/>
      <c r="U416" s="173"/>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63000</v>
      </c>
      <c r="C419" s="92">
        <f>-J9</f>
        <v>-1</v>
      </c>
      <c r="D419" s="92">
        <f>-K9</f>
        <v>0</v>
      </c>
      <c r="E419" s="92">
        <f>J9</f>
        <v>1</v>
      </c>
      <c r="F419" s="92">
        <f>K9</f>
        <v>0</v>
      </c>
      <c r="G419" s="96">
        <f>IFERROR(VLOOKUP(H419, A$377:D$388, 4, FALSE), 0)</f>
        <v>4.6579396224287174E-2</v>
      </c>
      <c r="H419" s="12" t="str">
        <f>"D" &amp; C23 &amp; "X"</f>
        <v>D5X</v>
      </c>
    </row>
    <row r="420" spans="1:8" ht="19.95" customHeight="1" x14ac:dyDescent="0.3">
      <c r="A420" s="99" t="s">
        <v>288</v>
      </c>
      <c r="B420" s="97">
        <f>(MMULT(C419:F419, G419:G422)*A419)</f>
        <v>-155.04586352651108</v>
      </c>
      <c r="G420" s="96">
        <f>IFERROR(VLOOKUP(H420, A$377:D$388, 4, FALSE), 0)</f>
        <v>-8.4865100497963836E-2</v>
      </c>
      <c r="H420" s="12" t="str">
        <f>"D" &amp; D23 &amp; "Y"</f>
        <v>D5Y</v>
      </c>
    </row>
    <row r="421" spans="1:8" ht="19.95" customHeight="1" x14ac:dyDescent="0.3">
      <c r="G421" s="96">
        <f>IFERROR(VLOOKUP(H421, A$377:D$388, 4, FALSE), 0)</f>
        <v>4.4118350771485411E-2</v>
      </c>
      <c r="H421" s="12" t="str">
        <f>"D" &amp; E23 &amp; "X"</f>
        <v>D6X</v>
      </c>
    </row>
    <row r="422" spans="1:8" ht="19.95" customHeight="1" x14ac:dyDescent="0.3">
      <c r="G422" s="96">
        <f>IFERROR(VLOOKUP(H422, A$377:D$388, 4, FALSE), 0)</f>
        <v>-1.2059122718728606E-3</v>
      </c>
      <c r="H422" s="12" t="str">
        <f>"D" &amp; F23 &amp; "Y"</f>
        <v>D6Y</v>
      </c>
    </row>
    <row r="423" spans="1:8" ht="19.95" customHeight="1" x14ac:dyDescent="0.3">
      <c r="B423" s="99" t="s">
        <v>273</v>
      </c>
      <c r="C423" s="178" t="str">
        <f>IF(B420&gt;0.001,"BARRA A TRACCIÓN (+)",IF(B420&lt;-0.001,"BARRA A COMPRESIÓN (-)","BARRA DE FUERZA NULA"))</f>
        <v>BARRA A COMPRESIÓN (-)</v>
      </c>
      <c r="D423" s="172"/>
      <c r="E423" s="172"/>
      <c r="F423" s="173"/>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90000</v>
      </c>
      <c r="C427" s="92">
        <f>-J10</f>
        <v>0</v>
      </c>
      <c r="D427" s="92">
        <f>-K10</f>
        <v>-1</v>
      </c>
      <c r="E427" s="92">
        <f>J10</f>
        <v>0</v>
      </c>
      <c r="F427" s="92">
        <f>K10</f>
        <v>1</v>
      </c>
      <c r="G427" s="96">
        <f>IFERROR(VLOOKUP(H427, A$377:D$388, 4, FALSE), 0)</f>
        <v>0</v>
      </c>
      <c r="H427" s="12" t="str">
        <f>"D" &amp; C24 &amp; "X"</f>
        <v>D1X</v>
      </c>
    </row>
    <row r="428" spans="1:8" ht="19.95" customHeight="1" x14ac:dyDescent="0.3">
      <c r="A428" s="99" t="s">
        <v>289</v>
      </c>
      <c r="B428" s="97">
        <f>(MMULT(C427:F427, G427:G430)*A427)</f>
        <v>551.32111027993187</v>
      </c>
      <c r="G428" s="96">
        <f>IFERROR(VLOOKUP(H428, A$377:D$388, 4, FALSE), 0)</f>
        <v>0</v>
      </c>
      <c r="H428" s="12" t="str">
        <f>"D" &amp; D24 &amp; "Y"</f>
        <v>D1Y</v>
      </c>
    </row>
    <row r="429" spans="1:8" ht="19.95" customHeight="1" x14ac:dyDescent="0.3">
      <c r="G429" s="96">
        <f>IFERROR(VLOOKUP(H429, A$377:D$388, 4, FALSE), 0)</f>
        <v>6.5823815492315918E-2</v>
      </c>
      <c r="H429" s="12" t="str">
        <f>"D" &amp; E24 &amp; "X"</f>
        <v>D4X</v>
      </c>
    </row>
    <row r="430" spans="1:8" ht="19.95" customHeight="1" x14ac:dyDescent="0.3">
      <c r="G430" s="96">
        <f>IFERROR(VLOOKUP(H430, A$377:D$388, 4, FALSE), 0)</f>
        <v>6.1257901142214655E-3</v>
      </c>
      <c r="H430" s="12" t="str">
        <f>"D" &amp; F24 &amp; "Y"</f>
        <v>D4Y</v>
      </c>
    </row>
    <row r="431" spans="1:8" ht="19.95" customHeight="1" x14ac:dyDescent="0.3">
      <c r="B431" s="99" t="s">
        <v>273</v>
      </c>
      <c r="C431" s="178" t="str">
        <f>IF(B428&gt;0.001,"BARRA A TRACCIÓN (+)",IF(B428&lt;-0.001,"BARRA A COMPRESIÓN (-)","BARRA DE FUERZA NULA"))</f>
        <v>BARRA A TRACCIÓN (+)</v>
      </c>
      <c r="D431" s="172"/>
      <c r="E431" s="172"/>
      <c r="F431" s="173"/>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90000</v>
      </c>
      <c r="C435" s="92">
        <f>-J11</f>
        <v>0</v>
      </c>
      <c r="D435" s="92">
        <f>-K11</f>
        <v>-1</v>
      </c>
      <c r="E435" s="92">
        <f>J11</f>
        <v>0</v>
      </c>
      <c r="F435" s="92">
        <f>K11</f>
        <v>1</v>
      </c>
      <c r="G435" s="96">
        <f>IFERROR(VLOOKUP(H435, A$377:D$388, 4, FALSE), 0)</f>
        <v>3.8798119840495901E-2</v>
      </c>
      <c r="H435" s="12" t="str">
        <f>"D" &amp; C25 &amp; "X"</f>
        <v>D2X</v>
      </c>
    </row>
    <row r="436" spans="1:8" ht="19.95" customHeight="1" x14ac:dyDescent="0.3">
      <c r="A436" s="99" t="s">
        <v>290</v>
      </c>
      <c r="B436" s="97">
        <f>(MMULT(C435:F435, G435:G438)*A435)</f>
        <v>-7637.8590448167452</v>
      </c>
      <c r="G436" s="96">
        <f>IFERROR(VLOOKUP(H436, A$377:D$388, 4, FALSE), 0)</f>
        <v>0</v>
      </c>
      <c r="H436" s="12" t="str">
        <f>"D" &amp; D25 &amp; "Y"</f>
        <v>D2Y</v>
      </c>
    </row>
    <row r="437" spans="1:8" ht="19.95" customHeight="1" x14ac:dyDescent="0.3">
      <c r="G437" s="96">
        <f>IFERROR(VLOOKUP(H437, A$377:D$388, 4, FALSE), 0)</f>
        <v>4.6579396224287174E-2</v>
      </c>
      <c r="H437" s="12" t="str">
        <f>"D" &amp; E25 &amp; "X"</f>
        <v>D5X</v>
      </c>
    </row>
    <row r="438" spans="1:8" ht="19.95" customHeight="1" x14ac:dyDescent="0.3">
      <c r="G438" s="96">
        <f>IFERROR(VLOOKUP(H438, A$377:D$388, 4, FALSE), 0)</f>
        <v>-8.4865100497963836E-2</v>
      </c>
      <c r="H438" s="12" t="str">
        <f>"D" &amp; F25 &amp; "Y"</f>
        <v>D5Y</v>
      </c>
    </row>
    <row r="439" spans="1:8" ht="19.95" customHeight="1" x14ac:dyDescent="0.3">
      <c r="B439" s="99" t="s">
        <v>273</v>
      </c>
      <c r="C439" s="178" t="str">
        <f>IF(B436&gt;0.001,"BARRA A TRACCIÓN (+)",IF(B436&lt;-0.001,"BARRA A COMPRESIÓN (-)","BARRA DE FUERZA NULA"))</f>
        <v>BARRA A COMPRESIÓN (-)</v>
      </c>
      <c r="D439" s="172"/>
      <c r="E439" s="172"/>
      <c r="F439" s="173"/>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90000</v>
      </c>
      <c r="C443" s="92">
        <f>-J12</f>
        <v>0</v>
      </c>
      <c r="D443" s="92">
        <f>-K12</f>
        <v>-1</v>
      </c>
      <c r="E443" s="92">
        <f>J12</f>
        <v>0</v>
      </c>
      <c r="F443" s="92">
        <f>K12</f>
        <v>1</v>
      </c>
      <c r="G443" s="96">
        <f>IFERROR(VLOOKUP(H443, A$377:D$388, 4, FALSE), 0)</f>
        <v>6.2633581750187073E-2</v>
      </c>
      <c r="H443" s="12" t="str">
        <f>"D" &amp; C26 &amp; "X"</f>
        <v>D3X</v>
      </c>
    </row>
    <row r="444" spans="1:8" ht="19.95" customHeight="1" x14ac:dyDescent="0.3">
      <c r="A444" s="99" t="s">
        <v>291</v>
      </c>
      <c r="B444" s="97">
        <f>(MMULT(C443:F443, G443:G446)*A443)</f>
        <v>-108.53210446855745</v>
      </c>
      <c r="G444" s="96">
        <f>IFERROR(VLOOKUP(H444, A$377:D$388, 4, FALSE), 0)</f>
        <v>0</v>
      </c>
      <c r="H444" s="12" t="str">
        <f>"D" &amp; D26 &amp; "Y"</f>
        <v>D3Y</v>
      </c>
    </row>
    <row r="445" spans="1:8" ht="19.95" customHeight="1" x14ac:dyDescent="0.3">
      <c r="G445" s="96">
        <f>IFERROR(VLOOKUP(H445, A$377:D$388, 4, FALSE), 0)</f>
        <v>4.4118350771485411E-2</v>
      </c>
      <c r="H445" s="12" t="str">
        <f>"D" &amp; E26 &amp; "X"</f>
        <v>D6X</v>
      </c>
    </row>
    <row r="446" spans="1:8" ht="19.95" customHeight="1" x14ac:dyDescent="0.3">
      <c r="G446" s="96">
        <f>IFERROR(VLOOKUP(H446, A$377:D$388, 4, FALSE), 0)</f>
        <v>-1.2059122718728606E-3</v>
      </c>
      <c r="H446" s="12" t="str">
        <f>"D" &amp; F26 &amp; "Y"</f>
        <v>D6Y</v>
      </c>
    </row>
    <row r="447" spans="1:8" ht="19.95" customHeight="1" x14ac:dyDescent="0.3">
      <c r="B447" s="99" t="s">
        <v>273</v>
      </c>
      <c r="C447" s="178" t="str">
        <f>IF(B444&gt;0.001,"BARRA A TRACCIÓN (+)",IF(B444&lt;-0.001,"BARRA A COMPRESIÓN (-)","BARRA DE FUERZA NULA"))</f>
        <v>BARRA A COMPRESIÓN (-)</v>
      </c>
      <c r="D447" s="172"/>
      <c r="E447" s="172"/>
      <c r="F447" s="173"/>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51611.610992699549</v>
      </c>
      <c r="C451" s="92">
        <f>-J13</f>
        <v>-0.81923192051904048</v>
      </c>
      <c r="D451" s="92">
        <f>-K13</f>
        <v>-0.57346234436332832</v>
      </c>
      <c r="E451" s="92">
        <f>J13</f>
        <v>0.81923192051904048</v>
      </c>
      <c r="F451" s="92">
        <f>K13</f>
        <v>0.57346234436332832</v>
      </c>
      <c r="G451" s="96">
        <f>IFERROR(VLOOKUP(H451, A$377:D$388, 4, FALSE), 0)</f>
        <v>0</v>
      </c>
      <c r="H451" s="12" t="str">
        <f>"D" &amp; C27 &amp; "X"</f>
        <v>D1X</v>
      </c>
    </row>
    <row r="452" spans="1:8" ht="19.95" customHeight="1" x14ac:dyDescent="0.3">
      <c r="A452" s="99" t="s">
        <v>292</v>
      </c>
      <c r="B452" s="97">
        <f>(MMULT(C451:F451, G451:G454)*A451)</f>
        <v>-542.31474485242484</v>
      </c>
      <c r="G452" s="96">
        <f>IFERROR(VLOOKUP(H452, A$377:D$388, 4, FALSE), 0)</f>
        <v>0</v>
      </c>
      <c r="H452" s="12" t="str">
        <f>"D" &amp; D27 &amp; "Y"</f>
        <v>D1Y</v>
      </c>
    </row>
    <row r="453" spans="1:8" ht="19.95" customHeight="1" x14ac:dyDescent="0.3">
      <c r="G453" s="96">
        <f>IFERROR(VLOOKUP(H453, A$377:D$388, 4, FALSE), 0)</f>
        <v>4.6579396224287174E-2</v>
      </c>
      <c r="H453" s="12" t="str">
        <f>"D" &amp; E27 &amp; "X"</f>
        <v>D5X</v>
      </c>
    </row>
    <row r="454" spans="1:8" ht="19.95" customHeight="1" x14ac:dyDescent="0.3">
      <c r="G454" s="96">
        <f>IFERROR(VLOOKUP(H454, A$377:D$388, 4, FALSE), 0)</f>
        <v>-8.4865100497963836E-2</v>
      </c>
      <c r="H454" s="12" t="str">
        <f>"D" &amp; F27 &amp; "Y"</f>
        <v>D5Y</v>
      </c>
    </row>
    <row r="455" spans="1:8" ht="19.95" customHeight="1" x14ac:dyDescent="0.3">
      <c r="B455" s="99" t="s">
        <v>273</v>
      </c>
      <c r="C455" s="178" t="str">
        <f>IF(B452&gt;0.001,"BARRA A TRACCIÓN (+)",IF(B452&lt;-0.001,"BARRA A COMPRESIÓN (-)","BARRA DE FUERZA NULA"))</f>
        <v>BARRA A COMPRESIÓN (-)</v>
      </c>
      <c r="D455" s="172"/>
      <c r="E455" s="172"/>
      <c r="F455" s="173"/>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51611.610992699549</v>
      </c>
      <c r="C459" s="92">
        <f>-J14</f>
        <v>-0.81923192051904048</v>
      </c>
      <c r="D459" s="92">
        <f>-K14</f>
        <v>0.57346234436332832</v>
      </c>
      <c r="E459" s="92">
        <f>J14</f>
        <v>0.81923192051904048</v>
      </c>
      <c r="F459" s="92">
        <f>K14</f>
        <v>-0.57346234436332832</v>
      </c>
      <c r="G459" s="96">
        <f>IFERROR(VLOOKUP(H459, A$377:D$388, 4, FALSE), 0)</f>
        <v>6.5823815492315918E-2</v>
      </c>
      <c r="H459" s="12" t="str">
        <f>"D" &amp; C28 &amp; "X"</f>
        <v>D4X</v>
      </c>
    </row>
    <row r="460" spans="1:8" ht="19.95" customHeight="1" x14ac:dyDescent="0.3">
      <c r="A460" s="99" t="s">
        <v>530</v>
      </c>
      <c r="B460" s="97">
        <f>(MMULT(C459:F459, G459:G462)*A459)</f>
        <v>-961.3902563942919</v>
      </c>
      <c r="G460" s="96">
        <f>IFERROR(VLOOKUP(H460, A$377:D$388, 4, FALSE), 0)</f>
        <v>6.1257901142214655E-3</v>
      </c>
      <c r="H460" s="12" t="str">
        <f>"D" &amp; D28 &amp; "Y"</f>
        <v>D4Y</v>
      </c>
    </row>
    <row r="461" spans="1:8" ht="19.95" customHeight="1" x14ac:dyDescent="0.3">
      <c r="G461" s="96">
        <f>IFERROR(VLOOKUP(H461, A$377:D$388, 4, FALSE), 0)</f>
        <v>3.8798119840495901E-2</v>
      </c>
      <c r="H461" s="12" t="str">
        <f>"D" &amp; E28 &amp; "X"</f>
        <v>D2X</v>
      </c>
    </row>
    <row r="462" spans="1:8" ht="19.95" customHeight="1" x14ac:dyDescent="0.3">
      <c r="G462" s="96">
        <f>IFERROR(VLOOKUP(H462, A$377:D$388, 4, FALSE), 0)</f>
        <v>0</v>
      </c>
      <c r="H462" s="12" t="str">
        <f>"D" &amp; F28 &amp; "Y"</f>
        <v>D2Y</v>
      </c>
    </row>
    <row r="463" spans="1:8" ht="19.95" customHeight="1" x14ac:dyDescent="0.3">
      <c r="B463" s="99" t="s">
        <v>273</v>
      </c>
      <c r="C463" s="178" t="str">
        <f>IF(B460&gt;0.001,"BARRA A TRACCIÓN (+)",IF(B460&lt;-0.001,"BARRA A COMPRESIÓN (-)","BARRA DE FUERZA NULA"))</f>
        <v>BARRA A COMPRESIÓN (-)</v>
      </c>
      <c r="D463" s="172"/>
      <c r="E463" s="172"/>
      <c r="F463" s="173"/>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51611.610992699549</v>
      </c>
      <c r="C467" s="92">
        <f>-J15</f>
        <v>-0.81923192051904048</v>
      </c>
      <c r="D467" s="92">
        <f>-K15</f>
        <v>-0.57346234436332832</v>
      </c>
      <c r="E467" s="92">
        <f>J15</f>
        <v>0.81923192051904048</v>
      </c>
      <c r="F467" s="92">
        <f>K15</f>
        <v>0.57346234436332832</v>
      </c>
      <c r="G467" s="96">
        <f>IFERROR(VLOOKUP(H467, A$377:D$388, 4, FALSE), 0)</f>
        <v>3.8798119840495901E-2</v>
      </c>
      <c r="H467" s="12" t="str">
        <f>"D" &amp; C29 &amp; "X"</f>
        <v>D2X</v>
      </c>
    </row>
    <row r="468" spans="1:8" ht="19.95" customHeight="1" x14ac:dyDescent="0.3">
      <c r="A468" s="99" t="s">
        <v>589</v>
      </c>
      <c r="B468" s="97">
        <f>(MMULT(C467:F467, G467:G470)*A467)</f>
        <v>189.25759561258141</v>
      </c>
      <c r="G468" s="96">
        <f>IFERROR(VLOOKUP(H468, A$377:D$388, 4, FALSE), 0)</f>
        <v>0</v>
      </c>
      <c r="H468" s="12" t="str">
        <f>"D" &amp; D29 &amp; "Y"</f>
        <v>D2Y</v>
      </c>
    </row>
    <row r="469" spans="1:8" ht="19.95" customHeight="1" x14ac:dyDescent="0.3">
      <c r="G469" s="96">
        <f>IFERROR(VLOOKUP(H469, A$377:D$388, 4, FALSE), 0)</f>
        <v>4.4118350771485411E-2</v>
      </c>
      <c r="H469" s="12" t="str">
        <f>"D" &amp; E29 &amp; "X"</f>
        <v>D6X</v>
      </c>
    </row>
    <row r="470" spans="1:8" ht="19.95" customHeight="1" x14ac:dyDescent="0.3">
      <c r="G470" s="96">
        <f>IFERROR(VLOOKUP(H470, A$377:D$388, 4, FALSE), 0)</f>
        <v>-1.2059122718728606E-3</v>
      </c>
      <c r="H470" s="12" t="str">
        <f>"D" &amp; F29 &amp; "Y"</f>
        <v>D6Y</v>
      </c>
    </row>
    <row r="471" spans="1:8" ht="19.95" customHeight="1" x14ac:dyDescent="0.3">
      <c r="B471" s="99" t="s">
        <v>273</v>
      </c>
      <c r="C471" s="178" t="str">
        <f>IF(B468&gt;0.001,"BARRA A TRACCIÓN (+)",IF(B468&lt;-0.001,"BARRA A COMPRESIÓN (-)","BARRA DE FUERZA NULA"))</f>
        <v>BARRA A TRACCIÓN (+)</v>
      </c>
      <c r="D471" s="172"/>
      <c r="E471" s="172"/>
      <c r="F471" s="173"/>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51611.610992699549</v>
      </c>
      <c r="C475" s="92">
        <f>-J16</f>
        <v>-0.81923192051904048</v>
      </c>
      <c r="D475" s="92">
        <f>-K16</f>
        <v>0.57346234436332832</v>
      </c>
      <c r="E475" s="92">
        <f>J16</f>
        <v>0.81923192051904048</v>
      </c>
      <c r="F475" s="92">
        <f>K16</f>
        <v>-0.57346234436332832</v>
      </c>
      <c r="G475" s="96">
        <f>IFERROR(VLOOKUP(H475, A$377:D$388, 4, FALSE), 0)</f>
        <v>4.6579396224287174E-2</v>
      </c>
      <c r="H475" s="12" t="str">
        <f>"D" &amp; C30 &amp; "X"</f>
        <v>D5X</v>
      </c>
    </row>
    <row r="476" spans="1:8" ht="19.95" customHeight="1" x14ac:dyDescent="0.3">
      <c r="A476" s="99" t="s">
        <v>590</v>
      </c>
      <c r="B476" s="97">
        <f>(MMULT(C475:F475, G475:G478)*A475)</f>
        <v>-1832.9780159922896</v>
      </c>
      <c r="G476" s="96">
        <f>IFERROR(VLOOKUP(H476, A$377:D$388, 4, FALSE), 0)</f>
        <v>-8.4865100497963836E-2</v>
      </c>
      <c r="H476" s="12" t="str">
        <f>"D" &amp; D30 &amp; "Y"</f>
        <v>D5Y</v>
      </c>
    </row>
    <row r="477" spans="1:8" ht="19.95" customHeight="1" x14ac:dyDescent="0.3">
      <c r="G477" s="96">
        <f>IFERROR(VLOOKUP(H477, A$377:D$388, 4, FALSE), 0)</f>
        <v>6.2633581750187073E-2</v>
      </c>
      <c r="H477" s="12" t="str">
        <f>"D" &amp; E30 &amp; "X"</f>
        <v>D3X</v>
      </c>
    </row>
    <row r="478" spans="1:8" ht="19.95" customHeight="1" x14ac:dyDescent="0.3">
      <c r="G478" s="96">
        <f>IFERROR(VLOOKUP(H478, A$377:D$388, 4, FALSE), 0)</f>
        <v>0</v>
      </c>
      <c r="H478" s="12" t="str">
        <f>"D" &amp; F30 &amp; "Y"</f>
        <v>D3Y</v>
      </c>
    </row>
    <row r="479" spans="1:8" ht="19.95" customHeight="1" x14ac:dyDescent="0.3">
      <c r="B479" s="99" t="s">
        <v>273</v>
      </c>
      <c r="C479" s="178" t="str">
        <f>IF(B476&gt;0.001,"BARRA A TRACCIÓN (+)",IF(B476&lt;-0.001,"BARRA A COMPRESIÓN (-)","BARRA DE FUERZA NULA"))</f>
        <v>BARRA A COMPRESIÓN (-)</v>
      </c>
      <c r="D479" s="172"/>
      <c r="E479" s="172"/>
      <c r="F479" s="173"/>
    </row>
    <row r="482" spans="2:8" ht="22.05" customHeight="1" x14ac:dyDescent="0.3">
      <c r="B482" s="217" t="s">
        <v>404</v>
      </c>
      <c r="C482" s="175"/>
      <c r="D482" s="175"/>
      <c r="E482" s="175"/>
      <c r="F482" s="175"/>
      <c r="G482" s="175"/>
      <c r="H482" s="175"/>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400</v>
      </c>
      <c r="F484" s="9">
        <f t="shared" ref="F484:F494" si="54">L6</f>
        <v>12</v>
      </c>
      <c r="G484" s="97">
        <f>B396</f>
        <v>2444.2815499512417</v>
      </c>
      <c r="H484" s="84" t="str">
        <f>C399</f>
        <v>BARRA A TRACCIÓN (+)</v>
      </c>
    </row>
    <row r="485" spans="2:8" ht="19.95" customHeight="1" x14ac:dyDescent="0.3">
      <c r="B485" s="25">
        <v>2</v>
      </c>
      <c r="C485" s="86">
        <f t="shared" si="51"/>
        <v>2</v>
      </c>
      <c r="D485" s="86">
        <f t="shared" si="52"/>
        <v>3</v>
      </c>
      <c r="E485" s="9">
        <f t="shared" si="53"/>
        <v>400</v>
      </c>
      <c r="F485" s="9">
        <f t="shared" si="54"/>
        <v>12</v>
      </c>
      <c r="G485" s="97">
        <f>B404</f>
        <v>1501.6341003105438</v>
      </c>
      <c r="H485" s="84" t="str">
        <f>C407</f>
        <v>BARRA A TRACCIÓN (+)</v>
      </c>
    </row>
    <row r="486" spans="2:8" ht="19.95" customHeight="1" x14ac:dyDescent="0.3">
      <c r="B486" s="26">
        <v>3</v>
      </c>
      <c r="C486" s="86">
        <f t="shared" si="51"/>
        <v>4</v>
      </c>
      <c r="D486" s="86">
        <f t="shared" si="52"/>
        <v>5</v>
      </c>
      <c r="E486" s="9">
        <f t="shared" si="53"/>
        <v>400</v>
      </c>
      <c r="F486" s="9">
        <f t="shared" si="54"/>
        <v>12</v>
      </c>
      <c r="G486" s="97">
        <f>B412</f>
        <v>-1212.3984138858109</v>
      </c>
      <c r="H486" s="84" t="str">
        <f>C415</f>
        <v>BARRA A COMPRESIÓN (-)</v>
      </c>
    </row>
    <row r="487" spans="2:8" ht="19.95" customHeight="1" x14ac:dyDescent="0.3">
      <c r="B487" s="43">
        <v>4</v>
      </c>
      <c r="C487" s="86">
        <f t="shared" si="51"/>
        <v>5</v>
      </c>
      <c r="D487" s="86">
        <f t="shared" si="52"/>
        <v>6</v>
      </c>
      <c r="E487" s="9">
        <f t="shared" si="53"/>
        <v>400</v>
      </c>
      <c r="F487" s="9">
        <f t="shared" si="54"/>
        <v>12</v>
      </c>
      <c r="G487" s="97">
        <f>B420</f>
        <v>-155.04586352651108</v>
      </c>
      <c r="H487" s="84" t="str">
        <f>C423</f>
        <v>BARRA A COMPRESIÓN (-)</v>
      </c>
    </row>
    <row r="488" spans="2:8" ht="19.95" customHeight="1" x14ac:dyDescent="0.3">
      <c r="B488" s="44">
        <v>5</v>
      </c>
      <c r="C488" s="86">
        <f t="shared" si="51"/>
        <v>1</v>
      </c>
      <c r="D488" s="86">
        <f t="shared" si="52"/>
        <v>4</v>
      </c>
      <c r="E488" s="9">
        <f t="shared" si="53"/>
        <v>280</v>
      </c>
      <c r="F488" s="9">
        <f t="shared" si="54"/>
        <v>12</v>
      </c>
      <c r="G488" s="97">
        <f>B428</f>
        <v>551.32111027993187</v>
      </c>
      <c r="H488" s="84" t="str">
        <f>C431</f>
        <v>BARRA A TRACCIÓN (+)</v>
      </c>
    </row>
    <row r="489" spans="2:8" ht="19.95" customHeight="1" x14ac:dyDescent="0.3">
      <c r="B489" s="51">
        <v>6</v>
      </c>
      <c r="C489" s="86">
        <f t="shared" si="51"/>
        <v>2</v>
      </c>
      <c r="D489" s="86">
        <f t="shared" si="52"/>
        <v>5</v>
      </c>
      <c r="E489" s="9">
        <f t="shared" si="53"/>
        <v>280</v>
      </c>
      <c r="F489" s="9">
        <f t="shared" si="54"/>
        <v>12</v>
      </c>
      <c r="G489" s="97">
        <f>B436</f>
        <v>-7637.8590448167452</v>
      </c>
      <c r="H489" s="84" t="str">
        <f>C439</f>
        <v>BARRA A COMPRESIÓN (-)</v>
      </c>
    </row>
    <row r="490" spans="2:8" ht="19.95" customHeight="1" x14ac:dyDescent="0.3">
      <c r="B490" s="52">
        <v>7</v>
      </c>
      <c r="C490" s="86">
        <f t="shared" si="51"/>
        <v>3</v>
      </c>
      <c r="D490" s="86">
        <f t="shared" si="52"/>
        <v>6</v>
      </c>
      <c r="E490" s="9">
        <f t="shared" si="53"/>
        <v>280</v>
      </c>
      <c r="F490" s="9">
        <f t="shared" si="54"/>
        <v>12</v>
      </c>
      <c r="G490" s="97">
        <f>B444</f>
        <v>-108.53210446855745</v>
      </c>
      <c r="H490" s="84" t="str">
        <f>C447</f>
        <v>BARRA A COMPRESIÓN (-)</v>
      </c>
    </row>
    <row r="491" spans="2:8" ht="19.95" customHeight="1" x14ac:dyDescent="0.3">
      <c r="B491" s="59">
        <v>8</v>
      </c>
      <c r="C491" s="86">
        <f t="shared" si="51"/>
        <v>1</v>
      </c>
      <c r="D491" s="86">
        <f t="shared" si="52"/>
        <v>5</v>
      </c>
      <c r="E491" s="9">
        <f t="shared" si="53"/>
        <v>488.26222462934811</v>
      </c>
      <c r="F491" s="9">
        <f t="shared" si="54"/>
        <v>12</v>
      </c>
      <c r="G491" s="97">
        <f>B452</f>
        <v>-542.31474485242484</v>
      </c>
      <c r="H491" s="84" t="str">
        <f>C455</f>
        <v>BARRA A COMPRESIÓN (-)</v>
      </c>
    </row>
    <row r="492" spans="2:8" ht="19.95" customHeight="1" x14ac:dyDescent="0.3">
      <c r="B492" s="60">
        <v>9</v>
      </c>
      <c r="C492" s="86">
        <f t="shared" si="51"/>
        <v>4</v>
      </c>
      <c r="D492" s="86">
        <f t="shared" si="52"/>
        <v>2</v>
      </c>
      <c r="E492" s="9">
        <f t="shared" si="53"/>
        <v>488.26222462934811</v>
      </c>
      <c r="F492" s="9">
        <f t="shared" si="54"/>
        <v>12</v>
      </c>
      <c r="G492" s="97">
        <f>B460</f>
        <v>-961.3902563942919</v>
      </c>
      <c r="H492" s="84" t="str">
        <f>C463</f>
        <v>BARRA A COMPRESIÓN (-)</v>
      </c>
    </row>
    <row r="493" spans="2:8" ht="19.95" customHeight="1" x14ac:dyDescent="0.3">
      <c r="B493" s="67">
        <v>10</v>
      </c>
      <c r="C493" s="86">
        <f t="shared" si="51"/>
        <v>2</v>
      </c>
      <c r="D493" s="86">
        <f t="shared" si="52"/>
        <v>6</v>
      </c>
      <c r="E493" s="9">
        <f t="shared" si="53"/>
        <v>488.26222462934811</v>
      </c>
      <c r="F493" s="9">
        <f t="shared" si="54"/>
        <v>12</v>
      </c>
      <c r="G493" s="97">
        <f>B468</f>
        <v>189.25759561258141</v>
      </c>
      <c r="H493" s="84" t="str">
        <f>C471</f>
        <v>BARRA A TRACCIÓN (+)</v>
      </c>
    </row>
    <row r="494" spans="2:8" ht="19.95" customHeight="1" x14ac:dyDescent="0.3">
      <c r="B494" s="68">
        <v>11</v>
      </c>
      <c r="C494" s="86">
        <f t="shared" si="51"/>
        <v>5</v>
      </c>
      <c r="D494" s="86">
        <f t="shared" si="52"/>
        <v>3</v>
      </c>
      <c r="E494" s="9">
        <f t="shared" si="53"/>
        <v>488.26222462934811</v>
      </c>
      <c r="F494" s="9">
        <f t="shared" si="54"/>
        <v>12</v>
      </c>
      <c r="G494" s="97">
        <f>B476</f>
        <v>-1832.9780159922896</v>
      </c>
      <c r="H494" s="84" t="str">
        <f>C479</f>
        <v>BARRA A COMPRESIÓN (-)</v>
      </c>
    </row>
  </sheetData>
  <mergeCells count="149">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 ref="C447:F447"/>
    <mergeCell ref="P311:U311"/>
    <mergeCell ref="C439:F439"/>
    <mergeCell ref="P320:U320"/>
    <mergeCell ref="P314:U314"/>
    <mergeCell ref="P329:U329"/>
    <mergeCell ref="P282:U282"/>
    <mergeCell ref="P297:U297"/>
    <mergeCell ref="P291:U291"/>
    <mergeCell ref="P359:U359"/>
    <mergeCell ref="P346:U346"/>
    <mergeCell ref="P355:U355"/>
    <mergeCell ref="P293:U293"/>
    <mergeCell ref="P283:U283"/>
    <mergeCell ref="P396:U396"/>
    <mergeCell ref="P348:U348"/>
    <mergeCell ref="C335:J335"/>
    <mergeCell ref="P338:U338"/>
    <mergeCell ref="P285:U285"/>
    <mergeCell ref="P288:U288"/>
    <mergeCell ref="P366:U366"/>
    <mergeCell ref="P340:U340"/>
    <mergeCell ref="P316:U316"/>
    <mergeCell ref="P308:U308"/>
    <mergeCell ref="P412:U412"/>
    <mergeCell ref="P365:U365"/>
    <mergeCell ref="P364:U364"/>
    <mergeCell ref="P404:U404"/>
    <mergeCell ref="P406:U406"/>
    <mergeCell ref="P414:U414"/>
    <mergeCell ref="P367:U367"/>
    <mergeCell ref="B1:N1"/>
    <mergeCell ref="P305:U305"/>
    <mergeCell ref="C4:D4"/>
    <mergeCell ref="E4:F4"/>
    <mergeCell ref="E3:H3"/>
    <mergeCell ref="J4:J5"/>
    <mergeCell ref="P300:U300"/>
    <mergeCell ref="P371:U371"/>
    <mergeCell ref="P405:U405"/>
    <mergeCell ref="P292:U292"/>
    <mergeCell ref="P358:U358"/>
    <mergeCell ref="P301:U301"/>
    <mergeCell ref="P361:U361"/>
    <mergeCell ref="P295:U295"/>
    <mergeCell ref="P401:U401"/>
    <mergeCell ref="P339:U339"/>
    <mergeCell ref="C415:F415"/>
    <mergeCell ref="C18:D18"/>
    <mergeCell ref="E18:F18"/>
    <mergeCell ref="C399:F399"/>
    <mergeCell ref="P410:U410"/>
    <mergeCell ref="P307:U307"/>
    <mergeCell ref="P347:U347"/>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K4:K5"/>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C455:F455"/>
    <mergeCell ref="P354:U354"/>
    <mergeCell ref="P363:U363"/>
    <mergeCell ref="P298:U298"/>
    <mergeCell ref="P313:U313"/>
    <mergeCell ref="P394:U394"/>
    <mergeCell ref="P369:U369"/>
    <mergeCell ref="P343:U343"/>
    <mergeCell ref="P290:U290"/>
    <mergeCell ref="H4:H5"/>
    <mergeCell ref="C336:J336"/>
    <mergeCell ref="P317:U317"/>
    <mergeCell ref="P351:U351"/>
    <mergeCell ref="P326:U326"/>
    <mergeCell ref="P289:U289"/>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684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HYPERLINK("#'AUTOMATIZADA_59'!A1",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12</v>
      </c>
      <c r="E6" s="173"/>
      <c r="F6" s="206">
        <f>SUM(F14:G23)</f>
        <v>5</v>
      </c>
      <c r="G6" s="173"/>
      <c r="H6" s="206">
        <f>D6+F6-2*B6</f>
        <v>5</v>
      </c>
      <c r="I6" s="173"/>
      <c r="J6" s="220" t="str">
        <f>IF(H6=0,"✅ ISOSTÁTICA (Estable y Determinada)",IF(H6&gt;0,"🔷 HIPERESTÁTICA (Grado " &amp; H6 &amp; " - Resoluble por Rigidez)","⚠️ HIPOSTÁTICA (Mecanismo Inestable)"))</f>
        <v>🔷 HIPERESTÁTICA (Grado 5 - Resoluble por Rigidez)</v>
      </c>
      <c r="K6" s="172"/>
      <c r="L6" s="172"/>
      <c r="M6" s="172"/>
      <c r="N6" s="172"/>
      <c r="O6" s="173"/>
      <c r="AA6" s="20">
        <f>IF(G28="","",G28)</f>
        <v>350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350</v>
      </c>
      <c r="AB8" s="20">
        <f>IF(F29="","",F29)</f>
        <v>0</v>
      </c>
      <c r="AC8" t="s">
        <v>316</v>
      </c>
    </row>
    <row r="9" spans="2:29" x14ac:dyDescent="0.3">
      <c r="AA9" s="20">
        <f>IF(G29="","",G29)</f>
        <v>700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260</v>
      </c>
      <c r="AC11" t="s">
        <v>324</v>
      </c>
    </row>
    <row r="12" spans="2:29" x14ac:dyDescent="0.3">
      <c r="AA12" s="20">
        <f>IF(G30="","",G30)</f>
        <v>350</v>
      </c>
      <c r="AB12" s="20">
        <f>IF(H30="","",H30)</f>
        <v>260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651</v>
      </c>
      <c r="K14" s="172"/>
      <c r="L14" s="172"/>
      <c r="M14" s="172"/>
      <c r="N14" s="172"/>
      <c r="O14" s="173"/>
      <c r="AA14" s="20">
        <f>IF(E31="","",E31)</f>
        <v>350</v>
      </c>
      <c r="AB14" s="20">
        <f>IF(F31="","",F31)</f>
        <v>260</v>
      </c>
      <c r="AC14" t="s">
        <v>328</v>
      </c>
    </row>
    <row r="15" spans="2:29" ht="19.05" customHeight="1" x14ac:dyDescent="0.3">
      <c r="B15" s="89">
        <v>2</v>
      </c>
      <c r="C15" s="21">
        <v>350</v>
      </c>
      <c r="D15" s="21">
        <v>0</v>
      </c>
      <c r="E15" s="21" t="s">
        <v>329</v>
      </c>
      <c r="F15" s="88">
        <f t="shared" si="0"/>
        <v>0</v>
      </c>
      <c r="G15" s="88">
        <f t="shared" si="1"/>
        <v>1</v>
      </c>
      <c r="H15" s="22">
        <v>0</v>
      </c>
      <c r="I15" s="22">
        <v>0</v>
      </c>
      <c r="J15" s="205" t="s">
        <v>685</v>
      </c>
      <c r="K15" s="172"/>
      <c r="L15" s="172"/>
      <c r="M15" s="172"/>
      <c r="N15" s="172"/>
      <c r="O15" s="173"/>
      <c r="AA15" s="20">
        <f>IF(G31="","",G31)</f>
        <v>700</v>
      </c>
      <c r="AB15" s="20">
        <f>IF(H31="","",H31)</f>
        <v>260</v>
      </c>
      <c r="AC15" t="s">
        <v>331</v>
      </c>
    </row>
    <row r="16" spans="2:29" ht="19.05" customHeight="1" x14ac:dyDescent="0.3">
      <c r="B16" s="89">
        <v>3</v>
      </c>
      <c r="C16" s="21">
        <v>700</v>
      </c>
      <c r="D16" s="21">
        <v>0</v>
      </c>
      <c r="E16" s="21" t="s">
        <v>332</v>
      </c>
      <c r="F16" s="88">
        <f t="shared" si="0"/>
        <v>1</v>
      </c>
      <c r="G16" s="88">
        <f t="shared" si="1"/>
        <v>1</v>
      </c>
      <c r="H16" s="22">
        <v>0</v>
      </c>
      <c r="I16" s="22">
        <v>0</v>
      </c>
      <c r="J16" s="205" t="s">
        <v>652</v>
      </c>
      <c r="K16" s="172"/>
      <c r="L16" s="172"/>
      <c r="M16" s="172"/>
      <c r="N16" s="172"/>
      <c r="O16" s="173"/>
    </row>
    <row r="17" spans="2:29" ht="19.05" customHeight="1" x14ac:dyDescent="0.3">
      <c r="B17" s="89">
        <v>4</v>
      </c>
      <c r="C17" s="21">
        <v>0</v>
      </c>
      <c r="D17" s="21">
        <v>260</v>
      </c>
      <c r="E17" s="21" t="s">
        <v>326</v>
      </c>
      <c r="F17" s="88">
        <f t="shared" si="0"/>
        <v>0</v>
      </c>
      <c r="G17" s="88">
        <f t="shared" si="1"/>
        <v>0</v>
      </c>
      <c r="H17" s="22">
        <v>2500</v>
      </c>
      <c r="I17" s="22">
        <v>0</v>
      </c>
      <c r="J17" s="205" t="s">
        <v>675</v>
      </c>
      <c r="K17" s="172"/>
      <c r="L17" s="172"/>
      <c r="M17" s="172"/>
      <c r="N17" s="172"/>
      <c r="O17" s="173"/>
      <c r="AA17" s="20">
        <f>IF(E32="","",E32)</f>
        <v>0</v>
      </c>
      <c r="AB17" s="20">
        <f>IF(F32="","",F32)</f>
        <v>0</v>
      </c>
      <c r="AC17" t="s">
        <v>334</v>
      </c>
    </row>
    <row r="18" spans="2:29" ht="19.05" customHeight="1" x14ac:dyDescent="0.3">
      <c r="B18" s="89">
        <v>5</v>
      </c>
      <c r="C18" s="21">
        <v>350</v>
      </c>
      <c r="D18" s="21">
        <v>260</v>
      </c>
      <c r="E18" s="21" t="s">
        <v>326</v>
      </c>
      <c r="F18" s="88">
        <f t="shared" si="0"/>
        <v>0</v>
      </c>
      <c r="G18" s="88">
        <f t="shared" si="1"/>
        <v>0</v>
      </c>
      <c r="H18" s="22">
        <v>0</v>
      </c>
      <c r="I18" s="22">
        <v>-8500</v>
      </c>
      <c r="J18" s="205" t="s">
        <v>682</v>
      </c>
      <c r="K18" s="172"/>
      <c r="L18" s="172"/>
      <c r="M18" s="172"/>
      <c r="N18" s="172"/>
      <c r="O18" s="173"/>
      <c r="AA18" s="20">
        <f>IF(G32="","",G32)</f>
        <v>0</v>
      </c>
      <c r="AB18" s="20">
        <f>IF(H32="","",H32)</f>
        <v>260</v>
      </c>
      <c r="AC18" t="s">
        <v>335</v>
      </c>
    </row>
    <row r="19" spans="2:29" ht="19.05" customHeight="1" x14ac:dyDescent="0.3">
      <c r="B19" s="89">
        <v>6</v>
      </c>
      <c r="C19" s="21">
        <v>700</v>
      </c>
      <c r="D19" s="21">
        <v>260</v>
      </c>
      <c r="E19" s="21" t="s">
        <v>326</v>
      </c>
      <c r="F19" s="88">
        <f t="shared" si="0"/>
        <v>0</v>
      </c>
      <c r="G19" s="88">
        <f t="shared" si="1"/>
        <v>0</v>
      </c>
      <c r="H19" s="22">
        <v>0</v>
      </c>
      <c r="I19" s="22">
        <v>0</v>
      </c>
      <c r="J19" s="205" t="s">
        <v>640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260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700</v>
      </c>
      <c r="AB23" s="20">
        <f>IF(F34="","",F34)</f>
        <v>0</v>
      </c>
      <c r="AC23" t="s">
        <v>338</v>
      </c>
    </row>
    <row r="24" spans="2:29" x14ac:dyDescent="0.3">
      <c r="AA24" s="20">
        <f>IF(G34="","",G34)</f>
        <v>700</v>
      </c>
      <c r="AB24" s="20">
        <f>IF(H34="","",H34)</f>
        <v>260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350</v>
      </c>
      <c r="AB27" s="20">
        <f>IF(H35="","",H35)</f>
        <v>260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260</v>
      </c>
      <c r="AC29" t="s">
        <v>353</v>
      </c>
    </row>
    <row r="30" spans="2:29" ht="19.05" customHeight="1" x14ac:dyDescent="0.3">
      <c r="B30" s="89">
        <v>3</v>
      </c>
      <c r="C30" s="23">
        <v>4</v>
      </c>
      <c r="D30" s="23">
        <v>5</v>
      </c>
      <c r="E30" s="5">
        <f t="shared" si="2"/>
        <v>0</v>
      </c>
      <c r="F30" s="5">
        <f t="shared" si="3"/>
        <v>260</v>
      </c>
      <c r="G30" s="5">
        <f t="shared" si="4"/>
        <v>350</v>
      </c>
      <c r="H30" s="5">
        <f t="shared" si="5"/>
        <v>260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260</v>
      </c>
      <c r="G31" s="5">
        <f t="shared" si="4"/>
        <v>700</v>
      </c>
      <c r="H31" s="5">
        <f t="shared" si="5"/>
        <v>260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260</v>
      </c>
      <c r="I32" s="9">
        <f t="shared" si="6"/>
        <v>0</v>
      </c>
      <c r="J32" s="9">
        <f t="shared" si="7"/>
        <v>260</v>
      </c>
      <c r="K32" s="9">
        <f t="shared" si="8"/>
        <v>260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260</v>
      </c>
      <c r="I33" s="9">
        <f t="shared" si="6"/>
        <v>0</v>
      </c>
      <c r="J33" s="9">
        <f t="shared" si="7"/>
        <v>260</v>
      </c>
      <c r="K33" s="9">
        <f t="shared" si="8"/>
        <v>260</v>
      </c>
      <c r="L33" s="92">
        <f t="shared" si="9"/>
        <v>0</v>
      </c>
      <c r="M33" s="92">
        <f t="shared" si="10"/>
        <v>1</v>
      </c>
      <c r="N33" s="22">
        <v>12</v>
      </c>
      <c r="O33" s="24">
        <v>2100000</v>
      </c>
      <c r="AA33" s="20">
        <f>IF(G37="","",G37)</f>
        <v>700</v>
      </c>
      <c r="AB33" s="20">
        <f>IF(H37="","",H37)</f>
        <v>260</v>
      </c>
      <c r="AC33" t="s">
        <v>356</v>
      </c>
    </row>
    <row r="34" spans="2:29" ht="19.05" customHeight="1" x14ac:dyDescent="0.3">
      <c r="B34" s="89">
        <v>7</v>
      </c>
      <c r="C34" s="23">
        <v>3</v>
      </c>
      <c r="D34" s="23">
        <v>6</v>
      </c>
      <c r="E34" s="5">
        <f t="shared" si="2"/>
        <v>700</v>
      </c>
      <c r="F34" s="5">
        <f t="shared" si="3"/>
        <v>0</v>
      </c>
      <c r="G34" s="5">
        <f t="shared" si="4"/>
        <v>700</v>
      </c>
      <c r="H34" s="5">
        <f t="shared" si="5"/>
        <v>260</v>
      </c>
      <c r="I34" s="9">
        <f t="shared" si="6"/>
        <v>0</v>
      </c>
      <c r="J34" s="9">
        <f t="shared" si="7"/>
        <v>260</v>
      </c>
      <c r="K34" s="9">
        <f t="shared" si="8"/>
        <v>260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260</v>
      </c>
      <c r="I35" s="9">
        <f t="shared" si="6"/>
        <v>350</v>
      </c>
      <c r="J35" s="9">
        <f t="shared" si="7"/>
        <v>260</v>
      </c>
      <c r="K35" s="9">
        <f t="shared" si="8"/>
        <v>436.00458713183281</v>
      </c>
      <c r="L35" s="92">
        <f t="shared" si="9"/>
        <v>0.80274384795445286</v>
      </c>
      <c r="M35" s="92">
        <f t="shared" si="10"/>
        <v>0.59632400133759356</v>
      </c>
      <c r="N35" s="22">
        <v>12</v>
      </c>
      <c r="O35" s="24">
        <v>2100000</v>
      </c>
      <c r="AA35" s="20">
        <f>IF(E38="","",E38)</f>
        <v>350</v>
      </c>
      <c r="AB35" s="20">
        <f>IF(F38="","",F38)</f>
        <v>260</v>
      </c>
      <c r="AC35" t="s">
        <v>357</v>
      </c>
    </row>
    <row r="36" spans="2:29" ht="19.05" customHeight="1" x14ac:dyDescent="0.3">
      <c r="B36" s="89">
        <v>9</v>
      </c>
      <c r="C36" s="23">
        <v>4</v>
      </c>
      <c r="D36" s="23">
        <v>2</v>
      </c>
      <c r="E36" s="5">
        <f t="shared" si="2"/>
        <v>0</v>
      </c>
      <c r="F36" s="5">
        <f t="shared" si="3"/>
        <v>260</v>
      </c>
      <c r="G36" s="5">
        <f t="shared" si="4"/>
        <v>350</v>
      </c>
      <c r="H36" s="5">
        <f t="shared" si="5"/>
        <v>0</v>
      </c>
      <c r="I36" s="9">
        <f t="shared" si="6"/>
        <v>350</v>
      </c>
      <c r="J36" s="9">
        <f t="shared" si="7"/>
        <v>-260</v>
      </c>
      <c r="K36" s="9">
        <f t="shared" si="8"/>
        <v>436.00458713183281</v>
      </c>
      <c r="L36" s="92">
        <f t="shared" si="9"/>
        <v>0.80274384795445286</v>
      </c>
      <c r="M36" s="92">
        <f t="shared" si="10"/>
        <v>-0.59632400133759356</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260</v>
      </c>
      <c r="I37" s="9">
        <f t="shared" si="6"/>
        <v>350</v>
      </c>
      <c r="J37" s="9">
        <f t="shared" si="7"/>
        <v>260</v>
      </c>
      <c r="K37" s="9">
        <f t="shared" si="8"/>
        <v>436.00458713183281</v>
      </c>
      <c r="L37" s="92">
        <f t="shared" si="9"/>
        <v>0.80274384795445286</v>
      </c>
      <c r="M37" s="92">
        <f t="shared" si="10"/>
        <v>0.59632400133759356</v>
      </c>
      <c r="N37" s="22">
        <v>12</v>
      </c>
      <c r="O37" s="24">
        <v>2100000</v>
      </c>
    </row>
    <row r="38" spans="2:29" ht="19.05" customHeight="1" x14ac:dyDescent="0.3">
      <c r="B38" s="89">
        <v>11</v>
      </c>
      <c r="C38" s="23">
        <v>5</v>
      </c>
      <c r="D38" s="23">
        <v>3</v>
      </c>
      <c r="E38" s="5">
        <f t="shared" si="2"/>
        <v>350</v>
      </c>
      <c r="F38" s="5">
        <f t="shared" si="3"/>
        <v>260</v>
      </c>
      <c r="G38" s="5">
        <f t="shared" si="4"/>
        <v>700</v>
      </c>
      <c r="H38" s="5">
        <f t="shared" si="5"/>
        <v>0</v>
      </c>
      <c r="I38" s="9">
        <f t="shared" si="6"/>
        <v>350</v>
      </c>
      <c r="J38" s="9">
        <f t="shared" si="7"/>
        <v>-260</v>
      </c>
      <c r="K38" s="9">
        <f t="shared" si="8"/>
        <v>436.00458713183281</v>
      </c>
      <c r="L38" s="92">
        <f t="shared" si="9"/>
        <v>0.80274384795445286</v>
      </c>
      <c r="M38" s="92">
        <f t="shared" si="10"/>
        <v>-0.59632400133759356</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700</v>
      </c>
      <c r="H39" s="5">
        <f t="shared" si="5"/>
        <v>260</v>
      </c>
      <c r="I39" s="9">
        <f t="shared" si="6"/>
        <v>700</v>
      </c>
      <c r="J39" s="9">
        <f t="shared" si="7"/>
        <v>260</v>
      </c>
      <c r="K39" s="9">
        <f t="shared" si="8"/>
        <v>746.72618810377878</v>
      </c>
      <c r="L39" s="92">
        <f t="shared" si="9"/>
        <v>0.93742527200976533</v>
      </c>
      <c r="M39" s="92">
        <f t="shared" si="10"/>
        <v>0.34818652960362712</v>
      </c>
      <c r="N39" s="22">
        <v>12</v>
      </c>
      <c r="O39" s="24">
        <v>2100000</v>
      </c>
      <c r="AA39" s="20">
        <f>IF(G39="","",G39)</f>
        <v>700</v>
      </c>
      <c r="AB39" s="20">
        <f>IF(H39="","",H39)</f>
        <v>260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700-000000000000}">
      <formula1>"Fijo (articulado),Rodillo Y (despl. X libre),Rodillo X (despl. Y libre),Libre (0 reac.)"</formula1>
    </dataValidation>
  </dataValidations>
  <pageMargins left="0.75" right="0.75" top="1" bottom="1" header="0.5" footer="0.5"/>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U52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686</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HYPERLINK("#'GRAFICA_59'!A1",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GRAFICA_59!E28</f>
        <v>0</v>
      </c>
      <c r="D6" s="22">
        <f>GRAFICA_59!F28</f>
        <v>0</v>
      </c>
      <c r="E6" s="22">
        <f>GRAFICA_59!G28</f>
        <v>350</v>
      </c>
      <c r="F6" s="22">
        <f>GRAFICA_59!H28</f>
        <v>0</v>
      </c>
      <c r="G6" s="9">
        <f t="shared" ref="G6:G17" si="0">E6-C6</f>
        <v>350</v>
      </c>
      <c r="H6" s="9">
        <f t="shared" ref="H6:H17" si="1">F6-D6</f>
        <v>0</v>
      </c>
      <c r="I6" s="9">
        <f t="shared" ref="I6:I17" si="2">SQRT(G6*G6+H6*H6)</f>
        <v>350</v>
      </c>
      <c r="J6" s="92">
        <f t="shared" ref="J6:J17" si="3">G6/I6</f>
        <v>1</v>
      </c>
      <c r="K6" s="92">
        <f t="shared" ref="K6:K17" si="4">H6/I6</f>
        <v>0</v>
      </c>
      <c r="L6" s="22">
        <f>GRAFICA_59!N28</f>
        <v>12</v>
      </c>
      <c r="M6" s="22">
        <f>GRAFICA_59!O28</f>
        <v>2100000</v>
      </c>
      <c r="N6" s="6">
        <f t="shared" ref="N6:N17" si="5">L6*M6/I6</f>
        <v>72000</v>
      </c>
    </row>
    <row r="7" spans="2:14" ht="19.05" customHeight="1" x14ac:dyDescent="0.3">
      <c r="B7" s="25">
        <v>2</v>
      </c>
      <c r="C7" s="22">
        <f>GRAFICA_59!E29</f>
        <v>350</v>
      </c>
      <c r="D7" s="22">
        <f>GRAFICA_59!F29</f>
        <v>0</v>
      </c>
      <c r="E7" s="22">
        <f>GRAFICA_59!G29</f>
        <v>700</v>
      </c>
      <c r="F7" s="22">
        <f>GRAFICA_59!H29</f>
        <v>0</v>
      </c>
      <c r="G7" s="9">
        <f t="shared" si="0"/>
        <v>350</v>
      </c>
      <c r="H7" s="9">
        <f t="shared" si="1"/>
        <v>0</v>
      </c>
      <c r="I7" s="9">
        <f t="shared" si="2"/>
        <v>350</v>
      </c>
      <c r="J7" s="92">
        <f t="shared" si="3"/>
        <v>1</v>
      </c>
      <c r="K7" s="92">
        <f t="shared" si="4"/>
        <v>0</v>
      </c>
      <c r="L7" s="22">
        <f>GRAFICA_59!N29</f>
        <v>12</v>
      </c>
      <c r="M7" s="22">
        <f>GRAFICA_59!O29</f>
        <v>2100000</v>
      </c>
      <c r="N7" s="6">
        <f t="shared" si="5"/>
        <v>72000</v>
      </c>
    </row>
    <row r="8" spans="2:14" ht="19.05" customHeight="1" x14ac:dyDescent="0.3">
      <c r="B8" s="26">
        <v>3</v>
      </c>
      <c r="C8" s="22">
        <f>GRAFICA_59!E30</f>
        <v>0</v>
      </c>
      <c r="D8" s="22">
        <f>GRAFICA_59!F30</f>
        <v>260</v>
      </c>
      <c r="E8" s="22">
        <f>GRAFICA_59!G30</f>
        <v>350</v>
      </c>
      <c r="F8" s="22">
        <f>GRAFICA_59!H30</f>
        <v>260</v>
      </c>
      <c r="G8" s="9">
        <f t="shared" si="0"/>
        <v>350</v>
      </c>
      <c r="H8" s="9">
        <f t="shared" si="1"/>
        <v>0</v>
      </c>
      <c r="I8" s="9">
        <f t="shared" si="2"/>
        <v>350</v>
      </c>
      <c r="J8" s="92">
        <f t="shared" si="3"/>
        <v>1</v>
      </c>
      <c r="K8" s="92">
        <f t="shared" si="4"/>
        <v>0</v>
      </c>
      <c r="L8" s="22">
        <f>GRAFICA_59!N30</f>
        <v>12</v>
      </c>
      <c r="M8" s="22">
        <f>GRAFICA_59!O30</f>
        <v>2100000</v>
      </c>
      <c r="N8" s="6">
        <f t="shared" si="5"/>
        <v>72000</v>
      </c>
    </row>
    <row r="9" spans="2:14" ht="19.05" customHeight="1" x14ac:dyDescent="0.3">
      <c r="B9" s="43">
        <v>4</v>
      </c>
      <c r="C9" s="22">
        <f>GRAFICA_59!E31</f>
        <v>350</v>
      </c>
      <c r="D9" s="22">
        <f>GRAFICA_59!F31</f>
        <v>260</v>
      </c>
      <c r="E9" s="22">
        <f>GRAFICA_59!G31</f>
        <v>700</v>
      </c>
      <c r="F9" s="22">
        <f>GRAFICA_59!H31</f>
        <v>260</v>
      </c>
      <c r="G9" s="9">
        <f t="shared" si="0"/>
        <v>350</v>
      </c>
      <c r="H9" s="9">
        <f t="shared" si="1"/>
        <v>0</v>
      </c>
      <c r="I9" s="9">
        <f t="shared" si="2"/>
        <v>350</v>
      </c>
      <c r="J9" s="92">
        <f t="shared" si="3"/>
        <v>1</v>
      </c>
      <c r="K9" s="92">
        <f t="shared" si="4"/>
        <v>0</v>
      </c>
      <c r="L9" s="22">
        <f>GRAFICA_59!N31</f>
        <v>12</v>
      </c>
      <c r="M9" s="22">
        <f>GRAFICA_59!O31</f>
        <v>2100000</v>
      </c>
      <c r="N9" s="6">
        <f t="shared" si="5"/>
        <v>72000</v>
      </c>
    </row>
    <row r="10" spans="2:14" ht="19.05" customHeight="1" x14ac:dyDescent="0.3">
      <c r="B10" s="44">
        <v>5</v>
      </c>
      <c r="C10" s="22">
        <f>GRAFICA_59!E32</f>
        <v>0</v>
      </c>
      <c r="D10" s="22">
        <f>GRAFICA_59!F32</f>
        <v>0</v>
      </c>
      <c r="E10" s="22">
        <f>GRAFICA_59!G32</f>
        <v>0</v>
      </c>
      <c r="F10" s="22">
        <f>GRAFICA_59!H32</f>
        <v>260</v>
      </c>
      <c r="G10" s="9">
        <f t="shared" si="0"/>
        <v>0</v>
      </c>
      <c r="H10" s="9">
        <f t="shared" si="1"/>
        <v>260</v>
      </c>
      <c r="I10" s="9">
        <f t="shared" si="2"/>
        <v>260</v>
      </c>
      <c r="J10" s="92">
        <f t="shared" si="3"/>
        <v>0</v>
      </c>
      <c r="K10" s="92">
        <f t="shared" si="4"/>
        <v>1</v>
      </c>
      <c r="L10" s="22">
        <f>GRAFICA_59!N32</f>
        <v>12</v>
      </c>
      <c r="M10" s="22">
        <f>GRAFICA_59!O32</f>
        <v>2100000</v>
      </c>
      <c r="N10" s="6">
        <f t="shared" si="5"/>
        <v>96923.076923076922</v>
      </c>
    </row>
    <row r="11" spans="2:14" ht="19.05" customHeight="1" x14ac:dyDescent="0.3">
      <c r="B11" s="51">
        <v>6</v>
      </c>
      <c r="C11" s="22">
        <f>GRAFICA_59!E33</f>
        <v>350</v>
      </c>
      <c r="D11" s="22">
        <f>GRAFICA_59!F33</f>
        <v>0</v>
      </c>
      <c r="E11" s="22">
        <f>GRAFICA_59!G33</f>
        <v>350</v>
      </c>
      <c r="F11" s="22">
        <f>GRAFICA_59!H33</f>
        <v>260</v>
      </c>
      <c r="G11" s="9">
        <f t="shared" si="0"/>
        <v>0</v>
      </c>
      <c r="H11" s="9">
        <f t="shared" si="1"/>
        <v>260</v>
      </c>
      <c r="I11" s="9">
        <f t="shared" si="2"/>
        <v>260</v>
      </c>
      <c r="J11" s="92">
        <f t="shared" si="3"/>
        <v>0</v>
      </c>
      <c r="K11" s="92">
        <f t="shared" si="4"/>
        <v>1</v>
      </c>
      <c r="L11" s="22">
        <f>GRAFICA_59!N33</f>
        <v>12</v>
      </c>
      <c r="M11" s="22">
        <f>GRAFICA_59!O33</f>
        <v>2100000</v>
      </c>
      <c r="N11" s="6">
        <f t="shared" si="5"/>
        <v>96923.076923076922</v>
      </c>
    </row>
    <row r="12" spans="2:14" ht="19.05" customHeight="1" x14ac:dyDescent="0.3">
      <c r="B12" s="52">
        <v>7</v>
      </c>
      <c r="C12" s="22">
        <f>GRAFICA_59!E34</f>
        <v>700</v>
      </c>
      <c r="D12" s="22">
        <f>GRAFICA_59!F34</f>
        <v>0</v>
      </c>
      <c r="E12" s="22">
        <f>GRAFICA_59!G34</f>
        <v>700</v>
      </c>
      <c r="F12" s="22">
        <f>GRAFICA_59!H34</f>
        <v>260</v>
      </c>
      <c r="G12" s="9">
        <f t="shared" si="0"/>
        <v>0</v>
      </c>
      <c r="H12" s="9">
        <f t="shared" si="1"/>
        <v>260</v>
      </c>
      <c r="I12" s="9">
        <f t="shared" si="2"/>
        <v>260</v>
      </c>
      <c r="J12" s="92">
        <f t="shared" si="3"/>
        <v>0</v>
      </c>
      <c r="K12" s="92">
        <f t="shared" si="4"/>
        <v>1</v>
      </c>
      <c r="L12" s="22">
        <f>GRAFICA_59!N34</f>
        <v>12</v>
      </c>
      <c r="M12" s="22">
        <f>GRAFICA_59!O34</f>
        <v>2100000</v>
      </c>
      <c r="N12" s="6">
        <f t="shared" si="5"/>
        <v>96923.076923076922</v>
      </c>
    </row>
    <row r="13" spans="2:14" ht="19.05" customHeight="1" x14ac:dyDescent="0.3">
      <c r="B13" s="59">
        <v>8</v>
      </c>
      <c r="C13" s="22">
        <f>GRAFICA_59!E35</f>
        <v>0</v>
      </c>
      <c r="D13" s="22">
        <f>GRAFICA_59!F35</f>
        <v>0</v>
      </c>
      <c r="E13" s="22">
        <f>GRAFICA_59!G35</f>
        <v>350</v>
      </c>
      <c r="F13" s="22">
        <f>GRAFICA_59!H35</f>
        <v>260</v>
      </c>
      <c r="G13" s="9">
        <f t="shared" si="0"/>
        <v>350</v>
      </c>
      <c r="H13" s="9">
        <f t="shared" si="1"/>
        <v>260</v>
      </c>
      <c r="I13" s="9">
        <f t="shared" si="2"/>
        <v>436.00458713183281</v>
      </c>
      <c r="J13" s="92">
        <f t="shared" si="3"/>
        <v>0.80274384795445286</v>
      </c>
      <c r="K13" s="92">
        <f t="shared" si="4"/>
        <v>0.59632400133759356</v>
      </c>
      <c r="L13" s="22">
        <f>GRAFICA_59!N35</f>
        <v>12</v>
      </c>
      <c r="M13" s="22">
        <f>GRAFICA_59!O35</f>
        <v>2100000</v>
      </c>
      <c r="N13" s="6">
        <f t="shared" si="5"/>
        <v>57797.557052720607</v>
      </c>
    </row>
    <row r="14" spans="2:14" ht="19.05" customHeight="1" x14ac:dyDescent="0.3">
      <c r="B14" s="60">
        <v>9</v>
      </c>
      <c r="C14" s="22">
        <f>GRAFICA_59!E36</f>
        <v>0</v>
      </c>
      <c r="D14" s="22">
        <f>GRAFICA_59!F36</f>
        <v>260</v>
      </c>
      <c r="E14" s="22">
        <f>GRAFICA_59!G36</f>
        <v>350</v>
      </c>
      <c r="F14" s="22">
        <f>GRAFICA_59!H36</f>
        <v>0</v>
      </c>
      <c r="G14" s="9">
        <f t="shared" si="0"/>
        <v>350</v>
      </c>
      <c r="H14" s="9">
        <f t="shared" si="1"/>
        <v>-260</v>
      </c>
      <c r="I14" s="9">
        <f t="shared" si="2"/>
        <v>436.00458713183281</v>
      </c>
      <c r="J14" s="92">
        <f t="shared" si="3"/>
        <v>0.80274384795445286</v>
      </c>
      <c r="K14" s="92">
        <f t="shared" si="4"/>
        <v>-0.59632400133759356</v>
      </c>
      <c r="L14" s="22">
        <f>GRAFICA_59!N36</f>
        <v>12</v>
      </c>
      <c r="M14" s="22">
        <f>GRAFICA_59!O36</f>
        <v>2100000</v>
      </c>
      <c r="N14" s="6">
        <f t="shared" si="5"/>
        <v>57797.557052720607</v>
      </c>
    </row>
    <row r="15" spans="2:14" ht="19.05" customHeight="1" x14ac:dyDescent="0.3">
      <c r="B15" s="67">
        <v>10</v>
      </c>
      <c r="C15" s="22">
        <f>GRAFICA_59!E37</f>
        <v>350</v>
      </c>
      <c r="D15" s="22">
        <f>GRAFICA_59!F37</f>
        <v>0</v>
      </c>
      <c r="E15" s="22">
        <f>GRAFICA_59!G37</f>
        <v>700</v>
      </c>
      <c r="F15" s="22">
        <f>GRAFICA_59!H37</f>
        <v>260</v>
      </c>
      <c r="G15" s="9">
        <f t="shared" si="0"/>
        <v>350</v>
      </c>
      <c r="H15" s="9">
        <f t="shared" si="1"/>
        <v>260</v>
      </c>
      <c r="I15" s="9">
        <f t="shared" si="2"/>
        <v>436.00458713183281</v>
      </c>
      <c r="J15" s="92">
        <f t="shared" si="3"/>
        <v>0.80274384795445286</v>
      </c>
      <c r="K15" s="92">
        <f t="shared" si="4"/>
        <v>0.59632400133759356</v>
      </c>
      <c r="L15" s="22">
        <f>GRAFICA_59!N37</f>
        <v>12</v>
      </c>
      <c r="M15" s="22">
        <f>GRAFICA_59!O37</f>
        <v>2100000</v>
      </c>
      <c r="N15" s="6">
        <f t="shared" si="5"/>
        <v>57797.557052720607</v>
      </c>
    </row>
    <row r="16" spans="2:14" ht="19.05" customHeight="1" x14ac:dyDescent="0.3">
      <c r="B16" s="68">
        <v>11</v>
      </c>
      <c r="C16" s="22">
        <f>GRAFICA_59!E38</f>
        <v>350</v>
      </c>
      <c r="D16" s="22">
        <f>GRAFICA_59!F38</f>
        <v>260</v>
      </c>
      <c r="E16" s="22">
        <f>GRAFICA_59!G38</f>
        <v>700</v>
      </c>
      <c r="F16" s="22">
        <f>GRAFICA_59!H38</f>
        <v>0</v>
      </c>
      <c r="G16" s="9">
        <f t="shared" si="0"/>
        <v>350</v>
      </c>
      <c r="H16" s="9">
        <f t="shared" si="1"/>
        <v>-260</v>
      </c>
      <c r="I16" s="9">
        <f t="shared" si="2"/>
        <v>436.00458713183281</v>
      </c>
      <c r="J16" s="92">
        <f t="shared" si="3"/>
        <v>0.80274384795445286</v>
      </c>
      <c r="K16" s="92">
        <f t="shared" si="4"/>
        <v>-0.59632400133759356</v>
      </c>
      <c r="L16" s="22">
        <f>GRAFICA_59!N38</f>
        <v>12</v>
      </c>
      <c r="M16" s="22">
        <f>GRAFICA_59!O38</f>
        <v>2100000</v>
      </c>
      <c r="N16" s="6">
        <f t="shared" si="5"/>
        <v>57797.557052720607</v>
      </c>
    </row>
    <row r="17" spans="2:14" ht="19.05" customHeight="1" x14ac:dyDescent="0.3">
      <c r="B17" s="10">
        <v>12</v>
      </c>
      <c r="C17" s="22">
        <f>GRAFICA_59!E39</f>
        <v>0</v>
      </c>
      <c r="D17" s="22">
        <f>GRAFICA_59!F39</f>
        <v>0</v>
      </c>
      <c r="E17" s="22">
        <f>GRAFICA_59!G39</f>
        <v>700</v>
      </c>
      <c r="F17" s="22">
        <f>GRAFICA_59!H39</f>
        <v>260</v>
      </c>
      <c r="G17" s="9">
        <f t="shared" si="0"/>
        <v>700</v>
      </c>
      <c r="H17" s="9">
        <f t="shared" si="1"/>
        <v>260</v>
      </c>
      <c r="I17" s="9">
        <f t="shared" si="2"/>
        <v>746.72618810377878</v>
      </c>
      <c r="J17" s="92">
        <f t="shared" si="3"/>
        <v>0.93742527200976533</v>
      </c>
      <c r="K17" s="92">
        <f t="shared" si="4"/>
        <v>0.34818652960362712</v>
      </c>
      <c r="L17" s="22">
        <f>GRAFICA_59!N39</f>
        <v>12</v>
      </c>
      <c r="M17" s="22">
        <f>GRAFICA_59!O39</f>
        <v>2100000</v>
      </c>
      <c r="N17" s="6">
        <f t="shared" si="5"/>
        <v>33747.309792351552</v>
      </c>
    </row>
    <row r="19" spans="2:14" ht="18" customHeight="1" x14ac:dyDescent="0.3">
      <c r="B19" s="202" t="s">
        <v>145</v>
      </c>
      <c r="C19" s="202" t="s">
        <v>369</v>
      </c>
      <c r="D19" s="173"/>
      <c r="E19" s="202" t="s">
        <v>370</v>
      </c>
      <c r="F19" s="173"/>
    </row>
    <row r="20" spans="2:14" ht="18" customHeight="1" x14ac:dyDescent="0.3">
      <c r="B20" s="203"/>
      <c r="C20" s="81" t="s">
        <v>157</v>
      </c>
      <c r="D20" s="81" t="s">
        <v>158</v>
      </c>
      <c r="E20" s="81" t="s">
        <v>157</v>
      </c>
      <c r="F20" s="81" t="s">
        <v>158</v>
      </c>
    </row>
    <row r="21" spans="2:14" ht="19.05" customHeight="1" x14ac:dyDescent="0.3">
      <c r="B21" s="85">
        <v>1</v>
      </c>
      <c r="C21" s="23">
        <f>GRAFICA_59!C28</f>
        <v>1</v>
      </c>
      <c r="D21" s="23">
        <f>GRAFICA_59!C28</f>
        <v>1</v>
      </c>
      <c r="E21" s="23">
        <f>GRAFICA_59!D28</f>
        <v>2</v>
      </c>
      <c r="F21" s="23">
        <f>GRAFICA_59!D28</f>
        <v>2</v>
      </c>
    </row>
    <row r="22" spans="2:14" ht="19.05" customHeight="1" x14ac:dyDescent="0.3">
      <c r="B22" s="25">
        <v>2</v>
      </c>
      <c r="C22" s="23">
        <f>GRAFICA_59!C29</f>
        <v>2</v>
      </c>
      <c r="D22" s="23">
        <f>GRAFICA_59!C29</f>
        <v>2</v>
      </c>
      <c r="E22" s="23">
        <f>GRAFICA_59!D29</f>
        <v>3</v>
      </c>
      <c r="F22" s="23">
        <f>GRAFICA_59!D29</f>
        <v>3</v>
      </c>
    </row>
    <row r="23" spans="2:14" ht="19.05" customHeight="1" x14ac:dyDescent="0.3">
      <c r="B23" s="26">
        <v>3</v>
      </c>
      <c r="C23" s="23">
        <f>GRAFICA_59!C30</f>
        <v>4</v>
      </c>
      <c r="D23" s="23">
        <f>GRAFICA_59!C30</f>
        <v>4</v>
      </c>
      <c r="E23" s="23">
        <f>GRAFICA_59!D30</f>
        <v>5</v>
      </c>
      <c r="F23" s="23">
        <f>GRAFICA_59!D30</f>
        <v>5</v>
      </c>
    </row>
    <row r="24" spans="2:14" ht="19.05" customHeight="1" x14ac:dyDescent="0.3">
      <c r="B24" s="43">
        <v>4</v>
      </c>
      <c r="C24" s="23">
        <f>GRAFICA_59!C31</f>
        <v>5</v>
      </c>
      <c r="D24" s="23">
        <f>GRAFICA_59!C31</f>
        <v>5</v>
      </c>
      <c r="E24" s="23">
        <f>GRAFICA_59!D31</f>
        <v>6</v>
      </c>
      <c r="F24" s="23">
        <f>GRAFICA_59!D31</f>
        <v>6</v>
      </c>
    </row>
    <row r="25" spans="2:14" ht="19.05" customHeight="1" x14ac:dyDescent="0.3">
      <c r="B25" s="44">
        <v>5</v>
      </c>
      <c r="C25" s="23">
        <f>GRAFICA_59!C32</f>
        <v>1</v>
      </c>
      <c r="D25" s="23">
        <f>GRAFICA_59!C32</f>
        <v>1</v>
      </c>
      <c r="E25" s="23">
        <f>GRAFICA_59!D32</f>
        <v>4</v>
      </c>
      <c r="F25" s="23">
        <f>GRAFICA_59!D32</f>
        <v>4</v>
      </c>
    </row>
    <row r="26" spans="2:14" ht="19.05" customHeight="1" x14ac:dyDescent="0.3">
      <c r="B26" s="51">
        <v>6</v>
      </c>
      <c r="C26" s="23">
        <f>GRAFICA_59!C33</f>
        <v>2</v>
      </c>
      <c r="D26" s="23">
        <f>GRAFICA_59!C33</f>
        <v>2</v>
      </c>
      <c r="E26" s="23">
        <f>GRAFICA_59!D33</f>
        <v>5</v>
      </c>
      <c r="F26" s="23">
        <f>GRAFICA_59!D33</f>
        <v>5</v>
      </c>
    </row>
    <row r="27" spans="2:14" ht="19.05" customHeight="1" x14ac:dyDescent="0.3">
      <c r="B27" s="52">
        <v>7</v>
      </c>
      <c r="C27" s="23">
        <f>GRAFICA_59!C34</f>
        <v>3</v>
      </c>
      <c r="D27" s="23">
        <f>GRAFICA_59!C34</f>
        <v>3</v>
      </c>
      <c r="E27" s="23">
        <f>GRAFICA_59!D34</f>
        <v>6</v>
      </c>
      <c r="F27" s="23">
        <f>GRAFICA_59!D34</f>
        <v>6</v>
      </c>
    </row>
    <row r="28" spans="2:14" ht="19.05" customHeight="1" x14ac:dyDescent="0.3">
      <c r="B28" s="59">
        <v>8</v>
      </c>
      <c r="C28" s="23">
        <f>GRAFICA_59!C35</f>
        <v>1</v>
      </c>
      <c r="D28" s="23">
        <f>GRAFICA_59!C35</f>
        <v>1</v>
      </c>
      <c r="E28" s="23">
        <f>GRAFICA_59!D35</f>
        <v>5</v>
      </c>
      <c r="F28" s="23">
        <f>GRAFICA_59!D35</f>
        <v>5</v>
      </c>
    </row>
    <row r="29" spans="2:14" ht="19.05" customHeight="1" x14ac:dyDescent="0.3">
      <c r="B29" s="60">
        <v>9</v>
      </c>
      <c r="C29" s="23">
        <f>GRAFICA_59!C36</f>
        <v>4</v>
      </c>
      <c r="D29" s="23">
        <f>GRAFICA_59!C36</f>
        <v>4</v>
      </c>
      <c r="E29" s="23">
        <f>GRAFICA_59!D36</f>
        <v>2</v>
      </c>
      <c r="F29" s="23">
        <f>GRAFICA_59!D36</f>
        <v>2</v>
      </c>
    </row>
    <row r="30" spans="2:14" ht="19.05" customHeight="1" x14ac:dyDescent="0.3">
      <c r="B30" s="67">
        <v>10</v>
      </c>
      <c r="C30" s="23">
        <f>GRAFICA_59!C37</f>
        <v>2</v>
      </c>
      <c r="D30" s="23">
        <f>GRAFICA_59!C37</f>
        <v>2</v>
      </c>
      <c r="E30" s="23">
        <f>GRAFICA_59!D37</f>
        <v>6</v>
      </c>
      <c r="F30" s="23">
        <f>GRAFICA_59!D37</f>
        <v>6</v>
      </c>
    </row>
    <row r="31" spans="2:14" ht="19.05" customHeight="1" x14ac:dyDescent="0.3">
      <c r="B31" s="68">
        <v>11</v>
      </c>
      <c r="C31" s="23">
        <f>GRAFICA_59!C38</f>
        <v>5</v>
      </c>
      <c r="D31" s="23">
        <f>GRAFICA_59!C38</f>
        <v>5</v>
      </c>
      <c r="E31" s="23">
        <f>GRAFICA_59!D38</f>
        <v>3</v>
      </c>
      <c r="F31" s="23">
        <f>GRAFICA_59!D38</f>
        <v>3</v>
      </c>
    </row>
    <row r="32" spans="2:14" ht="19.05" customHeight="1" x14ac:dyDescent="0.3">
      <c r="B32" s="10">
        <v>12</v>
      </c>
      <c r="C32" s="23">
        <f>GRAFICA_59!C39</f>
        <v>1</v>
      </c>
      <c r="D32" s="23">
        <f>GRAFICA_59!C39</f>
        <v>1</v>
      </c>
      <c r="E32" s="23">
        <f>GRAFICA_59!D39</f>
        <v>6</v>
      </c>
      <c r="F32" s="23">
        <f>GRAFICA_59!D39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72000</v>
      </c>
      <c r="C36" s="7">
        <f>J6*K6*N6</f>
        <v>0</v>
      </c>
      <c r="D36" s="7">
        <f>-B36</f>
        <v>-72000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-72000</v>
      </c>
      <c r="C38" s="7">
        <f>E36</f>
        <v>0</v>
      </c>
      <c r="D38" s="7">
        <f>B36</f>
        <v>72000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72000</v>
      </c>
      <c r="C57" s="30">
        <f>J7*K7*N7</f>
        <v>0</v>
      </c>
      <c r="D57" s="30">
        <f>-B57</f>
        <v>-72000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-72000</v>
      </c>
      <c r="C59" s="30">
        <f>E57</f>
        <v>0</v>
      </c>
      <c r="D59" s="30">
        <f>B57</f>
        <v>72000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-72000</v>
      </c>
      <c r="E67" s="31">
        <f t="shared" si="7"/>
        <v>0</v>
      </c>
      <c r="F67" s="31">
        <f t="shared" si="7"/>
        <v>72000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72000</v>
      </c>
      <c r="C78" s="33">
        <f>J8*K8*N8</f>
        <v>0</v>
      </c>
      <c r="D78" s="33">
        <f>-B78</f>
        <v>-72000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-72000</v>
      </c>
      <c r="C80" s="33">
        <f>E78</f>
        <v>0</v>
      </c>
      <c r="D80" s="33">
        <f>B78</f>
        <v>72000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-72000</v>
      </c>
      <c r="I92" s="34">
        <f t="shared" si="8"/>
        <v>0</v>
      </c>
      <c r="J92" s="34">
        <f t="shared" si="8"/>
        <v>72000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72000</v>
      </c>
      <c r="C99" s="46">
        <f>J9*K9*N9</f>
        <v>0</v>
      </c>
      <c r="D99" s="46">
        <f>-B99</f>
        <v>-72000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-72000</v>
      </c>
      <c r="C101" s="46">
        <f>E99</f>
        <v>0</v>
      </c>
      <c r="D101" s="46">
        <f>B99</f>
        <v>72000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-72000</v>
      </c>
      <c r="K115" s="47">
        <f t="shared" si="9"/>
        <v>0</v>
      </c>
      <c r="L115" s="47">
        <f t="shared" si="9"/>
        <v>72000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96923.076923076922</v>
      </c>
      <c r="D121" s="49">
        <f>-B121</f>
        <v>0</v>
      </c>
      <c r="E121" s="49">
        <f>-C121</f>
        <v>-96923.076923076922</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-96923.076923076922</v>
      </c>
      <c r="D123" s="49">
        <f>B121</f>
        <v>0</v>
      </c>
      <c r="E123" s="49">
        <f>C121</f>
        <v>96923.076923076922</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96923.076923076922</v>
      </c>
      <c r="D127" s="9">
        <f t="shared" si="10"/>
        <v>0</v>
      </c>
      <c r="E127" s="9">
        <f t="shared" si="10"/>
        <v>0</v>
      </c>
      <c r="F127" s="9">
        <f t="shared" si="10"/>
        <v>0</v>
      </c>
      <c r="G127" s="9">
        <f t="shared" si="10"/>
        <v>0</v>
      </c>
      <c r="H127" s="50">
        <f t="shared" si="10"/>
        <v>0</v>
      </c>
      <c r="I127" s="50">
        <f t="shared" si="10"/>
        <v>-96923.076923076922</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-96923.076923076922</v>
      </c>
      <c r="D133" s="9">
        <f t="shared" si="10"/>
        <v>0</v>
      </c>
      <c r="E133" s="9">
        <f t="shared" si="10"/>
        <v>0</v>
      </c>
      <c r="F133" s="9">
        <f t="shared" si="10"/>
        <v>0</v>
      </c>
      <c r="G133" s="9">
        <f t="shared" si="10"/>
        <v>0</v>
      </c>
      <c r="H133" s="50">
        <f t="shared" si="10"/>
        <v>0</v>
      </c>
      <c r="I133" s="50">
        <f t="shared" si="10"/>
        <v>96923.076923076922</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96923.076923076922</v>
      </c>
      <c r="D142" s="54">
        <f>-B142</f>
        <v>0</v>
      </c>
      <c r="E142" s="54">
        <f>-C142</f>
        <v>-96923.076923076922</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-96923.076923076922</v>
      </c>
      <c r="D144" s="54">
        <f>B142</f>
        <v>0</v>
      </c>
      <c r="E144" s="54">
        <f>C142</f>
        <v>96923.076923076922</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96923.076923076922</v>
      </c>
      <c r="F150" s="9">
        <f t="shared" si="11"/>
        <v>0</v>
      </c>
      <c r="G150" s="9">
        <f t="shared" si="11"/>
        <v>0</v>
      </c>
      <c r="H150" s="9">
        <f t="shared" si="11"/>
        <v>0</v>
      </c>
      <c r="I150" s="9">
        <f t="shared" si="11"/>
        <v>0</v>
      </c>
      <c r="J150" s="55">
        <f t="shared" si="11"/>
        <v>0</v>
      </c>
      <c r="K150" s="55">
        <f t="shared" si="11"/>
        <v>-96923.076923076922</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-96923.076923076922</v>
      </c>
      <c r="F156" s="9">
        <f t="shared" si="11"/>
        <v>0</v>
      </c>
      <c r="G156" s="9">
        <f t="shared" si="11"/>
        <v>0</v>
      </c>
      <c r="H156" s="9">
        <f t="shared" si="11"/>
        <v>0</v>
      </c>
      <c r="I156" s="9">
        <f t="shared" si="11"/>
        <v>0</v>
      </c>
      <c r="J156" s="55">
        <f t="shared" si="11"/>
        <v>0</v>
      </c>
      <c r="K156" s="55">
        <f t="shared" si="11"/>
        <v>96923.076923076922</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96923.076923076922</v>
      </c>
      <c r="D163" s="57">
        <f>-B163</f>
        <v>0</v>
      </c>
      <c r="E163" s="57">
        <f>-C163</f>
        <v>-96923.076923076922</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-96923.076923076922</v>
      </c>
      <c r="D165" s="57">
        <f>B163</f>
        <v>0</v>
      </c>
      <c r="E165" s="57">
        <f>C163</f>
        <v>96923.076923076922</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96923.076923076922</v>
      </c>
      <c r="H173" s="9">
        <f t="shared" si="12"/>
        <v>0</v>
      </c>
      <c r="I173" s="9">
        <f t="shared" si="12"/>
        <v>0</v>
      </c>
      <c r="J173" s="9">
        <f t="shared" si="12"/>
        <v>0</v>
      </c>
      <c r="K173" s="9">
        <f t="shared" si="12"/>
        <v>0</v>
      </c>
      <c r="L173" s="58">
        <f t="shared" si="12"/>
        <v>0</v>
      </c>
      <c r="M173" s="58">
        <f t="shared" si="12"/>
        <v>-96923.076923076922</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-96923.076923076922</v>
      </c>
      <c r="H179" s="9">
        <f t="shared" si="12"/>
        <v>0</v>
      </c>
      <c r="I179" s="9">
        <f t="shared" si="12"/>
        <v>0</v>
      </c>
      <c r="J179" s="9">
        <f t="shared" si="12"/>
        <v>0</v>
      </c>
      <c r="K179" s="9">
        <f t="shared" si="12"/>
        <v>0</v>
      </c>
      <c r="L179" s="58">
        <f t="shared" si="12"/>
        <v>0</v>
      </c>
      <c r="M179" s="58">
        <f t="shared" si="12"/>
        <v>96923.076923076922</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37244.611988207653</v>
      </c>
      <c r="C183" s="62">
        <f>J13*K13*N13</f>
        <v>27667.426048382826</v>
      </c>
      <c r="D183" s="62">
        <f>-B183</f>
        <v>-37244.611988207653</v>
      </c>
      <c r="E183" s="62">
        <f>-C183</f>
        <v>-27667.426048382826</v>
      </c>
      <c r="F183" s="61" t="str">
        <f>B182</f>
        <v>U1X</v>
      </c>
    </row>
    <row r="184" spans="1:14" ht="16.8" customHeight="1" x14ac:dyDescent="0.3">
      <c r="A184" s="28" t="s">
        <v>203</v>
      </c>
      <c r="B184" s="62">
        <f>C183</f>
        <v>27667.426048382826</v>
      </c>
      <c r="C184" s="62">
        <f>K13*K13*N13</f>
        <v>20552.945064512958</v>
      </c>
      <c r="D184" s="62">
        <f>-B184</f>
        <v>-27667.426048382826</v>
      </c>
      <c r="E184" s="62">
        <f>-C184</f>
        <v>-20552.945064512958</v>
      </c>
      <c r="F184" s="61" t="str">
        <f>C182</f>
        <v>U1Y</v>
      </c>
    </row>
    <row r="185" spans="1:14" x14ac:dyDescent="0.3">
      <c r="B185" s="62">
        <f>D183</f>
        <v>-37244.611988207653</v>
      </c>
      <c r="C185" s="62">
        <f>E183</f>
        <v>-27667.426048382826</v>
      </c>
      <c r="D185" s="62">
        <f>B183</f>
        <v>37244.611988207653</v>
      </c>
      <c r="E185" s="62">
        <f>C183</f>
        <v>27667.426048382826</v>
      </c>
      <c r="F185" s="61" t="str">
        <f>D182</f>
        <v>U5X</v>
      </c>
    </row>
    <row r="186" spans="1:14" x14ac:dyDescent="0.3">
      <c r="B186" s="62">
        <f>D184</f>
        <v>-27667.426048382826</v>
      </c>
      <c r="C186" s="62">
        <f>E184</f>
        <v>-20552.945064512958</v>
      </c>
      <c r="D186" s="62">
        <f>B184</f>
        <v>27667.426048382826</v>
      </c>
      <c r="E186" s="62">
        <f>C184</f>
        <v>20552.945064512958</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37244.611988207653</v>
      </c>
      <c r="C189" s="63">
        <f t="shared" si="13"/>
        <v>27667.426048382826</v>
      </c>
      <c r="D189" s="9">
        <f t="shared" si="13"/>
        <v>0</v>
      </c>
      <c r="E189" s="9">
        <f t="shared" si="13"/>
        <v>0</v>
      </c>
      <c r="F189" s="9">
        <f t="shared" si="13"/>
        <v>0</v>
      </c>
      <c r="G189" s="9">
        <f t="shared" si="13"/>
        <v>0</v>
      </c>
      <c r="H189" s="9">
        <f t="shared" si="13"/>
        <v>0</v>
      </c>
      <c r="I189" s="9">
        <f t="shared" si="13"/>
        <v>0</v>
      </c>
      <c r="J189" s="63">
        <f t="shared" si="13"/>
        <v>-37244.611988207653</v>
      </c>
      <c r="K189" s="63">
        <f t="shared" si="13"/>
        <v>-27667.426048382826</v>
      </c>
      <c r="L189" s="9">
        <f t="shared" si="13"/>
        <v>0</v>
      </c>
      <c r="M189" s="9">
        <f t="shared" si="13"/>
        <v>0</v>
      </c>
      <c r="N189" s="61" t="s">
        <v>178</v>
      </c>
    </row>
    <row r="190" spans="1:14" ht="19.05" customHeight="1" x14ac:dyDescent="0.3">
      <c r="B190" s="63">
        <f t="shared" si="13"/>
        <v>27667.426048382826</v>
      </c>
      <c r="C190" s="63">
        <f t="shared" si="13"/>
        <v>20552.945064512958</v>
      </c>
      <c r="D190" s="9">
        <f t="shared" si="13"/>
        <v>0</v>
      </c>
      <c r="E190" s="9">
        <f t="shared" si="13"/>
        <v>0</v>
      </c>
      <c r="F190" s="9">
        <f t="shared" si="13"/>
        <v>0</v>
      </c>
      <c r="G190" s="9">
        <f t="shared" si="13"/>
        <v>0</v>
      </c>
      <c r="H190" s="9">
        <f t="shared" si="13"/>
        <v>0</v>
      </c>
      <c r="I190" s="9">
        <f t="shared" si="13"/>
        <v>0</v>
      </c>
      <c r="J190" s="63">
        <f t="shared" si="13"/>
        <v>-27667.426048382826</v>
      </c>
      <c r="K190" s="63">
        <f t="shared" si="13"/>
        <v>-20552.945064512958</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-37244.611988207653</v>
      </c>
      <c r="C197" s="63">
        <f t="shared" si="13"/>
        <v>-27667.426048382826</v>
      </c>
      <c r="D197" s="9">
        <f t="shared" si="13"/>
        <v>0</v>
      </c>
      <c r="E197" s="9">
        <f t="shared" si="13"/>
        <v>0</v>
      </c>
      <c r="F197" s="9">
        <f t="shared" si="13"/>
        <v>0</v>
      </c>
      <c r="G197" s="9">
        <f t="shared" si="13"/>
        <v>0</v>
      </c>
      <c r="H197" s="9">
        <f t="shared" si="13"/>
        <v>0</v>
      </c>
      <c r="I197" s="9">
        <f t="shared" si="13"/>
        <v>0</v>
      </c>
      <c r="J197" s="63">
        <f t="shared" si="13"/>
        <v>37244.611988207653</v>
      </c>
      <c r="K197" s="63">
        <f t="shared" si="13"/>
        <v>27667.426048382826</v>
      </c>
      <c r="L197" s="9">
        <f t="shared" si="13"/>
        <v>0</v>
      </c>
      <c r="M197" s="9">
        <f t="shared" si="13"/>
        <v>0</v>
      </c>
      <c r="N197" s="61" t="s">
        <v>186</v>
      </c>
    </row>
    <row r="198" spans="1:14" ht="19.05" customHeight="1" x14ac:dyDescent="0.3">
      <c r="B198" s="63">
        <f t="shared" si="13"/>
        <v>-27667.426048382826</v>
      </c>
      <c r="C198" s="63">
        <f t="shared" si="13"/>
        <v>-20552.945064512958</v>
      </c>
      <c r="D198" s="9">
        <f t="shared" si="13"/>
        <v>0</v>
      </c>
      <c r="E198" s="9">
        <f t="shared" si="13"/>
        <v>0</v>
      </c>
      <c r="F198" s="9">
        <f t="shared" si="13"/>
        <v>0</v>
      </c>
      <c r="G198" s="9">
        <f t="shared" si="13"/>
        <v>0</v>
      </c>
      <c r="H198" s="9">
        <f t="shared" si="13"/>
        <v>0</v>
      </c>
      <c r="I198" s="9">
        <f t="shared" si="13"/>
        <v>0</v>
      </c>
      <c r="J198" s="63">
        <f t="shared" si="13"/>
        <v>27667.426048382826</v>
      </c>
      <c r="K198" s="63">
        <f t="shared" si="13"/>
        <v>20552.945064512958</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37244.611988207653</v>
      </c>
      <c r="C204" s="65">
        <f>J14*K14*N14</f>
        <v>-27667.426048382826</v>
      </c>
      <c r="D204" s="65">
        <f>-B204</f>
        <v>-37244.611988207653</v>
      </c>
      <c r="E204" s="65">
        <f>-C204</f>
        <v>27667.426048382826</v>
      </c>
      <c r="F204" s="64" t="str">
        <f>B203</f>
        <v>U4X</v>
      </c>
    </row>
    <row r="205" spans="1:14" ht="16.8" customHeight="1" x14ac:dyDescent="0.3">
      <c r="A205" s="28" t="s">
        <v>528</v>
      </c>
      <c r="B205" s="65">
        <f>C204</f>
        <v>-27667.426048382826</v>
      </c>
      <c r="C205" s="65">
        <f>K14*K14*N14</f>
        <v>20552.945064512958</v>
      </c>
      <c r="D205" s="65">
        <f>-B205</f>
        <v>27667.426048382826</v>
      </c>
      <c r="E205" s="65">
        <f>-C205</f>
        <v>-20552.945064512958</v>
      </c>
      <c r="F205" s="64" t="str">
        <f>C203</f>
        <v>U4Y</v>
      </c>
    </row>
    <row r="206" spans="1:14" x14ac:dyDescent="0.3">
      <c r="B206" s="65">
        <f>D204</f>
        <v>-37244.611988207653</v>
      </c>
      <c r="C206" s="65">
        <f>E204</f>
        <v>27667.426048382826</v>
      </c>
      <c r="D206" s="65">
        <f>B204</f>
        <v>37244.611988207653</v>
      </c>
      <c r="E206" s="65">
        <f>C204</f>
        <v>-27667.426048382826</v>
      </c>
      <c r="F206" s="64" t="str">
        <f>D203</f>
        <v>U2X</v>
      </c>
    </row>
    <row r="207" spans="1:14" x14ac:dyDescent="0.3">
      <c r="B207" s="65">
        <f>D205</f>
        <v>27667.426048382826</v>
      </c>
      <c r="C207" s="65">
        <f>E205</f>
        <v>-20552.945064512958</v>
      </c>
      <c r="D207" s="65">
        <f>B205</f>
        <v>-27667.426048382826</v>
      </c>
      <c r="E207" s="65">
        <f>C205</f>
        <v>20552.945064512958</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37244.611988207653</v>
      </c>
      <c r="E212" s="66">
        <f t="shared" si="14"/>
        <v>-27667.426048382826</v>
      </c>
      <c r="F212" s="9">
        <f t="shared" si="14"/>
        <v>0</v>
      </c>
      <c r="G212" s="9">
        <f t="shared" si="14"/>
        <v>0</v>
      </c>
      <c r="H212" s="66">
        <f t="shared" si="14"/>
        <v>-37244.611988207653</v>
      </c>
      <c r="I212" s="66">
        <f t="shared" si="14"/>
        <v>27667.426048382826</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-27667.426048382826</v>
      </c>
      <c r="E213" s="66">
        <f t="shared" si="14"/>
        <v>20552.945064512958</v>
      </c>
      <c r="F213" s="9">
        <f t="shared" si="14"/>
        <v>0</v>
      </c>
      <c r="G213" s="9">
        <f t="shared" si="14"/>
        <v>0</v>
      </c>
      <c r="H213" s="66">
        <f t="shared" si="14"/>
        <v>27667.426048382826</v>
      </c>
      <c r="I213" s="66">
        <f t="shared" si="14"/>
        <v>-20552.945064512958</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-37244.611988207653</v>
      </c>
      <c r="E216" s="66">
        <f t="shared" si="14"/>
        <v>27667.426048382826</v>
      </c>
      <c r="F216" s="9">
        <f t="shared" si="14"/>
        <v>0</v>
      </c>
      <c r="G216" s="9">
        <f t="shared" si="14"/>
        <v>0</v>
      </c>
      <c r="H216" s="66">
        <f t="shared" si="14"/>
        <v>37244.611988207653</v>
      </c>
      <c r="I216" s="66">
        <f t="shared" si="14"/>
        <v>-27667.426048382826</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27667.426048382826</v>
      </c>
      <c r="E217" s="66">
        <f t="shared" si="14"/>
        <v>-20552.945064512958</v>
      </c>
      <c r="F217" s="9">
        <f t="shared" si="14"/>
        <v>0</v>
      </c>
      <c r="G217" s="9">
        <f t="shared" si="14"/>
        <v>0</v>
      </c>
      <c r="H217" s="66">
        <f t="shared" si="14"/>
        <v>-27667.426048382826</v>
      </c>
      <c r="I217" s="66">
        <f t="shared" si="14"/>
        <v>20552.945064512958</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37244.611988207653</v>
      </c>
      <c r="C225" s="70">
        <f>J15*K15*N15</f>
        <v>27667.426048382826</v>
      </c>
      <c r="D225" s="70">
        <f>-B225</f>
        <v>-37244.611988207653</v>
      </c>
      <c r="E225" s="70">
        <f>-C225</f>
        <v>-27667.426048382826</v>
      </c>
      <c r="F225" s="69" t="str">
        <f>B224</f>
        <v>U2X</v>
      </c>
    </row>
    <row r="226" spans="1:14" ht="16.8" customHeight="1" x14ac:dyDescent="0.3">
      <c r="A226" s="28" t="s">
        <v>581</v>
      </c>
      <c r="B226" s="70">
        <f>C225</f>
        <v>27667.426048382826</v>
      </c>
      <c r="C226" s="70">
        <f>K15*K15*N15</f>
        <v>20552.945064512958</v>
      </c>
      <c r="D226" s="70">
        <f>-B226</f>
        <v>-27667.426048382826</v>
      </c>
      <c r="E226" s="70">
        <f>-C226</f>
        <v>-20552.945064512958</v>
      </c>
      <c r="F226" s="69" t="str">
        <f>C224</f>
        <v>U2Y</v>
      </c>
    </row>
    <row r="227" spans="1:14" x14ac:dyDescent="0.3">
      <c r="B227" s="70">
        <f>D225</f>
        <v>-37244.611988207653</v>
      </c>
      <c r="C227" s="70">
        <f>E225</f>
        <v>-27667.426048382826</v>
      </c>
      <c r="D227" s="70">
        <f>B225</f>
        <v>37244.611988207653</v>
      </c>
      <c r="E227" s="70">
        <f>C225</f>
        <v>27667.426048382826</v>
      </c>
      <c r="F227" s="69" t="str">
        <f>D224</f>
        <v>U6X</v>
      </c>
    </row>
    <row r="228" spans="1:14" x14ac:dyDescent="0.3">
      <c r="B228" s="70">
        <f>D226</f>
        <v>-27667.426048382826</v>
      </c>
      <c r="C228" s="70">
        <f>E226</f>
        <v>-20552.945064512958</v>
      </c>
      <c r="D228" s="70">
        <f>B226</f>
        <v>27667.426048382826</v>
      </c>
      <c r="E228" s="70">
        <f>C226</f>
        <v>20552.945064512958</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37244.611988207653</v>
      </c>
      <c r="E233" s="71">
        <f t="shared" si="15"/>
        <v>27667.426048382826</v>
      </c>
      <c r="F233" s="9">
        <f t="shared" si="15"/>
        <v>0</v>
      </c>
      <c r="G233" s="9">
        <f t="shared" si="15"/>
        <v>0</v>
      </c>
      <c r="H233" s="9">
        <f t="shared" si="15"/>
        <v>0</v>
      </c>
      <c r="I233" s="9">
        <f t="shared" si="15"/>
        <v>0</v>
      </c>
      <c r="J233" s="9">
        <f t="shared" si="15"/>
        <v>0</v>
      </c>
      <c r="K233" s="9">
        <f t="shared" si="15"/>
        <v>0</v>
      </c>
      <c r="L233" s="71">
        <f t="shared" si="15"/>
        <v>-37244.611988207653</v>
      </c>
      <c r="M233" s="71">
        <f t="shared" si="15"/>
        <v>-27667.426048382826</v>
      </c>
      <c r="N233" s="69" t="s">
        <v>180</v>
      </c>
    </row>
    <row r="234" spans="1:14" ht="19.05" customHeight="1" x14ac:dyDescent="0.3">
      <c r="B234" s="9">
        <f t="shared" si="15"/>
        <v>0</v>
      </c>
      <c r="C234" s="9">
        <f t="shared" si="15"/>
        <v>0</v>
      </c>
      <c r="D234" s="71">
        <f t="shared" si="15"/>
        <v>27667.426048382826</v>
      </c>
      <c r="E234" s="71">
        <f t="shared" si="15"/>
        <v>20552.945064512958</v>
      </c>
      <c r="F234" s="9">
        <f t="shared" si="15"/>
        <v>0</v>
      </c>
      <c r="G234" s="9">
        <f t="shared" si="15"/>
        <v>0</v>
      </c>
      <c r="H234" s="9">
        <f t="shared" si="15"/>
        <v>0</v>
      </c>
      <c r="I234" s="9">
        <f t="shared" si="15"/>
        <v>0</v>
      </c>
      <c r="J234" s="9">
        <f t="shared" si="15"/>
        <v>0</v>
      </c>
      <c r="K234" s="9">
        <f t="shared" si="15"/>
        <v>0</v>
      </c>
      <c r="L234" s="71">
        <f t="shared" si="15"/>
        <v>-27667.426048382826</v>
      </c>
      <c r="M234" s="71">
        <f t="shared" si="15"/>
        <v>-20552.945064512958</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-37244.611988207653</v>
      </c>
      <c r="E241" s="71">
        <f t="shared" si="15"/>
        <v>-27667.426048382826</v>
      </c>
      <c r="F241" s="9">
        <f t="shared" si="15"/>
        <v>0</v>
      </c>
      <c r="G241" s="9">
        <f t="shared" si="15"/>
        <v>0</v>
      </c>
      <c r="H241" s="9">
        <f t="shared" si="15"/>
        <v>0</v>
      </c>
      <c r="I241" s="9">
        <f t="shared" si="15"/>
        <v>0</v>
      </c>
      <c r="J241" s="9">
        <f t="shared" si="15"/>
        <v>0</v>
      </c>
      <c r="K241" s="9">
        <f t="shared" si="15"/>
        <v>0</v>
      </c>
      <c r="L241" s="71">
        <f t="shared" si="15"/>
        <v>37244.611988207653</v>
      </c>
      <c r="M241" s="71">
        <f t="shared" si="15"/>
        <v>27667.426048382826</v>
      </c>
      <c r="N241" s="69" t="s">
        <v>188</v>
      </c>
    </row>
    <row r="242" spans="1:14" ht="19.05" customHeight="1" x14ac:dyDescent="0.3">
      <c r="B242" s="9">
        <f t="shared" si="15"/>
        <v>0</v>
      </c>
      <c r="C242" s="9">
        <f t="shared" si="15"/>
        <v>0</v>
      </c>
      <c r="D242" s="71">
        <f t="shared" si="15"/>
        <v>-27667.426048382826</v>
      </c>
      <c r="E242" s="71">
        <f t="shared" si="15"/>
        <v>-20552.945064512958</v>
      </c>
      <c r="F242" s="9">
        <f t="shared" si="15"/>
        <v>0</v>
      </c>
      <c r="G242" s="9">
        <f t="shared" si="15"/>
        <v>0</v>
      </c>
      <c r="H242" s="9">
        <f t="shared" si="15"/>
        <v>0</v>
      </c>
      <c r="I242" s="9">
        <f t="shared" si="15"/>
        <v>0</v>
      </c>
      <c r="J242" s="9">
        <f t="shared" si="15"/>
        <v>0</v>
      </c>
      <c r="K242" s="9">
        <f t="shared" si="15"/>
        <v>0</v>
      </c>
      <c r="L242" s="71">
        <f t="shared" si="15"/>
        <v>27667.426048382826</v>
      </c>
      <c r="M242" s="71">
        <f t="shared" si="15"/>
        <v>20552.945064512958</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37244.611988207653</v>
      </c>
      <c r="C246" s="73">
        <f>J16*K16*N16</f>
        <v>-27667.426048382826</v>
      </c>
      <c r="D246" s="73">
        <f>-B246</f>
        <v>-37244.611988207653</v>
      </c>
      <c r="E246" s="73">
        <f>-C246</f>
        <v>27667.426048382826</v>
      </c>
      <c r="F246" s="72" t="str">
        <f>B245</f>
        <v>U5X</v>
      </c>
    </row>
    <row r="247" spans="1:14" ht="16.8" customHeight="1" x14ac:dyDescent="0.3">
      <c r="A247" s="28" t="s">
        <v>583</v>
      </c>
      <c r="B247" s="73">
        <f>C246</f>
        <v>-27667.426048382826</v>
      </c>
      <c r="C247" s="73">
        <f>K16*K16*N16</f>
        <v>20552.945064512958</v>
      </c>
      <c r="D247" s="73">
        <f>-B247</f>
        <v>27667.426048382826</v>
      </c>
      <c r="E247" s="73">
        <f>-C247</f>
        <v>-20552.945064512958</v>
      </c>
      <c r="F247" s="72" t="str">
        <f>C245</f>
        <v>U5Y</v>
      </c>
    </row>
    <row r="248" spans="1:14" x14ac:dyDescent="0.3">
      <c r="B248" s="73">
        <f>D246</f>
        <v>-37244.611988207653</v>
      </c>
      <c r="C248" s="73">
        <f>E246</f>
        <v>27667.426048382826</v>
      </c>
      <c r="D248" s="73">
        <f>B246</f>
        <v>37244.611988207653</v>
      </c>
      <c r="E248" s="73">
        <f>C246</f>
        <v>-27667.426048382826</v>
      </c>
      <c r="F248" s="72" t="str">
        <f>D245</f>
        <v>U3X</v>
      </c>
    </row>
    <row r="249" spans="1:14" x14ac:dyDescent="0.3">
      <c r="B249" s="73">
        <f>D247</f>
        <v>27667.426048382826</v>
      </c>
      <c r="C249" s="73">
        <f>E247</f>
        <v>-20552.945064512958</v>
      </c>
      <c r="D249" s="73">
        <f>B247</f>
        <v>-27667.426048382826</v>
      </c>
      <c r="E249" s="73">
        <f>C247</f>
        <v>20552.945064512958</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37244.611988207653</v>
      </c>
      <c r="G256" s="74">
        <f t="shared" si="16"/>
        <v>-27667.426048382826</v>
      </c>
      <c r="H256" s="9">
        <f t="shared" si="16"/>
        <v>0</v>
      </c>
      <c r="I256" s="9">
        <f t="shared" si="16"/>
        <v>0</v>
      </c>
      <c r="J256" s="74">
        <f t="shared" si="16"/>
        <v>-37244.611988207653</v>
      </c>
      <c r="K256" s="74">
        <f t="shared" si="16"/>
        <v>27667.426048382826</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-27667.426048382826</v>
      </c>
      <c r="G257" s="74">
        <f t="shared" si="16"/>
        <v>20552.945064512958</v>
      </c>
      <c r="H257" s="9">
        <f t="shared" si="16"/>
        <v>0</v>
      </c>
      <c r="I257" s="9">
        <f t="shared" si="16"/>
        <v>0</v>
      </c>
      <c r="J257" s="74">
        <f t="shared" si="16"/>
        <v>27667.426048382826</v>
      </c>
      <c r="K257" s="74">
        <f t="shared" si="16"/>
        <v>-20552.945064512958</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-37244.611988207653</v>
      </c>
      <c r="G260" s="74">
        <f t="shared" si="16"/>
        <v>27667.426048382826</v>
      </c>
      <c r="H260" s="9">
        <f t="shared" si="16"/>
        <v>0</v>
      </c>
      <c r="I260" s="9">
        <f t="shared" si="16"/>
        <v>0</v>
      </c>
      <c r="J260" s="74">
        <f t="shared" si="16"/>
        <v>37244.611988207653</v>
      </c>
      <c r="K260" s="74">
        <f t="shared" si="16"/>
        <v>-27667.426048382826</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27667.426048382826</v>
      </c>
      <c r="G261" s="74">
        <f t="shared" si="16"/>
        <v>-20552.945064512958</v>
      </c>
      <c r="H261" s="9">
        <f t="shared" si="16"/>
        <v>0</v>
      </c>
      <c r="I261" s="9">
        <f t="shared" si="16"/>
        <v>0</v>
      </c>
      <c r="J261" s="74">
        <f t="shared" si="16"/>
        <v>-27667.426048382826</v>
      </c>
      <c r="K261" s="74">
        <f t="shared" si="16"/>
        <v>20552.945064512958</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29655.993181944516</v>
      </c>
      <c r="C267" s="76">
        <f>J17*K17*N17</f>
        <v>11015.083181865106</v>
      </c>
      <c r="D267" s="76">
        <f>-B267</f>
        <v>-29655.993181944516</v>
      </c>
      <c r="E267" s="76">
        <f>-C267</f>
        <v>-11015.083181865106</v>
      </c>
      <c r="F267" s="89" t="str">
        <f>B266</f>
        <v>U1X</v>
      </c>
    </row>
    <row r="268" spans="1:14" ht="16.8" customHeight="1" x14ac:dyDescent="0.3">
      <c r="A268" s="28" t="s">
        <v>603</v>
      </c>
      <c r="B268" s="76">
        <f>C267</f>
        <v>11015.083181865106</v>
      </c>
      <c r="C268" s="76">
        <f>K17*K17*N17</f>
        <v>4091.3166104070388</v>
      </c>
      <c r="D268" s="76">
        <f>-B268</f>
        <v>-11015.083181865106</v>
      </c>
      <c r="E268" s="76">
        <f>-C268</f>
        <v>-4091.3166104070388</v>
      </c>
      <c r="F268" s="89" t="str">
        <f>C266</f>
        <v>U1Y</v>
      </c>
    </row>
    <row r="269" spans="1:14" x14ac:dyDescent="0.3">
      <c r="B269" s="76">
        <f>D267</f>
        <v>-29655.993181944516</v>
      </c>
      <c r="C269" s="76">
        <f>E267</f>
        <v>-11015.083181865106</v>
      </c>
      <c r="D269" s="76">
        <f>B267</f>
        <v>29655.993181944516</v>
      </c>
      <c r="E269" s="76">
        <f>C267</f>
        <v>11015.083181865106</v>
      </c>
      <c r="F269" s="89" t="str">
        <f>D266</f>
        <v>U6X</v>
      </c>
    </row>
    <row r="270" spans="1:14" x14ac:dyDescent="0.3">
      <c r="B270" s="76">
        <f>D268</f>
        <v>-11015.083181865106</v>
      </c>
      <c r="C270" s="76">
        <f>E268</f>
        <v>-4091.3166104070388</v>
      </c>
      <c r="D270" s="76">
        <f>B268</f>
        <v>11015.083181865106</v>
      </c>
      <c r="E270" s="76">
        <f>C268</f>
        <v>4091.3166104070388</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29655.993181944516</v>
      </c>
      <c r="C273" s="77">
        <f t="shared" si="17"/>
        <v>11015.083181865106</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-29655.993181944516</v>
      </c>
      <c r="M273" s="77">
        <f t="shared" si="17"/>
        <v>-11015.083181865106</v>
      </c>
      <c r="N273" s="89" t="s">
        <v>178</v>
      </c>
    </row>
    <row r="274" spans="1:14" ht="19.05" customHeight="1" x14ac:dyDescent="0.3">
      <c r="B274" s="77">
        <f t="shared" si="17"/>
        <v>11015.083181865106</v>
      </c>
      <c r="C274" s="77">
        <f t="shared" si="17"/>
        <v>4091.3166104070388</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-11015.083181865106</v>
      </c>
      <c r="M274" s="77">
        <f t="shared" si="17"/>
        <v>-4091.3166104070388</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-29655.993181944516</v>
      </c>
      <c r="C283" s="77">
        <f t="shared" si="17"/>
        <v>-11015.083181865106</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29655.993181944516</v>
      </c>
      <c r="M283" s="77">
        <f t="shared" si="17"/>
        <v>11015.083181865106</v>
      </c>
      <c r="N283" s="89" t="s">
        <v>188</v>
      </c>
    </row>
    <row r="284" spans="1:14" ht="19.05" customHeight="1" x14ac:dyDescent="0.3">
      <c r="B284" s="77">
        <f t="shared" si="17"/>
        <v>-11015.083181865106</v>
      </c>
      <c r="C284" s="77">
        <f t="shared" si="17"/>
        <v>-4091.3166104070388</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11015.083181865106</v>
      </c>
      <c r="M284" s="77">
        <f t="shared" si="17"/>
        <v>4091.3166104070388</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138900.60517015215</v>
      </c>
      <c r="C288" s="36">
        <f t="shared" si="18"/>
        <v>38682.509230247932</v>
      </c>
      <c r="D288" s="9">
        <f t="shared" si="18"/>
        <v>-72000</v>
      </c>
      <c r="E288" s="9">
        <f t="shared" si="18"/>
        <v>0</v>
      </c>
      <c r="F288" s="9">
        <f t="shared" si="18"/>
        <v>0</v>
      </c>
      <c r="G288" s="9">
        <f t="shared" si="18"/>
        <v>0</v>
      </c>
      <c r="H288" s="9">
        <f t="shared" si="18"/>
        <v>0</v>
      </c>
      <c r="I288" s="9">
        <f t="shared" si="18"/>
        <v>0</v>
      </c>
      <c r="J288" s="9">
        <f t="shared" si="18"/>
        <v>-37244.611988207653</v>
      </c>
      <c r="K288" s="9">
        <f t="shared" si="18"/>
        <v>-27667.426048382826</v>
      </c>
      <c r="L288" s="9">
        <f t="shared" si="18"/>
        <v>-29655.993181944516</v>
      </c>
      <c r="M288" s="9">
        <f t="shared" si="18"/>
        <v>-11015.083181865106</v>
      </c>
      <c r="N288" s="89" t="s">
        <v>178</v>
      </c>
    </row>
    <row r="289" spans="1:21" ht="19.95" customHeight="1" x14ac:dyDescent="0.3">
      <c r="B289" s="36">
        <f t="shared" ref="B289:M289" si="19">B43+B64+B85+B106+B127+B148+B169+B190+B211+B232+B253+B274</f>
        <v>38682.509230247932</v>
      </c>
      <c r="C289" s="35">
        <f t="shared" si="19"/>
        <v>121567.33859799692</v>
      </c>
      <c r="D289" s="9">
        <f t="shared" si="19"/>
        <v>0</v>
      </c>
      <c r="E289" s="9">
        <f t="shared" si="19"/>
        <v>0</v>
      </c>
      <c r="F289" s="9">
        <f t="shared" si="19"/>
        <v>0</v>
      </c>
      <c r="G289" s="9">
        <f t="shared" si="19"/>
        <v>0</v>
      </c>
      <c r="H289" s="9">
        <f t="shared" si="19"/>
        <v>0</v>
      </c>
      <c r="I289" s="9">
        <f t="shared" si="19"/>
        <v>-96923.076923076922</v>
      </c>
      <c r="J289" s="9">
        <f t="shared" si="19"/>
        <v>-27667.426048382826</v>
      </c>
      <c r="K289" s="9">
        <f t="shared" si="19"/>
        <v>-20552.945064512958</v>
      </c>
      <c r="L289" s="9">
        <f t="shared" si="19"/>
        <v>-11015.083181865106</v>
      </c>
      <c r="M289" s="9">
        <f t="shared" si="19"/>
        <v>-4091.3166104070388</v>
      </c>
      <c r="N289" s="89" t="s">
        <v>179</v>
      </c>
    </row>
    <row r="290" spans="1:21" ht="19.95" customHeight="1" x14ac:dyDescent="0.3">
      <c r="B290" s="9">
        <f t="shared" ref="B290:M290" si="20">B44+B65+B86+B107+B128+B149+B170+B191+B212+B233+B254+B275</f>
        <v>-72000</v>
      </c>
      <c r="C290" s="9">
        <f t="shared" si="20"/>
        <v>0</v>
      </c>
      <c r="D290" s="35">
        <f t="shared" si="20"/>
        <v>218489.22397641529</v>
      </c>
      <c r="E290" s="36">
        <f t="shared" si="20"/>
        <v>0</v>
      </c>
      <c r="F290" s="9">
        <f t="shared" si="20"/>
        <v>-72000</v>
      </c>
      <c r="G290" s="9">
        <f t="shared" si="20"/>
        <v>0</v>
      </c>
      <c r="H290" s="9">
        <f t="shared" si="20"/>
        <v>-37244.611988207653</v>
      </c>
      <c r="I290" s="9">
        <f t="shared" si="20"/>
        <v>27667.426048382826</v>
      </c>
      <c r="J290" s="9">
        <f t="shared" si="20"/>
        <v>0</v>
      </c>
      <c r="K290" s="9">
        <f t="shared" si="20"/>
        <v>0</v>
      </c>
      <c r="L290" s="9">
        <f t="shared" si="20"/>
        <v>-37244.611988207653</v>
      </c>
      <c r="M290" s="9">
        <f t="shared" si="20"/>
        <v>-27667.426048382826</v>
      </c>
      <c r="N290" s="89" t="s">
        <v>180</v>
      </c>
    </row>
    <row r="291" spans="1:21" ht="19.95" customHeight="1" x14ac:dyDescent="0.3">
      <c r="B291" s="9">
        <f t="shared" ref="B291:M291" si="21">B45+B66+B87+B108+B129+B150+B171+B192+B213+B234+B255+B276</f>
        <v>0</v>
      </c>
      <c r="C291" s="9">
        <f t="shared" si="21"/>
        <v>0</v>
      </c>
      <c r="D291" s="36">
        <f t="shared" si="21"/>
        <v>0</v>
      </c>
      <c r="E291" s="35">
        <f t="shared" si="21"/>
        <v>138028.96705210285</v>
      </c>
      <c r="F291" s="9">
        <f t="shared" si="21"/>
        <v>0</v>
      </c>
      <c r="G291" s="9">
        <f t="shared" si="21"/>
        <v>0</v>
      </c>
      <c r="H291" s="9">
        <f t="shared" si="21"/>
        <v>27667.426048382826</v>
      </c>
      <c r="I291" s="9">
        <f t="shared" si="21"/>
        <v>-20552.945064512958</v>
      </c>
      <c r="J291" s="9">
        <f t="shared" si="21"/>
        <v>0</v>
      </c>
      <c r="K291" s="9">
        <f t="shared" si="21"/>
        <v>-96923.076923076922</v>
      </c>
      <c r="L291" s="9">
        <f t="shared" si="21"/>
        <v>-27667.426048382826</v>
      </c>
      <c r="M291" s="9">
        <f t="shared" si="21"/>
        <v>-20552.945064512958</v>
      </c>
      <c r="N291" s="89" t="s">
        <v>181</v>
      </c>
    </row>
    <row r="292" spans="1:21" ht="19.95" customHeight="1" x14ac:dyDescent="0.3">
      <c r="B292" s="9">
        <f t="shared" ref="B292:M292" si="22">B46+B67+B88+B109+B130+B151+B172+B193+B214+B235+B256+B277</f>
        <v>0</v>
      </c>
      <c r="C292" s="9">
        <f t="shared" si="22"/>
        <v>0</v>
      </c>
      <c r="D292" s="9">
        <f t="shared" si="22"/>
        <v>-72000</v>
      </c>
      <c r="E292" s="9">
        <f t="shared" si="22"/>
        <v>0</v>
      </c>
      <c r="F292" s="35">
        <f t="shared" si="22"/>
        <v>109244.61198820765</v>
      </c>
      <c r="G292" s="36">
        <f t="shared" si="22"/>
        <v>-27667.426048382826</v>
      </c>
      <c r="H292" s="9">
        <f t="shared" si="22"/>
        <v>0</v>
      </c>
      <c r="I292" s="9">
        <f t="shared" si="22"/>
        <v>0</v>
      </c>
      <c r="J292" s="9">
        <f t="shared" si="22"/>
        <v>-37244.611988207653</v>
      </c>
      <c r="K292" s="9">
        <f t="shared" si="22"/>
        <v>27667.426048382826</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-27667.426048382826</v>
      </c>
      <c r="G293" s="35">
        <f t="shared" si="23"/>
        <v>117476.02198758988</v>
      </c>
      <c r="H293" s="9">
        <f t="shared" si="23"/>
        <v>0</v>
      </c>
      <c r="I293" s="9">
        <f t="shared" si="23"/>
        <v>0</v>
      </c>
      <c r="J293" s="9">
        <f t="shared" si="23"/>
        <v>27667.426048382826</v>
      </c>
      <c r="K293" s="9">
        <f t="shared" si="23"/>
        <v>-20552.945064512958</v>
      </c>
      <c r="L293" s="9">
        <f t="shared" si="23"/>
        <v>0</v>
      </c>
      <c r="M293" s="9">
        <f t="shared" si="23"/>
        <v>-96923.076923076922</v>
      </c>
      <c r="N293" s="89" t="s">
        <v>183</v>
      </c>
    </row>
    <row r="294" spans="1:21" ht="19.95" customHeight="1" x14ac:dyDescent="0.3">
      <c r="B294" s="9">
        <f t="shared" ref="B294:M294" si="24">B48+B69+B90+B111+B132+B153+B174+B195+B216+B237+B258+B279</f>
        <v>0</v>
      </c>
      <c r="C294" s="9">
        <f t="shared" si="24"/>
        <v>0</v>
      </c>
      <c r="D294" s="9">
        <f t="shared" si="24"/>
        <v>-37244.611988207653</v>
      </c>
      <c r="E294" s="9">
        <f t="shared" si="24"/>
        <v>27667.426048382826</v>
      </c>
      <c r="F294" s="9">
        <f t="shared" si="24"/>
        <v>0</v>
      </c>
      <c r="G294" s="9">
        <f t="shared" si="24"/>
        <v>0</v>
      </c>
      <c r="H294" s="35">
        <f t="shared" si="24"/>
        <v>109244.61198820765</v>
      </c>
      <c r="I294" s="36">
        <f t="shared" si="24"/>
        <v>-27667.426048382826</v>
      </c>
      <c r="J294" s="9">
        <f t="shared" si="24"/>
        <v>-72000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-96923.076923076922</v>
      </c>
      <c r="D295" s="9">
        <f t="shared" si="25"/>
        <v>27667.426048382826</v>
      </c>
      <c r="E295" s="9">
        <f t="shared" si="25"/>
        <v>-20552.945064512958</v>
      </c>
      <c r="F295" s="9">
        <f t="shared" si="25"/>
        <v>0</v>
      </c>
      <c r="G295" s="9">
        <f t="shared" si="25"/>
        <v>0</v>
      </c>
      <c r="H295" s="36">
        <f t="shared" si="25"/>
        <v>-27667.426048382826</v>
      </c>
      <c r="I295" s="35">
        <f t="shared" si="25"/>
        <v>117476.02198758988</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-37244.611988207653</v>
      </c>
      <c r="C296" s="9">
        <f t="shared" si="26"/>
        <v>-27667.426048382826</v>
      </c>
      <c r="D296" s="9">
        <f t="shared" si="26"/>
        <v>0</v>
      </c>
      <c r="E296" s="9">
        <f t="shared" si="26"/>
        <v>0</v>
      </c>
      <c r="F296" s="9">
        <f t="shared" si="26"/>
        <v>-37244.611988207653</v>
      </c>
      <c r="G296" s="9">
        <f t="shared" si="26"/>
        <v>27667.426048382826</v>
      </c>
      <c r="H296" s="9">
        <f t="shared" si="26"/>
        <v>-72000</v>
      </c>
      <c r="I296" s="9">
        <f t="shared" si="26"/>
        <v>0</v>
      </c>
      <c r="J296" s="35">
        <f t="shared" si="26"/>
        <v>218489.22397641529</v>
      </c>
      <c r="K296" s="36">
        <f t="shared" si="26"/>
        <v>0</v>
      </c>
      <c r="L296" s="9">
        <f t="shared" si="26"/>
        <v>-72000</v>
      </c>
      <c r="M296" s="9">
        <f t="shared" si="26"/>
        <v>0</v>
      </c>
      <c r="N296" s="89" t="s">
        <v>186</v>
      </c>
    </row>
    <row r="297" spans="1:21" ht="19.95" customHeight="1" x14ac:dyDescent="0.3">
      <c r="B297" s="9">
        <f t="shared" ref="B297:M297" si="27">B51+B72+B93+B114+B135+B156+B177+B198+B219+B240+B261+B282</f>
        <v>-27667.426048382826</v>
      </c>
      <c r="C297" s="9">
        <f t="shared" si="27"/>
        <v>-20552.945064512958</v>
      </c>
      <c r="D297" s="9">
        <f t="shared" si="27"/>
        <v>0</v>
      </c>
      <c r="E297" s="9">
        <f t="shared" si="27"/>
        <v>-96923.076923076922</v>
      </c>
      <c r="F297" s="9">
        <f t="shared" si="27"/>
        <v>27667.426048382826</v>
      </c>
      <c r="G297" s="9">
        <f t="shared" si="27"/>
        <v>-20552.945064512958</v>
      </c>
      <c r="H297" s="9">
        <f t="shared" si="27"/>
        <v>0</v>
      </c>
      <c r="I297" s="9">
        <f t="shared" si="27"/>
        <v>0</v>
      </c>
      <c r="J297" s="36">
        <f t="shared" si="27"/>
        <v>0</v>
      </c>
      <c r="K297" s="35">
        <f t="shared" si="27"/>
        <v>138028.96705210285</v>
      </c>
      <c r="L297" s="9">
        <f t="shared" si="27"/>
        <v>0</v>
      </c>
      <c r="M297" s="9">
        <f t="shared" si="27"/>
        <v>0</v>
      </c>
      <c r="N297" s="89" t="s">
        <v>187</v>
      </c>
    </row>
    <row r="298" spans="1:21" ht="19.95" customHeight="1" x14ac:dyDescent="0.3">
      <c r="B298" s="9">
        <f t="shared" ref="B298:M298" si="28">B52+B73+B94+B115+B136+B157+B178+B199+B220+B241+B262+B283</f>
        <v>-29655.993181944516</v>
      </c>
      <c r="C298" s="9">
        <f t="shared" si="28"/>
        <v>-11015.083181865106</v>
      </c>
      <c r="D298" s="9">
        <f t="shared" si="28"/>
        <v>-37244.611988207653</v>
      </c>
      <c r="E298" s="9">
        <f t="shared" si="28"/>
        <v>-27667.426048382826</v>
      </c>
      <c r="F298" s="9">
        <f t="shared" si="28"/>
        <v>0</v>
      </c>
      <c r="G298" s="9">
        <f t="shared" si="28"/>
        <v>0</v>
      </c>
      <c r="H298" s="9">
        <f t="shared" si="28"/>
        <v>0</v>
      </c>
      <c r="I298" s="9">
        <f t="shared" si="28"/>
        <v>0</v>
      </c>
      <c r="J298" s="9">
        <f t="shared" si="28"/>
        <v>-72000</v>
      </c>
      <c r="K298" s="9">
        <f t="shared" si="28"/>
        <v>0</v>
      </c>
      <c r="L298" s="35">
        <f t="shared" si="28"/>
        <v>138900.60517015215</v>
      </c>
      <c r="M298" s="36">
        <f t="shared" si="28"/>
        <v>38682.509230247932</v>
      </c>
      <c r="N298" s="89" t="s">
        <v>188</v>
      </c>
    </row>
    <row r="299" spans="1:21" ht="19.95" customHeight="1" x14ac:dyDescent="0.3">
      <c r="B299" s="9">
        <f t="shared" ref="B299:M299" si="29">B53+B74+B95+B116+B137+B158+B179+B200+B221+B242+B263+B284</f>
        <v>-11015.083181865106</v>
      </c>
      <c r="C299" s="9">
        <f t="shared" si="29"/>
        <v>-4091.3166104070388</v>
      </c>
      <c r="D299" s="9">
        <f t="shared" si="29"/>
        <v>-27667.426048382826</v>
      </c>
      <c r="E299" s="9">
        <f t="shared" si="29"/>
        <v>-20552.945064512958</v>
      </c>
      <c r="F299" s="9">
        <f t="shared" si="29"/>
        <v>0</v>
      </c>
      <c r="G299" s="9">
        <f t="shared" si="29"/>
        <v>-96923.076923076922</v>
      </c>
      <c r="H299" s="9">
        <f t="shared" si="29"/>
        <v>0</v>
      </c>
      <c r="I299" s="9">
        <f t="shared" si="29"/>
        <v>0</v>
      </c>
      <c r="J299" s="9">
        <f t="shared" si="29"/>
        <v>0</v>
      </c>
      <c r="K299" s="9">
        <f t="shared" si="29"/>
        <v>0</v>
      </c>
      <c r="L299" s="36">
        <f t="shared" si="29"/>
        <v>38682.509230247932</v>
      </c>
      <c r="M299" s="35">
        <f t="shared" si="29"/>
        <v>121567.33859799692</v>
      </c>
      <c r="N299" s="89" t="s">
        <v>189</v>
      </c>
    </row>
    <row r="302" spans="1:21" ht="19.95" customHeight="1" x14ac:dyDescent="0.35">
      <c r="A302" s="11" t="s">
        <v>206</v>
      </c>
      <c r="P302" s="216" t="s">
        <v>207</v>
      </c>
      <c r="Q302" s="172"/>
      <c r="R302" s="172"/>
      <c r="S302" s="172"/>
      <c r="T302" s="172"/>
      <c r="U302" s="173"/>
    </row>
    <row r="303" spans="1:21" ht="16.95" customHeight="1" x14ac:dyDescent="0.3">
      <c r="B303" s="12" t="s">
        <v>208</v>
      </c>
      <c r="C303" s="12" t="s">
        <v>178</v>
      </c>
      <c r="E303" s="37" t="str">
        <f>IF(GRAFICA_59!F14=1, B303, GRAFICA_59!H14)</f>
        <v>C1X</v>
      </c>
      <c r="P303" s="215" t="s">
        <v>376</v>
      </c>
      <c r="Q303" s="172"/>
      <c r="R303" s="172"/>
      <c r="S303" s="172"/>
      <c r="T303" s="172"/>
      <c r="U303" s="173"/>
    </row>
    <row r="304" spans="1:21" ht="16.95" customHeight="1" x14ac:dyDescent="0.3">
      <c r="B304" s="12" t="s">
        <v>210</v>
      </c>
      <c r="C304" s="12" t="s">
        <v>179</v>
      </c>
      <c r="E304" s="37" t="str">
        <f>IF(GRAFICA_59!G14=1, B304, GRAFICA_59!I14)</f>
        <v>C1Y</v>
      </c>
      <c r="P304" s="215" t="s">
        <v>211</v>
      </c>
      <c r="Q304" s="172"/>
      <c r="R304" s="172"/>
      <c r="S304" s="172"/>
      <c r="T304" s="172"/>
      <c r="U304" s="173"/>
    </row>
    <row r="305" spans="1:21" ht="16.95" customHeight="1" x14ac:dyDescent="0.3">
      <c r="B305" s="12" t="s">
        <v>212</v>
      </c>
      <c r="C305" s="12" t="s">
        <v>180</v>
      </c>
      <c r="E305" s="37">
        <f>IF(GRAFICA_59!F15=1, B305, GRAFICA_59!H15)</f>
        <v>0</v>
      </c>
      <c r="P305" s="215" t="s">
        <v>377</v>
      </c>
      <c r="Q305" s="172"/>
      <c r="R305" s="172"/>
      <c r="S305" s="172"/>
      <c r="T305" s="172"/>
      <c r="U305" s="173"/>
    </row>
    <row r="306" spans="1:21" ht="16.95" customHeight="1" x14ac:dyDescent="0.3">
      <c r="B306" s="12" t="s">
        <v>214</v>
      </c>
      <c r="C306" s="12" t="s">
        <v>181</v>
      </c>
      <c r="E306" s="37" t="str">
        <f>IF(GRAFICA_59!G15=1, B306, GRAFICA_59!I15)</f>
        <v>C2Y</v>
      </c>
      <c r="P306" s="215" t="s">
        <v>215</v>
      </c>
      <c r="Q306" s="172"/>
      <c r="R306" s="172"/>
      <c r="S306" s="172"/>
      <c r="T306" s="172"/>
      <c r="U306" s="173"/>
    </row>
    <row r="307" spans="1:21" ht="16.95" customHeight="1" x14ac:dyDescent="0.3">
      <c r="B307" s="12" t="s">
        <v>216</v>
      </c>
      <c r="C307" s="12" t="s">
        <v>182</v>
      </c>
      <c r="E307" s="37" t="str">
        <f>IF(GRAFICA_59!F16=1, B307, GRAFICA_59!H16)</f>
        <v>C3X</v>
      </c>
      <c r="P307" s="215" t="s">
        <v>378</v>
      </c>
      <c r="Q307" s="172"/>
      <c r="R307" s="172"/>
      <c r="S307" s="172"/>
      <c r="T307" s="172"/>
      <c r="U307" s="173"/>
    </row>
    <row r="308" spans="1:21" ht="16.95" customHeight="1" x14ac:dyDescent="0.3">
      <c r="A308" s="38" t="s">
        <v>218</v>
      </c>
      <c r="B308" s="12" t="s">
        <v>219</v>
      </c>
      <c r="C308" s="12" t="s">
        <v>183</v>
      </c>
      <c r="D308" s="13" t="s">
        <v>220</v>
      </c>
      <c r="E308" s="37" t="str">
        <f>IF(GRAFICA_59!G16=1, B308, GRAFICA_59!I16)</f>
        <v>C3Y</v>
      </c>
      <c r="P308" s="215" t="s">
        <v>379</v>
      </c>
      <c r="Q308" s="172"/>
      <c r="R308" s="172"/>
      <c r="S308" s="172"/>
      <c r="T308" s="172"/>
      <c r="U308" s="173"/>
    </row>
    <row r="309" spans="1:21" ht="16.95" customHeight="1" x14ac:dyDescent="0.3">
      <c r="B309" s="12" t="s">
        <v>221</v>
      </c>
      <c r="C309" s="12" t="s">
        <v>184</v>
      </c>
      <c r="E309" s="37">
        <f>IF(GRAFICA_59!F17=1, B309, GRAFICA_59!H17)</f>
        <v>2500</v>
      </c>
      <c r="P309" s="215"/>
      <c r="Q309" s="172"/>
      <c r="R309" s="172"/>
      <c r="S309" s="172"/>
      <c r="T309" s="172"/>
      <c r="U309" s="173"/>
    </row>
    <row r="310" spans="1:21" ht="16.95" customHeight="1" x14ac:dyDescent="0.3">
      <c r="B310" s="12" t="s">
        <v>222</v>
      </c>
      <c r="C310" s="12" t="s">
        <v>185</v>
      </c>
      <c r="E310" s="37">
        <f>IF(GRAFICA_59!G17=1, B310, GRAFICA_59!I17)</f>
        <v>0</v>
      </c>
      <c r="P310" s="215"/>
      <c r="Q310" s="172"/>
      <c r="R310" s="172"/>
      <c r="S310" s="172"/>
      <c r="T310" s="172"/>
      <c r="U310" s="173"/>
    </row>
    <row r="311" spans="1:21" ht="16.95" customHeight="1" x14ac:dyDescent="0.3">
      <c r="B311" s="12" t="s">
        <v>223</v>
      </c>
      <c r="C311" s="12" t="s">
        <v>186</v>
      </c>
      <c r="E311" s="37">
        <f>IF(GRAFICA_59!F18=1, B311, GRAFICA_59!H18)</f>
        <v>0</v>
      </c>
      <c r="P311" s="215"/>
      <c r="Q311" s="172"/>
      <c r="R311" s="172"/>
      <c r="S311" s="172"/>
      <c r="T311" s="172"/>
      <c r="U311" s="173"/>
    </row>
    <row r="312" spans="1:21" ht="16.95" customHeight="1" x14ac:dyDescent="0.3">
      <c r="B312" s="12" t="s">
        <v>224</v>
      </c>
      <c r="C312" s="12" t="s">
        <v>187</v>
      </c>
      <c r="E312" s="37">
        <f>IF(GRAFICA_59!G18=1, B312, GRAFICA_59!I18)</f>
        <v>-8500</v>
      </c>
      <c r="P312" s="215"/>
      <c r="Q312" s="172"/>
      <c r="R312" s="172"/>
      <c r="S312" s="172"/>
      <c r="T312" s="172"/>
      <c r="U312" s="173"/>
    </row>
    <row r="313" spans="1:21" ht="16.95" customHeight="1" x14ac:dyDescent="0.3">
      <c r="B313" s="12" t="s">
        <v>225</v>
      </c>
      <c r="C313" s="12" t="s">
        <v>188</v>
      </c>
      <c r="E313" s="37">
        <f>IF(GRAFICA_59!F19=1, B313, GRAFICA_59!H19)</f>
        <v>0</v>
      </c>
      <c r="P313" s="215"/>
      <c r="Q313" s="172"/>
      <c r="R313" s="172"/>
      <c r="S313" s="172"/>
      <c r="T313" s="172"/>
      <c r="U313" s="173"/>
    </row>
    <row r="314" spans="1:21" ht="16.95" customHeight="1" x14ac:dyDescent="0.3">
      <c r="B314" s="12" t="s">
        <v>226</v>
      </c>
      <c r="C314" s="12" t="s">
        <v>189</v>
      </c>
      <c r="E314" s="37">
        <f>IF(GRAFICA_59!G19=1, B314, GRAFICA_59!I19)</f>
        <v>0</v>
      </c>
      <c r="P314" s="215"/>
      <c r="Q314" s="172"/>
      <c r="R314" s="172"/>
      <c r="S314" s="172"/>
      <c r="T314" s="172"/>
      <c r="U314" s="173"/>
    </row>
    <row r="315" spans="1:21" ht="16.95" customHeight="1" x14ac:dyDescent="0.3">
      <c r="P315" s="215"/>
      <c r="Q315" s="172"/>
      <c r="R315" s="172"/>
      <c r="S315" s="172"/>
      <c r="T315" s="172"/>
      <c r="U315" s="173"/>
    </row>
    <row r="316" spans="1:21" ht="16.95" customHeight="1" x14ac:dyDescent="0.35">
      <c r="A316" s="11" t="s">
        <v>227</v>
      </c>
      <c r="P316" s="215"/>
      <c r="Q316" s="172"/>
      <c r="R316" s="172"/>
      <c r="S316" s="172"/>
      <c r="T316" s="172"/>
      <c r="U316" s="173"/>
    </row>
    <row r="317" spans="1:21" ht="16.95" customHeight="1" x14ac:dyDescent="0.3">
      <c r="B317" s="12" t="s">
        <v>228</v>
      </c>
      <c r="C317" s="12" t="s">
        <v>178</v>
      </c>
      <c r="E317" s="39">
        <f>IF(GRAFICA_59!F14=1, 0, B317)</f>
        <v>0</v>
      </c>
      <c r="F317" s="14" t="str">
        <f>IF(E317&lt;&gt;0, COUNTIF(E$317:E317, "&lt;&gt;0"), "")</f>
        <v/>
      </c>
      <c r="G317" s="14">
        <f>IF(E317=0, COUNTIF(E$317:E317, 0), "")</f>
        <v>1</v>
      </c>
      <c r="P317" s="215"/>
      <c r="Q317" s="172"/>
      <c r="R317" s="172"/>
      <c r="S317" s="172"/>
      <c r="T317" s="172"/>
      <c r="U317" s="173"/>
    </row>
    <row r="318" spans="1:21" ht="16.95" customHeight="1" x14ac:dyDescent="0.3">
      <c r="B318" s="12" t="s">
        <v>229</v>
      </c>
      <c r="C318" s="12" t="s">
        <v>179</v>
      </c>
      <c r="E318" s="39">
        <f>IF(GRAFICA_59!G14=1, 0, B318)</f>
        <v>0</v>
      </c>
      <c r="F318" s="14" t="str">
        <f>IF(E318&lt;&gt;0, COUNTIF(E$317:E318, "&lt;&gt;0"), "")</f>
        <v/>
      </c>
      <c r="G318" s="14">
        <f>IF(E318=0, COUNTIF(E$317:E318, 0), "")</f>
        <v>2</v>
      </c>
      <c r="P318" s="215"/>
      <c r="Q318" s="172"/>
      <c r="R318" s="172"/>
      <c r="S318" s="172"/>
      <c r="T318" s="172"/>
      <c r="U318" s="173"/>
    </row>
    <row r="319" spans="1:21" ht="16.95" customHeight="1" x14ac:dyDescent="0.3">
      <c r="B319" s="12" t="s">
        <v>230</v>
      </c>
      <c r="C319" s="12" t="s">
        <v>180</v>
      </c>
      <c r="E319" s="39" t="str">
        <f>IF(GRAFICA_59!F15=1, 0, B319)</f>
        <v>D2X</v>
      </c>
      <c r="F319" s="14">
        <f>IF(E319&lt;&gt;0, COUNTIF(E$317:E319, "&lt;&gt;0"), "")</f>
        <v>1</v>
      </c>
      <c r="G319" s="14" t="str">
        <f>IF(E319=0, COUNTIF(E$317:E319, 0), "")</f>
        <v/>
      </c>
      <c r="P319" s="215"/>
      <c r="Q319" s="172"/>
      <c r="R319" s="172"/>
      <c r="S319" s="172"/>
      <c r="T319" s="172"/>
      <c r="U319" s="173"/>
    </row>
    <row r="320" spans="1:21" ht="16.95" customHeight="1" x14ac:dyDescent="0.3">
      <c r="B320" s="12" t="s">
        <v>231</v>
      </c>
      <c r="C320" s="12" t="s">
        <v>181</v>
      </c>
      <c r="E320" s="39">
        <f>IF(GRAFICA_59!G15=1, 0, B320)</f>
        <v>0</v>
      </c>
      <c r="F320" s="14" t="str">
        <f>IF(E320&lt;&gt;0, COUNTIF(E$317:E320, "&lt;&gt;0"), "")</f>
        <v/>
      </c>
      <c r="G320" s="14">
        <f>IF(E320=0, COUNTIF(E$317:E320, 0), "")</f>
        <v>3</v>
      </c>
      <c r="P320" s="215"/>
      <c r="Q320" s="172"/>
      <c r="R320" s="172"/>
      <c r="S320" s="172"/>
      <c r="T320" s="172"/>
      <c r="U320" s="173"/>
    </row>
    <row r="321" spans="1:21" ht="16.95" customHeight="1" x14ac:dyDescent="0.3">
      <c r="B321" s="12" t="s">
        <v>232</v>
      </c>
      <c r="C321" s="12" t="s">
        <v>182</v>
      </c>
      <c r="E321" s="39">
        <f>IF(GRAFICA_59!F16=1, 0, B321)</f>
        <v>0</v>
      </c>
      <c r="F321" s="14" t="str">
        <f>IF(E321&lt;&gt;0, COUNTIF(E$317:E321, "&lt;&gt;0"), "")</f>
        <v/>
      </c>
      <c r="G321" s="14">
        <f>IF(E321=0, COUNTIF(E$317:E321, 0), "")</f>
        <v>4</v>
      </c>
      <c r="P321" s="215"/>
      <c r="Q321" s="172"/>
      <c r="R321" s="172"/>
      <c r="S321" s="172"/>
      <c r="T321" s="172"/>
      <c r="U321" s="173"/>
    </row>
    <row r="322" spans="1:21" ht="16.95" customHeight="1" x14ac:dyDescent="0.3">
      <c r="A322" s="38" t="s">
        <v>233</v>
      </c>
      <c r="B322" s="12" t="s">
        <v>234</v>
      </c>
      <c r="C322" s="12" t="s">
        <v>183</v>
      </c>
      <c r="D322" s="13" t="s">
        <v>220</v>
      </c>
      <c r="E322" s="39">
        <f>IF(GRAFICA_59!G16=1, 0, B322)</f>
        <v>0</v>
      </c>
      <c r="F322" s="14" t="str">
        <f>IF(E322&lt;&gt;0, COUNTIF(E$317:E322, "&lt;&gt;0"), "")</f>
        <v/>
      </c>
      <c r="G322" s="14">
        <f>IF(E322=0, COUNTIF(E$317:E322, 0), "")</f>
        <v>5</v>
      </c>
      <c r="P322" s="215"/>
      <c r="Q322" s="172"/>
      <c r="R322" s="172"/>
      <c r="S322" s="172"/>
      <c r="T322" s="172"/>
      <c r="U322" s="173"/>
    </row>
    <row r="323" spans="1:21" ht="16.95" customHeight="1" x14ac:dyDescent="0.3">
      <c r="B323" s="12" t="s">
        <v>235</v>
      </c>
      <c r="C323" s="12" t="s">
        <v>184</v>
      </c>
      <c r="E323" s="39" t="str">
        <f>IF(GRAFICA_59!F17=1, 0, B323)</f>
        <v>D4X</v>
      </c>
      <c r="F323" s="14">
        <f>IF(E323&lt;&gt;0, COUNTIF(E$317:E323, "&lt;&gt;0"), "")</f>
        <v>2</v>
      </c>
      <c r="G323" s="14" t="str">
        <f>IF(E323=0, COUNTIF(E$317:E323, 0), "")</f>
        <v/>
      </c>
      <c r="P323" s="215"/>
      <c r="Q323" s="172"/>
      <c r="R323" s="172"/>
      <c r="S323" s="172"/>
      <c r="T323" s="172"/>
      <c r="U323" s="173"/>
    </row>
    <row r="324" spans="1:21" ht="16.95" customHeight="1" x14ac:dyDescent="0.3">
      <c r="B324" s="12" t="s">
        <v>236</v>
      </c>
      <c r="C324" s="12" t="s">
        <v>185</v>
      </c>
      <c r="E324" s="39" t="str">
        <f>IF(GRAFICA_59!G17=1, 0, B324)</f>
        <v>D4Y</v>
      </c>
      <c r="F324" s="14">
        <f>IF(E324&lt;&gt;0, COUNTIF(E$317:E324, "&lt;&gt;0"), "")</f>
        <v>3</v>
      </c>
      <c r="G324" s="14" t="str">
        <f>IF(E324=0, COUNTIF(E$317:E324, 0), "")</f>
        <v/>
      </c>
      <c r="P324" s="215"/>
      <c r="Q324" s="172"/>
      <c r="R324" s="172"/>
      <c r="S324" s="172"/>
      <c r="T324" s="172"/>
      <c r="U324" s="173"/>
    </row>
    <row r="325" spans="1:21" ht="16.95" customHeight="1" x14ac:dyDescent="0.3">
      <c r="B325" s="12" t="s">
        <v>237</v>
      </c>
      <c r="C325" s="12" t="s">
        <v>186</v>
      </c>
      <c r="E325" s="39" t="str">
        <f>IF(GRAFICA_59!F18=1, 0, B325)</f>
        <v>D5X</v>
      </c>
      <c r="F325" s="14">
        <f>IF(E325&lt;&gt;0, COUNTIF(E$317:E325, "&lt;&gt;0"), "")</f>
        <v>4</v>
      </c>
      <c r="G325" s="14" t="str">
        <f>IF(E325=0, COUNTIF(E$317:E325, 0), "")</f>
        <v/>
      </c>
      <c r="P325" s="215"/>
      <c r="Q325" s="172"/>
      <c r="R325" s="172"/>
      <c r="S325" s="172"/>
      <c r="T325" s="172"/>
      <c r="U325" s="173"/>
    </row>
    <row r="326" spans="1:21" ht="16.95" customHeight="1" x14ac:dyDescent="0.3">
      <c r="B326" s="12" t="s">
        <v>238</v>
      </c>
      <c r="C326" s="12" t="s">
        <v>187</v>
      </c>
      <c r="E326" s="39" t="str">
        <f>IF(GRAFICA_59!G18=1, 0, B326)</f>
        <v>D5Y</v>
      </c>
      <c r="F326" s="14">
        <f>IF(E326&lt;&gt;0, COUNTIF(E$317:E326, "&lt;&gt;0"), "")</f>
        <v>5</v>
      </c>
      <c r="G326" s="14" t="str">
        <f>IF(E326=0, COUNTIF(E$317:E326, 0), "")</f>
        <v/>
      </c>
      <c r="P326" s="215"/>
      <c r="Q326" s="172"/>
      <c r="R326" s="172"/>
      <c r="S326" s="172"/>
      <c r="T326" s="172"/>
      <c r="U326" s="173"/>
    </row>
    <row r="327" spans="1:21" ht="16.95" customHeight="1" x14ac:dyDescent="0.3">
      <c r="B327" s="12" t="s">
        <v>239</v>
      </c>
      <c r="C327" s="12" t="s">
        <v>188</v>
      </c>
      <c r="E327" s="39" t="str">
        <f>IF(GRAFICA_59!F19=1, 0, B327)</f>
        <v>D6X</v>
      </c>
      <c r="F327" s="14">
        <f>IF(E327&lt;&gt;0, COUNTIF(E$317:E327, "&lt;&gt;0"), "")</f>
        <v>6</v>
      </c>
      <c r="G327" s="14" t="str">
        <f>IF(E327=0, COUNTIF(E$317:E327, 0), "")</f>
        <v/>
      </c>
      <c r="P327" s="215"/>
      <c r="Q327" s="172"/>
      <c r="R327" s="172"/>
      <c r="S327" s="172"/>
      <c r="T327" s="172"/>
      <c r="U327" s="173"/>
    </row>
    <row r="328" spans="1:21" ht="16.95" customHeight="1" x14ac:dyDescent="0.3">
      <c r="B328" s="12" t="s">
        <v>240</v>
      </c>
      <c r="C328" s="12" t="s">
        <v>189</v>
      </c>
      <c r="E328" s="39" t="str">
        <f>IF(GRAFICA_59!G19=1, 0, B328)</f>
        <v>D6Y</v>
      </c>
      <c r="F328" s="14">
        <f>IF(E328&lt;&gt;0, COUNTIF(E$317:E328, "&lt;&gt;0"), "")</f>
        <v>7</v>
      </c>
      <c r="G328" s="14" t="str">
        <f>IF(E328=0, COUNTIF(E$317:E328, 0), "")</f>
        <v/>
      </c>
      <c r="P328" s="215"/>
      <c r="Q328" s="172"/>
      <c r="R328" s="172"/>
      <c r="S328" s="172"/>
      <c r="T328" s="172"/>
      <c r="U328" s="173"/>
    </row>
    <row r="330" spans="1:21" ht="19.95" customHeight="1" x14ac:dyDescent="0.35">
      <c r="A330" s="15" t="s">
        <v>241</v>
      </c>
      <c r="C330" s="218" t="s">
        <v>242</v>
      </c>
      <c r="D330" s="173"/>
      <c r="E330" s="40" t="s">
        <v>243</v>
      </c>
      <c r="P330" s="216" t="s">
        <v>244</v>
      </c>
      <c r="Q330" s="172"/>
      <c r="R330" s="172"/>
      <c r="S330" s="172"/>
      <c r="T330" s="172"/>
      <c r="U330" s="173"/>
    </row>
    <row r="331" spans="1:21" ht="16.95" customHeight="1" x14ac:dyDescent="0.3">
      <c r="E331" s="40" t="s">
        <v>245</v>
      </c>
      <c r="P331" s="215" t="s">
        <v>246</v>
      </c>
      <c r="Q331" s="172"/>
      <c r="R331" s="172"/>
      <c r="S331" s="172"/>
      <c r="T331" s="172"/>
      <c r="U331" s="173"/>
    </row>
    <row r="332" spans="1:21" ht="16.95" customHeight="1" x14ac:dyDescent="0.3">
      <c r="A332" s="99" t="s">
        <v>247</v>
      </c>
      <c r="C332" s="99" t="s">
        <v>248</v>
      </c>
      <c r="P332" s="215" t="s">
        <v>250</v>
      </c>
      <c r="Q332" s="172"/>
      <c r="R332" s="172"/>
      <c r="S332" s="172"/>
      <c r="T332" s="172"/>
      <c r="U332" s="173"/>
    </row>
    <row r="333" spans="1:21" ht="16.95" customHeight="1" x14ac:dyDescent="0.3">
      <c r="A333" s="12" t="str">
        <f t="shared" ref="A333:A344" si="30">E303</f>
        <v>C1X</v>
      </c>
      <c r="C333" s="9">
        <f t="shared" ref="C333:N333" si="31">B288</f>
        <v>138900.60517015215</v>
      </c>
      <c r="D333" s="9">
        <f t="shared" si="31"/>
        <v>38682.509230247932</v>
      </c>
      <c r="E333" s="9">
        <f t="shared" si="31"/>
        <v>-72000</v>
      </c>
      <c r="F333" s="9">
        <f t="shared" si="31"/>
        <v>0</v>
      </c>
      <c r="G333" s="9">
        <f t="shared" si="31"/>
        <v>0</v>
      </c>
      <c r="H333" s="9">
        <f t="shared" si="31"/>
        <v>0</v>
      </c>
      <c r="I333" s="9">
        <f t="shared" si="31"/>
        <v>0</v>
      </c>
      <c r="J333" s="9">
        <f t="shared" si="31"/>
        <v>0</v>
      </c>
      <c r="K333" s="9">
        <f t="shared" si="31"/>
        <v>-37244.611988207653</v>
      </c>
      <c r="L333" s="9">
        <f t="shared" si="31"/>
        <v>-27667.426048382826</v>
      </c>
      <c r="M333" s="9">
        <f t="shared" si="31"/>
        <v>-29655.993181944516</v>
      </c>
      <c r="N333" s="9">
        <f t="shared" si="31"/>
        <v>-11015.083181865106</v>
      </c>
      <c r="O333" s="13" t="s">
        <v>251</v>
      </c>
      <c r="P333" s="219" t="s">
        <v>380</v>
      </c>
      <c r="Q333" s="172"/>
      <c r="R333" s="172"/>
      <c r="S333" s="172"/>
      <c r="T333" s="172"/>
      <c r="U333" s="173"/>
    </row>
    <row r="334" spans="1:21" ht="16.95" customHeight="1" x14ac:dyDescent="0.3">
      <c r="A334" s="12" t="str">
        <f t="shared" si="30"/>
        <v>C1Y</v>
      </c>
      <c r="C334" s="9">
        <f t="shared" ref="C334:N334" si="32">B289</f>
        <v>38682.509230247932</v>
      </c>
      <c r="D334" s="9">
        <f t="shared" si="32"/>
        <v>121567.33859799692</v>
      </c>
      <c r="E334" s="9">
        <f t="shared" si="32"/>
        <v>0</v>
      </c>
      <c r="F334" s="9">
        <f t="shared" si="32"/>
        <v>0</v>
      </c>
      <c r="G334" s="9">
        <f t="shared" si="32"/>
        <v>0</v>
      </c>
      <c r="H334" s="9">
        <f t="shared" si="32"/>
        <v>0</v>
      </c>
      <c r="I334" s="9">
        <f t="shared" si="32"/>
        <v>0</v>
      </c>
      <c r="J334" s="9">
        <f t="shared" si="32"/>
        <v>-96923.076923076922</v>
      </c>
      <c r="K334" s="9">
        <f t="shared" si="32"/>
        <v>-27667.426048382826</v>
      </c>
      <c r="L334" s="9">
        <f t="shared" si="32"/>
        <v>-20552.945064512958</v>
      </c>
      <c r="M334" s="9">
        <f t="shared" si="32"/>
        <v>-11015.083181865106</v>
      </c>
      <c r="N334" s="9">
        <f t="shared" si="32"/>
        <v>-4091.3166104070388</v>
      </c>
      <c r="O334" s="13" t="s">
        <v>251</v>
      </c>
      <c r="P334" s="219" t="s">
        <v>253</v>
      </c>
      <c r="Q334" s="172"/>
      <c r="R334" s="172"/>
      <c r="S334" s="172"/>
      <c r="T334" s="172"/>
      <c r="U334" s="173"/>
    </row>
    <row r="335" spans="1:21" ht="16.95" customHeight="1" x14ac:dyDescent="0.3">
      <c r="A335" s="41">
        <f t="shared" si="30"/>
        <v>0</v>
      </c>
      <c r="C335" s="9">
        <f t="shared" ref="C335:N335" si="33">B290</f>
        <v>-72000</v>
      </c>
      <c r="D335" s="9">
        <f t="shared" si="33"/>
        <v>0</v>
      </c>
      <c r="E335" s="41">
        <f t="shared" si="33"/>
        <v>218489.22397641529</v>
      </c>
      <c r="F335" s="9">
        <f t="shared" si="33"/>
        <v>0</v>
      </c>
      <c r="G335" s="9">
        <f t="shared" si="33"/>
        <v>-72000</v>
      </c>
      <c r="H335" s="9">
        <f t="shared" si="33"/>
        <v>0</v>
      </c>
      <c r="I335" s="41">
        <f t="shared" si="33"/>
        <v>-37244.611988207653</v>
      </c>
      <c r="J335" s="41">
        <f t="shared" si="33"/>
        <v>27667.426048382826</v>
      </c>
      <c r="K335" s="41">
        <f t="shared" si="33"/>
        <v>0</v>
      </c>
      <c r="L335" s="41">
        <f t="shared" si="33"/>
        <v>0</v>
      </c>
      <c r="M335" s="41">
        <f t="shared" si="33"/>
        <v>-37244.611988207653</v>
      </c>
      <c r="N335" s="41">
        <f t="shared" si="33"/>
        <v>-27667.426048382826</v>
      </c>
      <c r="O335" s="13" t="s">
        <v>251</v>
      </c>
      <c r="P335" s="215" t="s">
        <v>254</v>
      </c>
      <c r="Q335" s="172"/>
      <c r="R335" s="172"/>
      <c r="S335" s="172"/>
      <c r="T335" s="172"/>
      <c r="U335" s="173"/>
    </row>
    <row r="336" spans="1:21" ht="16.95" customHeight="1" x14ac:dyDescent="0.3">
      <c r="A336" s="12" t="str">
        <f t="shared" si="30"/>
        <v>C2Y</v>
      </c>
      <c r="C336" s="9">
        <f t="shared" ref="C336:N336" si="34">B291</f>
        <v>0</v>
      </c>
      <c r="D336" s="9">
        <f t="shared" si="34"/>
        <v>0</v>
      </c>
      <c r="E336" s="9">
        <f t="shared" si="34"/>
        <v>0</v>
      </c>
      <c r="F336" s="9">
        <f t="shared" si="34"/>
        <v>138028.96705210285</v>
      </c>
      <c r="G336" s="9">
        <f t="shared" si="34"/>
        <v>0</v>
      </c>
      <c r="H336" s="9">
        <f t="shared" si="34"/>
        <v>0</v>
      </c>
      <c r="I336" s="9">
        <f t="shared" si="34"/>
        <v>27667.426048382826</v>
      </c>
      <c r="J336" s="9">
        <f t="shared" si="34"/>
        <v>-20552.945064512958</v>
      </c>
      <c r="K336" s="9">
        <f t="shared" si="34"/>
        <v>0</v>
      </c>
      <c r="L336" s="9">
        <f t="shared" si="34"/>
        <v>-96923.076923076922</v>
      </c>
      <c r="M336" s="9">
        <f t="shared" si="34"/>
        <v>-27667.426048382826</v>
      </c>
      <c r="N336" s="9">
        <f t="shared" si="34"/>
        <v>-20552.945064512958</v>
      </c>
      <c r="O336" s="13" t="s">
        <v>251</v>
      </c>
      <c r="P336" s="219" t="s">
        <v>381</v>
      </c>
      <c r="Q336" s="172"/>
      <c r="R336" s="172"/>
      <c r="S336" s="172"/>
      <c r="T336" s="172"/>
      <c r="U336" s="173"/>
    </row>
    <row r="337" spans="1:21" ht="16.95" customHeight="1" x14ac:dyDescent="0.3">
      <c r="A337" s="12" t="str">
        <f t="shared" si="30"/>
        <v>C3X</v>
      </c>
      <c r="C337" s="9">
        <f t="shared" ref="C337:N337" si="35">B292</f>
        <v>0</v>
      </c>
      <c r="D337" s="9">
        <f t="shared" si="35"/>
        <v>0</v>
      </c>
      <c r="E337" s="9">
        <f t="shared" si="35"/>
        <v>-72000</v>
      </c>
      <c r="F337" s="9">
        <f t="shared" si="35"/>
        <v>0</v>
      </c>
      <c r="G337" s="9">
        <f t="shared" si="35"/>
        <v>109244.61198820765</v>
      </c>
      <c r="H337" s="9">
        <f t="shared" si="35"/>
        <v>-27667.426048382826</v>
      </c>
      <c r="I337" s="9">
        <f t="shared" si="35"/>
        <v>0</v>
      </c>
      <c r="J337" s="9">
        <f t="shared" si="35"/>
        <v>0</v>
      </c>
      <c r="K337" s="9">
        <f t="shared" si="35"/>
        <v>-37244.611988207653</v>
      </c>
      <c r="L337" s="9">
        <f t="shared" si="35"/>
        <v>27667.426048382826</v>
      </c>
      <c r="M337" s="9">
        <f t="shared" si="35"/>
        <v>0</v>
      </c>
      <c r="N337" s="9">
        <f t="shared" si="35"/>
        <v>0</v>
      </c>
      <c r="O337" s="13" t="s">
        <v>251</v>
      </c>
      <c r="P337" s="219" t="s">
        <v>382</v>
      </c>
      <c r="Q337" s="172"/>
      <c r="R337" s="172"/>
      <c r="S337" s="172"/>
      <c r="T337" s="172"/>
      <c r="U337" s="173"/>
    </row>
    <row r="338" spans="1:21" ht="16.95" customHeight="1" x14ac:dyDescent="0.3">
      <c r="A338" s="12" t="str">
        <f t="shared" si="30"/>
        <v>C3Y</v>
      </c>
      <c r="C338" s="9">
        <f t="shared" ref="C338:N338" si="36">B293</f>
        <v>0</v>
      </c>
      <c r="D338" s="9">
        <f t="shared" si="36"/>
        <v>0</v>
      </c>
      <c r="E338" s="9">
        <f t="shared" si="36"/>
        <v>0</v>
      </c>
      <c r="F338" s="9">
        <f t="shared" si="36"/>
        <v>0</v>
      </c>
      <c r="G338" s="9">
        <f t="shared" si="36"/>
        <v>-27667.426048382826</v>
      </c>
      <c r="H338" s="9">
        <f t="shared" si="36"/>
        <v>117476.02198758988</v>
      </c>
      <c r="I338" s="9">
        <f t="shared" si="36"/>
        <v>0</v>
      </c>
      <c r="J338" s="9">
        <f t="shared" si="36"/>
        <v>0</v>
      </c>
      <c r="K338" s="9">
        <f t="shared" si="36"/>
        <v>27667.426048382826</v>
      </c>
      <c r="L338" s="9">
        <f t="shared" si="36"/>
        <v>-20552.945064512958</v>
      </c>
      <c r="M338" s="9">
        <f t="shared" si="36"/>
        <v>0</v>
      </c>
      <c r="N338" s="9">
        <f t="shared" si="36"/>
        <v>-96923.076923076922</v>
      </c>
      <c r="O338" s="13" t="s">
        <v>251</v>
      </c>
      <c r="P338" s="219">
        <f t="shared" ref="P338:P344" si="37">E322</f>
        <v>0</v>
      </c>
      <c r="Q338" s="172"/>
      <c r="R338" s="172"/>
      <c r="S338" s="172"/>
      <c r="T338" s="172"/>
      <c r="U338" s="173"/>
    </row>
    <row r="339" spans="1:21" ht="16.95" customHeight="1" x14ac:dyDescent="0.3">
      <c r="A339" s="41">
        <f t="shared" si="30"/>
        <v>2500</v>
      </c>
      <c r="B339" s="13" t="s">
        <v>220</v>
      </c>
      <c r="C339" s="9">
        <f t="shared" ref="C339:N339" si="38">B294</f>
        <v>0</v>
      </c>
      <c r="D339" s="9">
        <f t="shared" si="38"/>
        <v>0</v>
      </c>
      <c r="E339" s="41">
        <f t="shared" si="38"/>
        <v>-37244.611988207653</v>
      </c>
      <c r="F339" s="9">
        <f t="shared" si="38"/>
        <v>27667.426048382826</v>
      </c>
      <c r="G339" s="9">
        <f t="shared" si="38"/>
        <v>0</v>
      </c>
      <c r="H339" s="9">
        <f t="shared" si="38"/>
        <v>0</v>
      </c>
      <c r="I339" s="41">
        <f t="shared" si="38"/>
        <v>109244.61198820765</v>
      </c>
      <c r="J339" s="41">
        <f t="shared" si="38"/>
        <v>-27667.426048382826</v>
      </c>
      <c r="K339" s="41">
        <f t="shared" si="38"/>
        <v>-72000</v>
      </c>
      <c r="L339" s="41">
        <f t="shared" si="38"/>
        <v>0</v>
      </c>
      <c r="M339" s="41">
        <f t="shared" si="38"/>
        <v>0</v>
      </c>
      <c r="N339" s="41">
        <f t="shared" si="38"/>
        <v>0</v>
      </c>
      <c r="O339" s="13" t="s">
        <v>251</v>
      </c>
      <c r="P339" s="215" t="str">
        <f t="shared" si="37"/>
        <v>D4X</v>
      </c>
      <c r="Q339" s="172"/>
      <c r="R339" s="172"/>
      <c r="S339" s="172"/>
      <c r="T339" s="172"/>
      <c r="U339" s="173"/>
    </row>
    <row r="340" spans="1:21" ht="16.95" customHeight="1" x14ac:dyDescent="0.3">
      <c r="A340" s="41">
        <f t="shared" si="30"/>
        <v>0</v>
      </c>
      <c r="C340" s="9">
        <f t="shared" ref="C340:N340" si="39">B295</f>
        <v>0</v>
      </c>
      <c r="D340" s="9">
        <f t="shared" si="39"/>
        <v>-96923.076923076922</v>
      </c>
      <c r="E340" s="41">
        <f t="shared" si="39"/>
        <v>27667.426048382826</v>
      </c>
      <c r="F340" s="9">
        <f t="shared" si="39"/>
        <v>-20552.945064512958</v>
      </c>
      <c r="G340" s="9">
        <f t="shared" si="39"/>
        <v>0</v>
      </c>
      <c r="H340" s="9">
        <f t="shared" si="39"/>
        <v>0</v>
      </c>
      <c r="I340" s="41">
        <f t="shared" si="39"/>
        <v>-27667.426048382826</v>
      </c>
      <c r="J340" s="41">
        <f t="shared" si="39"/>
        <v>117476.02198758988</v>
      </c>
      <c r="K340" s="41">
        <f t="shared" si="39"/>
        <v>0</v>
      </c>
      <c r="L340" s="41">
        <f t="shared" si="39"/>
        <v>0</v>
      </c>
      <c r="M340" s="41">
        <f t="shared" si="39"/>
        <v>0</v>
      </c>
      <c r="N340" s="41">
        <f t="shared" si="39"/>
        <v>0</v>
      </c>
      <c r="O340" s="13" t="s">
        <v>251</v>
      </c>
      <c r="P340" s="215" t="str">
        <f t="shared" si="37"/>
        <v>D4Y</v>
      </c>
      <c r="Q340" s="172"/>
      <c r="R340" s="172"/>
      <c r="S340" s="172"/>
      <c r="T340" s="172"/>
      <c r="U340" s="173"/>
    </row>
    <row r="341" spans="1:21" ht="16.95" customHeight="1" x14ac:dyDescent="0.3">
      <c r="A341" s="41">
        <f t="shared" si="30"/>
        <v>0</v>
      </c>
      <c r="C341" s="9">
        <f t="shared" ref="C341:N341" si="40">B296</f>
        <v>-37244.611988207653</v>
      </c>
      <c r="D341" s="9">
        <f t="shared" si="40"/>
        <v>-27667.426048382826</v>
      </c>
      <c r="E341" s="41">
        <f t="shared" si="40"/>
        <v>0</v>
      </c>
      <c r="F341" s="9">
        <f t="shared" si="40"/>
        <v>0</v>
      </c>
      <c r="G341" s="9">
        <f t="shared" si="40"/>
        <v>-37244.611988207653</v>
      </c>
      <c r="H341" s="9">
        <f t="shared" si="40"/>
        <v>27667.426048382826</v>
      </c>
      <c r="I341" s="41">
        <f t="shared" si="40"/>
        <v>-72000</v>
      </c>
      <c r="J341" s="41">
        <f t="shared" si="40"/>
        <v>0</v>
      </c>
      <c r="K341" s="41">
        <f t="shared" si="40"/>
        <v>218489.22397641529</v>
      </c>
      <c r="L341" s="41">
        <f t="shared" si="40"/>
        <v>0</v>
      </c>
      <c r="M341" s="41">
        <f t="shared" si="40"/>
        <v>-72000</v>
      </c>
      <c r="N341" s="41">
        <f t="shared" si="40"/>
        <v>0</v>
      </c>
      <c r="O341" s="13" t="s">
        <v>251</v>
      </c>
      <c r="P341" s="215" t="str">
        <f t="shared" si="37"/>
        <v>D5X</v>
      </c>
      <c r="Q341" s="172"/>
      <c r="R341" s="172"/>
      <c r="S341" s="172"/>
      <c r="T341" s="172"/>
      <c r="U341" s="173"/>
    </row>
    <row r="342" spans="1:21" ht="16.95" customHeight="1" x14ac:dyDescent="0.3">
      <c r="A342" s="41">
        <f t="shared" si="30"/>
        <v>-8500</v>
      </c>
      <c r="C342" s="9">
        <f t="shared" ref="C342:N342" si="41">B297</f>
        <v>-27667.426048382826</v>
      </c>
      <c r="D342" s="9">
        <f t="shared" si="41"/>
        <v>-20552.945064512958</v>
      </c>
      <c r="E342" s="41">
        <f t="shared" si="41"/>
        <v>0</v>
      </c>
      <c r="F342" s="9">
        <f t="shared" si="41"/>
        <v>-96923.076923076922</v>
      </c>
      <c r="G342" s="9">
        <f t="shared" si="41"/>
        <v>27667.426048382826</v>
      </c>
      <c r="H342" s="9">
        <f t="shared" si="41"/>
        <v>-20552.945064512958</v>
      </c>
      <c r="I342" s="41">
        <f t="shared" si="41"/>
        <v>0</v>
      </c>
      <c r="J342" s="41">
        <f t="shared" si="41"/>
        <v>0</v>
      </c>
      <c r="K342" s="41">
        <f t="shared" si="41"/>
        <v>0</v>
      </c>
      <c r="L342" s="41">
        <f t="shared" si="41"/>
        <v>138028.96705210285</v>
      </c>
      <c r="M342" s="41">
        <f t="shared" si="41"/>
        <v>0</v>
      </c>
      <c r="N342" s="41">
        <f t="shared" si="41"/>
        <v>0</v>
      </c>
      <c r="O342" s="13" t="s">
        <v>251</v>
      </c>
      <c r="P342" s="215" t="str">
        <f t="shared" si="37"/>
        <v>D5Y</v>
      </c>
      <c r="Q342" s="172"/>
      <c r="R342" s="172"/>
      <c r="S342" s="172"/>
      <c r="T342" s="172"/>
      <c r="U342" s="173"/>
    </row>
    <row r="343" spans="1:21" ht="16.95" customHeight="1" x14ac:dyDescent="0.3">
      <c r="A343" s="41">
        <f t="shared" si="30"/>
        <v>0</v>
      </c>
      <c r="C343" s="9">
        <f t="shared" ref="C343:N343" si="42">B298</f>
        <v>-29655.993181944516</v>
      </c>
      <c r="D343" s="9">
        <f t="shared" si="42"/>
        <v>-11015.083181865106</v>
      </c>
      <c r="E343" s="41">
        <f t="shared" si="42"/>
        <v>-37244.611988207653</v>
      </c>
      <c r="F343" s="9">
        <f t="shared" si="42"/>
        <v>-27667.426048382826</v>
      </c>
      <c r="G343" s="9">
        <f t="shared" si="42"/>
        <v>0</v>
      </c>
      <c r="H343" s="9">
        <f t="shared" si="42"/>
        <v>0</v>
      </c>
      <c r="I343" s="41">
        <f t="shared" si="42"/>
        <v>0</v>
      </c>
      <c r="J343" s="41">
        <f t="shared" si="42"/>
        <v>0</v>
      </c>
      <c r="K343" s="41">
        <f t="shared" si="42"/>
        <v>-72000</v>
      </c>
      <c r="L343" s="41">
        <f t="shared" si="42"/>
        <v>0</v>
      </c>
      <c r="M343" s="41">
        <f t="shared" si="42"/>
        <v>138900.60517015215</v>
      </c>
      <c r="N343" s="41">
        <f t="shared" si="42"/>
        <v>38682.509230247932</v>
      </c>
      <c r="O343" s="13" t="s">
        <v>251</v>
      </c>
      <c r="P343" s="215" t="str">
        <f t="shared" si="37"/>
        <v>D6X</v>
      </c>
      <c r="Q343" s="172"/>
      <c r="R343" s="172"/>
      <c r="S343" s="172"/>
      <c r="T343" s="172"/>
      <c r="U343" s="173"/>
    </row>
    <row r="344" spans="1:21" ht="16.95" customHeight="1" x14ac:dyDescent="0.3">
      <c r="A344" s="41">
        <f t="shared" si="30"/>
        <v>0</v>
      </c>
      <c r="C344" s="9">
        <f t="shared" ref="C344:N344" si="43">B299</f>
        <v>-11015.083181865106</v>
      </c>
      <c r="D344" s="9">
        <f t="shared" si="43"/>
        <v>-4091.3166104070388</v>
      </c>
      <c r="E344" s="41">
        <f t="shared" si="43"/>
        <v>-27667.426048382826</v>
      </c>
      <c r="F344" s="9">
        <f t="shared" si="43"/>
        <v>-20552.945064512958</v>
      </c>
      <c r="G344" s="9">
        <f t="shared" si="43"/>
        <v>0</v>
      </c>
      <c r="H344" s="9">
        <f t="shared" si="43"/>
        <v>-96923.076923076922</v>
      </c>
      <c r="I344" s="41">
        <f t="shared" si="43"/>
        <v>0</v>
      </c>
      <c r="J344" s="41">
        <f t="shared" si="43"/>
        <v>0</v>
      </c>
      <c r="K344" s="41">
        <f t="shared" si="43"/>
        <v>0</v>
      </c>
      <c r="L344" s="41">
        <f t="shared" si="43"/>
        <v>0</v>
      </c>
      <c r="M344" s="41">
        <f t="shared" si="43"/>
        <v>38682.509230247932</v>
      </c>
      <c r="N344" s="41">
        <f t="shared" si="43"/>
        <v>121567.33859799692</v>
      </c>
      <c r="O344" s="13" t="s">
        <v>251</v>
      </c>
      <c r="P344" s="215" t="str">
        <f t="shared" si="37"/>
        <v>D6Y</v>
      </c>
      <c r="Q344" s="172"/>
      <c r="R344" s="172"/>
      <c r="S344" s="172"/>
      <c r="T344" s="172"/>
      <c r="U344" s="173"/>
    </row>
    <row r="347" spans="1:21" ht="19.95" customHeight="1" x14ac:dyDescent="0.35">
      <c r="A347" s="15" t="s">
        <v>257</v>
      </c>
      <c r="P347" s="216" t="s">
        <v>258</v>
      </c>
      <c r="Q347" s="172"/>
      <c r="R347" s="172"/>
      <c r="S347" s="172"/>
      <c r="T347" s="172"/>
      <c r="U347" s="173"/>
    </row>
    <row r="348" spans="1:21" ht="16.95" customHeight="1" x14ac:dyDescent="0.3">
      <c r="C348" s="38" t="str">
        <f>INDEX(C$317:C$328, MATCH(1, F$317:F$328, 0))</f>
        <v>U2X</v>
      </c>
      <c r="D348" s="38" t="str">
        <f>INDEX(C$317:C$328, MATCH(2, F$317:F$328, 0))</f>
        <v>U4X</v>
      </c>
      <c r="E348" s="38" t="str">
        <f>INDEX(C$317:C$328, MATCH(3, F$317:F$328, 0))</f>
        <v>U4Y</v>
      </c>
      <c r="F348" s="38" t="str">
        <f>INDEX(C$317:C$328, MATCH(4, F$317:F$328, 0))</f>
        <v>U5X</v>
      </c>
      <c r="G348" s="38" t="str">
        <f>INDEX(C$317:C$328, MATCH(5, F$317:F$328, 0))</f>
        <v>U5Y</v>
      </c>
      <c r="H348" s="38" t="str">
        <f>INDEX(C$317:C$328, MATCH(6, F$317:F$328, 0))</f>
        <v>U6X</v>
      </c>
      <c r="I348" s="38" t="str">
        <f>INDEX(C$317:C$328, MATCH(7, F$317:F$328, 0))</f>
        <v>U6Y</v>
      </c>
      <c r="P348" s="215" t="s">
        <v>383</v>
      </c>
      <c r="Q348" s="172"/>
      <c r="R348" s="172"/>
      <c r="S348" s="172"/>
      <c r="T348" s="172"/>
      <c r="U348" s="173"/>
    </row>
    <row r="349" spans="1:21" ht="16.95" customHeight="1" x14ac:dyDescent="0.3">
      <c r="A349" s="41">
        <f t="shared" ref="A349:A355" si="44">INDEX(E$303:E$314, MATCH(L349, C$303:C$314, 0))</f>
        <v>0</v>
      </c>
      <c r="C349" s="41">
        <f t="shared" ref="C349:I355" si="45">INDEX($B$288:$M$299, MATCH($L349, $N$288:$N$299, 0), MATCH(C$348, $B$287:$M$287, 0))</f>
        <v>218489.22397641529</v>
      </c>
      <c r="D349" s="41">
        <f t="shared" si="45"/>
        <v>-37244.611988207653</v>
      </c>
      <c r="E349" s="41">
        <f t="shared" si="45"/>
        <v>27667.426048382826</v>
      </c>
      <c r="F349" s="41">
        <f t="shared" si="45"/>
        <v>0</v>
      </c>
      <c r="G349" s="41">
        <f t="shared" si="45"/>
        <v>0</v>
      </c>
      <c r="H349" s="41">
        <f t="shared" si="45"/>
        <v>-37244.611988207653</v>
      </c>
      <c r="I349" s="41">
        <f t="shared" si="45"/>
        <v>-27667.426048382826</v>
      </c>
      <c r="J349" s="13" t="s">
        <v>251</v>
      </c>
      <c r="K349" s="38" t="str">
        <f>INDEX(B$317:B$328, MATCH(1, F$317:F$328, 0))</f>
        <v>D2X</v>
      </c>
      <c r="L349" s="14" t="str">
        <f>INDEX(C$317:C$328, MATCH(1, F$317:F$328, 0))</f>
        <v>U2X</v>
      </c>
      <c r="P349" s="215" t="s">
        <v>384</v>
      </c>
      <c r="Q349" s="172"/>
      <c r="R349" s="172"/>
      <c r="S349" s="172"/>
      <c r="T349" s="172"/>
      <c r="U349" s="173"/>
    </row>
    <row r="350" spans="1:21" ht="16.95" customHeight="1" x14ac:dyDescent="0.3">
      <c r="A350" s="41">
        <f t="shared" si="44"/>
        <v>2500</v>
      </c>
      <c r="C350" s="41">
        <f t="shared" si="45"/>
        <v>-37244.611988207653</v>
      </c>
      <c r="D350" s="41">
        <f t="shared" si="45"/>
        <v>109244.61198820765</v>
      </c>
      <c r="E350" s="41">
        <f t="shared" si="45"/>
        <v>-27667.426048382826</v>
      </c>
      <c r="F350" s="41">
        <f t="shared" si="45"/>
        <v>-72000</v>
      </c>
      <c r="G350" s="41">
        <f t="shared" si="45"/>
        <v>0</v>
      </c>
      <c r="H350" s="41">
        <f t="shared" si="45"/>
        <v>0</v>
      </c>
      <c r="I350" s="41">
        <f t="shared" si="45"/>
        <v>0</v>
      </c>
      <c r="J350" s="13" t="s">
        <v>251</v>
      </c>
      <c r="K350" s="38" t="str">
        <f>INDEX(B$317:B$328, MATCH(2, F$317:F$328, 0))</f>
        <v>D4X</v>
      </c>
      <c r="L350" s="14" t="str">
        <f>INDEX(C$317:C$328, MATCH(2, F$317:F$328, 0))</f>
        <v>U4X</v>
      </c>
      <c r="P350" s="215" t="s">
        <v>385</v>
      </c>
      <c r="Q350" s="172"/>
      <c r="R350" s="172"/>
      <c r="S350" s="172"/>
      <c r="T350" s="172"/>
      <c r="U350" s="173"/>
    </row>
    <row r="351" spans="1:21" ht="16.95" customHeight="1" x14ac:dyDescent="0.3">
      <c r="A351" s="41">
        <f t="shared" si="44"/>
        <v>0</v>
      </c>
      <c r="C351" s="41">
        <f t="shared" si="45"/>
        <v>27667.426048382826</v>
      </c>
      <c r="D351" s="41">
        <f t="shared" si="45"/>
        <v>-27667.426048382826</v>
      </c>
      <c r="E351" s="41">
        <f t="shared" si="45"/>
        <v>117476.02198758988</v>
      </c>
      <c r="F351" s="41">
        <f t="shared" si="45"/>
        <v>0</v>
      </c>
      <c r="G351" s="41">
        <f t="shared" si="45"/>
        <v>0</v>
      </c>
      <c r="H351" s="41">
        <f t="shared" si="45"/>
        <v>0</v>
      </c>
      <c r="I351" s="41">
        <f t="shared" si="45"/>
        <v>0</v>
      </c>
      <c r="J351" s="13" t="s">
        <v>251</v>
      </c>
      <c r="K351" s="38" t="str">
        <f>INDEX(B$317:B$328, MATCH(3, F$317:F$328, 0))</f>
        <v>D4Y</v>
      </c>
      <c r="L351" s="14" t="str">
        <f>INDEX(C$317:C$328, MATCH(3, F$317:F$328, 0))</f>
        <v>U4Y</v>
      </c>
      <c r="P351" s="215" t="s">
        <v>386</v>
      </c>
      <c r="Q351" s="172"/>
      <c r="R351" s="172"/>
      <c r="S351" s="172"/>
      <c r="T351" s="172"/>
      <c r="U351" s="173"/>
    </row>
    <row r="352" spans="1:21" ht="16.95" customHeight="1" x14ac:dyDescent="0.3">
      <c r="A352" s="41">
        <f t="shared" si="44"/>
        <v>0</v>
      </c>
      <c r="B352" s="13" t="s">
        <v>220</v>
      </c>
      <c r="C352" s="41">
        <f t="shared" si="45"/>
        <v>0</v>
      </c>
      <c r="D352" s="41">
        <f t="shared" si="45"/>
        <v>-72000</v>
      </c>
      <c r="E352" s="41">
        <f t="shared" si="45"/>
        <v>0</v>
      </c>
      <c r="F352" s="41">
        <f t="shared" si="45"/>
        <v>218489.22397641529</v>
      </c>
      <c r="G352" s="41">
        <f t="shared" si="45"/>
        <v>0</v>
      </c>
      <c r="H352" s="41">
        <f t="shared" si="45"/>
        <v>-72000</v>
      </c>
      <c r="I352" s="41">
        <f t="shared" si="45"/>
        <v>0</v>
      </c>
      <c r="J352" s="13" t="s">
        <v>251</v>
      </c>
      <c r="K352" s="38" t="str">
        <f>INDEX(B$317:B$328, MATCH(4, F$317:F$328, 0))</f>
        <v>D5X</v>
      </c>
      <c r="L352" s="14" t="str">
        <f>INDEX(C$317:C$328, MATCH(4, F$317:F$328, 0))</f>
        <v>U5X</v>
      </c>
      <c r="P352" s="215" t="s">
        <v>387</v>
      </c>
      <c r="Q352" s="172"/>
      <c r="R352" s="172"/>
      <c r="S352" s="172"/>
      <c r="T352" s="172"/>
      <c r="U352" s="173"/>
    </row>
    <row r="353" spans="1:21" ht="16.95" customHeight="1" x14ac:dyDescent="0.3">
      <c r="A353" s="41">
        <f t="shared" si="44"/>
        <v>-8500</v>
      </c>
      <c r="C353" s="41">
        <f t="shared" si="45"/>
        <v>0</v>
      </c>
      <c r="D353" s="41">
        <f t="shared" si="45"/>
        <v>0</v>
      </c>
      <c r="E353" s="41">
        <f t="shared" si="45"/>
        <v>0</v>
      </c>
      <c r="F353" s="41">
        <f t="shared" si="45"/>
        <v>0</v>
      </c>
      <c r="G353" s="41">
        <f t="shared" si="45"/>
        <v>138028.96705210285</v>
      </c>
      <c r="H353" s="41">
        <f t="shared" si="45"/>
        <v>0</v>
      </c>
      <c r="I353" s="41">
        <f t="shared" si="45"/>
        <v>0</v>
      </c>
      <c r="J353" s="13" t="s">
        <v>251</v>
      </c>
      <c r="K353" s="38" t="str">
        <f>INDEX(B$317:B$328, MATCH(5, F$317:F$328, 0))</f>
        <v>D5Y</v>
      </c>
      <c r="L353" s="14" t="str">
        <f>INDEX(C$317:C$328, MATCH(5, F$317:F$328, 0))</f>
        <v>U5Y</v>
      </c>
      <c r="P353" s="215" t="s">
        <v>388</v>
      </c>
      <c r="Q353" s="172"/>
      <c r="R353" s="172"/>
      <c r="S353" s="172"/>
      <c r="T353" s="172"/>
      <c r="U353" s="173"/>
    </row>
    <row r="354" spans="1:21" ht="16.95" customHeight="1" x14ac:dyDescent="0.3">
      <c r="A354" s="41">
        <f t="shared" si="44"/>
        <v>0</v>
      </c>
      <c r="C354" s="41">
        <f t="shared" si="45"/>
        <v>-37244.611988207653</v>
      </c>
      <c r="D354" s="41">
        <f t="shared" si="45"/>
        <v>0</v>
      </c>
      <c r="E354" s="41">
        <f t="shared" si="45"/>
        <v>0</v>
      </c>
      <c r="F354" s="41">
        <f t="shared" si="45"/>
        <v>-72000</v>
      </c>
      <c r="G354" s="41">
        <f t="shared" si="45"/>
        <v>0</v>
      </c>
      <c r="H354" s="41">
        <f t="shared" si="45"/>
        <v>138900.60517015215</v>
      </c>
      <c r="I354" s="41">
        <f t="shared" si="45"/>
        <v>38682.509230247932</v>
      </c>
      <c r="J354" s="13" t="s">
        <v>251</v>
      </c>
      <c r="K354" s="38" t="str">
        <f>INDEX(B$317:B$328, MATCH(6, F$317:F$328, 0))</f>
        <v>D6X</v>
      </c>
      <c r="L354" s="14" t="str">
        <f>INDEX(C$317:C$328, MATCH(6, F$317:F$328, 0))</f>
        <v>U6X</v>
      </c>
      <c r="P354" s="215"/>
      <c r="Q354" s="172"/>
      <c r="R354" s="172"/>
      <c r="S354" s="172"/>
      <c r="T354" s="172"/>
      <c r="U354" s="173"/>
    </row>
    <row r="355" spans="1:21" ht="16.95" customHeight="1" x14ac:dyDescent="0.3">
      <c r="A355" s="41">
        <f t="shared" si="44"/>
        <v>0</v>
      </c>
      <c r="C355" s="41">
        <f t="shared" si="45"/>
        <v>-27667.426048382826</v>
      </c>
      <c r="D355" s="41">
        <f t="shared" si="45"/>
        <v>0</v>
      </c>
      <c r="E355" s="41">
        <f t="shared" si="45"/>
        <v>0</v>
      </c>
      <c r="F355" s="41">
        <f t="shared" si="45"/>
        <v>0</v>
      </c>
      <c r="G355" s="41">
        <f t="shared" si="45"/>
        <v>0</v>
      </c>
      <c r="H355" s="41">
        <f t="shared" si="45"/>
        <v>38682.509230247932</v>
      </c>
      <c r="I355" s="41">
        <f t="shared" si="45"/>
        <v>121567.33859799692</v>
      </c>
      <c r="J355" s="13" t="s">
        <v>251</v>
      </c>
      <c r="K355" s="38" t="str">
        <f>INDEX(B$317:B$328, MATCH(7, F$317:F$328, 0))</f>
        <v>D6Y</v>
      </c>
      <c r="L355" s="14" t="str">
        <f>INDEX(C$317:C$328, MATCH(7, F$317:F$328, 0))</f>
        <v>U6Y</v>
      </c>
      <c r="P355" s="215"/>
      <c r="Q355" s="172"/>
      <c r="R355" s="172"/>
      <c r="S355" s="172"/>
      <c r="T355" s="172"/>
      <c r="U355" s="173"/>
    </row>
    <row r="356" spans="1:21" ht="16.95" customHeight="1" x14ac:dyDescent="0.3">
      <c r="P356" s="215"/>
      <c r="Q356" s="172"/>
      <c r="R356" s="172"/>
      <c r="S356" s="172"/>
      <c r="T356" s="172"/>
      <c r="U356" s="173"/>
    </row>
    <row r="357" spans="1:21" ht="16.95" customHeight="1" x14ac:dyDescent="0.3">
      <c r="C357" s="218" t="s">
        <v>263</v>
      </c>
      <c r="D357" s="172"/>
      <c r="E357" s="172"/>
      <c r="F357" s="172"/>
      <c r="G357" s="172"/>
      <c r="H357" s="172"/>
      <c r="I357" s="173"/>
      <c r="P357" s="215"/>
      <c r="Q357" s="172"/>
      <c r="R357" s="172"/>
      <c r="S357" s="172"/>
      <c r="T357" s="172"/>
      <c r="U357" s="173"/>
    </row>
    <row r="358" spans="1:21" ht="16.95" customHeight="1" x14ac:dyDescent="0.3">
      <c r="A358" s="99" t="s">
        <v>249</v>
      </c>
      <c r="C358" s="193" t="s">
        <v>264</v>
      </c>
      <c r="D358" s="175"/>
      <c r="E358" s="175"/>
      <c r="F358" s="175"/>
      <c r="G358" s="175"/>
      <c r="H358" s="175"/>
      <c r="I358" s="175"/>
      <c r="K358" s="99" t="s">
        <v>247</v>
      </c>
      <c r="P358" s="215"/>
      <c r="Q358" s="172"/>
      <c r="R358" s="172"/>
      <c r="S358" s="172"/>
      <c r="T358" s="172"/>
      <c r="U358" s="173"/>
    </row>
    <row r="359" spans="1:21" ht="16.95" customHeight="1" x14ac:dyDescent="0.3">
      <c r="A359" s="12" t="str">
        <f t="shared" ref="A359:A365" si="46">K349</f>
        <v>D2X</v>
      </c>
      <c r="C359" s="93">
        <f t="array" ref="C359:I365">MINVERSE(C349:I355)</f>
        <v>5.5896282205143134E-6</v>
      </c>
      <c r="D359" s="93">
        <v>2.8346452276694421E-6</v>
      </c>
      <c r="E359" s="93">
        <v>-6.4884124376581386E-7</v>
      </c>
      <c r="F359" s="93">
        <v>1.658860429425179E-6</v>
      </c>
      <c r="G359" s="93">
        <v>0</v>
      </c>
      <c r="H359" s="93">
        <v>2.1992871044179236E-6</v>
      </c>
      <c r="I359" s="93">
        <v>5.7233038507571925E-7</v>
      </c>
      <c r="K359" s="17">
        <f t="shared" ref="K359:K365" si="47">A349</f>
        <v>0</v>
      </c>
      <c r="P359" s="215"/>
      <c r="Q359" s="172"/>
      <c r="R359" s="172"/>
      <c r="S359" s="172"/>
      <c r="T359" s="172"/>
      <c r="U359" s="173"/>
    </row>
    <row r="360" spans="1:21" ht="16.95" customHeight="1" x14ac:dyDescent="0.3">
      <c r="A360" s="12" t="str">
        <f t="shared" si="46"/>
        <v>D4X</v>
      </c>
      <c r="C360" s="93">
        <v>2.8346452276694417E-6</v>
      </c>
      <c r="D360" s="93">
        <v>1.5037553344323829E-5</v>
      </c>
      <c r="E360" s="93">
        <v>2.8739742134647025E-6</v>
      </c>
      <c r="F360" s="93">
        <v>6.3566798570536677E-6</v>
      </c>
      <c r="G360" s="93">
        <v>0</v>
      </c>
      <c r="H360" s="93">
        <v>4.2522528922618125E-6</v>
      </c>
      <c r="I360" s="93">
        <v>-7.0792431204657858E-7</v>
      </c>
      <c r="K360" s="17">
        <f t="shared" si="47"/>
        <v>2500</v>
      </c>
      <c r="P360" s="215"/>
      <c r="Q360" s="172"/>
      <c r="R360" s="172"/>
      <c r="S360" s="172"/>
      <c r="T360" s="172"/>
      <c r="U360" s="173"/>
    </row>
    <row r="361" spans="1:21" ht="16.95" customHeight="1" x14ac:dyDescent="0.3">
      <c r="A361" s="12" t="str">
        <f t="shared" si="46"/>
        <v>D4Y</v>
      </c>
      <c r="C361" s="93">
        <v>-6.4884124376581375E-7</v>
      </c>
      <c r="D361" s="93">
        <v>2.8739742134647029E-6</v>
      </c>
      <c r="E361" s="93">
        <v>9.3420531064710501E-6</v>
      </c>
      <c r="F361" s="93">
        <v>1.1064093710655096E-6</v>
      </c>
      <c r="G361" s="93">
        <v>0</v>
      </c>
      <c r="H361" s="93">
        <v>4.8350529881775479E-7</v>
      </c>
      <c r="I361" s="93">
        <v>-3.015198468285539E-7</v>
      </c>
      <c r="K361" s="17">
        <f t="shared" si="47"/>
        <v>0</v>
      </c>
      <c r="P361" s="215"/>
      <c r="Q361" s="172"/>
      <c r="R361" s="172"/>
      <c r="S361" s="172"/>
      <c r="T361" s="172"/>
      <c r="U361" s="173"/>
    </row>
    <row r="362" spans="1:21" ht="16.95" customHeight="1" x14ac:dyDescent="0.3">
      <c r="A362" s="12" t="str">
        <f t="shared" si="46"/>
        <v>D5X</v>
      </c>
      <c r="B362" s="13" t="s">
        <v>220</v>
      </c>
      <c r="C362" s="93">
        <v>1.6588604294251788E-6</v>
      </c>
      <c r="D362" s="93">
        <v>6.356679857053666E-6</v>
      </c>
      <c r="E362" s="93">
        <v>1.1064093710655101E-6</v>
      </c>
      <c r="F362" s="93">
        <v>8.3616376670466394E-6</v>
      </c>
      <c r="G362" s="93">
        <v>0</v>
      </c>
      <c r="H362" s="93">
        <v>5.1284274352377736E-6</v>
      </c>
      <c r="I362" s="93">
        <v>-1.2543175256042389E-6</v>
      </c>
      <c r="K362" s="17">
        <f t="shared" si="47"/>
        <v>0</v>
      </c>
      <c r="P362" s="215"/>
      <c r="Q362" s="172"/>
      <c r="R362" s="172"/>
      <c r="S362" s="172"/>
      <c r="T362" s="172"/>
      <c r="U362" s="173"/>
    </row>
    <row r="363" spans="1:21" ht="16.95" customHeight="1" x14ac:dyDescent="0.3">
      <c r="A363" s="12" t="str">
        <f t="shared" si="46"/>
        <v>D5Y</v>
      </c>
      <c r="C363" s="93">
        <v>0</v>
      </c>
      <c r="D363" s="93">
        <v>0</v>
      </c>
      <c r="E363" s="93">
        <v>0</v>
      </c>
      <c r="F363" s="93">
        <v>0</v>
      </c>
      <c r="G363" s="93">
        <v>7.2448560715702695E-6</v>
      </c>
      <c r="H363" s="93">
        <v>0</v>
      </c>
      <c r="I363" s="93">
        <v>0</v>
      </c>
      <c r="K363" s="17">
        <f t="shared" si="47"/>
        <v>-8500</v>
      </c>
      <c r="P363" s="215"/>
      <c r="Q363" s="172"/>
      <c r="R363" s="172"/>
      <c r="S363" s="172"/>
      <c r="T363" s="172"/>
      <c r="U363" s="173"/>
    </row>
    <row r="364" spans="1:21" ht="16.95" customHeight="1" x14ac:dyDescent="0.3">
      <c r="A364" s="12" t="str">
        <f t="shared" si="46"/>
        <v>D6X</v>
      </c>
      <c r="C364" s="93">
        <v>2.1992871044179232E-6</v>
      </c>
      <c r="D364" s="93">
        <v>4.2522528922618125E-6</v>
      </c>
      <c r="E364" s="93">
        <v>4.8350529881775489E-7</v>
      </c>
      <c r="F364" s="93">
        <v>5.1284274352377736E-6</v>
      </c>
      <c r="G364" s="93">
        <v>0</v>
      </c>
      <c r="H364" s="93">
        <v>1.1310332254189004E-5</v>
      </c>
      <c r="I364" s="93">
        <v>-3.0983932266935261E-6</v>
      </c>
      <c r="K364" s="17">
        <f t="shared" si="47"/>
        <v>0</v>
      </c>
      <c r="P364" s="215"/>
      <c r="Q364" s="172"/>
      <c r="R364" s="172"/>
      <c r="S364" s="172"/>
      <c r="T364" s="172"/>
      <c r="U364" s="173"/>
    </row>
    <row r="365" spans="1:21" ht="16.95" customHeight="1" x14ac:dyDescent="0.3">
      <c r="A365" s="12" t="str">
        <f t="shared" si="46"/>
        <v>D6Y</v>
      </c>
      <c r="C365" s="93">
        <v>5.7233038507571946E-7</v>
      </c>
      <c r="D365" s="93">
        <v>-7.0792431204657826E-7</v>
      </c>
      <c r="E365" s="93">
        <v>-3.015198468285539E-7</v>
      </c>
      <c r="F365" s="93">
        <v>-1.2543175256042387E-6</v>
      </c>
      <c r="G365" s="93">
        <v>0</v>
      </c>
      <c r="H365" s="93">
        <v>-3.0983932266935261E-6</v>
      </c>
      <c r="I365" s="93">
        <v>9.3420531064710501E-6</v>
      </c>
      <c r="K365" s="17">
        <f t="shared" si="47"/>
        <v>0</v>
      </c>
      <c r="P365" s="215"/>
      <c r="Q365" s="172"/>
      <c r="R365" s="172"/>
      <c r="S365" s="172"/>
      <c r="T365" s="172"/>
      <c r="U365" s="173"/>
    </row>
    <row r="366" spans="1:21" ht="16.95" customHeight="1" x14ac:dyDescent="0.3">
      <c r="P366" s="215"/>
      <c r="Q366" s="172"/>
      <c r="R366" s="172"/>
      <c r="S366" s="172"/>
      <c r="T366" s="172"/>
      <c r="U366" s="173"/>
    </row>
    <row r="367" spans="1:21" ht="16.95" customHeight="1" x14ac:dyDescent="0.3">
      <c r="C367" s="218" t="s">
        <v>265</v>
      </c>
      <c r="D367" s="173"/>
      <c r="P367" s="215"/>
      <c r="Q367" s="172"/>
      <c r="R367" s="172"/>
      <c r="S367" s="172"/>
      <c r="T367" s="172"/>
      <c r="U367" s="173"/>
    </row>
    <row r="368" spans="1:21" ht="16.95" customHeight="1" x14ac:dyDescent="0.3">
      <c r="A368" s="99" t="s">
        <v>249</v>
      </c>
      <c r="C368" s="99" t="s">
        <v>266</v>
      </c>
      <c r="P368" s="215"/>
      <c r="Q368" s="172"/>
      <c r="R368" s="172"/>
      <c r="S368" s="172"/>
      <c r="T368" s="172"/>
      <c r="U368" s="173"/>
    </row>
    <row r="369" spans="1:21" ht="16.95" customHeight="1" x14ac:dyDescent="0.3">
      <c r="A369" s="12" t="str">
        <f t="shared" ref="A369:A375" si="48">A359</f>
        <v>D2X</v>
      </c>
      <c r="C369" s="94">
        <f t="array" ref="C369:C375">MMULT(C359:I365, K359:K365)</f>
        <v>7.0866130691736055E-3</v>
      </c>
      <c r="D369" s="12" t="s">
        <v>267</v>
      </c>
      <c r="P369" s="215"/>
      <c r="Q369" s="172"/>
      <c r="R369" s="172"/>
      <c r="S369" s="172"/>
      <c r="T369" s="172"/>
      <c r="U369" s="173"/>
    </row>
    <row r="370" spans="1:21" ht="16.95" customHeight="1" x14ac:dyDescent="0.3">
      <c r="A370" s="12" t="str">
        <f t="shared" si="48"/>
        <v>D4X</v>
      </c>
      <c r="C370" s="94">
        <v>3.7593883360809571E-2</v>
      </c>
      <c r="D370" s="12" t="s">
        <v>267</v>
      </c>
      <c r="P370" s="215"/>
      <c r="Q370" s="172"/>
      <c r="R370" s="172"/>
      <c r="S370" s="172"/>
      <c r="T370" s="172"/>
      <c r="U370" s="173"/>
    </row>
    <row r="371" spans="1:21" ht="16.95" customHeight="1" x14ac:dyDescent="0.3">
      <c r="A371" s="12" t="str">
        <f t="shared" si="48"/>
        <v>D4Y</v>
      </c>
      <c r="C371" s="94">
        <v>7.1849355336617571E-3</v>
      </c>
      <c r="D371" s="12" t="s">
        <v>267</v>
      </c>
      <c r="P371" s="215"/>
      <c r="Q371" s="172"/>
      <c r="R371" s="172"/>
      <c r="S371" s="172"/>
      <c r="T371" s="172"/>
      <c r="U371" s="173"/>
    </row>
    <row r="372" spans="1:21" ht="16.95" customHeight="1" x14ac:dyDescent="0.3">
      <c r="A372" s="12" t="str">
        <f t="shared" si="48"/>
        <v>D5X</v>
      </c>
      <c r="B372" s="13" t="s">
        <v>220</v>
      </c>
      <c r="C372" s="94">
        <v>1.5891699642634167E-2</v>
      </c>
      <c r="D372" s="12" t="s">
        <v>267</v>
      </c>
      <c r="P372" s="215"/>
      <c r="Q372" s="172"/>
      <c r="R372" s="172"/>
      <c r="S372" s="172"/>
      <c r="T372" s="172"/>
      <c r="U372" s="173"/>
    </row>
    <row r="373" spans="1:21" ht="16.95" customHeight="1" x14ac:dyDescent="0.3">
      <c r="A373" s="12" t="str">
        <f t="shared" si="48"/>
        <v>D5Y</v>
      </c>
      <c r="C373" s="94">
        <v>-6.1581276608347293E-2</v>
      </c>
      <c r="D373" s="12" t="s">
        <v>267</v>
      </c>
      <c r="P373" s="215"/>
      <c r="Q373" s="172"/>
      <c r="R373" s="172"/>
      <c r="S373" s="172"/>
      <c r="T373" s="172"/>
      <c r="U373" s="173"/>
    </row>
    <row r="374" spans="1:21" ht="16.95" customHeight="1" x14ac:dyDescent="0.3">
      <c r="A374" s="12" t="str">
        <f t="shared" si="48"/>
        <v>D6X</v>
      </c>
      <c r="C374" s="94">
        <v>1.0630632230654531E-2</v>
      </c>
      <c r="D374" s="12" t="s">
        <v>267</v>
      </c>
      <c r="P374" s="215"/>
      <c r="Q374" s="172"/>
      <c r="R374" s="172"/>
      <c r="S374" s="172"/>
      <c r="T374" s="172"/>
      <c r="U374" s="173"/>
    </row>
    <row r="375" spans="1:21" ht="16.95" customHeight="1" x14ac:dyDescent="0.3">
      <c r="A375" s="12" t="str">
        <f t="shared" si="48"/>
        <v>D6Y</v>
      </c>
      <c r="C375" s="94">
        <v>-1.7698107801164458E-3</v>
      </c>
      <c r="D375" s="12" t="s">
        <v>267</v>
      </c>
      <c r="P375" s="215"/>
      <c r="Q375" s="172"/>
      <c r="R375" s="172"/>
      <c r="S375" s="172"/>
      <c r="T375" s="172"/>
      <c r="U375" s="173"/>
    </row>
    <row r="378" spans="1:21" ht="19.95" customHeight="1" x14ac:dyDescent="0.35">
      <c r="A378" s="11" t="s">
        <v>268</v>
      </c>
      <c r="P378" s="216" t="s">
        <v>269</v>
      </c>
      <c r="Q378" s="172"/>
      <c r="R378" s="172"/>
      <c r="S378" s="172"/>
      <c r="T378" s="172"/>
      <c r="U378" s="173"/>
    </row>
    <row r="379" spans="1:21" ht="16.95" customHeight="1" x14ac:dyDescent="0.3">
      <c r="A379" s="99" t="s">
        <v>247</v>
      </c>
      <c r="K379" s="99" t="s">
        <v>249</v>
      </c>
      <c r="P379" s="215" t="s">
        <v>389</v>
      </c>
      <c r="Q379" s="172"/>
      <c r="R379" s="172"/>
      <c r="S379" s="172"/>
      <c r="T379" s="172"/>
      <c r="U379" s="173"/>
    </row>
    <row r="380" spans="1:21" ht="16.95" customHeight="1" x14ac:dyDescent="0.3">
      <c r="A380" s="18" t="str">
        <f>INDEX(B$303:B$314, MATCH(L380, C$303:C$314, 0))</f>
        <v>C1X</v>
      </c>
      <c r="C380" s="9">
        <f t="shared" ref="C380:I384" si="49">INDEX($B$288:$M$299, MATCH($L380, $N$288:$N$299, 0), MATCH(C$348, $B$287:$M$287, 0))</f>
        <v>-72000</v>
      </c>
      <c r="D380" s="9">
        <f t="shared" si="49"/>
        <v>0</v>
      </c>
      <c r="E380" s="9">
        <f t="shared" si="49"/>
        <v>0</v>
      </c>
      <c r="F380" s="9">
        <f t="shared" si="49"/>
        <v>-37244.611988207653</v>
      </c>
      <c r="G380" s="9">
        <f t="shared" si="49"/>
        <v>-27667.426048382826</v>
      </c>
      <c r="H380" s="9">
        <f t="shared" si="49"/>
        <v>-29655.993181944516</v>
      </c>
      <c r="I380" s="9">
        <f t="shared" si="49"/>
        <v>-11015.083181865106</v>
      </c>
      <c r="K380" s="95">
        <f t="shared" ref="K380:K386" si="50">C369</f>
        <v>7.0866130691736055E-3</v>
      </c>
      <c r="L380" s="14" t="str">
        <f>INDEX(C$317:C$328, MATCH(1, G$317:G$328, 0))</f>
        <v>U1X</v>
      </c>
      <c r="P380" s="215" t="s">
        <v>390</v>
      </c>
      <c r="Q380" s="172"/>
      <c r="R380" s="172"/>
      <c r="S380" s="172"/>
      <c r="T380" s="172"/>
      <c r="U380" s="173"/>
    </row>
    <row r="381" spans="1:21" ht="16.95" customHeight="1" x14ac:dyDescent="0.3">
      <c r="A381" s="18" t="str">
        <f>INDEX(B$303:B$314, MATCH(L381, C$303:C$314, 0))</f>
        <v>C1Y</v>
      </c>
      <c r="C381" s="9">
        <f t="shared" si="49"/>
        <v>0</v>
      </c>
      <c r="D381" s="9">
        <f t="shared" si="49"/>
        <v>0</v>
      </c>
      <c r="E381" s="9">
        <f t="shared" si="49"/>
        <v>-96923.076923076922</v>
      </c>
      <c r="F381" s="9">
        <f t="shared" si="49"/>
        <v>-27667.426048382826</v>
      </c>
      <c r="G381" s="9">
        <f t="shared" si="49"/>
        <v>-20552.945064512958</v>
      </c>
      <c r="H381" s="9">
        <f t="shared" si="49"/>
        <v>-11015.083181865106</v>
      </c>
      <c r="I381" s="9">
        <f t="shared" si="49"/>
        <v>-4091.3166104070388</v>
      </c>
      <c r="K381" s="95">
        <f t="shared" si="50"/>
        <v>3.7593883360809571E-2</v>
      </c>
      <c r="L381" s="14" t="str">
        <f>INDEX(C$317:C$328, MATCH(2, G$317:G$328, 0))</f>
        <v>U1Y</v>
      </c>
      <c r="P381" s="215" t="s">
        <v>391</v>
      </c>
      <c r="Q381" s="172"/>
      <c r="R381" s="172"/>
      <c r="S381" s="172"/>
      <c r="T381" s="172"/>
      <c r="U381" s="173"/>
    </row>
    <row r="382" spans="1:21" ht="16.95" customHeight="1" x14ac:dyDescent="0.3">
      <c r="A382" s="18" t="str">
        <f>INDEX(B$303:B$314, MATCH(L382, C$303:C$314, 0))</f>
        <v>C2Y</v>
      </c>
      <c r="B382" s="13" t="s">
        <v>220</v>
      </c>
      <c r="C382" s="9">
        <f t="shared" si="49"/>
        <v>0</v>
      </c>
      <c r="D382" s="9">
        <f t="shared" si="49"/>
        <v>27667.426048382826</v>
      </c>
      <c r="E382" s="9">
        <f t="shared" si="49"/>
        <v>-20552.945064512958</v>
      </c>
      <c r="F382" s="9">
        <f t="shared" si="49"/>
        <v>0</v>
      </c>
      <c r="G382" s="9">
        <f t="shared" si="49"/>
        <v>-96923.076923076922</v>
      </c>
      <c r="H382" s="9">
        <f t="shared" si="49"/>
        <v>-27667.426048382826</v>
      </c>
      <c r="I382" s="9">
        <f t="shared" si="49"/>
        <v>-20552.945064512958</v>
      </c>
      <c r="K382" s="95">
        <f t="shared" si="50"/>
        <v>7.1849355336617571E-3</v>
      </c>
      <c r="L382" s="14" t="str">
        <f>INDEX(C$317:C$328, MATCH(3, G$317:G$328, 0))</f>
        <v>U2Y</v>
      </c>
      <c r="P382" s="215" t="s">
        <v>392</v>
      </c>
      <c r="Q382" s="172"/>
      <c r="R382" s="172"/>
      <c r="S382" s="172"/>
      <c r="T382" s="172"/>
      <c r="U382" s="173"/>
    </row>
    <row r="383" spans="1:21" ht="16.95" customHeight="1" x14ac:dyDescent="0.3">
      <c r="A383" s="18" t="str">
        <f>INDEX(B$303:B$314, MATCH(L383, C$303:C$314, 0))</f>
        <v>C3X</v>
      </c>
      <c r="C383" s="9">
        <f t="shared" si="49"/>
        <v>-72000</v>
      </c>
      <c r="D383" s="9">
        <f t="shared" si="49"/>
        <v>0</v>
      </c>
      <c r="E383" s="9">
        <f t="shared" si="49"/>
        <v>0</v>
      </c>
      <c r="F383" s="9">
        <f t="shared" si="49"/>
        <v>-37244.611988207653</v>
      </c>
      <c r="G383" s="9">
        <f t="shared" si="49"/>
        <v>27667.426048382826</v>
      </c>
      <c r="H383" s="9">
        <f t="shared" si="49"/>
        <v>0</v>
      </c>
      <c r="I383" s="9">
        <f t="shared" si="49"/>
        <v>0</v>
      </c>
      <c r="K383" s="95">
        <f t="shared" si="50"/>
        <v>1.5891699642634167E-2</v>
      </c>
      <c r="L383" s="14" t="str">
        <f>INDEX(C$317:C$328, MATCH(4, G$317:G$328, 0))</f>
        <v>U3X</v>
      </c>
      <c r="P383" s="215" t="s">
        <v>393</v>
      </c>
      <c r="Q383" s="172"/>
      <c r="R383" s="172"/>
      <c r="S383" s="172"/>
      <c r="T383" s="172"/>
      <c r="U383" s="173"/>
    </row>
    <row r="384" spans="1:21" ht="16.95" customHeight="1" x14ac:dyDescent="0.3">
      <c r="A384" s="18" t="str">
        <f>INDEX(B$303:B$314, MATCH(L384, C$303:C$314, 0))</f>
        <v>C3Y</v>
      </c>
      <c r="C384" s="9">
        <f t="shared" si="49"/>
        <v>0</v>
      </c>
      <c r="D384" s="9">
        <f t="shared" si="49"/>
        <v>0</v>
      </c>
      <c r="E384" s="9">
        <f t="shared" si="49"/>
        <v>0</v>
      </c>
      <c r="F384" s="9">
        <f t="shared" si="49"/>
        <v>27667.426048382826</v>
      </c>
      <c r="G384" s="9">
        <f t="shared" si="49"/>
        <v>-20552.945064512958</v>
      </c>
      <c r="H384" s="9">
        <f t="shared" si="49"/>
        <v>0</v>
      </c>
      <c r="I384" s="9">
        <f t="shared" si="49"/>
        <v>-96923.076923076922</v>
      </c>
      <c r="K384" s="95">
        <f t="shared" si="50"/>
        <v>-6.1581276608347293E-2</v>
      </c>
      <c r="L384" s="14" t="str">
        <f>INDEX(C$317:C$328, MATCH(5, G$317:G$328, 0))</f>
        <v>U3Y</v>
      </c>
      <c r="P384" s="215" t="s">
        <v>394</v>
      </c>
      <c r="Q384" s="172"/>
      <c r="R384" s="172"/>
      <c r="S384" s="172"/>
      <c r="T384" s="172"/>
      <c r="U384" s="173"/>
    </row>
    <row r="385" spans="1:21" ht="16.95" customHeight="1" x14ac:dyDescent="0.3">
      <c r="K385" s="95">
        <f t="shared" si="50"/>
        <v>1.0630632230654531E-2</v>
      </c>
      <c r="P385" s="215"/>
      <c r="Q385" s="172"/>
      <c r="R385" s="172"/>
      <c r="S385" s="172"/>
      <c r="T385" s="172"/>
      <c r="U385" s="173"/>
    </row>
    <row r="386" spans="1:21" ht="16.95" customHeight="1" x14ac:dyDescent="0.3">
      <c r="K386" s="95">
        <f t="shared" si="50"/>
        <v>-1.7698107801164458E-3</v>
      </c>
      <c r="P386" s="215"/>
      <c r="Q386" s="172"/>
      <c r="R386" s="172"/>
      <c r="S386" s="172"/>
      <c r="T386" s="172"/>
      <c r="U386" s="173"/>
    </row>
    <row r="387" spans="1:21" ht="16.95" customHeight="1" x14ac:dyDescent="0.3">
      <c r="P387" s="215"/>
      <c r="Q387" s="172"/>
      <c r="R387" s="172"/>
      <c r="S387" s="172"/>
      <c r="T387" s="172"/>
      <c r="U387" s="173"/>
    </row>
    <row r="388" spans="1:21" ht="16.95" customHeight="1" x14ac:dyDescent="0.3">
      <c r="A388" s="12" t="str">
        <f>A380</f>
        <v>C1X</v>
      </c>
      <c r="C388" s="17">
        <f t="array" ref="C388:C392">MMULT(C380:I384, K380:K386)</f>
        <v>305.91174453000241</v>
      </c>
      <c r="D388" s="12" t="s">
        <v>273</v>
      </c>
      <c r="P388" s="215"/>
      <c r="Q388" s="172"/>
      <c r="R388" s="172"/>
      <c r="S388" s="172"/>
      <c r="T388" s="172"/>
      <c r="U388" s="173"/>
    </row>
    <row r="389" spans="1:21" ht="16.95" customHeight="1" x14ac:dyDescent="0.3">
      <c r="A389" s="12" t="str">
        <f>A381</f>
        <v>C1Y</v>
      </c>
      <c r="C389" s="17">
        <v>19.751669017290929</v>
      </c>
      <c r="D389" s="12" t="s">
        <v>273</v>
      </c>
      <c r="P389" s="215"/>
      <c r="Q389" s="172"/>
      <c r="R389" s="172"/>
      <c r="S389" s="172"/>
      <c r="T389" s="172"/>
      <c r="U389" s="173"/>
    </row>
    <row r="390" spans="1:21" ht="16.95" customHeight="1" x14ac:dyDescent="0.3">
      <c r="A390" s="12" t="str">
        <f>A382</f>
        <v>C2Y</v>
      </c>
      <c r="B390" s="13" t="s">
        <v>220</v>
      </c>
      <c r="C390" s="17">
        <v>6603.3538048225601</v>
      </c>
      <c r="D390" s="12" t="s">
        <v>273</v>
      </c>
      <c r="P390" s="215"/>
      <c r="Q390" s="172"/>
      <c r="R390" s="172"/>
      <c r="S390" s="172"/>
      <c r="T390" s="172"/>
      <c r="U390" s="173"/>
    </row>
    <row r="391" spans="1:21" ht="16.95" customHeight="1" x14ac:dyDescent="0.3">
      <c r="A391" s="12" t="str">
        <f>A383</f>
        <v>C3X</v>
      </c>
      <c r="C391" s="17">
        <v>-2805.9117445300035</v>
      </c>
      <c r="D391" s="12" t="s">
        <v>273</v>
      </c>
      <c r="P391" s="215"/>
      <c r="Q391" s="172"/>
      <c r="R391" s="172"/>
      <c r="S391" s="172"/>
      <c r="T391" s="172"/>
      <c r="U391" s="173"/>
    </row>
    <row r="392" spans="1:21" ht="16.95" customHeight="1" x14ac:dyDescent="0.3">
      <c r="A392" s="12" t="str">
        <f>A384</f>
        <v>C3Y</v>
      </c>
      <c r="C392" s="17">
        <v>1876.8945261601484</v>
      </c>
      <c r="D392" s="12" t="s">
        <v>273</v>
      </c>
      <c r="P392" s="215"/>
      <c r="Q392" s="172"/>
      <c r="R392" s="172"/>
      <c r="S392" s="172"/>
      <c r="T392" s="172"/>
      <c r="U392" s="173"/>
    </row>
    <row r="395" spans="1:21" ht="19.95" customHeight="1" x14ac:dyDescent="0.35">
      <c r="A395" s="11" t="s">
        <v>274</v>
      </c>
    </row>
    <row r="397" spans="1:21" ht="19.05" customHeight="1" x14ac:dyDescent="0.3">
      <c r="A397" s="12" t="s">
        <v>228</v>
      </c>
      <c r="B397" s="12" t="s">
        <v>178</v>
      </c>
      <c r="D397" s="94">
        <f t="shared" ref="D397:D408" si="51">IFERROR(INDEX(C$369:C$375, MATCH(A397, A$369:A$375, 0)), 0)</f>
        <v>0</v>
      </c>
    </row>
    <row r="398" spans="1:21" ht="19.05" customHeight="1" x14ac:dyDescent="0.3">
      <c r="A398" s="12" t="s">
        <v>229</v>
      </c>
      <c r="B398" s="12" t="s">
        <v>179</v>
      </c>
      <c r="D398" s="94">
        <f t="shared" si="51"/>
        <v>0</v>
      </c>
    </row>
    <row r="399" spans="1:21" ht="19.05" customHeight="1" x14ac:dyDescent="0.3">
      <c r="A399" s="12" t="s">
        <v>230</v>
      </c>
      <c r="B399" s="12" t="s">
        <v>180</v>
      </c>
      <c r="D399" s="94">
        <f t="shared" si="51"/>
        <v>7.0866130691736055E-3</v>
      </c>
    </row>
    <row r="400" spans="1:21" ht="19.05" customHeight="1" x14ac:dyDescent="0.3">
      <c r="A400" s="12" t="s">
        <v>231</v>
      </c>
      <c r="B400" s="12" t="s">
        <v>181</v>
      </c>
      <c r="D400" s="94">
        <f t="shared" si="51"/>
        <v>0</v>
      </c>
    </row>
    <row r="401" spans="1:21" ht="19.05" customHeight="1" x14ac:dyDescent="0.3">
      <c r="A401" s="12" t="s">
        <v>232</v>
      </c>
      <c r="B401" s="12" t="s">
        <v>182</v>
      </c>
      <c r="D401" s="94">
        <f t="shared" si="51"/>
        <v>0</v>
      </c>
    </row>
    <row r="402" spans="1:21" ht="19.05" customHeight="1" x14ac:dyDescent="0.3">
      <c r="A402" s="12" t="s">
        <v>234</v>
      </c>
      <c r="B402" s="12" t="s">
        <v>183</v>
      </c>
      <c r="D402" s="94">
        <f t="shared" si="51"/>
        <v>0</v>
      </c>
    </row>
    <row r="403" spans="1:21" ht="19.05" customHeight="1" x14ac:dyDescent="0.3">
      <c r="A403" s="12" t="s">
        <v>235</v>
      </c>
      <c r="B403" s="12" t="s">
        <v>184</v>
      </c>
      <c r="D403" s="94">
        <f t="shared" si="51"/>
        <v>3.7593883360809571E-2</v>
      </c>
    </row>
    <row r="404" spans="1:21" ht="19.05" customHeight="1" x14ac:dyDescent="0.3">
      <c r="A404" s="12" t="s">
        <v>236</v>
      </c>
      <c r="B404" s="12" t="s">
        <v>185</v>
      </c>
      <c r="D404" s="94">
        <f t="shared" si="51"/>
        <v>7.1849355336617571E-3</v>
      </c>
    </row>
    <row r="405" spans="1:21" ht="19.05" customHeight="1" x14ac:dyDescent="0.3">
      <c r="A405" s="12" t="s">
        <v>237</v>
      </c>
      <c r="B405" s="12" t="s">
        <v>186</v>
      </c>
      <c r="D405" s="94">
        <f t="shared" si="51"/>
        <v>1.5891699642634167E-2</v>
      </c>
    </row>
    <row r="406" spans="1:21" ht="19.05" customHeight="1" x14ac:dyDescent="0.3">
      <c r="A406" s="12" t="s">
        <v>238</v>
      </c>
      <c r="B406" s="12" t="s">
        <v>187</v>
      </c>
      <c r="D406" s="94">
        <f t="shared" si="51"/>
        <v>-6.1581276608347293E-2</v>
      </c>
    </row>
    <row r="407" spans="1:21" ht="19.05" customHeight="1" x14ac:dyDescent="0.3">
      <c r="A407" s="12" t="s">
        <v>239</v>
      </c>
      <c r="B407" s="12" t="s">
        <v>188</v>
      </c>
      <c r="D407" s="94">
        <f t="shared" si="51"/>
        <v>1.0630632230654531E-2</v>
      </c>
    </row>
    <row r="408" spans="1:21" ht="19.05" customHeight="1" x14ac:dyDescent="0.3">
      <c r="A408" s="12" t="s">
        <v>240</v>
      </c>
      <c r="B408" s="12" t="s">
        <v>189</v>
      </c>
      <c r="D408" s="94">
        <f t="shared" si="51"/>
        <v>-1.7698107801164458E-3</v>
      </c>
    </row>
    <row r="411" spans="1:21" ht="19.95" customHeight="1" x14ac:dyDescent="0.35">
      <c r="A411" s="11" t="s">
        <v>275</v>
      </c>
      <c r="P411" s="216" t="s">
        <v>276</v>
      </c>
      <c r="Q411" s="172"/>
      <c r="R411" s="172"/>
      <c r="S411" s="172"/>
      <c r="T411" s="172"/>
      <c r="U411" s="173"/>
    </row>
    <row r="412" spans="1:21" ht="16.95" customHeight="1" x14ac:dyDescent="0.3">
      <c r="P412" s="215" t="s">
        <v>395</v>
      </c>
      <c r="Q412" s="172"/>
      <c r="R412" s="172"/>
      <c r="S412" s="172"/>
      <c r="T412" s="172"/>
      <c r="U412" s="173"/>
    </row>
    <row r="413" spans="1:21" ht="16.95" customHeight="1" x14ac:dyDescent="0.3">
      <c r="A413" s="19" t="s">
        <v>278</v>
      </c>
      <c r="C413" s="19" t="s">
        <v>279</v>
      </c>
      <c r="D413" s="19" t="s">
        <v>280</v>
      </c>
      <c r="E413" s="19" t="s">
        <v>279</v>
      </c>
      <c r="F413" s="19" t="s">
        <v>280</v>
      </c>
      <c r="G413" s="19" t="s">
        <v>249</v>
      </c>
      <c r="P413" s="215" t="s">
        <v>396</v>
      </c>
      <c r="Q413" s="172"/>
      <c r="R413" s="172"/>
      <c r="S413" s="172"/>
      <c r="T413" s="172"/>
      <c r="U413" s="173"/>
    </row>
    <row r="414" spans="1:21" ht="16.95" customHeight="1" x14ac:dyDescent="0.3">
      <c r="C414" s="19" t="s">
        <v>282</v>
      </c>
      <c r="D414" s="19" t="s">
        <v>282</v>
      </c>
      <c r="E414" s="19" t="s">
        <v>283</v>
      </c>
      <c r="F414" s="19" t="s">
        <v>283</v>
      </c>
      <c r="P414" s="215" t="s">
        <v>397</v>
      </c>
      <c r="Q414" s="172"/>
      <c r="R414" s="172"/>
      <c r="S414" s="172"/>
      <c r="T414" s="172"/>
      <c r="U414" s="173"/>
    </row>
    <row r="415" spans="1:21" ht="16.95" customHeight="1" x14ac:dyDescent="0.3">
      <c r="A415" s="17">
        <f>N6</f>
        <v>72000</v>
      </c>
      <c r="C415" s="92">
        <f>-J6</f>
        <v>-1</v>
      </c>
      <c r="D415" s="92">
        <f>-K6</f>
        <v>0</v>
      </c>
      <c r="E415" s="92">
        <f>J6</f>
        <v>1</v>
      </c>
      <c r="F415" s="92">
        <f>K6</f>
        <v>0</v>
      </c>
      <c r="G415" s="96">
        <f>IFERROR(VLOOKUP(H415, A$397:D$408, 4, FALSE), 0)</f>
        <v>0</v>
      </c>
      <c r="H415" s="12" t="str">
        <f>"D" &amp; C21 &amp; "X"</f>
        <v>D1X</v>
      </c>
      <c r="P415" s="215" t="s">
        <v>398</v>
      </c>
      <c r="Q415" s="172"/>
      <c r="R415" s="172"/>
      <c r="S415" s="172"/>
      <c r="T415" s="172"/>
      <c r="U415" s="173"/>
    </row>
    <row r="416" spans="1:21" ht="16.95" customHeight="1" x14ac:dyDescent="0.3">
      <c r="A416" s="99" t="s">
        <v>285</v>
      </c>
      <c r="B416" s="97">
        <f>(MMULT(C415:F415, G415:G418)*A415)</f>
        <v>510.23614098049961</v>
      </c>
      <c r="G416" s="96">
        <f>IFERROR(VLOOKUP(H416, A$397:D$408, 4, FALSE), 0)</f>
        <v>0</v>
      </c>
      <c r="H416" s="12" t="str">
        <f>"D" &amp; D21 &amp; "Y"</f>
        <v>D1Y</v>
      </c>
      <c r="P416" s="215" t="s">
        <v>399</v>
      </c>
      <c r="Q416" s="172"/>
      <c r="R416" s="172"/>
      <c r="S416" s="172"/>
      <c r="T416" s="172"/>
      <c r="U416" s="173"/>
    </row>
    <row r="417" spans="1:21" ht="16.95" customHeight="1" x14ac:dyDescent="0.3">
      <c r="G417" s="96">
        <f>IFERROR(VLOOKUP(H417, A$397:D$408, 4, FALSE), 0)</f>
        <v>7.0866130691736055E-3</v>
      </c>
      <c r="H417" s="12" t="str">
        <f>"D" &amp; E21 &amp; "X"</f>
        <v>D2X</v>
      </c>
      <c r="P417" s="215" t="s">
        <v>400</v>
      </c>
      <c r="Q417" s="172"/>
      <c r="R417" s="172"/>
      <c r="S417" s="172"/>
      <c r="T417" s="172"/>
      <c r="U417" s="173"/>
    </row>
    <row r="418" spans="1:21" ht="16.95" customHeight="1" x14ac:dyDescent="0.3">
      <c r="G418" s="96">
        <f>IFERROR(VLOOKUP(H418, A$397:D$408, 4, FALSE), 0)</f>
        <v>0</v>
      </c>
      <c r="H418" s="12" t="str">
        <f>"D" &amp; F21 &amp; "Y"</f>
        <v>D2Y</v>
      </c>
      <c r="P418" s="215" t="s">
        <v>401</v>
      </c>
      <c r="Q418" s="172"/>
      <c r="R418" s="172"/>
      <c r="S418" s="172"/>
      <c r="T418" s="172"/>
      <c r="U418" s="173"/>
    </row>
    <row r="419" spans="1:21" ht="16.95" customHeight="1" x14ac:dyDescent="0.3">
      <c r="B419" s="99" t="s">
        <v>273</v>
      </c>
      <c r="C419" s="178" t="str">
        <f>IF(B416&gt;0.001,"BARRA A TRACCIÓN (+)",IF(B416&lt;-0.001,"BARRA A COMPRESIÓN (-)","BARRA DE FUERZA NULA"))</f>
        <v>BARRA A TRACCIÓN (+)</v>
      </c>
      <c r="D419" s="172"/>
      <c r="E419" s="172"/>
      <c r="F419" s="173"/>
      <c r="P419" s="215" t="s">
        <v>402</v>
      </c>
      <c r="Q419" s="172"/>
      <c r="R419" s="172"/>
      <c r="S419" s="172"/>
      <c r="T419" s="172"/>
      <c r="U419" s="173"/>
    </row>
    <row r="420" spans="1:21" ht="16.95" customHeight="1" x14ac:dyDescent="0.3">
      <c r="P420" s="215" t="s">
        <v>403</v>
      </c>
      <c r="Q420" s="172"/>
      <c r="R420" s="172"/>
      <c r="S420" s="172"/>
      <c r="T420" s="172"/>
      <c r="U420" s="173"/>
    </row>
    <row r="421" spans="1:21" ht="16.95" customHeight="1" x14ac:dyDescent="0.3">
      <c r="A421" s="19" t="s">
        <v>278</v>
      </c>
      <c r="C421" s="19" t="s">
        <v>279</v>
      </c>
      <c r="D421" s="19" t="s">
        <v>280</v>
      </c>
      <c r="E421" s="19" t="s">
        <v>279</v>
      </c>
      <c r="F421" s="19" t="s">
        <v>280</v>
      </c>
      <c r="G421" s="19" t="s">
        <v>249</v>
      </c>
      <c r="P421" s="215"/>
      <c r="Q421" s="172"/>
      <c r="R421" s="172"/>
      <c r="S421" s="172"/>
      <c r="T421" s="172"/>
      <c r="U421" s="173"/>
    </row>
    <row r="422" spans="1:21" ht="16.95" customHeight="1" x14ac:dyDescent="0.3">
      <c r="C422" s="19" t="s">
        <v>282</v>
      </c>
      <c r="D422" s="19" t="s">
        <v>282</v>
      </c>
      <c r="E422" s="19" t="s">
        <v>283</v>
      </c>
      <c r="F422" s="19" t="s">
        <v>283</v>
      </c>
      <c r="P422" s="215"/>
      <c r="Q422" s="172"/>
      <c r="R422" s="172"/>
      <c r="S422" s="172"/>
      <c r="T422" s="172"/>
      <c r="U422" s="173"/>
    </row>
    <row r="423" spans="1:21" ht="16.95" customHeight="1" x14ac:dyDescent="0.3">
      <c r="A423" s="17">
        <f>N7</f>
        <v>72000</v>
      </c>
      <c r="C423" s="92">
        <f>-J7</f>
        <v>-1</v>
      </c>
      <c r="D423" s="92">
        <f>-K7</f>
        <v>0</v>
      </c>
      <c r="E423" s="92">
        <f>J7</f>
        <v>1</v>
      </c>
      <c r="F423" s="92">
        <f>K7</f>
        <v>0</v>
      </c>
      <c r="G423" s="96">
        <f>IFERROR(VLOOKUP(H423, A$397:D$408, 4, FALSE), 0)</f>
        <v>7.0866130691736055E-3</v>
      </c>
      <c r="H423" s="12" t="str">
        <f>"D" &amp; C22 &amp; "X"</f>
        <v>D2X</v>
      </c>
      <c r="P423" s="215"/>
      <c r="Q423" s="172"/>
      <c r="R423" s="172"/>
      <c r="S423" s="172"/>
      <c r="T423" s="172"/>
      <c r="U423" s="173"/>
    </row>
    <row r="424" spans="1:21" ht="16.95" customHeight="1" x14ac:dyDescent="0.3">
      <c r="A424" s="99" t="s">
        <v>286</v>
      </c>
      <c r="B424" s="97">
        <f>(MMULT(C423:F423, G423:G426)*A423)</f>
        <v>-510.23614098049961</v>
      </c>
      <c r="G424" s="96">
        <f>IFERROR(VLOOKUP(H424, A$397:D$408, 4, FALSE), 0)</f>
        <v>0</v>
      </c>
      <c r="H424" s="12" t="str">
        <f>"D" &amp; D22 &amp; "Y"</f>
        <v>D2Y</v>
      </c>
      <c r="P424" s="215"/>
      <c r="Q424" s="172"/>
      <c r="R424" s="172"/>
      <c r="S424" s="172"/>
      <c r="T424" s="172"/>
      <c r="U424" s="173"/>
    </row>
    <row r="425" spans="1:21" ht="16.95" customHeight="1" x14ac:dyDescent="0.3">
      <c r="G425" s="96">
        <f>IFERROR(VLOOKUP(H425, A$397:D$408, 4, FALSE), 0)</f>
        <v>0</v>
      </c>
      <c r="H425" s="12" t="str">
        <f>"D" &amp; E22 &amp; "X"</f>
        <v>D3X</v>
      </c>
      <c r="P425" s="215"/>
      <c r="Q425" s="172"/>
      <c r="R425" s="172"/>
      <c r="S425" s="172"/>
      <c r="T425" s="172"/>
      <c r="U425" s="173"/>
    </row>
    <row r="426" spans="1:21" ht="16.95" customHeight="1" x14ac:dyDescent="0.3">
      <c r="G426" s="96">
        <f>IFERROR(VLOOKUP(H426, A$397:D$408, 4, FALSE), 0)</f>
        <v>0</v>
      </c>
      <c r="H426" s="12" t="str">
        <f>"D" &amp; F22 &amp; "Y"</f>
        <v>D3Y</v>
      </c>
      <c r="P426" s="215"/>
      <c r="Q426" s="172"/>
      <c r="R426" s="172"/>
      <c r="S426" s="172"/>
      <c r="T426" s="172"/>
      <c r="U426" s="173"/>
    </row>
    <row r="427" spans="1:21" ht="16.95" customHeight="1" x14ac:dyDescent="0.3">
      <c r="B427" s="99" t="s">
        <v>273</v>
      </c>
      <c r="C427" s="178" t="str">
        <f>IF(B424&gt;0.001,"BARRA A TRACCIÓN (+)",IF(B424&lt;-0.001,"BARRA A COMPRESIÓN (-)","BARRA DE FUERZA NULA"))</f>
        <v>BARRA A COMPRESIÓN (-)</v>
      </c>
      <c r="D427" s="172"/>
      <c r="E427" s="172"/>
      <c r="F427" s="173"/>
      <c r="P427" s="215"/>
      <c r="Q427" s="172"/>
      <c r="R427" s="172"/>
      <c r="S427" s="172"/>
      <c r="T427" s="172"/>
      <c r="U427" s="173"/>
    </row>
    <row r="428" spans="1:21" ht="16.95" customHeight="1" x14ac:dyDescent="0.3">
      <c r="P428" s="215"/>
      <c r="Q428" s="172"/>
      <c r="R428" s="172"/>
      <c r="S428" s="172"/>
      <c r="T428" s="172"/>
      <c r="U428" s="173"/>
    </row>
    <row r="429" spans="1:21" ht="16.95" customHeight="1" x14ac:dyDescent="0.3">
      <c r="A429" s="19" t="s">
        <v>278</v>
      </c>
      <c r="C429" s="19" t="s">
        <v>279</v>
      </c>
      <c r="D429" s="19" t="s">
        <v>280</v>
      </c>
      <c r="E429" s="19" t="s">
        <v>279</v>
      </c>
      <c r="F429" s="19" t="s">
        <v>280</v>
      </c>
      <c r="G429" s="19" t="s">
        <v>249</v>
      </c>
      <c r="P429" s="215"/>
      <c r="Q429" s="172"/>
      <c r="R429" s="172"/>
      <c r="S429" s="172"/>
      <c r="T429" s="172"/>
      <c r="U429" s="173"/>
    </row>
    <row r="430" spans="1:21" ht="16.95" customHeight="1" x14ac:dyDescent="0.3">
      <c r="C430" s="19" t="s">
        <v>282</v>
      </c>
      <c r="D430" s="19" t="s">
        <v>282</v>
      </c>
      <c r="E430" s="19" t="s">
        <v>283</v>
      </c>
      <c r="F430" s="19" t="s">
        <v>283</v>
      </c>
      <c r="P430" s="215"/>
      <c r="Q430" s="172"/>
      <c r="R430" s="172"/>
      <c r="S430" s="172"/>
      <c r="T430" s="172"/>
      <c r="U430" s="173"/>
    </row>
    <row r="431" spans="1:21" ht="16.95" customHeight="1" x14ac:dyDescent="0.3">
      <c r="A431" s="17">
        <f>N8</f>
        <v>72000</v>
      </c>
      <c r="C431" s="92">
        <f>-J8</f>
        <v>-1</v>
      </c>
      <c r="D431" s="92">
        <f>-K8</f>
        <v>0</v>
      </c>
      <c r="E431" s="92">
        <f>J8</f>
        <v>1</v>
      </c>
      <c r="F431" s="92">
        <f>K8</f>
        <v>0</v>
      </c>
      <c r="G431" s="96">
        <f>IFERROR(VLOOKUP(H431, A$397:D$408, 4, FALSE), 0)</f>
        <v>3.7593883360809571E-2</v>
      </c>
      <c r="H431" s="12" t="str">
        <f>"D" &amp; C23 &amp; "X"</f>
        <v>D4X</v>
      </c>
      <c r="P431" s="215"/>
      <c r="Q431" s="172"/>
      <c r="R431" s="172"/>
      <c r="S431" s="172"/>
      <c r="T431" s="172"/>
      <c r="U431" s="173"/>
    </row>
    <row r="432" spans="1:21" ht="16.95" customHeight="1" x14ac:dyDescent="0.3">
      <c r="A432" s="99" t="s">
        <v>287</v>
      </c>
      <c r="B432" s="97">
        <f>(MMULT(C431:F431, G431:G434)*A431)</f>
        <v>-1562.5572277086292</v>
      </c>
      <c r="G432" s="96">
        <f>IFERROR(VLOOKUP(H432, A$397:D$408, 4, FALSE), 0)</f>
        <v>7.1849355336617571E-3</v>
      </c>
      <c r="H432" s="12" t="str">
        <f>"D" &amp; D23 &amp; "Y"</f>
        <v>D4Y</v>
      </c>
      <c r="P432" s="215"/>
      <c r="Q432" s="172"/>
      <c r="R432" s="172"/>
      <c r="S432" s="172"/>
      <c r="T432" s="172"/>
      <c r="U432" s="173"/>
    </row>
    <row r="433" spans="1:21" ht="16.95" customHeight="1" x14ac:dyDescent="0.3">
      <c r="G433" s="96">
        <f>IFERROR(VLOOKUP(H433, A$397:D$408, 4, FALSE), 0)</f>
        <v>1.5891699642634167E-2</v>
      </c>
      <c r="H433" s="12" t="str">
        <f>"D" &amp; E23 &amp; "X"</f>
        <v>D5X</v>
      </c>
      <c r="P433" s="215"/>
      <c r="Q433" s="172"/>
      <c r="R433" s="172"/>
      <c r="S433" s="172"/>
      <c r="T433" s="172"/>
      <c r="U433" s="173"/>
    </row>
    <row r="434" spans="1:21" ht="16.95" customHeight="1" x14ac:dyDescent="0.3">
      <c r="G434" s="96">
        <f>IFERROR(VLOOKUP(H434, A$397:D$408, 4, FALSE), 0)</f>
        <v>-6.1581276608347293E-2</v>
      </c>
      <c r="H434" s="12" t="str">
        <f>"D" &amp; F23 &amp; "Y"</f>
        <v>D5Y</v>
      </c>
      <c r="P434" s="215"/>
      <c r="Q434" s="172"/>
      <c r="R434" s="172"/>
      <c r="S434" s="172"/>
      <c r="T434" s="172"/>
      <c r="U434" s="173"/>
    </row>
    <row r="435" spans="1:21" ht="16.95" customHeight="1" x14ac:dyDescent="0.3">
      <c r="B435" s="99" t="s">
        <v>273</v>
      </c>
      <c r="C435" s="178" t="str">
        <f>IF(B432&gt;0.001,"BARRA A TRACCIÓN (+)",IF(B432&lt;-0.001,"BARRA A COMPRESIÓN (-)","BARRA DE FUERZA NULA"))</f>
        <v>BARRA A COMPRESIÓN (-)</v>
      </c>
      <c r="D435" s="172"/>
      <c r="E435" s="172"/>
      <c r="F435" s="173"/>
      <c r="P435" s="215"/>
      <c r="Q435" s="172"/>
      <c r="R435" s="172"/>
      <c r="S435" s="172"/>
      <c r="T435" s="172"/>
      <c r="U435" s="173"/>
    </row>
    <row r="436" spans="1:21" ht="16.95" customHeight="1" x14ac:dyDescent="0.3">
      <c r="P436" s="215"/>
      <c r="Q436" s="172"/>
      <c r="R436" s="172"/>
      <c r="S436" s="172"/>
      <c r="T436" s="172"/>
      <c r="U436" s="173"/>
    </row>
    <row r="437" spans="1:21" ht="18" customHeight="1" x14ac:dyDescent="0.3">
      <c r="A437" s="19" t="s">
        <v>278</v>
      </c>
      <c r="C437" s="19" t="s">
        <v>279</v>
      </c>
      <c r="D437" s="19" t="s">
        <v>280</v>
      </c>
      <c r="E437" s="19" t="s">
        <v>279</v>
      </c>
      <c r="F437" s="19" t="s">
        <v>280</v>
      </c>
      <c r="G437" s="19" t="s">
        <v>249</v>
      </c>
    </row>
    <row r="438" spans="1:21" ht="16.05" customHeight="1" x14ac:dyDescent="0.3">
      <c r="C438" s="19" t="s">
        <v>282</v>
      </c>
      <c r="D438" s="19" t="s">
        <v>282</v>
      </c>
      <c r="E438" s="19" t="s">
        <v>283</v>
      </c>
      <c r="F438" s="19" t="s">
        <v>283</v>
      </c>
    </row>
    <row r="439" spans="1:21" ht="19.95" customHeight="1" x14ac:dyDescent="0.3">
      <c r="A439" s="17">
        <f>N9</f>
        <v>72000</v>
      </c>
      <c r="C439" s="92">
        <f>-J9</f>
        <v>-1</v>
      </c>
      <c r="D439" s="92">
        <f>-K9</f>
        <v>0</v>
      </c>
      <c r="E439" s="92">
        <f>J9</f>
        <v>1</v>
      </c>
      <c r="F439" s="92">
        <f>K9</f>
        <v>0</v>
      </c>
      <c r="G439" s="96">
        <f>IFERROR(VLOOKUP(H439, A$397:D$408, 4, FALSE), 0)</f>
        <v>1.5891699642634167E-2</v>
      </c>
      <c r="H439" s="12" t="str">
        <f>"D" &amp; C24 &amp; "X"</f>
        <v>D5X</v>
      </c>
    </row>
    <row r="440" spans="1:21" ht="19.95" customHeight="1" x14ac:dyDescent="0.3">
      <c r="A440" s="99" t="s">
        <v>288</v>
      </c>
      <c r="B440" s="97">
        <f>(MMULT(C439:F439, G439:G442)*A439)</f>
        <v>-378.79685366253375</v>
      </c>
      <c r="G440" s="96">
        <f>IFERROR(VLOOKUP(H440, A$397:D$408, 4, FALSE), 0)</f>
        <v>-6.1581276608347293E-2</v>
      </c>
      <c r="H440" s="12" t="str">
        <f>"D" &amp; D24 &amp; "Y"</f>
        <v>D5Y</v>
      </c>
    </row>
    <row r="441" spans="1:21" ht="19.95" customHeight="1" x14ac:dyDescent="0.3">
      <c r="G441" s="96">
        <f>IFERROR(VLOOKUP(H441, A$397:D$408, 4, FALSE), 0)</f>
        <v>1.0630632230654531E-2</v>
      </c>
      <c r="H441" s="12" t="str">
        <f>"D" &amp; E24 &amp; "X"</f>
        <v>D6X</v>
      </c>
    </row>
    <row r="442" spans="1:21" ht="19.95" customHeight="1" x14ac:dyDescent="0.3">
      <c r="G442" s="96">
        <f>IFERROR(VLOOKUP(H442, A$397:D$408, 4, FALSE), 0)</f>
        <v>-1.7698107801164458E-3</v>
      </c>
      <c r="H442" s="12" t="str">
        <f>"D" &amp; F24 &amp; "Y"</f>
        <v>D6Y</v>
      </c>
    </row>
    <row r="443" spans="1:21" ht="19.95" customHeight="1" x14ac:dyDescent="0.3">
      <c r="B443" s="99" t="s">
        <v>273</v>
      </c>
      <c r="C443" s="178" t="str">
        <f>IF(B440&gt;0.001,"BARRA A TRACCIÓN (+)",IF(B440&lt;-0.001,"BARRA A COMPRESIÓN (-)","BARRA DE FUERZA NULA"))</f>
        <v>BARRA A COMPRESIÓN (-)</v>
      </c>
      <c r="D443" s="172"/>
      <c r="E443" s="172"/>
      <c r="F443" s="173"/>
    </row>
    <row r="445" spans="1:21" ht="18" customHeight="1" x14ac:dyDescent="0.3">
      <c r="A445" s="19" t="s">
        <v>278</v>
      </c>
      <c r="C445" s="19" t="s">
        <v>279</v>
      </c>
      <c r="D445" s="19" t="s">
        <v>280</v>
      </c>
      <c r="E445" s="19" t="s">
        <v>279</v>
      </c>
      <c r="F445" s="19" t="s">
        <v>280</v>
      </c>
      <c r="G445" s="19" t="s">
        <v>249</v>
      </c>
    </row>
    <row r="446" spans="1:21" ht="16.05" customHeight="1" x14ac:dyDescent="0.3">
      <c r="C446" s="19" t="s">
        <v>282</v>
      </c>
      <c r="D446" s="19" t="s">
        <v>282</v>
      </c>
      <c r="E446" s="19" t="s">
        <v>283</v>
      </c>
      <c r="F446" s="19" t="s">
        <v>283</v>
      </c>
    </row>
    <row r="447" spans="1:21" ht="19.95" customHeight="1" x14ac:dyDescent="0.3">
      <c r="A447" s="17">
        <f>N10</f>
        <v>96923.076923076922</v>
      </c>
      <c r="C447" s="92">
        <f>-J10</f>
        <v>0</v>
      </c>
      <c r="D447" s="92">
        <f>-K10</f>
        <v>-1</v>
      </c>
      <c r="E447" s="92">
        <f>J10</f>
        <v>0</v>
      </c>
      <c r="F447" s="92">
        <f>K10</f>
        <v>1</v>
      </c>
      <c r="G447" s="96">
        <f>IFERROR(VLOOKUP(H447, A$397:D$408, 4, FALSE), 0)</f>
        <v>0</v>
      </c>
      <c r="H447" s="12" t="str">
        <f>"D" &amp; C25 &amp; "X"</f>
        <v>D1X</v>
      </c>
    </row>
    <row r="448" spans="1:21" ht="19.95" customHeight="1" x14ac:dyDescent="0.3">
      <c r="A448" s="99" t="s">
        <v>289</v>
      </c>
      <c r="B448" s="97">
        <f>(MMULT(C447:F447, G447:G450)*A447)</f>
        <v>696.38605941644721</v>
      </c>
      <c r="G448" s="96">
        <f>IFERROR(VLOOKUP(H448, A$397:D$408, 4, FALSE), 0)</f>
        <v>0</v>
      </c>
      <c r="H448" s="12" t="str">
        <f>"D" &amp; D25 &amp; "Y"</f>
        <v>D1Y</v>
      </c>
    </row>
    <row r="449" spans="1:8" ht="19.95" customHeight="1" x14ac:dyDescent="0.3">
      <c r="G449" s="96">
        <f>IFERROR(VLOOKUP(H449, A$397:D$408, 4, FALSE), 0)</f>
        <v>3.7593883360809571E-2</v>
      </c>
      <c r="H449" s="12" t="str">
        <f>"D" &amp; E25 &amp; "X"</f>
        <v>D4X</v>
      </c>
    </row>
    <row r="450" spans="1:8" ht="19.95" customHeight="1" x14ac:dyDescent="0.3">
      <c r="G450" s="96">
        <f>IFERROR(VLOOKUP(H450, A$397:D$408, 4, FALSE), 0)</f>
        <v>7.1849355336617571E-3</v>
      </c>
      <c r="H450" s="12" t="str">
        <f>"D" &amp; F25 &amp; "Y"</f>
        <v>D4Y</v>
      </c>
    </row>
    <row r="451" spans="1:8" ht="19.95" customHeight="1" x14ac:dyDescent="0.3">
      <c r="B451" s="99" t="s">
        <v>273</v>
      </c>
      <c r="C451" s="178" t="str">
        <f>IF(B448&gt;0.001,"BARRA A TRACCIÓN (+)",IF(B448&lt;-0.001,"BARRA A COMPRESIÓN (-)","BARRA DE FUERZA NULA"))</f>
        <v>BARRA A TRACCIÓN (+)</v>
      </c>
      <c r="D451" s="172"/>
      <c r="E451" s="172"/>
      <c r="F451" s="173"/>
    </row>
    <row r="453" spans="1:8" ht="18" customHeight="1" x14ac:dyDescent="0.3">
      <c r="A453" s="19" t="s">
        <v>278</v>
      </c>
      <c r="C453" s="19" t="s">
        <v>279</v>
      </c>
      <c r="D453" s="19" t="s">
        <v>280</v>
      </c>
      <c r="E453" s="19" t="s">
        <v>279</v>
      </c>
      <c r="F453" s="19" t="s">
        <v>280</v>
      </c>
      <c r="G453" s="19" t="s">
        <v>249</v>
      </c>
    </row>
    <row r="454" spans="1:8" ht="16.05" customHeight="1" x14ac:dyDescent="0.3">
      <c r="C454" s="19" t="s">
        <v>282</v>
      </c>
      <c r="D454" s="19" t="s">
        <v>282</v>
      </c>
      <c r="E454" s="19" t="s">
        <v>283</v>
      </c>
      <c r="F454" s="19" t="s">
        <v>283</v>
      </c>
    </row>
    <row r="455" spans="1:8" ht="19.95" customHeight="1" x14ac:dyDescent="0.3">
      <c r="A455" s="17">
        <f>N11</f>
        <v>96923.076923076922</v>
      </c>
      <c r="C455" s="92">
        <f>-J11</f>
        <v>0</v>
      </c>
      <c r="D455" s="92">
        <f>-K11</f>
        <v>-1</v>
      </c>
      <c r="E455" s="92">
        <f>J11</f>
        <v>0</v>
      </c>
      <c r="F455" s="92">
        <f>K11</f>
        <v>1</v>
      </c>
      <c r="G455" s="96">
        <f>IFERROR(VLOOKUP(H455, A$397:D$408, 4, FALSE), 0)</f>
        <v>7.0866130691736055E-3</v>
      </c>
      <c r="H455" s="12" t="str">
        <f>"D" &amp; C26 &amp; "X"</f>
        <v>D2X</v>
      </c>
    </row>
    <row r="456" spans="1:8" ht="19.95" customHeight="1" x14ac:dyDescent="0.3">
      <c r="A456" s="99" t="s">
        <v>290</v>
      </c>
      <c r="B456" s="97">
        <f>(MMULT(C455:F455, G455:G458)*A455)</f>
        <v>-5968.6468097321222</v>
      </c>
      <c r="G456" s="96">
        <f>IFERROR(VLOOKUP(H456, A$397:D$408, 4, FALSE), 0)</f>
        <v>0</v>
      </c>
      <c r="H456" s="12" t="str">
        <f>"D" &amp; D26 &amp; "Y"</f>
        <v>D2Y</v>
      </c>
    </row>
    <row r="457" spans="1:8" ht="19.95" customHeight="1" x14ac:dyDescent="0.3">
      <c r="G457" s="96">
        <f>IFERROR(VLOOKUP(H457, A$397:D$408, 4, FALSE), 0)</f>
        <v>1.5891699642634167E-2</v>
      </c>
      <c r="H457" s="12" t="str">
        <f>"D" &amp; E26 &amp; "X"</f>
        <v>D5X</v>
      </c>
    </row>
    <row r="458" spans="1:8" ht="19.95" customHeight="1" x14ac:dyDescent="0.3">
      <c r="G458" s="96">
        <f>IFERROR(VLOOKUP(H458, A$397:D$408, 4, FALSE), 0)</f>
        <v>-6.1581276608347293E-2</v>
      </c>
      <c r="H458" s="12" t="str">
        <f>"D" &amp; F26 &amp; "Y"</f>
        <v>D5Y</v>
      </c>
    </row>
    <row r="459" spans="1:8" ht="19.95" customHeight="1" x14ac:dyDescent="0.3">
      <c r="B459" s="99" t="s">
        <v>273</v>
      </c>
      <c r="C459" s="178" t="str">
        <f>IF(B456&gt;0.001,"BARRA A TRACCIÓN (+)",IF(B456&lt;-0.001,"BARRA A COMPRESIÓN (-)","BARRA DE FUERZA NULA"))</f>
        <v>BARRA A COMPRESIÓN (-)</v>
      </c>
      <c r="D459" s="172"/>
      <c r="E459" s="172"/>
      <c r="F459" s="173"/>
    </row>
    <row r="461" spans="1:8" ht="18" customHeight="1" x14ac:dyDescent="0.3">
      <c r="A461" s="19" t="s">
        <v>278</v>
      </c>
      <c r="C461" s="19" t="s">
        <v>279</v>
      </c>
      <c r="D461" s="19" t="s">
        <v>280</v>
      </c>
      <c r="E461" s="19" t="s">
        <v>279</v>
      </c>
      <c r="F461" s="19" t="s">
        <v>280</v>
      </c>
      <c r="G461" s="19" t="s">
        <v>249</v>
      </c>
    </row>
    <row r="462" spans="1:8" ht="16.05" customHeight="1" x14ac:dyDescent="0.3">
      <c r="C462" s="19" t="s">
        <v>282</v>
      </c>
      <c r="D462" s="19" t="s">
        <v>282</v>
      </c>
      <c r="E462" s="19" t="s">
        <v>283</v>
      </c>
      <c r="F462" s="19" t="s">
        <v>283</v>
      </c>
    </row>
    <row r="463" spans="1:8" ht="19.95" customHeight="1" x14ac:dyDescent="0.3">
      <c r="A463" s="17">
        <f>N12</f>
        <v>96923.076923076922</v>
      </c>
      <c r="C463" s="92">
        <f>-J12</f>
        <v>0</v>
      </c>
      <c r="D463" s="92">
        <f>-K12</f>
        <v>-1</v>
      </c>
      <c r="E463" s="92">
        <f>J12</f>
        <v>0</v>
      </c>
      <c r="F463" s="92">
        <f>K12</f>
        <v>1</v>
      </c>
      <c r="G463" s="96">
        <f>IFERROR(VLOOKUP(H463, A$397:D$408, 4, FALSE), 0)</f>
        <v>0</v>
      </c>
      <c r="H463" s="12" t="str">
        <f>"D" &amp; C27 &amp; "X"</f>
        <v>D3X</v>
      </c>
    </row>
    <row r="464" spans="1:8" ht="19.95" customHeight="1" x14ac:dyDescent="0.3">
      <c r="A464" s="99" t="s">
        <v>291</v>
      </c>
      <c r="B464" s="97">
        <f>(MMULT(C463:F463, G463:G466)*A463)</f>
        <v>-171.53550638051703</v>
      </c>
      <c r="G464" s="96">
        <f>IFERROR(VLOOKUP(H464, A$397:D$408, 4, FALSE), 0)</f>
        <v>0</v>
      </c>
      <c r="H464" s="12" t="str">
        <f>"D" &amp; D27 &amp; "Y"</f>
        <v>D3Y</v>
      </c>
    </row>
    <row r="465" spans="1:8" ht="19.95" customHeight="1" x14ac:dyDescent="0.3">
      <c r="G465" s="96">
        <f>IFERROR(VLOOKUP(H465, A$397:D$408, 4, FALSE), 0)</f>
        <v>1.0630632230654531E-2</v>
      </c>
      <c r="H465" s="12" t="str">
        <f>"D" &amp; E27 &amp; "X"</f>
        <v>D6X</v>
      </c>
    </row>
    <row r="466" spans="1:8" ht="19.95" customHeight="1" x14ac:dyDescent="0.3">
      <c r="G466" s="96">
        <f>IFERROR(VLOOKUP(H466, A$397:D$408, 4, FALSE), 0)</f>
        <v>-1.7698107801164458E-3</v>
      </c>
      <c r="H466" s="12" t="str">
        <f>"D" &amp; F27 &amp; "Y"</f>
        <v>D6Y</v>
      </c>
    </row>
    <row r="467" spans="1:8" ht="19.95" customHeight="1" x14ac:dyDescent="0.3">
      <c r="B467" s="99" t="s">
        <v>273</v>
      </c>
      <c r="C467" s="178" t="str">
        <f>IF(B464&gt;0.001,"BARRA A TRACCIÓN (+)",IF(B464&lt;-0.001,"BARRA A COMPRESIÓN (-)","BARRA DE FUERZA NULA"))</f>
        <v>BARRA A COMPRESIÓN (-)</v>
      </c>
      <c r="D467" s="172"/>
      <c r="E467" s="172"/>
      <c r="F467" s="173"/>
    </row>
    <row r="469" spans="1:8" ht="18" customHeight="1" x14ac:dyDescent="0.3">
      <c r="A469" s="19" t="s">
        <v>278</v>
      </c>
      <c r="C469" s="19" t="s">
        <v>279</v>
      </c>
      <c r="D469" s="19" t="s">
        <v>280</v>
      </c>
      <c r="E469" s="19" t="s">
        <v>279</v>
      </c>
      <c r="F469" s="19" t="s">
        <v>280</v>
      </c>
      <c r="G469" s="19" t="s">
        <v>249</v>
      </c>
    </row>
    <row r="470" spans="1:8" ht="16.05" customHeight="1" x14ac:dyDescent="0.3">
      <c r="C470" s="19" t="s">
        <v>282</v>
      </c>
      <c r="D470" s="19" t="s">
        <v>282</v>
      </c>
      <c r="E470" s="19" t="s">
        <v>283</v>
      </c>
      <c r="F470" s="19" t="s">
        <v>283</v>
      </c>
    </row>
    <row r="471" spans="1:8" ht="19.95" customHeight="1" x14ac:dyDescent="0.3">
      <c r="A471" s="17">
        <f>N13</f>
        <v>57797.557052720607</v>
      </c>
      <c r="C471" s="92">
        <f>-J13</f>
        <v>-0.80274384795445286</v>
      </c>
      <c r="D471" s="92">
        <f>-K13</f>
        <v>-0.59632400133759356</v>
      </c>
      <c r="E471" s="92">
        <f>J13</f>
        <v>0.80274384795445286</v>
      </c>
      <c r="F471" s="92">
        <f>K13</f>
        <v>0.59632400133759356</v>
      </c>
      <c r="G471" s="96">
        <f>IFERROR(VLOOKUP(H471, A$397:D$408, 4, FALSE), 0)</f>
        <v>0</v>
      </c>
      <c r="H471" s="12" t="str">
        <f>"D" &amp; C28 &amp; "X"</f>
        <v>D1X</v>
      </c>
    </row>
    <row r="472" spans="1:8" ht="19.95" customHeight="1" x14ac:dyDescent="0.3">
      <c r="A472" s="99" t="s">
        <v>292</v>
      </c>
      <c r="B472" s="97">
        <f>(MMULT(C471:F471, G471:G474)*A471)</f>
        <v>-1385.143258757802</v>
      </c>
      <c r="G472" s="96">
        <f>IFERROR(VLOOKUP(H472, A$397:D$408, 4, FALSE), 0)</f>
        <v>0</v>
      </c>
      <c r="H472" s="12" t="str">
        <f>"D" &amp; D28 &amp; "Y"</f>
        <v>D1Y</v>
      </c>
    </row>
    <row r="473" spans="1:8" ht="19.95" customHeight="1" x14ac:dyDescent="0.3">
      <c r="G473" s="96">
        <f>IFERROR(VLOOKUP(H473, A$397:D$408, 4, FALSE), 0)</f>
        <v>1.5891699642634167E-2</v>
      </c>
      <c r="H473" s="12" t="str">
        <f>"D" &amp; E28 &amp; "X"</f>
        <v>D5X</v>
      </c>
    </row>
    <row r="474" spans="1:8" ht="19.95" customHeight="1" x14ac:dyDescent="0.3">
      <c r="G474" s="96">
        <f>IFERROR(VLOOKUP(H474, A$397:D$408, 4, FALSE), 0)</f>
        <v>-6.1581276608347293E-2</v>
      </c>
      <c r="H474" s="12" t="str">
        <f>"D" &amp; F28 &amp; "Y"</f>
        <v>D5Y</v>
      </c>
    </row>
    <row r="475" spans="1:8" ht="19.95" customHeight="1" x14ac:dyDescent="0.3">
      <c r="B475" s="99" t="s">
        <v>273</v>
      </c>
      <c r="C475" s="178" t="str">
        <f>IF(B472&gt;0.001,"BARRA A TRACCIÓN (+)",IF(B472&lt;-0.001,"BARRA A COMPRESIÓN (-)","BARRA DE FUERZA NULA"))</f>
        <v>BARRA A COMPRESIÓN (-)</v>
      </c>
      <c r="D475" s="172"/>
      <c r="E475" s="172"/>
      <c r="F475" s="173"/>
    </row>
    <row r="477" spans="1:8" ht="18" customHeight="1" x14ac:dyDescent="0.3">
      <c r="A477" s="19" t="s">
        <v>278</v>
      </c>
      <c r="C477" s="19" t="s">
        <v>279</v>
      </c>
      <c r="D477" s="19" t="s">
        <v>280</v>
      </c>
      <c r="E477" s="19" t="s">
        <v>279</v>
      </c>
      <c r="F477" s="19" t="s">
        <v>280</v>
      </c>
      <c r="G477" s="19" t="s">
        <v>249</v>
      </c>
    </row>
    <row r="478" spans="1:8" ht="16.05" customHeight="1" x14ac:dyDescent="0.3">
      <c r="C478" s="19" t="s">
        <v>282</v>
      </c>
      <c r="D478" s="19" t="s">
        <v>282</v>
      </c>
      <c r="E478" s="19" t="s">
        <v>283</v>
      </c>
      <c r="F478" s="19" t="s">
        <v>283</v>
      </c>
    </row>
    <row r="479" spans="1:8" ht="19.95" customHeight="1" x14ac:dyDescent="0.3">
      <c r="A479" s="17">
        <f>N14</f>
        <v>57797.557052720607</v>
      </c>
      <c r="C479" s="92">
        <f>-J14</f>
        <v>-0.80274384795445286</v>
      </c>
      <c r="D479" s="92">
        <f>-K14</f>
        <v>0.59632400133759356</v>
      </c>
      <c r="E479" s="92">
        <f>J14</f>
        <v>0.80274384795445286</v>
      </c>
      <c r="F479" s="92">
        <f>K14</f>
        <v>-0.59632400133759356</v>
      </c>
      <c r="G479" s="96">
        <f>IFERROR(VLOOKUP(H479, A$397:D$408, 4, FALSE), 0)</f>
        <v>3.7593883360809571E-2</v>
      </c>
      <c r="H479" s="12" t="str">
        <f>"D" &amp; C29 &amp; "X"</f>
        <v>D4X</v>
      </c>
    </row>
    <row r="480" spans="1:8" ht="19.95" customHeight="1" x14ac:dyDescent="0.3">
      <c r="A480" s="99" t="s">
        <v>530</v>
      </c>
      <c r="B480" s="97">
        <f>(MMULT(C479:F479, G479:G482)*A479)</f>
        <v>-1167.7981396932003</v>
      </c>
      <c r="G480" s="96">
        <f>IFERROR(VLOOKUP(H480, A$397:D$408, 4, FALSE), 0)</f>
        <v>7.1849355336617571E-3</v>
      </c>
      <c r="H480" s="12" t="str">
        <f>"D" &amp; D29 &amp; "Y"</f>
        <v>D4Y</v>
      </c>
    </row>
    <row r="481" spans="1:8" ht="19.95" customHeight="1" x14ac:dyDescent="0.3">
      <c r="G481" s="96">
        <f>IFERROR(VLOOKUP(H481, A$397:D$408, 4, FALSE), 0)</f>
        <v>7.0866130691736055E-3</v>
      </c>
      <c r="H481" s="12" t="str">
        <f>"D" &amp; E29 &amp; "X"</f>
        <v>D2X</v>
      </c>
    </row>
    <row r="482" spans="1:8" ht="19.95" customHeight="1" x14ac:dyDescent="0.3">
      <c r="G482" s="96">
        <f>IFERROR(VLOOKUP(H482, A$397:D$408, 4, FALSE), 0)</f>
        <v>0</v>
      </c>
      <c r="H482" s="12" t="str">
        <f>"D" &amp; F29 &amp; "Y"</f>
        <v>D2Y</v>
      </c>
    </row>
    <row r="483" spans="1:8" ht="19.95" customHeight="1" x14ac:dyDescent="0.3">
      <c r="B483" s="99" t="s">
        <v>273</v>
      </c>
      <c r="C483" s="178" t="str">
        <f>IF(B480&gt;0.001,"BARRA A TRACCIÓN (+)",IF(B480&lt;-0.001,"BARRA A COMPRESIÓN (-)","BARRA DE FUERZA NULA"))</f>
        <v>BARRA A COMPRESIÓN (-)</v>
      </c>
      <c r="D483" s="172"/>
      <c r="E483" s="172"/>
      <c r="F483" s="173"/>
    </row>
    <row r="485" spans="1:8" ht="18" customHeight="1" x14ac:dyDescent="0.3">
      <c r="A485" s="19" t="s">
        <v>278</v>
      </c>
      <c r="C485" s="19" t="s">
        <v>279</v>
      </c>
      <c r="D485" s="19" t="s">
        <v>280</v>
      </c>
      <c r="E485" s="19" t="s">
        <v>279</v>
      </c>
      <c r="F485" s="19" t="s">
        <v>280</v>
      </c>
      <c r="G485" s="19" t="s">
        <v>249</v>
      </c>
    </row>
    <row r="486" spans="1:8" ht="16.05" customHeight="1" x14ac:dyDescent="0.3">
      <c r="C486" s="19" t="s">
        <v>282</v>
      </c>
      <c r="D486" s="19" t="s">
        <v>282</v>
      </c>
      <c r="E486" s="19" t="s">
        <v>283</v>
      </c>
      <c r="F486" s="19" t="s">
        <v>283</v>
      </c>
    </row>
    <row r="487" spans="1:8" ht="19.95" customHeight="1" x14ac:dyDescent="0.3">
      <c r="A487" s="17">
        <f>N15</f>
        <v>57797.557052720607</v>
      </c>
      <c r="C487" s="92">
        <f>-J15</f>
        <v>-0.80274384795445286</v>
      </c>
      <c r="D487" s="92">
        <f>-K15</f>
        <v>-0.59632400133759356</v>
      </c>
      <c r="E487" s="92">
        <f>J15</f>
        <v>0.80274384795445286</v>
      </c>
      <c r="F487" s="92">
        <f>K15</f>
        <v>0.59632400133759356</v>
      </c>
      <c r="G487" s="96">
        <f>IFERROR(VLOOKUP(H487, A$397:D$408, 4, FALSE), 0)</f>
        <v>7.0866130691736055E-3</v>
      </c>
      <c r="H487" s="12" t="str">
        <f>"D" &amp; C30 &amp; "X"</f>
        <v>D2X</v>
      </c>
    </row>
    <row r="488" spans="1:8" ht="19.95" customHeight="1" x14ac:dyDescent="0.3">
      <c r="A488" s="99" t="s">
        <v>589</v>
      </c>
      <c r="B488" s="97">
        <f>(MMULT(C487:F487, G487:G490)*A487)</f>
        <v>103.43213452361286</v>
      </c>
      <c r="G488" s="96">
        <f>IFERROR(VLOOKUP(H488, A$397:D$408, 4, FALSE), 0)</f>
        <v>0</v>
      </c>
      <c r="H488" s="12" t="str">
        <f>"D" &amp; D30 &amp; "Y"</f>
        <v>D2Y</v>
      </c>
    </row>
    <row r="489" spans="1:8" ht="19.95" customHeight="1" x14ac:dyDescent="0.3">
      <c r="G489" s="96">
        <f>IFERROR(VLOOKUP(H489, A$397:D$408, 4, FALSE), 0)</f>
        <v>1.0630632230654531E-2</v>
      </c>
      <c r="H489" s="12" t="str">
        <f>"D" &amp; E30 &amp; "X"</f>
        <v>D6X</v>
      </c>
    </row>
    <row r="490" spans="1:8" ht="19.95" customHeight="1" x14ac:dyDescent="0.3">
      <c r="G490" s="96">
        <f>IFERROR(VLOOKUP(H490, A$397:D$408, 4, FALSE), 0)</f>
        <v>-1.7698107801164458E-3</v>
      </c>
      <c r="H490" s="12" t="str">
        <f>"D" &amp; F30 &amp; "Y"</f>
        <v>D6Y</v>
      </c>
    </row>
    <row r="491" spans="1:8" ht="19.95" customHeight="1" x14ac:dyDescent="0.3">
      <c r="B491" s="99" t="s">
        <v>273</v>
      </c>
      <c r="C491" s="178" t="str">
        <f>IF(B488&gt;0.001,"BARRA A TRACCIÓN (+)",IF(B488&lt;-0.001,"BARRA A COMPRESIÓN (-)","BARRA DE FUERZA NULA"))</f>
        <v>BARRA A TRACCIÓN (+)</v>
      </c>
      <c r="D491" s="172"/>
      <c r="E491" s="172"/>
      <c r="F491" s="173"/>
    </row>
    <row r="493" spans="1:8" ht="18" customHeight="1" x14ac:dyDescent="0.3">
      <c r="A493" s="19" t="s">
        <v>278</v>
      </c>
      <c r="C493" s="19" t="s">
        <v>279</v>
      </c>
      <c r="D493" s="19" t="s">
        <v>280</v>
      </c>
      <c r="E493" s="19" t="s">
        <v>279</v>
      </c>
      <c r="F493" s="19" t="s">
        <v>280</v>
      </c>
      <c r="G493" s="19" t="s">
        <v>249</v>
      </c>
    </row>
    <row r="494" spans="1:8" ht="16.05" customHeight="1" x14ac:dyDescent="0.3">
      <c r="C494" s="19" t="s">
        <v>282</v>
      </c>
      <c r="D494" s="19" t="s">
        <v>282</v>
      </c>
      <c r="E494" s="19" t="s">
        <v>283</v>
      </c>
      <c r="F494" s="19" t="s">
        <v>283</v>
      </c>
    </row>
    <row r="495" spans="1:8" ht="19.95" customHeight="1" x14ac:dyDescent="0.3">
      <c r="A495" s="17">
        <f>N16</f>
        <v>57797.557052720607</v>
      </c>
      <c r="C495" s="92">
        <f>-J16</f>
        <v>-0.80274384795445286</v>
      </c>
      <c r="D495" s="92">
        <f>-K16</f>
        <v>0.59632400133759356</v>
      </c>
      <c r="E495" s="92">
        <f>J16</f>
        <v>0.80274384795445286</v>
      </c>
      <c r="F495" s="92">
        <f>K16</f>
        <v>-0.59632400133759356</v>
      </c>
      <c r="G495" s="96">
        <f>IFERROR(VLOOKUP(H495, A$397:D$408, 4, FALSE), 0)</f>
        <v>1.5891699642634167E-2</v>
      </c>
      <c r="H495" s="12" t="str">
        <f>"D" &amp; C31 &amp; "X"</f>
        <v>D5X</v>
      </c>
    </row>
    <row r="496" spans="1:8" ht="19.95" customHeight="1" x14ac:dyDescent="0.3">
      <c r="A496" s="99" t="s">
        <v>590</v>
      </c>
      <c r="B496" s="97">
        <f>(MMULT(C495:F495, G495:G498)*A495)</f>
        <v>-2859.7859820406361</v>
      </c>
      <c r="G496" s="96">
        <f>IFERROR(VLOOKUP(H496, A$397:D$408, 4, FALSE), 0)</f>
        <v>-6.1581276608347293E-2</v>
      </c>
      <c r="H496" s="12" t="str">
        <f>"D" &amp; D31 &amp; "Y"</f>
        <v>D5Y</v>
      </c>
    </row>
    <row r="497" spans="1:8" ht="19.95" customHeight="1" x14ac:dyDescent="0.3">
      <c r="G497" s="96">
        <f>IFERROR(VLOOKUP(H497, A$397:D$408, 4, FALSE), 0)</f>
        <v>0</v>
      </c>
      <c r="H497" s="12" t="str">
        <f>"D" &amp; E31 &amp; "X"</f>
        <v>D3X</v>
      </c>
    </row>
    <row r="498" spans="1:8" ht="19.95" customHeight="1" x14ac:dyDescent="0.3">
      <c r="G498" s="96">
        <f>IFERROR(VLOOKUP(H498, A$397:D$408, 4, FALSE), 0)</f>
        <v>0</v>
      </c>
      <c r="H498" s="12" t="str">
        <f>"D" &amp; F31 &amp; "Y"</f>
        <v>D3Y</v>
      </c>
    </row>
    <row r="499" spans="1:8" ht="19.95" customHeight="1" x14ac:dyDescent="0.3">
      <c r="B499" s="99" t="s">
        <v>273</v>
      </c>
      <c r="C499" s="178" t="str">
        <f>IF(B496&gt;0.001,"BARRA A TRACCIÓN (+)",IF(B496&lt;-0.001,"BARRA A COMPRESIÓN (-)","BARRA DE FUERZA NULA"))</f>
        <v>BARRA A COMPRESIÓN (-)</v>
      </c>
      <c r="D499" s="172"/>
      <c r="E499" s="172"/>
      <c r="F499" s="173"/>
    </row>
    <row r="501" spans="1:8" ht="18" customHeight="1" x14ac:dyDescent="0.3">
      <c r="A501" s="19" t="s">
        <v>278</v>
      </c>
      <c r="C501" s="19" t="s">
        <v>279</v>
      </c>
      <c r="D501" s="19" t="s">
        <v>280</v>
      </c>
      <c r="E501" s="19" t="s">
        <v>279</v>
      </c>
      <c r="F501" s="19" t="s">
        <v>280</v>
      </c>
      <c r="G501" s="19" t="s">
        <v>249</v>
      </c>
    </row>
    <row r="502" spans="1:8" ht="16.05" customHeight="1" x14ac:dyDescent="0.3">
      <c r="C502" s="19" t="s">
        <v>282</v>
      </c>
      <c r="D502" s="19" t="s">
        <v>282</v>
      </c>
      <c r="E502" s="19" t="s">
        <v>283</v>
      </c>
      <c r="F502" s="19" t="s">
        <v>283</v>
      </c>
    </row>
    <row r="503" spans="1:8" ht="19.95" customHeight="1" x14ac:dyDescent="0.3">
      <c r="A503" s="17">
        <f>N17</f>
        <v>33747.309792351552</v>
      </c>
      <c r="C503" s="92">
        <f>-J17</f>
        <v>-0.93742527200976533</v>
      </c>
      <c r="D503" s="92">
        <f>-K17</f>
        <v>-0.34818652960362712</v>
      </c>
      <c r="E503" s="92">
        <f>J17</f>
        <v>0.93742527200976533</v>
      </c>
      <c r="F503" s="92">
        <f>K17</f>
        <v>0.34818652960362712</v>
      </c>
      <c r="G503" s="96">
        <f>IFERROR(VLOOKUP(H503, A$397:D$408, 4, FALSE), 0)</f>
        <v>0</v>
      </c>
      <c r="H503" s="12" t="str">
        <f>"D" &amp; C32 &amp; "X"</f>
        <v>D1X</v>
      </c>
    </row>
    <row r="504" spans="1:8" ht="19.95" customHeight="1" x14ac:dyDescent="0.3">
      <c r="A504" s="99" t="s">
        <v>611</v>
      </c>
      <c r="B504" s="97">
        <f>(MMULT(C503:F503, G503:G506)*A503)</f>
        <v>315.51031620771698</v>
      </c>
      <c r="G504" s="96">
        <f>IFERROR(VLOOKUP(H504, A$397:D$408, 4, FALSE), 0)</f>
        <v>0</v>
      </c>
      <c r="H504" s="12" t="str">
        <f>"D" &amp; D32 &amp; "Y"</f>
        <v>D1Y</v>
      </c>
    </row>
    <row r="505" spans="1:8" ht="19.95" customHeight="1" x14ac:dyDescent="0.3">
      <c r="G505" s="96">
        <f>IFERROR(VLOOKUP(H505, A$397:D$408, 4, FALSE), 0)</f>
        <v>1.0630632230654531E-2</v>
      </c>
      <c r="H505" s="12" t="str">
        <f>"D" &amp; E32 &amp; "X"</f>
        <v>D6X</v>
      </c>
    </row>
    <row r="506" spans="1:8" ht="19.95" customHeight="1" x14ac:dyDescent="0.3">
      <c r="G506" s="96">
        <f>IFERROR(VLOOKUP(H506, A$397:D$408, 4, FALSE), 0)</f>
        <v>-1.7698107801164458E-3</v>
      </c>
      <c r="H506" s="12" t="str">
        <f>"D" &amp; F32 &amp; "Y"</f>
        <v>D6Y</v>
      </c>
    </row>
    <row r="507" spans="1:8" ht="19.95" customHeight="1" x14ac:dyDescent="0.3">
      <c r="B507" s="99" t="s">
        <v>273</v>
      </c>
      <c r="C507" s="178" t="str">
        <f>IF(B504&gt;0.001,"BARRA A TRACCIÓN (+)",IF(B504&lt;-0.001,"BARRA A COMPRESIÓN (-)","BARRA DE FUERZA NULA"))</f>
        <v>BARRA A TRACCIÓN (+)</v>
      </c>
      <c r="D507" s="172"/>
      <c r="E507" s="172"/>
      <c r="F507" s="173"/>
    </row>
    <row r="510" spans="1:8" ht="22.05" customHeight="1" x14ac:dyDescent="0.3">
      <c r="B510" s="217" t="s">
        <v>404</v>
      </c>
      <c r="C510" s="175"/>
      <c r="D510" s="175"/>
      <c r="E510" s="175"/>
      <c r="F510" s="175"/>
      <c r="G510" s="175"/>
      <c r="H510" s="175"/>
    </row>
    <row r="511" spans="1:8" ht="24" customHeight="1" x14ac:dyDescent="0.3">
      <c r="B511" s="87" t="s">
        <v>294</v>
      </c>
      <c r="C511" s="87" t="s">
        <v>295</v>
      </c>
      <c r="D511" s="87" t="s">
        <v>296</v>
      </c>
      <c r="E511" s="87" t="s">
        <v>297</v>
      </c>
      <c r="F511" s="87" t="s">
        <v>298</v>
      </c>
      <c r="G511" s="87" t="s">
        <v>299</v>
      </c>
      <c r="H511" s="87" t="s">
        <v>300</v>
      </c>
    </row>
    <row r="512" spans="1:8" ht="19.95" customHeight="1" x14ac:dyDescent="0.3">
      <c r="B512" s="85">
        <v>1</v>
      </c>
      <c r="C512" s="86">
        <f t="shared" ref="C512:C523" si="52">C21</f>
        <v>1</v>
      </c>
      <c r="D512" s="86">
        <f t="shared" ref="D512:D523" si="53">E21</f>
        <v>2</v>
      </c>
      <c r="E512" s="9">
        <f t="shared" ref="E512:E523" si="54">I6</f>
        <v>350</v>
      </c>
      <c r="F512" s="9">
        <f t="shared" ref="F512:F523" si="55">L6</f>
        <v>12</v>
      </c>
      <c r="G512" s="97">
        <f>B416</f>
        <v>510.23614098049961</v>
      </c>
      <c r="H512" s="84" t="str">
        <f>C419</f>
        <v>BARRA A TRACCIÓN (+)</v>
      </c>
    </row>
    <row r="513" spans="2:8" ht="19.95" customHeight="1" x14ac:dyDescent="0.3">
      <c r="B513" s="25">
        <v>2</v>
      </c>
      <c r="C513" s="86">
        <f t="shared" si="52"/>
        <v>2</v>
      </c>
      <c r="D513" s="86">
        <f t="shared" si="53"/>
        <v>3</v>
      </c>
      <c r="E513" s="9">
        <f t="shared" si="54"/>
        <v>350</v>
      </c>
      <c r="F513" s="9">
        <f t="shared" si="55"/>
        <v>12</v>
      </c>
      <c r="G513" s="97">
        <f>B424</f>
        <v>-510.23614098049961</v>
      </c>
      <c r="H513" s="84" t="str">
        <f>C427</f>
        <v>BARRA A COMPRESIÓN (-)</v>
      </c>
    </row>
    <row r="514" spans="2:8" ht="19.95" customHeight="1" x14ac:dyDescent="0.3">
      <c r="B514" s="26">
        <v>3</v>
      </c>
      <c r="C514" s="86">
        <f t="shared" si="52"/>
        <v>4</v>
      </c>
      <c r="D514" s="86">
        <f t="shared" si="53"/>
        <v>5</v>
      </c>
      <c r="E514" s="9">
        <f t="shared" si="54"/>
        <v>350</v>
      </c>
      <c r="F514" s="9">
        <f t="shared" si="55"/>
        <v>12</v>
      </c>
      <c r="G514" s="97">
        <f>B432</f>
        <v>-1562.5572277086292</v>
      </c>
      <c r="H514" s="84" t="str">
        <f>C435</f>
        <v>BARRA A COMPRESIÓN (-)</v>
      </c>
    </row>
    <row r="515" spans="2:8" ht="19.95" customHeight="1" x14ac:dyDescent="0.3">
      <c r="B515" s="43">
        <v>4</v>
      </c>
      <c r="C515" s="86">
        <f t="shared" si="52"/>
        <v>5</v>
      </c>
      <c r="D515" s="86">
        <f t="shared" si="53"/>
        <v>6</v>
      </c>
      <c r="E515" s="9">
        <f t="shared" si="54"/>
        <v>350</v>
      </c>
      <c r="F515" s="9">
        <f t="shared" si="55"/>
        <v>12</v>
      </c>
      <c r="G515" s="97">
        <f>B440</f>
        <v>-378.79685366253375</v>
      </c>
      <c r="H515" s="84" t="str">
        <f>C443</f>
        <v>BARRA A COMPRESIÓN (-)</v>
      </c>
    </row>
    <row r="516" spans="2:8" ht="19.95" customHeight="1" x14ac:dyDescent="0.3">
      <c r="B516" s="44">
        <v>5</v>
      </c>
      <c r="C516" s="86">
        <f t="shared" si="52"/>
        <v>1</v>
      </c>
      <c r="D516" s="86">
        <f t="shared" si="53"/>
        <v>4</v>
      </c>
      <c r="E516" s="9">
        <f t="shared" si="54"/>
        <v>260</v>
      </c>
      <c r="F516" s="9">
        <f t="shared" si="55"/>
        <v>12</v>
      </c>
      <c r="G516" s="97">
        <f>B448</f>
        <v>696.38605941644721</v>
      </c>
      <c r="H516" s="84" t="str">
        <f>C451</f>
        <v>BARRA A TRACCIÓN (+)</v>
      </c>
    </row>
    <row r="517" spans="2:8" ht="19.95" customHeight="1" x14ac:dyDescent="0.3">
      <c r="B517" s="51">
        <v>6</v>
      </c>
      <c r="C517" s="86">
        <f t="shared" si="52"/>
        <v>2</v>
      </c>
      <c r="D517" s="86">
        <f t="shared" si="53"/>
        <v>5</v>
      </c>
      <c r="E517" s="9">
        <f t="shared" si="54"/>
        <v>260</v>
      </c>
      <c r="F517" s="9">
        <f t="shared" si="55"/>
        <v>12</v>
      </c>
      <c r="G517" s="97">
        <f>B456</f>
        <v>-5968.6468097321222</v>
      </c>
      <c r="H517" s="84" t="str">
        <f>C459</f>
        <v>BARRA A COMPRESIÓN (-)</v>
      </c>
    </row>
    <row r="518" spans="2:8" ht="19.95" customHeight="1" x14ac:dyDescent="0.3">
      <c r="B518" s="52">
        <v>7</v>
      </c>
      <c r="C518" s="86">
        <f t="shared" si="52"/>
        <v>3</v>
      </c>
      <c r="D518" s="86">
        <f t="shared" si="53"/>
        <v>6</v>
      </c>
      <c r="E518" s="9">
        <f t="shared" si="54"/>
        <v>260</v>
      </c>
      <c r="F518" s="9">
        <f t="shared" si="55"/>
        <v>12</v>
      </c>
      <c r="G518" s="97">
        <f>B464</f>
        <v>-171.53550638051703</v>
      </c>
      <c r="H518" s="84" t="str">
        <f>C467</f>
        <v>BARRA A COMPRESIÓN (-)</v>
      </c>
    </row>
    <row r="519" spans="2:8" ht="19.95" customHeight="1" x14ac:dyDescent="0.3">
      <c r="B519" s="59">
        <v>8</v>
      </c>
      <c r="C519" s="86">
        <f t="shared" si="52"/>
        <v>1</v>
      </c>
      <c r="D519" s="86">
        <f t="shared" si="53"/>
        <v>5</v>
      </c>
      <c r="E519" s="9">
        <f t="shared" si="54"/>
        <v>436.00458713183281</v>
      </c>
      <c r="F519" s="9">
        <f t="shared" si="55"/>
        <v>12</v>
      </c>
      <c r="G519" s="97">
        <f>B472</f>
        <v>-1385.143258757802</v>
      </c>
      <c r="H519" s="84" t="str">
        <f>C475</f>
        <v>BARRA A COMPRESIÓN (-)</v>
      </c>
    </row>
    <row r="520" spans="2:8" ht="19.95" customHeight="1" x14ac:dyDescent="0.3">
      <c r="B520" s="60">
        <v>9</v>
      </c>
      <c r="C520" s="86">
        <f t="shared" si="52"/>
        <v>4</v>
      </c>
      <c r="D520" s="86">
        <f t="shared" si="53"/>
        <v>2</v>
      </c>
      <c r="E520" s="9">
        <f t="shared" si="54"/>
        <v>436.00458713183281</v>
      </c>
      <c r="F520" s="9">
        <f t="shared" si="55"/>
        <v>12</v>
      </c>
      <c r="G520" s="97">
        <f>B480</f>
        <v>-1167.7981396932003</v>
      </c>
      <c r="H520" s="84" t="str">
        <f>C483</f>
        <v>BARRA A COMPRESIÓN (-)</v>
      </c>
    </row>
    <row r="521" spans="2:8" ht="19.95" customHeight="1" x14ac:dyDescent="0.3">
      <c r="B521" s="67">
        <v>10</v>
      </c>
      <c r="C521" s="86">
        <f t="shared" si="52"/>
        <v>2</v>
      </c>
      <c r="D521" s="86">
        <f t="shared" si="53"/>
        <v>6</v>
      </c>
      <c r="E521" s="9">
        <f t="shared" si="54"/>
        <v>436.00458713183281</v>
      </c>
      <c r="F521" s="9">
        <f t="shared" si="55"/>
        <v>12</v>
      </c>
      <c r="G521" s="97">
        <f>B488</f>
        <v>103.43213452361286</v>
      </c>
      <c r="H521" s="84" t="str">
        <f>C491</f>
        <v>BARRA A TRACCIÓN (+)</v>
      </c>
    </row>
    <row r="522" spans="2:8" ht="19.95" customHeight="1" x14ac:dyDescent="0.3">
      <c r="B522" s="68">
        <v>11</v>
      </c>
      <c r="C522" s="86">
        <f t="shared" si="52"/>
        <v>5</v>
      </c>
      <c r="D522" s="86">
        <f t="shared" si="53"/>
        <v>3</v>
      </c>
      <c r="E522" s="9">
        <f t="shared" si="54"/>
        <v>436.00458713183281</v>
      </c>
      <c r="F522" s="9">
        <f t="shared" si="55"/>
        <v>12</v>
      </c>
      <c r="G522" s="97">
        <f>B496</f>
        <v>-2859.7859820406361</v>
      </c>
      <c r="H522" s="84" t="str">
        <f>C499</f>
        <v>BARRA A COMPRESIÓN (-)</v>
      </c>
    </row>
    <row r="523" spans="2:8" ht="19.95" customHeight="1" x14ac:dyDescent="0.3">
      <c r="B523" s="10">
        <v>12</v>
      </c>
      <c r="C523" s="86">
        <f t="shared" si="52"/>
        <v>1</v>
      </c>
      <c r="D523" s="86">
        <f t="shared" si="53"/>
        <v>6</v>
      </c>
      <c r="E523" s="9">
        <f t="shared" si="54"/>
        <v>746.72618810377878</v>
      </c>
      <c r="F523" s="9">
        <f t="shared" si="55"/>
        <v>12</v>
      </c>
      <c r="G523" s="97">
        <f>B504</f>
        <v>315.51031620771698</v>
      </c>
      <c r="H523" s="84" t="str">
        <f>C507</f>
        <v>BARRA A TRACCIÓN (+)</v>
      </c>
    </row>
  </sheetData>
  <mergeCells count="147">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379:U379"/>
    <mergeCell ref="P388:U388"/>
    <mergeCell ref="P331:U331"/>
    <mergeCell ref="B1:N1"/>
    <mergeCell ref="P305:U305"/>
    <mergeCell ref="C19:D19"/>
    <mergeCell ref="P311:U311"/>
    <mergeCell ref="P320:U320"/>
    <mergeCell ref="P433:U433"/>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16:U316"/>
    <mergeCell ref="P381:U381"/>
    <mergeCell ref="P390:U390"/>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66:U366"/>
    <mergeCell ref="P340:U340"/>
    <mergeCell ref="P434:U434"/>
    <mergeCell ref="P436:U436"/>
    <mergeCell ref="P308:U308"/>
    <mergeCell ref="P371:U371"/>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327:U327"/>
    <mergeCell ref="C491:F491"/>
    <mergeCell ref="B510:H510"/>
    <mergeCell ref="P425:U425"/>
    <mergeCell ref="P360:U360"/>
    <mergeCell ref="P391:U391"/>
    <mergeCell ref="P415:U415"/>
    <mergeCell ref="P328:U328"/>
    <mergeCell ref="P384:U384"/>
    <mergeCell ref="P337:U337"/>
    <mergeCell ref="P426:U426"/>
    <mergeCell ref="P418:U418"/>
    <mergeCell ref="P412:U412"/>
    <mergeCell ref="C507:F507"/>
    <mergeCell ref="C483:F483"/>
    <mergeCell ref="P430:U430"/>
    <mergeCell ref="P417:U417"/>
    <mergeCell ref="C427:F427"/>
    <mergeCell ref="C435:F435"/>
    <mergeCell ref="P336:U336"/>
    <mergeCell ref="P367:U367"/>
    <mergeCell ref="P387:U387"/>
    <mergeCell ref="P358:U358"/>
    <mergeCell ref="P435:U435"/>
    <mergeCell ref="P432:U432"/>
    <mergeCell ref="P354:U354"/>
    <mergeCell ref="P363:U363"/>
    <mergeCell ref="P313:U313"/>
    <mergeCell ref="P347:U347"/>
    <mergeCell ref="P378:U378"/>
    <mergeCell ref="P365:U365"/>
    <mergeCell ref="P370:U370"/>
    <mergeCell ref="P428:U428"/>
    <mergeCell ref="P349:U349"/>
    <mergeCell ref="P325:U325"/>
    <mergeCell ref="G4:G5"/>
    <mergeCell ref="I4:I5"/>
    <mergeCell ref="P303:U303"/>
    <mergeCell ref="P416:U416"/>
    <mergeCell ref="P369:U369"/>
    <mergeCell ref="P343:U343"/>
    <mergeCell ref="B3:D3"/>
    <mergeCell ref="M4:M5"/>
    <mergeCell ref="P411:U411"/>
    <mergeCell ref="E19:F19"/>
    <mergeCell ref="P317:U317"/>
    <mergeCell ref="P351:U351"/>
    <mergeCell ref="P326:U326"/>
    <mergeCell ref="P304:U304"/>
    <mergeCell ref="B19:B20"/>
    <mergeCell ref="P353:U353"/>
    <mergeCell ref="P306:U306"/>
    <mergeCell ref="E4:F4"/>
    <mergeCell ref="P312:U312"/>
    <mergeCell ref="P321:U321"/>
    <mergeCell ref="P392:U392"/>
    <mergeCell ref="P386:U386"/>
    <mergeCell ref="P339:U339"/>
    <mergeCell ref="P323:U323"/>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687</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12</v>
      </c>
      <c r="E6" s="173"/>
      <c r="F6" s="206">
        <f>SUM(F14:G23)</f>
        <v>5</v>
      </c>
      <c r="G6" s="173"/>
      <c r="H6" s="206">
        <f>D6+F6-2*B6</f>
        <v>5</v>
      </c>
      <c r="I6" s="173"/>
      <c r="J6" s="220" t="str">
        <f>IF(H6=0,"✅ ISOSTÁTICA (Estable y Determinada)",IF(H6&gt;0,"🔷 HIPERESTÁTICA (Grado " &amp; H6 &amp; " - Resoluble por Rigidez)","⚠️ HIPOSTÁTICA (Mecanismo Inestable)"))</f>
        <v>🔷 HIPERESTÁTICA (Grado 5 - Resoluble por Rigidez)</v>
      </c>
      <c r="K6" s="172"/>
      <c r="L6" s="172"/>
      <c r="M6" s="172"/>
      <c r="N6" s="172"/>
      <c r="O6" s="173"/>
      <c r="AA6" s="20">
        <f>IF(G28="","",G28)</f>
        <v>450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450</v>
      </c>
      <c r="AB8" s="20">
        <f>IF(F29="","",F29)</f>
        <v>0</v>
      </c>
      <c r="AC8" t="s">
        <v>316</v>
      </c>
    </row>
    <row r="9" spans="2:29" x14ac:dyDescent="0.3">
      <c r="AA9" s="20">
        <f>IF(G29="","",G29)</f>
        <v>900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300</v>
      </c>
      <c r="AC11" t="s">
        <v>324</v>
      </c>
    </row>
    <row r="12" spans="2:29" x14ac:dyDescent="0.3">
      <c r="AA12" s="20">
        <f>IF(G30="","",G30)</f>
        <v>450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688</v>
      </c>
      <c r="K14" s="172"/>
      <c r="L14" s="172"/>
      <c r="M14" s="172"/>
      <c r="N14" s="172"/>
      <c r="O14" s="173"/>
      <c r="AA14" s="20">
        <f>IF(E31="","",E31)</f>
        <v>450</v>
      </c>
      <c r="AB14" s="20">
        <f>IF(F31="","",F31)</f>
        <v>300</v>
      </c>
      <c r="AC14" t="s">
        <v>328</v>
      </c>
    </row>
    <row r="15" spans="2:29" ht="19.05" customHeight="1" x14ac:dyDescent="0.3">
      <c r="B15" s="89">
        <v>2</v>
      </c>
      <c r="C15" s="21">
        <v>450</v>
      </c>
      <c r="D15" s="21">
        <v>0</v>
      </c>
      <c r="E15" s="21" t="s">
        <v>329</v>
      </c>
      <c r="F15" s="88">
        <f t="shared" si="0"/>
        <v>0</v>
      </c>
      <c r="G15" s="88">
        <f t="shared" si="1"/>
        <v>1</v>
      </c>
      <c r="H15" s="22">
        <v>0</v>
      </c>
      <c r="I15" s="22">
        <v>0</v>
      </c>
      <c r="J15" s="205" t="s">
        <v>671</v>
      </c>
      <c r="K15" s="172"/>
      <c r="L15" s="172"/>
      <c r="M15" s="172"/>
      <c r="N15" s="172"/>
      <c r="O15" s="173"/>
      <c r="AA15" s="20">
        <f>IF(G31="","",G31)</f>
        <v>900</v>
      </c>
      <c r="AB15" s="20">
        <f>IF(H31="","",H31)</f>
        <v>300</v>
      </c>
      <c r="AC15" t="s">
        <v>331</v>
      </c>
    </row>
    <row r="16" spans="2:29" ht="19.05" customHeight="1" x14ac:dyDescent="0.3">
      <c r="B16" s="89">
        <v>3</v>
      </c>
      <c r="C16" s="21">
        <v>900</v>
      </c>
      <c r="D16" s="21">
        <v>0</v>
      </c>
      <c r="E16" s="21" t="s">
        <v>332</v>
      </c>
      <c r="F16" s="88">
        <f t="shared" si="0"/>
        <v>1</v>
      </c>
      <c r="G16" s="88">
        <f t="shared" si="1"/>
        <v>1</v>
      </c>
      <c r="H16" s="22">
        <v>0</v>
      </c>
      <c r="I16" s="22">
        <v>0</v>
      </c>
      <c r="J16" s="205" t="s">
        <v>689</v>
      </c>
      <c r="K16" s="172"/>
      <c r="L16" s="172"/>
      <c r="M16" s="172"/>
      <c r="N16" s="172"/>
      <c r="O16" s="173"/>
    </row>
    <row r="17" spans="2:29" ht="19.05" customHeight="1" x14ac:dyDescent="0.3">
      <c r="B17" s="89">
        <v>4</v>
      </c>
      <c r="C17" s="21">
        <v>0</v>
      </c>
      <c r="D17" s="21">
        <v>300</v>
      </c>
      <c r="E17" s="21" t="s">
        <v>326</v>
      </c>
      <c r="F17" s="88">
        <f t="shared" si="0"/>
        <v>0</v>
      </c>
      <c r="G17" s="88">
        <f t="shared" si="1"/>
        <v>0</v>
      </c>
      <c r="H17" s="22">
        <v>3000</v>
      </c>
      <c r="I17" s="22">
        <v>0</v>
      </c>
      <c r="J17" s="205" t="s">
        <v>675</v>
      </c>
      <c r="K17" s="172"/>
      <c r="L17" s="172"/>
      <c r="M17" s="172"/>
      <c r="N17" s="172"/>
      <c r="O17" s="173"/>
      <c r="AA17" s="20">
        <f>IF(E32="","",E32)</f>
        <v>0</v>
      </c>
      <c r="AB17" s="20">
        <f>IF(F32="","",F32)</f>
        <v>0</v>
      </c>
      <c r="AC17" t="s">
        <v>334</v>
      </c>
    </row>
    <row r="18" spans="2:29" ht="19.05" customHeight="1" x14ac:dyDescent="0.3">
      <c r="B18" s="89">
        <v>5</v>
      </c>
      <c r="C18" s="21">
        <v>450</v>
      </c>
      <c r="D18" s="21">
        <v>300</v>
      </c>
      <c r="E18" s="21" t="s">
        <v>326</v>
      </c>
      <c r="F18" s="88">
        <f t="shared" si="0"/>
        <v>0</v>
      </c>
      <c r="G18" s="88">
        <f t="shared" si="1"/>
        <v>0</v>
      </c>
      <c r="H18" s="22">
        <v>0</v>
      </c>
      <c r="I18" s="22">
        <v>-10000</v>
      </c>
      <c r="J18" s="205" t="s">
        <v>682</v>
      </c>
      <c r="K18" s="172"/>
      <c r="L18" s="172"/>
      <c r="M18" s="172"/>
      <c r="N18" s="172"/>
      <c r="O18" s="173"/>
      <c r="AA18" s="20">
        <f>IF(G32="","",G32)</f>
        <v>0</v>
      </c>
      <c r="AB18" s="20">
        <f>IF(H32="","",H32)</f>
        <v>300</v>
      </c>
      <c r="AC18" t="s">
        <v>335</v>
      </c>
    </row>
    <row r="19" spans="2:29" ht="19.05" customHeight="1" x14ac:dyDescent="0.3">
      <c r="B19" s="89">
        <v>6</v>
      </c>
      <c r="C19" s="21">
        <v>900</v>
      </c>
      <c r="D19" s="21">
        <v>300</v>
      </c>
      <c r="E19" s="21" t="s">
        <v>326</v>
      </c>
      <c r="F19" s="88">
        <f t="shared" si="0"/>
        <v>0</v>
      </c>
      <c r="G19" s="88">
        <f t="shared" si="1"/>
        <v>0</v>
      </c>
      <c r="H19" s="22">
        <v>0</v>
      </c>
      <c r="I19" s="22">
        <v>0</v>
      </c>
      <c r="J19" s="205" t="s">
        <v>640</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450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900</v>
      </c>
      <c r="AB23" s="20">
        <f>IF(F34="","",F34)</f>
        <v>0</v>
      </c>
      <c r="AC23" t="s">
        <v>338</v>
      </c>
    </row>
    <row r="24" spans="2:29" x14ac:dyDescent="0.3">
      <c r="AA24" s="20">
        <f>IF(G34="","",G34)</f>
        <v>900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450</v>
      </c>
      <c r="H30" s="5">
        <f t="shared" si="5"/>
        <v>300</v>
      </c>
      <c r="I30" s="9">
        <f t="shared" si="6"/>
        <v>450</v>
      </c>
      <c r="J30" s="9">
        <f t="shared" si="7"/>
        <v>0</v>
      </c>
      <c r="K30" s="9">
        <f t="shared" si="8"/>
        <v>450</v>
      </c>
      <c r="L30" s="92">
        <f t="shared" si="9"/>
        <v>1</v>
      </c>
      <c r="M30" s="92">
        <f t="shared" si="10"/>
        <v>0</v>
      </c>
      <c r="N30" s="22">
        <v>12</v>
      </c>
      <c r="O30" s="24">
        <v>2100000</v>
      </c>
      <c r="AA30" s="20">
        <f>IF(G36="","",G36)</f>
        <v>450</v>
      </c>
      <c r="AB30" s="20">
        <f>IF(H36="","",H36)</f>
        <v>0</v>
      </c>
      <c r="AC30" t="s">
        <v>354</v>
      </c>
    </row>
    <row r="31" spans="2:29" ht="19.05" customHeight="1" x14ac:dyDescent="0.3">
      <c r="B31" s="89">
        <v>4</v>
      </c>
      <c r="C31" s="23">
        <v>5</v>
      </c>
      <c r="D31" s="23">
        <v>6</v>
      </c>
      <c r="E31" s="5">
        <f t="shared" si="2"/>
        <v>450</v>
      </c>
      <c r="F31" s="5">
        <f t="shared" si="3"/>
        <v>300</v>
      </c>
      <c r="G31" s="5">
        <f t="shared" si="4"/>
        <v>900</v>
      </c>
      <c r="H31" s="5">
        <f t="shared" si="5"/>
        <v>300</v>
      </c>
      <c r="I31" s="9">
        <f t="shared" si="6"/>
        <v>450</v>
      </c>
      <c r="J31" s="9">
        <f t="shared" si="7"/>
        <v>0</v>
      </c>
      <c r="K31" s="9">
        <f t="shared" si="8"/>
        <v>450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450</v>
      </c>
      <c r="AB32" s="20">
        <f>IF(F37="","",F37)</f>
        <v>0</v>
      </c>
      <c r="AC32" t="s">
        <v>355</v>
      </c>
    </row>
    <row r="33" spans="2:29" ht="19.05" customHeight="1" x14ac:dyDescent="0.3">
      <c r="B33" s="89">
        <v>6</v>
      </c>
      <c r="C33" s="23">
        <v>2</v>
      </c>
      <c r="D33" s="23">
        <v>5</v>
      </c>
      <c r="E33" s="5">
        <f t="shared" si="2"/>
        <v>450</v>
      </c>
      <c r="F33" s="5">
        <f t="shared" si="3"/>
        <v>0</v>
      </c>
      <c r="G33" s="5">
        <f t="shared" si="4"/>
        <v>450</v>
      </c>
      <c r="H33" s="5">
        <f t="shared" si="5"/>
        <v>300</v>
      </c>
      <c r="I33" s="9">
        <f t="shared" si="6"/>
        <v>0</v>
      </c>
      <c r="J33" s="9">
        <f t="shared" si="7"/>
        <v>300</v>
      </c>
      <c r="K33" s="9">
        <f t="shared" si="8"/>
        <v>300</v>
      </c>
      <c r="L33" s="92">
        <f t="shared" si="9"/>
        <v>0</v>
      </c>
      <c r="M33" s="92">
        <f t="shared" si="10"/>
        <v>1</v>
      </c>
      <c r="N33" s="22">
        <v>12</v>
      </c>
      <c r="O33" s="24">
        <v>2100000</v>
      </c>
      <c r="AA33" s="20">
        <f>IF(G37="","",G37)</f>
        <v>900</v>
      </c>
      <c r="AB33" s="20">
        <f>IF(H37="","",H37)</f>
        <v>300</v>
      </c>
      <c r="AC33" t="s">
        <v>356</v>
      </c>
    </row>
    <row r="34" spans="2:29" ht="19.05" customHeight="1" x14ac:dyDescent="0.3">
      <c r="B34" s="89">
        <v>7</v>
      </c>
      <c r="C34" s="23">
        <v>3</v>
      </c>
      <c r="D34" s="23">
        <v>6</v>
      </c>
      <c r="E34" s="5">
        <f t="shared" si="2"/>
        <v>900</v>
      </c>
      <c r="F34" s="5">
        <f t="shared" si="3"/>
        <v>0</v>
      </c>
      <c r="G34" s="5">
        <f t="shared" si="4"/>
        <v>900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450</v>
      </c>
      <c r="H35" s="5">
        <f t="shared" si="5"/>
        <v>300</v>
      </c>
      <c r="I35" s="9">
        <f t="shared" si="6"/>
        <v>450</v>
      </c>
      <c r="J35" s="9">
        <f t="shared" si="7"/>
        <v>300</v>
      </c>
      <c r="K35" s="9">
        <f t="shared" si="8"/>
        <v>540.83269131959844</v>
      </c>
      <c r="L35" s="92">
        <f t="shared" si="9"/>
        <v>0.83205029433784361</v>
      </c>
      <c r="M35" s="92">
        <f t="shared" si="10"/>
        <v>0.55470019622522904</v>
      </c>
      <c r="N35" s="22">
        <v>12</v>
      </c>
      <c r="O35" s="24">
        <v>2100000</v>
      </c>
      <c r="AA35" s="20">
        <f>IF(E38="","",E38)</f>
        <v>450</v>
      </c>
      <c r="AB35" s="20">
        <f>IF(F38="","",F38)</f>
        <v>300</v>
      </c>
      <c r="AC35" t="s">
        <v>357</v>
      </c>
    </row>
    <row r="36" spans="2:29" ht="19.05" customHeight="1" x14ac:dyDescent="0.3">
      <c r="B36" s="89">
        <v>9</v>
      </c>
      <c r="C36" s="23">
        <v>4</v>
      </c>
      <c r="D36" s="23">
        <v>2</v>
      </c>
      <c r="E36" s="5">
        <f t="shared" si="2"/>
        <v>0</v>
      </c>
      <c r="F36" s="5">
        <f t="shared" si="3"/>
        <v>300</v>
      </c>
      <c r="G36" s="5">
        <f t="shared" si="4"/>
        <v>450</v>
      </c>
      <c r="H36" s="5">
        <f t="shared" si="5"/>
        <v>0</v>
      </c>
      <c r="I36" s="9">
        <f t="shared" si="6"/>
        <v>450</v>
      </c>
      <c r="J36" s="9">
        <f t="shared" si="7"/>
        <v>-300</v>
      </c>
      <c r="K36" s="9">
        <f t="shared" si="8"/>
        <v>540.83269131959844</v>
      </c>
      <c r="L36" s="92">
        <f t="shared" si="9"/>
        <v>0.83205029433784361</v>
      </c>
      <c r="M36" s="92">
        <f t="shared" si="10"/>
        <v>-0.55470019622522904</v>
      </c>
      <c r="N36" s="22">
        <v>12</v>
      </c>
      <c r="O36" s="24">
        <v>2100000</v>
      </c>
      <c r="AA36" s="20">
        <f>IF(G38="","",G38)</f>
        <v>900</v>
      </c>
      <c r="AB36" s="20">
        <f>IF(H38="","",H38)</f>
        <v>0</v>
      </c>
      <c r="AC36" t="s">
        <v>358</v>
      </c>
    </row>
    <row r="37" spans="2:29" ht="19.05" customHeight="1" x14ac:dyDescent="0.3">
      <c r="B37" s="89">
        <v>10</v>
      </c>
      <c r="C37" s="23">
        <v>2</v>
      </c>
      <c r="D37" s="23">
        <v>6</v>
      </c>
      <c r="E37" s="5">
        <f t="shared" si="2"/>
        <v>450</v>
      </c>
      <c r="F37" s="5">
        <f t="shared" si="3"/>
        <v>0</v>
      </c>
      <c r="G37" s="5">
        <f t="shared" si="4"/>
        <v>900</v>
      </c>
      <c r="H37" s="5">
        <f t="shared" si="5"/>
        <v>300</v>
      </c>
      <c r="I37" s="9">
        <f t="shared" si="6"/>
        <v>450</v>
      </c>
      <c r="J37" s="9">
        <f t="shared" si="7"/>
        <v>300</v>
      </c>
      <c r="K37" s="9">
        <f t="shared" si="8"/>
        <v>540.83269131959844</v>
      </c>
      <c r="L37" s="92">
        <f t="shared" si="9"/>
        <v>0.83205029433784361</v>
      </c>
      <c r="M37" s="92">
        <f t="shared" si="10"/>
        <v>0.55470019622522904</v>
      </c>
      <c r="N37" s="22">
        <v>12</v>
      </c>
      <c r="O37" s="24">
        <v>2100000</v>
      </c>
    </row>
    <row r="38" spans="2:29" ht="19.05" customHeight="1" x14ac:dyDescent="0.3">
      <c r="B38" s="89">
        <v>11</v>
      </c>
      <c r="C38" s="23">
        <v>5</v>
      </c>
      <c r="D38" s="23">
        <v>3</v>
      </c>
      <c r="E38" s="5">
        <f t="shared" si="2"/>
        <v>450</v>
      </c>
      <c r="F38" s="5">
        <f t="shared" si="3"/>
        <v>300</v>
      </c>
      <c r="G38" s="5">
        <f t="shared" si="4"/>
        <v>900</v>
      </c>
      <c r="H38" s="5">
        <f t="shared" si="5"/>
        <v>0</v>
      </c>
      <c r="I38" s="9">
        <f t="shared" si="6"/>
        <v>450</v>
      </c>
      <c r="J38" s="9">
        <f t="shared" si="7"/>
        <v>-300</v>
      </c>
      <c r="K38" s="9">
        <f t="shared" si="8"/>
        <v>540.83269131959844</v>
      </c>
      <c r="L38" s="92">
        <f t="shared" si="9"/>
        <v>0.83205029433784361</v>
      </c>
      <c r="M38" s="92">
        <f t="shared" si="10"/>
        <v>-0.55470019622522904</v>
      </c>
      <c r="N38" s="22">
        <v>12</v>
      </c>
      <c r="O38" s="24">
        <v>2100000</v>
      </c>
      <c r="AA38" s="20">
        <f>IF(E39="","",E39)</f>
        <v>0</v>
      </c>
      <c r="AB38" s="20">
        <f>IF(F39="","",F39)</f>
        <v>300</v>
      </c>
      <c r="AC38" t="s">
        <v>359</v>
      </c>
    </row>
    <row r="39" spans="2:29" ht="19.05" customHeight="1" x14ac:dyDescent="0.3">
      <c r="B39" s="89">
        <v>12</v>
      </c>
      <c r="C39" s="23">
        <v>4</v>
      </c>
      <c r="D39" s="23">
        <v>3</v>
      </c>
      <c r="E39" s="5">
        <f t="shared" si="2"/>
        <v>0</v>
      </c>
      <c r="F39" s="5">
        <f t="shared" si="3"/>
        <v>300</v>
      </c>
      <c r="G39" s="5">
        <f t="shared" si="4"/>
        <v>900</v>
      </c>
      <c r="H39" s="5">
        <f t="shared" si="5"/>
        <v>0</v>
      </c>
      <c r="I39" s="9">
        <f t="shared" si="6"/>
        <v>900</v>
      </c>
      <c r="J39" s="9">
        <f t="shared" si="7"/>
        <v>-300</v>
      </c>
      <c r="K39" s="9">
        <f t="shared" si="8"/>
        <v>948.68329805051383</v>
      </c>
      <c r="L39" s="92">
        <f t="shared" si="9"/>
        <v>0.94868329805051377</v>
      </c>
      <c r="M39" s="92">
        <f t="shared" si="10"/>
        <v>-0.31622776601683794</v>
      </c>
      <c r="N39" s="22">
        <v>12</v>
      </c>
      <c r="O39" s="24">
        <v>2100000</v>
      </c>
      <c r="AA39" s="20">
        <f>IF(G39="","",G39)</f>
        <v>900</v>
      </c>
      <c r="AB39" s="20">
        <f>IF(H39="","",H39)</f>
        <v>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900-000000000000}">
      <formula1>"Fijo (articulado),Rodillo Y (despl. X libre),Rodillo X (despl. Y libre),Libre (0 reac.)"</formula1>
    </dataValidation>
  </dataValidations>
  <pageMargins left="0.75" right="0.75" top="1" bottom="1" header="0.5" footer="0.5"/>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U52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690</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GRAFICA_60!E28</f>
        <v>0</v>
      </c>
      <c r="D6" s="22">
        <f>GRAFICA_60!F28</f>
        <v>0</v>
      </c>
      <c r="E6" s="22">
        <f>GRAFICA_60!G28</f>
        <v>450</v>
      </c>
      <c r="F6" s="22">
        <f>GRAFICA_60!H28</f>
        <v>0</v>
      </c>
      <c r="G6" s="9">
        <f t="shared" ref="G6:G17" si="0">E6-C6</f>
        <v>450</v>
      </c>
      <c r="H6" s="9">
        <f t="shared" ref="H6:H17" si="1">F6-D6</f>
        <v>0</v>
      </c>
      <c r="I6" s="9">
        <f t="shared" ref="I6:I17" si="2">SQRT(G6*G6+H6*H6)</f>
        <v>450</v>
      </c>
      <c r="J6" s="92">
        <f t="shared" ref="J6:J17" si="3">G6/I6</f>
        <v>1</v>
      </c>
      <c r="K6" s="92">
        <f t="shared" ref="K6:K17" si="4">H6/I6</f>
        <v>0</v>
      </c>
      <c r="L6" s="22">
        <f>GRAFICA_60!N28</f>
        <v>12</v>
      </c>
      <c r="M6" s="22">
        <f>GRAFICA_60!O28</f>
        <v>2100000</v>
      </c>
      <c r="N6" s="6">
        <f t="shared" ref="N6:N17" si="5">L6*M6/I6</f>
        <v>56000</v>
      </c>
    </row>
    <row r="7" spans="2:14" ht="19.05" customHeight="1" x14ac:dyDescent="0.3">
      <c r="B7" s="25">
        <v>2</v>
      </c>
      <c r="C7" s="22">
        <f>GRAFICA_60!E29</f>
        <v>450</v>
      </c>
      <c r="D7" s="22">
        <f>GRAFICA_60!F29</f>
        <v>0</v>
      </c>
      <c r="E7" s="22">
        <f>GRAFICA_60!G29</f>
        <v>900</v>
      </c>
      <c r="F7" s="22">
        <f>GRAFICA_60!H29</f>
        <v>0</v>
      </c>
      <c r="G7" s="9">
        <f t="shared" si="0"/>
        <v>450</v>
      </c>
      <c r="H7" s="9">
        <f t="shared" si="1"/>
        <v>0</v>
      </c>
      <c r="I7" s="9">
        <f t="shared" si="2"/>
        <v>450</v>
      </c>
      <c r="J7" s="92">
        <f t="shared" si="3"/>
        <v>1</v>
      </c>
      <c r="K7" s="92">
        <f t="shared" si="4"/>
        <v>0</v>
      </c>
      <c r="L7" s="22">
        <f>GRAFICA_60!N29</f>
        <v>12</v>
      </c>
      <c r="M7" s="22">
        <f>GRAFICA_60!O29</f>
        <v>2100000</v>
      </c>
      <c r="N7" s="6">
        <f t="shared" si="5"/>
        <v>56000</v>
      </c>
    </row>
    <row r="8" spans="2:14" ht="19.05" customHeight="1" x14ac:dyDescent="0.3">
      <c r="B8" s="26">
        <v>3</v>
      </c>
      <c r="C8" s="22">
        <f>GRAFICA_60!E30</f>
        <v>0</v>
      </c>
      <c r="D8" s="22">
        <f>GRAFICA_60!F30</f>
        <v>300</v>
      </c>
      <c r="E8" s="22">
        <f>GRAFICA_60!G30</f>
        <v>450</v>
      </c>
      <c r="F8" s="22">
        <f>GRAFICA_60!H30</f>
        <v>300</v>
      </c>
      <c r="G8" s="9">
        <f t="shared" si="0"/>
        <v>450</v>
      </c>
      <c r="H8" s="9">
        <f t="shared" si="1"/>
        <v>0</v>
      </c>
      <c r="I8" s="9">
        <f t="shared" si="2"/>
        <v>450</v>
      </c>
      <c r="J8" s="92">
        <f t="shared" si="3"/>
        <v>1</v>
      </c>
      <c r="K8" s="92">
        <f t="shared" si="4"/>
        <v>0</v>
      </c>
      <c r="L8" s="22">
        <f>GRAFICA_60!N30</f>
        <v>12</v>
      </c>
      <c r="M8" s="22">
        <f>GRAFICA_60!O30</f>
        <v>2100000</v>
      </c>
      <c r="N8" s="6">
        <f t="shared" si="5"/>
        <v>56000</v>
      </c>
    </row>
    <row r="9" spans="2:14" ht="19.05" customHeight="1" x14ac:dyDescent="0.3">
      <c r="B9" s="43">
        <v>4</v>
      </c>
      <c r="C9" s="22">
        <f>GRAFICA_60!E31</f>
        <v>450</v>
      </c>
      <c r="D9" s="22">
        <f>GRAFICA_60!F31</f>
        <v>300</v>
      </c>
      <c r="E9" s="22">
        <f>GRAFICA_60!G31</f>
        <v>900</v>
      </c>
      <c r="F9" s="22">
        <f>GRAFICA_60!H31</f>
        <v>300</v>
      </c>
      <c r="G9" s="9">
        <f t="shared" si="0"/>
        <v>450</v>
      </c>
      <c r="H9" s="9">
        <f t="shared" si="1"/>
        <v>0</v>
      </c>
      <c r="I9" s="9">
        <f t="shared" si="2"/>
        <v>450</v>
      </c>
      <c r="J9" s="92">
        <f t="shared" si="3"/>
        <v>1</v>
      </c>
      <c r="K9" s="92">
        <f t="shared" si="4"/>
        <v>0</v>
      </c>
      <c r="L9" s="22">
        <f>GRAFICA_60!N31</f>
        <v>12</v>
      </c>
      <c r="M9" s="22">
        <f>GRAFICA_60!O31</f>
        <v>2100000</v>
      </c>
      <c r="N9" s="6">
        <f t="shared" si="5"/>
        <v>56000</v>
      </c>
    </row>
    <row r="10" spans="2:14" ht="19.05" customHeight="1" x14ac:dyDescent="0.3">
      <c r="B10" s="44">
        <v>5</v>
      </c>
      <c r="C10" s="22">
        <f>GRAFICA_60!E32</f>
        <v>0</v>
      </c>
      <c r="D10" s="22">
        <f>GRAFICA_60!F32</f>
        <v>0</v>
      </c>
      <c r="E10" s="22">
        <f>GRAFICA_60!G32</f>
        <v>0</v>
      </c>
      <c r="F10" s="22">
        <f>GRAFICA_60!H32</f>
        <v>300</v>
      </c>
      <c r="G10" s="9">
        <f t="shared" si="0"/>
        <v>0</v>
      </c>
      <c r="H10" s="9">
        <f t="shared" si="1"/>
        <v>300</v>
      </c>
      <c r="I10" s="9">
        <f t="shared" si="2"/>
        <v>300</v>
      </c>
      <c r="J10" s="92">
        <f t="shared" si="3"/>
        <v>0</v>
      </c>
      <c r="K10" s="92">
        <f t="shared" si="4"/>
        <v>1</v>
      </c>
      <c r="L10" s="22">
        <f>GRAFICA_60!N32</f>
        <v>12</v>
      </c>
      <c r="M10" s="22">
        <f>GRAFICA_60!O32</f>
        <v>2100000</v>
      </c>
      <c r="N10" s="6">
        <f t="shared" si="5"/>
        <v>84000</v>
      </c>
    </row>
    <row r="11" spans="2:14" ht="19.05" customHeight="1" x14ac:dyDescent="0.3">
      <c r="B11" s="51">
        <v>6</v>
      </c>
      <c r="C11" s="22">
        <f>GRAFICA_60!E33</f>
        <v>450</v>
      </c>
      <c r="D11" s="22">
        <f>GRAFICA_60!F33</f>
        <v>0</v>
      </c>
      <c r="E11" s="22">
        <f>GRAFICA_60!G33</f>
        <v>450</v>
      </c>
      <c r="F11" s="22">
        <f>GRAFICA_60!H33</f>
        <v>300</v>
      </c>
      <c r="G11" s="9">
        <f t="shared" si="0"/>
        <v>0</v>
      </c>
      <c r="H11" s="9">
        <f t="shared" si="1"/>
        <v>300</v>
      </c>
      <c r="I11" s="9">
        <f t="shared" si="2"/>
        <v>300</v>
      </c>
      <c r="J11" s="92">
        <f t="shared" si="3"/>
        <v>0</v>
      </c>
      <c r="K11" s="92">
        <f t="shared" si="4"/>
        <v>1</v>
      </c>
      <c r="L11" s="22">
        <f>GRAFICA_60!N33</f>
        <v>12</v>
      </c>
      <c r="M11" s="22">
        <f>GRAFICA_60!O33</f>
        <v>2100000</v>
      </c>
      <c r="N11" s="6">
        <f t="shared" si="5"/>
        <v>84000</v>
      </c>
    </row>
    <row r="12" spans="2:14" ht="19.05" customHeight="1" x14ac:dyDescent="0.3">
      <c r="B12" s="52">
        <v>7</v>
      </c>
      <c r="C12" s="22">
        <f>GRAFICA_60!E34</f>
        <v>900</v>
      </c>
      <c r="D12" s="22">
        <f>GRAFICA_60!F34</f>
        <v>0</v>
      </c>
      <c r="E12" s="22">
        <f>GRAFICA_60!G34</f>
        <v>900</v>
      </c>
      <c r="F12" s="22">
        <f>GRAFICA_60!H34</f>
        <v>300</v>
      </c>
      <c r="G12" s="9">
        <f t="shared" si="0"/>
        <v>0</v>
      </c>
      <c r="H12" s="9">
        <f t="shared" si="1"/>
        <v>300</v>
      </c>
      <c r="I12" s="9">
        <f t="shared" si="2"/>
        <v>300</v>
      </c>
      <c r="J12" s="92">
        <f t="shared" si="3"/>
        <v>0</v>
      </c>
      <c r="K12" s="92">
        <f t="shared" si="4"/>
        <v>1</v>
      </c>
      <c r="L12" s="22">
        <f>GRAFICA_60!N34</f>
        <v>12</v>
      </c>
      <c r="M12" s="22">
        <f>GRAFICA_60!O34</f>
        <v>2100000</v>
      </c>
      <c r="N12" s="6">
        <f t="shared" si="5"/>
        <v>84000</v>
      </c>
    </row>
    <row r="13" spans="2:14" ht="19.05" customHeight="1" x14ac:dyDescent="0.3">
      <c r="B13" s="59">
        <v>8</v>
      </c>
      <c r="C13" s="22">
        <f>GRAFICA_60!E35</f>
        <v>0</v>
      </c>
      <c r="D13" s="22">
        <f>GRAFICA_60!F35</f>
        <v>0</v>
      </c>
      <c r="E13" s="22">
        <f>GRAFICA_60!G35</f>
        <v>450</v>
      </c>
      <c r="F13" s="22">
        <f>GRAFICA_60!H35</f>
        <v>300</v>
      </c>
      <c r="G13" s="9">
        <f t="shared" si="0"/>
        <v>450</v>
      </c>
      <c r="H13" s="9">
        <f t="shared" si="1"/>
        <v>300</v>
      </c>
      <c r="I13" s="9">
        <f t="shared" si="2"/>
        <v>540.83269131959844</v>
      </c>
      <c r="J13" s="92">
        <f t="shared" si="3"/>
        <v>0.83205029433784361</v>
      </c>
      <c r="K13" s="92">
        <f t="shared" si="4"/>
        <v>0.55470019622522904</v>
      </c>
      <c r="L13" s="22">
        <f>GRAFICA_60!N35</f>
        <v>12</v>
      </c>
      <c r="M13" s="22">
        <f>GRAFICA_60!O35</f>
        <v>2100000</v>
      </c>
      <c r="N13" s="6">
        <f t="shared" si="5"/>
        <v>46594.816482919239</v>
      </c>
    </row>
    <row r="14" spans="2:14" ht="19.05" customHeight="1" x14ac:dyDescent="0.3">
      <c r="B14" s="60">
        <v>9</v>
      </c>
      <c r="C14" s="22">
        <f>GRAFICA_60!E36</f>
        <v>0</v>
      </c>
      <c r="D14" s="22">
        <f>GRAFICA_60!F36</f>
        <v>300</v>
      </c>
      <c r="E14" s="22">
        <f>GRAFICA_60!G36</f>
        <v>450</v>
      </c>
      <c r="F14" s="22">
        <f>GRAFICA_60!H36</f>
        <v>0</v>
      </c>
      <c r="G14" s="9">
        <f t="shared" si="0"/>
        <v>450</v>
      </c>
      <c r="H14" s="9">
        <f t="shared" si="1"/>
        <v>-300</v>
      </c>
      <c r="I14" s="9">
        <f t="shared" si="2"/>
        <v>540.83269131959844</v>
      </c>
      <c r="J14" s="92">
        <f t="shared" si="3"/>
        <v>0.83205029433784361</v>
      </c>
      <c r="K14" s="92">
        <f t="shared" si="4"/>
        <v>-0.55470019622522904</v>
      </c>
      <c r="L14" s="22">
        <f>GRAFICA_60!N36</f>
        <v>12</v>
      </c>
      <c r="M14" s="22">
        <f>GRAFICA_60!O36</f>
        <v>2100000</v>
      </c>
      <c r="N14" s="6">
        <f t="shared" si="5"/>
        <v>46594.816482919239</v>
      </c>
    </row>
    <row r="15" spans="2:14" ht="19.05" customHeight="1" x14ac:dyDescent="0.3">
      <c r="B15" s="67">
        <v>10</v>
      </c>
      <c r="C15" s="22">
        <f>GRAFICA_60!E37</f>
        <v>450</v>
      </c>
      <c r="D15" s="22">
        <f>GRAFICA_60!F37</f>
        <v>0</v>
      </c>
      <c r="E15" s="22">
        <f>GRAFICA_60!G37</f>
        <v>900</v>
      </c>
      <c r="F15" s="22">
        <f>GRAFICA_60!H37</f>
        <v>300</v>
      </c>
      <c r="G15" s="9">
        <f t="shared" si="0"/>
        <v>450</v>
      </c>
      <c r="H15" s="9">
        <f t="shared" si="1"/>
        <v>300</v>
      </c>
      <c r="I15" s="9">
        <f t="shared" si="2"/>
        <v>540.83269131959844</v>
      </c>
      <c r="J15" s="92">
        <f t="shared" si="3"/>
        <v>0.83205029433784361</v>
      </c>
      <c r="K15" s="92">
        <f t="shared" si="4"/>
        <v>0.55470019622522904</v>
      </c>
      <c r="L15" s="22">
        <f>GRAFICA_60!N37</f>
        <v>12</v>
      </c>
      <c r="M15" s="22">
        <f>GRAFICA_60!O37</f>
        <v>2100000</v>
      </c>
      <c r="N15" s="6">
        <f t="shared" si="5"/>
        <v>46594.816482919239</v>
      </c>
    </row>
    <row r="16" spans="2:14" ht="19.05" customHeight="1" x14ac:dyDescent="0.3">
      <c r="B16" s="68">
        <v>11</v>
      </c>
      <c r="C16" s="22">
        <f>GRAFICA_60!E38</f>
        <v>450</v>
      </c>
      <c r="D16" s="22">
        <f>GRAFICA_60!F38</f>
        <v>300</v>
      </c>
      <c r="E16" s="22">
        <f>GRAFICA_60!G38</f>
        <v>900</v>
      </c>
      <c r="F16" s="22">
        <f>GRAFICA_60!H38</f>
        <v>0</v>
      </c>
      <c r="G16" s="9">
        <f t="shared" si="0"/>
        <v>450</v>
      </c>
      <c r="H16" s="9">
        <f t="shared" si="1"/>
        <v>-300</v>
      </c>
      <c r="I16" s="9">
        <f t="shared" si="2"/>
        <v>540.83269131959844</v>
      </c>
      <c r="J16" s="92">
        <f t="shared" si="3"/>
        <v>0.83205029433784361</v>
      </c>
      <c r="K16" s="92">
        <f t="shared" si="4"/>
        <v>-0.55470019622522904</v>
      </c>
      <c r="L16" s="22">
        <f>GRAFICA_60!N38</f>
        <v>12</v>
      </c>
      <c r="M16" s="22">
        <f>GRAFICA_60!O38</f>
        <v>2100000</v>
      </c>
      <c r="N16" s="6">
        <f t="shared" si="5"/>
        <v>46594.816482919239</v>
      </c>
    </row>
    <row r="17" spans="2:14" ht="19.05" customHeight="1" x14ac:dyDescent="0.3">
      <c r="B17" s="10">
        <v>12</v>
      </c>
      <c r="C17" s="22">
        <f>GRAFICA_60!E39</f>
        <v>0</v>
      </c>
      <c r="D17" s="22">
        <f>GRAFICA_60!F39</f>
        <v>300</v>
      </c>
      <c r="E17" s="22">
        <f>GRAFICA_60!G39</f>
        <v>900</v>
      </c>
      <c r="F17" s="22">
        <f>GRAFICA_60!H39</f>
        <v>0</v>
      </c>
      <c r="G17" s="9">
        <f t="shared" si="0"/>
        <v>900</v>
      </c>
      <c r="H17" s="9">
        <f t="shared" si="1"/>
        <v>-300</v>
      </c>
      <c r="I17" s="9">
        <f t="shared" si="2"/>
        <v>948.68329805051383</v>
      </c>
      <c r="J17" s="92">
        <f t="shared" si="3"/>
        <v>0.94868329805051377</v>
      </c>
      <c r="K17" s="92">
        <f t="shared" si="4"/>
        <v>-0.31622776601683794</v>
      </c>
      <c r="L17" s="22">
        <f>GRAFICA_60!N39</f>
        <v>12</v>
      </c>
      <c r="M17" s="22">
        <f>GRAFICA_60!O39</f>
        <v>2100000</v>
      </c>
      <c r="N17" s="6">
        <f t="shared" si="5"/>
        <v>26563.132345414386</v>
      </c>
    </row>
    <row r="19" spans="2:14" ht="18" customHeight="1" x14ac:dyDescent="0.3">
      <c r="B19" s="202" t="s">
        <v>145</v>
      </c>
      <c r="C19" s="202" t="s">
        <v>369</v>
      </c>
      <c r="D19" s="173"/>
      <c r="E19" s="202" t="s">
        <v>370</v>
      </c>
      <c r="F19" s="173"/>
    </row>
    <row r="20" spans="2:14" ht="18" customHeight="1" x14ac:dyDescent="0.3">
      <c r="B20" s="203"/>
      <c r="C20" s="81" t="s">
        <v>157</v>
      </c>
      <c r="D20" s="81" t="s">
        <v>158</v>
      </c>
      <c r="E20" s="81" t="s">
        <v>157</v>
      </c>
      <c r="F20" s="81" t="s">
        <v>158</v>
      </c>
    </row>
    <row r="21" spans="2:14" ht="19.05" customHeight="1" x14ac:dyDescent="0.3">
      <c r="B21" s="85">
        <v>1</v>
      </c>
      <c r="C21" s="23">
        <f>GRAFICA_60!C28</f>
        <v>1</v>
      </c>
      <c r="D21" s="23">
        <f>GRAFICA_60!C28</f>
        <v>1</v>
      </c>
      <c r="E21" s="23">
        <f>GRAFICA_60!D28</f>
        <v>2</v>
      </c>
      <c r="F21" s="23">
        <f>GRAFICA_60!D28</f>
        <v>2</v>
      </c>
    </row>
    <row r="22" spans="2:14" ht="19.05" customHeight="1" x14ac:dyDescent="0.3">
      <c r="B22" s="25">
        <v>2</v>
      </c>
      <c r="C22" s="23">
        <f>GRAFICA_60!C29</f>
        <v>2</v>
      </c>
      <c r="D22" s="23">
        <f>GRAFICA_60!C29</f>
        <v>2</v>
      </c>
      <c r="E22" s="23">
        <f>GRAFICA_60!D29</f>
        <v>3</v>
      </c>
      <c r="F22" s="23">
        <f>GRAFICA_60!D29</f>
        <v>3</v>
      </c>
    </row>
    <row r="23" spans="2:14" ht="19.05" customHeight="1" x14ac:dyDescent="0.3">
      <c r="B23" s="26">
        <v>3</v>
      </c>
      <c r="C23" s="23">
        <f>GRAFICA_60!C30</f>
        <v>4</v>
      </c>
      <c r="D23" s="23">
        <f>GRAFICA_60!C30</f>
        <v>4</v>
      </c>
      <c r="E23" s="23">
        <f>GRAFICA_60!D30</f>
        <v>5</v>
      </c>
      <c r="F23" s="23">
        <f>GRAFICA_60!D30</f>
        <v>5</v>
      </c>
    </row>
    <row r="24" spans="2:14" ht="19.05" customHeight="1" x14ac:dyDescent="0.3">
      <c r="B24" s="43">
        <v>4</v>
      </c>
      <c r="C24" s="23">
        <f>GRAFICA_60!C31</f>
        <v>5</v>
      </c>
      <c r="D24" s="23">
        <f>GRAFICA_60!C31</f>
        <v>5</v>
      </c>
      <c r="E24" s="23">
        <f>GRAFICA_60!D31</f>
        <v>6</v>
      </c>
      <c r="F24" s="23">
        <f>GRAFICA_60!D31</f>
        <v>6</v>
      </c>
    </row>
    <row r="25" spans="2:14" ht="19.05" customHeight="1" x14ac:dyDescent="0.3">
      <c r="B25" s="44">
        <v>5</v>
      </c>
      <c r="C25" s="23">
        <f>GRAFICA_60!C32</f>
        <v>1</v>
      </c>
      <c r="D25" s="23">
        <f>GRAFICA_60!C32</f>
        <v>1</v>
      </c>
      <c r="E25" s="23">
        <f>GRAFICA_60!D32</f>
        <v>4</v>
      </c>
      <c r="F25" s="23">
        <f>GRAFICA_60!D32</f>
        <v>4</v>
      </c>
    </row>
    <row r="26" spans="2:14" ht="19.05" customHeight="1" x14ac:dyDescent="0.3">
      <c r="B26" s="51">
        <v>6</v>
      </c>
      <c r="C26" s="23">
        <f>GRAFICA_60!C33</f>
        <v>2</v>
      </c>
      <c r="D26" s="23">
        <f>GRAFICA_60!C33</f>
        <v>2</v>
      </c>
      <c r="E26" s="23">
        <f>GRAFICA_60!D33</f>
        <v>5</v>
      </c>
      <c r="F26" s="23">
        <f>GRAFICA_60!D33</f>
        <v>5</v>
      </c>
    </row>
    <row r="27" spans="2:14" ht="19.05" customHeight="1" x14ac:dyDescent="0.3">
      <c r="B27" s="52">
        <v>7</v>
      </c>
      <c r="C27" s="23">
        <f>GRAFICA_60!C34</f>
        <v>3</v>
      </c>
      <c r="D27" s="23">
        <f>GRAFICA_60!C34</f>
        <v>3</v>
      </c>
      <c r="E27" s="23">
        <f>GRAFICA_60!D34</f>
        <v>6</v>
      </c>
      <c r="F27" s="23">
        <f>GRAFICA_60!D34</f>
        <v>6</v>
      </c>
    </row>
    <row r="28" spans="2:14" ht="19.05" customHeight="1" x14ac:dyDescent="0.3">
      <c r="B28" s="59">
        <v>8</v>
      </c>
      <c r="C28" s="23">
        <f>GRAFICA_60!C35</f>
        <v>1</v>
      </c>
      <c r="D28" s="23">
        <f>GRAFICA_60!C35</f>
        <v>1</v>
      </c>
      <c r="E28" s="23">
        <f>GRAFICA_60!D35</f>
        <v>5</v>
      </c>
      <c r="F28" s="23">
        <f>GRAFICA_60!D35</f>
        <v>5</v>
      </c>
    </row>
    <row r="29" spans="2:14" ht="19.05" customHeight="1" x14ac:dyDescent="0.3">
      <c r="B29" s="60">
        <v>9</v>
      </c>
      <c r="C29" s="23">
        <f>GRAFICA_60!C36</f>
        <v>4</v>
      </c>
      <c r="D29" s="23">
        <f>GRAFICA_60!C36</f>
        <v>4</v>
      </c>
      <c r="E29" s="23">
        <f>GRAFICA_60!D36</f>
        <v>2</v>
      </c>
      <c r="F29" s="23">
        <f>GRAFICA_60!D36</f>
        <v>2</v>
      </c>
    </row>
    <row r="30" spans="2:14" ht="19.05" customHeight="1" x14ac:dyDescent="0.3">
      <c r="B30" s="67">
        <v>10</v>
      </c>
      <c r="C30" s="23">
        <f>GRAFICA_60!C37</f>
        <v>2</v>
      </c>
      <c r="D30" s="23">
        <f>GRAFICA_60!C37</f>
        <v>2</v>
      </c>
      <c r="E30" s="23">
        <f>GRAFICA_60!D37</f>
        <v>6</v>
      </c>
      <c r="F30" s="23">
        <f>GRAFICA_60!D37</f>
        <v>6</v>
      </c>
    </row>
    <row r="31" spans="2:14" ht="19.05" customHeight="1" x14ac:dyDescent="0.3">
      <c r="B31" s="68">
        <v>11</v>
      </c>
      <c r="C31" s="23">
        <f>GRAFICA_60!C38</f>
        <v>5</v>
      </c>
      <c r="D31" s="23">
        <f>GRAFICA_60!C38</f>
        <v>5</v>
      </c>
      <c r="E31" s="23">
        <f>GRAFICA_60!D38</f>
        <v>3</v>
      </c>
      <c r="F31" s="23">
        <f>GRAFICA_60!D38</f>
        <v>3</v>
      </c>
    </row>
    <row r="32" spans="2:14" ht="19.05" customHeight="1" x14ac:dyDescent="0.3">
      <c r="B32" s="10">
        <v>12</v>
      </c>
      <c r="C32" s="23">
        <f>GRAFICA_60!C39</f>
        <v>4</v>
      </c>
      <c r="D32" s="23">
        <f>GRAFICA_60!C39</f>
        <v>4</v>
      </c>
      <c r="E32" s="23">
        <f>GRAFICA_60!D39</f>
        <v>3</v>
      </c>
      <c r="F32" s="23">
        <f>GRAFICA_60!D39</f>
        <v>3</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56000</v>
      </c>
      <c r="C36" s="7">
        <f>J6*K6*N6</f>
        <v>0</v>
      </c>
      <c r="D36" s="7">
        <f>-B36</f>
        <v>-56000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-56000</v>
      </c>
      <c r="C38" s="7">
        <f>E36</f>
        <v>0</v>
      </c>
      <c r="D38" s="7">
        <f>B36</f>
        <v>56000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56000</v>
      </c>
      <c r="C42" s="8">
        <f t="shared" si="6"/>
        <v>0</v>
      </c>
      <c r="D42" s="8">
        <f t="shared" si="6"/>
        <v>-56000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-56000</v>
      </c>
      <c r="C44" s="8">
        <f t="shared" si="6"/>
        <v>0</v>
      </c>
      <c r="D44" s="8">
        <f t="shared" si="6"/>
        <v>56000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56000</v>
      </c>
      <c r="C57" s="30">
        <f>J7*K7*N7</f>
        <v>0</v>
      </c>
      <c r="D57" s="30">
        <f>-B57</f>
        <v>-56000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-56000</v>
      </c>
      <c r="C59" s="30">
        <f>E57</f>
        <v>0</v>
      </c>
      <c r="D59" s="30">
        <f>B57</f>
        <v>56000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56000</v>
      </c>
      <c r="E65" s="31">
        <f t="shared" si="7"/>
        <v>0</v>
      </c>
      <c r="F65" s="31">
        <f t="shared" si="7"/>
        <v>-56000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-56000</v>
      </c>
      <c r="E67" s="31">
        <f t="shared" si="7"/>
        <v>0</v>
      </c>
      <c r="F67" s="31">
        <f t="shared" si="7"/>
        <v>56000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56000</v>
      </c>
      <c r="C78" s="33">
        <f>J8*K8*N8</f>
        <v>0</v>
      </c>
      <c r="D78" s="33">
        <f>-B78</f>
        <v>-56000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-56000</v>
      </c>
      <c r="C80" s="33">
        <f>E78</f>
        <v>0</v>
      </c>
      <c r="D80" s="33">
        <f>B78</f>
        <v>56000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56000</v>
      </c>
      <c r="I90" s="34">
        <f t="shared" si="8"/>
        <v>0</v>
      </c>
      <c r="J90" s="34">
        <f t="shared" si="8"/>
        <v>-56000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-56000</v>
      </c>
      <c r="I92" s="34">
        <f t="shared" si="8"/>
        <v>0</v>
      </c>
      <c r="J92" s="34">
        <f t="shared" si="8"/>
        <v>56000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56000</v>
      </c>
      <c r="C99" s="46">
        <f>J9*K9*N9</f>
        <v>0</v>
      </c>
      <c r="D99" s="46">
        <f>-B99</f>
        <v>-56000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-56000</v>
      </c>
      <c r="C101" s="46">
        <f>E99</f>
        <v>0</v>
      </c>
      <c r="D101" s="46">
        <f>B99</f>
        <v>56000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56000</v>
      </c>
      <c r="K113" s="47">
        <f t="shared" si="9"/>
        <v>0</v>
      </c>
      <c r="L113" s="47">
        <f t="shared" si="9"/>
        <v>-56000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-56000</v>
      </c>
      <c r="K115" s="47">
        <f t="shared" si="9"/>
        <v>0</v>
      </c>
      <c r="L115" s="47">
        <f t="shared" si="9"/>
        <v>56000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84000</v>
      </c>
      <c r="D121" s="49">
        <f>-B121</f>
        <v>0</v>
      </c>
      <c r="E121" s="49">
        <f>-C121</f>
        <v>-84000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-84000</v>
      </c>
      <c r="D123" s="49">
        <f>B121</f>
        <v>0</v>
      </c>
      <c r="E123" s="49">
        <f>C121</f>
        <v>84000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84000</v>
      </c>
      <c r="D127" s="9">
        <f t="shared" si="10"/>
        <v>0</v>
      </c>
      <c r="E127" s="9">
        <f t="shared" si="10"/>
        <v>0</v>
      </c>
      <c r="F127" s="9">
        <f t="shared" si="10"/>
        <v>0</v>
      </c>
      <c r="G127" s="9">
        <f t="shared" si="10"/>
        <v>0</v>
      </c>
      <c r="H127" s="50">
        <f t="shared" si="10"/>
        <v>0</v>
      </c>
      <c r="I127" s="50">
        <f t="shared" si="10"/>
        <v>-84000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-84000</v>
      </c>
      <c r="D133" s="9">
        <f t="shared" si="10"/>
        <v>0</v>
      </c>
      <c r="E133" s="9">
        <f t="shared" si="10"/>
        <v>0</v>
      </c>
      <c r="F133" s="9">
        <f t="shared" si="10"/>
        <v>0</v>
      </c>
      <c r="G133" s="9">
        <f t="shared" si="10"/>
        <v>0</v>
      </c>
      <c r="H133" s="50">
        <f t="shared" si="10"/>
        <v>0</v>
      </c>
      <c r="I133" s="50">
        <f t="shared" si="10"/>
        <v>84000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84000</v>
      </c>
      <c r="D142" s="54">
        <f>-B142</f>
        <v>0</v>
      </c>
      <c r="E142" s="54">
        <f>-C142</f>
        <v>-84000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-84000</v>
      </c>
      <c r="D144" s="54">
        <f>B142</f>
        <v>0</v>
      </c>
      <c r="E144" s="54">
        <f>C142</f>
        <v>84000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84000</v>
      </c>
      <c r="F150" s="9">
        <f t="shared" si="11"/>
        <v>0</v>
      </c>
      <c r="G150" s="9">
        <f t="shared" si="11"/>
        <v>0</v>
      </c>
      <c r="H150" s="9">
        <f t="shared" si="11"/>
        <v>0</v>
      </c>
      <c r="I150" s="9">
        <f t="shared" si="11"/>
        <v>0</v>
      </c>
      <c r="J150" s="55">
        <f t="shared" si="11"/>
        <v>0</v>
      </c>
      <c r="K150" s="55">
        <f t="shared" si="11"/>
        <v>-84000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-84000</v>
      </c>
      <c r="F156" s="9">
        <f t="shared" si="11"/>
        <v>0</v>
      </c>
      <c r="G156" s="9">
        <f t="shared" si="11"/>
        <v>0</v>
      </c>
      <c r="H156" s="9">
        <f t="shared" si="11"/>
        <v>0</v>
      </c>
      <c r="I156" s="9">
        <f t="shared" si="11"/>
        <v>0</v>
      </c>
      <c r="J156" s="55">
        <f t="shared" si="11"/>
        <v>0</v>
      </c>
      <c r="K156" s="55">
        <f t="shared" si="11"/>
        <v>84000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84000</v>
      </c>
      <c r="D163" s="57">
        <f>-B163</f>
        <v>0</v>
      </c>
      <c r="E163" s="57">
        <f>-C163</f>
        <v>-84000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-84000</v>
      </c>
      <c r="D165" s="57">
        <f>B163</f>
        <v>0</v>
      </c>
      <c r="E165" s="57">
        <f>C163</f>
        <v>84000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84000</v>
      </c>
      <c r="H173" s="9">
        <f t="shared" si="12"/>
        <v>0</v>
      </c>
      <c r="I173" s="9">
        <f t="shared" si="12"/>
        <v>0</v>
      </c>
      <c r="J173" s="9">
        <f t="shared" si="12"/>
        <v>0</v>
      </c>
      <c r="K173" s="9">
        <f t="shared" si="12"/>
        <v>0</v>
      </c>
      <c r="L173" s="58">
        <f t="shared" si="12"/>
        <v>0</v>
      </c>
      <c r="M173" s="58">
        <f t="shared" si="12"/>
        <v>-84000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-84000</v>
      </c>
      <c r="H179" s="9">
        <f t="shared" si="12"/>
        <v>0</v>
      </c>
      <c r="I179" s="9">
        <f t="shared" si="12"/>
        <v>0</v>
      </c>
      <c r="J179" s="9">
        <f t="shared" si="12"/>
        <v>0</v>
      </c>
      <c r="K179" s="9">
        <f t="shared" si="12"/>
        <v>0</v>
      </c>
      <c r="L179" s="58">
        <f t="shared" si="12"/>
        <v>0</v>
      </c>
      <c r="M179" s="58">
        <f t="shared" si="12"/>
        <v>84000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32257.949872790236</v>
      </c>
      <c r="C183" s="62">
        <f>J13*K13*N13</f>
        <v>21505.299915193493</v>
      </c>
      <c r="D183" s="62">
        <f>-B183</f>
        <v>-32257.949872790236</v>
      </c>
      <c r="E183" s="62">
        <f>-C183</f>
        <v>-21505.299915193493</v>
      </c>
      <c r="F183" s="61" t="str">
        <f>B182</f>
        <v>U1X</v>
      </c>
    </row>
    <row r="184" spans="1:14" ht="16.8" customHeight="1" x14ac:dyDescent="0.3">
      <c r="A184" s="28" t="s">
        <v>203</v>
      </c>
      <c r="B184" s="62">
        <f>C183</f>
        <v>21505.299915193493</v>
      </c>
      <c r="C184" s="62">
        <f>K13*K13*N13</f>
        <v>14336.866610128993</v>
      </c>
      <c r="D184" s="62">
        <f>-B184</f>
        <v>-21505.299915193493</v>
      </c>
      <c r="E184" s="62">
        <f>-C184</f>
        <v>-14336.866610128993</v>
      </c>
      <c r="F184" s="61" t="str">
        <f>C182</f>
        <v>U1Y</v>
      </c>
    </row>
    <row r="185" spans="1:14" x14ac:dyDescent="0.3">
      <c r="B185" s="62">
        <f>D183</f>
        <v>-32257.949872790236</v>
      </c>
      <c r="C185" s="62">
        <f>E183</f>
        <v>-21505.299915193493</v>
      </c>
      <c r="D185" s="62">
        <f>B183</f>
        <v>32257.949872790236</v>
      </c>
      <c r="E185" s="62">
        <f>C183</f>
        <v>21505.299915193493</v>
      </c>
      <c r="F185" s="61" t="str">
        <f>D182</f>
        <v>U5X</v>
      </c>
    </row>
    <row r="186" spans="1:14" x14ac:dyDescent="0.3">
      <c r="B186" s="62">
        <f>D184</f>
        <v>-21505.299915193493</v>
      </c>
      <c r="C186" s="62">
        <f>E184</f>
        <v>-14336.866610128993</v>
      </c>
      <c r="D186" s="62">
        <f>B184</f>
        <v>21505.299915193493</v>
      </c>
      <c r="E186" s="62">
        <f>C184</f>
        <v>14336.866610128993</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32257.949872790236</v>
      </c>
      <c r="C189" s="63">
        <f t="shared" si="13"/>
        <v>21505.299915193493</v>
      </c>
      <c r="D189" s="9">
        <f t="shared" si="13"/>
        <v>0</v>
      </c>
      <c r="E189" s="9">
        <f t="shared" si="13"/>
        <v>0</v>
      </c>
      <c r="F189" s="9">
        <f t="shared" si="13"/>
        <v>0</v>
      </c>
      <c r="G189" s="9">
        <f t="shared" si="13"/>
        <v>0</v>
      </c>
      <c r="H189" s="9">
        <f t="shared" si="13"/>
        <v>0</v>
      </c>
      <c r="I189" s="9">
        <f t="shared" si="13"/>
        <v>0</v>
      </c>
      <c r="J189" s="63">
        <f t="shared" si="13"/>
        <v>-32257.949872790236</v>
      </c>
      <c r="K189" s="63">
        <f t="shared" si="13"/>
        <v>-21505.299915193493</v>
      </c>
      <c r="L189" s="9">
        <f t="shared" si="13"/>
        <v>0</v>
      </c>
      <c r="M189" s="9">
        <f t="shared" si="13"/>
        <v>0</v>
      </c>
      <c r="N189" s="61" t="s">
        <v>178</v>
      </c>
    </row>
    <row r="190" spans="1:14" ht="19.05" customHeight="1" x14ac:dyDescent="0.3">
      <c r="B190" s="63">
        <f t="shared" si="13"/>
        <v>21505.299915193493</v>
      </c>
      <c r="C190" s="63">
        <f t="shared" si="13"/>
        <v>14336.866610128993</v>
      </c>
      <c r="D190" s="9">
        <f t="shared" si="13"/>
        <v>0</v>
      </c>
      <c r="E190" s="9">
        <f t="shared" si="13"/>
        <v>0</v>
      </c>
      <c r="F190" s="9">
        <f t="shared" si="13"/>
        <v>0</v>
      </c>
      <c r="G190" s="9">
        <f t="shared" si="13"/>
        <v>0</v>
      </c>
      <c r="H190" s="9">
        <f t="shared" si="13"/>
        <v>0</v>
      </c>
      <c r="I190" s="9">
        <f t="shared" si="13"/>
        <v>0</v>
      </c>
      <c r="J190" s="63">
        <f t="shared" si="13"/>
        <v>-21505.299915193493</v>
      </c>
      <c r="K190" s="63">
        <f t="shared" si="13"/>
        <v>-14336.866610128993</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-32257.949872790236</v>
      </c>
      <c r="C197" s="63">
        <f t="shared" si="13"/>
        <v>-21505.299915193493</v>
      </c>
      <c r="D197" s="9">
        <f t="shared" si="13"/>
        <v>0</v>
      </c>
      <c r="E197" s="9">
        <f t="shared" si="13"/>
        <v>0</v>
      </c>
      <c r="F197" s="9">
        <f t="shared" si="13"/>
        <v>0</v>
      </c>
      <c r="G197" s="9">
        <f t="shared" si="13"/>
        <v>0</v>
      </c>
      <c r="H197" s="9">
        <f t="shared" si="13"/>
        <v>0</v>
      </c>
      <c r="I197" s="9">
        <f t="shared" si="13"/>
        <v>0</v>
      </c>
      <c r="J197" s="63">
        <f t="shared" si="13"/>
        <v>32257.949872790236</v>
      </c>
      <c r="K197" s="63">
        <f t="shared" si="13"/>
        <v>21505.299915193493</v>
      </c>
      <c r="L197" s="9">
        <f t="shared" si="13"/>
        <v>0</v>
      </c>
      <c r="M197" s="9">
        <f t="shared" si="13"/>
        <v>0</v>
      </c>
      <c r="N197" s="61" t="s">
        <v>186</v>
      </c>
    </row>
    <row r="198" spans="1:14" ht="19.05" customHeight="1" x14ac:dyDescent="0.3">
      <c r="B198" s="63">
        <f t="shared" si="13"/>
        <v>-21505.299915193493</v>
      </c>
      <c r="C198" s="63">
        <f t="shared" si="13"/>
        <v>-14336.866610128993</v>
      </c>
      <c r="D198" s="9">
        <f t="shared" si="13"/>
        <v>0</v>
      </c>
      <c r="E198" s="9">
        <f t="shared" si="13"/>
        <v>0</v>
      </c>
      <c r="F198" s="9">
        <f t="shared" si="13"/>
        <v>0</v>
      </c>
      <c r="G198" s="9">
        <f t="shared" si="13"/>
        <v>0</v>
      </c>
      <c r="H198" s="9">
        <f t="shared" si="13"/>
        <v>0</v>
      </c>
      <c r="I198" s="9">
        <f t="shared" si="13"/>
        <v>0</v>
      </c>
      <c r="J198" s="63">
        <f t="shared" si="13"/>
        <v>21505.299915193493</v>
      </c>
      <c r="K198" s="63">
        <f t="shared" si="13"/>
        <v>14336.866610128993</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32257.949872790236</v>
      </c>
      <c r="C204" s="65">
        <f>J14*K14*N14</f>
        <v>-21505.299915193493</v>
      </c>
      <c r="D204" s="65">
        <f>-B204</f>
        <v>-32257.949872790236</v>
      </c>
      <c r="E204" s="65">
        <f>-C204</f>
        <v>21505.299915193493</v>
      </c>
      <c r="F204" s="64" t="str">
        <f>B203</f>
        <v>U4X</v>
      </c>
    </row>
    <row r="205" spans="1:14" ht="16.8" customHeight="1" x14ac:dyDescent="0.3">
      <c r="A205" s="28" t="s">
        <v>528</v>
      </c>
      <c r="B205" s="65">
        <f>C204</f>
        <v>-21505.299915193493</v>
      </c>
      <c r="C205" s="65">
        <f>K14*K14*N14</f>
        <v>14336.866610128993</v>
      </c>
      <c r="D205" s="65">
        <f>-B205</f>
        <v>21505.299915193493</v>
      </c>
      <c r="E205" s="65">
        <f>-C205</f>
        <v>-14336.866610128993</v>
      </c>
      <c r="F205" s="64" t="str">
        <f>C203</f>
        <v>U4Y</v>
      </c>
    </row>
    <row r="206" spans="1:14" x14ac:dyDescent="0.3">
      <c r="B206" s="65">
        <f>D204</f>
        <v>-32257.949872790236</v>
      </c>
      <c r="C206" s="65">
        <f>E204</f>
        <v>21505.299915193493</v>
      </c>
      <c r="D206" s="65">
        <f>B204</f>
        <v>32257.949872790236</v>
      </c>
      <c r="E206" s="65">
        <f>C204</f>
        <v>-21505.299915193493</v>
      </c>
      <c r="F206" s="64" t="str">
        <f>D203</f>
        <v>U2X</v>
      </c>
    </row>
    <row r="207" spans="1:14" x14ac:dyDescent="0.3">
      <c r="B207" s="65">
        <f>D205</f>
        <v>21505.299915193493</v>
      </c>
      <c r="C207" s="65">
        <f>E205</f>
        <v>-14336.866610128993</v>
      </c>
      <c r="D207" s="65">
        <f>B205</f>
        <v>-21505.299915193493</v>
      </c>
      <c r="E207" s="65">
        <f>C205</f>
        <v>14336.866610128993</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32257.949872790236</v>
      </c>
      <c r="E212" s="66">
        <f t="shared" si="14"/>
        <v>-21505.299915193493</v>
      </c>
      <c r="F212" s="9">
        <f t="shared" si="14"/>
        <v>0</v>
      </c>
      <c r="G212" s="9">
        <f t="shared" si="14"/>
        <v>0</v>
      </c>
      <c r="H212" s="66">
        <f t="shared" si="14"/>
        <v>-32257.949872790236</v>
      </c>
      <c r="I212" s="66">
        <f t="shared" si="14"/>
        <v>21505.299915193493</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-21505.299915193493</v>
      </c>
      <c r="E213" s="66">
        <f t="shared" si="14"/>
        <v>14336.866610128993</v>
      </c>
      <c r="F213" s="9">
        <f t="shared" si="14"/>
        <v>0</v>
      </c>
      <c r="G213" s="9">
        <f t="shared" si="14"/>
        <v>0</v>
      </c>
      <c r="H213" s="66">
        <f t="shared" si="14"/>
        <v>21505.299915193493</v>
      </c>
      <c r="I213" s="66">
        <f t="shared" si="14"/>
        <v>-14336.866610128993</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-32257.949872790236</v>
      </c>
      <c r="E216" s="66">
        <f t="shared" si="14"/>
        <v>21505.299915193493</v>
      </c>
      <c r="F216" s="9">
        <f t="shared" si="14"/>
        <v>0</v>
      </c>
      <c r="G216" s="9">
        <f t="shared" si="14"/>
        <v>0</v>
      </c>
      <c r="H216" s="66">
        <f t="shared" si="14"/>
        <v>32257.949872790236</v>
      </c>
      <c r="I216" s="66">
        <f t="shared" si="14"/>
        <v>-21505.299915193493</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21505.299915193493</v>
      </c>
      <c r="E217" s="66">
        <f t="shared" si="14"/>
        <v>-14336.866610128993</v>
      </c>
      <c r="F217" s="9">
        <f t="shared" si="14"/>
        <v>0</v>
      </c>
      <c r="G217" s="9">
        <f t="shared" si="14"/>
        <v>0</v>
      </c>
      <c r="H217" s="66">
        <f t="shared" si="14"/>
        <v>-21505.299915193493</v>
      </c>
      <c r="I217" s="66">
        <f t="shared" si="14"/>
        <v>14336.866610128993</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32257.949872790236</v>
      </c>
      <c r="C225" s="70">
        <f>J15*K15*N15</f>
        <v>21505.299915193493</v>
      </c>
      <c r="D225" s="70">
        <f>-B225</f>
        <v>-32257.949872790236</v>
      </c>
      <c r="E225" s="70">
        <f>-C225</f>
        <v>-21505.299915193493</v>
      </c>
      <c r="F225" s="69" t="str">
        <f>B224</f>
        <v>U2X</v>
      </c>
    </row>
    <row r="226" spans="1:14" ht="16.8" customHeight="1" x14ac:dyDescent="0.3">
      <c r="A226" s="28" t="s">
        <v>581</v>
      </c>
      <c r="B226" s="70">
        <f>C225</f>
        <v>21505.299915193493</v>
      </c>
      <c r="C226" s="70">
        <f>K15*K15*N15</f>
        <v>14336.866610128993</v>
      </c>
      <c r="D226" s="70">
        <f>-B226</f>
        <v>-21505.299915193493</v>
      </c>
      <c r="E226" s="70">
        <f>-C226</f>
        <v>-14336.866610128993</v>
      </c>
      <c r="F226" s="69" t="str">
        <f>C224</f>
        <v>U2Y</v>
      </c>
    </row>
    <row r="227" spans="1:14" x14ac:dyDescent="0.3">
      <c r="B227" s="70">
        <f>D225</f>
        <v>-32257.949872790236</v>
      </c>
      <c r="C227" s="70">
        <f>E225</f>
        <v>-21505.299915193493</v>
      </c>
      <c r="D227" s="70">
        <f>B225</f>
        <v>32257.949872790236</v>
      </c>
      <c r="E227" s="70">
        <f>C225</f>
        <v>21505.299915193493</v>
      </c>
      <c r="F227" s="69" t="str">
        <f>D224</f>
        <v>U6X</v>
      </c>
    </row>
    <row r="228" spans="1:14" x14ac:dyDescent="0.3">
      <c r="B228" s="70">
        <f>D226</f>
        <v>-21505.299915193493</v>
      </c>
      <c r="C228" s="70">
        <f>E226</f>
        <v>-14336.866610128993</v>
      </c>
      <c r="D228" s="70">
        <f>B226</f>
        <v>21505.299915193493</v>
      </c>
      <c r="E228" s="70">
        <f>C226</f>
        <v>14336.866610128993</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32257.949872790236</v>
      </c>
      <c r="E233" s="71">
        <f t="shared" si="15"/>
        <v>21505.299915193493</v>
      </c>
      <c r="F233" s="9">
        <f t="shared" si="15"/>
        <v>0</v>
      </c>
      <c r="G233" s="9">
        <f t="shared" si="15"/>
        <v>0</v>
      </c>
      <c r="H233" s="9">
        <f t="shared" si="15"/>
        <v>0</v>
      </c>
      <c r="I233" s="9">
        <f t="shared" si="15"/>
        <v>0</v>
      </c>
      <c r="J233" s="9">
        <f t="shared" si="15"/>
        <v>0</v>
      </c>
      <c r="K233" s="9">
        <f t="shared" si="15"/>
        <v>0</v>
      </c>
      <c r="L233" s="71">
        <f t="shared" si="15"/>
        <v>-32257.949872790236</v>
      </c>
      <c r="M233" s="71">
        <f t="shared" si="15"/>
        <v>-21505.299915193493</v>
      </c>
      <c r="N233" s="69" t="s">
        <v>180</v>
      </c>
    </row>
    <row r="234" spans="1:14" ht="19.05" customHeight="1" x14ac:dyDescent="0.3">
      <c r="B234" s="9">
        <f t="shared" si="15"/>
        <v>0</v>
      </c>
      <c r="C234" s="9">
        <f t="shared" si="15"/>
        <v>0</v>
      </c>
      <c r="D234" s="71">
        <f t="shared" si="15"/>
        <v>21505.299915193493</v>
      </c>
      <c r="E234" s="71">
        <f t="shared" si="15"/>
        <v>14336.866610128993</v>
      </c>
      <c r="F234" s="9">
        <f t="shared" si="15"/>
        <v>0</v>
      </c>
      <c r="G234" s="9">
        <f t="shared" si="15"/>
        <v>0</v>
      </c>
      <c r="H234" s="9">
        <f t="shared" si="15"/>
        <v>0</v>
      </c>
      <c r="I234" s="9">
        <f t="shared" si="15"/>
        <v>0</v>
      </c>
      <c r="J234" s="9">
        <f t="shared" si="15"/>
        <v>0</v>
      </c>
      <c r="K234" s="9">
        <f t="shared" si="15"/>
        <v>0</v>
      </c>
      <c r="L234" s="71">
        <f t="shared" si="15"/>
        <v>-21505.299915193493</v>
      </c>
      <c r="M234" s="71">
        <f t="shared" si="15"/>
        <v>-14336.866610128993</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-32257.949872790236</v>
      </c>
      <c r="E241" s="71">
        <f t="shared" si="15"/>
        <v>-21505.299915193493</v>
      </c>
      <c r="F241" s="9">
        <f t="shared" si="15"/>
        <v>0</v>
      </c>
      <c r="G241" s="9">
        <f t="shared" si="15"/>
        <v>0</v>
      </c>
      <c r="H241" s="9">
        <f t="shared" si="15"/>
        <v>0</v>
      </c>
      <c r="I241" s="9">
        <f t="shared" si="15"/>
        <v>0</v>
      </c>
      <c r="J241" s="9">
        <f t="shared" si="15"/>
        <v>0</v>
      </c>
      <c r="K241" s="9">
        <f t="shared" si="15"/>
        <v>0</v>
      </c>
      <c r="L241" s="71">
        <f t="shared" si="15"/>
        <v>32257.949872790236</v>
      </c>
      <c r="M241" s="71">
        <f t="shared" si="15"/>
        <v>21505.299915193493</v>
      </c>
      <c r="N241" s="69" t="s">
        <v>188</v>
      </c>
    </row>
    <row r="242" spans="1:14" ht="19.05" customHeight="1" x14ac:dyDescent="0.3">
      <c r="B242" s="9">
        <f t="shared" si="15"/>
        <v>0</v>
      </c>
      <c r="C242" s="9">
        <f t="shared" si="15"/>
        <v>0</v>
      </c>
      <c r="D242" s="71">
        <f t="shared" si="15"/>
        <v>-21505.299915193493</v>
      </c>
      <c r="E242" s="71">
        <f t="shared" si="15"/>
        <v>-14336.866610128993</v>
      </c>
      <c r="F242" s="9">
        <f t="shared" si="15"/>
        <v>0</v>
      </c>
      <c r="G242" s="9">
        <f t="shared" si="15"/>
        <v>0</v>
      </c>
      <c r="H242" s="9">
        <f t="shared" si="15"/>
        <v>0</v>
      </c>
      <c r="I242" s="9">
        <f t="shared" si="15"/>
        <v>0</v>
      </c>
      <c r="J242" s="9">
        <f t="shared" si="15"/>
        <v>0</v>
      </c>
      <c r="K242" s="9">
        <f t="shared" si="15"/>
        <v>0</v>
      </c>
      <c r="L242" s="71">
        <f t="shared" si="15"/>
        <v>21505.299915193493</v>
      </c>
      <c r="M242" s="71">
        <f t="shared" si="15"/>
        <v>14336.866610128993</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32257.949872790236</v>
      </c>
      <c r="C246" s="73">
        <f>J16*K16*N16</f>
        <v>-21505.299915193493</v>
      </c>
      <c r="D246" s="73">
        <f>-B246</f>
        <v>-32257.949872790236</v>
      </c>
      <c r="E246" s="73">
        <f>-C246</f>
        <v>21505.299915193493</v>
      </c>
      <c r="F246" s="72" t="str">
        <f>B245</f>
        <v>U5X</v>
      </c>
    </row>
    <row r="247" spans="1:14" ht="16.8" customHeight="1" x14ac:dyDescent="0.3">
      <c r="A247" s="28" t="s">
        <v>583</v>
      </c>
      <c r="B247" s="73">
        <f>C246</f>
        <v>-21505.299915193493</v>
      </c>
      <c r="C247" s="73">
        <f>K16*K16*N16</f>
        <v>14336.866610128993</v>
      </c>
      <c r="D247" s="73">
        <f>-B247</f>
        <v>21505.299915193493</v>
      </c>
      <c r="E247" s="73">
        <f>-C247</f>
        <v>-14336.866610128993</v>
      </c>
      <c r="F247" s="72" t="str">
        <f>C245</f>
        <v>U5Y</v>
      </c>
    </row>
    <row r="248" spans="1:14" x14ac:dyDescent="0.3">
      <c r="B248" s="73">
        <f>D246</f>
        <v>-32257.949872790236</v>
      </c>
      <c r="C248" s="73">
        <f>E246</f>
        <v>21505.299915193493</v>
      </c>
      <c r="D248" s="73">
        <f>B246</f>
        <v>32257.949872790236</v>
      </c>
      <c r="E248" s="73">
        <f>C246</f>
        <v>-21505.299915193493</v>
      </c>
      <c r="F248" s="72" t="str">
        <f>D245</f>
        <v>U3X</v>
      </c>
    </row>
    <row r="249" spans="1:14" x14ac:dyDescent="0.3">
      <c r="B249" s="73">
        <f>D247</f>
        <v>21505.299915193493</v>
      </c>
      <c r="C249" s="73">
        <f>E247</f>
        <v>-14336.866610128993</v>
      </c>
      <c r="D249" s="73">
        <f>B247</f>
        <v>-21505.299915193493</v>
      </c>
      <c r="E249" s="73">
        <f>C247</f>
        <v>14336.866610128993</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32257.949872790236</v>
      </c>
      <c r="G256" s="74">
        <f t="shared" si="16"/>
        <v>-21505.299915193493</v>
      </c>
      <c r="H256" s="9">
        <f t="shared" si="16"/>
        <v>0</v>
      </c>
      <c r="I256" s="9">
        <f t="shared" si="16"/>
        <v>0</v>
      </c>
      <c r="J256" s="74">
        <f t="shared" si="16"/>
        <v>-32257.949872790236</v>
      </c>
      <c r="K256" s="74">
        <f t="shared" si="16"/>
        <v>21505.299915193493</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-21505.299915193493</v>
      </c>
      <c r="G257" s="74">
        <f t="shared" si="16"/>
        <v>14336.866610128993</v>
      </c>
      <c r="H257" s="9">
        <f t="shared" si="16"/>
        <v>0</v>
      </c>
      <c r="I257" s="9">
        <f t="shared" si="16"/>
        <v>0</v>
      </c>
      <c r="J257" s="74">
        <f t="shared" si="16"/>
        <v>21505.299915193493</v>
      </c>
      <c r="K257" s="74">
        <f t="shared" si="16"/>
        <v>-14336.866610128993</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-32257.949872790236</v>
      </c>
      <c r="G260" s="74">
        <f t="shared" si="16"/>
        <v>21505.299915193493</v>
      </c>
      <c r="H260" s="9">
        <f t="shared" si="16"/>
        <v>0</v>
      </c>
      <c r="I260" s="9">
        <f t="shared" si="16"/>
        <v>0</v>
      </c>
      <c r="J260" s="74">
        <f t="shared" si="16"/>
        <v>32257.949872790236</v>
      </c>
      <c r="K260" s="74">
        <f t="shared" si="16"/>
        <v>-21505.299915193493</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21505.299915193493</v>
      </c>
      <c r="G261" s="74">
        <f t="shared" si="16"/>
        <v>-14336.866610128993</v>
      </c>
      <c r="H261" s="9">
        <f t="shared" si="16"/>
        <v>0</v>
      </c>
      <c r="I261" s="9">
        <f t="shared" si="16"/>
        <v>0</v>
      </c>
      <c r="J261" s="74">
        <f t="shared" si="16"/>
        <v>-21505.299915193493</v>
      </c>
      <c r="K261" s="74">
        <f t="shared" si="16"/>
        <v>14336.866610128993</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U4X</v>
      </c>
      <c r="C266" s="89" t="str">
        <f>CONCATENATE("U",D32,D$20)</f>
        <v>U4Y</v>
      </c>
      <c r="D266" s="89" t="str">
        <f>CONCATENATE("U",E32,E$20)</f>
        <v>U3X</v>
      </c>
      <c r="E266" s="89" t="str">
        <f>CONCATENATE("U",F32,F$20)</f>
        <v>U3Y</v>
      </c>
    </row>
    <row r="267" spans="1:14" x14ac:dyDescent="0.3">
      <c r="B267" s="76">
        <f>J17*J17*N17</f>
        <v>23906.819110872944</v>
      </c>
      <c r="C267" s="76">
        <f>J17*K17*N17</f>
        <v>-7968.9397036243154</v>
      </c>
      <c r="D267" s="76">
        <f>-B267</f>
        <v>-23906.819110872944</v>
      </c>
      <c r="E267" s="76">
        <f>-C267</f>
        <v>7968.9397036243154</v>
      </c>
      <c r="F267" s="89" t="str">
        <f>B266</f>
        <v>U4X</v>
      </c>
    </row>
    <row r="268" spans="1:14" ht="16.8" customHeight="1" x14ac:dyDescent="0.3">
      <c r="A268" s="28" t="s">
        <v>603</v>
      </c>
      <c r="B268" s="76">
        <f>C267</f>
        <v>-7968.9397036243154</v>
      </c>
      <c r="C268" s="76">
        <f>K17*K17*N17</f>
        <v>2656.3132345414388</v>
      </c>
      <c r="D268" s="76">
        <f>-B268</f>
        <v>7968.9397036243154</v>
      </c>
      <c r="E268" s="76">
        <f>-C268</f>
        <v>-2656.3132345414388</v>
      </c>
      <c r="F268" s="89" t="str">
        <f>C266</f>
        <v>U4Y</v>
      </c>
    </row>
    <row r="269" spans="1:14" x14ac:dyDescent="0.3">
      <c r="B269" s="76">
        <f>D267</f>
        <v>-23906.819110872944</v>
      </c>
      <c r="C269" s="76">
        <f>E267</f>
        <v>7968.9397036243154</v>
      </c>
      <c r="D269" s="76">
        <f>B267</f>
        <v>23906.819110872944</v>
      </c>
      <c r="E269" s="76">
        <f>C267</f>
        <v>-7968.9397036243154</v>
      </c>
      <c r="F269" s="89" t="str">
        <f>D266</f>
        <v>U3X</v>
      </c>
    </row>
    <row r="270" spans="1:14" x14ac:dyDescent="0.3">
      <c r="B270" s="76">
        <f>D268</f>
        <v>7968.9397036243154</v>
      </c>
      <c r="C270" s="76">
        <f>E268</f>
        <v>-2656.3132345414388</v>
      </c>
      <c r="D270" s="76">
        <f>B268</f>
        <v>-7968.9397036243154</v>
      </c>
      <c r="E270" s="76">
        <f>C268</f>
        <v>2656.3132345414388</v>
      </c>
      <c r="F270" s="89" t="str">
        <f>E266</f>
        <v>U3Y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9">
        <f t="shared" ref="B273:M284" si="17">IFERROR(INDEX($B$267:$E$270, MATCH($N273, $B$266:$E$266, 0), MATCH(B$272, $B$266:$E$266, 0)), 0)</f>
        <v>0</v>
      </c>
      <c r="C273" s="9">
        <f t="shared" si="17"/>
        <v>0</v>
      </c>
      <c r="D273" s="9">
        <f t="shared" si="17"/>
        <v>0</v>
      </c>
      <c r="E273" s="9">
        <f t="shared" si="17"/>
        <v>0</v>
      </c>
      <c r="F273" s="9">
        <f t="shared" si="17"/>
        <v>0</v>
      </c>
      <c r="G273" s="9">
        <f t="shared" si="17"/>
        <v>0</v>
      </c>
      <c r="H273" s="9">
        <f t="shared" si="17"/>
        <v>0</v>
      </c>
      <c r="I273" s="9">
        <f t="shared" si="17"/>
        <v>0</v>
      </c>
      <c r="J273" s="9">
        <f t="shared" si="17"/>
        <v>0</v>
      </c>
      <c r="K273" s="9">
        <f t="shared" si="17"/>
        <v>0</v>
      </c>
      <c r="L273" s="9">
        <f t="shared" si="17"/>
        <v>0</v>
      </c>
      <c r="M273" s="9">
        <f t="shared" si="17"/>
        <v>0</v>
      </c>
      <c r="N273" s="89" t="s">
        <v>178</v>
      </c>
    </row>
    <row r="274" spans="1:14" ht="19.05" customHeight="1" x14ac:dyDescent="0.3">
      <c r="B274" s="9">
        <f t="shared" si="17"/>
        <v>0</v>
      </c>
      <c r="C274" s="9">
        <f t="shared" si="17"/>
        <v>0</v>
      </c>
      <c r="D274" s="9">
        <f t="shared" si="17"/>
        <v>0</v>
      </c>
      <c r="E274" s="9">
        <f t="shared" si="17"/>
        <v>0</v>
      </c>
      <c r="F274" s="9">
        <f t="shared" si="17"/>
        <v>0</v>
      </c>
      <c r="G274" s="9">
        <f t="shared" si="17"/>
        <v>0</v>
      </c>
      <c r="H274" s="9">
        <f t="shared" si="17"/>
        <v>0</v>
      </c>
      <c r="I274" s="9">
        <f t="shared" si="17"/>
        <v>0</v>
      </c>
      <c r="J274" s="9">
        <f t="shared" si="17"/>
        <v>0</v>
      </c>
      <c r="K274" s="9">
        <f t="shared" si="17"/>
        <v>0</v>
      </c>
      <c r="L274" s="9">
        <f t="shared" si="17"/>
        <v>0</v>
      </c>
      <c r="M274" s="9">
        <f t="shared" si="17"/>
        <v>0</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77">
        <f t="shared" si="17"/>
        <v>23906.819110872944</v>
      </c>
      <c r="G277" s="77">
        <f t="shared" si="17"/>
        <v>-7968.9397036243154</v>
      </c>
      <c r="H277" s="77">
        <f t="shared" si="17"/>
        <v>-23906.819110872944</v>
      </c>
      <c r="I277" s="77">
        <f t="shared" si="17"/>
        <v>7968.9397036243154</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77">
        <f t="shared" si="17"/>
        <v>-7968.9397036243154</v>
      </c>
      <c r="G278" s="77">
        <f t="shared" si="17"/>
        <v>2656.3132345414388</v>
      </c>
      <c r="H278" s="77">
        <f t="shared" si="17"/>
        <v>7968.9397036243154</v>
      </c>
      <c r="I278" s="77">
        <f t="shared" si="17"/>
        <v>-2656.3132345414388</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77">
        <f t="shared" si="17"/>
        <v>-23906.819110872944</v>
      </c>
      <c r="G279" s="77">
        <f t="shared" si="17"/>
        <v>7968.9397036243154</v>
      </c>
      <c r="H279" s="77">
        <f t="shared" si="17"/>
        <v>23906.819110872944</v>
      </c>
      <c r="I279" s="77">
        <f t="shared" si="17"/>
        <v>-7968.9397036243154</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77">
        <f t="shared" si="17"/>
        <v>7968.9397036243154</v>
      </c>
      <c r="G280" s="77">
        <f t="shared" si="17"/>
        <v>-2656.3132345414388</v>
      </c>
      <c r="H280" s="77">
        <f t="shared" si="17"/>
        <v>-7968.9397036243154</v>
      </c>
      <c r="I280" s="77">
        <f t="shared" si="17"/>
        <v>2656.3132345414388</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9">
        <f t="shared" si="17"/>
        <v>0</v>
      </c>
      <c r="C283" s="9">
        <f t="shared" si="17"/>
        <v>0</v>
      </c>
      <c r="D283" s="9">
        <f t="shared" si="17"/>
        <v>0</v>
      </c>
      <c r="E283" s="9">
        <f t="shared" si="17"/>
        <v>0</v>
      </c>
      <c r="F283" s="9">
        <f t="shared" si="17"/>
        <v>0</v>
      </c>
      <c r="G283" s="9">
        <f t="shared" si="17"/>
        <v>0</v>
      </c>
      <c r="H283" s="9">
        <f t="shared" si="17"/>
        <v>0</v>
      </c>
      <c r="I283" s="9">
        <f t="shared" si="17"/>
        <v>0</v>
      </c>
      <c r="J283" s="9">
        <f t="shared" si="17"/>
        <v>0</v>
      </c>
      <c r="K283" s="9">
        <f t="shared" si="17"/>
        <v>0</v>
      </c>
      <c r="L283" s="9">
        <f t="shared" si="17"/>
        <v>0</v>
      </c>
      <c r="M283" s="9">
        <f t="shared" si="17"/>
        <v>0</v>
      </c>
      <c r="N283" s="89" t="s">
        <v>188</v>
      </c>
    </row>
    <row r="284" spans="1:14" ht="19.05" customHeight="1" x14ac:dyDescent="0.3">
      <c r="B284" s="9">
        <f t="shared" si="17"/>
        <v>0</v>
      </c>
      <c r="C284" s="9">
        <f t="shared" si="17"/>
        <v>0</v>
      </c>
      <c r="D284" s="9">
        <f t="shared" si="17"/>
        <v>0</v>
      </c>
      <c r="E284" s="9">
        <f t="shared" si="17"/>
        <v>0</v>
      </c>
      <c r="F284" s="9">
        <f t="shared" si="17"/>
        <v>0</v>
      </c>
      <c r="G284" s="9">
        <f t="shared" si="17"/>
        <v>0</v>
      </c>
      <c r="H284" s="9">
        <f t="shared" si="17"/>
        <v>0</v>
      </c>
      <c r="I284" s="9">
        <f t="shared" si="17"/>
        <v>0</v>
      </c>
      <c r="J284" s="9">
        <f t="shared" si="17"/>
        <v>0</v>
      </c>
      <c r="K284" s="9">
        <f t="shared" si="17"/>
        <v>0</v>
      </c>
      <c r="L284" s="9">
        <f t="shared" si="17"/>
        <v>0</v>
      </c>
      <c r="M284" s="9">
        <f t="shared" si="17"/>
        <v>0</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88257.949872790239</v>
      </c>
      <c r="C288" s="36">
        <f t="shared" si="18"/>
        <v>21505.299915193493</v>
      </c>
      <c r="D288" s="9">
        <f t="shared" si="18"/>
        <v>-56000</v>
      </c>
      <c r="E288" s="9">
        <f t="shared" si="18"/>
        <v>0</v>
      </c>
      <c r="F288" s="9">
        <f t="shared" si="18"/>
        <v>0</v>
      </c>
      <c r="G288" s="9">
        <f t="shared" si="18"/>
        <v>0</v>
      </c>
      <c r="H288" s="9">
        <f t="shared" si="18"/>
        <v>0</v>
      </c>
      <c r="I288" s="9">
        <f t="shared" si="18"/>
        <v>0</v>
      </c>
      <c r="J288" s="9">
        <f t="shared" si="18"/>
        <v>-32257.949872790236</v>
      </c>
      <c r="K288" s="9">
        <f t="shared" si="18"/>
        <v>-21505.299915193493</v>
      </c>
      <c r="L288" s="9">
        <f t="shared" si="18"/>
        <v>0</v>
      </c>
      <c r="M288" s="9">
        <f t="shared" si="18"/>
        <v>0</v>
      </c>
      <c r="N288" s="89" t="s">
        <v>178</v>
      </c>
    </row>
    <row r="289" spans="1:21" ht="19.95" customHeight="1" x14ac:dyDescent="0.3">
      <c r="B289" s="36">
        <f t="shared" ref="B289:M289" si="19">B43+B64+B85+B106+B127+B148+B169+B190+B211+B232+B253+B274</f>
        <v>21505.299915193493</v>
      </c>
      <c r="C289" s="35">
        <f t="shared" si="19"/>
        <v>98336.866610128985</v>
      </c>
      <c r="D289" s="9">
        <f t="shared" si="19"/>
        <v>0</v>
      </c>
      <c r="E289" s="9">
        <f t="shared" si="19"/>
        <v>0</v>
      </c>
      <c r="F289" s="9">
        <f t="shared" si="19"/>
        <v>0</v>
      </c>
      <c r="G289" s="9">
        <f t="shared" si="19"/>
        <v>0</v>
      </c>
      <c r="H289" s="9">
        <f t="shared" si="19"/>
        <v>0</v>
      </c>
      <c r="I289" s="9">
        <f t="shared" si="19"/>
        <v>-84000</v>
      </c>
      <c r="J289" s="9">
        <f t="shared" si="19"/>
        <v>-21505.299915193493</v>
      </c>
      <c r="K289" s="9">
        <f t="shared" si="19"/>
        <v>-14336.866610128993</v>
      </c>
      <c r="L289" s="9">
        <f t="shared" si="19"/>
        <v>0</v>
      </c>
      <c r="M289" s="9">
        <f t="shared" si="19"/>
        <v>0</v>
      </c>
      <c r="N289" s="89" t="s">
        <v>179</v>
      </c>
    </row>
    <row r="290" spans="1:21" ht="19.95" customHeight="1" x14ac:dyDescent="0.3">
      <c r="B290" s="9">
        <f t="shared" ref="B290:M290" si="20">B44+B65+B86+B107+B128+B149+B170+B191+B212+B233+B254+B275</f>
        <v>-56000</v>
      </c>
      <c r="C290" s="9">
        <f t="shared" si="20"/>
        <v>0</v>
      </c>
      <c r="D290" s="35">
        <f t="shared" si="20"/>
        <v>176515.89974558045</v>
      </c>
      <c r="E290" s="36">
        <f t="shared" si="20"/>
        <v>0</v>
      </c>
      <c r="F290" s="9">
        <f t="shared" si="20"/>
        <v>-56000</v>
      </c>
      <c r="G290" s="9">
        <f t="shared" si="20"/>
        <v>0</v>
      </c>
      <c r="H290" s="9">
        <f t="shared" si="20"/>
        <v>-32257.949872790236</v>
      </c>
      <c r="I290" s="9">
        <f t="shared" si="20"/>
        <v>21505.299915193493</v>
      </c>
      <c r="J290" s="9">
        <f t="shared" si="20"/>
        <v>0</v>
      </c>
      <c r="K290" s="9">
        <f t="shared" si="20"/>
        <v>0</v>
      </c>
      <c r="L290" s="9">
        <f t="shared" si="20"/>
        <v>-32257.949872790236</v>
      </c>
      <c r="M290" s="9">
        <f t="shared" si="20"/>
        <v>-21505.299915193493</v>
      </c>
      <c r="N290" s="89" t="s">
        <v>180</v>
      </c>
    </row>
    <row r="291" spans="1:21" ht="19.95" customHeight="1" x14ac:dyDescent="0.3">
      <c r="B291" s="9">
        <f t="shared" ref="B291:M291" si="21">B45+B66+B87+B108+B129+B150+B171+B192+B213+B234+B255+B276</f>
        <v>0</v>
      </c>
      <c r="C291" s="9">
        <f t="shared" si="21"/>
        <v>0</v>
      </c>
      <c r="D291" s="36">
        <f t="shared" si="21"/>
        <v>0</v>
      </c>
      <c r="E291" s="35">
        <f t="shared" si="21"/>
        <v>112673.73322025797</v>
      </c>
      <c r="F291" s="9">
        <f t="shared" si="21"/>
        <v>0</v>
      </c>
      <c r="G291" s="9">
        <f t="shared" si="21"/>
        <v>0</v>
      </c>
      <c r="H291" s="9">
        <f t="shared" si="21"/>
        <v>21505.299915193493</v>
      </c>
      <c r="I291" s="9">
        <f t="shared" si="21"/>
        <v>-14336.866610128993</v>
      </c>
      <c r="J291" s="9">
        <f t="shared" si="21"/>
        <v>0</v>
      </c>
      <c r="K291" s="9">
        <f t="shared" si="21"/>
        <v>-84000</v>
      </c>
      <c r="L291" s="9">
        <f t="shared" si="21"/>
        <v>-21505.299915193493</v>
      </c>
      <c r="M291" s="9">
        <f t="shared" si="21"/>
        <v>-14336.866610128993</v>
      </c>
      <c r="N291" s="89" t="s">
        <v>181</v>
      </c>
    </row>
    <row r="292" spans="1:21" ht="19.95" customHeight="1" x14ac:dyDescent="0.3">
      <c r="B292" s="9">
        <f t="shared" ref="B292:M292" si="22">B46+B67+B88+B109+B130+B151+B172+B193+B214+B235+B256+B277</f>
        <v>0</v>
      </c>
      <c r="C292" s="9">
        <f t="shared" si="22"/>
        <v>0</v>
      </c>
      <c r="D292" s="9">
        <f t="shared" si="22"/>
        <v>-56000</v>
      </c>
      <c r="E292" s="9">
        <f t="shared" si="22"/>
        <v>0</v>
      </c>
      <c r="F292" s="35">
        <f t="shared" si="22"/>
        <v>112164.76898366318</v>
      </c>
      <c r="G292" s="36">
        <f t="shared" si="22"/>
        <v>-29474.23961881781</v>
      </c>
      <c r="H292" s="9">
        <f t="shared" si="22"/>
        <v>-23906.819110872944</v>
      </c>
      <c r="I292" s="9">
        <f t="shared" si="22"/>
        <v>7968.9397036243154</v>
      </c>
      <c r="J292" s="9">
        <f t="shared" si="22"/>
        <v>-32257.949872790236</v>
      </c>
      <c r="K292" s="9">
        <f t="shared" si="22"/>
        <v>21505.299915193493</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-29474.23961881781</v>
      </c>
      <c r="G293" s="35">
        <f t="shared" si="23"/>
        <v>100993.17984467042</v>
      </c>
      <c r="H293" s="9">
        <f t="shared" si="23"/>
        <v>7968.9397036243154</v>
      </c>
      <c r="I293" s="9">
        <f t="shared" si="23"/>
        <v>-2656.3132345414388</v>
      </c>
      <c r="J293" s="9">
        <f t="shared" si="23"/>
        <v>21505.299915193493</v>
      </c>
      <c r="K293" s="9">
        <f t="shared" si="23"/>
        <v>-14336.866610128993</v>
      </c>
      <c r="L293" s="9">
        <f t="shared" si="23"/>
        <v>0</v>
      </c>
      <c r="M293" s="9">
        <f t="shared" si="23"/>
        <v>-84000</v>
      </c>
      <c r="N293" s="89" t="s">
        <v>183</v>
      </c>
    </row>
    <row r="294" spans="1:21" ht="19.95" customHeight="1" x14ac:dyDescent="0.3">
      <c r="B294" s="9">
        <f t="shared" ref="B294:M294" si="24">B48+B69+B90+B111+B132+B153+B174+B195+B216+B237+B258+B279</f>
        <v>0</v>
      </c>
      <c r="C294" s="9">
        <f t="shared" si="24"/>
        <v>0</v>
      </c>
      <c r="D294" s="9">
        <f t="shared" si="24"/>
        <v>-32257.949872790236</v>
      </c>
      <c r="E294" s="9">
        <f t="shared" si="24"/>
        <v>21505.299915193493</v>
      </c>
      <c r="F294" s="9">
        <f t="shared" si="24"/>
        <v>-23906.819110872944</v>
      </c>
      <c r="G294" s="9">
        <f t="shared" si="24"/>
        <v>7968.9397036243154</v>
      </c>
      <c r="H294" s="35">
        <f t="shared" si="24"/>
        <v>112164.76898366318</v>
      </c>
      <c r="I294" s="36">
        <f t="shared" si="24"/>
        <v>-29474.23961881781</v>
      </c>
      <c r="J294" s="9">
        <f t="shared" si="24"/>
        <v>-56000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-84000</v>
      </c>
      <c r="D295" s="9">
        <f t="shared" si="25"/>
        <v>21505.299915193493</v>
      </c>
      <c r="E295" s="9">
        <f t="shared" si="25"/>
        <v>-14336.866610128993</v>
      </c>
      <c r="F295" s="9">
        <f t="shared" si="25"/>
        <v>7968.9397036243154</v>
      </c>
      <c r="G295" s="9">
        <f t="shared" si="25"/>
        <v>-2656.3132345414388</v>
      </c>
      <c r="H295" s="36">
        <f t="shared" si="25"/>
        <v>-29474.23961881781</v>
      </c>
      <c r="I295" s="35">
        <f t="shared" si="25"/>
        <v>100993.17984467042</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-32257.949872790236</v>
      </c>
      <c r="C296" s="9">
        <f t="shared" si="26"/>
        <v>-21505.299915193493</v>
      </c>
      <c r="D296" s="9">
        <f t="shared" si="26"/>
        <v>0</v>
      </c>
      <c r="E296" s="9">
        <f t="shared" si="26"/>
        <v>0</v>
      </c>
      <c r="F296" s="9">
        <f t="shared" si="26"/>
        <v>-32257.949872790236</v>
      </c>
      <c r="G296" s="9">
        <f t="shared" si="26"/>
        <v>21505.299915193493</v>
      </c>
      <c r="H296" s="9">
        <f t="shared" si="26"/>
        <v>-56000</v>
      </c>
      <c r="I296" s="9">
        <f t="shared" si="26"/>
        <v>0</v>
      </c>
      <c r="J296" s="35">
        <f t="shared" si="26"/>
        <v>176515.89974558045</v>
      </c>
      <c r="K296" s="36">
        <f t="shared" si="26"/>
        <v>0</v>
      </c>
      <c r="L296" s="9">
        <f t="shared" si="26"/>
        <v>-56000</v>
      </c>
      <c r="M296" s="9">
        <f t="shared" si="26"/>
        <v>0</v>
      </c>
      <c r="N296" s="89" t="s">
        <v>186</v>
      </c>
    </row>
    <row r="297" spans="1:21" ht="19.95" customHeight="1" x14ac:dyDescent="0.3">
      <c r="B297" s="9">
        <f t="shared" ref="B297:M297" si="27">B51+B72+B93+B114+B135+B156+B177+B198+B219+B240+B261+B282</f>
        <v>-21505.299915193493</v>
      </c>
      <c r="C297" s="9">
        <f t="shared" si="27"/>
        <v>-14336.866610128993</v>
      </c>
      <c r="D297" s="9">
        <f t="shared" si="27"/>
        <v>0</v>
      </c>
      <c r="E297" s="9">
        <f t="shared" si="27"/>
        <v>-84000</v>
      </c>
      <c r="F297" s="9">
        <f t="shared" si="27"/>
        <v>21505.299915193493</v>
      </c>
      <c r="G297" s="9">
        <f t="shared" si="27"/>
        <v>-14336.866610128993</v>
      </c>
      <c r="H297" s="9">
        <f t="shared" si="27"/>
        <v>0</v>
      </c>
      <c r="I297" s="9">
        <f t="shared" si="27"/>
        <v>0</v>
      </c>
      <c r="J297" s="36">
        <f t="shared" si="27"/>
        <v>0</v>
      </c>
      <c r="K297" s="35">
        <f t="shared" si="27"/>
        <v>112673.73322025797</v>
      </c>
      <c r="L297" s="9">
        <f t="shared" si="27"/>
        <v>0</v>
      </c>
      <c r="M297" s="9">
        <f t="shared" si="27"/>
        <v>0</v>
      </c>
      <c r="N297" s="89" t="s">
        <v>187</v>
      </c>
    </row>
    <row r="298" spans="1:21" ht="19.95" customHeight="1" x14ac:dyDescent="0.3">
      <c r="B298" s="9">
        <f t="shared" ref="B298:M298" si="28">B52+B73+B94+B115+B136+B157+B178+B199+B220+B241+B262+B283</f>
        <v>0</v>
      </c>
      <c r="C298" s="9">
        <f t="shared" si="28"/>
        <v>0</v>
      </c>
      <c r="D298" s="9">
        <f t="shared" si="28"/>
        <v>-32257.949872790236</v>
      </c>
      <c r="E298" s="9">
        <f t="shared" si="28"/>
        <v>-21505.299915193493</v>
      </c>
      <c r="F298" s="9">
        <f t="shared" si="28"/>
        <v>0</v>
      </c>
      <c r="G298" s="9">
        <f t="shared" si="28"/>
        <v>0</v>
      </c>
      <c r="H298" s="9">
        <f t="shared" si="28"/>
        <v>0</v>
      </c>
      <c r="I298" s="9">
        <f t="shared" si="28"/>
        <v>0</v>
      </c>
      <c r="J298" s="9">
        <f t="shared" si="28"/>
        <v>-56000</v>
      </c>
      <c r="K298" s="9">
        <f t="shared" si="28"/>
        <v>0</v>
      </c>
      <c r="L298" s="35">
        <f t="shared" si="28"/>
        <v>88257.949872790239</v>
      </c>
      <c r="M298" s="36">
        <f t="shared" si="28"/>
        <v>21505.299915193493</v>
      </c>
      <c r="N298" s="89" t="s">
        <v>188</v>
      </c>
    </row>
    <row r="299" spans="1:21" ht="19.95" customHeight="1" x14ac:dyDescent="0.3">
      <c r="B299" s="9">
        <f t="shared" ref="B299:M299" si="29">B53+B74+B95+B116+B137+B158+B179+B200+B221+B242+B263+B284</f>
        <v>0</v>
      </c>
      <c r="C299" s="9">
        <f t="shared" si="29"/>
        <v>0</v>
      </c>
      <c r="D299" s="9">
        <f t="shared" si="29"/>
        <v>-21505.299915193493</v>
      </c>
      <c r="E299" s="9">
        <f t="shared" si="29"/>
        <v>-14336.866610128993</v>
      </c>
      <c r="F299" s="9">
        <f t="shared" si="29"/>
        <v>0</v>
      </c>
      <c r="G299" s="9">
        <f t="shared" si="29"/>
        <v>-84000</v>
      </c>
      <c r="H299" s="9">
        <f t="shared" si="29"/>
        <v>0</v>
      </c>
      <c r="I299" s="9">
        <f t="shared" si="29"/>
        <v>0</v>
      </c>
      <c r="J299" s="9">
        <f t="shared" si="29"/>
        <v>0</v>
      </c>
      <c r="K299" s="9">
        <f t="shared" si="29"/>
        <v>0</v>
      </c>
      <c r="L299" s="36">
        <f t="shared" si="29"/>
        <v>21505.299915193493</v>
      </c>
      <c r="M299" s="35">
        <f t="shared" si="29"/>
        <v>98336.866610128985</v>
      </c>
      <c r="N299" s="89" t="s">
        <v>189</v>
      </c>
    </row>
    <row r="302" spans="1:21" ht="19.95" customHeight="1" x14ac:dyDescent="0.35">
      <c r="A302" s="11" t="s">
        <v>206</v>
      </c>
      <c r="P302" s="216" t="s">
        <v>207</v>
      </c>
      <c r="Q302" s="172"/>
      <c r="R302" s="172"/>
      <c r="S302" s="172"/>
      <c r="T302" s="172"/>
      <c r="U302" s="173"/>
    </row>
    <row r="303" spans="1:21" ht="16.95" customHeight="1" x14ac:dyDescent="0.3">
      <c r="B303" s="12" t="s">
        <v>208</v>
      </c>
      <c r="C303" s="12" t="s">
        <v>178</v>
      </c>
      <c r="E303" s="37" t="str">
        <f>IF(GRAFICA_60!F14=1, B303, GRAFICA_60!H14)</f>
        <v>C1X</v>
      </c>
      <c r="P303" s="215" t="s">
        <v>376</v>
      </c>
      <c r="Q303" s="172"/>
      <c r="R303" s="172"/>
      <c r="S303" s="172"/>
      <c r="T303" s="172"/>
      <c r="U303" s="173"/>
    </row>
    <row r="304" spans="1:21" ht="16.95" customHeight="1" x14ac:dyDescent="0.3">
      <c r="B304" s="12" t="s">
        <v>210</v>
      </c>
      <c r="C304" s="12" t="s">
        <v>179</v>
      </c>
      <c r="E304" s="37" t="str">
        <f>IF(GRAFICA_60!G14=1, B304, GRAFICA_60!I14)</f>
        <v>C1Y</v>
      </c>
      <c r="P304" s="215" t="s">
        <v>211</v>
      </c>
      <c r="Q304" s="172"/>
      <c r="R304" s="172"/>
      <c r="S304" s="172"/>
      <c r="T304" s="172"/>
      <c r="U304" s="173"/>
    </row>
    <row r="305" spans="1:21" ht="16.95" customHeight="1" x14ac:dyDescent="0.3">
      <c r="B305" s="12" t="s">
        <v>212</v>
      </c>
      <c r="C305" s="12" t="s">
        <v>180</v>
      </c>
      <c r="E305" s="37">
        <f>IF(GRAFICA_60!F15=1, B305, GRAFICA_60!H15)</f>
        <v>0</v>
      </c>
      <c r="P305" s="215" t="s">
        <v>377</v>
      </c>
      <c r="Q305" s="172"/>
      <c r="R305" s="172"/>
      <c r="S305" s="172"/>
      <c r="T305" s="172"/>
      <c r="U305" s="173"/>
    </row>
    <row r="306" spans="1:21" ht="16.95" customHeight="1" x14ac:dyDescent="0.3">
      <c r="B306" s="12" t="s">
        <v>214</v>
      </c>
      <c r="C306" s="12" t="s">
        <v>181</v>
      </c>
      <c r="E306" s="37" t="str">
        <f>IF(GRAFICA_60!G15=1, B306, GRAFICA_60!I15)</f>
        <v>C2Y</v>
      </c>
      <c r="P306" s="215" t="s">
        <v>215</v>
      </c>
      <c r="Q306" s="172"/>
      <c r="R306" s="172"/>
      <c r="S306" s="172"/>
      <c r="T306" s="172"/>
      <c r="U306" s="173"/>
    </row>
    <row r="307" spans="1:21" ht="16.95" customHeight="1" x14ac:dyDescent="0.3">
      <c r="B307" s="12" t="s">
        <v>216</v>
      </c>
      <c r="C307" s="12" t="s">
        <v>182</v>
      </c>
      <c r="E307" s="37" t="str">
        <f>IF(GRAFICA_60!F16=1, B307, GRAFICA_60!H16)</f>
        <v>C3X</v>
      </c>
      <c r="P307" s="215" t="s">
        <v>378</v>
      </c>
      <c r="Q307" s="172"/>
      <c r="R307" s="172"/>
      <c r="S307" s="172"/>
      <c r="T307" s="172"/>
      <c r="U307" s="173"/>
    </row>
    <row r="308" spans="1:21" ht="16.95" customHeight="1" x14ac:dyDescent="0.3">
      <c r="A308" s="38" t="s">
        <v>218</v>
      </c>
      <c r="B308" s="12" t="s">
        <v>219</v>
      </c>
      <c r="C308" s="12" t="s">
        <v>183</v>
      </c>
      <c r="D308" s="13" t="s">
        <v>220</v>
      </c>
      <c r="E308" s="37" t="str">
        <f>IF(GRAFICA_60!G16=1, B308, GRAFICA_60!I16)</f>
        <v>C3Y</v>
      </c>
      <c r="P308" s="215" t="s">
        <v>379</v>
      </c>
      <c r="Q308" s="172"/>
      <c r="R308" s="172"/>
      <c r="S308" s="172"/>
      <c r="T308" s="172"/>
      <c r="U308" s="173"/>
    </row>
    <row r="309" spans="1:21" ht="16.95" customHeight="1" x14ac:dyDescent="0.3">
      <c r="B309" s="12" t="s">
        <v>221</v>
      </c>
      <c r="C309" s="12" t="s">
        <v>184</v>
      </c>
      <c r="E309" s="37">
        <f>IF(GRAFICA_60!F17=1, B309, GRAFICA_60!H17)</f>
        <v>3000</v>
      </c>
      <c r="P309" s="215"/>
      <c r="Q309" s="172"/>
      <c r="R309" s="172"/>
      <c r="S309" s="172"/>
      <c r="T309" s="172"/>
      <c r="U309" s="173"/>
    </row>
    <row r="310" spans="1:21" ht="16.95" customHeight="1" x14ac:dyDescent="0.3">
      <c r="B310" s="12" t="s">
        <v>222</v>
      </c>
      <c r="C310" s="12" t="s">
        <v>185</v>
      </c>
      <c r="E310" s="37">
        <f>IF(GRAFICA_60!G17=1, B310, GRAFICA_60!I17)</f>
        <v>0</v>
      </c>
      <c r="P310" s="215"/>
      <c r="Q310" s="172"/>
      <c r="R310" s="172"/>
      <c r="S310" s="172"/>
      <c r="T310" s="172"/>
      <c r="U310" s="173"/>
    </row>
    <row r="311" spans="1:21" ht="16.95" customHeight="1" x14ac:dyDescent="0.3">
      <c r="B311" s="12" t="s">
        <v>223</v>
      </c>
      <c r="C311" s="12" t="s">
        <v>186</v>
      </c>
      <c r="E311" s="37">
        <f>IF(GRAFICA_60!F18=1, B311, GRAFICA_60!H18)</f>
        <v>0</v>
      </c>
      <c r="P311" s="215"/>
      <c r="Q311" s="172"/>
      <c r="R311" s="172"/>
      <c r="S311" s="172"/>
      <c r="T311" s="172"/>
      <c r="U311" s="173"/>
    </row>
    <row r="312" spans="1:21" ht="16.95" customHeight="1" x14ac:dyDescent="0.3">
      <c r="B312" s="12" t="s">
        <v>224</v>
      </c>
      <c r="C312" s="12" t="s">
        <v>187</v>
      </c>
      <c r="E312" s="37">
        <f>IF(GRAFICA_60!G18=1, B312, GRAFICA_60!I18)</f>
        <v>-10000</v>
      </c>
      <c r="P312" s="215"/>
      <c r="Q312" s="172"/>
      <c r="R312" s="172"/>
      <c r="S312" s="172"/>
      <c r="T312" s="172"/>
      <c r="U312" s="173"/>
    </row>
    <row r="313" spans="1:21" ht="16.95" customHeight="1" x14ac:dyDescent="0.3">
      <c r="B313" s="12" t="s">
        <v>225</v>
      </c>
      <c r="C313" s="12" t="s">
        <v>188</v>
      </c>
      <c r="E313" s="37">
        <f>IF(GRAFICA_60!F19=1, B313, GRAFICA_60!H19)</f>
        <v>0</v>
      </c>
      <c r="P313" s="215"/>
      <c r="Q313" s="172"/>
      <c r="R313" s="172"/>
      <c r="S313" s="172"/>
      <c r="T313" s="172"/>
      <c r="U313" s="173"/>
    </row>
    <row r="314" spans="1:21" ht="16.95" customHeight="1" x14ac:dyDescent="0.3">
      <c r="B314" s="12" t="s">
        <v>226</v>
      </c>
      <c r="C314" s="12" t="s">
        <v>189</v>
      </c>
      <c r="E314" s="37">
        <f>IF(GRAFICA_60!G19=1, B314, GRAFICA_60!I19)</f>
        <v>0</v>
      </c>
      <c r="P314" s="215"/>
      <c r="Q314" s="172"/>
      <c r="R314" s="172"/>
      <c r="S314" s="172"/>
      <c r="T314" s="172"/>
      <c r="U314" s="173"/>
    </row>
    <row r="315" spans="1:21" ht="16.95" customHeight="1" x14ac:dyDescent="0.3">
      <c r="P315" s="215"/>
      <c r="Q315" s="172"/>
      <c r="R315" s="172"/>
      <c r="S315" s="172"/>
      <c r="T315" s="172"/>
      <c r="U315" s="173"/>
    </row>
    <row r="316" spans="1:21" ht="16.95" customHeight="1" x14ac:dyDescent="0.35">
      <c r="A316" s="11" t="s">
        <v>227</v>
      </c>
      <c r="P316" s="215"/>
      <c r="Q316" s="172"/>
      <c r="R316" s="172"/>
      <c r="S316" s="172"/>
      <c r="T316" s="172"/>
      <c r="U316" s="173"/>
    </row>
    <row r="317" spans="1:21" ht="16.95" customHeight="1" x14ac:dyDescent="0.3">
      <c r="B317" s="12" t="s">
        <v>228</v>
      </c>
      <c r="C317" s="12" t="s">
        <v>178</v>
      </c>
      <c r="E317" s="39">
        <f>IF(GRAFICA_60!F14=1, 0, B317)</f>
        <v>0</v>
      </c>
      <c r="F317" s="14" t="str">
        <f>IF(E317&lt;&gt;0, COUNTIF(E$317:E317, "&lt;&gt;0"), "")</f>
        <v/>
      </c>
      <c r="G317" s="14">
        <f>IF(E317=0, COUNTIF(E$317:E317, 0), "")</f>
        <v>1</v>
      </c>
      <c r="P317" s="215"/>
      <c r="Q317" s="172"/>
      <c r="R317" s="172"/>
      <c r="S317" s="172"/>
      <c r="T317" s="172"/>
      <c r="U317" s="173"/>
    </row>
    <row r="318" spans="1:21" ht="16.95" customHeight="1" x14ac:dyDescent="0.3">
      <c r="B318" s="12" t="s">
        <v>229</v>
      </c>
      <c r="C318" s="12" t="s">
        <v>179</v>
      </c>
      <c r="E318" s="39">
        <f>IF(GRAFICA_60!G14=1, 0, B318)</f>
        <v>0</v>
      </c>
      <c r="F318" s="14" t="str">
        <f>IF(E318&lt;&gt;0, COUNTIF(E$317:E318, "&lt;&gt;0"), "")</f>
        <v/>
      </c>
      <c r="G318" s="14">
        <f>IF(E318=0, COUNTIF(E$317:E318, 0), "")</f>
        <v>2</v>
      </c>
      <c r="P318" s="215"/>
      <c r="Q318" s="172"/>
      <c r="R318" s="172"/>
      <c r="S318" s="172"/>
      <c r="T318" s="172"/>
      <c r="U318" s="173"/>
    </row>
    <row r="319" spans="1:21" ht="16.95" customHeight="1" x14ac:dyDescent="0.3">
      <c r="B319" s="12" t="s">
        <v>230</v>
      </c>
      <c r="C319" s="12" t="s">
        <v>180</v>
      </c>
      <c r="E319" s="39" t="str">
        <f>IF(GRAFICA_60!F15=1, 0, B319)</f>
        <v>D2X</v>
      </c>
      <c r="F319" s="14">
        <f>IF(E319&lt;&gt;0, COUNTIF(E$317:E319, "&lt;&gt;0"), "")</f>
        <v>1</v>
      </c>
      <c r="G319" s="14" t="str">
        <f>IF(E319=0, COUNTIF(E$317:E319, 0), "")</f>
        <v/>
      </c>
      <c r="P319" s="215"/>
      <c r="Q319" s="172"/>
      <c r="R319" s="172"/>
      <c r="S319" s="172"/>
      <c r="T319" s="172"/>
      <c r="U319" s="173"/>
    </row>
    <row r="320" spans="1:21" ht="16.95" customHeight="1" x14ac:dyDescent="0.3">
      <c r="B320" s="12" t="s">
        <v>231</v>
      </c>
      <c r="C320" s="12" t="s">
        <v>181</v>
      </c>
      <c r="E320" s="39">
        <f>IF(GRAFICA_60!G15=1, 0, B320)</f>
        <v>0</v>
      </c>
      <c r="F320" s="14" t="str">
        <f>IF(E320&lt;&gt;0, COUNTIF(E$317:E320, "&lt;&gt;0"), "")</f>
        <v/>
      </c>
      <c r="G320" s="14">
        <f>IF(E320=0, COUNTIF(E$317:E320, 0), "")</f>
        <v>3</v>
      </c>
      <c r="P320" s="215"/>
      <c r="Q320" s="172"/>
      <c r="R320" s="172"/>
      <c r="S320" s="172"/>
      <c r="T320" s="172"/>
      <c r="U320" s="173"/>
    </row>
    <row r="321" spans="1:21" ht="16.95" customHeight="1" x14ac:dyDescent="0.3">
      <c r="B321" s="12" t="s">
        <v>232</v>
      </c>
      <c r="C321" s="12" t="s">
        <v>182</v>
      </c>
      <c r="E321" s="39">
        <f>IF(GRAFICA_60!F16=1, 0, B321)</f>
        <v>0</v>
      </c>
      <c r="F321" s="14" t="str">
        <f>IF(E321&lt;&gt;0, COUNTIF(E$317:E321, "&lt;&gt;0"), "")</f>
        <v/>
      </c>
      <c r="G321" s="14">
        <f>IF(E321=0, COUNTIF(E$317:E321, 0), "")</f>
        <v>4</v>
      </c>
      <c r="P321" s="215"/>
      <c r="Q321" s="172"/>
      <c r="R321" s="172"/>
      <c r="S321" s="172"/>
      <c r="T321" s="172"/>
      <c r="U321" s="173"/>
    </row>
    <row r="322" spans="1:21" ht="16.95" customHeight="1" x14ac:dyDescent="0.3">
      <c r="A322" s="38" t="s">
        <v>233</v>
      </c>
      <c r="B322" s="12" t="s">
        <v>234</v>
      </c>
      <c r="C322" s="12" t="s">
        <v>183</v>
      </c>
      <c r="D322" s="13" t="s">
        <v>220</v>
      </c>
      <c r="E322" s="39">
        <f>IF(GRAFICA_60!G16=1, 0, B322)</f>
        <v>0</v>
      </c>
      <c r="F322" s="14" t="str">
        <f>IF(E322&lt;&gt;0, COUNTIF(E$317:E322, "&lt;&gt;0"), "")</f>
        <v/>
      </c>
      <c r="G322" s="14">
        <f>IF(E322=0, COUNTIF(E$317:E322, 0), "")</f>
        <v>5</v>
      </c>
      <c r="P322" s="215"/>
      <c r="Q322" s="172"/>
      <c r="R322" s="172"/>
      <c r="S322" s="172"/>
      <c r="T322" s="172"/>
      <c r="U322" s="173"/>
    </row>
    <row r="323" spans="1:21" ht="16.95" customHeight="1" x14ac:dyDescent="0.3">
      <c r="B323" s="12" t="s">
        <v>235</v>
      </c>
      <c r="C323" s="12" t="s">
        <v>184</v>
      </c>
      <c r="E323" s="39" t="str">
        <f>IF(GRAFICA_60!F17=1, 0, B323)</f>
        <v>D4X</v>
      </c>
      <c r="F323" s="14">
        <f>IF(E323&lt;&gt;0, COUNTIF(E$317:E323, "&lt;&gt;0"), "")</f>
        <v>2</v>
      </c>
      <c r="G323" s="14" t="str">
        <f>IF(E323=0, COUNTIF(E$317:E323, 0), "")</f>
        <v/>
      </c>
      <c r="P323" s="215"/>
      <c r="Q323" s="172"/>
      <c r="R323" s="172"/>
      <c r="S323" s="172"/>
      <c r="T323" s="172"/>
      <c r="U323" s="173"/>
    </row>
    <row r="324" spans="1:21" ht="16.95" customHeight="1" x14ac:dyDescent="0.3">
      <c r="B324" s="12" t="s">
        <v>236</v>
      </c>
      <c r="C324" s="12" t="s">
        <v>185</v>
      </c>
      <c r="E324" s="39" t="str">
        <f>IF(GRAFICA_60!G17=1, 0, B324)</f>
        <v>D4Y</v>
      </c>
      <c r="F324" s="14">
        <f>IF(E324&lt;&gt;0, COUNTIF(E$317:E324, "&lt;&gt;0"), "")</f>
        <v>3</v>
      </c>
      <c r="G324" s="14" t="str">
        <f>IF(E324=0, COUNTIF(E$317:E324, 0), "")</f>
        <v/>
      </c>
      <c r="P324" s="215"/>
      <c r="Q324" s="172"/>
      <c r="R324" s="172"/>
      <c r="S324" s="172"/>
      <c r="T324" s="172"/>
      <c r="U324" s="173"/>
    </row>
    <row r="325" spans="1:21" ht="16.95" customHeight="1" x14ac:dyDescent="0.3">
      <c r="B325" s="12" t="s">
        <v>237</v>
      </c>
      <c r="C325" s="12" t="s">
        <v>186</v>
      </c>
      <c r="E325" s="39" t="str">
        <f>IF(GRAFICA_60!F18=1, 0, B325)</f>
        <v>D5X</v>
      </c>
      <c r="F325" s="14">
        <f>IF(E325&lt;&gt;0, COUNTIF(E$317:E325, "&lt;&gt;0"), "")</f>
        <v>4</v>
      </c>
      <c r="G325" s="14" t="str">
        <f>IF(E325=0, COUNTIF(E$317:E325, 0), "")</f>
        <v/>
      </c>
      <c r="P325" s="215"/>
      <c r="Q325" s="172"/>
      <c r="R325" s="172"/>
      <c r="S325" s="172"/>
      <c r="T325" s="172"/>
      <c r="U325" s="173"/>
    </row>
    <row r="326" spans="1:21" ht="16.95" customHeight="1" x14ac:dyDescent="0.3">
      <c r="B326" s="12" t="s">
        <v>238</v>
      </c>
      <c r="C326" s="12" t="s">
        <v>187</v>
      </c>
      <c r="E326" s="39" t="str">
        <f>IF(GRAFICA_60!G18=1, 0, B326)</f>
        <v>D5Y</v>
      </c>
      <c r="F326" s="14">
        <f>IF(E326&lt;&gt;0, COUNTIF(E$317:E326, "&lt;&gt;0"), "")</f>
        <v>5</v>
      </c>
      <c r="G326" s="14" t="str">
        <f>IF(E326=0, COUNTIF(E$317:E326, 0), "")</f>
        <v/>
      </c>
      <c r="P326" s="215"/>
      <c r="Q326" s="172"/>
      <c r="R326" s="172"/>
      <c r="S326" s="172"/>
      <c r="T326" s="172"/>
      <c r="U326" s="173"/>
    </row>
    <row r="327" spans="1:21" ht="16.95" customHeight="1" x14ac:dyDescent="0.3">
      <c r="B327" s="12" t="s">
        <v>239</v>
      </c>
      <c r="C327" s="12" t="s">
        <v>188</v>
      </c>
      <c r="E327" s="39" t="str">
        <f>IF(GRAFICA_60!F19=1, 0, B327)</f>
        <v>D6X</v>
      </c>
      <c r="F327" s="14">
        <f>IF(E327&lt;&gt;0, COUNTIF(E$317:E327, "&lt;&gt;0"), "")</f>
        <v>6</v>
      </c>
      <c r="G327" s="14" t="str">
        <f>IF(E327=0, COUNTIF(E$317:E327, 0), "")</f>
        <v/>
      </c>
      <c r="P327" s="215"/>
      <c r="Q327" s="172"/>
      <c r="R327" s="172"/>
      <c r="S327" s="172"/>
      <c r="T327" s="172"/>
      <c r="U327" s="173"/>
    </row>
    <row r="328" spans="1:21" ht="16.95" customHeight="1" x14ac:dyDescent="0.3">
      <c r="B328" s="12" t="s">
        <v>240</v>
      </c>
      <c r="C328" s="12" t="s">
        <v>189</v>
      </c>
      <c r="E328" s="39" t="str">
        <f>IF(GRAFICA_60!G19=1, 0, B328)</f>
        <v>D6Y</v>
      </c>
      <c r="F328" s="14">
        <f>IF(E328&lt;&gt;0, COUNTIF(E$317:E328, "&lt;&gt;0"), "")</f>
        <v>7</v>
      </c>
      <c r="G328" s="14" t="str">
        <f>IF(E328=0, COUNTIF(E$317:E328, 0), "")</f>
        <v/>
      </c>
      <c r="P328" s="215"/>
      <c r="Q328" s="172"/>
      <c r="R328" s="172"/>
      <c r="S328" s="172"/>
      <c r="T328" s="172"/>
      <c r="U328" s="173"/>
    </row>
    <row r="330" spans="1:21" ht="19.95" customHeight="1" x14ac:dyDescent="0.35">
      <c r="A330" s="15" t="s">
        <v>241</v>
      </c>
      <c r="C330" s="218" t="s">
        <v>242</v>
      </c>
      <c r="D330" s="173"/>
      <c r="E330" s="40" t="s">
        <v>243</v>
      </c>
      <c r="P330" s="216" t="s">
        <v>244</v>
      </c>
      <c r="Q330" s="172"/>
      <c r="R330" s="172"/>
      <c r="S330" s="172"/>
      <c r="T330" s="172"/>
      <c r="U330" s="173"/>
    </row>
    <row r="331" spans="1:21" ht="16.95" customHeight="1" x14ac:dyDescent="0.3">
      <c r="E331" s="40" t="s">
        <v>245</v>
      </c>
      <c r="P331" s="215" t="s">
        <v>246</v>
      </c>
      <c r="Q331" s="172"/>
      <c r="R331" s="172"/>
      <c r="S331" s="172"/>
      <c r="T331" s="172"/>
      <c r="U331" s="173"/>
    </row>
    <row r="332" spans="1:21" ht="16.95" customHeight="1" x14ac:dyDescent="0.3">
      <c r="A332" s="99" t="s">
        <v>247</v>
      </c>
      <c r="C332" s="99" t="s">
        <v>248</v>
      </c>
      <c r="P332" s="215" t="s">
        <v>250</v>
      </c>
      <c r="Q332" s="172"/>
      <c r="R332" s="172"/>
      <c r="S332" s="172"/>
      <c r="T332" s="172"/>
      <c r="U332" s="173"/>
    </row>
    <row r="333" spans="1:21" ht="16.95" customHeight="1" x14ac:dyDescent="0.3">
      <c r="A333" s="12" t="str">
        <f t="shared" ref="A333:A344" si="30">E303</f>
        <v>C1X</v>
      </c>
      <c r="C333" s="9">
        <f t="shared" ref="C333:N333" si="31">B288</f>
        <v>88257.949872790239</v>
      </c>
      <c r="D333" s="9">
        <f t="shared" si="31"/>
        <v>21505.299915193493</v>
      </c>
      <c r="E333" s="9">
        <f t="shared" si="31"/>
        <v>-56000</v>
      </c>
      <c r="F333" s="9">
        <f t="shared" si="31"/>
        <v>0</v>
      </c>
      <c r="G333" s="9">
        <f t="shared" si="31"/>
        <v>0</v>
      </c>
      <c r="H333" s="9">
        <f t="shared" si="31"/>
        <v>0</v>
      </c>
      <c r="I333" s="9">
        <f t="shared" si="31"/>
        <v>0</v>
      </c>
      <c r="J333" s="9">
        <f t="shared" si="31"/>
        <v>0</v>
      </c>
      <c r="K333" s="9">
        <f t="shared" si="31"/>
        <v>-32257.949872790236</v>
      </c>
      <c r="L333" s="9">
        <f t="shared" si="31"/>
        <v>-21505.299915193493</v>
      </c>
      <c r="M333" s="9">
        <f t="shared" si="31"/>
        <v>0</v>
      </c>
      <c r="N333" s="9">
        <f t="shared" si="31"/>
        <v>0</v>
      </c>
      <c r="O333" s="13" t="s">
        <v>251</v>
      </c>
      <c r="P333" s="219" t="s">
        <v>380</v>
      </c>
      <c r="Q333" s="172"/>
      <c r="R333" s="172"/>
      <c r="S333" s="172"/>
      <c r="T333" s="172"/>
      <c r="U333" s="173"/>
    </row>
    <row r="334" spans="1:21" ht="16.95" customHeight="1" x14ac:dyDescent="0.3">
      <c r="A334" s="12" t="str">
        <f t="shared" si="30"/>
        <v>C1Y</v>
      </c>
      <c r="C334" s="9">
        <f t="shared" ref="C334:N334" si="32">B289</f>
        <v>21505.299915193493</v>
      </c>
      <c r="D334" s="9">
        <f t="shared" si="32"/>
        <v>98336.866610128985</v>
      </c>
      <c r="E334" s="9">
        <f t="shared" si="32"/>
        <v>0</v>
      </c>
      <c r="F334" s="9">
        <f t="shared" si="32"/>
        <v>0</v>
      </c>
      <c r="G334" s="9">
        <f t="shared" si="32"/>
        <v>0</v>
      </c>
      <c r="H334" s="9">
        <f t="shared" si="32"/>
        <v>0</v>
      </c>
      <c r="I334" s="9">
        <f t="shared" si="32"/>
        <v>0</v>
      </c>
      <c r="J334" s="9">
        <f t="shared" si="32"/>
        <v>-84000</v>
      </c>
      <c r="K334" s="9">
        <f t="shared" si="32"/>
        <v>-21505.299915193493</v>
      </c>
      <c r="L334" s="9">
        <f t="shared" si="32"/>
        <v>-14336.866610128993</v>
      </c>
      <c r="M334" s="9">
        <f t="shared" si="32"/>
        <v>0</v>
      </c>
      <c r="N334" s="9">
        <f t="shared" si="32"/>
        <v>0</v>
      </c>
      <c r="O334" s="13" t="s">
        <v>251</v>
      </c>
      <c r="P334" s="219" t="s">
        <v>253</v>
      </c>
      <c r="Q334" s="172"/>
      <c r="R334" s="172"/>
      <c r="S334" s="172"/>
      <c r="T334" s="172"/>
      <c r="U334" s="173"/>
    </row>
    <row r="335" spans="1:21" ht="16.95" customHeight="1" x14ac:dyDescent="0.3">
      <c r="A335" s="41">
        <f t="shared" si="30"/>
        <v>0</v>
      </c>
      <c r="C335" s="9">
        <f t="shared" ref="C335:N335" si="33">B290</f>
        <v>-56000</v>
      </c>
      <c r="D335" s="9">
        <f t="shared" si="33"/>
        <v>0</v>
      </c>
      <c r="E335" s="41">
        <f t="shared" si="33"/>
        <v>176515.89974558045</v>
      </c>
      <c r="F335" s="9">
        <f t="shared" si="33"/>
        <v>0</v>
      </c>
      <c r="G335" s="9">
        <f t="shared" si="33"/>
        <v>-56000</v>
      </c>
      <c r="H335" s="9">
        <f t="shared" si="33"/>
        <v>0</v>
      </c>
      <c r="I335" s="41">
        <f t="shared" si="33"/>
        <v>-32257.949872790236</v>
      </c>
      <c r="J335" s="41">
        <f t="shared" si="33"/>
        <v>21505.299915193493</v>
      </c>
      <c r="K335" s="41">
        <f t="shared" si="33"/>
        <v>0</v>
      </c>
      <c r="L335" s="41">
        <f t="shared" si="33"/>
        <v>0</v>
      </c>
      <c r="M335" s="41">
        <f t="shared" si="33"/>
        <v>-32257.949872790236</v>
      </c>
      <c r="N335" s="41">
        <f t="shared" si="33"/>
        <v>-21505.299915193493</v>
      </c>
      <c r="O335" s="13" t="s">
        <v>251</v>
      </c>
      <c r="P335" s="215" t="s">
        <v>254</v>
      </c>
      <c r="Q335" s="172"/>
      <c r="R335" s="172"/>
      <c r="S335" s="172"/>
      <c r="T335" s="172"/>
      <c r="U335" s="173"/>
    </row>
    <row r="336" spans="1:21" ht="16.95" customHeight="1" x14ac:dyDescent="0.3">
      <c r="A336" s="12" t="str">
        <f t="shared" si="30"/>
        <v>C2Y</v>
      </c>
      <c r="C336" s="9">
        <f t="shared" ref="C336:N336" si="34">B291</f>
        <v>0</v>
      </c>
      <c r="D336" s="9">
        <f t="shared" si="34"/>
        <v>0</v>
      </c>
      <c r="E336" s="9">
        <f t="shared" si="34"/>
        <v>0</v>
      </c>
      <c r="F336" s="9">
        <f t="shared" si="34"/>
        <v>112673.73322025797</v>
      </c>
      <c r="G336" s="9">
        <f t="shared" si="34"/>
        <v>0</v>
      </c>
      <c r="H336" s="9">
        <f t="shared" si="34"/>
        <v>0</v>
      </c>
      <c r="I336" s="9">
        <f t="shared" si="34"/>
        <v>21505.299915193493</v>
      </c>
      <c r="J336" s="9">
        <f t="shared" si="34"/>
        <v>-14336.866610128993</v>
      </c>
      <c r="K336" s="9">
        <f t="shared" si="34"/>
        <v>0</v>
      </c>
      <c r="L336" s="9">
        <f t="shared" si="34"/>
        <v>-84000</v>
      </c>
      <c r="M336" s="9">
        <f t="shared" si="34"/>
        <v>-21505.299915193493</v>
      </c>
      <c r="N336" s="9">
        <f t="shared" si="34"/>
        <v>-14336.866610128993</v>
      </c>
      <c r="O336" s="13" t="s">
        <v>251</v>
      </c>
      <c r="P336" s="219" t="s">
        <v>381</v>
      </c>
      <c r="Q336" s="172"/>
      <c r="R336" s="172"/>
      <c r="S336" s="172"/>
      <c r="T336" s="172"/>
      <c r="U336" s="173"/>
    </row>
    <row r="337" spans="1:21" ht="16.95" customHeight="1" x14ac:dyDescent="0.3">
      <c r="A337" s="12" t="str">
        <f t="shared" si="30"/>
        <v>C3X</v>
      </c>
      <c r="C337" s="9">
        <f t="shared" ref="C337:N337" si="35">B292</f>
        <v>0</v>
      </c>
      <c r="D337" s="9">
        <f t="shared" si="35"/>
        <v>0</v>
      </c>
      <c r="E337" s="9">
        <f t="shared" si="35"/>
        <v>-56000</v>
      </c>
      <c r="F337" s="9">
        <f t="shared" si="35"/>
        <v>0</v>
      </c>
      <c r="G337" s="9">
        <f t="shared" si="35"/>
        <v>112164.76898366318</v>
      </c>
      <c r="H337" s="9">
        <f t="shared" si="35"/>
        <v>-29474.23961881781</v>
      </c>
      <c r="I337" s="9">
        <f t="shared" si="35"/>
        <v>-23906.819110872944</v>
      </c>
      <c r="J337" s="9">
        <f t="shared" si="35"/>
        <v>7968.9397036243154</v>
      </c>
      <c r="K337" s="9">
        <f t="shared" si="35"/>
        <v>-32257.949872790236</v>
      </c>
      <c r="L337" s="9">
        <f t="shared" si="35"/>
        <v>21505.299915193493</v>
      </c>
      <c r="M337" s="9">
        <f t="shared" si="35"/>
        <v>0</v>
      </c>
      <c r="N337" s="9">
        <f t="shared" si="35"/>
        <v>0</v>
      </c>
      <c r="O337" s="13" t="s">
        <v>251</v>
      </c>
      <c r="P337" s="219" t="s">
        <v>382</v>
      </c>
      <c r="Q337" s="172"/>
      <c r="R337" s="172"/>
      <c r="S337" s="172"/>
      <c r="T337" s="172"/>
      <c r="U337" s="173"/>
    </row>
    <row r="338" spans="1:21" ht="16.95" customHeight="1" x14ac:dyDescent="0.3">
      <c r="A338" s="12" t="str">
        <f t="shared" si="30"/>
        <v>C3Y</v>
      </c>
      <c r="C338" s="9">
        <f t="shared" ref="C338:N338" si="36">B293</f>
        <v>0</v>
      </c>
      <c r="D338" s="9">
        <f t="shared" si="36"/>
        <v>0</v>
      </c>
      <c r="E338" s="9">
        <f t="shared" si="36"/>
        <v>0</v>
      </c>
      <c r="F338" s="9">
        <f t="shared" si="36"/>
        <v>0</v>
      </c>
      <c r="G338" s="9">
        <f t="shared" si="36"/>
        <v>-29474.23961881781</v>
      </c>
      <c r="H338" s="9">
        <f t="shared" si="36"/>
        <v>100993.17984467042</v>
      </c>
      <c r="I338" s="9">
        <f t="shared" si="36"/>
        <v>7968.9397036243154</v>
      </c>
      <c r="J338" s="9">
        <f t="shared" si="36"/>
        <v>-2656.3132345414388</v>
      </c>
      <c r="K338" s="9">
        <f t="shared" si="36"/>
        <v>21505.299915193493</v>
      </c>
      <c r="L338" s="9">
        <f t="shared" si="36"/>
        <v>-14336.866610128993</v>
      </c>
      <c r="M338" s="9">
        <f t="shared" si="36"/>
        <v>0</v>
      </c>
      <c r="N338" s="9">
        <f t="shared" si="36"/>
        <v>-84000</v>
      </c>
      <c r="O338" s="13" t="s">
        <v>251</v>
      </c>
      <c r="P338" s="219">
        <f t="shared" ref="P338:P344" si="37">E322</f>
        <v>0</v>
      </c>
      <c r="Q338" s="172"/>
      <c r="R338" s="172"/>
      <c r="S338" s="172"/>
      <c r="T338" s="172"/>
      <c r="U338" s="173"/>
    </row>
    <row r="339" spans="1:21" ht="16.95" customHeight="1" x14ac:dyDescent="0.3">
      <c r="A339" s="41">
        <f t="shared" si="30"/>
        <v>3000</v>
      </c>
      <c r="B339" s="13" t="s">
        <v>220</v>
      </c>
      <c r="C339" s="9">
        <f t="shared" ref="C339:N339" si="38">B294</f>
        <v>0</v>
      </c>
      <c r="D339" s="9">
        <f t="shared" si="38"/>
        <v>0</v>
      </c>
      <c r="E339" s="41">
        <f t="shared" si="38"/>
        <v>-32257.949872790236</v>
      </c>
      <c r="F339" s="9">
        <f t="shared" si="38"/>
        <v>21505.299915193493</v>
      </c>
      <c r="G339" s="9">
        <f t="shared" si="38"/>
        <v>-23906.819110872944</v>
      </c>
      <c r="H339" s="9">
        <f t="shared" si="38"/>
        <v>7968.9397036243154</v>
      </c>
      <c r="I339" s="41">
        <f t="shared" si="38"/>
        <v>112164.76898366318</v>
      </c>
      <c r="J339" s="41">
        <f t="shared" si="38"/>
        <v>-29474.23961881781</v>
      </c>
      <c r="K339" s="41">
        <f t="shared" si="38"/>
        <v>-56000</v>
      </c>
      <c r="L339" s="41">
        <f t="shared" si="38"/>
        <v>0</v>
      </c>
      <c r="M339" s="41">
        <f t="shared" si="38"/>
        <v>0</v>
      </c>
      <c r="N339" s="41">
        <f t="shared" si="38"/>
        <v>0</v>
      </c>
      <c r="O339" s="13" t="s">
        <v>251</v>
      </c>
      <c r="P339" s="215" t="str">
        <f t="shared" si="37"/>
        <v>D4X</v>
      </c>
      <c r="Q339" s="172"/>
      <c r="R339" s="172"/>
      <c r="S339" s="172"/>
      <c r="T339" s="172"/>
      <c r="U339" s="173"/>
    </row>
    <row r="340" spans="1:21" ht="16.95" customHeight="1" x14ac:dyDescent="0.3">
      <c r="A340" s="41">
        <f t="shared" si="30"/>
        <v>0</v>
      </c>
      <c r="C340" s="9">
        <f t="shared" ref="C340:N340" si="39">B295</f>
        <v>0</v>
      </c>
      <c r="D340" s="9">
        <f t="shared" si="39"/>
        <v>-84000</v>
      </c>
      <c r="E340" s="41">
        <f t="shared" si="39"/>
        <v>21505.299915193493</v>
      </c>
      <c r="F340" s="9">
        <f t="shared" si="39"/>
        <v>-14336.866610128993</v>
      </c>
      <c r="G340" s="9">
        <f t="shared" si="39"/>
        <v>7968.9397036243154</v>
      </c>
      <c r="H340" s="9">
        <f t="shared" si="39"/>
        <v>-2656.3132345414388</v>
      </c>
      <c r="I340" s="41">
        <f t="shared" si="39"/>
        <v>-29474.23961881781</v>
      </c>
      <c r="J340" s="41">
        <f t="shared" si="39"/>
        <v>100993.17984467042</v>
      </c>
      <c r="K340" s="41">
        <f t="shared" si="39"/>
        <v>0</v>
      </c>
      <c r="L340" s="41">
        <f t="shared" si="39"/>
        <v>0</v>
      </c>
      <c r="M340" s="41">
        <f t="shared" si="39"/>
        <v>0</v>
      </c>
      <c r="N340" s="41">
        <f t="shared" si="39"/>
        <v>0</v>
      </c>
      <c r="O340" s="13" t="s">
        <v>251</v>
      </c>
      <c r="P340" s="215" t="str">
        <f t="shared" si="37"/>
        <v>D4Y</v>
      </c>
      <c r="Q340" s="172"/>
      <c r="R340" s="172"/>
      <c r="S340" s="172"/>
      <c r="T340" s="172"/>
      <c r="U340" s="173"/>
    </row>
    <row r="341" spans="1:21" ht="16.95" customHeight="1" x14ac:dyDescent="0.3">
      <c r="A341" s="41">
        <f t="shared" si="30"/>
        <v>0</v>
      </c>
      <c r="C341" s="9">
        <f t="shared" ref="C341:N341" si="40">B296</f>
        <v>-32257.949872790236</v>
      </c>
      <c r="D341" s="9">
        <f t="shared" si="40"/>
        <v>-21505.299915193493</v>
      </c>
      <c r="E341" s="41">
        <f t="shared" si="40"/>
        <v>0</v>
      </c>
      <c r="F341" s="9">
        <f t="shared" si="40"/>
        <v>0</v>
      </c>
      <c r="G341" s="9">
        <f t="shared" si="40"/>
        <v>-32257.949872790236</v>
      </c>
      <c r="H341" s="9">
        <f t="shared" si="40"/>
        <v>21505.299915193493</v>
      </c>
      <c r="I341" s="41">
        <f t="shared" si="40"/>
        <v>-56000</v>
      </c>
      <c r="J341" s="41">
        <f t="shared" si="40"/>
        <v>0</v>
      </c>
      <c r="K341" s="41">
        <f t="shared" si="40"/>
        <v>176515.89974558045</v>
      </c>
      <c r="L341" s="41">
        <f t="shared" si="40"/>
        <v>0</v>
      </c>
      <c r="M341" s="41">
        <f t="shared" si="40"/>
        <v>-56000</v>
      </c>
      <c r="N341" s="41">
        <f t="shared" si="40"/>
        <v>0</v>
      </c>
      <c r="O341" s="13" t="s">
        <v>251</v>
      </c>
      <c r="P341" s="215" t="str">
        <f t="shared" si="37"/>
        <v>D5X</v>
      </c>
      <c r="Q341" s="172"/>
      <c r="R341" s="172"/>
      <c r="S341" s="172"/>
      <c r="T341" s="172"/>
      <c r="U341" s="173"/>
    </row>
    <row r="342" spans="1:21" ht="16.95" customHeight="1" x14ac:dyDescent="0.3">
      <c r="A342" s="41">
        <f t="shared" si="30"/>
        <v>-10000</v>
      </c>
      <c r="C342" s="9">
        <f t="shared" ref="C342:N342" si="41">B297</f>
        <v>-21505.299915193493</v>
      </c>
      <c r="D342" s="9">
        <f t="shared" si="41"/>
        <v>-14336.866610128993</v>
      </c>
      <c r="E342" s="41">
        <f t="shared" si="41"/>
        <v>0</v>
      </c>
      <c r="F342" s="9">
        <f t="shared" si="41"/>
        <v>-84000</v>
      </c>
      <c r="G342" s="9">
        <f t="shared" si="41"/>
        <v>21505.299915193493</v>
      </c>
      <c r="H342" s="9">
        <f t="shared" si="41"/>
        <v>-14336.866610128993</v>
      </c>
      <c r="I342" s="41">
        <f t="shared" si="41"/>
        <v>0</v>
      </c>
      <c r="J342" s="41">
        <f t="shared" si="41"/>
        <v>0</v>
      </c>
      <c r="K342" s="41">
        <f t="shared" si="41"/>
        <v>0</v>
      </c>
      <c r="L342" s="41">
        <f t="shared" si="41"/>
        <v>112673.73322025797</v>
      </c>
      <c r="M342" s="41">
        <f t="shared" si="41"/>
        <v>0</v>
      </c>
      <c r="N342" s="41">
        <f t="shared" si="41"/>
        <v>0</v>
      </c>
      <c r="O342" s="13" t="s">
        <v>251</v>
      </c>
      <c r="P342" s="215" t="str">
        <f t="shared" si="37"/>
        <v>D5Y</v>
      </c>
      <c r="Q342" s="172"/>
      <c r="R342" s="172"/>
      <c r="S342" s="172"/>
      <c r="T342" s="172"/>
      <c r="U342" s="173"/>
    </row>
    <row r="343" spans="1:21" ht="16.95" customHeight="1" x14ac:dyDescent="0.3">
      <c r="A343" s="41">
        <f t="shared" si="30"/>
        <v>0</v>
      </c>
      <c r="C343" s="9">
        <f t="shared" ref="C343:N343" si="42">B298</f>
        <v>0</v>
      </c>
      <c r="D343" s="9">
        <f t="shared" si="42"/>
        <v>0</v>
      </c>
      <c r="E343" s="41">
        <f t="shared" si="42"/>
        <v>-32257.949872790236</v>
      </c>
      <c r="F343" s="9">
        <f t="shared" si="42"/>
        <v>-21505.299915193493</v>
      </c>
      <c r="G343" s="9">
        <f t="shared" si="42"/>
        <v>0</v>
      </c>
      <c r="H343" s="9">
        <f t="shared" si="42"/>
        <v>0</v>
      </c>
      <c r="I343" s="41">
        <f t="shared" si="42"/>
        <v>0</v>
      </c>
      <c r="J343" s="41">
        <f t="shared" si="42"/>
        <v>0</v>
      </c>
      <c r="K343" s="41">
        <f t="shared" si="42"/>
        <v>-56000</v>
      </c>
      <c r="L343" s="41">
        <f t="shared" si="42"/>
        <v>0</v>
      </c>
      <c r="M343" s="41">
        <f t="shared" si="42"/>
        <v>88257.949872790239</v>
      </c>
      <c r="N343" s="41">
        <f t="shared" si="42"/>
        <v>21505.299915193493</v>
      </c>
      <c r="O343" s="13" t="s">
        <v>251</v>
      </c>
      <c r="P343" s="215" t="str">
        <f t="shared" si="37"/>
        <v>D6X</v>
      </c>
      <c r="Q343" s="172"/>
      <c r="R343" s="172"/>
      <c r="S343" s="172"/>
      <c r="T343" s="172"/>
      <c r="U343" s="173"/>
    </row>
    <row r="344" spans="1:21" ht="16.95" customHeight="1" x14ac:dyDescent="0.3">
      <c r="A344" s="41">
        <f t="shared" si="30"/>
        <v>0</v>
      </c>
      <c r="C344" s="9">
        <f t="shared" ref="C344:N344" si="43">B299</f>
        <v>0</v>
      </c>
      <c r="D344" s="9">
        <f t="shared" si="43"/>
        <v>0</v>
      </c>
      <c r="E344" s="41">
        <f t="shared" si="43"/>
        <v>-21505.299915193493</v>
      </c>
      <c r="F344" s="9">
        <f t="shared" si="43"/>
        <v>-14336.866610128993</v>
      </c>
      <c r="G344" s="9">
        <f t="shared" si="43"/>
        <v>0</v>
      </c>
      <c r="H344" s="9">
        <f t="shared" si="43"/>
        <v>-84000</v>
      </c>
      <c r="I344" s="41">
        <f t="shared" si="43"/>
        <v>0</v>
      </c>
      <c r="J344" s="41">
        <f t="shared" si="43"/>
        <v>0</v>
      </c>
      <c r="K344" s="41">
        <f t="shared" si="43"/>
        <v>0</v>
      </c>
      <c r="L344" s="41">
        <f t="shared" si="43"/>
        <v>0</v>
      </c>
      <c r="M344" s="41">
        <f t="shared" si="43"/>
        <v>21505.299915193493</v>
      </c>
      <c r="N344" s="41">
        <f t="shared" si="43"/>
        <v>98336.866610128985</v>
      </c>
      <c r="O344" s="13" t="s">
        <v>251</v>
      </c>
      <c r="P344" s="215" t="str">
        <f t="shared" si="37"/>
        <v>D6Y</v>
      </c>
      <c r="Q344" s="172"/>
      <c r="R344" s="172"/>
      <c r="S344" s="172"/>
      <c r="T344" s="172"/>
      <c r="U344" s="173"/>
    </row>
    <row r="347" spans="1:21" ht="19.95" customHeight="1" x14ac:dyDescent="0.35">
      <c r="A347" s="15" t="s">
        <v>257</v>
      </c>
      <c r="P347" s="216" t="s">
        <v>258</v>
      </c>
      <c r="Q347" s="172"/>
      <c r="R347" s="172"/>
      <c r="S347" s="172"/>
      <c r="T347" s="172"/>
      <c r="U347" s="173"/>
    </row>
    <row r="348" spans="1:21" ht="16.95" customHeight="1" x14ac:dyDescent="0.3">
      <c r="C348" s="38" t="str">
        <f>INDEX(C$317:C$328, MATCH(1, F$317:F$328, 0))</f>
        <v>U2X</v>
      </c>
      <c r="D348" s="38" t="str">
        <f>INDEX(C$317:C$328, MATCH(2, F$317:F$328, 0))</f>
        <v>U4X</v>
      </c>
      <c r="E348" s="38" t="str">
        <f>INDEX(C$317:C$328, MATCH(3, F$317:F$328, 0))</f>
        <v>U4Y</v>
      </c>
      <c r="F348" s="38" t="str">
        <f>INDEX(C$317:C$328, MATCH(4, F$317:F$328, 0))</f>
        <v>U5X</v>
      </c>
      <c r="G348" s="38" t="str">
        <f>INDEX(C$317:C$328, MATCH(5, F$317:F$328, 0))</f>
        <v>U5Y</v>
      </c>
      <c r="H348" s="38" t="str">
        <f>INDEX(C$317:C$328, MATCH(6, F$317:F$328, 0))</f>
        <v>U6X</v>
      </c>
      <c r="I348" s="38" t="str">
        <f>INDEX(C$317:C$328, MATCH(7, F$317:F$328, 0))</f>
        <v>U6Y</v>
      </c>
      <c r="P348" s="215" t="s">
        <v>383</v>
      </c>
      <c r="Q348" s="172"/>
      <c r="R348" s="172"/>
      <c r="S348" s="172"/>
      <c r="T348" s="172"/>
      <c r="U348" s="173"/>
    </row>
    <row r="349" spans="1:21" ht="16.95" customHeight="1" x14ac:dyDescent="0.3">
      <c r="A349" s="41">
        <f t="shared" ref="A349:A355" si="44">INDEX(E$303:E$314, MATCH(L349, C$303:C$314, 0))</f>
        <v>0</v>
      </c>
      <c r="C349" s="41">
        <f t="shared" ref="C349:I355" si="45">INDEX($B$288:$M$299, MATCH($L349, $N$288:$N$299, 0), MATCH(C$348, $B$287:$M$287, 0))</f>
        <v>176515.89974558045</v>
      </c>
      <c r="D349" s="41">
        <f t="shared" si="45"/>
        <v>-32257.949872790236</v>
      </c>
      <c r="E349" s="41">
        <f t="shared" si="45"/>
        <v>21505.299915193493</v>
      </c>
      <c r="F349" s="41">
        <f t="shared" si="45"/>
        <v>0</v>
      </c>
      <c r="G349" s="41">
        <f t="shared" si="45"/>
        <v>0</v>
      </c>
      <c r="H349" s="41">
        <f t="shared" si="45"/>
        <v>-32257.949872790236</v>
      </c>
      <c r="I349" s="41">
        <f t="shared" si="45"/>
        <v>-21505.299915193493</v>
      </c>
      <c r="J349" s="13" t="s">
        <v>251</v>
      </c>
      <c r="K349" s="38" t="str">
        <f>INDEX(B$317:B$328, MATCH(1, F$317:F$328, 0))</f>
        <v>D2X</v>
      </c>
      <c r="L349" s="14" t="str">
        <f>INDEX(C$317:C$328, MATCH(1, F$317:F$328, 0))</f>
        <v>U2X</v>
      </c>
      <c r="P349" s="215" t="s">
        <v>384</v>
      </c>
      <c r="Q349" s="172"/>
      <c r="R349" s="172"/>
      <c r="S349" s="172"/>
      <c r="T349" s="172"/>
      <c r="U349" s="173"/>
    </row>
    <row r="350" spans="1:21" ht="16.95" customHeight="1" x14ac:dyDescent="0.3">
      <c r="A350" s="41">
        <f t="shared" si="44"/>
        <v>3000</v>
      </c>
      <c r="C350" s="41">
        <f t="shared" si="45"/>
        <v>-32257.949872790236</v>
      </c>
      <c r="D350" s="41">
        <f t="shared" si="45"/>
        <v>112164.76898366318</v>
      </c>
      <c r="E350" s="41">
        <f t="shared" si="45"/>
        <v>-29474.23961881781</v>
      </c>
      <c r="F350" s="41">
        <f t="shared" si="45"/>
        <v>-56000</v>
      </c>
      <c r="G350" s="41">
        <f t="shared" si="45"/>
        <v>0</v>
      </c>
      <c r="H350" s="41">
        <f t="shared" si="45"/>
        <v>0</v>
      </c>
      <c r="I350" s="41">
        <f t="shared" si="45"/>
        <v>0</v>
      </c>
      <c r="J350" s="13" t="s">
        <v>251</v>
      </c>
      <c r="K350" s="38" t="str">
        <f>INDEX(B$317:B$328, MATCH(2, F$317:F$328, 0))</f>
        <v>D4X</v>
      </c>
      <c r="L350" s="14" t="str">
        <f>INDEX(C$317:C$328, MATCH(2, F$317:F$328, 0))</f>
        <v>U4X</v>
      </c>
      <c r="P350" s="215" t="s">
        <v>385</v>
      </c>
      <c r="Q350" s="172"/>
      <c r="R350" s="172"/>
      <c r="S350" s="172"/>
      <c r="T350" s="172"/>
      <c r="U350" s="173"/>
    </row>
    <row r="351" spans="1:21" ht="16.95" customHeight="1" x14ac:dyDescent="0.3">
      <c r="A351" s="41">
        <f t="shared" si="44"/>
        <v>0</v>
      </c>
      <c r="C351" s="41">
        <f t="shared" si="45"/>
        <v>21505.299915193493</v>
      </c>
      <c r="D351" s="41">
        <f t="shared" si="45"/>
        <v>-29474.23961881781</v>
      </c>
      <c r="E351" s="41">
        <f t="shared" si="45"/>
        <v>100993.17984467042</v>
      </c>
      <c r="F351" s="41">
        <f t="shared" si="45"/>
        <v>0</v>
      </c>
      <c r="G351" s="41">
        <f t="shared" si="45"/>
        <v>0</v>
      </c>
      <c r="H351" s="41">
        <f t="shared" si="45"/>
        <v>0</v>
      </c>
      <c r="I351" s="41">
        <f t="shared" si="45"/>
        <v>0</v>
      </c>
      <c r="J351" s="13" t="s">
        <v>251</v>
      </c>
      <c r="K351" s="38" t="str">
        <f>INDEX(B$317:B$328, MATCH(3, F$317:F$328, 0))</f>
        <v>D4Y</v>
      </c>
      <c r="L351" s="14" t="str">
        <f>INDEX(C$317:C$328, MATCH(3, F$317:F$328, 0))</f>
        <v>U4Y</v>
      </c>
      <c r="P351" s="215" t="s">
        <v>386</v>
      </c>
      <c r="Q351" s="172"/>
      <c r="R351" s="172"/>
      <c r="S351" s="172"/>
      <c r="T351" s="172"/>
      <c r="U351" s="173"/>
    </row>
    <row r="352" spans="1:21" ht="16.95" customHeight="1" x14ac:dyDescent="0.3">
      <c r="A352" s="41">
        <f t="shared" si="44"/>
        <v>0</v>
      </c>
      <c r="B352" s="13" t="s">
        <v>220</v>
      </c>
      <c r="C352" s="41">
        <f t="shared" si="45"/>
        <v>0</v>
      </c>
      <c r="D352" s="41">
        <f t="shared" si="45"/>
        <v>-56000</v>
      </c>
      <c r="E352" s="41">
        <f t="shared" si="45"/>
        <v>0</v>
      </c>
      <c r="F352" s="41">
        <f t="shared" si="45"/>
        <v>176515.89974558045</v>
      </c>
      <c r="G352" s="41">
        <f t="shared" si="45"/>
        <v>0</v>
      </c>
      <c r="H352" s="41">
        <f t="shared" si="45"/>
        <v>-56000</v>
      </c>
      <c r="I352" s="41">
        <f t="shared" si="45"/>
        <v>0</v>
      </c>
      <c r="J352" s="13" t="s">
        <v>251</v>
      </c>
      <c r="K352" s="38" t="str">
        <f>INDEX(B$317:B$328, MATCH(4, F$317:F$328, 0))</f>
        <v>D5X</v>
      </c>
      <c r="L352" s="14" t="str">
        <f>INDEX(C$317:C$328, MATCH(4, F$317:F$328, 0))</f>
        <v>U5X</v>
      </c>
      <c r="P352" s="215" t="s">
        <v>387</v>
      </c>
      <c r="Q352" s="172"/>
      <c r="R352" s="172"/>
      <c r="S352" s="172"/>
      <c r="T352" s="172"/>
      <c r="U352" s="173"/>
    </row>
    <row r="353" spans="1:21" ht="16.95" customHeight="1" x14ac:dyDescent="0.3">
      <c r="A353" s="41">
        <f t="shared" si="44"/>
        <v>-10000</v>
      </c>
      <c r="C353" s="41">
        <f t="shared" si="45"/>
        <v>0</v>
      </c>
      <c r="D353" s="41">
        <f t="shared" si="45"/>
        <v>0</v>
      </c>
      <c r="E353" s="41">
        <f t="shared" si="45"/>
        <v>0</v>
      </c>
      <c r="F353" s="41">
        <f t="shared" si="45"/>
        <v>0</v>
      </c>
      <c r="G353" s="41">
        <f t="shared" si="45"/>
        <v>112673.73322025797</v>
      </c>
      <c r="H353" s="41">
        <f t="shared" si="45"/>
        <v>0</v>
      </c>
      <c r="I353" s="41">
        <f t="shared" si="45"/>
        <v>0</v>
      </c>
      <c r="J353" s="13" t="s">
        <v>251</v>
      </c>
      <c r="K353" s="38" t="str">
        <f>INDEX(B$317:B$328, MATCH(5, F$317:F$328, 0))</f>
        <v>D5Y</v>
      </c>
      <c r="L353" s="14" t="str">
        <f>INDEX(C$317:C$328, MATCH(5, F$317:F$328, 0))</f>
        <v>U5Y</v>
      </c>
      <c r="P353" s="215" t="s">
        <v>388</v>
      </c>
      <c r="Q353" s="172"/>
      <c r="R353" s="172"/>
      <c r="S353" s="172"/>
      <c r="T353" s="172"/>
      <c r="U353" s="173"/>
    </row>
    <row r="354" spans="1:21" ht="16.95" customHeight="1" x14ac:dyDescent="0.3">
      <c r="A354" s="41">
        <f t="shared" si="44"/>
        <v>0</v>
      </c>
      <c r="C354" s="41">
        <f t="shared" si="45"/>
        <v>-32257.949872790236</v>
      </c>
      <c r="D354" s="41">
        <f t="shared" si="45"/>
        <v>0</v>
      </c>
      <c r="E354" s="41">
        <f t="shared" si="45"/>
        <v>0</v>
      </c>
      <c r="F354" s="41">
        <f t="shared" si="45"/>
        <v>-56000</v>
      </c>
      <c r="G354" s="41">
        <f t="shared" si="45"/>
        <v>0</v>
      </c>
      <c r="H354" s="41">
        <f t="shared" si="45"/>
        <v>88257.949872790239</v>
      </c>
      <c r="I354" s="41">
        <f t="shared" si="45"/>
        <v>21505.299915193493</v>
      </c>
      <c r="J354" s="13" t="s">
        <v>251</v>
      </c>
      <c r="K354" s="38" t="str">
        <f>INDEX(B$317:B$328, MATCH(6, F$317:F$328, 0))</f>
        <v>D6X</v>
      </c>
      <c r="L354" s="14" t="str">
        <f>INDEX(C$317:C$328, MATCH(6, F$317:F$328, 0))</f>
        <v>U6X</v>
      </c>
      <c r="P354" s="215"/>
      <c r="Q354" s="172"/>
      <c r="R354" s="172"/>
      <c r="S354" s="172"/>
      <c r="T354" s="172"/>
      <c r="U354" s="173"/>
    </row>
    <row r="355" spans="1:21" ht="16.95" customHeight="1" x14ac:dyDescent="0.3">
      <c r="A355" s="41">
        <f t="shared" si="44"/>
        <v>0</v>
      </c>
      <c r="C355" s="41">
        <f t="shared" si="45"/>
        <v>-21505.299915193493</v>
      </c>
      <c r="D355" s="41">
        <f t="shared" si="45"/>
        <v>0</v>
      </c>
      <c r="E355" s="41">
        <f t="shared" si="45"/>
        <v>0</v>
      </c>
      <c r="F355" s="41">
        <f t="shared" si="45"/>
        <v>0</v>
      </c>
      <c r="G355" s="41">
        <f t="shared" si="45"/>
        <v>0</v>
      </c>
      <c r="H355" s="41">
        <f t="shared" si="45"/>
        <v>21505.299915193493</v>
      </c>
      <c r="I355" s="41">
        <f t="shared" si="45"/>
        <v>98336.866610128985</v>
      </c>
      <c r="J355" s="13" t="s">
        <v>251</v>
      </c>
      <c r="K355" s="38" t="str">
        <f>INDEX(B$317:B$328, MATCH(7, F$317:F$328, 0))</f>
        <v>D6Y</v>
      </c>
      <c r="L355" s="14" t="str">
        <f>INDEX(C$317:C$328, MATCH(7, F$317:F$328, 0))</f>
        <v>U6Y</v>
      </c>
      <c r="P355" s="215"/>
      <c r="Q355" s="172"/>
      <c r="R355" s="172"/>
      <c r="S355" s="172"/>
      <c r="T355" s="172"/>
      <c r="U355" s="173"/>
    </row>
    <row r="356" spans="1:21" ht="16.95" customHeight="1" x14ac:dyDescent="0.3">
      <c r="P356" s="215"/>
      <c r="Q356" s="172"/>
      <c r="R356" s="172"/>
      <c r="S356" s="172"/>
      <c r="T356" s="172"/>
      <c r="U356" s="173"/>
    </row>
    <row r="357" spans="1:21" ht="16.95" customHeight="1" x14ac:dyDescent="0.3">
      <c r="C357" s="218" t="s">
        <v>263</v>
      </c>
      <c r="D357" s="172"/>
      <c r="E357" s="172"/>
      <c r="F357" s="172"/>
      <c r="G357" s="172"/>
      <c r="H357" s="172"/>
      <c r="I357" s="173"/>
      <c r="P357" s="215"/>
      <c r="Q357" s="172"/>
      <c r="R357" s="172"/>
      <c r="S357" s="172"/>
      <c r="T357" s="172"/>
      <c r="U357" s="173"/>
    </row>
    <row r="358" spans="1:21" ht="16.95" customHeight="1" x14ac:dyDescent="0.3">
      <c r="A358" s="99" t="s">
        <v>249</v>
      </c>
      <c r="C358" s="193" t="s">
        <v>264</v>
      </c>
      <c r="D358" s="175"/>
      <c r="E358" s="175"/>
      <c r="F358" s="175"/>
      <c r="G358" s="175"/>
      <c r="H358" s="175"/>
      <c r="I358" s="175"/>
      <c r="K358" s="99" t="s">
        <v>247</v>
      </c>
      <c r="P358" s="215"/>
      <c r="Q358" s="172"/>
      <c r="R358" s="172"/>
      <c r="S358" s="172"/>
      <c r="T358" s="172"/>
      <c r="U358" s="173"/>
    </row>
    <row r="359" spans="1:21" ht="16.95" customHeight="1" x14ac:dyDescent="0.3">
      <c r="A359" s="12" t="str">
        <f t="shared" ref="A359:A365" si="46">K349</f>
        <v>D2X</v>
      </c>
      <c r="C359" s="93">
        <f t="array" ref="C359:I365">MINVERSE(C349:I355)</f>
        <v>7.0471609812583491E-6</v>
      </c>
      <c r="D359" s="93">
        <v>2.9078913187526555E-6</v>
      </c>
      <c r="E359" s="93">
        <v>-6.5195912277920849E-7</v>
      </c>
      <c r="F359" s="93">
        <v>2.1080712808043723E-6</v>
      </c>
      <c r="G359" s="93">
        <v>0</v>
      </c>
      <c r="H359" s="93">
        <v>3.7368961608723815E-6</v>
      </c>
      <c r="I359" s="93">
        <v>7.2392216891911547E-7</v>
      </c>
      <c r="K359" s="17">
        <f t="shared" ref="K359:K365" si="47">A349</f>
        <v>0</v>
      </c>
      <c r="P359" s="215"/>
      <c r="Q359" s="172"/>
      <c r="R359" s="172"/>
      <c r="S359" s="172"/>
      <c r="T359" s="172"/>
      <c r="U359" s="173"/>
    </row>
    <row r="360" spans="1:21" ht="16.95" customHeight="1" x14ac:dyDescent="0.3">
      <c r="A360" s="12" t="str">
        <f t="shared" si="46"/>
        <v>D4X</v>
      </c>
      <c r="C360" s="93">
        <v>2.907891318752655E-6</v>
      </c>
      <c r="D360" s="93">
        <v>1.3545708414528922E-5</v>
      </c>
      <c r="E360" s="93">
        <v>3.3340308841029899E-6</v>
      </c>
      <c r="F360" s="93">
        <v>5.8442967404511345E-6</v>
      </c>
      <c r="G360" s="93">
        <v>0</v>
      </c>
      <c r="H360" s="93">
        <v>4.8759218983442043E-6</v>
      </c>
      <c r="I360" s="93">
        <v>-4.3038881871419047E-7</v>
      </c>
      <c r="K360" s="17">
        <f t="shared" si="47"/>
        <v>3000</v>
      </c>
      <c r="P360" s="215"/>
      <c r="Q360" s="172"/>
      <c r="R360" s="172"/>
      <c r="S360" s="172"/>
      <c r="T360" s="172"/>
      <c r="U360" s="173"/>
    </row>
    <row r="361" spans="1:21" ht="16.95" customHeight="1" x14ac:dyDescent="0.3">
      <c r="A361" s="12" t="str">
        <f t="shared" si="46"/>
        <v>D4Y</v>
      </c>
      <c r="C361" s="93">
        <v>-6.5195912277920839E-7</v>
      </c>
      <c r="D361" s="93">
        <v>3.3340308841029903E-6</v>
      </c>
      <c r="E361" s="93">
        <v>1.1013502133046276E-5</v>
      </c>
      <c r="F361" s="93">
        <v>1.256733351602914E-6</v>
      </c>
      <c r="G361" s="93">
        <v>0</v>
      </c>
      <c r="H361" s="93">
        <v>6.2728015694106803E-7</v>
      </c>
      <c r="I361" s="93">
        <v>-2.7975697540526471E-7</v>
      </c>
      <c r="K361" s="17">
        <f t="shared" si="47"/>
        <v>0</v>
      </c>
      <c r="P361" s="215"/>
      <c r="Q361" s="172"/>
      <c r="R361" s="172"/>
      <c r="S361" s="172"/>
      <c r="T361" s="172"/>
      <c r="U361" s="173"/>
    </row>
    <row r="362" spans="1:21" ht="16.95" customHeight="1" x14ac:dyDescent="0.3">
      <c r="A362" s="12" t="str">
        <f t="shared" si="46"/>
        <v>D5X</v>
      </c>
      <c r="B362" s="13" t="s">
        <v>220</v>
      </c>
      <c r="C362" s="93">
        <v>2.1080712808043732E-6</v>
      </c>
      <c r="D362" s="93">
        <v>5.8442967404511354E-6</v>
      </c>
      <c r="E362" s="93">
        <v>1.256733351602914E-6</v>
      </c>
      <c r="F362" s="93">
        <v>9.8300156449663717E-6</v>
      </c>
      <c r="G362" s="93">
        <v>0</v>
      </c>
      <c r="H362" s="93">
        <v>7.2834542610554974E-6</v>
      </c>
      <c r="I362" s="93">
        <v>-1.131805059515943E-6</v>
      </c>
      <c r="K362" s="17">
        <f t="shared" si="47"/>
        <v>0</v>
      </c>
      <c r="P362" s="215"/>
      <c r="Q362" s="172"/>
      <c r="R362" s="172"/>
      <c r="S362" s="172"/>
      <c r="T362" s="172"/>
      <c r="U362" s="173"/>
    </row>
    <row r="363" spans="1:21" ht="16.95" customHeight="1" x14ac:dyDescent="0.3">
      <c r="A363" s="12" t="str">
        <f t="shared" si="46"/>
        <v>D5Y</v>
      </c>
      <c r="C363" s="93">
        <v>0</v>
      </c>
      <c r="D363" s="93">
        <v>0</v>
      </c>
      <c r="E363" s="93">
        <v>0</v>
      </c>
      <c r="F363" s="93">
        <v>0</v>
      </c>
      <c r="G363" s="93">
        <v>8.8751829855958552E-6</v>
      </c>
      <c r="H363" s="93">
        <v>0</v>
      </c>
      <c r="I363" s="93">
        <v>0</v>
      </c>
      <c r="K363" s="17">
        <f t="shared" si="47"/>
        <v>-10000</v>
      </c>
      <c r="P363" s="215"/>
      <c r="Q363" s="172"/>
      <c r="R363" s="172"/>
      <c r="S363" s="172"/>
      <c r="T363" s="172"/>
      <c r="U363" s="173"/>
    </row>
    <row r="364" spans="1:21" ht="16.95" customHeight="1" x14ac:dyDescent="0.3">
      <c r="A364" s="12" t="str">
        <f t="shared" si="46"/>
        <v>D6X</v>
      </c>
      <c r="C364" s="93">
        <v>3.7368961608723806E-6</v>
      </c>
      <c r="D364" s="93">
        <v>4.8759218983442043E-6</v>
      </c>
      <c r="E364" s="93">
        <v>6.2728015694106824E-7</v>
      </c>
      <c r="F364" s="93">
        <v>7.2834542610554974E-6</v>
      </c>
      <c r="G364" s="93">
        <v>0</v>
      </c>
      <c r="H364" s="93">
        <v>1.8082033139977102E-5</v>
      </c>
      <c r="I364" s="93">
        <v>-3.1371395458761114E-6</v>
      </c>
      <c r="K364" s="17">
        <f t="shared" si="47"/>
        <v>0</v>
      </c>
      <c r="P364" s="215"/>
      <c r="Q364" s="172"/>
      <c r="R364" s="172"/>
      <c r="S364" s="172"/>
      <c r="T364" s="172"/>
      <c r="U364" s="173"/>
    </row>
    <row r="365" spans="1:21" ht="16.95" customHeight="1" x14ac:dyDescent="0.3">
      <c r="A365" s="12" t="str">
        <f t="shared" si="46"/>
        <v>D6Y</v>
      </c>
      <c r="C365" s="93">
        <v>7.2392216891911547E-7</v>
      </c>
      <c r="D365" s="93">
        <v>-4.3038881871419042E-7</v>
      </c>
      <c r="E365" s="93">
        <v>-2.7975697540526466E-7</v>
      </c>
      <c r="F365" s="93">
        <v>-1.1318050595159425E-6</v>
      </c>
      <c r="G365" s="93">
        <v>0</v>
      </c>
      <c r="H365" s="93">
        <v>-3.1371395458761105E-6</v>
      </c>
      <c r="I365" s="93">
        <v>1.1013502133046275E-5</v>
      </c>
      <c r="K365" s="17">
        <f t="shared" si="47"/>
        <v>0</v>
      </c>
      <c r="P365" s="215"/>
      <c r="Q365" s="172"/>
      <c r="R365" s="172"/>
      <c r="S365" s="172"/>
      <c r="T365" s="172"/>
      <c r="U365" s="173"/>
    </row>
    <row r="366" spans="1:21" ht="16.95" customHeight="1" x14ac:dyDescent="0.3">
      <c r="P366" s="215"/>
      <c r="Q366" s="172"/>
      <c r="R366" s="172"/>
      <c r="S366" s="172"/>
      <c r="T366" s="172"/>
      <c r="U366" s="173"/>
    </row>
    <row r="367" spans="1:21" ht="16.95" customHeight="1" x14ac:dyDescent="0.3">
      <c r="C367" s="218" t="s">
        <v>265</v>
      </c>
      <c r="D367" s="173"/>
      <c r="P367" s="215"/>
      <c r="Q367" s="172"/>
      <c r="R367" s="172"/>
      <c r="S367" s="172"/>
      <c r="T367" s="172"/>
      <c r="U367" s="173"/>
    </row>
    <row r="368" spans="1:21" ht="16.95" customHeight="1" x14ac:dyDescent="0.3">
      <c r="A368" s="99" t="s">
        <v>249</v>
      </c>
      <c r="C368" s="99" t="s">
        <v>266</v>
      </c>
      <c r="P368" s="215"/>
      <c r="Q368" s="172"/>
      <c r="R368" s="172"/>
      <c r="S368" s="172"/>
      <c r="T368" s="172"/>
      <c r="U368" s="173"/>
    </row>
    <row r="369" spans="1:21" ht="16.95" customHeight="1" x14ac:dyDescent="0.3">
      <c r="A369" s="12" t="str">
        <f t="shared" ref="A369:A375" si="48">A359</f>
        <v>D2X</v>
      </c>
      <c r="C369" s="94">
        <f t="array" ref="C369:C375">MMULT(C359:I365, K359:K365)</f>
        <v>8.7236739562579664E-3</v>
      </c>
      <c r="D369" s="12" t="s">
        <v>267</v>
      </c>
      <c r="P369" s="215"/>
      <c r="Q369" s="172"/>
      <c r="R369" s="172"/>
      <c r="S369" s="172"/>
      <c r="T369" s="172"/>
      <c r="U369" s="173"/>
    </row>
    <row r="370" spans="1:21" ht="16.95" customHeight="1" x14ac:dyDescent="0.3">
      <c r="A370" s="12" t="str">
        <f t="shared" si="48"/>
        <v>D4X</v>
      </c>
      <c r="C370" s="94">
        <v>4.0637125243586765E-2</v>
      </c>
      <c r="D370" s="12" t="s">
        <v>267</v>
      </c>
      <c r="P370" s="215"/>
      <c r="Q370" s="172"/>
      <c r="R370" s="172"/>
      <c r="S370" s="172"/>
      <c r="T370" s="172"/>
      <c r="U370" s="173"/>
    </row>
    <row r="371" spans="1:21" ht="16.95" customHeight="1" x14ac:dyDescent="0.3">
      <c r="A371" s="12" t="str">
        <f t="shared" si="48"/>
        <v>D4Y</v>
      </c>
      <c r="C371" s="94">
        <v>1.0002092652308971E-2</v>
      </c>
      <c r="D371" s="12" t="s">
        <v>267</v>
      </c>
      <c r="P371" s="215"/>
      <c r="Q371" s="172"/>
      <c r="R371" s="172"/>
      <c r="S371" s="172"/>
      <c r="T371" s="172"/>
      <c r="U371" s="173"/>
    </row>
    <row r="372" spans="1:21" ht="16.95" customHeight="1" x14ac:dyDescent="0.3">
      <c r="A372" s="12" t="str">
        <f t="shared" si="48"/>
        <v>D5X</v>
      </c>
      <c r="B372" s="13" t="s">
        <v>220</v>
      </c>
      <c r="C372" s="94">
        <v>1.7532890221353407E-2</v>
      </c>
      <c r="D372" s="12" t="s">
        <v>267</v>
      </c>
      <c r="P372" s="215"/>
      <c r="Q372" s="172"/>
      <c r="R372" s="172"/>
      <c r="S372" s="172"/>
      <c r="T372" s="172"/>
      <c r="U372" s="173"/>
    </row>
    <row r="373" spans="1:21" ht="16.95" customHeight="1" x14ac:dyDescent="0.3">
      <c r="A373" s="12" t="str">
        <f t="shared" si="48"/>
        <v>D5Y</v>
      </c>
      <c r="C373" s="94">
        <v>-8.8751829855958558E-2</v>
      </c>
      <c r="D373" s="12" t="s">
        <v>267</v>
      </c>
      <c r="P373" s="215"/>
      <c r="Q373" s="172"/>
      <c r="R373" s="172"/>
      <c r="S373" s="172"/>
      <c r="T373" s="172"/>
      <c r="U373" s="173"/>
    </row>
    <row r="374" spans="1:21" ht="16.95" customHeight="1" x14ac:dyDescent="0.3">
      <c r="A374" s="12" t="str">
        <f t="shared" si="48"/>
        <v>D6X</v>
      </c>
      <c r="C374" s="94">
        <v>1.4627765695032612E-2</v>
      </c>
      <c r="D374" s="12" t="s">
        <v>267</v>
      </c>
      <c r="P374" s="215"/>
      <c r="Q374" s="172"/>
      <c r="R374" s="172"/>
      <c r="S374" s="172"/>
      <c r="T374" s="172"/>
      <c r="U374" s="173"/>
    </row>
    <row r="375" spans="1:21" ht="16.95" customHeight="1" x14ac:dyDescent="0.3">
      <c r="A375" s="12" t="str">
        <f t="shared" si="48"/>
        <v>D6Y</v>
      </c>
      <c r="C375" s="94">
        <v>-1.2911664561425713E-3</v>
      </c>
      <c r="D375" s="12" t="s">
        <v>267</v>
      </c>
      <c r="P375" s="215"/>
      <c r="Q375" s="172"/>
      <c r="R375" s="172"/>
      <c r="S375" s="172"/>
      <c r="T375" s="172"/>
      <c r="U375" s="173"/>
    </row>
    <row r="378" spans="1:21" ht="19.95" customHeight="1" x14ac:dyDescent="0.35">
      <c r="A378" s="11" t="s">
        <v>268</v>
      </c>
      <c r="P378" s="216" t="s">
        <v>269</v>
      </c>
      <c r="Q378" s="172"/>
      <c r="R378" s="172"/>
      <c r="S378" s="172"/>
      <c r="T378" s="172"/>
      <c r="U378" s="173"/>
    </row>
    <row r="379" spans="1:21" ht="16.95" customHeight="1" x14ac:dyDescent="0.3">
      <c r="A379" s="99" t="s">
        <v>247</v>
      </c>
      <c r="K379" s="99" t="s">
        <v>249</v>
      </c>
      <c r="P379" s="215" t="s">
        <v>389</v>
      </c>
      <c r="Q379" s="172"/>
      <c r="R379" s="172"/>
      <c r="S379" s="172"/>
      <c r="T379" s="172"/>
      <c r="U379" s="173"/>
    </row>
    <row r="380" spans="1:21" ht="16.95" customHeight="1" x14ac:dyDescent="0.3">
      <c r="A380" s="18" t="str">
        <f>INDEX(B$303:B$314, MATCH(L380, C$303:C$314, 0))</f>
        <v>C1X</v>
      </c>
      <c r="C380" s="9">
        <f t="shared" ref="C380:I384" si="49">INDEX($B$288:$M$299, MATCH($L380, $N$288:$N$299, 0), MATCH(C$348, $B$287:$M$287, 0))</f>
        <v>-56000</v>
      </c>
      <c r="D380" s="9">
        <f t="shared" si="49"/>
        <v>0</v>
      </c>
      <c r="E380" s="9">
        <f t="shared" si="49"/>
        <v>0</v>
      </c>
      <c r="F380" s="9">
        <f t="shared" si="49"/>
        <v>-32257.949872790236</v>
      </c>
      <c r="G380" s="9">
        <f t="shared" si="49"/>
        <v>-21505.299915193493</v>
      </c>
      <c r="H380" s="9">
        <f t="shared" si="49"/>
        <v>0</v>
      </c>
      <c r="I380" s="9">
        <f t="shared" si="49"/>
        <v>0</v>
      </c>
      <c r="K380" s="95">
        <f t="shared" ref="K380:K386" si="50">C369</f>
        <v>8.7236739562579664E-3</v>
      </c>
      <c r="L380" s="14" t="str">
        <f>INDEX(C$317:C$328, MATCH(1, G$317:G$328, 0))</f>
        <v>U1X</v>
      </c>
      <c r="P380" s="215" t="s">
        <v>390</v>
      </c>
      <c r="Q380" s="172"/>
      <c r="R380" s="172"/>
      <c r="S380" s="172"/>
      <c r="T380" s="172"/>
      <c r="U380" s="173"/>
    </row>
    <row r="381" spans="1:21" ht="16.95" customHeight="1" x14ac:dyDescent="0.3">
      <c r="A381" s="18" t="str">
        <f>INDEX(B$303:B$314, MATCH(L381, C$303:C$314, 0))</f>
        <v>C1Y</v>
      </c>
      <c r="C381" s="9">
        <f t="shared" si="49"/>
        <v>0</v>
      </c>
      <c r="D381" s="9">
        <f t="shared" si="49"/>
        <v>0</v>
      </c>
      <c r="E381" s="9">
        <f t="shared" si="49"/>
        <v>-84000</v>
      </c>
      <c r="F381" s="9">
        <f t="shared" si="49"/>
        <v>-21505.299915193493</v>
      </c>
      <c r="G381" s="9">
        <f t="shared" si="49"/>
        <v>-14336.866610128993</v>
      </c>
      <c r="H381" s="9">
        <f t="shared" si="49"/>
        <v>0</v>
      </c>
      <c r="I381" s="9">
        <f t="shared" si="49"/>
        <v>0</v>
      </c>
      <c r="K381" s="95">
        <f t="shared" si="50"/>
        <v>4.0637125243586765E-2</v>
      </c>
      <c r="L381" s="14" t="str">
        <f>INDEX(C$317:C$328, MATCH(2, G$317:G$328, 0))</f>
        <v>U1Y</v>
      </c>
      <c r="P381" s="215" t="s">
        <v>391</v>
      </c>
      <c r="Q381" s="172"/>
      <c r="R381" s="172"/>
      <c r="S381" s="172"/>
      <c r="T381" s="172"/>
      <c r="U381" s="173"/>
    </row>
    <row r="382" spans="1:21" ht="16.95" customHeight="1" x14ac:dyDescent="0.3">
      <c r="A382" s="18" t="str">
        <f>INDEX(B$303:B$314, MATCH(L382, C$303:C$314, 0))</f>
        <v>C2Y</v>
      </c>
      <c r="B382" s="13" t="s">
        <v>220</v>
      </c>
      <c r="C382" s="9">
        <f t="shared" si="49"/>
        <v>0</v>
      </c>
      <c r="D382" s="9">
        <f t="shared" si="49"/>
        <v>21505.299915193493</v>
      </c>
      <c r="E382" s="9">
        <f t="shared" si="49"/>
        <v>-14336.866610128993</v>
      </c>
      <c r="F382" s="9">
        <f t="shared" si="49"/>
        <v>0</v>
      </c>
      <c r="G382" s="9">
        <f t="shared" si="49"/>
        <v>-84000</v>
      </c>
      <c r="H382" s="9">
        <f t="shared" si="49"/>
        <v>-21505.299915193493</v>
      </c>
      <c r="I382" s="9">
        <f t="shared" si="49"/>
        <v>-14336.866610128993</v>
      </c>
      <c r="K382" s="95">
        <f t="shared" si="50"/>
        <v>1.0002092652308971E-2</v>
      </c>
      <c r="L382" s="14" t="str">
        <f>INDEX(C$317:C$328, MATCH(3, G$317:G$328, 0))</f>
        <v>U2Y</v>
      </c>
      <c r="P382" s="215" t="s">
        <v>392</v>
      </c>
      <c r="Q382" s="172"/>
      <c r="R382" s="172"/>
      <c r="S382" s="172"/>
      <c r="T382" s="172"/>
      <c r="U382" s="173"/>
    </row>
    <row r="383" spans="1:21" ht="16.95" customHeight="1" x14ac:dyDescent="0.3">
      <c r="A383" s="18" t="str">
        <f>INDEX(B$303:B$314, MATCH(L383, C$303:C$314, 0))</f>
        <v>C3X</v>
      </c>
      <c r="C383" s="9">
        <f t="shared" si="49"/>
        <v>-56000</v>
      </c>
      <c r="D383" s="9">
        <f t="shared" si="49"/>
        <v>-23906.819110872944</v>
      </c>
      <c r="E383" s="9">
        <f t="shared" si="49"/>
        <v>7968.9397036243154</v>
      </c>
      <c r="F383" s="9">
        <f t="shared" si="49"/>
        <v>-32257.949872790236</v>
      </c>
      <c r="G383" s="9">
        <f t="shared" si="49"/>
        <v>21505.299915193493</v>
      </c>
      <c r="H383" s="9">
        <f t="shared" si="49"/>
        <v>0</v>
      </c>
      <c r="I383" s="9">
        <f t="shared" si="49"/>
        <v>0</v>
      </c>
      <c r="K383" s="95">
        <f t="shared" si="50"/>
        <v>1.7532890221353407E-2</v>
      </c>
      <c r="L383" s="14" t="str">
        <f>INDEX(C$317:C$328, MATCH(4, G$317:G$328, 0))</f>
        <v>U3X</v>
      </c>
      <c r="P383" s="215" t="s">
        <v>393</v>
      </c>
      <c r="Q383" s="172"/>
      <c r="R383" s="172"/>
      <c r="S383" s="172"/>
      <c r="T383" s="172"/>
      <c r="U383" s="173"/>
    </row>
    <row r="384" spans="1:21" ht="16.95" customHeight="1" x14ac:dyDescent="0.3">
      <c r="A384" s="18" t="str">
        <f>INDEX(B$303:B$314, MATCH(L384, C$303:C$314, 0))</f>
        <v>C3Y</v>
      </c>
      <c r="C384" s="9">
        <f t="shared" si="49"/>
        <v>0</v>
      </c>
      <c r="D384" s="9">
        <f t="shared" si="49"/>
        <v>7968.9397036243154</v>
      </c>
      <c r="E384" s="9">
        <f t="shared" si="49"/>
        <v>-2656.3132345414388</v>
      </c>
      <c r="F384" s="9">
        <f t="shared" si="49"/>
        <v>21505.299915193493</v>
      </c>
      <c r="G384" s="9">
        <f t="shared" si="49"/>
        <v>-14336.866610128993</v>
      </c>
      <c r="H384" s="9">
        <f t="shared" si="49"/>
        <v>0</v>
      </c>
      <c r="I384" s="9">
        <f t="shared" si="49"/>
        <v>-84000</v>
      </c>
      <c r="K384" s="95">
        <f t="shared" si="50"/>
        <v>-8.8751829855958558E-2</v>
      </c>
      <c r="L384" s="14" t="str">
        <f>INDEX(C$317:C$328, MATCH(5, G$317:G$328, 0))</f>
        <v>U3Y</v>
      </c>
      <c r="P384" s="215" t="s">
        <v>394</v>
      </c>
      <c r="Q384" s="172"/>
      <c r="R384" s="172"/>
      <c r="S384" s="172"/>
      <c r="T384" s="172"/>
      <c r="U384" s="173"/>
    </row>
    <row r="385" spans="1:21" ht="16.95" customHeight="1" x14ac:dyDescent="0.3">
      <c r="K385" s="95">
        <f t="shared" si="50"/>
        <v>1.4627765695032612E-2</v>
      </c>
      <c r="P385" s="215"/>
      <c r="Q385" s="172"/>
      <c r="R385" s="172"/>
      <c r="S385" s="172"/>
      <c r="T385" s="172"/>
      <c r="U385" s="173"/>
    </row>
    <row r="386" spans="1:21" ht="16.95" customHeight="1" x14ac:dyDescent="0.3">
      <c r="K386" s="95">
        <f t="shared" si="50"/>
        <v>-1.2911664561425713E-3</v>
      </c>
      <c r="P386" s="215"/>
      <c r="Q386" s="172"/>
      <c r="R386" s="172"/>
      <c r="S386" s="172"/>
      <c r="T386" s="172"/>
      <c r="U386" s="173"/>
    </row>
    <row r="387" spans="1:21" ht="16.95" customHeight="1" x14ac:dyDescent="0.3">
      <c r="P387" s="215"/>
      <c r="Q387" s="172"/>
      <c r="R387" s="172"/>
      <c r="S387" s="172"/>
      <c r="T387" s="172"/>
      <c r="U387" s="173"/>
    </row>
    <row r="388" spans="1:21" ht="16.95" customHeight="1" x14ac:dyDescent="0.3">
      <c r="A388" s="12" t="str">
        <f>A380</f>
        <v>C1X</v>
      </c>
      <c r="C388" s="17">
        <f t="array" ref="C388:C392">MMULT(C380:I384, K380:K386)</f>
        <v>854.5338836386145</v>
      </c>
      <c r="D388" s="12" t="s">
        <v>273</v>
      </c>
      <c r="P388" s="215"/>
      <c r="Q388" s="172"/>
      <c r="R388" s="172"/>
      <c r="S388" s="172"/>
      <c r="T388" s="172"/>
      <c r="U388" s="173"/>
    </row>
    <row r="389" spans="1:21" ht="16.95" customHeight="1" x14ac:dyDescent="0.3">
      <c r="A389" s="12" t="str">
        <f>A381</f>
        <v>C1Y</v>
      </c>
      <c r="C389" s="17">
        <v>55.197300665420016</v>
      </c>
      <c r="D389" s="12" t="s">
        <v>273</v>
      </c>
      <c r="P389" s="215"/>
      <c r="Q389" s="172"/>
      <c r="R389" s="172"/>
      <c r="S389" s="172"/>
      <c r="T389" s="172"/>
      <c r="U389" s="173"/>
    </row>
    <row r="390" spans="1:21" ht="16.95" customHeight="1" x14ac:dyDescent="0.3">
      <c r="A390" s="12" t="str">
        <f>A382</f>
        <v>C2Y</v>
      </c>
      <c r="B390" s="13" t="s">
        <v>220</v>
      </c>
      <c r="C390" s="17">
        <v>7889.6053986691622</v>
      </c>
      <c r="D390" s="12" t="s">
        <v>273</v>
      </c>
      <c r="P390" s="215"/>
      <c r="Q390" s="172"/>
      <c r="R390" s="172"/>
      <c r="S390" s="172"/>
      <c r="T390" s="172"/>
      <c r="U390" s="173"/>
    </row>
    <row r="391" spans="1:21" ht="16.95" customHeight="1" x14ac:dyDescent="0.3">
      <c r="A391" s="12" t="str">
        <f>A383</f>
        <v>C3X</v>
      </c>
      <c r="C391" s="17">
        <v>-3854.5338836386145</v>
      </c>
      <c r="D391" s="12" t="s">
        <v>273</v>
      </c>
      <c r="P391" s="215"/>
      <c r="Q391" s="172"/>
      <c r="R391" s="172"/>
      <c r="S391" s="172"/>
      <c r="T391" s="172"/>
      <c r="U391" s="173"/>
    </row>
    <row r="392" spans="1:21" ht="16.95" customHeight="1" x14ac:dyDescent="0.3">
      <c r="A392" s="12" t="str">
        <f>A384</f>
        <v>C3Y</v>
      </c>
      <c r="C392" s="17">
        <v>2055.1973006654202</v>
      </c>
      <c r="D392" s="12" t="s">
        <v>273</v>
      </c>
      <c r="P392" s="215"/>
      <c r="Q392" s="172"/>
      <c r="R392" s="172"/>
      <c r="S392" s="172"/>
      <c r="T392" s="172"/>
      <c r="U392" s="173"/>
    </row>
    <row r="395" spans="1:21" ht="19.95" customHeight="1" x14ac:dyDescent="0.35">
      <c r="A395" s="11" t="s">
        <v>274</v>
      </c>
    </row>
    <row r="397" spans="1:21" ht="19.05" customHeight="1" x14ac:dyDescent="0.3">
      <c r="A397" s="12" t="s">
        <v>228</v>
      </c>
      <c r="B397" s="12" t="s">
        <v>178</v>
      </c>
      <c r="D397" s="94">
        <f t="shared" ref="D397:D408" si="51">IFERROR(INDEX(C$369:C$375, MATCH(A397, A$369:A$375, 0)), 0)</f>
        <v>0</v>
      </c>
    </row>
    <row r="398" spans="1:21" ht="19.05" customHeight="1" x14ac:dyDescent="0.3">
      <c r="A398" s="12" t="s">
        <v>229</v>
      </c>
      <c r="B398" s="12" t="s">
        <v>179</v>
      </c>
      <c r="D398" s="94">
        <f t="shared" si="51"/>
        <v>0</v>
      </c>
    </row>
    <row r="399" spans="1:21" ht="19.05" customHeight="1" x14ac:dyDescent="0.3">
      <c r="A399" s="12" t="s">
        <v>230</v>
      </c>
      <c r="B399" s="12" t="s">
        <v>180</v>
      </c>
      <c r="D399" s="94">
        <f t="shared" si="51"/>
        <v>8.7236739562579664E-3</v>
      </c>
    </row>
    <row r="400" spans="1:21" ht="19.05" customHeight="1" x14ac:dyDescent="0.3">
      <c r="A400" s="12" t="s">
        <v>231</v>
      </c>
      <c r="B400" s="12" t="s">
        <v>181</v>
      </c>
      <c r="D400" s="94">
        <f t="shared" si="51"/>
        <v>0</v>
      </c>
    </row>
    <row r="401" spans="1:21" ht="19.05" customHeight="1" x14ac:dyDescent="0.3">
      <c r="A401" s="12" t="s">
        <v>232</v>
      </c>
      <c r="B401" s="12" t="s">
        <v>182</v>
      </c>
      <c r="D401" s="94">
        <f t="shared" si="51"/>
        <v>0</v>
      </c>
    </row>
    <row r="402" spans="1:21" ht="19.05" customHeight="1" x14ac:dyDescent="0.3">
      <c r="A402" s="12" t="s">
        <v>234</v>
      </c>
      <c r="B402" s="12" t="s">
        <v>183</v>
      </c>
      <c r="D402" s="94">
        <f t="shared" si="51"/>
        <v>0</v>
      </c>
    </row>
    <row r="403" spans="1:21" ht="19.05" customHeight="1" x14ac:dyDescent="0.3">
      <c r="A403" s="12" t="s">
        <v>235</v>
      </c>
      <c r="B403" s="12" t="s">
        <v>184</v>
      </c>
      <c r="D403" s="94">
        <f t="shared" si="51"/>
        <v>4.0637125243586765E-2</v>
      </c>
    </row>
    <row r="404" spans="1:21" ht="19.05" customHeight="1" x14ac:dyDescent="0.3">
      <c r="A404" s="12" t="s">
        <v>236</v>
      </c>
      <c r="B404" s="12" t="s">
        <v>185</v>
      </c>
      <c r="D404" s="94">
        <f t="shared" si="51"/>
        <v>1.0002092652308971E-2</v>
      </c>
    </row>
    <row r="405" spans="1:21" ht="19.05" customHeight="1" x14ac:dyDescent="0.3">
      <c r="A405" s="12" t="s">
        <v>237</v>
      </c>
      <c r="B405" s="12" t="s">
        <v>186</v>
      </c>
      <c r="D405" s="94">
        <f t="shared" si="51"/>
        <v>1.7532890221353407E-2</v>
      </c>
    </row>
    <row r="406" spans="1:21" ht="19.05" customHeight="1" x14ac:dyDescent="0.3">
      <c r="A406" s="12" t="s">
        <v>238</v>
      </c>
      <c r="B406" s="12" t="s">
        <v>187</v>
      </c>
      <c r="D406" s="94">
        <f t="shared" si="51"/>
        <v>-8.8751829855958558E-2</v>
      </c>
    </row>
    <row r="407" spans="1:21" ht="19.05" customHeight="1" x14ac:dyDescent="0.3">
      <c r="A407" s="12" t="s">
        <v>239</v>
      </c>
      <c r="B407" s="12" t="s">
        <v>188</v>
      </c>
      <c r="D407" s="94">
        <f t="shared" si="51"/>
        <v>1.4627765695032612E-2</v>
      </c>
    </row>
    <row r="408" spans="1:21" ht="19.05" customHeight="1" x14ac:dyDescent="0.3">
      <c r="A408" s="12" t="s">
        <v>240</v>
      </c>
      <c r="B408" s="12" t="s">
        <v>189</v>
      </c>
      <c r="D408" s="94">
        <f t="shared" si="51"/>
        <v>-1.2911664561425713E-3</v>
      </c>
    </row>
    <row r="411" spans="1:21" ht="19.95" customHeight="1" x14ac:dyDescent="0.35">
      <c r="A411" s="11" t="s">
        <v>275</v>
      </c>
      <c r="P411" s="216" t="s">
        <v>276</v>
      </c>
      <c r="Q411" s="172"/>
      <c r="R411" s="172"/>
      <c r="S411" s="172"/>
      <c r="T411" s="172"/>
      <c r="U411" s="173"/>
    </row>
    <row r="412" spans="1:21" ht="16.95" customHeight="1" x14ac:dyDescent="0.3">
      <c r="P412" s="215" t="s">
        <v>395</v>
      </c>
      <c r="Q412" s="172"/>
      <c r="R412" s="172"/>
      <c r="S412" s="172"/>
      <c r="T412" s="172"/>
      <c r="U412" s="173"/>
    </row>
    <row r="413" spans="1:21" ht="16.95" customHeight="1" x14ac:dyDescent="0.3">
      <c r="A413" s="19" t="s">
        <v>278</v>
      </c>
      <c r="C413" s="19" t="s">
        <v>279</v>
      </c>
      <c r="D413" s="19" t="s">
        <v>280</v>
      </c>
      <c r="E413" s="19" t="s">
        <v>279</v>
      </c>
      <c r="F413" s="19" t="s">
        <v>280</v>
      </c>
      <c r="G413" s="19" t="s">
        <v>249</v>
      </c>
      <c r="P413" s="215" t="s">
        <v>396</v>
      </c>
      <c r="Q413" s="172"/>
      <c r="R413" s="172"/>
      <c r="S413" s="172"/>
      <c r="T413" s="172"/>
      <c r="U413" s="173"/>
    </row>
    <row r="414" spans="1:21" ht="16.95" customHeight="1" x14ac:dyDescent="0.3">
      <c r="C414" s="19" t="s">
        <v>282</v>
      </c>
      <c r="D414" s="19" t="s">
        <v>282</v>
      </c>
      <c r="E414" s="19" t="s">
        <v>283</v>
      </c>
      <c r="F414" s="19" t="s">
        <v>283</v>
      </c>
      <c r="P414" s="215" t="s">
        <v>397</v>
      </c>
      <c r="Q414" s="172"/>
      <c r="R414" s="172"/>
      <c r="S414" s="172"/>
      <c r="T414" s="172"/>
      <c r="U414" s="173"/>
    </row>
    <row r="415" spans="1:21" ht="16.95" customHeight="1" x14ac:dyDescent="0.3">
      <c r="A415" s="17">
        <f>N6</f>
        <v>56000</v>
      </c>
      <c r="C415" s="92">
        <f>-J6</f>
        <v>-1</v>
      </c>
      <c r="D415" s="92">
        <f>-K6</f>
        <v>0</v>
      </c>
      <c r="E415" s="92">
        <f>J6</f>
        <v>1</v>
      </c>
      <c r="F415" s="92">
        <f>K6</f>
        <v>0</v>
      </c>
      <c r="G415" s="96">
        <f>IFERROR(VLOOKUP(H415, A$397:D$408, 4, FALSE), 0)</f>
        <v>0</v>
      </c>
      <c r="H415" s="12" t="str">
        <f>"D" &amp; C21 &amp; "X"</f>
        <v>D1X</v>
      </c>
      <c r="P415" s="215" t="s">
        <v>398</v>
      </c>
      <c r="Q415" s="172"/>
      <c r="R415" s="172"/>
      <c r="S415" s="172"/>
      <c r="T415" s="172"/>
      <c r="U415" s="173"/>
    </row>
    <row r="416" spans="1:21" ht="16.95" customHeight="1" x14ac:dyDescent="0.3">
      <c r="A416" s="99" t="s">
        <v>285</v>
      </c>
      <c r="B416" s="97">
        <f>(MMULT(C415:F415, G415:G418)*A415)</f>
        <v>488.52574155044613</v>
      </c>
      <c r="G416" s="96">
        <f>IFERROR(VLOOKUP(H416, A$397:D$408, 4, FALSE), 0)</f>
        <v>0</v>
      </c>
      <c r="H416" s="12" t="str">
        <f>"D" &amp; D21 &amp; "Y"</f>
        <v>D1Y</v>
      </c>
      <c r="P416" s="215" t="s">
        <v>399</v>
      </c>
      <c r="Q416" s="172"/>
      <c r="R416" s="172"/>
      <c r="S416" s="172"/>
      <c r="T416" s="172"/>
      <c r="U416" s="173"/>
    </row>
    <row r="417" spans="1:21" ht="16.95" customHeight="1" x14ac:dyDescent="0.3">
      <c r="G417" s="96">
        <f>IFERROR(VLOOKUP(H417, A$397:D$408, 4, FALSE), 0)</f>
        <v>8.7236739562579664E-3</v>
      </c>
      <c r="H417" s="12" t="str">
        <f>"D" &amp; E21 &amp; "X"</f>
        <v>D2X</v>
      </c>
      <c r="P417" s="215" t="s">
        <v>400</v>
      </c>
      <c r="Q417" s="172"/>
      <c r="R417" s="172"/>
      <c r="S417" s="172"/>
      <c r="T417" s="172"/>
      <c r="U417" s="173"/>
    </row>
    <row r="418" spans="1:21" ht="16.95" customHeight="1" x14ac:dyDescent="0.3">
      <c r="G418" s="96">
        <f>IFERROR(VLOOKUP(H418, A$397:D$408, 4, FALSE), 0)</f>
        <v>0</v>
      </c>
      <c r="H418" s="12" t="str">
        <f>"D" &amp; F21 &amp; "Y"</f>
        <v>D2Y</v>
      </c>
      <c r="P418" s="215" t="s">
        <v>401</v>
      </c>
      <c r="Q418" s="172"/>
      <c r="R418" s="172"/>
      <c r="S418" s="172"/>
      <c r="T418" s="172"/>
      <c r="U418" s="173"/>
    </row>
    <row r="419" spans="1:21" ht="16.95" customHeight="1" x14ac:dyDescent="0.3">
      <c r="B419" s="99" t="s">
        <v>273</v>
      </c>
      <c r="C419" s="178" t="str">
        <f>IF(B416&gt;0.001,"BARRA A TRACCIÓN (+)",IF(B416&lt;-0.001,"BARRA A COMPRESIÓN (-)","BARRA DE FUERZA NULA"))</f>
        <v>BARRA A TRACCIÓN (+)</v>
      </c>
      <c r="D419" s="172"/>
      <c r="E419" s="172"/>
      <c r="F419" s="173"/>
      <c r="P419" s="215" t="s">
        <v>402</v>
      </c>
      <c r="Q419" s="172"/>
      <c r="R419" s="172"/>
      <c r="S419" s="172"/>
      <c r="T419" s="172"/>
      <c r="U419" s="173"/>
    </row>
    <row r="420" spans="1:21" ht="16.95" customHeight="1" x14ac:dyDescent="0.3">
      <c r="P420" s="215" t="s">
        <v>403</v>
      </c>
      <c r="Q420" s="172"/>
      <c r="R420" s="172"/>
      <c r="S420" s="172"/>
      <c r="T420" s="172"/>
      <c r="U420" s="173"/>
    </row>
    <row r="421" spans="1:21" ht="16.95" customHeight="1" x14ac:dyDescent="0.3">
      <c r="A421" s="19" t="s">
        <v>278</v>
      </c>
      <c r="C421" s="19" t="s">
        <v>279</v>
      </c>
      <c r="D421" s="19" t="s">
        <v>280</v>
      </c>
      <c r="E421" s="19" t="s">
        <v>279</v>
      </c>
      <c r="F421" s="19" t="s">
        <v>280</v>
      </c>
      <c r="G421" s="19" t="s">
        <v>249</v>
      </c>
      <c r="P421" s="215"/>
      <c r="Q421" s="172"/>
      <c r="R421" s="172"/>
      <c r="S421" s="172"/>
      <c r="T421" s="172"/>
      <c r="U421" s="173"/>
    </row>
    <row r="422" spans="1:21" ht="16.95" customHeight="1" x14ac:dyDescent="0.3">
      <c r="C422" s="19" t="s">
        <v>282</v>
      </c>
      <c r="D422" s="19" t="s">
        <v>282</v>
      </c>
      <c r="E422" s="19" t="s">
        <v>283</v>
      </c>
      <c r="F422" s="19" t="s">
        <v>283</v>
      </c>
      <c r="P422" s="215"/>
      <c r="Q422" s="172"/>
      <c r="R422" s="172"/>
      <c r="S422" s="172"/>
      <c r="T422" s="172"/>
      <c r="U422" s="173"/>
    </row>
    <row r="423" spans="1:21" ht="16.95" customHeight="1" x14ac:dyDescent="0.3">
      <c r="A423" s="17">
        <f>N7</f>
        <v>56000</v>
      </c>
      <c r="C423" s="92">
        <f>-J7</f>
        <v>-1</v>
      </c>
      <c r="D423" s="92">
        <f>-K7</f>
        <v>0</v>
      </c>
      <c r="E423" s="92">
        <f>J7</f>
        <v>1</v>
      </c>
      <c r="F423" s="92">
        <f>K7</f>
        <v>0</v>
      </c>
      <c r="G423" s="96">
        <f>IFERROR(VLOOKUP(H423, A$397:D$408, 4, FALSE), 0)</f>
        <v>8.7236739562579664E-3</v>
      </c>
      <c r="H423" s="12" t="str">
        <f>"D" &amp; C22 &amp; "X"</f>
        <v>D2X</v>
      </c>
      <c r="P423" s="215"/>
      <c r="Q423" s="172"/>
      <c r="R423" s="172"/>
      <c r="S423" s="172"/>
      <c r="T423" s="172"/>
      <c r="U423" s="173"/>
    </row>
    <row r="424" spans="1:21" ht="16.95" customHeight="1" x14ac:dyDescent="0.3">
      <c r="A424" s="99" t="s">
        <v>286</v>
      </c>
      <c r="B424" s="97">
        <f>(MMULT(C423:F423, G423:G426)*A423)</f>
        <v>-488.52574155044613</v>
      </c>
      <c r="G424" s="96">
        <f>IFERROR(VLOOKUP(H424, A$397:D$408, 4, FALSE), 0)</f>
        <v>0</v>
      </c>
      <c r="H424" s="12" t="str">
        <f>"D" &amp; D22 &amp; "Y"</f>
        <v>D2Y</v>
      </c>
      <c r="P424" s="215"/>
      <c r="Q424" s="172"/>
      <c r="R424" s="172"/>
      <c r="S424" s="172"/>
      <c r="T424" s="172"/>
      <c r="U424" s="173"/>
    </row>
    <row r="425" spans="1:21" ht="16.95" customHeight="1" x14ac:dyDescent="0.3">
      <c r="G425" s="96">
        <f>IFERROR(VLOOKUP(H425, A$397:D$408, 4, FALSE), 0)</f>
        <v>0</v>
      </c>
      <c r="H425" s="12" t="str">
        <f>"D" &amp; E22 &amp; "X"</f>
        <v>D3X</v>
      </c>
      <c r="P425" s="215"/>
      <c r="Q425" s="172"/>
      <c r="R425" s="172"/>
      <c r="S425" s="172"/>
      <c r="T425" s="172"/>
      <c r="U425" s="173"/>
    </row>
    <row r="426" spans="1:21" ht="16.95" customHeight="1" x14ac:dyDescent="0.3">
      <c r="G426" s="96">
        <f>IFERROR(VLOOKUP(H426, A$397:D$408, 4, FALSE), 0)</f>
        <v>0</v>
      </c>
      <c r="H426" s="12" t="str">
        <f>"D" &amp; F22 &amp; "Y"</f>
        <v>D3Y</v>
      </c>
      <c r="P426" s="215"/>
      <c r="Q426" s="172"/>
      <c r="R426" s="172"/>
      <c r="S426" s="172"/>
      <c r="T426" s="172"/>
      <c r="U426" s="173"/>
    </row>
    <row r="427" spans="1:21" ht="16.95" customHeight="1" x14ac:dyDescent="0.3">
      <c r="B427" s="99" t="s">
        <v>273</v>
      </c>
      <c r="C427" s="178" t="str">
        <f>IF(B424&gt;0.001,"BARRA A TRACCIÓN (+)",IF(B424&lt;-0.001,"BARRA A COMPRESIÓN (-)","BARRA DE FUERZA NULA"))</f>
        <v>BARRA A COMPRESIÓN (-)</v>
      </c>
      <c r="D427" s="172"/>
      <c r="E427" s="172"/>
      <c r="F427" s="173"/>
      <c r="P427" s="215"/>
      <c r="Q427" s="172"/>
      <c r="R427" s="172"/>
      <c r="S427" s="172"/>
      <c r="T427" s="172"/>
      <c r="U427" s="173"/>
    </row>
    <row r="428" spans="1:21" ht="16.95" customHeight="1" x14ac:dyDescent="0.3">
      <c r="P428" s="215"/>
      <c r="Q428" s="172"/>
      <c r="R428" s="172"/>
      <c r="S428" s="172"/>
      <c r="T428" s="172"/>
      <c r="U428" s="173"/>
    </row>
    <row r="429" spans="1:21" ht="16.95" customHeight="1" x14ac:dyDescent="0.3">
      <c r="A429" s="19" t="s">
        <v>278</v>
      </c>
      <c r="C429" s="19" t="s">
        <v>279</v>
      </c>
      <c r="D429" s="19" t="s">
        <v>280</v>
      </c>
      <c r="E429" s="19" t="s">
        <v>279</v>
      </c>
      <c r="F429" s="19" t="s">
        <v>280</v>
      </c>
      <c r="G429" s="19" t="s">
        <v>249</v>
      </c>
      <c r="P429" s="215"/>
      <c r="Q429" s="172"/>
      <c r="R429" s="172"/>
      <c r="S429" s="172"/>
      <c r="T429" s="172"/>
      <c r="U429" s="173"/>
    </row>
    <row r="430" spans="1:21" ht="16.95" customHeight="1" x14ac:dyDescent="0.3">
      <c r="C430" s="19" t="s">
        <v>282</v>
      </c>
      <c r="D430" s="19" t="s">
        <v>282</v>
      </c>
      <c r="E430" s="19" t="s">
        <v>283</v>
      </c>
      <c r="F430" s="19" t="s">
        <v>283</v>
      </c>
      <c r="P430" s="215"/>
      <c r="Q430" s="172"/>
      <c r="R430" s="172"/>
      <c r="S430" s="172"/>
      <c r="T430" s="172"/>
      <c r="U430" s="173"/>
    </row>
    <row r="431" spans="1:21" ht="16.95" customHeight="1" x14ac:dyDescent="0.3">
      <c r="A431" s="17">
        <f>N8</f>
        <v>56000</v>
      </c>
      <c r="C431" s="92">
        <f>-J8</f>
        <v>-1</v>
      </c>
      <c r="D431" s="92">
        <f>-K8</f>
        <v>0</v>
      </c>
      <c r="E431" s="92">
        <f>J8</f>
        <v>1</v>
      </c>
      <c r="F431" s="92">
        <f>K8</f>
        <v>0</v>
      </c>
      <c r="G431" s="96">
        <f>IFERROR(VLOOKUP(H431, A$397:D$408, 4, FALSE), 0)</f>
        <v>4.0637125243586765E-2</v>
      </c>
      <c r="H431" s="12" t="str">
        <f>"D" &amp; C23 &amp; "X"</f>
        <v>D4X</v>
      </c>
      <c r="P431" s="215"/>
      <c r="Q431" s="172"/>
      <c r="R431" s="172"/>
      <c r="S431" s="172"/>
      <c r="T431" s="172"/>
      <c r="U431" s="173"/>
    </row>
    <row r="432" spans="1:21" ht="16.95" customHeight="1" x14ac:dyDescent="0.3">
      <c r="A432" s="99" t="s">
        <v>287</v>
      </c>
      <c r="B432" s="97">
        <f>(MMULT(C431:F431, G431:G434)*A431)</f>
        <v>-1293.837161245068</v>
      </c>
      <c r="G432" s="96">
        <f>IFERROR(VLOOKUP(H432, A$397:D$408, 4, FALSE), 0)</f>
        <v>1.0002092652308971E-2</v>
      </c>
      <c r="H432" s="12" t="str">
        <f>"D" &amp; D23 &amp; "Y"</f>
        <v>D4Y</v>
      </c>
      <c r="P432" s="215"/>
      <c r="Q432" s="172"/>
      <c r="R432" s="172"/>
      <c r="S432" s="172"/>
      <c r="T432" s="172"/>
      <c r="U432" s="173"/>
    </row>
    <row r="433" spans="1:21" ht="16.95" customHeight="1" x14ac:dyDescent="0.3">
      <c r="G433" s="96">
        <f>IFERROR(VLOOKUP(H433, A$397:D$408, 4, FALSE), 0)</f>
        <v>1.7532890221353407E-2</v>
      </c>
      <c r="H433" s="12" t="str">
        <f>"D" &amp; E23 &amp; "X"</f>
        <v>D5X</v>
      </c>
      <c r="P433" s="215"/>
      <c r="Q433" s="172"/>
      <c r="R433" s="172"/>
      <c r="S433" s="172"/>
      <c r="T433" s="172"/>
      <c r="U433" s="173"/>
    </row>
    <row r="434" spans="1:21" ht="16.95" customHeight="1" x14ac:dyDescent="0.3">
      <c r="G434" s="96">
        <f>IFERROR(VLOOKUP(H434, A$397:D$408, 4, FALSE), 0)</f>
        <v>-8.8751829855958558E-2</v>
      </c>
      <c r="H434" s="12" t="str">
        <f>"D" &amp; F23 &amp; "Y"</f>
        <v>D5Y</v>
      </c>
      <c r="P434" s="215"/>
      <c r="Q434" s="172"/>
      <c r="R434" s="172"/>
      <c r="S434" s="172"/>
      <c r="T434" s="172"/>
      <c r="U434" s="173"/>
    </row>
    <row r="435" spans="1:21" ht="16.95" customHeight="1" x14ac:dyDescent="0.3">
      <c r="B435" s="99" t="s">
        <v>273</v>
      </c>
      <c r="C435" s="178" t="str">
        <f>IF(B432&gt;0.001,"BARRA A TRACCIÓN (+)",IF(B432&lt;-0.001,"BARRA A COMPRESIÓN (-)","BARRA DE FUERZA NULA"))</f>
        <v>BARRA A COMPRESIÓN (-)</v>
      </c>
      <c r="D435" s="172"/>
      <c r="E435" s="172"/>
      <c r="F435" s="173"/>
      <c r="P435" s="215"/>
      <c r="Q435" s="172"/>
      <c r="R435" s="172"/>
      <c r="S435" s="172"/>
      <c r="T435" s="172"/>
      <c r="U435" s="173"/>
    </row>
    <row r="436" spans="1:21" ht="16.95" customHeight="1" x14ac:dyDescent="0.3">
      <c r="P436" s="215"/>
      <c r="Q436" s="172"/>
      <c r="R436" s="172"/>
      <c r="S436" s="172"/>
      <c r="T436" s="172"/>
      <c r="U436" s="173"/>
    </row>
    <row r="437" spans="1:21" ht="18" customHeight="1" x14ac:dyDescent="0.3">
      <c r="A437" s="19" t="s">
        <v>278</v>
      </c>
      <c r="C437" s="19" t="s">
        <v>279</v>
      </c>
      <c r="D437" s="19" t="s">
        <v>280</v>
      </c>
      <c r="E437" s="19" t="s">
        <v>279</v>
      </c>
      <c r="F437" s="19" t="s">
        <v>280</v>
      </c>
      <c r="G437" s="19" t="s">
        <v>249</v>
      </c>
    </row>
    <row r="438" spans="1:21" ht="16.05" customHeight="1" x14ac:dyDescent="0.3">
      <c r="C438" s="19" t="s">
        <v>282</v>
      </c>
      <c r="D438" s="19" t="s">
        <v>282</v>
      </c>
      <c r="E438" s="19" t="s">
        <v>283</v>
      </c>
      <c r="F438" s="19" t="s">
        <v>283</v>
      </c>
    </row>
    <row r="439" spans="1:21" ht="19.95" customHeight="1" x14ac:dyDescent="0.3">
      <c r="A439" s="17">
        <f>N9</f>
        <v>56000</v>
      </c>
      <c r="C439" s="92">
        <f>-J9</f>
        <v>-1</v>
      </c>
      <c r="D439" s="92">
        <f>-K9</f>
        <v>0</v>
      </c>
      <c r="E439" s="92">
        <f>J9</f>
        <v>1</v>
      </c>
      <c r="F439" s="92">
        <f>K9</f>
        <v>0</v>
      </c>
      <c r="G439" s="96">
        <f>IFERROR(VLOOKUP(H439, A$397:D$408, 4, FALSE), 0)</f>
        <v>1.7532890221353407E-2</v>
      </c>
      <c r="H439" s="12" t="str">
        <f>"D" &amp; C24 &amp; "X"</f>
        <v>D5X</v>
      </c>
    </row>
    <row r="440" spans="1:21" ht="19.95" customHeight="1" x14ac:dyDescent="0.3">
      <c r="A440" s="99" t="s">
        <v>288</v>
      </c>
      <c r="B440" s="97">
        <f>(MMULT(C439:F439, G439:G442)*A439)</f>
        <v>-162.68697347396449</v>
      </c>
      <c r="G440" s="96">
        <f>IFERROR(VLOOKUP(H440, A$397:D$408, 4, FALSE), 0)</f>
        <v>-8.8751829855958558E-2</v>
      </c>
      <c r="H440" s="12" t="str">
        <f>"D" &amp; D24 &amp; "Y"</f>
        <v>D5Y</v>
      </c>
    </row>
    <row r="441" spans="1:21" ht="19.95" customHeight="1" x14ac:dyDescent="0.3">
      <c r="G441" s="96">
        <f>IFERROR(VLOOKUP(H441, A$397:D$408, 4, FALSE), 0)</f>
        <v>1.4627765695032612E-2</v>
      </c>
      <c r="H441" s="12" t="str">
        <f>"D" &amp; E24 &amp; "X"</f>
        <v>D6X</v>
      </c>
    </row>
    <row r="442" spans="1:21" ht="19.95" customHeight="1" x14ac:dyDescent="0.3">
      <c r="G442" s="96">
        <f>IFERROR(VLOOKUP(H442, A$397:D$408, 4, FALSE), 0)</f>
        <v>-1.2911664561425713E-3</v>
      </c>
      <c r="H442" s="12" t="str">
        <f>"D" &amp; F24 &amp; "Y"</f>
        <v>D6Y</v>
      </c>
    </row>
    <row r="443" spans="1:21" ht="19.95" customHeight="1" x14ac:dyDescent="0.3">
      <c r="B443" s="99" t="s">
        <v>273</v>
      </c>
      <c r="C443" s="178" t="str">
        <f>IF(B440&gt;0.001,"BARRA A TRACCIÓN (+)",IF(B440&lt;-0.001,"BARRA A COMPRESIÓN (-)","BARRA DE FUERZA NULA"))</f>
        <v>BARRA A COMPRESIÓN (-)</v>
      </c>
      <c r="D443" s="172"/>
      <c r="E443" s="172"/>
      <c r="F443" s="173"/>
    </row>
    <row r="445" spans="1:21" ht="18" customHeight="1" x14ac:dyDescent="0.3">
      <c r="A445" s="19" t="s">
        <v>278</v>
      </c>
      <c r="C445" s="19" t="s">
        <v>279</v>
      </c>
      <c r="D445" s="19" t="s">
        <v>280</v>
      </c>
      <c r="E445" s="19" t="s">
        <v>279</v>
      </c>
      <c r="F445" s="19" t="s">
        <v>280</v>
      </c>
      <c r="G445" s="19" t="s">
        <v>249</v>
      </c>
    </row>
    <row r="446" spans="1:21" ht="16.05" customHeight="1" x14ac:dyDescent="0.3">
      <c r="C446" s="19" t="s">
        <v>282</v>
      </c>
      <c r="D446" s="19" t="s">
        <v>282</v>
      </c>
      <c r="E446" s="19" t="s">
        <v>283</v>
      </c>
      <c r="F446" s="19" t="s">
        <v>283</v>
      </c>
    </row>
    <row r="447" spans="1:21" ht="19.95" customHeight="1" x14ac:dyDescent="0.3">
      <c r="A447" s="17">
        <f>N10</f>
        <v>84000</v>
      </c>
      <c r="C447" s="92">
        <f>-J10</f>
        <v>0</v>
      </c>
      <c r="D447" s="92">
        <f>-K10</f>
        <v>-1</v>
      </c>
      <c r="E447" s="92">
        <f>J10</f>
        <v>0</v>
      </c>
      <c r="F447" s="92">
        <f>K10</f>
        <v>1</v>
      </c>
      <c r="G447" s="96">
        <f>IFERROR(VLOOKUP(H447, A$397:D$408, 4, FALSE), 0)</f>
        <v>0</v>
      </c>
      <c r="H447" s="12" t="str">
        <f>"D" &amp; C25 &amp; "X"</f>
        <v>D1X</v>
      </c>
    </row>
    <row r="448" spans="1:21" ht="19.95" customHeight="1" x14ac:dyDescent="0.3">
      <c r="A448" s="99" t="s">
        <v>289</v>
      </c>
      <c r="B448" s="97">
        <f>(MMULT(C447:F447, G447:G450)*A447)</f>
        <v>840.17578279395354</v>
      </c>
      <c r="G448" s="96">
        <f>IFERROR(VLOOKUP(H448, A$397:D$408, 4, FALSE), 0)</f>
        <v>0</v>
      </c>
      <c r="H448" s="12" t="str">
        <f>"D" &amp; D25 &amp; "Y"</f>
        <v>D1Y</v>
      </c>
    </row>
    <row r="449" spans="1:8" ht="19.95" customHeight="1" x14ac:dyDescent="0.3">
      <c r="G449" s="96">
        <f>IFERROR(VLOOKUP(H449, A$397:D$408, 4, FALSE), 0)</f>
        <v>4.0637125243586765E-2</v>
      </c>
      <c r="H449" s="12" t="str">
        <f>"D" &amp; E25 &amp; "X"</f>
        <v>D4X</v>
      </c>
    </row>
    <row r="450" spans="1:8" ht="19.95" customHeight="1" x14ac:dyDescent="0.3">
      <c r="G450" s="96">
        <f>IFERROR(VLOOKUP(H450, A$397:D$408, 4, FALSE), 0)</f>
        <v>1.0002092652308971E-2</v>
      </c>
      <c r="H450" s="12" t="str">
        <f>"D" &amp; F25 &amp; "Y"</f>
        <v>D4Y</v>
      </c>
    </row>
    <row r="451" spans="1:8" ht="19.95" customHeight="1" x14ac:dyDescent="0.3">
      <c r="B451" s="99" t="s">
        <v>273</v>
      </c>
      <c r="C451" s="178" t="str">
        <f>IF(B448&gt;0.001,"BARRA A TRACCIÓN (+)",IF(B448&lt;-0.001,"BARRA A COMPRESIÓN (-)","BARRA DE FUERZA NULA"))</f>
        <v>BARRA A TRACCIÓN (+)</v>
      </c>
      <c r="D451" s="172"/>
      <c r="E451" s="172"/>
      <c r="F451" s="173"/>
    </row>
    <row r="453" spans="1:8" ht="18" customHeight="1" x14ac:dyDescent="0.3">
      <c r="A453" s="19" t="s">
        <v>278</v>
      </c>
      <c r="C453" s="19" t="s">
        <v>279</v>
      </c>
      <c r="D453" s="19" t="s">
        <v>280</v>
      </c>
      <c r="E453" s="19" t="s">
        <v>279</v>
      </c>
      <c r="F453" s="19" t="s">
        <v>280</v>
      </c>
      <c r="G453" s="19" t="s">
        <v>249</v>
      </c>
    </row>
    <row r="454" spans="1:8" ht="16.05" customHeight="1" x14ac:dyDescent="0.3">
      <c r="C454" s="19" t="s">
        <v>282</v>
      </c>
      <c r="D454" s="19" t="s">
        <v>282</v>
      </c>
      <c r="E454" s="19" t="s">
        <v>283</v>
      </c>
      <c r="F454" s="19" t="s">
        <v>283</v>
      </c>
    </row>
    <row r="455" spans="1:8" ht="19.95" customHeight="1" x14ac:dyDescent="0.3">
      <c r="A455" s="17">
        <f>N11</f>
        <v>84000</v>
      </c>
      <c r="C455" s="92">
        <f>-J11</f>
        <v>0</v>
      </c>
      <c r="D455" s="92">
        <f>-K11</f>
        <v>-1</v>
      </c>
      <c r="E455" s="92">
        <f>J11</f>
        <v>0</v>
      </c>
      <c r="F455" s="92">
        <f>K11</f>
        <v>1</v>
      </c>
      <c r="G455" s="96">
        <f>IFERROR(VLOOKUP(H455, A$397:D$408, 4, FALSE), 0)</f>
        <v>8.7236739562579664E-3</v>
      </c>
      <c r="H455" s="12" t="str">
        <f>"D" &amp; C26 &amp; "X"</f>
        <v>D2X</v>
      </c>
    </row>
    <row r="456" spans="1:8" ht="19.95" customHeight="1" x14ac:dyDescent="0.3">
      <c r="A456" s="99" t="s">
        <v>290</v>
      </c>
      <c r="B456" s="97">
        <f>(MMULT(C455:F455, G455:G458)*A455)</f>
        <v>-7455.1537079005193</v>
      </c>
      <c r="G456" s="96">
        <f>IFERROR(VLOOKUP(H456, A$397:D$408, 4, FALSE), 0)</f>
        <v>0</v>
      </c>
      <c r="H456" s="12" t="str">
        <f>"D" &amp; D26 &amp; "Y"</f>
        <v>D2Y</v>
      </c>
    </row>
    <row r="457" spans="1:8" ht="19.95" customHeight="1" x14ac:dyDescent="0.3">
      <c r="G457" s="96">
        <f>IFERROR(VLOOKUP(H457, A$397:D$408, 4, FALSE), 0)</f>
        <v>1.7532890221353407E-2</v>
      </c>
      <c r="H457" s="12" t="str">
        <f>"D" &amp; E26 &amp; "X"</f>
        <v>D5X</v>
      </c>
    </row>
    <row r="458" spans="1:8" ht="19.95" customHeight="1" x14ac:dyDescent="0.3">
      <c r="G458" s="96">
        <f>IFERROR(VLOOKUP(H458, A$397:D$408, 4, FALSE), 0)</f>
        <v>-8.8751829855958558E-2</v>
      </c>
      <c r="H458" s="12" t="str">
        <f>"D" &amp; F26 &amp; "Y"</f>
        <v>D5Y</v>
      </c>
    </row>
    <row r="459" spans="1:8" ht="19.95" customHeight="1" x14ac:dyDescent="0.3">
      <c r="B459" s="99" t="s">
        <v>273</v>
      </c>
      <c r="C459" s="178" t="str">
        <f>IF(B456&gt;0.001,"BARRA A TRACCIÓN (+)",IF(B456&lt;-0.001,"BARRA A COMPRESIÓN (-)","BARRA DE FUERZA NULA"))</f>
        <v>BARRA A COMPRESIÓN (-)</v>
      </c>
      <c r="D459" s="172"/>
      <c r="E459" s="172"/>
      <c r="F459" s="173"/>
    </row>
    <row r="461" spans="1:8" ht="18" customHeight="1" x14ac:dyDescent="0.3">
      <c r="A461" s="19" t="s">
        <v>278</v>
      </c>
      <c r="C461" s="19" t="s">
        <v>279</v>
      </c>
      <c r="D461" s="19" t="s">
        <v>280</v>
      </c>
      <c r="E461" s="19" t="s">
        <v>279</v>
      </c>
      <c r="F461" s="19" t="s">
        <v>280</v>
      </c>
      <c r="G461" s="19" t="s">
        <v>249</v>
      </c>
    </row>
    <row r="462" spans="1:8" ht="16.05" customHeight="1" x14ac:dyDescent="0.3">
      <c r="C462" s="19" t="s">
        <v>282</v>
      </c>
      <c r="D462" s="19" t="s">
        <v>282</v>
      </c>
      <c r="E462" s="19" t="s">
        <v>283</v>
      </c>
      <c r="F462" s="19" t="s">
        <v>283</v>
      </c>
    </row>
    <row r="463" spans="1:8" ht="19.95" customHeight="1" x14ac:dyDescent="0.3">
      <c r="A463" s="17">
        <f>N12</f>
        <v>84000</v>
      </c>
      <c r="C463" s="92">
        <f>-J12</f>
        <v>0</v>
      </c>
      <c r="D463" s="92">
        <f>-K12</f>
        <v>-1</v>
      </c>
      <c r="E463" s="92">
        <f>J12</f>
        <v>0</v>
      </c>
      <c r="F463" s="92">
        <f>K12</f>
        <v>1</v>
      </c>
      <c r="G463" s="96">
        <f>IFERROR(VLOOKUP(H463, A$397:D$408, 4, FALSE), 0)</f>
        <v>0</v>
      </c>
      <c r="H463" s="12" t="str">
        <f>"D" &amp; C27 &amp; "X"</f>
        <v>D3X</v>
      </c>
    </row>
    <row r="464" spans="1:8" ht="19.95" customHeight="1" x14ac:dyDescent="0.3">
      <c r="A464" s="99" t="s">
        <v>291</v>
      </c>
      <c r="B464" s="97">
        <f>(MMULT(C463:F463, G463:G466)*A463)</f>
        <v>-108.45798231597598</v>
      </c>
      <c r="G464" s="96">
        <f>IFERROR(VLOOKUP(H464, A$397:D$408, 4, FALSE), 0)</f>
        <v>0</v>
      </c>
      <c r="H464" s="12" t="str">
        <f>"D" &amp; D27 &amp; "Y"</f>
        <v>D3Y</v>
      </c>
    </row>
    <row r="465" spans="1:8" ht="19.95" customHeight="1" x14ac:dyDescent="0.3">
      <c r="G465" s="96">
        <f>IFERROR(VLOOKUP(H465, A$397:D$408, 4, FALSE), 0)</f>
        <v>1.4627765695032612E-2</v>
      </c>
      <c r="H465" s="12" t="str">
        <f>"D" &amp; E27 &amp; "X"</f>
        <v>D6X</v>
      </c>
    </row>
    <row r="466" spans="1:8" ht="19.95" customHeight="1" x14ac:dyDescent="0.3">
      <c r="G466" s="96">
        <f>IFERROR(VLOOKUP(H466, A$397:D$408, 4, FALSE), 0)</f>
        <v>-1.2911664561425713E-3</v>
      </c>
      <c r="H466" s="12" t="str">
        <f>"D" &amp; F27 &amp; "Y"</f>
        <v>D6Y</v>
      </c>
    </row>
    <row r="467" spans="1:8" ht="19.95" customHeight="1" x14ac:dyDescent="0.3">
      <c r="B467" s="99" t="s">
        <v>273</v>
      </c>
      <c r="C467" s="178" t="str">
        <f>IF(B464&gt;0.001,"BARRA A TRACCIÓN (+)",IF(B464&lt;-0.001,"BARRA A COMPRESIÓN (-)","BARRA DE FUERZA NULA"))</f>
        <v>BARRA A COMPRESIÓN (-)</v>
      </c>
      <c r="D467" s="172"/>
      <c r="E467" s="172"/>
      <c r="F467" s="173"/>
    </row>
    <row r="469" spans="1:8" ht="18" customHeight="1" x14ac:dyDescent="0.3">
      <c r="A469" s="19" t="s">
        <v>278</v>
      </c>
      <c r="C469" s="19" t="s">
        <v>279</v>
      </c>
      <c r="D469" s="19" t="s">
        <v>280</v>
      </c>
      <c r="E469" s="19" t="s">
        <v>279</v>
      </c>
      <c r="F469" s="19" t="s">
        <v>280</v>
      </c>
      <c r="G469" s="19" t="s">
        <v>249</v>
      </c>
    </row>
    <row r="470" spans="1:8" ht="16.05" customHeight="1" x14ac:dyDescent="0.3">
      <c r="C470" s="19" t="s">
        <v>282</v>
      </c>
      <c r="D470" s="19" t="s">
        <v>282</v>
      </c>
      <c r="E470" s="19" t="s">
        <v>283</v>
      </c>
      <c r="F470" s="19" t="s">
        <v>283</v>
      </c>
    </row>
    <row r="471" spans="1:8" ht="19.95" customHeight="1" x14ac:dyDescent="0.3">
      <c r="A471" s="17">
        <f>N13</f>
        <v>46594.816482919239</v>
      </c>
      <c r="C471" s="92">
        <f>-J13</f>
        <v>-0.83205029433784361</v>
      </c>
      <c r="D471" s="92">
        <f>-K13</f>
        <v>-0.55470019622522904</v>
      </c>
      <c r="E471" s="92">
        <f>J13</f>
        <v>0.83205029433784361</v>
      </c>
      <c r="F471" s="92">
        <f>K13</f>
        <v>0.55470019622522904</v>
      </c>
      <c r="G471" s="96">
        <f>IFERROR(VLOOKUP(H471, A$397:D$408, 4, FALSE), 0)</f>
        <v>0</v>
      </c>
      <c r="H471" s="12" t="str">
        <f>"D" &amp; C28 &amp; "X"</f>
        <v>D1X</v>
      </c>
    </row>
    <row r="472" spans="1:8" ht="19.95" customHeight="1" x14ac:dyDescent="0.3">
      <c r="A472" s="99" t="s">
        <v>292</v>
      </c>
      <c r="B472" s="97">
        <f>(MMULT(C471:F471, G471:G474)*A471)</f>
        <v>-1614.1567815415349</v>
      </c>
      <c r="G472" s="96">
        <f>IFERROR(VLOOKUP(H472, A$397:D$408, 4, FALSE), 0)</f>
        <v>0</v>
      </c>
      <c r="H472" s="12" t="str">
        <f>"D" &amp; D28 &amp; "Y"</f>
        <v>D1Y</v>
      </c>
    </row>
    <row r="473" spans="1:8" ht="19.95" customHeight="1" x14ac:dyDescent="0.3">
      <c r="G473" s="96">
        <f>IFERROR(VLOOKUP(H473, A$397:D$408, 4, FALSE), 0)</f>
        <v>1.7532890221353407E-2</v>
      </c>
      <c r="H473" s="12" t="str">
        <f>"D" &amp; E28 &amp; "X"</f>
        <v>D5X</v>
      </c>
    </row>
    <row r="474" spans="1:8" ht="19.95" customHeight="1" x14ac:dyDescent="0.3">
      <c r="G474" s="96">
        <f>IFERROR(VLOOKUP(H474, A$397:D$408, 4, FALSE), 0)</f>
        <v>-8.8751829855958558E-2</v>
      </c>
      <c r="H474" s="12" t="str">
        <f>"D" &amp; F28 &amp; "Y"</f>
        <v>D5Y</v>
      </c>
    </row>
    <row r="475" spans="1:8" ht="19.95" customHeight="1" x14ac:dyDescent="0.3">
      <c r="B475" s="99" t="s">
        <v>273</v>
      </c>
      <c r="C475" s="178" t="str">
        <f>IF(B472&gt;0.001,"BARRA A TRACCIÓN (+)",IF(B472&lt;-0.001,"BARRA A COMPRESIÓN (-)","BARRA DE FUERZA NULA"))</f>
        <v>BARRA A COMPRESIÓN (-)</v>
      </c>
      <c r="D475" s="172"/>
      <c r="E475" s="172"/>
      <c r="F475" s="173"/>
    </row>
    <row r="477" spans="1:8" ht="18" customHeight="1" x14ac:dyDescent="0.3">
      <c r="A477" s="19" t="s">
        <v>278</v>
      </c>
      <c r="C477" s="19" t="s">
        <v>279</v>
      </c>
      <c r="D477" s="19" t="s">
        <v>280</v>
      </c>
      <c r="E477" s="19" t="s">
        <v>279</v>
      </c>
      <c r="F477" s="19" t="s">
        <v>280</v>
      </c>
      <c r="G477" s="19" t="s">
        <v>249</v>
      </c>
    </row>
    <row r="478" spans="1:8" ht="16.05" customHeight="1" x14ac:dyDescent="0.3">
      <c r="C478" s="19" t="s">
        <v>282</v>
      </c>
      <c r="D478" s="19" t="s">
        <v>282</v>
      </c>
      <c r="E478" s="19" t="s">
        <v>283</v>
      </c>
      <c r="F478" s="19" t="s">
        <v>283</v>
      </c>
    </row>
    <row r="479" spans="1:8" ht="19.95" customHeight="1" x14ac:dyDescent="0.3">
      <c r="A479" s="17">
        <f>N14</f>
        <v>46594.816482919239</v>
      </c>
      <c r="C479" s="92">
        <f>-J14</f>
        <v>-0.83205029433784361</v>
      </c>
      <c r="D479" s="92">
        <f>-K14</f>
        <v>0.55470019622522904</v>
      </c>
      <c r="E479" s="92">
        <f>J14</f>
        <v>0.83205029433784361</v>
      </c>
      <c r="F479" s="92">
        <f>K14</f>
        <v>-0.55470019622522904</v>
      </c>
      <c r="G479" s="96">
        <f>IFERROR(VLOOKUP(H479, A$397:D$408, 4, FALSE), 0)</f>
        <v>4.0637125243586765E-2</v>
      </c>
      <c r="H479" s="12" t="str">
        <f>"D" &amp; C29 &amp; "X"</f>
        <v>D4X</v>
      </c>
    </row>
    <row r="480" spans="1:8" ht="19.95" customHeight="1" x14ac:dyDescent="0.3">
      <c r="A480" s="99" t="s">
        <v>530</v>
      </c>
      <c r="B480" s="97">
        <f>(MMULT(C479:F479, G479:G482)*A479)</f>
        <v>-978.74433212599195</v>
      </c>
      <c r="G480" s="96">
        <f>IFERROR(VLOOKUP(H480, A$397:D$408, 4, FALSE), 0)</f>
        <v>1.0002092652308971E-2</v>
      </c>
      <c r="H480" s="12" t="str">
        <f>"D" &amp; D29 &amp; "Y"</f>
        <v>D4Y</v>
      </c>
    </row>
    <row r="481" spans="1:8" ht="19.95" customHeight="1" x14ac:dyDescent="0.3">
      <c r="G481" s="96">
        <f>IFERROR(VLOOKUP(H481, A$397:D$408, 4, FALSE), 0)</f>
        <v>8.7236739562579664E-3</v>
      </c>
      <c r="H481" s="12" t="str">
        <f>"D" &amp; E29 &amp; "X"</f>
        <v>D2X</v>
      </c>
    </row>
    <row r="482" spans="1:8" ht="19.95" customHeight="1" x14ac:dyDescent="0.3">
      <c r="G482" s="96">
        <f>IFERROR(VLOOKUP(H482, A$397:D$408, 4, FALSE), 0)</f>
        <v>0</v>
      </c>
      <c r="H482" s="12" t="str">
        <f>"D" &amp; F29 &amp; "Y"</f>
        <v>D2Y</v>
      </c>
    </row>
    <row r="483" spans="1:8" ht="19.95" customHeight="1" x14ac:dyDescent="0.3">
      <c r="B483" s="99" t="s">
        <v>273</v>
      </c>
      <c r="C483" s="178" t="str">
        <f>IF(B480&gt;0.001,"BARRA A TRACCIÓN (+)",IF(B480&lt;-0.001,"BARRA A COMPRESIÓN (-)","BARRA DE FUERZA NULA"))</f>
        <v>BARRA A COMPRESIÓN (-)</v>
      </c>
      <c r="D483" s="172"/>
      <c r="E483" s="172"/>
      <c r="F483" s="173"/>
    </row>
    <row r="485" spans="1:8" ht="18" customHeight="1" x14ac:dyDescent="0.3">
      <c r="A485" s="19" t="s">
        <v>278</v>
      </c>
      <c r="C485" s="19" t="s">
        <v>279</v>
      </c>
      <c r="D485" s="19" t="s">
        <v>280</v>
      </c>
      <c r="E485" s="19" t="s">
        <v>279</v>
      </c>
      <c r="F485" s="19" t="s">
        <v>280</v>
      </c>
      <c r="G485" s="19" t="s">
        <v>249</v>
      </c>
    </row>
    <row r="486" spans="1:8" ht="16.05" customHeight="1" x14ac:dyDescent="0.3">
      <c r="C486" s="19" t="s">
        <v>282</v>
      </c>
      <c r="D486" s="19" t="s">
        <v>282</v>
      </c>
      <c r="E486" s="19" t="s">
        <v>283</v>
      </c>
      <c r="F486" s="19" t="s">
        <v>283</v>
      </c>
    </row>
    <row r="487" spans="1:8" ht="19.95" customHeight="1" x14ac:dyDescent="0.3">
      <c r="A487" s="17">
        <f>N15</f>
        <v>46594.816482919239</v>
      </c>
      <c r="C487" s="92">
        <f>-J15</f>
        <v>-0.83205029433784361</v>
      </c>
      <c r="D487" s="92">
        <f>-K15</f>
        <v>-0.55470019622522904</v>
      </c>
      <c r="E487" s="92">
        <f>J15</f>
        <v>0.83205029433784361</v>
      </c>
      <c r="F487" s="92">
        <f>K15</f>
        <v>0.55470019622522904</v>
      </c>
      <c r="G487" s="96">
        <f>IFERROR(VLOOKUP(H487, A$397:D$408, 4, FALSE), 0)</f>
        <v>8.7236739562579664E-3</v>
      </c>
      <c r="H487" s="12" t="str">
        <f>"D" &amp; C30 &amp; "X"</f>
        <v>D2X</v>
      </c>
    </row>
    <row r="488" spans="1:8" ht="19.95" customHeight="1" x14ac:dyDescent="0.3">
      <c r="A488" s="99" t="s">
        <v>589</v>
      </c>
      <c r="B488" s="97">
        <f>(MMULT(C487:F487, G487:G490)*A487)</f>
        <v>195.52540823680906</v>
      </c>
      <c r="G488" s="96">
        <f>IFERROR(VLOOKUP(H488, A$397:D$408, 4, FALSE), 0)</f>
        <v>0</v>
      </c>
      <c r="H488" s="12" t="str">
        <f>"D" &amp; D30 &amp; "Y"</f>
        <v>D2Y</v>
      </c>
    </row>
    <row r="489" spans="1:8" ht="19.95" customHeight="1" x14ac:dyDescent="0.3">
      <c r="G489" s="96">
        <f>IFERROR(VLOOKUP(H489, A$397:D$408, 4, FALSE), 0)</f>
        <v>1.4627765695032612E-2</v>
      </c>
      <c r="H489" s="12" t="str">
        <f>"D" &amp; E30 &amp; "X"</f>
        <v>D6X</v>
      </c>
    </row>
    <row r="490" spans="1:8" ht="19.95" customHeight="1" x14ac:dyDescent="0.3">
      <c r="G490" s="96">
        <f>IFERROR(VLOOKUP(H490, A$397:D$408, 4, FALSE), 0)</f>
        <v>-1.2911664561425713E-3</v>
      </c>
      <c r="H490" s="12" t="str">
        <f>"D" &amp; F30 &amp; "Y"</f>
        <v>D6Y</v>
      </c>
    </row>
    <row r="491" spans="1:8" ht="19.95" customHeight="1" x14ac:dyDescent="0.3">
      <c r="B491" s="99" t="s">
        <v>273</v>
      </c>
      <c r="C491" s="178" t="str">
        <f>IF(B488&gt;0.001,"BARRA A TRACCIÓN (+)",IF(B488&lt;-0.001,"BARRA A COMPRESIÓN (-)","BARRA DE FUERZA NULA"))</f>
        <v>BARRA A TRACCIÓN (+)</v>
      </c>
      <c r="D491" s="172"/>
      <c r="E491" s="172"/>
      <c r="F491" s="173"/>
    </row>
    <row r="493" spans="1:8" ht="18" customHeight="1" x14ac:dyDescent="0.3">
      <c r="A493" s="19" t="s">
        <v>278</v>
      </c>
      <c r="C493" s="19" t="s">
        <v>279</v>
      </c>
      <c r="D493" s="19" t="s">
        <v>280</v>
      </c>
      <c r="E493" s="19" t="s">
        <v>279</v>
      </c>
      <c r="F493" s="19" t="s">
        <v>280</v>
      </c>
      <c r="G493" s="19" t="s">
        <v>249</v>
      </c>
    </row>
    <row r="494" spans="1:8" ht="16.05" customHeight="1" x14ac:dyDescent="0.3">
      <c r="C494" s="19" t="s">
        <v>282</v>
      </c>
      <c r="D494" s="19" t="s">
        <v>282</v>
      </c>
      <c r="E494" s="19" t="s">
        <v>283</v>
      </c>
      <c r="F494" s="19" t="s">
        <v>283</v>
      </c>
    </row>
    <row r="495" spans="1:8" ht="19.95" customHeight="1" x14ac:dyDescent="0.3">
      <c r="A495" s="17">
        <f>N16</f>
        <v>46594.816482919239</v>
      </c>
      <c r="C495" s="92">
        <f>-J16</f>
        <v>-0.83205029433784361</v>
      </c>
      <c r="D495" s="92">
        <f>-K16</f>
        <v>0.55470019622522904</v>
      </c>
      <c r="E495" s="92">
        <f>J16</f>
        <v>0.83205029433784361</v>
      </c>
      <c r="F495" s="92">
        <f>K16</f>
        <v>-0.55470019622522904</v>
      </c>
      <c r="G495" s="96">
        <f>IFERROR(VLOOKUP(H495, A$397:D$408, 4, FALSE), 0)</f>
        <v>1.7532890221353407E-2</v>
      </c>
      <c r="H495" s="12" t="str">
        <f>"D" &amp; C31 &amp; "X"</f>
        <v>D5X</v>
      </c>
    </row>
    <row r="496" spans="1:8" ht="19.95" customHeight="1" x14ac:dyDescent="0.3">
      <c r="A496" s="99" t="s">
        <v>590</v>
      </c>
      <c r="B496" s="97">
        <f>(MMULT(C495:F495, G495:G498)*A495)</f>
        <v>-2973.6301156280138</v>
      </c>
      <c r="G496" s="96">
        <f>IFERROR(VLOOKUP(H496, A$397:D$408, 4, FALSE), 0)</f>
        <v>-8.8751829855958558E-2</v>
      </c>
      <c r="H496" s="12" t="str">
        <f>"D" &amp; D31 &amp; "Y"</f>
        <v>D5Y</v>
      </c>
    </row>
    <row r="497" spans="1:8" ht="19.95" customHeight="1" x14ac:dyDescent="0.3">
      <c r="G497" s="96">
        <f>IFERROR(VLOOKUP(H497, A$397:D$408, 4, FALSE), 0)</f>
        <v>0</v>
      </c>
      <c r="H497" s="12" t="str">
        <f>"D" &amp; E31 &amp; "X"</f>
        <v>D3X</v>
      </c>
    </row>
    <row r="498" spans="1:8" ht="19.95" customHeight="1" x14ac:dyDescent="0.3">
      <c r="G498" s="96">
        <f>IFERROR(VLOOKUP(H498, A$397:D$408, 4, FALSE), 0)</f>
        <v>0</v>
      </c>
      <c r="H498" s="12" t="str">
        <f>"D" &amp; F31 &amp; "Y"</f>
        <v>D3Y</v>
      </c>
    </row>
    <row r="499" spans="1:8" ht="19.95" customHeight="1" x14ac:dyDescent="0.3">
      <c r="B499" s="99" t="s">
        <v>273</v>
      </c>
      <c r="C499" s="178" t="str">
        <f>IF(B496&gt;0.001,"BARRA A TRACCIÓN (+)",IF(B496&lt;-0.001,"BARRA A COMPRESIÓN (-)","BARRA DE FUERZA NULA"))</f>
        <v>BARRA A COMPRESIÓN (-)</v>
      </c>
      <c r="D499" s="172"/>
      <c r="E499" s="172"/>
      <c r="F499" s="173"/>
    </row>
    <row r="501" spans="1:8" ht="18" customHeight="1" x14ac:dyDescent="0.3">
      <c r="A501" s="19" t="s">
        <v>278</v>
      </c>
      <c r="C501" s="19" t="s">
        <v>279</v>
      </c>
      <c r="D501" s="19" t="s">
        <v>280</v>
      </c>
      <c r="E501" s="19" t="s">
        <v>279</v>
      </c>
      <c r="F501" s="19" t="s">
        <v>280</v>
      </c>
      <c r="G501" s="19" t="s">
        <v>249</v>
      </c>
    </row>
    <row r="502" spans="1:8" ht="16.05" customHeight="1" x14ac:dyDescent="0.3">
      <c r="C502" s="19" t="s">
        <v>282</v>
      </c>
      <c r="D502" s="19" t="s">
        <v>282</v>
      </c>
      <c r="E502" s="19" t="s">
        <v>283</v>
      </c>
      <c r="F502" s="19" t="s">
        <v>283</v>
      </c>
    </row>
    <row r="503" spans="1:8" ht="19.95" customHeight="1" x14ac:dyDescent="0.3">
      <c r="A503" s="17">
        <f>N17</f>
        <v>26563.132345414386</v>
      </c>
      <c r="C503" s="92">
        <f>-J17</f>
        <v>-0.94868329805051377</v>
      </c>
      <c r="D503" s="92">
        <f>-K17</f>
        <v>0.31622776601683794</v>
      </c>
      <c r="E503" s="92">
        <f>J17</f>
        <v>0.94868329805051377</v>
      </c>
      <c r="F503" s="92">
        <f>K17</f>
        <v>-0.31622776601683794</v>
      </c>
      <c r="G503" s="96">
        <f>IFERROR(VLOOKUP(H503, A$397:D$408, 4, FALSE), 0)</f>
        <v>4.0637125243586765E-2</v>
      </c>
      <c r="H503" s="12" t="str">
        <f>"D" &amp; C32 &amp; "X"</f>
        <v>D4X</v>
      </c>
    </row>
    <row r="504" spans="1:8" ht="19.95" customHeight="1" x14ac:dyDescent="0.3">
      <c r="A504" s="99" t="s">
        <v>611</v>
      </c>
      <c r="B504" s="97">
        <f>(MMULT(C503:F503, G503:G506)*A503)</f>
        <v>-940.03797785899098</v>
      </c>
      <c r="G504" s="96">
        <f>IFERROR(VLOOKUP(H504, A$397:D$408, 4, FALSE), 0)</f>
        <v>1.0002092652308971E-2</v>
      </c>
      <c r="H504" s="12" t="str">
        <f>"D" &amp; D32 &amp; "Y"</f>
        <v>D4Y</v>
      </c>
    </row>
    <row r="505" spans="1:8" ht="19.95" customHeight="1" x14ac:dyDescent="0.3">
      <c r="G505" s="96">
        <f>IFERROR(VLOOKUP(H505, A$397:D$408, 4, FALSE), 0)</f>
        <v>0</v>
      </c>
      <c r="H505" s="12" t="str">
        <f>"D" &amp; E32 &amp; "X"</f>
        <v>D3X</v>
      </c>
    </row>
    <row r="506" spans="1:8" ht="19.95" customHeight="1" x14ac:dyDescent="0.3">
      <c r="G506" s="96">
        <f>IFERROR(VLOOKUP(H506, A$397:D$408, 4, FALSE), 0)</f>
        <v>0</v>
      </c>
      <c r="H506" s="12" t="str">
        <f>"D" &amp; F32 &amp; "Y"</f>
        <v>D3Y</v>
      </c>
    </row>
    <row r="507" spans="1:8" ht="19.95" customHeight="1" x14ac:dyDescent="0.3">
      <c r="B507" s="99" t="s">
        <v>273</v>
      </c>
      <c r="C507" s="178" t="str">
        <f>IF(B504&gt;0.001,"BARRA A TRACCIÓN (+)",IF(B504&lt;-0.001,"BARRA A COMPRESIÓN (-)","BARRA DE FUERZA NULA"))</f>
        <v>BARRA A COMPRESIÓN (-)</v>
      </c>
      <c r="D507" s="172"/>
      <c r="E507" s="172"/>
      <c r="F507" s="173"/>
    </row>
    <row r="510" spans="1:8" ht="22.05" customHeight="1" x14ac:dyDescent="0.3">
      <c r="B510" s="217" t="s">
        <v>404</v>
      </c>
      <c r="C510" s="175"/>
      <c r="D510" s="175"/>
      <c r="E510" s="175"/>
      <c r="F510" s="175"/>
      <c r="G510" s="175"/>
      <c r="H510" s="175"/>
    </row>
    <row r="511" spans="1:8" ht="24" customHeight="1" x14ac:dyDescent="0.3">
      <c r="B511" s="87" t="s">
        <v>294</v>
      </c>
      <c r="C511" s="87" t="s">
        <v>295</v>
      </c>
      <c r="D511" s="87" t="s">
        <v>296</v>
      </c>
      <c r="E511" s="87" t="s">
        <v>297</v>
      </c>
      <c r="F511" s="87" t="s">
        <v>298</v>
      </c>
      <c r="G511" s="87" t="s">
        <v>299</v>
      </c>
      <c r="H511" s="87" t="s">
        <v>300</v>
      </c>
    </row>
    <row r="512" spans="1:8" ht="19.95" customHeight="1" x14ac:dyDescent="0.3">
      <c r="B512" s="85">
        <v>1</v>
      </c>
      <c r="C512" s="86">
        <f t="shared" ref="C512:C523" si="52">C21</f>
        <v>1</v>
      </c>
      <c r="D512" s="86">
        <f t="shared" ref="D512:D523" si="53">E21</f>
        <v>2</v>
      </c>
      <c r="E512" s="9">
        <f t="shared" ref="E512:E523" si="54">I6</f>
        <v>450</v>
      </c>
      <c r="F512" s="9">
        <f t="shared" ref="F512:F523" si="55">L6</f>
        <v>12</v>
      </c>
      <c r="G512" s="97">
        <f>B416</f>
        <v>488.52574155044613</v>
      </c>
      <c r="H512" s="84" t="str">
        <f>C419</f>
        <v>BARRA A TRACCIÓN (+)</v>
      </c>
    </row>
    <row r="513" spans="2:8" ht="19.95" customHeight="1" x14ac:dyDescent="0.3">
      <c r="B513" s="25">
        <v>2</v>
      </c>
      <c r="C513" s="86">
        <f t="shared" si="52"/>
        <v>2</v>
      </c>
      <c r="D513" s="86">
        <f t="shared" si="53"/>
        <v>3</v>
      </c>
      <c r="E513" s="9">
        <f t="shared" si="54"/>
        <v>450</v>
      </c>
      <c r="F513" s="9">
        <f t="shared" si="55"/>
        <v>12</v>
      </c>
      <c r="G513" s="97">
        <f>B424</f>
        <v>-488.52574155044613</v>
      </c>
      <c r="H513" s="84" t="str">
        <f>C427</f>
        <v>BARRA A COMPRESIÓN (-)</v>
      </c>
    </row>
    <row r="514" spans="2:8" ht="19.95" customHeight="1" x14ac:dyDescent="0.3">
      <c r="B514" s="26">
        <v>3</v>
      </c>
      <c r="C514" s="86">
        <f t="shared" si="52"/>
        <v>4</v>
      </c>
      <c r="D514" s="86">
        <f t="shared" si="53"/>
        <v>5</v>
      </c>
      <c r="E514" s="9">
        <f t="shared" si="54"/>
        <v>450</v>
      </c>
      <c r="F514" s="9">
        <f t="shared" si="55"/>
        <v>12</v>
      </c>
      <c r="G514" s="97">
        <f>B432</f>
        <v>-1293.837161245068</v>
      </c>
      <c r="H514" s="84" t="str">
        <f>C435</f>
        <v>BARRA A COMPRESIÓN (-)</v>
      </c>
    </row>
    <row r="515" spans="2:8" ht="19.95" customHeight="1" x14ac:dyDescent="0.3">
      <c r="B515" s="43">
        <v>4</v>
      </c>
      <c r="C515" s="86">
        <f t="shared" si="52"/>
        <v>5</v>
      </c>
      <c r="D515" s="86">
        <f t="shared" si="53"/>
        <v>6</v>
      </c>
      <c r="E515" s="9">
        <f t="shared" si="54"/>
        <v>450</v>
      </c>
      <c r="F515" s="9">
        <f t="shared" si="55"/>
        <v>12</v>
      </c>
      <c r="G515" s="97">
        <f>B440</f>
        <v>-162.68697347396449</v>
      </c>
      <c r="H515" s="84" t="str">
        <f>C443</f>
        <v>BARRA A COMPRESIÓN (-)</v>
      </c>
    </row>
    <row r="516" spans="2:8" ht="19.95" customHeight="1" x14ac:dyDescent="0.3">
      <c r="B516" s="44">
        <v>5</v>
      </c>
      <c r="C516" s="86">
        <f t="shared" si="52"/>
        <v>1</v>
      </c>
      <c r="D516" s="86">
        <f t="shared" si="53"/>
        <v>4</v>
      </c>
      <c r="E516" s="9">
        <f t="shared" si="54"/>
        <v>300</v>
      </c>
      <c r="F516" s="9">
        <f t="shared" si="55"/>
        <v>12</v>
      </c>
      <c r="G516" s="97">
        <f>B448</f>
        <v>840.17578279395354</v>
      </c>
      <c r="H516" s="84" t="str">
        <f>C451</f>
        <v>BARRA A TRACCIÓN (+)</v>
      </c>
    </row>
    <row r="517" spans="2:8" ht="19.95" customHeight="1" x14ac:dyDescent="0.3">
      <c r="B517" s="51">
        <v>6</v>
      </c>
      <c r="C517" s="86">
        <f t="shared" si="52"/>
        <v>2</v>
      </c>
      <c r="D517" s="86">
        <f t="shared" si="53"/>
        <v>5</v>
      </c>
      <c r="E517" s="9">
        <f t="shared" si="54"/>
        <v>300</v>
      </c>
      <c r="F517" s="9">
        <f t="shared" si="55"/>
        <v>12</v>
      </c>
      <c r="G517" s="97">
        <f>B456</f>
        <v>-7455.1537079005193</v>
      </c>
      <c r="H517" s="84" t="str">
        <f>C459</f>
        <v>BARRA A COMPRESIÓN (-)</v>
      </c>
    </row>
    <row r="518" spans="2:8" ht="19.95" customHeight="1" x14ac:dyDescent="0.3">
      <c r="B518" s="52">
        <v>7</v>
      </c>
      <c r="C518" s="86">
        <f t="shared" si="52"/>
        <v>3</v>
      </c>
      <c r="D518" s="86">
        <f t="shared" si="53"/>
        <v>6</v>
      </c>
      <c r="E518" s="9">
        <f t="shared" si="54"/>
        <v>300</v>
      </c>
      <c r="F518" s="9">
        <f t="shared" si="55"/>
        <v>12</v>
      </c>
      <c r="G518" s="97">
        <f>B464</f>
        <v>-108.45798231597598</v>
      </c>
      <c r="H518" s="84" t="str">
        <f>C467</f>
        <v>BARRA A COMPRESIÓN (-)</v>
      </c>
    </row>
    <row r="519" spans="2:8" ht="19.95" customHeight="1" x14ac:dyDescent="0.3">
      <c r="B519" s="59">
        <v>8</v>
      </c>
      <c r="C519" s="86">
        <f t="shared" si="52"/>
        <v>1</v>
      </c>
      <c r="D519" s="86">
        <f t="shared" si="53"/>
        <v>5</v>
      </c>
      <c r="E519" s="9">
        <f t="shared" si="54"/>
        <v>540.83269131959844</v>
      </c>
      <c r="F519" s="9">
        <f t="shared" si="55"/>
        <v>12</v>
      </c>
      <c r="G519" s="97">
        <f>B472</f>
        <v>-1614.1567815415349</v>
      </c>
      <c r="H519" s="84" t="str">
        <f>C475</f>
        <v>BARRA A COMPRESIÓN (-)</v>
      </c>
    </row>
    <row r="520" spans="2:8" ht="19.95" customHeight="1" x14ac:dyDescent="0.3">
      <c r="B520" s="60">
        <v>9</v>
      </c>
      <c r="C520" s="86">
        <f t="shared" si="52"/>
        <v>4</v>
      </c>
      <c r="D520" s="86">
        <f t="shared" si="53"/>
        <v>2</v>
      </c>
      <c r="E520" s="9">
        <f t="shared" si="54"/>
        <v>540.83269131959844</v>
      </c>
      <c r="F520" s="9">
        <f t="shared" si="55"/>
        <v>12</v>
      </c>
      <c r="G520" s="97">
        <f>B480</f>
        <v>-978.74433212599195</v>
      </c>
      <c r="H520" s="84" t="str">
        <f>C483</f>
        <v>BARRA A COMPRESIÓN (-)</v>
      </c>
    </row>
    <row r="521" spans="2:8" ht="19.95" customHeight="1" x14ac:dyDescent="0.3">
      <c r="B521" s="67">
        <v>10</v>
      </c>
      <c r="C521" s="86">
        <f t="shared" si="52"/>
        <v>2</v>
      </c>
      <c r="D521" s="86">
        <f t="shared" si="53"/>
        <v>6</v>
      </c>
      <c r="E521" s="9">
        <f t="shared" si="54"/>
        <v>540.83269131959844</v>
      </c>
      <c r="F521" s="9">
        <f t="shared" si="55"/>
        <v>12</v>
      </c>
      <c r="G521" s="97">
        <f>B488</f>
        <v>195.52540823680906</v>
      </c>
      <c r="H521" s="84" t="str">
        <f>C491</f>
        <v>BARRA A TRACCIÓN (+)</v>
      </c>
    </row>
    <row r="522" spans="2:8" ht="19.95" customHeight="1" x14ac:dyDescent="0.3">
      <c r="B522" s="68">
        <v>11</v>
      </c>
      <c r="C522" s="86">
        <f t="shared" si="52"/>
        <v>5</v>
      </c>
      <c r="D522" s="86">
        <f t="shared" si="53"/>
        <v>3</v>
      </c>
      <c r="E522" s="9">
        <f t="shared" si="54"/>
        <v>540.83269131959844</v>
      </c>
      <c r="F522" s="9">
        <f t="shared" si="55"/>
        <v>12</v>
      </c>
      <c r="G522" s="97">
        <f>B496</f>
        <v>-2973.6301156280138</v>
      </c>
      <c r="H522" s="84" t="str">
        <f>C499</f>
        <v>BARRA A COMPRESIÓN (-)</v>
      </c>
    </row>
    <row r="523" spans="2:8" ht="19.95" customHeight="1" x14ac:dyDescent="0.3">
      <c r="B523" s="10">
        <v>12</v>
      </c>
      <c r="C523" s="86">
        <f t="shared" si="52"/>
        <v>4</v>
      </c>
      <c r="D523" s="86">
        <f t="shared" si="53"/>
        <v>3</v>
      </c>
      <c r="E523" s="9">
        <f t="shared" si="54"/>
        <v>948.68329805051383</v>
      </c>
      <c r="F523" s="9">
        <f t="shared" si="55"/>
        <v>12</v>
      </c>
      <c r="G523" s="97">
        <f>B504</f>
        <v>-940.03797785899098</v>
      </c>
      <c r="H523" s="84" t="str">
        <f>C507</f>
        <v>BARRA A COMPRESIÓN (-)</v>
      </c>
    </row>
  </sheetData>
  <mergeCells count="147">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379:U379"/>
    <mergeCell ref="P388:U388"/>
    <mergeCell ref="P331:U331"/>
    <mergeCell ref="B1:N1"/>
    <mergeCell ref="P305:U305"/>
    <mergeCell ref="C19:D19"/>
    <mergeCell ref="P311:U311"/>
    <mergeCell ref="P320:U320"/>
    <mergeCell ref="P433:U433"/>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16:U316"/>
    <mergeCell ref="P381:U381"/>
    <mergeCell ref="P390:U390"/>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66:U366"/>
    <mergeCell ref="P340:U340"/>
    <mergeCell ref="P434:U434"/>
    <mergeCell ref="P436:U436"/>
    <mergeCell ref="P308:U308"/>
    <mergeCell ref="P371:U371"/>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327:U327"/>
    <mergeCell ref="C491:F491"/>
    <mergeCell ref="B510:H510"/>
    <mergeCell ref="P425:U425"/>
    <mergeCell ref="P360:U360"/>
    <mergeCell ref="P391:U391"/>
    <mergeCell ref="P415:U415"/>
    <mergeCell ref="P328:U328"/>
    <mergeCell ref="P384:U384"/>
    <mergeCell ref="P337:U337"/>
    <mergeCell ref="P426:U426"/>
    <mergeCell ref="P418:U418"/>
    <mergeCell ref="P412:U412"/>
    <mergeCell ref="C507:F507"/>
    <mergeCell ref="C483:F483"/>
    <mergeCell ref="P430:U430"/>
    <mergeCell ref="P417:U417"/>
    <mergeCell ref="C427:F427"/>
    <mergeCell ref="C435:F435"/>
    <mergeCell ref="P336:U336"/>
    <mergeCell ref="P367:U367"/>
    <mergeCell ref="P387:U387"/>
    <mergeCell ref="P358:U358"/>
    <mergeCell ref="P435:U435"/>
    <mergeCell ref="P432:U432"/>
    <mergeCell ref="P354:U354"/>
    <mergeCell ref="P363:U363"/>
    <mergeCell ref="P313:U313"/>
    <mergeCell ref="P347:U347"/>
    <mergeCell ref="P378:U378"/>
    <mergeCell ref="P365:U365"/>
    <mergeCell ref="P370:U370"/>
    <mergeCell ref="P428:U428"/>
    <mergeCell ref="P349:U349"/>
    <mergeCell ref="P325:U325"/>
    <mergeCell ref="G4:G5"/>
    <mergeCell ref="I4:I5"/>
    <mergeCell ref="P303:U303"/>
    <mergeCell ref="P416:U416"/>
    <mergeCell ref="P369:U369"/>
    <mergeCell ref="P343:U343"/>
    <mergeCell ref="B3:D3"/>
    <mergeCell ref="M4:M5"/>
    <mergeCell ref="P411:U411"/>
    <mergeCell ref="E19:F19"/>
    <mergeCell ref="P317:U317"/>
    <mergeCell ref="P351:U351"/>
    <mergeCell ref="P326:U326"/>
    <mergeCell ref="P304:U304"/>
    <mergeCell ref="B19:B20"/>
    <mergeCell ref="P353:U353"/>
    <mergeCell ref="P306:U306"/>
    <mergeCell ref="E4:F4"/>
    <mergeCell ref="P312:U312"/>
    <mergeCell ref="P321:U321"/>
    <mergeCell ref="P392:U392"/>
    <mergeCell ref="P386:U386"/>
    <mergeCell ref="P339:U339"/>
    <mergeCell ref="P323:U323"/>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691</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HYPERLINK("#'AUTOMATIZADA_61'!A1",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6</v>
      </c>
      <c r="E6" s="173"/>
      <c r="F6" s="206">
        <f>SUM(F14:G23)</f>
        <v>4</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400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205" t="s">
        <v>645</v>
      </c>
      <c r="K15" s="172"/>
      <c r="L15" s="172"/>
      <c r="M15" s="172"/>
      <c r="N15" s="172"/>
      <c r="O15" s="173"/>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3500</v>
      </c>
      <c r="I16" s="22">
        <v>-5000</v>
      </c>
      <c r="J16" s="205" t="s">
        <v>692</v>
      </c>
      <c r="K16" s="172"/>
      <c r="L16" s="172"/>
      <c r="M16" s="172"/>
      <c r="N16" s="172"/>
      <c r="O16" s="173"/>
    </row>
    <row r="17" spans="2:29" ht="19.05" customHeight="1" x14ac:dyDescent="0.3">
      <c r="B17" s="89">
        <v>4</v>
      </c>
      <c r="C17" s="21">
        <v>0</v>
      </c>
      <c r="D17" s="21">
        <v>300</v>
      </c>
      <c r="E17" s="21" t="s">
        <v>326</v>
      </c>
      <c r="F17" s="88">
        <f t="shared" si="0"/>
        <v>0</v>
      </c>
      <c r="G17" s="88">
        <f t="shared" si="1"/>
        <v>0</v>
      </c>
      <c r="H17" s="22">
        <v>3500</v>
      </c>
      <c r="I17" s="22">
        <v>0</v>
      </c>
      <c r="J17" s="205" t="s">
        <v>654</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B00-000000000000}">
      <formula1>"Fijo (articulado),Rodillo Y (despl. X libre),Rodillo X (despl. Y libre),Libre (0 reac.)"</formula1>
    </dataValidation>
  </dataValidations>
  <pageMargins left="0.75" right="0.75" top="1" bottom="1" header="0.5" footer="0.5"/>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693</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HYPERLINK("#'GRAFICA_61'!A1",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GRAFICA_61!E28</f>
        <v>0</v>
      </c>
      <c r="D6" s="22">
        <f>GRAFICA_61!F28</f>
        <v>0</v>
      </c>
      <c r="E6" s="22">
        <f>GRAFICA_61!G28</f>
        <v>400</v>
      </c>
      <c r="F6" s="22">
        <f>GRAFICA_61!H28</f>
        <v>0</v>
      </c>
      <c r="G6" s="9">
        <f t="shared" ref="G6:H11" si="0">E6-C6</f>
        <v>400</v>
      </c>
      <c r="H6" s="9">
        <f t="shared" si="0"/>
        <v>0</v>
      </c>
      <c r="I6" s="9">
        <f t="shared" ref="I6:I11" si="1">SQRT(G6*G6+H6*H6)</f>
        <v>400</v>
      </c>
      <c r="J6" s="92">
        <f t="shared" ref="J6:J11" si="2">G6/I6</f>
        <v>1</v>
      </c>
      <c r="K6" s="92">
        <f t="shared" ref="K6:K11" si="3">H6/I6</f>
        <v>0</v>
      </c>
      <c r="L6" s="22">
        <f>GRAFICA_61!N28</f>
        <v>12</v>
      </c>
      <c r="M6" s="22">
        <f>GRAFICA_61!O28</f>
        <v>2100000</v>
      </c>
      <c r="N6" s="6">
        <f t="shared" ref="N6:N11" si="4">L6*M6/I6</f>
        <v>63000</v>
      </c>
    </row>
    <row r="7" spans="2:14" ht="19.05" customHeight="1" x14ac:dyDescent="0.3">
      <c r="B7" s="25">
        <v>2</v>
      </c>
      <c r="C7" s="22">
        <f>GRAFICA_61!E29</f>
        <v>400</v>
      </c>
      <c r="D7" s="22">
        <f>GRAFICA_61!F29</f>
        <v>0</v>
      </c>
      <c r="E7" s="22">
        <f>GRAFICA_61!G29</f>
        <v>400</v>
      </c>
      <c r="F7" s="22">
        <f>GRAFICA_61!H29</f>
        <v>300</v>
      </c>
      <c r="G7" s="9">
        <f t="shared" si="0"/>
        <v>0</v>
      </c>
      <c r="H7" s="9">
        <f t="shared" si="0"/>
        <v>300</v>
      </c>
      <c r="I7" s="9">
        <f t="shared" si="1"/>
        <v>300</v>
      </c>
      <c r="J7" s="92">
        <f t="shared" si="2"/>
        <v>0</v>
      </c>
      <c r="K7" s="92">
        <f t="shared" si="3"/>
        <v>1</v>
      </c>
      <c r="L7" s="22">
        <f>GRAFICA_61!N29</f>
        <v>12</v>
      </c>
      <c r="M7" s="22">
        <f>GRAFICA_61!O29</f>
        <v>2100000</v>
      </c>
      <c r="N7" s="6">
        <f t="shared" si="4"/>
        <v>84000</v>
      </c>
    </row>
    <row r="8" spans="2:14" ht="19.05" customHeight="1" x14ac:dyDescent="0.3">
      <c r="B8" s="26">
        <v>3</v>
      </c>
      <c r="C8" s="22">
        <f>GRAFICA_61!E30</f>
        <v>400</v>
      </c>
      <c r="D8" s="22">
        <f>GRAFICA_61!F30</f>
        <v>300</v>
      </c>
      <c r="E8" s="22">
        <f>GRAFICA_61!G30</f>
        <v>0</v>
      </c>
      <c r="F8" s="22">
        <f>GRAFICA_61!H30</f>
        <v>300</v>
      </c>
      <c r="G8" s="9">
        <f t="shared" si="0"/>
        <v>-400</v>
      </c>
      <c r="H8" s="9">
        <f t="shared" si="0"/>
        <v>0</v>
      </c>
      <c r="I8" s="9">
        <f t="shared" si="1"/>
        <v>400</v>
      </c>
      <c r="J8" s="92">
        <f t="shared" si="2"/>
        <v>-1</v>
      </c>
      <c r="K8" s="92">
        <f t="shared" si="3"/>
        <v>0</v>
      </c>
      <c r="L8" s="22">
        <f>GRAFICA_61!N30</f>
        <v>12</v>
      </c>
      <c r="M8" s="22">
        <f>GRAFICA_61!O30</f>
        <v>2100000</v>
      </c>
      <c r="N8" s="6">
        <f t="shared" si="4"/>
        <v>63000</v>
      </c>
    </row>
    <row r="9" spans="2:14" ht="19.05" customHeight="1" x14ac:dyDescent="0.3">
      <c r="B9" s="43">
        <v>4</v>
      </c>
      <c r="C9" s="22">
        <f>GRAFICA_61!E31</f>
        <v>0</v>
      </c>
      <c r="D9" s="22">
        <f>GRAFICA_61!F31</f>
        <v>300</v>
      </c>
      <c r="E9" s="22">
        <f>GRAFICA_61!G31</f>
        <v>0</v>
      </c>
      <c r="F9" s="22">
        <f>GRAFICA_61!H31</f>
        <v>0</v>
      </c>
      <c r="G9" s="9">
        <f t="shared" si="0"/>
        <v>0</v>
      </c>
      <c r="H9" s="9">
        <f t="shared" si="0"/>
        <v>-300</v>
      </c>
      <c r="I9" s="9">
        <f t="shared" si="1"/>
        <v>300</v>
      </c>
      <c r="J9" s="92">
        <f t="shared" si="2"/>
        <v>0</v>
      </c>
      <c r="K9" s="92">
        <f t="shared" si="3"/>
        <v>-1</v>
      </c>
      <c r="L9" s="22">
        <f>GRAFICA_61!N31</f>
        <v>12</v>
      </c>
      <c r="M9" s="22">
        <f>GRAFICA_61!O31</f>
        <v>2100000</v>
      </c>
      <c r="N9" s="6">
        <f t="shared" si="4"/>
        <v>84000</v>
      </c>
    </row>
    <row r="10" spans="2:14" ht="19.05" customHeight="1" x14ac:dyDescent="0.3">
      <c r="B10" s="44">
        <v>5</v>
      </c>
      <c r="C10" s="22">
        <f>GRAFICA_61!E32</f>
        <v>0</v>
      </c>
      <c r="D10" s="22">
        <f>GRAFICA_61!F32</f>
        <v>0</v>
      </c>
      <c r="E10" s="22">
        <f>GRAFICA_61!G32</f>
        <v>400</v>
      </c>
      <c r="F10" s="22">
        <f>GRAFICA_61!H32</f>
        <v>300</v>
      </c>
      <c r="G10" s="9">
        <f t="shared" si="0"/>
        <v>400</v>
      </c>
      <c r="H10" s="9">
        <f t="shared" si="0"/>
        <v>300</v>
      </c>
      <c r="I10" s="9">
        <f t="shared" si="1"/>
        <v>500</v>
      </c>
      <c r="J10" s="92">
        <f t="shared" si="2"/>
        <v>0.8</v>
      </c>
      <c r="K10" s="92">
        <f t="shared" si="3"/>
        <v>0.6</v>
      </c>
      <c r="L10" s="22">
        <f>GRAFICA_61!N32</f>
        <v>12</v>
      </c>
      <c r="M10" s="22">
        <f>GRAFICA_61!O32</f>
        <v>2100000</v>
      </c>
      <c r="N10" s="6">
        <f t="shared" si="4"/>
        <v>50400</v>
      </c>
    </row>
    <row r="11" spans="2:14" ht="19.05" customHeight="1" x14ac:dyDescent="0.3">
      <c r="B11" s="51">
        <v>6</v>
      </c>
      <c r="C11" s="22">
        <f>GRAFICA_61!E33</f>
        <v>400</v>
      </c>
      <c r="D11" s="22">
        <f>GRAFICA_61!F33</f>
        <v>0</v>
      </c>
      <c r="E11" s="22">
        <f>GRAFICA_61!G33</f>
        <v>0</v>
      </c>
      <c r="F11" s="22">
        <f>GRAFICA_61!H33</f>
        <v>300</v>
      </c>
      <c r="G11" s="9">
        <f t="shared" si="0"/>
        <v>-400</v>
      </c>
      <c r="H11" s="9">
        <f t="shared" si="0"/>
        <v>300</v>
      </c>
      <c r="I11" s="9">
        <f t="shared" si="1"/>
        <v>500</v>
      </c>
      <c r="J11" s="92">
        <f t="shared" si="2"/>
        <v>-0.8</v>
      </c>
      <c r="K11" s="92">
        <f t="shared" si="3"/>
        <v>0.6</v>
      </c>
      <c r="L11" s="22">
        <f>GRAFICA_61!N33</f>
        <v>12</v>
      </c>
      <c r="M11" s="22">
        <f>GRAFICA_61!O33</f>
        <v>2100000</v>
      </c>
      <c r="N11" s="6">
        <f t="shared" si="4"/>
        <v>50400</v>
      </c>
    </row>
    <row r="13" spans="2:14" ht="18" customHeight="1" x14ac:dyDescent="0.3">
      <c r="B13" s="202" t="s">
        <v>145</v>
      </c>
      <c r="C13" s="202" t="s">
        <v>369</v>
      </c>
      <c r="D13" s="173"/>
      <c r="E13" s="202" t="s">
        <v>370</v>
      </c>
      <c r="F13" s="173"/>
    </row>
    <row r="14" spans="2:14" ht="18" customHeight="1" x14ac:dyDescent="0.3">
      <c r="B14" s="203"/>
      <c r="C14" s="81" t="s">
        <v>157</v>
      </c>
      <c r="D14" s="81" t="s">
        <v>158</v>
      </c>
      <c r="E14" s="81" t="s">
        <v>157</v>
      </c>
      <c r="F14" s="81" t="s">
        <v>158</v>
      </c>
    </row>
    <row r="15" spans="2:14" ht="19.05" customHeight="1" x14ac:dyDescent="0.3">
      <c r="B15" s="85">
        <v>1</v>
      </c>
      <c r="C15" s="23">
        <f>GRAFICA_61!C28</f>
        <v>1</v>
      </c>
      <c r="D15" s="23">
        <f>GRAFICA_61!C28</f>
        <v>1</v>
      </c>
      <c r="E15" s="23">
        <f>GRAFICA_61!D28</f>
        <v>2</v>
      </c>
      <c r="F15" s="23">
        <f>GRAFICA_61!D28</f>
        <v>2</v>
      </c>
    </row>
    <row r="16" spans="2:14" ht="19.05" customHeight="1" x14ac:dyDescent="0.3">
      <c r="B16" s="25">
        <v>2</v>
      </c>
      <c r="C16" s="23">
        <f>GRAFICA_61!C29</f>
        <v>2</v>
      </c>
      <c r="D16" s="23">
        <f>GRAFICA_61!C29</f>
        <v>2</v>
      </c>
      <c r="E16" s="23">
        <f>GRAFICA_61!D29</f>
        <v>3</v>
      </c>
      <c r="F16" s="23">
        <f>GRAFICA_61!D29</f>
        <v>3</v>
      </c>
    </row>
    <row r="17" spans="1:10" ht="19.05" customHeight="1" x14ac:dyDescent="0.3">
      <c r="B17" s="26">
        <v>3</v>
      </c>
      <c r="C17" s="23">
        <f>GRAFICA_61!C30</f>
        <v>3</v>
      </c>
      <c r="D17" s="23">
        <f>GRAFICA_61!C30</f>
        <v>3</v>
      </c>
      <c r="E17" s="23">
        <f>GRAFICA_61!D30</f>
        <v>4</v>
      </c>
      <c r="F17" s="23">
        <f>GRAFICA_61!D30</f>
        <v>4</v>
      </c>
    </row>
    <row r="18" spans="1:10" ht="19.05" customHeight="1" x14ac:dyDescent="0.3">
      <c r="B18" s="43">
        <v>4</v>
      </c>
      <c r="C18" s="23">
        <f>GRAFICA_61!C31</f>
        <v>4</v>
      </c>
      <c r="D18" s="23">
        <f>GRAFICA_61!C31</f>
        <v>4</v>
      </c>
      <c r="E18" s="23">
        <f>GRAFICA_61!D31</f>
        <v>1</v>
      </c>
      <c r="F18" s="23">
        <f>GRAFICA_61!D31</f>
        <v>1</v>
      </c>
    </row>
    <row r="19" spans="1:10" ht="19.05" customHeight="1" x14ac:dyDescent="0.3">
      <c r="B19" s="44">
        <v>5</v>
      </c>
      <c r="C19" s="23">
        <f>GRAFICA_61!C32</f>
        <v>1</v>
      </c>
      <c r="D19" s="23">
        <f>GRAFICA_61!C32</f>
        <v>1</v>
      </c>
      <c r="E19" s="23">
        <f>GRAFICA_61!D32</f>
        <v>3</v>
      </c>
      <c r="F19" s="23">
        <f>GRAFICA_61!D32</f>
        <v>3</v>
      </c>
    </row>
    <row r="20" spans="1:10" ht="19.05" customHeight="1" x14ac:dyDescent="0.3">
      <c r="B20" s="51">
        <v>6</v>
      </c>
      <c r="C20" s="23">
        <f>GRAFICA_61!C33</f>
        <v>2</v>
      </c>
      <c r="D20" s="23">
        <f>GRAFICA_61!C33</f>
        <v>2</v>
      </c>
      <c r="E20" s="23">
        <f>GRAFICA_61!D33</f>
        <v>4</v>
      </c>
      <c r="F20" s="23">
        <f>GRAFICA_61!D33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216" t="s">
        <v>207</v>
      </c>
      <c r="M136" s="172"/>
      <c r="N136" s="172"/>
      <c r="O136" s="172"/>
      <c r="P136" s="172"/>
      <c r="Q136" s="173"/>
    </row>
    <row r="137" spans="1:17" ht="16.95" customHeight="1" x14ac:dyDescent="0.3">
      <c r="B137" s="12" t="s">
        <v>208</v>
      </c>
      <c r="C137" s="12" t="s">
        <v>178</v>
      </c>
      <c r="E137" s="37" t="str">
        <f>IF(GRAFICA_61!F14=1, B137, GRAFICA_61!H14)</f>
        <v>C1X</v>
      </c>
      <c r="L137" s="215" t="s">
        <v>376</v>
      </c>
      <c r="M137" s="172"/>
      <c r="N137" s="172"/>
      <c r="O137" s="172"/>
      <c r="P137" s="172"/>
      <c r="Q137" s="173"/>
    </row>
    <row r="138" spans="1:17" ht="16.95" customHeight="1" x14ac:dyDescent="0.3">
      <c r="B138" s="12" t="s">
        <v>210</v>
      </c>
      <c r="C138" s="12" t="s">
        <v>179</v>
      </c>
      <c r="E138" s="37" t="str">
        <f>IF(GRAFICA_61!G14=1, B138, GRAFICA_61!I14)</f>
        <v>C1Y</v>
      </c>
      <c r="L138" s="215" t="s">
        <v>211</v>
      </c>
      <c r="M138" s="172"/>
      <c r="N138" s="172"/>
      <c r="O138" s="172"/>
      <c r="P138" s="172"/>
      <c r="Q138" s="173"/>
    </row>
    <row r="139" spans="1:17" ht="16.95" customHeight="1" x14ac:dyDescent="0.3">
      <c r="B139" s="12" t="s">
        <v>212</v>
      </c>
      <c r="C139" s="12" t="s">
        <v>180</v>
      </c>
      <c r="E139" s="37" t="str">
        <f>IF(GRAFICA_61!F15=1, B139, GRAFICA_61!H15)</f>
        <v>C2X</v>
      </c>
      <c r="L139" s="215" t="s">
        <v>377</v>
      </c>
      <c r="M139" s="172"/>
      <c r="N139" s="172"/>
      <c r="O139" s="172"/>
      <c r="P139" s="172"/>
      <c r="Q139" s="173"/>
    </row>
    <row r="140" spans="1:17" ht="16.95" customHeight="1" x14ac:dyDescent="0.3">
      <c r="A140" s="38" t="s">
        <v>218</v>
      </c>
      <c r="B140" s="12" t="s">
        <v>214</v>
      </c>
      <c r="C140" s="12" t="s">
        <v>181</v>
      </c>
      <c r="D140" s="13" t="s">
        <v>220</v>
      </c>
      <c r="E140" s="37" t="str">
        <f>IF(GRAFICA_61!G15=1, B140, GRAFICA_61!I15)</f>
        <v>C2Y</v>
      </c>
      <c r="L140" s="215" t="s">
        <v>215</v>
      </c>
      <c r="M140" s="172"/>
      <c r="N140" s="172"/>
      <c r="O140" s="172"/>
      <c r="P140" s="172"/>
      <c r="Q140" s="173"/>
    </row>
    <row r="141" spans="1:17" ht="16.95" customHeight="1" x14ac:dyDescent="0.3">
      <c r="B141" s="12" t="s">
        <v>216</v>
      </c>
      <c r="C141" s="12" t="s">
        <v>182</v>
      </c>
      <c r="E141" s="37">
        <f>IF(GRAFICA_61!F16=1, B141, GRAFICA_61!H16)</f>
        <v>3500</v>
      </c>
      <c r="L141" s="215" t="s">
        <v>378</v>
      </c>
      <c r="M141" s="172"/>
      <c r="N141" s="172"/>
      <c r="O141" s="172"/>
      <c r="P141" s="172"/>
      <c r="Q141" s="173"/>
    </row>
    <row r="142" spans="1:17" ht="16.95" customHeight="1" x14ac:dyDescent="0.3">
      <c r="B142" s="12" t="s">
        <v>219</v>
      </c>
      <c r="C142" s="12" t="s">
        <v>183</v>
      </c>
      <c r="E142" s="37">
        <f>IF(GRAFICA_61!G16=1, B142, GRAFICA_61!I16)</f>
        <v>-5000</v>
      </c>
      <c r="L142" s="215" t="s">
        <v>379</v>
      </c>
      <c r="M142" s="172"/>
      <c r="N142" s="172"/>
      <c r="O142" s="172"/>
      <c r="P142" s="172"/>
      <c r="Q142" s="173"/>
    </row>
    <row r="143" spans="1:17" ht="16.95" customHeight="1" x14ac:dyDescent="0.3">
      <c r="B143" s="12" t="s">
        <v>221</v>
      </c>
      <c r="C143" s="12" t="s">
        <v>184</v>
      </c>
      <c r="E143" s="37">
        <f>IF(GRAFICA_61!F17=1, B143, GRAFICA_61!H17)</f>
        <v>3500</v>
      </c>
      <c r="L143" s="215"/>
      <c r="M143" s="172"/>
      <c r="N143" s="172"/>
      <c r="O143" s="172"/>
      <c r="P143" s="172"/>
      <c r="Q143" s="173"/>
    </row>
    <row r="144" spans="1:17" ht="16.95" customHeight="1" x14ac:dyDescent="0.3">
      <c r="B144" s="12" t="s">
        <v>222</v>
      </c>
      <c r="C144" s="12" t="s">
        <v>185</v>
      </c>
      <c r="E144" s="37">
        <f>IF(GRAFICA_61!G17=1, B144, GRAFICA_61!I17)</f>
        <v>0</v>
      </c>
      <c r="L144" s="215"/>
      <c r="M144" s="172"/>
      <c r="N144" s="172"/>
      <c r="O144" s="172"/>
      <c r="P144" s="172"/>
      <c r="Q144" s="173"/>
    </row>
    <row r="145" spans="1:17" ht="16.95" customHeight="1" x14ac:dyDescent="0.3">
      <c r="L145" s="215"/>
      <c r="M145" s="172"/>
      <c r="N145" s="172"/>
      <c r="O145" s="172"/>
      <c r="P145" s="172"/>
      <c r="Q145" s="173"/>
    </row>
    <row r="146" spans="1:17" ht="16.95" customHeight="1" x14ac:dyDescent="0.35">
      <c r="A146" s="11" t="s">
        <v>227</v>
      </c>
      <c r="L146" s="215"/>
      <c r="M146" s="172"/>
      <c r="N146" s="172"/>
      <c r="O146" s="172"/>
      <c r="P146" s="172"/>
      <c r="Q146" s="173"/>
    </row>
    <row r="147" spans="1:17" ht="16.95" customHeight="1" x14ac:dyDescent="0.3">
      <c r="B147" s="12" t="s">
        <v>228</v>
      </c>
      <c r="C147" s="12" t="s">
        <v>178</v>
      </c>
      <c r="E147" s="39">
        <f>IF(GRAFICA_61!F14=1, 0, B147)</f>
        <v>0</v>
      </c>
      <c r="F147" s="14" t="str">
        <f>IF(E147&lt;&gt;0, COUNTIF(E$147:E147, "&lt;&gt;0"), "")</f>
        <v/>
      </c>
      <c r="G147" s="14">
        <f>IF(E147=0, COUNTIF(E$147:E147, 0), "")</f>
        <v>1</v>
      </c>
      <c r="L147" s="215"/>
      <c r="M147" s="172"/>
      <c r="N147" s="172"/>
      <c r="O147" s="172"/>
      <c r="P147" s="172"/>
      <c r="Q147" s="173"/>
    </row>
    <row r="148" spans="1:17" ht="16.95" customHeight="1" x14ac:dyDescent="0.3">
      <c r="B148" s="12" t="s">
        <v>229</v>
      </c>
      <c r="C148" s="12" t="s">
        <v>179</v>
      </c>
      <c r="E148" s="39">
        <f>IF(GRAFICA_61!G14=1, 0, B148)</f>
        <v>0</v>
      </c>
      <c r="F148" s="14" t="str">
        <f>IF(E148&lt;&gt;0, COUNTIF(E$147:E148, "&lt;&gt;0"), "")</f>
        <v/>
      </c>
      <c r="G148" s="14">
        <f>IF(E148=0, COUNTIF(E$147:E148, 0), "")</f>
        <v>2</v>
      </c>
      <c r="L148" s="215"/>
      <c r="M148" s="172"/>
      <c r="N148" s="172"/>
      <c r="O148" s="172"/>
      <c r="P148" s="172"/>
      <c r="Q148" s="173"/>
    </row>
    <row r="149" spans="1:17" ht="16.95" customHeight="1" x14ac:dyDescent="0.3">
      <c r="B149" s="12" t="s">
        <v>230</v>
      </c>
      <c r="C149" s="12" t="s">
        <v>180</v>
      </c>
      <c r="E149" s="39">
        <f>IF(GRAFICA_61!F15=1, 0, B149)</f>
        <v>0</v>
      </c>
      <c r="F149" s="14" t="str">
        <f>IF(E149&lt;&gt;0, COUNTIF(E$147:E149, "&lt;&gt;0"), "")</f>
        <v/>
      </c>
      <c r="G149" s="14">
        <f>IF(E149=0, COUNTIF(E$147:E149, 0), "")</f>
        <v>3</v>
      </c>
      <c r="L149" s="215"/>
      <c r="M149" s="172"/>
      <c r="N149" s="172"/>
      <c r="O149" s="172"/>
      <c r="P149" s="172"/>
      <c r="Q149" s="173"/>
    </row>
    <row r="150" spans="1:17" ht="16.95" customHeight="1" x14ac:dyDescent="0.3">
      <c r="A150" s="38" t="s">
        <v>233</v>
      </c>
      <c r="B150" s="12" t="s">
        <v>231</v>
      </c>
      <c r="C150" s="12" t="s">
        <v>181</v>
      </c>
      <c r="D150" s="13" t="s">
        <v>220</v>
      </c>
      <c r="E150" s="39">
        <f>IF(GRAFICA_61!G15=1, 0, B150)</f>
        <v>0</v>
      </c>
      <c r="F150" s="14" t="str">
        <f>IF(E150&lt;&gt;0, COUNTIF(E$147:E150, "&lt;&gt;0"), "")</f>
        <v/>
      </c>
      <c r="G150" s="14">
        <f>IF(E150=0, COUNTIF(E$147:E150, 0), "")</f>
        <v>4</v>
      </c>
      <c r="L150" s="215"/>
      <c r="M150" s="172"/>
      <c r="N150" s="172"/>
      <c r="O150" s="172"/>
      <c r="P150" s="172"/>
      <c r="Q150" s="173"/>
    </row>
    <row r="151" spans="1:17" ht="16.95" customHeight="1" x14ac:dyDescent="0.3">
      <c r="B151" s="12" t="s">
        <v>232</v>
      </c>
      <c r="C151" s="12" t="s">
        <v>182</v>
      </c>
      <c r="E151" s="39" t="str">
        <f>IF(GRAFICA_61!F16=1, 0, B151)</f>
        <v>D3X</v>
      </c>
      <c r="F151" s="14">
        <f>IF(E151&lt;&gt;0, COUNTIF(E$147:E151, "&lt;&gt;0"), "")</f>
        <v>1</v>
      </c>
      <c r="G151" s="14" t="str">
        <f>IF(E151=0, COUNTIF(E$147:E151, 0), "")</f>
        <v/>
      </c>
      <c r="L151" s="215"/>
      <c r="M151" s="172"/>
      <c r="N151" s="172"/>
      <c r="O151" s="172"/>
      <c r="P151" s="172"/>
      <c r="Q151" s="173"/>
    </row>
    <row r="152" spans="1:17" ht="16.95" customHeight="1" x14ac:dyDescent="0.3">
      <c r="B152" s="12" t="s">
        <v>234</v>
      </c>
      <c r="C152" s="12" t="s">
        <v>183</v>
      </c>
      <c r="E152" s="39" t="str">
        <f>IF(GRAFICA_61!G16=1, 0, B152)</f>
        <v>D3Y</v>
      </c>
      <c r="F152" s="14">
        <f>IF(E152&lt;&gt;0, COUNTIF(E$147:E152, "&lt;&gt;0"), "")</f>
        <v>2</v>
      </c>
      <c r="G152" s="14" t="str">
        <f>IF(E152=0, COUNTIF(E$147:E152, 0), "")</f>
        <v/>
      </c>
      <c r="L152" s="215"/>
      <c r="M152" s="172"/>
      <c r="N152" s="172"/>
      <c r="O152" s="172"/>
      <c r="P152" s="172"/>
      <c r="Q152" s="173"/>
    </row>
    <row r="153" spans="1:17" ht="16.95" customHeight="1" x14ac:dyDescent="0.3">
      <c r="B153" s="12" t="s">
        <v>235</v>
      </c>
      <c r="C153" s="12" t="s">
        <v>184</v>
      </c>
      <c r="E153" s="39" t="str">
        <f>IF(GRAFICA_61!F17=1, 0, B153)</f>
        <v>D4X</v>
      </c>
      <c r="F153" s="14">
        <f>IF(E153&lt;&gt;0, COUNTIF(E$147:E153, "&lt;&gt;0"), "")</f>
        <v>3</v>
      </c>
      <c r="G153" s="14" t="str">
        <f>IF(E153=0, COUNTIF(E$147:E153, 0), "")</f>
        <v/>
      </c>
      <c r="L153" s="215"/>
      <c r="M153" s="172"/>
      <c r="N153" s="172"/>
      <c r="O153" s="172"/>
      <c r="P153" s="172"/>
      <c r="Q153" s="173"/>
    </row>
    <row r="154" spans="1:17" ht="16.95" customHeight="1" x14ac:dyDescent="0.3">
      <c r="B154" s="12" t="s">
        <v>236</v>
      </c>
      <c r="C154" s="12" t="s">
        <v>185</v>
      </c>
      <c r="E154" s="39" t="str">
        <f>IF(GRAFICA_61!G17=1, 0, B154)</f>
        <v>D4Y</v>
      </c>
      <c r="F154" s="14">
        <f>IF(E154&lt;&gt;0, COUNTIF(E$147:E154, "&lt;&gt;0"), "")</f>
        <v>4</v>
      </c>
      <c r="G154" s="14" t="str">
        <f>IF(E154=0, COUNTIF(E$147:E154, 0), "")</f>
        <v/>
      </c>
      <c r="L154" s="215"/>
      <c r="M154" s="172"/>
      <c r="N154" s="172"/>
      <c r="O154" s="172"/>
      <c r="P154" s="172"/>
      <c r="Q154" s="173"/>
    </row>
    <row r="156" spans="1:17" ht="19.95" customHeight="1" x14ac:dyDescent="0.35">
      <c r="A156" s="15" t="s">
        <v>241</v>
      </c>
      <c r="C156" s="218" t="s">
        <v>242</v>
      </c>
      <c r="D156" s="173"/>
      <c r="E156" s="40" t="s">
        <v>243</v>
      </c>
      <c r="L156" s="216" t="s">
        <v>244</v>
      </c>
      <c r="M156" s="172"/>
      <c r="N156" s="172"/>
      <c r="O156" s="172"/>
      <c r="P156" s="172"/>
      <c r="Q156" s="173"/>
    </row>
    <row r="157" spans="1:17" ht="16.95" customHeight="1" x14ac:dyDescent="0.3">
      <c r="E157" s="40" t="s">
        <v>245</v>
      </c>
      <c r="L157" s="215" t="s">
        <v>246</v>
      </c>
      <c r="M157" s="172"/>
      <c r="N157" s="172"/>
      <c r="O157" s="172"/>
      <c r="P157" s="172"/>
      <c r="Q157" s="173"/>
    </row>
    <row r="158" spans="1:17" ht="16.95" customHeight="1" x14ac:dyDescent="0.3">
      <c r="A158" s="99" t="s">
        <v>247</v>
      </c>
      <c r="C158" s="99" t="s">
        <v>248</v>
      </c>
      <c r="L158" s="215" t="s">
        <v>250</v>
      </c>
      <c r="M158" s="172"/>
      <c r="N158" s="172"/>
      <c r="O158" s="172"/>
      <c r="P158" s="172"/>
      <c r="Q158" s="173"/>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219" t="s">
        <v>380</v>
      </c>
      <c r="M159" s="172"/>
      <c r="N159" s="172"/>
      <c r="O159" s="172"/>
      <c r="P159" s="172"/>
      <c r="Q159" s="173"/>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219" t="s">
        <v>253</v>
      </c>
      <c r="M160" s="172"/>
      <c r="N160" s="172"/>
      <c r="O160" s="172"/>
      <c r="P160" s="172"/>
      <c r="Q160" s="173"/>
    </row>
    <row r="161" spans="1:17" ht="16.95" customHeight="1" x14ac:dyDescent="0.3">
      <c r="A161" s="12" t="str">
        <f t="shared" si="12"/>
        <v>C2X</v>
      </c>
      <c r="C161" s="9">
        <f t="shared" si="13"/>
        <v>-63000</v>
      </c>
      <c r="D161" s="9">
        <f t="shared" si="13"/>
        <v>0</v>
      </c>
      <c r="E161" s="9">
        <f t="shared" si="13"/>
        <v>95256</v>
      </c>
      <c r="F161" s="9">
        <f t="shared" si="13"/>
        <v>-24192</v>
      </c>
      <c r="G161" s="9">
        <f t="shared" si="13"/>
        <v>0</v>
      </c>
      <c r="H161" s="9">
        <f t="shared" si="13"/>
        <v>0</v>
      </c>
      <c r="I161" s="9">
        <f t="shared" si="13"/>
        <v>-32256.000000000007</v>
      </c>
      <c r="J161" s="9">
        <f t="shared" si="13"/>
        <v>24192</v>
      </c>
      <c r="K161" s="13" t="s">
        <v>251</v>
      </c>
      <c r="L161" s="219" t="s">
        <v>254</v>
      </c>
      <c r="M161" s="172"/>
      <c r="N161" s="172"/>
      <c r="O161" s="172"/>
      <c r="P161" s="172"/>
      <c r="Q161" s="173"/>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219" t="s">
        <v>381</v>
      </c>
      <c r="M162" s="172"/>
      <c r="N162" s="172"/>
      <c r="O162" s="172"/>
      <c r="P162" s="172"/>
      <c r="Q162" s="173"/>
    </row>
    <row r="163" spans="1:17" ht="16.95" customHeight="1" x14ac:dyDescent="0.3">
      <c r="A163" s="41">
        <f t="shared" si="12"/>
        <v>3500</v>
      </c>
      <c r="B163" s="13" t="s">
        <v>220</v>
      </c>
      <c r="C163" s="9">
        <f t="shared" si="13"/>
        <v>-32256.000000000007</v>
      </c>
      <c r="D163" s="9">
        <f t="shared" si="13"/>
        <v>-24192</v>
      </c>
      <c r="E163" s="9">
        <f t="shared" si="13"/>
        <v>0</v>
      </c>
      <c r="F163" s="9">
        <f t="shared" si="13"/>
        <v>0</v>
      </c>
      <c r="G163" s="41">
        <f t="shared" si="13"/>
        <v>95256</v>
      </c>
      <c r="H163" s="41">
        <f t="shared" si="13"/>
        <v>24192</v>
      </c>
      <c r="I163" s="41">
        <f t="shared" si="13"/>
        <v>-63000</v>
      </c>
      <c r="J163" s="41">
        <f t="shared" si="13"/>
        <v>0</v>
      </c>
      <c r="K163" s="13" t="s">
        <v>251</v>
      </c>
      <c r="L163" s="215" t="s">
        <v>382</v>
      </c>
      <c r="M163" s="172"/>
      <c r="N163" s="172"/>
      <c r="O163" s="172"/>
      <c r="P163" s="172"/>
      <c r="Q163" s="173"/>
    </row>
    <row r="164" spans="1:17" ht="16.95" customHeight="1" x14ac:dyDescent="0.3">
      <c r="A164" s="41">
        <f t="shared" si="12"/>
        <v>-5000</v>
      </c>
      <c r="C164" s="9">
        <f t="shared" si="13"/>
        <v>-24192</v>
      </c>
      <c r="D164" s="9">
        <f t="shared" si="13"/>
        <v>-18144</v>
      </c>
      <c r="E164" s="9">
        <f t="shared" si="13"/>
        <v>0</v>
      </c>
      <c r="F164" s="9">
        <f t="shared" si="13"/>
        <v>-84000</v>
      </c>
      <c r="G164" s="41">
        <f t="shared" si="13"/>
        <v>24192</v>
      </c>
      <c r="H164" s="41">
        <f t="shared" si="13"/>
        <v>102144</v>
      </c>
      <c r="I164" s="41">
        <f t="shared" si="13"/>
        <v>0</v>
      </c>
      <c r="J164" s="41">
        <f t="shared" si="13"/>
        <v>0</v>
      </c>
      <c r="K164" s="13" t="s">
        <v>251</v>
      </c>
      <c r="L164" s="215" t="str">
        <f>E152</f>
        <v>D3Y</v>
      </c>
      <c r="M164" s="172"/>
      <c r="N164" s="172"/>
      <c r="O164" s="172"/>
      <c r="P164" s="172"/>
      <c r="Q164" s="173"/>
    </row>
    <row r="165" spans="1:17" ht="16.95" customHeight="1" x14ac:dyDescent="0.3">
      <c r="A165" s="41">
        <f t="shared" si="12"/>
        <v>3500</v>
      </c>
      <c r="C165" s="9">
        <f t="shared" si="13"/>
        <v>0</v>
      </c>
      <c r="D165" s="9">
        <f t="shared" si="13"/>
        <v>0</v>
      </c>
      <c r="E165" s="9">
        <f t="shared" si="13"/>
        <v>-32256.000000000007</v>
      </c>
      <c r="F165" s="9">
        <f t="shared" si="13"/>
        <v>24192</v>
      </c>
      <c r="G165" s="41">
        <f t="shared" si="13"/>
        <v>-63000</v>
      </c>
      <c r="H165" s="41">
        <f t="shared" si="13"/>
        <v>0</v>
      </c>
      <c r="I165" s="41">
        <f t="shared" si="13"/>
        <v>95256</v>
      </c>
      <c r="J165" s="41">
        <f t="shared" si="13"/>
        <v>-24192</v>
      </c>
      <c r="K165" s="13" t="s">
        <v>251</v>
      </c>
      <c r="L165" s="215" t="str">
        <f>E153</f>
        <v>D4X</v>
      </c>
      <c r="M165" s="172"/>
      <c r="N165" s="172"/>
      <c r="O165" s="172"/>
      <c r="P165" s="172"/>
      <c r="Q165" s="173"/>
    </row>
    <row r="166" spans="1:17" ht="16.95" customHeight="1" x14ac:dyDescent="0.3">
      <c r="A166" s="41">
        <f t="shared" si="12"/>
        <v>0</v>
      </c>
      <c r="C166" s="9">
        <f t="shared" si="13"/>
        <v>0</v>
      </c>
      <c r="D166" s="9">
        <f t="shared" si="13"/>
        <v>-84000</v>
      </c>
      <c r="E166" s="9">
        <f t="shared" si="13"/>
        <v>24192</v>
      </c>
      <c r="F166" s="9">
        <f t="shared" si="13"/>
        <v>-18144</v>
      </c>
      <c r="G166" s="41">
        <f t="shared" si="13"/>
        <v>0</v>
      </c>
      <c r="H166" s="41">
        <f t="shared" si="13"/>
        <v>0</v>
      </c>
      <c r="I166" s="41">
        <f t="shared" si="13"/>
        <v>-24192</v>
      </c>
      <c r="J166" s="41">
        <f t="shared" si="13"/>
        <v>102144</v>
      </c>
      <c r="K166" s="13" t="s">
        <v>251</v>
      </c>
      <c r="L166" s="215" t="str">
        <f>E154</f>
        <v>D4Y</v>
      </c>
      <c r="M166" s="172"/>
      <c r="N166" s="172"/>
      <c r="O166" s="172"/>
      <c r="P166" s="172"/>
      <c r="Q166" s="173"/>
    </row>
    <row r="169" spans="1:17" ht="19.95" customHeight="1" x14ac:dyDescent="0.35">
      <c r="A169" s="15" t="s">
        <v>257</v>
      </c>
      <c r="L169" s="216" t="s">
        <v>258</v>
      </c>
      <c r="M169" s="172"/>
      <c r="N169" s="172"/>
      <c r="O169" s="172"/>
      <c r="P169" s="172"/>
      <c r="Q169" s="173"/>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215" t="s">
        <v>383</v>
      </c>
      <c r="M170" s="172"/>
      <c r="N170" s="172"/>
      <c r="O170" s="172"/>
      <c r="P170" s="172"/>
      <c r="Q170" s="173"/>
    </row>
    <row r="171" spans="1:17" ht="16.95" customHeight="1" x14ac:dyDescent="0.3">
      <c r="A171" s="41">
        <f>INDEX(E$137:E$144, MATCH(I171, C$137:C$144, 0))</f>
        <v>3500</v>
      </c>
      <c r="C171" s="41">
        <f t="shared" ref="C171:F174" si="14">INDEX($B$126:$I$133, MATCH($I171, $J$126:$J$133, 0), MATCH(C$170, $B$125:$I$125, 0))</f>
        <v>95256</v>
      </c>
      <c r="D171" s="41">
        <f t="shared" si="14"/>
        <v>24192</v>
      </c>
      <c r="E171" s="41">
        <f t="shared" si="14"/>
        <v>-63000</v>
      </c>
      <c r="F171" s="41">
        <f t="shared" si="14"/>
        <v>0</v>
      </c>
      <c r="G171" s="13" t="s">
        <v>251</v>
      </c>
      <c r="H171" s="38" t="str">
        <f>INDEX(B$147:B$154, MATCH(1, F$147:F$154, 0))</f>
        <v>D3X</v>
      </c>
      <c r="I171" s="14" t="str">
        <f>INDEX(C$147:C$154, MATCH(1, F$147:F$154, 0))</f>
        <v>U3X</v>
      </c>
      <c r="L171" s="215" t="s">
        <v>384</v>
      </c>
      <c r="M171" s="172"/>
      <c r="N171" s="172"/>
      <c r="O171" s="172"/>
      <c r="P171" s="172"/>
      <c r="Q171" s="173"/>
    </row>
    <row r="172" spans="1:17" ht="16.95" customHeight="1" x14ac:dyDescent="0.3">
      <c r="A172" s="41">
        <f>INDEX(E$137:E$144, MATCH(I172, C$137:C$144, 0))</f>
        <v>-5000</v>
      </c>
      <c r="C172" s="41">
        <f t="shared" si="14"/>
        <v>24192</v>
      </c>
      <c r="D172" s="41">
        <f t="shared" si="14"/>
        <v>102144</v>
      </c>
      <c r="E172" s="41">
        <f t="shared" si="14"/>
        <v>0</v>
      </c>
      <c r="F172" s="41">
        <f t="shared" si="14"/>
        <v>0</v>
      </c>
      <c r="G172" s="13" t="s">
        <v>251</v>
      </c>
      <c r="H172" s="38" t="str">
        <f>INDEX(B$147:B$154, MATCH(2, F$147:F$154, 0))</f>
        <v>D3Y</v>
      </c>
      <c r="I172" s="14" t="str">
        <f>INDEX(C$147:C$154, MATCH(2, F$147:F$154, 0))</f>
        <v>U3Y</v>
      </c>
      <c r="L172" s="215" t="s">
        <v>385</v>
      </c>
      <c r="M172" s="172"/>
      <c r="N172" s="172"/>
      <c r="O172" s="172"/>
      <c r="P172" s="172"/>
      <c r="Q172" s="173"/>
    </row>
    <row r="173" spans="1:17" ht="16.95" customHeight="1" x14ac:dyDescent="0.3">
      <c r="A173" s="41">
        <f>INDEX(E$137:E$144, MATCH(I173, C$137:C$144, 0))</f>
        <v>3500</v>
      </c>
      <c r="B173" s="13" t="s">
        <v>220</v>
      </c>
      <c r="C173" s="41">
        <f t="shared" si="14"/>
        <v>-63000</v>
      </c>
      <c r="D173" s="41">
        <f t="shared" si="14"/>
        <v>0</v>
      </c>
      <c r="E173" s="41">
        <f t="shared" si="14"/>
        <v>95256</v>
      </c>
      <c r="F173" s="41">
        <f t="shared" si="14"/>
        <v>-24192</v>
      </c>
      <c r="G173" s="13" t="s">
        <v>251</v>
      </c>
      <c r="H173" s="38" t="str">
        <f>INDEX(B$147:B$154, MATCH(3, F$147:F$154, 0))</f>
        <v>D4X</v>
      </c>
      <c r="I173" s="14" t="str">
        <f>INDEX(C$147:C$154, MATCH(3, F$147:F$154, 0))</f>
        <v>U4X</v>
      </c>
      <c r="L173" s="215" t="s">
        <v>386</v>
      </c>
      <c r="M173" s="172"/>
      <c r="N173" s="172"/>
      <c r="O173" s="172"/>
      <c r="P173" s="172"/>
      <c r="Q173" s="173"/>
    </row>
    <row r="174" spans="1:17" ht="16.95" customHeight="1" x14ac:dyDescent="0.3">
      <c r="A174" s="41">
        <f>INDEX(E$137:E$144, MATCH(I174, C$137:C$144, 0))</f>
        <v>0</v>
      </c>
      <c r="C174" s="41">
        <f t="shared" si="14"/>
        <v>0</v>
      </c>
      <c r="D174" s="41">
        <f t="shared" si="14"/>
        <v>0</v>
      </c>
      <c r="E174" s="41">
        <f t="shared" si="14"/>
        <v>-24192</v>
      </c>
      <c r="F174" s="41">
        <f t="shared" si="14"/>
        <v>102144</v>
      </c>
      <c r="G174" s="13" t="s">
        <v>251</v>
      </c>
      <c r="H174" s="38" t="str">
        <f>INDEX(B$147:B$154, MATCH(4, F$147:F$154, 0))</f>
        <v>D4Y</v>
      </c>
      <c r="I174" s="14" t="str">
        <f>INDEX(C$147:C$154, MATCH(4, F$147:F$154, 0))</f>
        <v>U4Y</v>
      </c>
      <c r="L174" s="215" t="s">
        <v>387</v>
      </c>
      <c r="M174" s="172"/>
      <c r="N174" s="172"/>
      <c r="O174" s="172"/>
      <c r="P174" s="172"/>
      <c r="Q174" s="173"/>
    </row>
    <row r="175" spans="1:17" ht="16.95" customHeight="1" x14ac:dyDescent="0.3">
      <c r="L175" s="215" t="s">
        <v>388</v>
      </c>
      <c r="M175" s="172"/>
      <c r="N175" s="172"/>
      <c r="O175" s="172"/>
      <c r="P175" s="172"/>
      <c r="Q175" s="173"/>
    </row>
    <row r="176" spans="1:17" ht="16.95" customHeight="1" x14ac:dyDescent="0.3">
      <c r="C176" s="218" t="s">
        <v>263</v>
      </c>
      <c r="D176" s="172"/>
      <c r="E176" s="172"/>
      <c r="F176" s="173"/>
      <c r="L176" s="215"/>
      <c r="M176" s="172"/>
      <c r="N176" s="172"/>
      <c r="O176" s="172"/>
      <c r="P176" s="172"/>
      <c r="Q176" s="173"/>
    </row>
    <row r="177" spans="1:17" ht="16.95" customHeight="1" x14ac:dyDescent="0.3">
      <c r="A177" s="99" t="s">
        <v>249</v>
      </c>
      <c r="C177" s="193" t="s">
        <v>264</v>
      </c>
      <c r="D177" s="175"/>
      <c r="E177" s="175"/>
      <c r="F177" s="175"/>
      <c r="H177" s="99" t="s">
        <v>247</v>
      </c>
      <c r="L177" s="215"/>
      <c r="M177" s="172"/>
      <c r="N177" s="172"/>
      <c r="O177" s="172"/>
      <c r="P177" s="172"/>
      <c r="Q177" s="173"/>
    </row>
    <row r="178" spans="1:17" ht="16.95" customHeight="1" x14ac:dyDescent="0.3">
      <c r="A178" s="12" t="str">
        <f>H171</f>
        <v>D3X</v>
      </c>
      <c r="C178" s="93">
        <f t="array" ref="C178:F181">MINVERSE(C171:F174)</f>
        <v>2.2127329192546581E-5</v>
      </c>
      <c r="D178" s="93">
        <v>-5.2406832298136638E-6</v>
      </c>
      <c r="E178" s="93">
        <v>1.5571083505866112E-5</v>
      </c>
      <c r="F178" s="93">
        <v>3.6878881987577629E-6</v>
      </c>
      <c r="H178" s="17">
        <f>A171</f>
        <v>3500</v>
      </c>
      <c r="L178" s="215"/>
      <c r="M178" s="172"/>
      <c r="N178" s="172"/>
      <c r="O178" s="172"/>
      <c r="P178" s="172"/>
      <c r="Q178" s="173"/>
    </row>
    <row r="179" spans="1:17" ht="16.95" customHeight="1" x14ac:dyDescent="0.3">
      <c r="A179" s="12" t="str">
        <f>H172</f>
        <v>D3Y</v>
      </c>
      <c r="C179" s="93">
        <v>-5.2406832298136638E-6</v>
      </c>
      <c r="D179" s="93">
        <v>1.103131469979296E-5</v>
      </c>
      <c r="E179" s="93">
        <v>-3.6878881987577633E-6</v>
      </c>
      <c r="F179" s="93">
        <v>-8.7344720496894396E-7</v>
      </c>
      <c r="H179" s="17">
        <f>A172</f>
        <v>-5000</v>
      </c>
      <c r="L179" s="215"/>
      <c r="M179" s="172"/>
      <c r="N179" s="172"/>
      <c r="O179" s="172"/>
      <c r="P179" s="172"/>
      <c r="Q179" s="173"/>
    </row>
    <row r="180" spans="1:17" ht="16.95" customHeight="1" x14ac:dyDescent="0.3">
      <c r="A180" s="12" t="str">
        <f>H173</f>
        <v>D4X</v>
      </c>
      <c r="B180" s="13" t="s">
        <v>220</v>
      </c>
      <c r="C180" s="93">
        <v>1.5571083505866112E-5</v>
      </c>
      <c r="D180" s="93">
        <v>-3.6878881987577638E-6</v>
      </c>
      <c r="E180" s="93">
        <v>2.2127329192546581E-5</v>
      </c>
      <c r="F180" s="93">
        <v>5.2406832298136638E-6</v>
      </c>
      <c r="H180" s="17">
        <f>A173</f>
        <v>3500</v>
      </c>
      <c r="L180" s="215"/>
      <c r="M180" s="172"/>
      <c r="N180" s="172"/>
      <c r="O180" s="172"/>
      <c r="P180" s="172"/>
      <c r="Q180" s="173"/>
    </row>
    <row r="181" spans="1:17" ht="16.95" customHeight="1" x14ac:dyDescent="0.3">
      <c r="A181" s="12" t="str">
        <f>H174</f>
        <v>D4Y</v>
      </c>
      <c r="C181" s="93">
        <v>3.6878881987577638E-6</v>
      </c>
      <c r="D181" s="93">
        <v>-8.7344720496894386E-7</v>
      </c>
      <c r="E181" s="93">
        <v>5.2406832298136638E-6</v>
      </c>
      <c r="F181" s="93">
        <v>1.103131469979296E-5</v>
      </c>
      <c r="H181" s="17">
        <f>A174</f>
        <v>0</v>
      </c>
      <c r="L181" s="215"/>
      <c r="M181" s="172"/>
      <c r="N181" s="172"/>
      <c r="O181" s="172"/>
      <c r="P181" s="172"/>
      <c r="Q181" s="173"/>
    </row>
    <row r="182" spans="1:17" ht="16.95" customHeight="1" x14ac:dyDescent="0.3">
      <c r="L182" s="215"/>
      <c r="M182" s="172"/>
      <c r="N182" s="172"/>
      <c r="O182" s="172"/>
      <c r="P182" s="172"/>
      <c r="Q182" s="173"/>
    </row>
    <row r="183" spans="1:17" ht="16.95" customHeight="1" x14ac:dyDescent="0.3">
      <c r="C183" s="218" t="s">
        <v>265</v>
      </c>
      <c r="D183" s="173"/>
      <c r="L183" s="215"/>
      <c r="M183" s="172"/>
      <c r="N183" s="172"/>
      <c r="O183" s="172"/>
      <c r="P183" s="172"/>
      <c r="Q183" s="173"/>
    </row>
    <row r="184" spans="1:17" ht="16.95" customHeight="1" x14ac:dyDescent="0.3">
      <c r="A184" s="99" t="s">
        <v>249</v>
      </c>
      <c r="C184" s="99" t="s">
        <v>266</v>
      </c>
      <c r="L184" s="215"/>
      <c r="M184" s="172"/>
      <c r="N184" s="172"/>
      <c r="O184" s="172"/>
      <c r="P184" s="172"/>
      <c r="Q184" s="173"/>
    </row>
    <row r="185" spans="1:17" ht="16.95" customHeight="1" x14ac:dyDescent="0.3">
      <c r="A185" s="12" t="str">
        <f>A178</f>
        <v>D3X</v>
      </c>
      <c r="C185" s="94">
        <f t="array" ref="C185:C188">MMULT(C178:F181, H178:H181)</f>
        <v>0.15814786059351274</v>
      </c>
      <c r="D185" s="12" t="s">
        <v>267</v>
      </c>
      <c r="L185" s="215"/>
      <c r="M185" s="172"/>
      <c r="N185" s="172"/>
      <c r="O185" s="172"/>
      <c r="P185" s="172"/>
      <c r="Q185" s="173"/>
    </row>
    <row r="186" spans="1:17" ht="16.95" customHeight="1" x14ac:dyDescent="0.3">
      <c r="A186" s="12" t="str">
        <f>A179</f>
        <v>D3Y</v>
      </c>
      <c r="C186" s="94">
        <v>-8.64065734989648E-2</v>
      </c>
      <c r="D186" s="12" t="s">
        <v>267</v>
      </c>
      <c r="L186" s="215"/>
      <c r="M186" s="172"/>
      <c r="N186" s="172"/>
      <c r="O186" s="172"/>
      <c r="P186" s="172"/>
      <c r="Q186" s="173"/>
    </row>
    <row r="187" spans="1:17" ht="16.95" customHeight="1" x14ac:dyDescent="0.3">
      <c r="A187" s="12" t="str">
        <f>A180</f>
        <v>D4X</v>
      </c>
      <c r="B187" s="13" t="s">
        <v>220</v>
      </c>
      <c r="C187" s="94">
        <v>0.15038388543823322</v>
      </c>
      <c r="D187" s="12" t="s">
        <v>267</v>
      </c>
      <c r="L187" s="215"/>
      <c r="M187" s="172"/>
      <c r="N187" s="172"/>
      <c r="O187" s="172"/>
      <c r="P187" s="172"/>
      <c r="Q187" s="173"/>
    </row>
    <row r="188" spans="1:17" ht="16.95" customHeight="1" x14ac:dyDescent="0.3">
      <c r="A188" s="12" t="str">
        <f>A181</f>
        <v>D4Y</v>
      </c>
      <c r="C188" s="94">
        <v>3.561723602484472E-2</v>
      </c>
      <c r="D188" s="12" t="s">
        <v>267</v>
      </c>
      <c r="L188" s="215"/>
      <c r="M188" s="172"/>
      <c r="N188" s="172"/>
      <c r="O188" s="172"/>
      <c r="P188" s="172"/>
      <c r="Q188" s="173"/>
    </row>
    <row r="191" spans="1:17" ht="19.95" customHeight="1" x14ac:dyDescent="0.35">
      <c r="A191" s="11" t="s">
        <v>268</v>
      </c>
      <c r="L191" s="216" t="s">
        <v>269</v>
      </c>
      <c r="M191" s="172"/>
      <c r="N191" s="172"/>
      <c r="O191" s="172"/>
      <c r="P191" s="172"/>
      <c r="Q191" s="173"/>
    </row>
    <row r="192" spans="1:17" ht="16.95" customHeight="1" x14ac:dyDescent="0.3">
      <c r="A192" s="99" t="s">
        <v>247</v>
      </c>
      <c r="H192" s="99" t="s">
        <v>249</v>
      </c>
      <c r="L192" s="215" t="s">
        <v>389</v>
      </c>
      <c r="M192" s="172"/>
      <c r="N192" s="172"/>
      <c r="O192" s="172"/>
      <c r="P192" s="172"/>
      <c r="Q192" s="173"/>
    </row>
    <row r="193" spans="1:17" ht="16.95" customHeight="1" x14ac:dyDescent="0.3">
      <c r="A193" s="18" t="str">
        <f>INDEX(B$137:B$144, MATCH(I193, C$137:C$144, 0))</f>
        <v>C1X</v>
      </c>
      <c r="C193" s="9">
        <f t="shared" ref="C193:F196" si="15">INDEX($B$126:$I$133, MATCH($I193, $J$126:$J$133, 0), MATCH(C$170, $B$125:$I$125, 0))</f>
        <v>-32256.000000000007</v>
      </c>
      <c r="D193" s="9">
        <f t="shared" si="15"/>
        <v>-24192</v>
      </c>
      <c r="E193" s="9">
        <f t="shared" si="15"/>
        <v>0</v>
      </c>
      <c r="F193" s="9">
        <f t="shared" si="15"/>
        <v>0</v>
      </c>
      <c r="H193" s="95">
        <f>C185</f>
        <v>0.15814786059351274</v>
      </c>
      <c r="I193" s="14" t="str">
        <f>INDEX(C$147:C$154, MATCH(1, G$147:G$154, 0))</f>
        <v>U1X</v>
      </c>
      <c r="L193" s="215" t="s">
        <v>390</v>
      </c>
      <c r="M193" s="172"/>
      <c r="N193" s="172"/>
      <c r="O193" s="172"/>
      <c r="P193" s="172"/>
      <c r="Q193" s="173"/>
    </row>
    <row r="194" spans="1:17" ht="16.95" customHeight="1" x14ac:dyDescent="0.3">
      <c r="A194" s="18" t="str">
        <f>INDEX(B$137:B$144, MATCH(I194, C$137:C$144, 0))</f>
        <v>C1Y</v>
      </c>
      <c r="C194" s="9">
        <f t="shared" si="15"/>
        <v>-24192</v>
      </c>
      <c r="D194" s="9">
        <f t="shared" si="15"/>
        <v>-18144</v>
      </c>
      <c r="E194" s="9">
        <f t="shared" si="15"/>
        <v>0</v>
      </c>
      <c r="F194" s="9">
        <f t="shared" si="15"/>
        <v>-84000</v>
      </c>
      <c r="H194" s="95">
        <f>C186</f>
        <v>-8.64065734989648E-2</v>
      </c>
      <c r="I194" s="14" t="str">
        <f>INDEX(C$147:C$154, MATCH(2, G$147:G$154, 0))</f>
        <v>U1Y</v>
      </c>
      <c r="L194" s="215" t="s">
        <v>391</v>
      </c>
      <c r="M194" s="172"/>
      <c r="N194" s="172"/>
      <c r="O194" s="172"/>
      <c r="P194" s="172"/>
      <c r="Q194" s="173"/>
    </row>
    <row r="195" spans="1:17" ht="16.95" customHeight="1" x14ac:dyDescent="0.3">
      <c r="A195" s="18" t="str">
        <f>INDEX(B$137:B$144, MATCH(I195, C$137:C$144, 0))</f>
        <v>C2X</v>
      </c>
      <c r="B195" s="13" t="s">
        <v>220</v>
      </c>
      <c r="C195" s="9">
        <f t="shared" si="15"/>
        <v>0</v>
      </c>
      <c r="D195" s="9">
        <f t="shared" si="15"/>
        <v>0</v>
      </c>
      <c r="E195" s="9">
        <f t="shared" si="15"/>
        <v>-32256.000000000007</v>
      </c>
      <c r="F195" s="9">
        <f t="shared" si="15"/>
        <v>24192</v>
      </c>
      <c r="H195" s="95">
        <f>C187</f>
        <v>0.15038388543823322</v>
      </c>
      <c r="I195" s="14" t="str">
        <f>INDEX(C$147:C$154, MATCH(3, G$147:G$154, 0))</f>
        <v>U2X</v>
      </c>
      <c r="L195" s="215" t="s">
        <v>392</v>
      </c>
      <c r="M195" s="172"/>
      <c r="N195" s="172"/>
      <c r="O195" s="172"/>
      <c r="P195" s="172"/>
      <c r="Q195" s="173"/>
    </row>
    <row r="196" spans="1:17" ht="16.95" customHeight="1" x14ac:dyDescent="0.3">
      <c r="A196" s="18" t="str">
        <f>INDEX(B$137:B$144, MATCH(I196, C$137:C$144, 0))</f>
        <v>C2Y</v>
      </c>
      <c r="C196" s="9">
        <f t="shared" si="15"/>
        <v>0</v>
      </c>
      <c r="D196" s="9">
        <f t="shared" si="15"/>
        <v>-84000</v>
      </c>
      <c r="E196" s="9">
        <f t="shared" si="15"/>
        <v>24192</v>
      </c>
      <c r="F196" s="9">
        <f t="shared" si="15"/>
        <v>-18144</v>
      </c>
      <c r="H196" s="95">
        <f>C188</f>
        <v>3.561723602484472E-2</v>
      </c>
      <c r="I196" s="14" t="str">
        <f>INDEX(C$147:C$154, MATCH(4, G$147:G$154, 0))</f>
        <v>U2Y</v>
      </c>
      <c r="L196" s="215" t="s">
        <v>393</v>
      </c>
      <c r="M196" s="172"/>
      <c r="N196" s="172"/>
      <c r="O196" s="172"/>
      <c r="P196" s="172"/>
      <c r="Q196" s="173"/>
    </row>
    <row r="197" spans="1:17" ht="16.95" customHeight="1" x14ac:dyDescent="0.3">
      <c r="L197" s="215" t="s">
        <v>394</v>
      </c>
      <c r="M197" s="172"/>
      <c r="N197" s="172"/>
      <c r="O197" s="172"/>
      <c r="P197" s="172"/>
      <c r="Q197" s="173"/>
    </row>
    <row r="198" spans="1:17" ht="16.95" customHeight="1" x14ac:dyDescent="0.3">
      <c r="A198" s="12" t="str">
        <f>A193</f>
        <v>C1X</v>
      </c>
      <c r="C198" s="17">
        <f t="array" ref="C198:C201">MMULT(C193:F196, H193:H196)</f>
        <v>-3010.8695652173915</v>
      </c>
      <c r="D198" s="12" t="s">
        <v>273</v>
      </c>
      <c r="L198" s="215"/>
      <c r="M198" s="172"/>
      <c r="N198" s="172"/>
      <c r="O198" s="172"/>
      <c r="P198" s="172"/>
      <c r="Q198" s="173"/>
    </row>
    <row r="199" spans="1:17" ht="16.95" customHeight="1" x14ac:dyDescent="0.3">
      <c r="A199" s="12" t="str">
        <f>A194</f>
        <v>C1Y</v>
      </c>
      <c r="C199" s="17">
        <v>-5250</v>
      </c>
      <c r="D199" s="12" t="s">
        <v>273</v>
      </c>
      <c r="L199" s="215"/>
      <c r="M199" s="172"/>
      <c r="N199" s="172"/>
      <c r="O199" s="172"/>
      <c r="P199" s="172"/>
      <c r="Q199" s="173"/>
    </row>
    <row r="200" spans="1:17" ht="16.95" customHeight="1" x14ac:dyDescent="0.3">
      <c r="A200" s="12" t="str">
        <f>A195</f>
        <v>C2X</v>
      </c>
      <c r="B200" s="13" t="s">
        <v>220</v>
      </c>
      <c r="C200" s="17">
        <v>-3989.1304347826085</v>
      </c>
      <c r="D200" s="12" t="s">
        <v>273</v>
      </c>
      <c r="L200" s="215"/>
      <c r="M200" s="172"/>
      <c r="N200" s="172"/>
      <c r="O200" s="172"/>
      <c r="P200" s="172"/>
      <c r="Q200" s="173"/>
    </row>
    <row r="201" spans="1:17" ht="16.95" customHeight="1" x14ac:dyDescent="0.3">
      <c r="A201" s="12" t="str">
        <f>A196</f>
        <v>C2Y</v>
      </c>
      <c r="C201" s="17">
        <v>10249.999999999998</v>
      </c>
      <c r="D201" s="12" t="s">
        <v>273</v>
      </c>
      <c r="L201" s="215"/>
      <c r="M201" s="172"/>
      <c r="N201" s="172"/>
      <c r="O201" s="172"/>
      <c r="P201" s="172"/>
      <c r="Q201" s="173"/>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0.15814786059351274</v>
      </c>
    </row>
    <row r="211" spans="1:17" ht="19.05" customHeight="1" x14ac:dyDescent="0.3">
      <c r="A211" s="12" t="s">
        <v>234</v>
      </c>
      <c r="B211" s="12" t="s">
        <v>183</v>
      </c>
      <c r="D211" s="94">
        <f t="shared" si="16"/>
        <v>-8.64065734989648E-2</v>
      </c>
    </row>
    <row r="212" spans="1:17" ht="19.05" customHeight="1" x14ac:dyDescent="0.3">
      <c r="A212" s="12" t="s">
        <v>235</v>
      </c>
      <c r="B212" s="12" t="s">
        <v>184</v>
      </c>
      <c r="D212" s="94">
        <f t="shared" si="16"/>
        <v>0.15038388543823322</v>
      </c>
    </row>
    <row r="213" spans="1:17" ht="19.05" customHeight="1" x14ac:dyDescent="0.3">
      <c r="A213" s="12" t="s">
        <v>236</v>
      </c>
      <c r="B213" s="12" t="s">
        <v>185</v>
      </c>
      <c r="D213" s="94">
        <f t="shared" si="16"/>
        <v>3.561723602484472E-2</v>
      </c>
    </row>
    <row r="216" spans="1:17" ht="19.95" customHeight="1" x14ac:dyDescent="0.35">
      <c r="A216" s="11" t="s">
        <v>275</v>
      </c>
      <c r="L216" s="216" t="s">
        <v>276</v>
      </c>
      <c r="M216" s="172"/>
      <c r="N216" s="172"/>
      <c r="O216" s="172"/>
      <c r="P216" s="172"/>
      <c r="Q216" s="173"/>
    </row>
    <row r="217" spans="1:17" ht="16.95" customHeight="1" x14ac:dyDescent="0.3">
      <c r="L217" s="215" t="s">
        <v>395</v>
      </c>
      <c r="M217" s="172"/>
      <c r="N217" s="172"/>
      <c r="O217" s="172"/>
      <c r="P217" s="172"/>
      <c r="Q217" s="173"/>
    </row>
    <row r="218" spans="1:17" ht="16.95" customHeight="1" x14ac:dyDescent="0.3">
      <c r="A218" s="19" t="s">
        <v>278</v>
      </c>
      <c r="C218" s="19" t="s">
        <v>279</v>
      </c>
      <c r="D218" s="19" t="s">
        <v>280</v>
      </c>
      <c r="E218" s="19" t="s">
        <v>279</v>
      </c>
      <c r="F218" s="19" t="s">
        <v>280</v>
      </c>
      <c r="G218" s="19" t="s">
        <v>249</v>
      </c>
      <c r="L218" s="215" t="s">
        <v>396</v>
      </c>
      <c r="M218" s="172"/>
      <c r="N218" s="172"/>
      <c r="O218" s="172"/>
      <c r="P218" s="172"/>
      <c r="Q218" s="173"/>
    </row>
    <row r="219" spans="1:17" ht="16.95" customHeight="1" x14ac:dyDescent="0.3">
      <c r="C219" s="19" t="s">
        <v>282</v>
      </c>
      <c r="D219" s="19" t="s">
        <v>282</v>
      </c>
      <c r="E219" s="19" t="s">
        <v>283</v>
      </c>
      <c r="F219" s="19" t="s">
        <v>283</v>
      </c>
      <c r="L219" s="215" t="s">
        <v>397</v>
      </c>
      <c r="M219" s="172"/>
      <c r="N219" s="172"/>
      <c r="O219" s="172"/>
      <c r="P219" s="172"/>
      <c r="Q219" s="173"/>
    </row>
    <row r="220" spans="1:17" ht="16.95" customHeight="1" x14ac:dyDescent="0.3">
      <c r="A220" s="17">
        <f>N6</f>
        <v>63000</v>
      </c>
      <c r="C220" s="92">
        <f>-J6</f>
        <v>-1</v>
      </c>
      <c r="D220" s="92">
        <f>-K6</f>
        <v>0</v>
      </c>
      <c r="E220" s="92">
        <f>J6</f>
        <v>1</v>
      </c>
      <c r="F220" s="92">
        <f>K6</f>
        <v>0</v>
      </c>
      <c r="G220" s="96">
        <f>IFERROR(VLOOKUP(H220, A$206:D$213, 4, FALSE), 0)</f>
        <v>0</v>
      </c>
      <c r="H220" s="12" t="str">
        <f>"D" &amp; C15 &amp; "X"</f>
        <v>D1X</v>
      </c>
      <c r="L220" s="215" t="s">
        <v>398</v>
      </c>
      <c r="M220" s="172"/>
      <c r="N220" s="172"/>
      <c r="O220" s="172"/>
      <c r="P220" s="172"/>
      <c r="Q220" s="173"/>
    </row>
    <row r="221" spans="1:17" ht="16.95" customHeight="1" x14ac:dyDescent="0.3">
      <c r="A221" s="99" t="s">
        <v>285</v>
      </c>
      <c r="B221" s="97">
        <f>(MMULT(C220:F220, G220:G223)*A220)</f>
        <v>0</v>
      </c>
      <c r="G221" s="96">
        <f>IFERROR(VLOOKUP(H221, A$206:D$213, 4, FALSE), 0)</f>
        <v>0</v>
      </c>
      <c r="H221" s="12" t="str">
        <f>"D" &amp; D15 &amp; "Y"</f>
        <v>D1Y</v>
      </c>
      <c r="L221" s="215" t="s">
        <v>399</v>
      </c>
      <c r="M221" s="172"/>
      <c r="N221" s="172"/>
      <c r="O221" s="172"/>
      <c r="P221" s="172"/>
      <c r="Q221" s="173"/>
    </row>
    <row r="222" spans="1:17" ht="16.95" customHeight="1" x14ac:dyDescent="0.3">
      <c r="G222" s="96">
        <f>IFERROR(VLOOKUP(H222, A$206:D$213, 4, FALSE), 0)</f>
        <v>0</v>
      </c>
      <c r="H222" s="12" t="str">
        <f>"D" &amp; E15 &amp; "X"</f>
        <v>D2X</v>
      </c>
      <c r="L222" s="215" t="s">
        <v>400</v>
      </c>
      <c r="M222" s="172"/>
      <c r="N222" s="172"/>
      <c r="O222" s="172"/>
      <c r="P222" s="172"/>
      <c r="Q222" s="173"/>
    </row>
    <row r="223" spans="1:17" ht="16.95" customHeight="1" x14ac:dyDescent="0.3">
      <c r="G223" s="96">
        <f>IFERROR(VLOOKUP(H223, A$206:D$213, 4, FALSE), 0)</f>
        <v>0</v>
      </c>
      <c r="H223" s="12" t="str">
        <f>"D" &amp; F15 &amp; "Y"</f>
        <v>D2Y</v>
      </c>
      <c r="L223" s="215" t="s">
        <v>401</v>
      </c>
      <c r="M223" s="172"/>
      <c r="N223" s="172"/>
      <c r="O223" s="172"/>
      <c r="P223" s="172"/>
      <c r="Q223" s="173"/>
    </row>
    <row r="224" spans="1:17" ht="16.95" customHeight="1" x14ac:dyDescent="0.3">
      <c r="B224" s="99" t="s">
        <v>273</v>
      </c>
      <c r="C224" s="178" t="str">
        <f>IF(B221&gt;0.001,"BARRA A TRACCIÓN (+)",IF(B221&lt;-0.001,"BARRA A COMPRESIÓN (-)","BARRA DE FUERZA NULA"))</f>
        <v>BARRA DE FUERZA NULA</v>
      </c>
      <c r="D224" s="172"/>
      <c r="E224" s="172"/>
      <c r="F224" s="173"/>
      <c r="L224" s="215" t="s">
        <v>402</v>
      </c>
      <c r="M224" s="172"/>
      <c r="N224" s="172"/>
      <c r="O224" s="172"/>
      <c r="P224" s="172"/>
      <c r="Q224" s="173"/>
    </row>
    <row r="225" spans="1:17" ht="16.95" customHeight="1" x14ac:dyDescent="0.3">
      <c r="L225" s="215" t="s">
        <v>403</v>
      </c>
      <c r="M225" s="172"/>
      <c r="N225" s="172"/>
      <c r="O225" s="172"/>
      <c r="P225" s="172"/>
      <c r="Q225" s="173"/>
    </row>
    <row r="226" spans="1:17" ht="16.95" customHeight="1" x14ac:dyDescent="0.3">
      <c r="A226" s="19" t="s">
        <v>278</v>
      </c>
      <c r="C226" s="19" t="s">
        <v>279</v>
      </c>
      <c r="D226" s="19" t="s">
        <v>280</v>
      </c>
      <c r="E226" s="19" t="s">
        <v>279</v>
      </c>
      <c r="F226" s="19" t="s">
        <v>280</v>
      </c>
      <c r="G226" s="19" t="s">
        <v>249</v>
      </c>
      <c r="L226" s="215"/>
      <c r="M226" s="172"/>
      <c r="N226" s="172"/>
      <c r="O226" s="172"/>
      <c r="P226" s="172"/>
      <c r="Q226" s="173"/>
    </row>
    <row r="227" spans="1:17" ht="16.95" customHeight="1" x14ac:dyDescent="0.3">
      <c r="C227" s="19" t="s">
        <v>282</v>
      </c>
      <c r="D227" s="19" t="s">
        <v>282</v>
      </c>
      <c r="E227" s="19" t="s">
        <v>283</v>
      </c>
      <c r="F227" s="19" t="s">
        <v>283</v>
      </c>
      <c r="L227" s="215"/>
      <c r="M227" s="172"/>
      <c r="N227" s="172"/>
      <c r="O227" s="172"/>
      <c r="P227" s="172"/>
      <c r="Q227" s="173"/>
    </row>
    <row r="228" spans="1:17" ht="16.95" customHeight="1" x14ac:dyDescent="0.3">
      <c r="A228" s="17">
        <f>N7</f>
        <v>84000</v>
      </c>
      <c r="C228" s="92">
        <f>-J7</f>
        <v>0</v>
      </c>
      <c r="D228" s="92">
        <f>-K7</f>
        <v>-1</v>
      </c>
      <c r="E228" s="92">
        <f>J7</f>
        <v>0</v>
      </c>
      <c r="F228" s="92">
        <f>K7</f>
        <v>1</v>
      </c>
      <c r="G228" s="96">
        <f>IFERROR(VLOOKUP(H228, A$206:D$213, 4, FALSE), 0)</f>
        <v>0</v>
      </c>
      <c r="H228" s="12" t="str">
        <f>"D" &amp; C16 &amp; "X"</f>
        <v>D2X</v>
      </c>
      <c r="L228" s="215"/>
      <c r="M228" s="172"/>
      <c r="N228" s="172"/>
      <c r="O228" s="172"/>
      <c r="P228" s="172"/>
      <c r="Q228" s="173"/>
    </row>
    <row r="229" spans="1:17" ht="16.95" customHeight="1" x14ac:dyDescent="0.3">
      <c r="A229" s="99" t="s">
        <v>286</v>
      </c>
      <c r="B229" s="97">
        <f>(MMULT(C228:F228, G228:G231)*A228)</f>
        <v>-7258.152173913043</v>
      </c>
      <c r="G229" s="96">
        <f>IFERROR(VLOOKUP(H229, A$206:D$213, 4, FALSE), 0)</f>
        <v>0</v>
      </c>
      <c r="H229" s="12" t="str">
        <f>"D" &amp; D16 &amp; "Y"</f>
        <v>D2Y</v>
      </c>
      <c r="L229" s="215"/>
      <c r="M229" s="172"/>
      <c r="N229" s="172"/>
      <c r="O229" s="172"/>
      <c r="P229" s="172"/>
      <c r="Q229" s="173"/>
    </row>
    <row r="230" spans="1:17" ht="16.95" customHeight="1" x14ac:dyDescent="0.3">
      <c r="G230" s="96">
        <f>IFERROR(VLOOKUP(H230, A$206:D$213, 4, FALSE), 0)</f>
        <v>0.15814786059351274</v>
      </c>
      <c r="H230" s="12" t="str">
        <f>"D" &amp; E16 &amp; "X"</f>
        <v>D3X</v>
      </c>
      <c r="L230" s="215"/>
      <c r="M230" s="172"/>
      <c r="N230" s="172"/>
      <c r="O230" s="172"/>
      <c r="P230" s="172"/>
      <c r="Q230" s="173"/>
    </row>
    <row r="231" spans="1:17" ht="16.95" customHeight="1" x14ac:dyDescent="0.3">
      <c r="G231" s="96">
        <f>IFERROR(VLOOKUP(H231, A$206:D$213, 4, FALSE), 0)</f>
        <v>-8.64065734989648E-2</v>
      </c>
      <c r="H231" s="12" t="str">
        <f>"D" &amp; F16 &amp; "Y"</f>
        <v>D3Y</v>
      </c>
      <c r="L231" s="215"/>
      <c r="M231" s="172"/>
      <c r="N231" s="172"/>
      <c r="O231" s="172"/>
      <c r="P231" s="172"/>
      <c r="Q231" s="173"/>
    </row>
    <row r="232" spans="1:17" ht="16.95" customHeight="1" x14ac:dyDescent="0.3">
      <c r="B232" s="99" t="s">
        <v>273</v>
      </c>
      <c r="C232" s="178" t="str">
        <f>IF(B229&gt;0.001,"BARRA A TRACCIÓN (+)",IF(B229&lt;-0.001,"BARRA A COMPRESIÓN (-)","BARRA DE FUERZA NULA"))</f>
        <v>BARRA A COMPRESIÓN (-)</v>
      </c>
      <c r="D232" s="172"/>
      <c r="E232" s="172"/>
      <c r="F232" s="173"/>
      <c r="L232" s="215"/>
      <c r="M232" s="172"/>
      <c r="N232" s="172"/>
      <c r="O232" s="172"/>
      <c r="P232" s="172"/>
      <c r="Q232" s="173"/>
    </row>
    <row r="233" spans="1:17" ht="16.95" customHeight="1" x14ac:dyDescent="0.3">
      <c r="L233" s="215"/>
      <c r="M233" s="172"/>
      <c r="N233" s="172"/>
      <c r="O233" s="172"/>
      <c r="P233" s="172"/>
      <c r="Q233" s="173"/>
    </row>
    <row r="234" spans="1:17" ht="16.95" customHeight="1" x14ac:dyDescent="0.3">
      <c r="A234" s="19" t="s">
        <v>278</v>
      </c>
      <c r="C234" s="19" t="s">
        <v>279</v>
      </c>
      <c r="D234" s="19" t="s">
        <v>280</v>
      </c>
      <c r="E234" s="19" t="s">
        <v>279</v>
      </c>
      <c r="F234" s="19" t="s">
        <v>280</v>
      </c>
      <c r="G234" s="19" t="s">
        <v>249</v>
      </c>
      <c r="L234" s="215"/>
      <c r="M234" s="172"/>
      <c r="N234" s="172"/>
      <c r="O234" s="172"/>
      <c r="P234" s="172"/>
      <c r="Q234" s="173"/>
    </row>
    <row r="235" spans="1:17" ht="16.95" customHeight="1" x14ac:dyDescent="0.3">
      <c r="C235" s="19" t="s">
        <v>282</v>
      </c>
      <c r="D235" s="19" t="s">
        <v>282</v>
      </c>
      <c r="E235" s="19" t="s">
        <v>283</v>
      </c>
      <c r="F235" s="19" t="s">
        <v>283</v>
      </c>
      <c r="L235" s="215"/>
      <c r="M235" s="172"/>
      <c r="N235" s="172"/>
      <c r="O235" s="172"/>
      <c r="P235" s="172"/>
      <c r="Q235" s="173"/>
    </row>
    <row r="236" spans="1:17" ht="16.95" customHeight="1" x14ac:dyDescent="0.3">
      <c r="A236" s="17">
        <f>N8</f>
        <v>63000</v>
      </c>
      <c r="C236" s="92">
        <f>-J8</f>
        <v>1</v>
      </c>
      <c r="D236" s="92">
        <f>-K8</f>
        <v>0</v>
      </c>
      <c r="E236" s="92">
        <f>J8</f>
        <v>-1</v>
      </c>
      <c r="F236" s="92">
        <f>K8</f>
        <v>0</v>
      </c>
      <c r="G236" s="96">
        <f>IFERROR(VLOOKUP(H236, A$206:D$213, 4, FALSE), 0)</f>
        <v>0.15814786059351274</v>
      </c>
      <c r="H236" s="12" t="str">
        <f>"D" &amp; C17 &amp; "X"</f>
        <v>D3X</v>
      </c>
      <c r="L236" s="215"/>
      <c r="M236" s="172"/>
      <c r="N236" s="172"/>
      <c r="O236" s="172"/>
      <c r="P236" s="172"/>
      <c r="Q236" s="173"/>
    </row>
    <row r="237" spans="1:17" ht="16.95" customHeight="1" x14ac:dyDescent="0.3">
      <c r="A237" s="99" t="s">
        <v>287</v>
      </c>
      <c r="B237" s="97">
        <f>(MMULT(C236:F236, G236:G239)*A236)</f>
        <v>489.1304347826096</v>
      </c>
      <c r="G237" s="96">
        <f>IFERROR(VLOOKUP(H237, A$206:D$213, 4, FALSE), 0)</f>
        <v>-8.64065734989648E-2</v>
      </c>
      <c r="H237" s="12" t="str">
        <f>"D" &amp; D17 &amp; "Y"</f>
        <v>D3Y</v>
      </c>
      <c r="L237" s="215"/>
      <c r="M237" s="172"/>
      <c r="N237" s="172"/>
      <c r="O237" s="172"/>
      <c r="P237" s="172"/>
      <c r="Q237" s="173"/>
    </row>
    <row r="238" spans="1:17" ht="16.95" customHeight="1" x14ac:dyDescent="0.3">
      <c r="G238" s="96">
        <f>IFERROR(VLOOKUP(H238, A$206:D$213, 4, FALSE), 0)</f>
        <v>0.15038388543823322</v>
      </c>
      <c r="H238" s="12" t="str">
        <f>"D" &amp; E17 &amp; "X"</f>
        <v>D4X</v>
      </c>
      <c r="L238" s="215"/>
      <c r="M238" s="172"/>
      <c r="N238" s="172"/>
      <c r="O238" s="172"/>
      <c r="P238" s="172"/>
      <c r="Q238" s="173"/>
    </row>
    <row r="239" spans="1:17" ht="16.95" customHeight="1" x14ac:dyDescent="0.3">
      <c r="G239" s="96">
        <f>IFERROR(VLOOKUP(H239, A$206:D$213, 4, FALSE), 0)</f>
        <v>3.561723602484472E-2</v>
      </c>
      <c r="H239" s="12" t="str">
        <f>"D" &amp; F17 &amp; "Y"</f>
        <v>D4Y</v>
      </c>
      <c r="L239" s="215"/>
      <c r="M239" s="172"/>
      <c r="N239" s="172"/>
      <c r="O239" s="172"/>
      <c r="P239" s="172"/>
      <c r="Q239" s="173"/>
    </row>
    <row r="240" spans="1:17" ht="16.95" customHeight="1" x14ac:dyDescent="0.3">
      <c r="B240" s="99" t="s">
        <v>273</v>
      </c>
      <c r="C240" s="178" t="str">
        <f>IF(B237&gt;0.001,"BARRA A TRACCIÓN (+)",IF(B237&lt;-0.001,"BARRA A COMPRESIÓN (-)","BARRA DE FUERZA NULA"))</f>
        <v>BARRA A TRACCIÓN (+)</v>
      </c>
      <c r="D240" s="172"/>
      <c r="E240" s="172"/>
      <c r="F240" s="173"/>
      <c r="L240" s="215"/>
      <c r="M240" s="172"/>
      <c r="N240" s="172"/>
      <c r="O240" s="172"/>
      <c r="P240" s="172"/>
      <c r="Q240" s="173"/>
    </row>
    <row r="241" spans="1:17" ht="16.95" customHeight="1" x14ac:dyDescent="0.3">
      <c r="L241" s="215"/>
      <c r="M241" s="172"/>
      <c r="N241" s="172"/>
      <c r="O241" s="172"/>
      <c r="P241" s="172"/>
      <c r="Q241" s="173"/>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84000</v>
      </c>
      <c r="C244" s="92">
        <f>-J9</f>
        <v>0</v>
      </c>
      <c r="D244" s="92">
        <f>-K9</f>
        <v>1</v>
      </c>
      <c r="E244" s="92">
        <f>J9</f>
        <v>0</v>
      </c>
      <c r="F244" s="92">
        <f>K9</f>
        <v>-1</v>
      </c>
      <c r="G244" s="96">
        <f>IFERROR(VLOOKUP(H244, A$206:D$213, 4, FALSE), 0)</f>
        <v>0.15038388543823322</v>
      </c>
      <c r="H244" s="12" t="str">
        <f>"D" &amp; C18 &amp; "X"</f>
        <v>D4X</v>
      </c>
    </row>
    <row r="245" spans="1:17" ht="19.95" customHeight="1" x14ac:dyDescent="0.3">
      <c r="A245" s="99" t="s">
        <v>288</v>
      </c>
      <c r="B245" s="97">
        <f>(MMULT(C244:F244, G244:G247)*A244)</f>
        <v>2991.8478260869565</v>
      </c>
      <c r="G245" s="96">
        <f>IFERROR(VLOOKUP(H245, A$206:D$213, 4, FALSE), 0)</f>
        <v>3.561723602484472E-2</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78" t="str">
        <f>IF(B245&gt;0.001,"BARRA A TRACCIÓN (+)",IF(B245&lt;-0.001,"BARRA A COMPRESIÓN (-)","BARRA DE FUERZA NULA"))</f>
        <v>BARRA A TRACCIÓN (+)</v>
      </c>
      <c r="D248" s="172"/>
      <c r="E248" s="172"/>
      <c r="F248" s="173"/>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50400</v>
      </c>
      <c r="C252" s="92">
        <f>-J10</f>
        <v>-0.8</v>
      </c>
      <c r="D252" s="92">
        <f>-K10</f>
        <v>-0.6</v>
      </c>
      <c r="E252" s="92">
        <f>J10</f>
        <v>0.8</v>
      </c>
      <c r="F252" s="92">
        <f>K10</f>
        <v>0.6</v>
      </c>
      <c r="G252" s="96">
        <f>IFERROR(VLOOKUP(H252, A$206:D$213, 4, FALSE), 0)</f>
        <v>0</v>
      </c>
      <c r="H252" s="12" t="str">
        <f>"D" &amp; C19 &amp; "X"</f>
        <v>D1X</v>
      </c>
    </row>
    <row r="253" spans="1:17" ht="19.95" customHeight="1" x14ac:dyDescent="0.3">
      <c r="A253" s="99" t="s">
        <v>289</v>
      </c>
      <c r="B253" s="97">
        <f>(MMULT(C252:F252, G252:G255)*A252)</f>
        <v>3763.586956521739</v>
      </c>
      <c r="G253" s="96">
        <f>IFERROR(VLOOKUP(H253, A$206:D$213, 4, FALSE), 0)</f>
        <v>0</v>
      </c>
      <c r="H253" s="12" t="str">
        <f>"D" &amp; D19 &amp; "Y"</f>
        <v>D1Y</v>
      </c>
    </row>
    <row r="254" spans="1:17" ht="19.95" customHeight="1" x14ac:dyDescent="0.3">
      <c r="G254" s="96">
        <f>IFERROR(VLOOKUP(H254, A$206:D$213, 4, FALSE), 0)</f>
        <v>0.15814786059351274</v>
      </c>
      <c r="H254" s="12" t="str">
        <f>"D" &amp; E19 &amp; "X"</f>
        <v>D3X</v>
      </c>
    </row>
    <row r="255" spans="1:17" ht="19.95" customHeight="1" x14ac:dyDescent="0.3">
      <c r="G255" s="96">
        <f>IFERROR(VLOOKUP(H255, A$206:D$213, 4, FALSE), 0)</f>
        <v>-8.64065734989648E-2</v>
      </c>
      <c r="H255" s="12" t="str">
        <f>"D" &amp; F19 &amp; "Y"</f>
        <v>D3Y</v>
      </c>
    </row>
    <row r="256" spans="1:17" ht="19.95" customHeight="1" x14ac:dyDescent="0.3">
      <c r="B256" s="99" t="s">
        <v>273</v>
      </c>
      <c r="C256" s="178" t="str">
        <f>IF(B253&gt;0.001,"BARRA A TRACCIÓN (+)",IF(B253&lt;-0.001,"BARRA A COMPRESIÓN (-)","BARRA DE FUERZA NULA"))</f>
        <v>BARRA A TRACCIÓN (+)</v>
      </c>
      <c r="D256" s="172"/>
      <c r="E256" s="172"/>
      <c r="F256" s="173"/>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50400</v>
      </c>
      <c r="C260" s="92">
        <f>-J11</f>
        <v>0.8</v>
      </c>
      <c r="D260" s="92">
        <f>-K11</f>
        <v>-0.6</v>
      </c>
      <c r="E260" s="92">
        <f>J11</f>
        <v>-0.8</v>
      </c>
      <c r="F260" s="92">
        <f>K11</f>
        <v>0.6</v>
      </c>
      <c r="G260" s="96">
        <f>IFERROR(VLOOKUP(H260, A$206:D$213, 4, FALSE), 0)</f>
        <v>0</v>
      </c>
      <c r="H260" s="12" t="str">
        <f>"D" &amp; C20 &amp; "X"</f>
        <v>D2X</v>
      </c>
    </row>
    <row r="261" spans="1:8" ht="19.95" customHeight="1" x14ac:dyDescent="0.3">
      <c r="A261" s="99" t="s">
        <v>290</v>
      </c>
      <c r="B261" s="97">
        <f>(MMULT(C260:F260, G260:G263)*A260)</f>
        <v>-4986.4130434782592</v>
      </c>
      <c r="G261" s="96">
        <f>IFERROR(VLOOKUP(H261, A$206:D$213, 4, FALSE), 0)</f>
        <v>0</v>
      </c>
      <c r="H261" s="12" t="str">
        <f>"D" &amp; D20 &amp; "Y"</f>
        <v>D2Y</v>
      </c>
    </row>
    <row r="262" spans="1:8" ht="19.95" customHeight="1" x14ac:dyDescent="0.3">
      <c r="G262" s="96">
        <f>IFERROR(VLOOKUP(H262, A$206:D$213, 4, FALSE), 0)</f>
        <v>0.15038388543823322</v>
      </c>
      <c r="H262" s="12" t="str">
        <f>"D" &amp; E20 &amp; "X"</f>
        <v>D4X</v>
      </c>
    </row>
    <row r="263" spans="1:8" ht="19.95" customHeight="1" x14ac:dyDescent="0.3">
      <c r="G263" s="96">
        <f>IFERROR(VLOOKUP(H263, A$206:D$213, 4, FALSE), 0)</f>
        <v>3.561723602484472E-2</v>
      </c>
      <c r="H263" s="12" t="str">
        <f>"D" &amp; F20 &amp; "Y"</f>
        <v>D4Y</v>
      </c>
    </row>
    <row r="264" spans="1:8" ht="19.95" customHeight="1" x14ac:dyDescent="0.3">
      <c r="B264" s="99" t="s">
        <v>273</v>
      </c>
      <c r="C264" s="178" t="str">
        <f>IF(B261&gt;0.001,"BARRA A TRACCIÓN (+)",IF(B261&lt;-0.001,"BARRA A COMPRESIÓN (-)","BARRA DE FUERZA NULA"))</f>
        <v>BARRA A COMPRESIÓN (-)</v>
      </c>
      <c r="D264" s="172"/>
      <c r="E264" s="172"/>
      <c r="F264" s="173"/>
    </row>
    <row r="267" spans="1:8" ht="22.05" customHeight="1" x14ac:dyDescent="0.3">
      <c r="B267" s="217" t="s">
        <v>404</v>
      </c>
      <c r="C267" s="175"/>
      <c r="D267" s="175"/>
      <c r="E267" s="175"/>
      <c r="F267" s="175"/>
      <c r="G267" s="175"/>
      <c r="H267" s="175"/>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400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300</v>
      </c>
      <c r="F270" s="9">
        <f t="shared" si="20"/>
        <v>12</v>
      </c>
      <c r="G270" s="97">
        <f>B229</f>
        <v>-7258.152173913043</v>
      </c>
      <c r="H270" s="84" t="str">
        <f>C232</f>
        <v>BARRA A COMPRESIÓN (-)</v>
      </c>
    </row>
    <row r="271" spans="1:8" ht="19.95" customHeight="1" x14ac:dyDescent="0.3">
      <c r="B271" s="26">
        <v>3</v>
      </c>
      <c r="C271" s="86">
        <f t="shared" si="17"/>
        <v>3</v>
      </c>
      <c r="D271" s="86">
        <f t="shared" si="18"/>
        <v>4</v>
      </c>
      <c r="E271" s="9">
        <f t="shared" si="19"/>
        <v>400</v>
      </c>
      <c r="F271" s="9">
        <f t="shared" si="20"/>
        <v>12</v>
      </c>
      <c r="G271" s="97">
        <f>B237</f>
        <v>489.1304347826096</v>
      </c>
      <c r="H271" s="84" t="str">
        <f>C240</f>
        <v>BARRA A TRACCIÓN (+)</v>
      </c>
    </row>
    <row r="272" spans="1:8" ht="19.95" customHeight="1" x14ac:dyDescent="0.3">
      <c r="B272" s="43">
        <v>4</v>
      </c>
      <c r="C272" s="86">
        <f t="shared" si="17"/>
        <v>4</v>
      </c>
      <c r="D272" s="86">
        <f t="shared" si="18"/>
        <v>1</v>
      </c>
      <c r="E272" s="9">
        <f t="shared" si="19"/>
        <v>300</v>
      </c>
      <c r="F272" s="9">
        <f t="shared" si="20"/>
        <v>12</v>
      </c>
      <c r="G272" s="97">
        <f>B245</f>
        <v>2991.8478260869565</v>
      </c>
      <c r="H272" s="84" t="str">
        <f>C248</f>
        <v>BARRA A TRACCIÓN (+)</v>
      </c>
    </row>
    <row r="273" spans="2:8" ht="19.95" customHeight="1" x14ac:dyDescent="0.3">
      <c r="B273" s="44">
        <v>5</v>
      </c>
      <c r="C273" s="86">
        <f t="shared" si="17"/>
        <v>1</v>
      </c>
      <c r="D273" s="86">
        <f t="shared" si="18"/>
        <v>3</v>
      </c>
      <c r="E273" s="9">
        <f t="shared" si="19"/>
        <v>500</v>
      </c>
      <c r="F273" s="9">
        <f t="shared" si="20"/>
        <v>12</v>
      </c>
      <c r="G273" s="97">
        <f>B253</f>
        <v>3763.586956521739</v>
      </c>
      <c r="H273" s="84" t="str">
        <f>C256</f>
        <v>BARRA A TRACCIÓN (+)</v>
      </c>
    </row>
    <row r="274" spans="2:8" ht="19.95" customHeight="1" x14ac:dyDescent="0.3">
      <c r="B274" s="51">
        <v>6</v>
      </c>
      <c r="C274" s="86">
        <f t="shared" si="17"/>
        <v>2</v>
      </c>
      <c r="D274" s="86">
        <f t="shared" si="18"/>
        <v>4</v>
      </c>
      <c r="E274" s="9">
        <f t="shared" si="19"/>
        <v>500</v>
      </c>
      <c r="F274" s="9">
        <f t="shared" si="20"/>
        <v>12</v>
      </c>
      <c r="G274" s="97">
        <f>B261</f>
        <v>-4986.4130434782592</v>
      </c>
      <c r="H274" s="84" t="str">
        <f>C264</f>
        <v>BARRA A COMPRESIÓN (-)</v>
      </c>
    </row>
  </sheetData>
  <mergeCells count="116">
    <mergeCell ref="K4:K5"/>
    <mergeCell ref="L142:Q142"/>
    <mergeCell ref="C224:F224"/>
    <mergeCell ref="L234:Q234"/>
    <mergeCell ref="L172:Q172"/>
    <mergeCell ref="L162:Q162"/>
    <mergeCell ref="L156:Q156"/>
    <mergeCell ref="L171:Q171"/>
    <mergeCell ref="L153:Q153"/>
    <mergeCell ref="L238:Q238"/>
    <mergeCell ref="L170:Q170"/>
    <mergeCell ref="E13:F13"/>
    <mergeCell ref="L149:Q149"/>
    <mergeCell ref="L176:Q176"/>
    <mergeCell ref="L158:Q158"/>
    <mergeCell ref="L191:Q191"/>
    <mergeCell ref="L226:Q226"/>
    <mergeCell ref="L164:Q164"/>
    <mergeCell ref="L178:Q178"/>
    <mergeCell ref="L236:Q236"/>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B13:B14"/>
    <mergeCell ref="J4:J5"/>
    <mergeCell ref="L4:L5"/>
    <mergeCell ref="L220:Q220"/>
    <mergeCell ref="L143:Q143"/>
    <mergeCell ref="L139:Q139"/>
    <mergeCell ref="L222:Q222"/>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694</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HYPERLINK("#'AUTOMATIZADA_62'!A1",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8</v>
      </c>
      <c r="E6" s="173"/>
      <c r="F6" s="206">
        <f>SUM(F14:G23)</f>
        <v>3</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500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500</v>
      </c>
      <c r="AB8" s="20">
        <f>IF(F29="","",F29)</f>
        <v>0</v>
      </c>
      <c r="AC8" t="s">
        <v>316</v>
      </c>
    </row>
    <row r="9" spans="2:29" x14ac:dyDescent="0.3">
      <c r="AA9" s="20">
        <f>IF(G29="","",G29)</f>
        <v>1000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250</v>
      </c>
      <c r="AB14" s="20">
        <f>IF(F31="","",F31)</f>
        <v>250</v>
      </c>
      <c r="AC14" t="s">
        <v>328</v>
      </c>
    </row>
    <row r="15" spans="2:29" ht="19.05" customHeight="1" x14ac:dyDescent="0.3">
      <c r="B15" s="89">
        <v>2</v>
      </c>
      <c r="C15" s="21">
        <v>500</v>
      </c>
      <c r="D15" s="21">
        <v>0</v>
      </c>
      <c r="E15" s="21" t="s">
        <v>326</v>
      </c>
      <c r="F15" s="88">
        <f t="shared" si="0"/>
        <v>0</v>
      </c>
      <c r="G15" s="88">
        <f t="shared" si="1"/>
        <v>0</v>
      </c>
      <c r="H15" s="22">
        <v>0</v>
      </c>
      <c r="I15" s="22">
        <v>-4000</v>
      </c>
      <c r="J15" s="205" t="s">
        <v>481</v>
      </c>
      <c r="K15" s="172"/>
      <c r="L15" s="172"/>
      <c r="M15" s="172"/>
      <c r="N15" s="172"/>
      <c r="O15" s="173"/>
      <c r="AA15" s="20">
        <f>IF(G31="","",G31)</f>
        <v>500</v>
      </c>
      <c r="AB15" s="20">
        <f>IF(H31="","",H31)</f>
        <v>500</v>
      </c>
      <c r="AC15" t="s">
        <v>331</v>
      </c>
    </row>
    <row r="16" spans="2:29" ht="19.05" customHeight="1" x14ac:dyDescent="0.3">
      <c r="B16" s="89">
        <v>3</v>
      </c>
      <c r="C16" s="21">
        <v>1000</v>
      </c>
      <c r="D16" s="21">
        <v>0</v>
      </c>
      <c r="E16" s="21" t="s">
        <v>329</v>
      </c>
      <c r="F16" s="88">
        <f t="shared" si="0"/>
        <v>0</v>
      </c>
      <c r="G16" s="88">
        <f t="shared" si="1"/>
        <v>1</v>
      </c>
      <c r="H16" s="22">
        <v>0</v>
      </c>
      <c r="I16" s="22">
        <v>0</v>
      </c>
      <c r="J16" s="205" t="s">
        <v>435</v>
      </c>
      <c r="K16" s="172"/>
      <c r="L16" s="172"/>
      <c r="M16" s="172"/>
      <c r="N16" s="172"/>
      <c r="O16" s="173"/>
    </row>
    <row r="17" spans="2:29" ht="19.05" customHeight="1" x14ac:dyDescent="0.3">
      <c r="B17" s="89">
        <v>4</v>
      </c>
      <c r="C17" s="21">
        <v>250</v>
      </c>
      <c r="D17" s="21">
        <v>250</v>
      </c>
      <c r="E17" s="21" t="s">
        <v>326</v>
      </c>
      <c r="F17" s="88">
        <f t="shared" si="0"/>
        <v>0</v>
      </c>
      <c r="G17" s="88">
        <f t="shared" si="1"/>
        <v>0</v>
      </c>
      <c r="H17" s="22">
        <v>2000</v>
      </c>
      <c r="I17" s="22">
        <v>0</v>
      </c>
      <c r="J17" s="205" t="s">
        <v>482</v>
      </c>
      <c r="K17" s="172"/>
      <c r="L17" s="172"/>
      <c r="M17" s="172"/>
      <c r="N17" s="172"/>
      <c r="O17" s="173"/>
      <c r="AA17" s="20">
        <f>IF(E32="","",E32)</f>
        <v>500</v>
      </c>
      <c r="AB17" s="20">
        <f>IF(F32="","",F32)</f>
        <v>500</v>
      </c>
      <c r="AC17" t="s">
        <v>334</v>
      </c>
    </row>
    <row r="18" spans="2:29" ht="19.05" customHeight="1" x14ac:dyDescent="0.3">
      <c r="B18" s="89">
        <v>5</v>
      </c>
      <c r="C18" s="21">
        <v>500</v>
      </c>
      <c r="D18" s="21">
        <v>500</v>
      </c>
      <c r="E18" s="21" t="s">
        <v>326</v>
      </c>
      <c r="F18" s="88">
        <f t="shared" si="0"/>
        <v>0</v>
      </c>
      <c r="G18" s="88">
        <f t="shared" si="1"/>
        <v>0</v>
      </c>
      <c r="H18" s="22">
        <v>0</v>
      </c>
      <c r="I18" s="22">
        <v>-8000</v>
      </c>
      <c r="J18" s="205" t="s">
        <v>436</v>
      </c>
      <c r="K18" s="172"/>
      <c r="L18" s="172"/>
      <c r="M18" s="172"/>
      <c r="N18" s="172"/>
      <c r="O18" s="173"/>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250</v>
      </c>
      <c r="AB20" s="20">
        <f>IF(F33="","",F33)</f>
        <v>250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500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500</v>
      </c>
      <c r="AB23" s="20">
        <f>IF(F34="","",F34)</f>
        <v>0</v>
      </c>
      <c r="AC23" t="s">
        <v>338</v>
      </c>
    </row>
    <row r="24" spans="2:29" x14ac:dyDescent="0.3">
      <c r="AA24" s="20">
        <f>IF(G34="","",G34)</f>
        <v>500</v>
      </c>
      <c r="AB24" s="20">
        <f>IF(H34="","",H34)</f>
        <v>500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500</v>
      </c>
      <c r="AB27" s="20">
        <f>IF(H35="","",H35)</f>
        <v>500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250</v>
      </c>
      <c r="I30" s="9">
        <f t="shared" si="6"/>
        <v>250</v>
      </c>
      <c r="J30" s="9">
        <f t="shared" si="7"/>
        <v>250</v>
      </c>
      <c r="K30" s="9">
        <f t="shared" si="8"/>
        <v>353.55339059327378</v>
      </c>
      <c r="L30" s="92">
        <f t="shared" si="9"/>
        <v>0.70710678118654746</v>
      </c>
      <c r="M30" s="92">
        <f t="shared" si="10"/>
        <v>0.70710678118654746</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250</v>
      </c>
      <c r="G31" s="5">
        <f t="shared" si="4"/>
        <v>500</v>
      </c>
      <c r="H31" s="5">
        <f t="shared" si="5"/>
        <v>500</v>
      </c>
      <c r="I31" s="9">
        <f t="shared" si="6"/>
        <v>250</v>
      </c>
      <c r="J31" s="9">
        <f t="shared" si="7"/>
        <v>250</v>
      </c>
      <c r="K31" s="9">
        <f t="shared" si="8"/>
        <v>353.55339059327378</v>
      </c>
      <c r="L31" s="92">
        <f t="shared" si="9"/>
        <v>0.70710678118654746</v>
      </c>
      <c r="M31" s="92">
        <f t="shared" si="10"/>
        <v>0.70710678118654746</v>
      </c>
      <c r="N31" s="22">
        <v>12</v>
      </c>
      <c r="O31" s="24">
        <v>2100000</v>
      </c>
    </row>
    <row r="32" spans="2:29" ht="19.05" customHeight="1" x14ac:dyDescent="0.3">
      <c r="B32" s="89">
        <v>5</v>
      </c>
      <c r="C32" s="23">
        <v>5</v>
      </c>
      <c r="D32" s="23">
        <v>3</v>
      </c>
      <c r="E32" s="5">
        <f t="shared" si="2"/>
        <v>500</v>
      </c>
      <c r="F32" s="5">
        <f t="shared" si="3"/>
        <v>500</v>
      </c>
      <c r="G32" s="5">
        <f t="shared" si="4"/>
        <v>1000</v>
      </c>
      <c r="H32" s="5">
        <f t="shared" si="5"/>
        <v>0</v>
      </c>
      <c r="I32" s="9">
        <f t="shared" si="6"/>
        <v>500</v>
      </c>
      <c r="J32" s="9">
        <f t="shared" si="7"/>
        <v>-500</v>
      </c>
      <c r="K32" s="9">
        <f t="shared" si="8"/>
        <v>707.10678118654755</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4</v>
      </c>
      <c r="D33" s="23">
        <v>2</v>
      </c>
      <c r="E33" s="5">
        <f t="shared" si="2"/>
        <v>250</v>
      </c>
      <c r="F33" s="5">
        <f t="shared" si="3"/>
        <v>250</v>
      </c>
      <c r="G33" s="5">
        <f t="shared" si="4"/>
        <v>500</v>
      </c>
      <c r="H33" s="5">
        <f t="shared" si="5"/>
        <v>0</v>
      </c>
      <c r="I33" s="9">
        <f t="shared" si="6"/>
        <v>250</v>
      </c>
      <c r="J33" s="9">
        <f t="shared" si="7"/>
        <v>-250</v>
      </c>
      <c r="K33" s="9">
        <f t="shared" si="8"/>
        <v>353.55339059327378</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500</v>
      </c>
      <c r="H34" s="5">
        <f t="shared" si="5"/>
        <v>500</v>
      </c>
      <c r="I34" s="9">
        <f t="shared" si="6"/>
        <v>0</v>
      </c>
      <c r="J34" s="9">
        <f t="shared" si="7"/>
        <v>500</v>
      </c>
      <c r="K34" s="9">
        <f t="shared" si="8"/>
        <v>500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500</v>
      </c>
      <c r="H35" s="5">
        <f t="shared" si="5"/>
        <v>500</v>
      </c>
      <c r="I35" s="9">
        <f t="shared" si="6"/>
        <v>500</v>
      </c>
      <c r="J35" s="9">
        <f t="shared" si="7"/>
        <v>500</v>
      </c>
      <c r="K35" s="9">
        <f t="shared" si="8"/>
        <v>707.10678118654755</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D00-000000000000}">
      <formula1>"Fijo (articulado),Rodillo Y (despl. X libre),Rodillo X (despl. Y libre),Libre (0 reac.)"</formula1>
    </dataValidation>
  </dataValidations>
  <pageMargins left="0.75" right="0.75" top="1" bottom="1" header="0.5" footer="0.5"/>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S36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695</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HYPERLINK("#'GRAFICA_62'!A1",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GRAFICA_62!E28</f>
        <v>0</v>
      </c>
      <c r="D6" s="22">
        <f>GRAFICA_62!F28</f>
        <v>0</v>
      </c>
      <c r="E6" s="22">
        <f>GRAFICA_62!G28</f>
        <v>500</v>
      </c>
      <c r="F6" s="22">
        <f>GRAFICA_62!H28</f>
        <v>0</v>
      </c>
      <c r="G6" s="9">
        <f t="shared" ref="G6:H13" si="0">E6-C6</f>
        <v>500</v>
      </c>
      <c r="H6" s="9">
        <f t="shared" si="0"/>
        <v>0</v>
      </c>
      <c r="I6" s="9">
        <f t="shared" ref="I6:I13" si="1">SQRT(G6*G6+H6*H6)</f>
        <v>500</v>
      </c>
      <c r="J6" s="92">
        <f t="shared" ref="J6:J13" si="2">G6/I6</f>
        <v>1</v>
      </c>
      <c r="K6" s="92">
        <f t="shared" ref="K6:K13" si="3">H6/I6</f>
        <v>0</v>
      </c>
      <c r="L6" s="22">
        <f>GRAFICA_62!N28</f>
        <v>12</v>
      </c>
      <c r="M6" s="22">
        <f>GRAFICA_62!O28</f>
        <v>2100000</v>
      </c>
      <c r="N6" s="6">
        <f t="shared" ref="N6:N13" si="4">L6*M6/I6</f>
        <v>50400</v>
      </c>
    </row>
    <row r="7" spans="2:14" ht="19.05" customHeight="1" x14ac:dyDescent="0.3">
      <c r="B7" s="25">
        <v>2</v>
      </c>
      <c r="C7" s="22">
        <f>GRAFICA_62!E29</f>
        <v>500</v>
      </c>
      <c r="D7" s="22">
        <f>GRAFICA_62!F29</f>
        <v>0</v>
      </c>
      <c r="E7" s="22">
        <f>GRAFICA_62!G29</f>
        <v>1000</v>
      </c>
      <c r="F7" s="22">
        <f>GRAFICA_62!H29</f>
        <v>0</v>
      </c>
      <c r="G7" s="9">
        <f t="shared" si="0"/>
        <v>500</v>
      </c>
      <c r="H7" s="9">
        <f t="shared" si="0"/>
        <v>0</v>
      </c>
      <c r="I7" s="9">
        <f t="shared" si="1"/>
        <v>500</v>
      </c>
      <c r="J7" s="92">
        <f t="shared" si="2"/>
        <v>1</v>
      </c>
      <c r="K7" s="92">
        <f t="shared" si="3"/>
        <v>0</v>
      </c>
      <c r="L7" s="22">
        <f>GRAFICA_62!N29</f>
        <v>12</v>
      </c>
      <c r="M7" s="22">
        <f>GRAFICA_62!O29</f>
        <v>2100000</v>
      </c>
      <c r="N7" s="6">
        <f t="shared" si="4"/>
        <v>50400</v>
      </c>
    </row>
    <row r="8" spans="2:14" ht="19.05" customHeight="1" x14ac:dyDescent="0.3">
      <c r="B8" s="26">
        <v>3</v>
      </c>
      <c r="C8" s="22">
        <f>GRAFICA_62!E30</f>
        <v>0</v>
      </c>
      <c r="D8" s="22">
        <f>GRAFICA_62!F30</f>
        <v>0</v>
      </c>
      <c r="E8" s="22">
        <f>GRAFICA_62!G30</f>
        <v>250</v>
      </c>
      <c r="F8" s="22">
        <f>GRAFICA_62!H30</f>
        <v>250</v>
      </c>
      <c r="G8" s="9">
        <f t="shared" si="0"/>
        <v>250</v>
      </c>
      <c r="H8" s="9">
        <f t="shared" si="0"/>
        <v>250</v>
      </c>
      <c r="I8" s="9">
        <f t="shared" si="1"/>
        <v>353.55339059327378</v>
      </c>
      <c r="J8" s="92">
        <f t="shared" si="2"/>
        <v>0.70710678118654746</v>
      </c>
      <c r="K8" s="92">
        <f t="shared" si="3"/>
        <v>0.70710678118654746</v>
      </c>
      <c r="L8" s="22">
        <f>GRAFICA_62!N30</f>
        <v>12</v>
      </c>
      <c r="M8" s="22">
        <f>GRAFICA_62!O30</f>
        <v>2100000</v>
      </c>
      <c r="N8" s="6">
        <f t="shared" si="4"/>
        <v>71276.363543603991</v>
      </c>
    </row>
    <row r="9" spans="2:14" ht="19.05" customHeight="1" x14ac:dyDescent="0.3">
      <c r="B9" s="43">
        <v>4</v>
      </c>
      <c r="C9" s="22">
        <f>GRAFICA_62!E31</f>
        <v>250</v>
      </c>
      <c r="D9" s="22">
        <f>GRAFICA_62!F31</f>
        <v>250</v>
      </c>
      <c r="E9" s="22">
        <f>GRAFICA_62!G31</f>
        <v>500</v>
      </c>
      <c r="F9" s="22">
        <f>GRAFICA_62!H31</f>
        <v>500</v>
      </c>
      <c r="G9" s="9">
        <f t="shared" si="0"/>
        <v>250</v>
      </c>
      <c r="H9" s="9">
        <f t="shared" si="0"/>
        <v>250</v>
      </c>
      <c r="I9" s="9">
        <f t="shared" si="1"/>
        <v>353.55339059327378</v>
      </c>
      <c r="J9" s="92">
        <f t="shared" si="2"/>
        <v>0.70710678118654746</v>
      </c>
      <c r="K9" s="92">
        <f t="shared" si="3"/>
        <v>0.70710678118654746</v>
      </c>
      <c r="L9" s="22">
        <f>GRAFICA_62!N31</f>
        <v>12</v>
      </c>
      <c r="M9" s="22">
        <f>GRAFICA_62!O31</f>
        <v>2100000</v>
      </c>
      <c r="N9" s="6">
        <f t="shared" si="4"/>
        <v>71276.363543603991</v>
      </c>
    </row>
    <row r="10" spans="2:14" ht="19.05" customHeight="1" x14ac:dyDescent="0.3">
      <c r="B10" s="44">
        <v>5</v>
      </c>
      <c r="C10" s="22">
        <f>GRAFICA_62!E32</f>
        <v>500</v>
      </c>
      <c r="D10" s="22">
        <f>GRAFICA_62!F32</f>
        <v>500</v>
      </c>
      <c r="E10" s="22">
        <f>GRAFICA_62!G32</f>
        <v>1000</v>
      </c>
      <c r="F10" s="22">
        <f>GRAFICA_62!H32</f>
        <v>0</v>
      </c>
      <c r="G10" s="9">
        <f t="shared" si="0"/>
        <v>500</v>
      </c>
      <c r="H10" s="9">
        <f t="shared" si="0"/>
        <v>-500</v>
      </c>
      <c r="I10" s="9">
        <f t="shared" si="1"/>
        <v>707.10678118654755</v>
      </c>
      <c r="J10" s="92">
        <f t="shared" si="2"/>
        <v>0.70710678118654746</v>
      </c>
      <c r="K10" s="92">
        <f t="shared" si="3"/>
        <v>-0.70710678118654746</v>
      </c>
      <c r="L10" s="22">
        <f>GRAFICA_62!N32</f>
        <v>12</v>
      </c>
      <c r="M10" s="22">
        <f>GRAFICA_62!O32</f>
        <v>2100000</v>
      </c>
      <c r="N10" s="6">
        <f t="shared" si="4"/>
        <v>35638.181771801996</v>
      </c>
    </row>
    <row r="11" spans="2:14" ht="19.05" customHeight="1" x14ac:dyDescent="0.3">
      <c r="B11" s="51">
        <v>6</v>
      </c>
      <c r="C11" s="22">
        <f>GRAFICA_62!E33</f>
        <v>250</v>
      </c>
      <c r="D11" s="22">
        <f>GRAFICA_62!F33</f>
        <v>250</v>
      </c>
      <c r="E11" s="22">
        <f>GRAFICA_62!G33</f>
        <v>500</v>
      </c>
      <c r="F11" s="22">
        <f>GRAFICA_62!H33</f>
        <v>0</v>
      </c>
      <c r="G11" s="9">
        <f t="shared" si="0"/>
        <v>250</v>
      </c>
      <c r="H11" s="9">
        <f t="shared" si="0"/>
        <v>-250</v>
      </c>
      <c r="I11" s="9">
        <f t="shared" si="1"/>
        <v>353.55339059327378</v>
      </c>
      <c r="J11" s="92">
        <f t="shared" si="2"/>
        <v>0.70710678118654746</v>
      </c>
      <c r="K11" s="92">
        <f t="shared" si="3"/>
        <v>-0.70710678118654746</v>
      </c>
      <c r="L11" s="22">
        <f>GRAFICA_62!N33</f>
        <v>12</v>
      </c>
      <c r="M11" s="22">
        <f>GRAFICA_62!O33</f>
        <v>2100000</v>
      </c>
      <c r="N11" s="6">
        <f t="shared" si="4"/>
        <v>71276.363543603991</v>
      </c>
    </row>
    <row r="12" spans="2:14" ht="19.05" customHeight="1" x14ac:dyDescent="0.3">
      <c r="B12" s="52">
        <v>7</v>
      </c>
      <c r="C12" s="22">
        <f>GRAFICA_62!E34</f>
        <v>500</v>
      </c>
      <c r="D12" s="22">
        <f>GRAFICA_62!F34</f>
        <v>0</v>
      </c>
      <c r="E12" s="22">
        <f>GRAFICA_62!G34</f>
        <v>500</v>
      </c>
      <c r="F12" s="22">
        <f>GRAFICA_62!H34</f>
        <v>500</v>
      </c>
      <c r="G12" s="9">
        <f t="shared" si="0"/>
        <v>0</v>
      </c>
      <c r="H12" s="9">
        <f t="shared" si="0"/>
        <v>500</v>
      </c>
      <c r="I12" s="9">
        <f t="shared" si="1"/>
        <v>500</v>
      </c>
      <c r="J12" s="92">
        <f t="shared" si="2"/>
        <v>0</v>
      </c>
      <c r="K12" s="92">
        <f t="shared" si="3"/>
        <v>1</v>
      </c>
      <c r="L12" s="22">
        <f>GRAFICA_62!N34</f>
        <v>12</v>
      </c>
      <c r="M12" s="22">
        <f>GRAFICA_62!O34</f>
        <v>2100000</v>
      </c>
      <c r="N12" s="6">
        <f t="shared" si="4"/>
        <v>50400</v>
      </c>
    </row>
    <row r="13" spans="2:14" ht="19.05" customHeight="1" x14ac:dyDescent="0.3">
      <c r="B13" s="59">
        <v>8</v>
      </c>
      <c r="C13" s="22">
        <f>GRAFICA_62!E35</f>
        <v>0</v>
      </c>
      <c r="D13" s="22">
        <f>GRAFICA_62!F35</f>
        <v>0</v>
      </c>
      <c r="E13" s="22">
        <f>GRAFICA_62!G35</f>
        <v>500</v>
      </c>
      <c r="F13" s="22">
        <f>GRAFICA_62!H35</f>
        <v>500</v>
      </c>
      <c r="G13" s="9">
        <f t="shared" si="0"/>
        <v>500</v>
      </c>
      <c r="H13" s="9">
        <f t="shared" si="0"/>
        <v>500</v>
      </c>
      <c r="I13" s="9">
        <f t="shared" si="1"/>
        <v>707.10678118654755</v>
      </c>
      <c r="J13" s="92">
        <f t="shared" si="2"/>
        <v>0.70710678118654746</v>
      </c>
      <c r="K13" s="92">
        <f t="shared" si="3"/>
        <v>0.70710678118654746</v>
      </c>
      <c r="L13" s="22">
        <f>GRAFICA_62!N35</f>
        <v>12</v>
      </c>
      <c r="M13" s="22">
        <f>GRAFICA_62!O35</f>
        <v>2100000</v>
      </c>
      <c r="N13" s="6">
        <f t="shared" si="4"/>
        <v>35638.181771801996</v>
      </c>
    </row>
    <row r="15" spans="2:14" ht="18" customHeight="1" x14ac:dyDescent="0.3">
      <c r="B15" s="202" t="s">
        <v>145</v>
      </c>
      <c r="C15" s="202" t="s">
        <v>369</v>
      </c>
      <c r="D15" s="173"/>
      <c r="E15" s="202" t="s">
        <v>370</v>
      </c>
      <c r="F15" s="173"/>
    </row>
    <row r="16" spans="2:14" ht="18" customHeight="1" x14ac:dyDescent="0.3">
      <c r="B16" s="203"/>
      <c r="C16" s="81" t="s">
        <v>157</v>
      </c>
      <c r="D16" s="81" t="s">
        <v>158</v>
      </c>
      <c r="E16" s="81" t="s">
        <v>157</v>
      </c>
      <c r="F16" s="81" t="s">
        <v>158</v>
      </c>
    </row>
    <row r="17" spans="1:6" ht="19.05" customHeight="1" x14ac:dyDescent="0.3">
      <c r="B17" s="85">
        <v>1</v>
      </c>
      <c r="C17" s="23">
        <f>GRAFICA_62!C28</f>
        <v>1</v>
      </c>
      <c r="D17" s="23">
        <f>GRAFICA_62!C28</f>
        <v>1</v>
      </c>
      <c r="E17" s="23">
        <f>GRAFICA_62!D28</f>
        <v>2</v>
      </c>
      <c r="F17" s="23">
        <f>GRAFICA_62!D28</f>
        <v>2</v>
      </c>
    </row>
    <row r="18" spans="1:6" ht="19.05" customHeight="1" x14ac:dyDescent="0.3">
      <c r="B18" s="25">
        <v>2</v>
      </c>
      <c r="C18" s="23">
        <f>GRAFICA_62!C29</f>
        <v>2</v>
      </c>
      <c r="D18" s="23">
        <f>GRAFICA_62!C29</f>
        <v>2</v>
      </c>
      <c r="E18" s="23">
        <f>GRAFICA_62!D29</f>
        <v>3</v>
      </c>
      <c r="F18" s="23">
        <f>GRAFICA_62!D29</f>
        <v>3</v>
      </c>
    </row>
    <row r="19" spans="1:6" ht="19.05" customHeight="1" x14ac:dyDescent="0.3">
      <c r="B19" s="26">
        <v>3</v>
      </c>
      <c r="C19" s="23">
        <f>GRAFICA_62!C30</f>
        <v>1</v>
      </c>
      <c r="D19" s="23">
        <f>GRAFICA_62!C30</f>
        <v>1</v>
      </c>
      <c r="E19" s="23">
        <f>GRAFICA_62!D30</f>
        <v>4</v>
      </c>
      <c r="F19" s="23">
        <f>GRAFICA_62!D30</f>
        <v>4</v>
      </c>
    </row>
    <row r="20" spans="1:6" ht="19.05" customHeight="1" x14ac:dyDescent="0.3">
      <c r="B20" s="43">
        <v>4</v>
      </c>
      <c r="C20" s="23">
        <f>GRAFICA_62!C31</f>
        <v>4</v>
      </c>
      <c r="D20" s="23">
        <f>GRAFICA_62!C31</f>
        <v>4</v>
      </c>
      <c r="E20" s="23">
        <f>GRAFICA_62!D31</f>
        <v>5</v>
      </c>
      <c r="F20" s="23">
        <f>GRAFICA_62!D31</f>
        <v>5</v>
      </c>
    </row>
    <row r="21" spans="1:6" ht="19.05" customHeight="1" x14ac:dyDescent="0.3">
      <c r="B21" s="44">
        <v>5</v>
      </c>
      <c r="C21" s="23">
        <f>GRAFICA_62!C32</f>
        <v>5</v>
      </c>
      <c r="D21" s="23">
        <f>GRAFICA_62!C32</f>
        <v>5</v>
      </c>
      <c r="E21" s="23">
        <f>GRAFICA_62!D32</f>
        <v>3</v>
      </c>
      <c r="F21" s="23">
        <f>GRAFICA_62!D32</f>
        <v>3</v>
      </c>
    </row>
    <row r="22" spans="1:6" ht="19.05" customHeight="1" x14ac:dyDescent="0.3">
      <c r="B22" s="51">
        <v>6</v>
      </c>
      <c r="C22" s="23">
        <f>GRAFICA_62!C33</f>
        <v>4</v>
      </c>
      <c r="D22" s="23">
        <f>GRAFICA_62!C33</f>
        <v>4</v>
      </c>
      <c r="E22" s="23">
        <f>GRAFICA_62!D33</f>
        <v>2</v>
      </c>
      <c r="F22" s="23">
        <f>GRAFICA_62!D33</f>
        <v>2</v>
      </c>
    </row>
    <row r="23" spans="1:6" ht="19.05" customHeight="1" x14ac:dyDescent="0.3">
      <c r="B23" s="52">
        <v>7</v>
      </c>
      <c r="C23" s="23">
        <f>GRAFICA_62!C34</f>
        <v>2</v>
      </c>
      <c r="D23" s="23">
        <f>GRAFICA_62!C34</f>
        <v>2</v>
      </c>
      <c r="E23" s="23">
        <f>GRAFICA_62!D34</f>
        <v>5</v>
      </c>
      <c r="F23" s="23">
        <f>GRAFICA_62!D34</f>
        <v>5</v>
      </c>
    </row>
    <row r="24" spans="1:6" ht="19.05" customHeight="1" x14ac:dyDescent="0.3">
      <c r="B24" s="59">
        <v>8</v>
      </c>
      <c r="C24" s="23">
        <f>GRAFICA_62!C35</f>
        <v>1</v>
      </c>
      <c r="D24" s="23">
        <f>GRAFICA_62!C35</f>
        <v>1</v>
      </c>
      <c r="E24" s="23">
        <f>GRAFICA_62!D35</f>
        <v>5</v>
      </c>
      <c r="F24" s="23">
        <f>GRAFICA_62!D35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50400</v>
      </c>
      <c r="C28" s="7">
        <f>J6*K6*N6</f>
        <v>0</v>
      </c>
      <c r="D28" s="7">
        <f>-B28</f>
        <v>-50400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-50400</v>
      </c>
      <c r="C30" s="7">
        <f>E28</f>
        <v>0</v>
      </c>
      <c r="D30" s="7">
        <f>B28</f>
        <v>50400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-50400</v>
      </c>
      <c r="C36" s="8">
        <f t="shared" si="5"/>
        <v>0</v>
      </c>
      <c r="D36" s="8">
        <f t="shared" si="5"/>
        <v>50400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50400</v>
      </c>
      <c r="C47" s="30">
        <f>J7*K7*N7</f>
        <v>0</v>
      </c>
      <c r="D47" s="30">
        <f>-B47</f>
        <v>-50400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-50400</v>
      </c>
      <c r="C49" s="30">
        <f>E47</f>
        <v>0</v>
      </c>
      <c r="D49" s="30">
        <f>B47</f>
        <v>50400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-50400</v>
      </c>
      <c r="E57" s="31">
        <f t="shared" si="6"/>
        <v>0</v>
      </c>
      <c r="F57" s="31">
        <f t="shared" si="6"/>
        <v>50400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35638.181771801988</v>
      </c>
      <c r="C66" s="33">
        <f>J8*K8*N8</f>
        <v>35638.181771801988</v>
      </c>
      <c r="D66" s="33">
        <f>-B66</f>
        <v>-35638.181771801988</v>
      </c>
      <c r="E66" s="33">
        <f>-C66</f>
        <v>-35638.181771801988</v>
      </c>
      <c r="F66" s="32" t="str">
        <f>B65</f>
        <v>U1X</v>
      </c>
    </row>
    <row r="67" spans="1:12" ht="16.8" customHeight="1" x14ac:dyDescent="0.3">
      <c r="A67" s="28" t="s">
        <v>193</v>
      </c>
      <c r="B67" s="33">
        <f>C66</f>
        <v>35638.181771801988</v>
      </c>
      <c r="C67" s="33">
        <f>K8*K8*N8</f>
        <v>35638.181771801988</v>
      </c>
      <c r="D67" s="33">
        <f>-B67</f>
        <v>-35638.181771801988</v>
      </c>
      <c r="E67" s="33">
        <f>-C67</f>
        <v>-35638.181771801988</v>
      </c>
      <c r="F67" s="32" t="str">
        <f>C65</f>
        <v>U1Y</v>
      </c>
    </row>
    <row r="68" spans="1:12" x14ac:dyDescent="0.3">
      <c r="B68" s="33">
        <f>D66</f>
        <v>-35638.181771801988</v>
      </c>
      <c r="C68" s="33">
        <f>E66</f>
        <v>-35638.181771801988</v>
      </c>
      <c r="D68" s="33">
        <f>B66</f>
        <v>35638.181771801988</v>
      </c>
      <c r="E68" s="33">
        <f>C66</f>
        <v>35638.181771801988</v>
      </c>
      <c r="F68" s="32" t="str">
        <f>D65</f>
        <v>U4X</v>
      </c>
    </row>
    <row r="69" spans="1:12" x14ac:dyDescent="0.3">
      <c r="B69" s="33">
        <f>D67</f>
        <v>-35638.181771801988</v>
      </c>
      <c r="C69" s="33">
        <f>E67</f>
        <v>-35638.181771801988</v>
      </c>
      <c r="D69" s="33">
        <f>B67</f>
        <v>35638.181771801988</v>
      </c>
      <c r="E69" s="33">
        <f>C67</f>
        <v>35638.181771801988</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35638.181771801988</v>
      </c>
      <c r="C72" s="34">
        <f t="shared" si="7"/>
        <v>35638.181771801988</v>
      </c>
      <c r="D72" s="9">
        <f t="shared" si="7"/>
        <v>0</v>
      </c>
      <c r="E72" s="9">
        <f t="shared" si="7"/>
        <v>0</v>
      </c>
      <c r="F72" s="9">
        <f t="shared" si="7"/>
        <v>0</v>
      </c>
      <c r="G72" s="9">
        <f t="shared" si="7"/>
        <v>0</v>
      </c>
      <c r="H72" s="34">
        <f t="shared" si="7"/>
        <v>-35638.181771801988</v>
      </c>
      <c r="I72" s="34">
        <f t="shared" si="7"/>
        <v>-35638.181771801988</v>
      </c>
      <c r="J72" s="9">
        <f t="shared" si="7"/>
        <v>0</v>
      </c>
      <c r="K72" s="9">
        <f t="shared" si="7"/>
        <v>0</v>
      </c>
      <c r="L72" s="32" t="s">
        <v>178</v>
      </c>
    </row>
    <row r="73" spans="1:12" ht="19.05" customHeight="1" x14ac:dyDescent="0.3">
      <c r="B73" s="34">
        <f t="shared" si="7"/>
        <v>35638.181771801988</v>
      </c>
      <c r="C73" s="34">
        <f t="shared" si="7"/>
        <v>35638.181771801988</v>
      </c>
      <c r="D73" s="9">
        <f t="shared" si="7"/>
        <v>0</v>
      </c>
      <c r="E73" s="9">
        <f t="shared" si="7"/>
        <v>0</v>
      </c>
      <c r="F73" s="9">
        <f t="shared" si="7"/>
        <v>0</v>
      </c>
      <c r="G73" s="9">
        <f t="shared" si="7"/>
        <v>0</v>
      </c>
      <c r="H73" s="34">
        <f t="shared" si="7"/>
        <v>-35638.181771801988</v>
      </c>
      <c r="I73" s="34">
        <f t="shared" si="7"/>
        <v>-35638.181771801988</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-35638.181771801988</v>
      </c>
      <c r="C78" s="34">
        <f t="shared" si="7"/>
        <v>-35638.181771801988</v>
      </c>
      <c r="D78" s="9">
        <f t="shared" si="7"/>
        <v>0</v>
      </c>
      <c r="E78" s="9">
        <f t="shared" si="7"/>
        <v>0</v>
      </c>
      <c r="F78" s="9">
        <f t="shared" si="7"/>
        <v>0</v>
      </c>
      <c r="G78" s="9">
        <f t="shared" si="7"/>
        <v>0</v>
      </c>
      <c r="H78" s="34">
        <f t="shared" si="7"/>
        <v>35638.181771801988</v>
      </c>
      <c r="I78" s="34">
        <f t="shared" si="7"/>
        <v>35638.181771801988</v>
      </c>
      <c r="J78" s="9">
        <f t="shared" si="7"/>
        <v>0</v>
      </c>
      <c r="K78" s="9">
        <f t="shared" si="7"/>
        <v>0</v>
      </c>
      <c r="L78" s="32" t="s">
        <v>184</v>
      </c>
    </row>
    <row r="79" spans="1:12" ht="19.05" customHeight="1" x14ac:dyDescent="0.3">
      <c r="B79" s="34">
        <f t="shared" si="7"/>
        <v>-35638.181771801988</v>
      </c>
      <c r="C79" s="34">
        <f t="shared" si="7"/>
        <v>-35638.181771801988</v>
      </c>
      <c r="D79" s="9">
        <f t="shared" si="7"/>
        <v>0</v>
      </c>
      <c r="E79" s="9">
        <f t="shared" si="7"/>
        <v>0</v>
      </c>
      <c r="F79" s="9">
        <f t="shared" si="7"/>
        <v>0</v>
      </c>
      <c r="G79" s="9">
        <f t="shared" si="7"/>
        <v>0</v>
      </c>
      <c r="H79" s="34">
        <f t="shared" si="7"/>
        <v>35638.181771801988</v>
      </c>
      <c r="I79" s="34">
        <f t="shared" si="7"/>
        <v>35638.181771801988</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U5X</v>
      </c>
      <c r="E84" s="45" t="str">
        <f>CONCATENATE("U",F20,F$16)</f>
        <v>U5Y</v>
      </c>
    </row>
    <row r="85" spans="1:12" x14ac:dyDescent="0.3">
      <c r="B85" s="46">
        <f>J9*J9*N9</f>
        <v>35638.181771801988</v>
      </c>
      <c r="C85" s="46">
        <f>J9*K9*N9</f>
        <v>35638.181771801988</v>
      </c>
      <c r="D85" s="46">
        <f>-B85</f>
        <v>-35638.181771801988</v>
      </c>
      <c r="E85" s="46">
        <f>-C85</f>
        <v>-35638.181771801988</v>
      </c>
      <c r="F85" s="45" t="str">
        <f>B84</f>
        <v>U4X</v>
      </c>
    </row>
    <row r="86" spans="1:12" ht="16.8" customHeight="1" x14ac:dyDescent="0.3">
      <c r="A86" s="28" t="s">
        <v>195</v>
      </c>
      <c r="B86" s="46">
        <f>C85</f>
        <v>35638.181771801988</v>
      </c>
      <c r="C86" s="46">
        <f>K9*K9*N9</f>
        <v>35638.181771801988</v>
      </c>
      <c r="D86" s="46">
        <f>-B86</f>
        <v>-35638.181771801988</v>
      </c>
      <c r="E86" s="46">
        <f>-C86</f>
        <v>-35638.181771801988</v>
      </c>
      <c r="F86" s="45" t="str">
        <f>C84</f>
        <v>U4Y</v>
      </c>
    </row>
    <row r="87" spans="1:12" x14ac:dyDescent="0.3">
      <c r="B87" s="46">
        <f>D85</f>
        <v>-35638.181771801988</v>
      </c>
      <c r="C87" s="46">
        <f>E85</f>
        <v>-35638.181771801988</v>
      </c>
      <c r="D87" s="46">
        <f>B85</f>
        <v>35638.181771801988</v>
      </c>
      <c r="E87" s="46">
        <f>C85</f>
        <v>35638.181771801988</v>
      </c>
      <c r="F87" s="45" t="str">
        <f>D84</f>
        <v>U5X</v>
      </c>
    </row>
    <row r="88" spans="1:12" x14ac:dyDescent="0.3">
      <c r="B88" s="46">
        <f>D86</f>
        <v>-35638.181771801988</v>
      </c>
      <c r="C88" s="46">
        <f>E86</f>
        <v>-35638.181771801988</v>
      </c>
      <c r="D88" s="46">
        <f>B86</f>
        <v>35638.181771801988</v>
      </c>
      <c r="E88" s="46">
        <f>C86</f>
        <v>35638.181771801988</v>
      </c>
      <c r="F88" s="45" t="str">
        <f>E84</f>
        <v>U5Y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180</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9">
        <f t="shared" si="8"/>
        <v>0</v>
      </c>
      <c r="E97" s="9">
        <f t="shared" si="8"/>
        <v>0</v>
      </c>
      <c r="F97" s="9">
        <f t="shared" si="8"/>
        <v>0</v>
      </c>
      <c r="G97" s="9">
        <f t="shared" si="8"/>
        <v>0</v>
      </c>
      <c r="H97" s="47">
        <f t="shared" si="8"/>
        <v>35638.181771801988</v>
      </c>
      <c r="I97" s="47">
        <f t="shared" si="8"/>
        <v>35638.181771801988</v>
      </c>
      <c r="J97" s="47">
        <f t="shared" si="8"/>
        <v>-35638.181771801988</v>
      </c>
      <c r="K97" s="47">
        <f t="shared" si="8"/>
        <v>-35638.181771801988</v>
      </c>
      <c r="L97" s="45" t="s">
        <v>184</v>
      </c>
    </row>
    <row r="98" spans="1:12" ht="19.05" customHeight="1" x14ac:dyDescent="0.3">
      <c r="B98" s="9">
        <f t="shared" si="8"/>
        <v>0</v>
      </c>
      <c r="C98" s="9">
        <f t="shared" si="8"/>
        <v>0</v>
      </c>
      <c r="D98" s="9">
        <f t="shared" si="8"/>
        <v>0</v>
      </c>
      <c r="E98" s="9">
        <f t="shared" si="8"/>
        <v>0</v>
      </c>
      <c r="F98" s="9">
        <f t="shared" si="8"/>
        <v>0</v>
      </c>
      <c r="G98" s="9">
        <f t="shared" si="8"/>
        <v>0</v>
      </c>
      <c r="H98" s="47">
        <f t="shared" si="8"/>
        <v>35638.181771801988</v>
      </c>
      <c r="I98" s="47">
        <f t="shared" si="8"/>
        <v>35638.181771801988</v>
      </c>
      <c r="J98" s="47">
        <f t="shared" si="8"/>
        <v>-35638.181771801988</v>
      </c>
      <c r="K98" s="47">
        <f t="shared" si="8"/>
        <v>-35638.181771801988</v>
      </c>
      <c r="L98" s="45" t="s">
        <v>185</v>
      </c>
    </row>
    <row r="99" spans="1:12" ht="19.05" customHeight="1" x14ac:dyDescent="0.3">
      <c r="B99" s="9">
        <f t="shared" si="8"/>
        <v>0</v>
      </c>
      <c r="C99" s="9">
        <f t="shared" si="8"/>
        <v>0</v>
      </c>
      <c r="D99" s="9">
        <f t="shared" si="8"/>
        <v>0</v>
      </c>
      <c r="E99" s="9">
        <f t="shared" si="8"/>
        <v>0</v>
      </c>
      <c r="F99" s="9">
        <f t="shared" si="8"/>
        <v>0</v>
      </c>
      <c r="G99" s="9">
        <f t="shared" si="8"/>
        <v>0</v>
      </c>
      <c r="H99" s="47">
        <f t="shared" si="8"/>
        <v>-35638.181771801988</v>
      </c>
      <c r="I99" s="47">
        <f t="shared" si="8"/>
        <v>-35638.181771801988</v>
      </c>
      <c r="J99" s="47">
        <f t="shared" si="8"/>
        <v>35638.181771801988</v>
      </c>
      <c r="K99" s="47">
        <f t="shared" si="8"/>
        <v>35638.181771801988</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47">
        <f t="shared" si="8"/>
        <v>-35638.181771801988</v>
      </c>
      <c r="I100" s="47">
        <f t="shared" si="8"/>
        <v>-35638.181771801988</v>
      </c>
      <c r="J100" s="47">
        <f t="shared" si="8"/>
        <v>35638.181771801988</v>
      </c>
      <c r="K100" s="47">
        <f t="shared" si="8"/>
        <v>35638.181771801988</v>
      </c>
      <c r="L100" s="45" t="s">
        <v>187</v>
      </c>
    </row>
    <row r="103" spans="1:12" ht="18" customHeight="1" x14ac:dyDescent="0.3">
      <c r="B103" s="48" t="str">
        <f>CONCATENATE("U",C21,C$16)</f>
        <v>U5X</v>
      </c>
      <c r="C103" s="48" t="str">
        <f>CONCATENATE("U",D21,D$16)</f>
        <v>U5Y</v>
      </c>
      <c r="D103" s="48" t="str">
        <f>CONCATENATE("U",E21,E$16)</f>
        <v>U3X</v>
      </c>
      <c r="E103" s="48" t="str">
        <f>CONCATENATE("U",F21,F$16)</f>
        <v>U3Y</v>
      </c>
    </row>
    <row r="104" spans="1:12" x14ac:dyDescent="0.3">
      <c r="B104" s="49">
        <f>J10*J10*N10</f>
        <v>17819.090885900994</v>
      </c>
      <c r="C104" s="49">
        <f>J10*K10*N10</f>
        <v>-17819.090885900994</v>
      </c>
      <c r="D104" s="49">
        <f>-B104</f>
        <v>-17819.090885900994</v>
      </c>
      <c r="E104" s="49">
        <f>-C104</f>
        <v>17819.090885900994</v>
      </c>
      <c r="F104" s="48" t="str">
        <f>B103</f>
        <v>U5X</v>
      </c>
    </row>
    <row r="105" spans="1:12" ht="16.8" customHeight="1" x14ac:dyDescent="0.3">
      <c r="A105" s="28" t="s">
        <v>197</v>
      </c>
      <c r="B105" s="49">
        <f>C104</f>
        <v>-17819.090885900994</v>
      </c>
      <c r="C105" s="49">
        <f>K10*K10*N10</f>
        <v>17819.090885900994</v>
      </c>
      <c r="D105" s="49">
        <f>-B105</f>
        <v>17819.090885900994</v>
      </c>
      <c r="E105" s="49">
        <f>-C105</f>
        <v>-17819.090885900994</v>
      </c>
      <c r="F105" s="48" t="str">
        <f>C103</f>
        <v>U5Y</v>
      </c>
    </row>
    <row r="106" spans="1:12" x14ac:dyDescent="0.3">
      <c r="B106" s="49">
        <f>D104</f>
        <v>-17819.090885900994</v>
      </c>
      <c r="C106" s="49">
        <f>E104</f>
        <v>17819.090885900994</v>
      </c>
      <c r="D106" s="49">
        <f>B104</f>
        <v>17819.090885900994</v>
      </c>
      <c r="E106" s="49">
        <f>C104</f>
        <v>-17819.090885900994</v>
      </c>
      <c r="F106" s="48" t="str">
        <f>D103</f>
        <v>U3X</v>
      </c>
    </row>
    <row r="107" spans="1:12" x14ac:dyDescent="0.3">
      <c r="B107" s="49">
        <f>D105</f>
        <v>17819.090885900994</v>
      </c>
      <c r="C107" s="49">
        <f>E105</f>
        <v>-17819.090885900994</v>
      </c>
      <c r="D107" s="49">
        <f>B105</f>
        <v>-17819.090885900994</v>
      </c>
      <c r="E107" s="49">
        <f>C105</f>
        <v>17819.090885900994</v>
      </c>
      <c r="F107" s="48" t="str">
        <f>E103</f>
        <v>U3Y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50">
        <f t="shared" si="9"/>
        <v>17819.090885900994</v>
      </c>
      <c r="G114" s="50">
        <f t="shared" si="9"/>
        <v>-17819.090885900994</v>
      </c>
      <c r="H114" s="9">
        <f t="shared" si="9"/>
        <v>0</v>
      </c>
      <c r="I114" s="9">
        <f t="shared" si="9"/>
        <v>0</v>
      </c>
      <c r="J114" s="50">
        <f t="shared" si="9"/>
        <v>-17819.090885900994</v>
      </c>
      <c r="K114" s="50">
        <f t="shared" si="9"/>
        <v>17819.090885900994</v>
      </c>
      <c r="L114" s="48" t="s">
        <v>182</v>
      </c>
    </row>
    <row r="115" spans="1:12" ht="19.05" customHeight="1" x14ac:dyDescent="0.3">
      <c r="B115" s="9">
        <f t="shared" si="9"/>
        <v>0</v>
      </c>
      <c r="C115" s="9">
        <f t="shared" si="9"/>
        <v>0</v>
      </c>
      <c r="D115" s="9">
        <f t="shared" si="9"/>
        <v>0</v>
      </c>
      <c r="E115" s="9">
        <f t="shared" si="9"/>
        <v>0</v>
      </c>
      <c r="F115" s="50">
        <f t="shared" si="9"/>
        <v>-17819.090885900994</v>
      </c>
      <c r="G115" s="50">
        <f t="shared" si="9"/>
        <v>17819.090885900994</v>
      </c>
      <c r="H115" s="9">
        <f t="shared" si="9"/>
        <v>0</v>
      </c>
      <c r="I115" s="9">
        <f t="shared" si="9"/>
        <v>0</v>
      </c>
      <c r="J115" s="50">
        <f t="shared" si="9"/>
        <v>17819.090885900994</v>
      </c>
      <c r="K115" s="50">
        <f t="shared" si="9"/>
        <v>-17819.090885900994</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185</v>
      </c>
    </row>
    <row r="118" spans="1:12" ht="19.05" customHeight="1" x14ac:dyDescent="0.3">
      <c r="B118" s="9">
        <f t="shared" si="9"/>
        <v>0</v>
      </c>
      <c r="C118" s="9">
        <f t="shared" si="9"/>
        <v>0</v>
      </c>
      <c r="D118" s="9">
        <f t="shared" si="9"/>
        <v>0</v>
      </c>
      <c r="E118" s="9">
        <f t="shared" si="9"/>
        <v>0</v>
      </c>
      <c r="F118" s="50">
        <f t="shared" si="9"/>
        <v>-17819.090885900994</v>
      </c>
      <c r="G118" s="50">
        <f t="shared" si="9"/>
        <v>17819.090885900994</v>
      </c>
      <c r="H118" s="9">
        <f t="shared" si="9"/>
        <v>0</v>
      </c>
      <c r="I118" s="9">
        <f t="shared" si="9"/>
        <v>0</v>
      </c>
      <c r="J118" s="50">
        <f t="shared" si="9"/>
        <v>17819.090885900994</v>
      </c>
      <c r="K118" s="50">
        <f t="shared" si="9"/>
        <v>-17819.090885900994</v>
      </c>
      <c r="L118" s="48" t="s">
        <v>186</v>
      </c>
    </row>
    <row r="119" spans="1:12" ht="19.05" customHeight="1" x14ac:dyDescent="0.3">
      <c r="B119" s="9">
        <f t="shared" si="9"/>
        <v>0</v>
      </c>
      <c r="C119" s="9">
        <f t="shared" si="9"/>
        <v>0</v>
      </c>
      <c r="D119" s="9">
        <f t="shared" si="9"/>
        <v>0</v>
      </c>
      <c r="E119" s="9">
        <f t="shared" si="9"/>
        <v>0</v>
      </c>
      <c r="F119" s="50">
        <f t="shared" si="9"/>
        <v>17819.090885900994</v>
      </c>
      <c r="G119" s="50">
        <f t="shared" si="9"/>
        <v>-17819.090885900994</v>
      </c>
      <c r="H119" s="9">
        <f t="shared" si="9"/>
        <v>0</v>
      </c>
      <c r="I119" s="9">
        <f t="shared" si="9"/>
        <v>0</v>
      </c>
      <c r="J119" s="50">
        <f t="shared" si="9"/>
        <v>-17819.090885900994</v>
      </c>
      <c r="K119" s="50">
        <f t="shared" si="9"/>
        <v>17819.090885900994</v>
      </c>
      <c r="L119" s="48" t="s">
        <v>187</v>
      </c>
    </row>
    <row r="122" spans="1:12" ht="18" customHeight="1" x14ac:dyDescent="0.3">
      <c r="B122" s="53" t="str">
        <f>CONCATENATE("U",C22,C$16)</f>
        <v>U4X</v>
      </c>
      <c r="C122" s="53" t="str">
        <f>CONCATENATE("U",D22,D$16)</f>
        <v>U4Y</v>
      </c>
      <c r="D122" s="53" t="str">
        <f>CONCATENATE("U",E22,E$16)</f>
        <v>U2X</v>
      </c>
      <c r="E122" s="53" t="str">
        <f>CONCATENATE("U",F22,F$16)</f>
        <v>U2Y</v>
      </c>
    </row>
    <row r="123" spans="1:12" x14ac:dyDescent="0.3">
      <c r="B123" s="54">
        <f>J11*J11*N11</f>
        <v>35638.181771801988</v>
      </c>
      <c r="C123" s="54">
        <f>J11*K11*N11</f>
        <v>-35638.181771801988</v>
      </c>
      <c r="D123" s="54">
        <f>-B123</f>
        <v>-35638.181771801988</v>
      </c>
      <c r="E123" s="54">
        <f>-C123</f>
        <v>35638.181771801988</v>
      </c>
      <c r="F123" s="53" t="str">
        <f>B122</f>
        <v>U4X</v>
      </c>
    </row>
    <row r="124" spans="1:12" ht="16.8" customHeight="1" x14ac:dyDescent="0.3">
      <c r="A124" s="28" t="s">
        <v>199</v>
      </c>
      <c r="B124" s="54">
        <f>C123</f>
        <v>-35638.181771801988</v>
      </c>
      <c r="C124" s="54">
        <f>K11*K11*N11</f>
        <v>35638.181771801988</v>
      </c>
      <c r="D124" s="54">
        <f>-B124</f>
        <v>35638.181771801988</v>
      </c>
      <c r="E124" s="54">
        <f>-C124</f>
        <v>-35638.181771801988</v>
      </c>
      <c r="F124" s="53" t="str">
        <f>C122</f>
        <v>U4Y</v>
      </c>
    </row>
    <row r="125" spans="1:12" x14ac:dyDescent="0.3">
      <c r="B125" s="54">
        <f>D123</f>
        <v>-35638.181771801988</v>
      </c>
      <c r="C125" s="54">
        <f>E123</f>
        <v>35638.181771801988</v>
      </c>
      <c r="D125" s="54">
        <f>B123</f>
        <v>35638.181771801988</v>
      </c>
      <c r="E125" s="54">
        <f>C123</f>
        <v>-35638.181771801988</v>
      </c>
      <c r="F125" s="53" t="str">
        <f>D122</f>
        <v>U2X</v>
      </c>
    </row>
    <row r="126" spans="1:12" x14ac:dyDescent="0.3">
      <c r="B126" s="54">
        <f>D124</f>
        <v>35638.181771801988</v>
      </c>
      <c r="C126" s="54">
        <f>E124</f>
        <v>-35638.181771801988</v>
      </c>
      <c r="D126" s="54">
        <f>B124</f>
        <v>-35638.181771801988</v>
      </c>
      <c r="E126" s="54">
        <f>C124</f>
        <v>35638.181771801988</v>
      </c>
      <c r="F126" s="53" t="str">
        <f>E122</f>
        <v>U2Y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35638.181771801988</v>
      </c>
      <c r="E131" s="55">
        <f t="shared" si="10"/>
        <v>-35638.181771801988</v>
      </c>
      <c r="F131" s="9">
        <f t="shared" si="10"/>
        <v>0</v>
      </c>
      <c r="G131" s="9">
        <f t="shared" si="10"/>
        <v>0</v>
      </c>
      <c r="H131" s="55">
        <f t="shared" si="10"/>
        <v>-35638.181771801988</v>
      </c>
      <c r="I131" s="55">
        <f t="shared" si="10"/>
        <v>35638.181771801988</v>
      </c>
      <c r="J131" s="9">
        <f t="shared" si="10"/>
        <v>0</v>
      </c>
      <c r="K131" s="9">
        <f t="shared" si="10"/>
        <v>0</v>
      </c>
      <c r="L131" s="53" t="s">
        <v>180</v>
      </c>
    </row>
    <row r="132" spans="1:12" ht="19.05" customHeight="1" x14ac:dyDescent="0.3">
      <c r="B132" s="9">
        <f t="shared" si="10"/>
        <v>0</v>
      </c>
      <c r="C132" s="9">
        <f t="shared" si="10"/>
        <v>0</v>
      </c>
      <c r="D132" s="55">
        <f t="shared" si="10"/>
        <v>-35638.181771801988</v>
      </c>
      <c r="E132" s="55">
        <f t="shared" si="10"/>
        <v>35638.181771801988</v>
      </c>
      <c r="F132" s="9">
        <f t="shared" si="10"/>
        <v>0</v>
      </c>
      <c r="G132" s="9">
        <f t="shared" si="10"/>
        <v>0</v>
      </c>
      <c r="H132" s="55">
        <f t="shared" si="10"/>
        <v>35638.181771801988</v>
      </c>
      <c r="I132" s="55">
        <f t="shared" si="10"/>
        <v>-35638.181771801988</v>
      </c>
      <c r="J132" s="9">
        <f t="shared" si="10"/>
        <v>0</v>
      </c>
      <c r="K132" s="9">
        <f t="shared" si="10"/>
        <v>0</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55">
        <f t="shared" si="10"/>
        <v>-35638.181771801988</v>
      </c>
      <c r="E135" s="55">
        <f t="shared" si="10"/>
        <v>35638.181771801988</v>
      </c>
      <c r="F135" s="9">
        <f t="shared" si="10"/>
        <v>0</v>
      </c>
      <c r="G135" s="9">
        <f t="shared" si="10"/>
        <v>0</v>
      </c>
      <c r="H135" s="55">
        <f t="shared" si="10"/>
        <v>35638.181771801988</v>
      </c>
      <c r="I135" s="55">
        <f t="shared" si="10"/>
        <v>-35638.181771801988</v>
      </c>
      <c r="J135" s="9">
        <f t="shared" si="10"/>
        <v>0</v>
      </c>
      <c r="K135" s="9">
        <f t="shared" si="10"/>
        <v>0</v>
      </c>
      <c r="L135" s="53" t="s">
        <v>184</v>
      </c>
    </row>
    <row r="136" spans="1:12" ht="19.05" customHeight="1" x14ac:dyDescent="0.3">
      <c r="B136" s="9">
        <f t="shared" si="10"/>
        <v>0</v>
      </c>
      <c r="C136" s="9">
        <f t="shared" si="10"/>
        <v>0</v>
      </c>
      <c r="D136" s="55">
        <f t="shared" si="10"/>
        <v>35638.181771801988</v>
      </c>
      <c r="E136" s="55">
        <f t="shared" si="10"/>
        <v>-35638.181771801988</v>
      </c>
      <c r="F136" s="9">
        <f t="shared" si="10"/>
        <v>0</v>
      </c>
      <c r="G136" s="9">
        <f t="shared" si="10"/>
        <v>0</v>
      </c>
      <c r="H136" s="55">
        <f t="shared" si="10"/>
        <v>-35638.181771801988</v>
      </c>
      <c r="I136" s="55">
        <f t="shared" si="10"/>
        <v>35638.181771801988</v>
      </c>
      <c r="J136" s="9">
        <f t="shared" si="10"/>
        <v>0</v>
      </c>
      <c r="K136" s="9">
        <f t="shared" si="10"/>
        <v>0</v>
      </c>
      <c r="L136" s="53" t="s">
        <v>185</v>
      </c>
    </row>
    <row r="137" spans="1:12"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53" t="s">
        <v>186</v>
      </c>
    </row>
    <row r="138" spans="1:12" ht="19.05" customHeight="1" x14ac:dyDescent="0.3">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53" t="s">
        <v>187</v>
      </c>
    </row>
    <row r="141" spans="1:12" ht="18" customHeight="1" x14ac:dyDescent="0.3">
      <c r="B141" s="56" t="str">
        <f>CONCATENATE("U",C23,C$16)</f>
        <v>U2X</v>
      </c>
      <c r="C141" s="56" t="str">
        <f>CONCATENATE("U",D23,D$16)</f>
        <v>U2Y</v>
      </c>
      <c r="D141" s="56" t="str">
        <f>CONCATENATE("U",E23,E$16)</f>
        <v>U5X</v>
      </c>
      <c r="E141" s="56" t="str">
        <f>CONCATENATE("U",F23,F$16)</f>
        <v>U5Y</v>
      </c>
    </row>
    <row r="142" spans="1:12" x14ac:dyDescent="0.3">
      <c r="B142" s="57">
        <f>J12*J12*N12</f>
        <v>0</v>
      </c>
      <c r="C142" s="57">
        <f>J12*K12*N12</f>
        <v>0</v>
      </c>
      <c r="D142" s="57">
        <f>-B142</f>
        <v>0</v>
      </c>
      <c r="E142" s="57">
        <f>-C142</f>
        <v>0</v>
      </c>
      <c r="F142" s="56" t="str">
        <f>B141</f>
        <v>U2X</v>
      </c>
    </row>
    <row r="143" spans="1:12" ht="16.8" customHeight="1" x14ac:dyDescent="0.3">
      <c r="A143" s="28" t="s">
        <v>201</v>
      </c>
      <c r="B143" s="57">
        <f>C142</f>
        <v>0</v>
      </c>
      <c r="C143" s="57">
        <f>K12*K12*N12</f>
        <v>50400</v>
      </c>
      <c r="D143" s="57">
        <f>-B143</f>
        <v>0</v>
      </c>
      <c r="E143" s="57">
        <f>-C143</f>
        <v>-50400</v>
      </c>
      <c r="F143" s="56" t="str">
        <f>C141</f>
        <v>U2Y</v>
      </c>
    </row>
    <row r="144" spans="1:12" x14ac:dyDescent="0.3">
      <c r="B144" s="57">
        <f>D142</f>
        <v>0</v>
      </c>
      <c r="C144" s="57">
        <f>E142</f>
        <v>0</v>
      </c>
      <c r="D144" s="57">
        <f>B142</f>
        <v>0</v>
      </c>
      <c r="E144" s="57">
        <f>C142</f>
        <v>0</v>
      </c>
      <c r="F144" s="56" t="str">
        <f>D141</f>
        <v>U5X</v>
      </c>
    </row>
    <row r="145" spans="1:12" x14ac:dyDescent="0.3">
      <c r="B145" s="57">
        <f>D143</f>
        <v>0</v>
      </c>
      <c r="C145" s="57">
        <f>E143</f>
        <v>-50400</v>
      </c>
      <c r="D145" s="57">
        <f>B143</f>
        <v>0</v>
      </c>
      <c r="E145" s="57">
        <f>C143</f>
        <v>50400</v>
      </c>
      <c r="F145" s="56" t="str">
        <f>E141</f>
        <v>U5Y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58">
        <f t="shared" si="11"/>
        <v>0</v>
      </c>
      <c r="E150" s="58">
        <f t="shared" si="11"/>
        <v>0</v>
      </c>
      <c r="F150" s="9">
        <f t="shared" si="11"/>
        <v>0</v>
      </c>
      <c r="G150" s="9">
        <f t="shared" si="11"/>
        <v>0</v>
      </c>
      <c r="H150" s="9">
        <f t="shared" si="11"/>
        <v>0</v>
      </c>
      <c r="I150" s="9">
        <f t="shared" si="11"/>
        <v>0</v>
      </c>
      <c r="J150" s="58">
        <f t="shared" si="11"/>
        <v>0</v>
      </c>
      <c r="K150" s="58">
        <f t="shared" si="11"/>
        <v>0</v>
      </c>
      <c r="L150" s="56" t="s">
        <v>180</v>
      </c>
    </row>
    <row r="151" spans="1:12" ht="19.05" customHeight="1" x14ac:dyDescent="0.3">
      <c r="B151" s="9">
        <f t="shared" si="11"/>
        <v>0</v>
      </c>
      <c r="C151" s="9">
        <f t="shared" si="11"/>
        <v>0</v>
      </c>
      <c r="D151" s="58">
        <f t="shared" si="11"/>
        <v>0</v>
      </c>
      <c r="E151" s="58">
        <f t="shared" si="11"/>
        <v>50400</v>
      </c>
      <c r="F151" s="9">
        <f t="shared" si="11"/>
        <v>0</v>
      </c>
      <c r="G151" s="9">
        <f t="shared" si="11"/>
        <v>0</v>
      </c>
      <c r="H151" s="9">
        <f t="shared" si="11"/>
        <v>0</v>
      </c>
      <c r="I151" s="9">
        <f t="shared" si="11"/>
        <v>0</v>
      </c>
      <c r="J151" s="58">
        <f t="shared" si="11"/>
        <v>0</v>
      </c>
      <c r="K151" s="58">
        <f t="shared" si="11"/>
        <v>-50400</v>
      </c>
      <c r="L151" s="56" t="s">
        <v>181</v>
      </c>
    </row>
    <row r="152" spans="1:12" ht="19.05" customHeight="1" x14ac:dyDescent="0.3">
      <c r="A152" s="28" t="s">
        <v>202</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182</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58">
        <f t="shared" si="11"/>
        <v>0</v>
      </c>
      <c r="E156" s="58">
        <f t="shared" si="11"/>
        <v>0</v>
      </c>
      <c r="F156" s="9">
        <f t="shared" si="11"/>
        <v>0</v>
      </c>
      <c r="G156" s="9">
        <f t="shared" si="11"/>
        <v>0</v>
      </c>
      <c r="H156" s="9">
        <f t="shared" si="11"/>
        <v>0</v>
      </c>
      <c r="I156" s="9">
        <f t="shared" si="11"/>
        <v>0</v>
      </c>
      <c r="J156" s="58">
        <f t="shared" si="11"/>
        <v>0</v>
      </c>
      <c r="K156" s="58">
        <f t="shared" si="11"/>
        <v>0</v>
      </c>
      <c r="L156" s="56" t="s">
        <v>186</v>
      </c>
    </row>
    <row r="157" spans="1:12" ht="19.05" customHeight="1" x14ac:dyDescent="0.3">
      <c r="B157" s="9">
        <f t="shared" si="11"/>
        <v>0</v>
      </c>
      <c r="C157" s="9">
        <f t="shared" si="11"/>
        <v>0</v>
      </c>
      <c r="D157" s="58">
        <f t="shared" si="11"/>
        <v>0</v>
      </c>
      <c r="E157" s="58">
        <f t="shared" si="11"/>
        <v>-50400</v>
      </c>
      <c r="F157" s="9">
        <f t="shared" si="11"/>
        <v>0</v>
      </c>
      <c r="G157" s="9">
        <f t="shared" si="11"/>
        <v>0</v>
      </c>
      <c r="H157" s="9">
        <f t="shared" si="11"/>
        <v>0</v>
      </c>
      <c r="I157" s="9">
        <f t="shared" si="11"/>
        <v>0</v>
      </c>
      <c r="J157" s="58">
        <f t="shared" si="11"/>
        <v>0</v>
      </c>
      <c r="K157" s="58">
        <f t="shared" si="11"/>
        <v>50400</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17819.090885900994</v>
      </c>
      <c r="C161" s="62">
        <f>J13*K13*N13</f>
        <v>17819.090885900994</v>
      </c>
      <c r="D161" s="62">
        <f>-B161</f>
        <v>-17819.090885900994</v>
      </c>
      <c r="E161" s="62">
        <f>-C161</f>
        <v>-17819.090885900994</v>
      </c>
      <c r="F161" s="61" t="str">
        <f>B160</f>
        <v>U1X</v>
      </c>
    </row>
    <row r="162" spans="1:12" ht="16.8" customHeight="1" x14ac:dyDescent="0.3">
      <c r="A162" s="28" t="s">
        <v>203</v>
      </c>
      <c r="B162" s="62">
        <f>C161</f>
        <v>17819.090885900994</v>
      </c>
      <c r="C162" s="62">
        <f>K13*K13*N13</f>
        <v>17819.090885900994</v>
      </c>
      <c r="D162" s="62">
        <f>-B162</f>
        <v>-17819.090885900994</v>
      </c>
      <c r="E162" s="62">
        <f>-C162</f>
        <v>-17819.090885900994</v>
      </c>
      <c r="F162" s="61" t="str">
        <f>C160</f>
        <v>U1Y</v>
      </c>
    </row>
    <row r="163" spans="1:12" x14ac:dyDescent="0.3">
      <c r="B163" s="62">
        <f>D161</f>
        <v>-17819.090885900994</v>
      </c>
      <c r="C163" s="62">
        <f>E161</f>
        <v>-17819.090885900994</v>
      </c>
      <c r="D163" s="62">
        <f>B161</f>
        <v>17819.090885900994</v>
      </c>
      <c r="E163" s="62">
        <f>C161</f>
        <v>17819.090885900994</v>
      </c>
      <c r="F163" s="61" t="str">
        <f>D160</f>
        <v>U5X</v>
      </c>
    </row>
    <row r="164" spans="1:12" x14ac:dyDescent="0.3">
      <c r="B164" s="62">
        <f>D162</f>
        <v>-17819.090885900994</v>
      </c>
      <c r="C164" s="62">
        <f>E162</f>
        <v>-17819.090885900994</v>
      </c>
      <c r="D164" s="62">
        <f>B162</f>
        <v>17819.090885900994</v>
      </c>
      <c r="E164" s="62">
        <f>C162</f>
        <v>17819.090885900994</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17819.090885900994</v>
      </c>
      <c r="C167" s="63">
        <f t="shared" si="12"/>
        <v>17819.090885900994</v>
      </c>
      <c r="D167" s="9">
        <f t="shared" si="12"/>
        <v>0</v>
      </c>
      <c r="E167" s="9">
        <f t="shared" si="12"/>
        <v>0</v>
      </c>
      <c r="F167" s="9">
        <f t="shared" si="12"/>
        <v>0</v>
      </c>
      <c r="G167" s="9">
        <f t="shared" si="12"/>
        <v>0</v>
      </c>
      <c r="H167" s="9">
        <f t="shared" si="12"/>
        <v>0</v>
      </c>
      <c r="I167" s="9">
        <f t="shared" si="12"/>
        <v>0</v>
      </c>
      <c r="J167" s="63">
        <f t="shared" si="12"/>
        <v>-17819.090885900994</v>
      </c>
      <c r="K167" s="63">
        <f t="shared" si="12"/>
        <v>-17819.090885900994</v>
      </c>
      <c r="L167" s="61" t="s">
        <v>178</v>
      </c>
    </row>
    <row r="168" spans="1:12" ht="19.05" customHeight="1" x14ac:dyDescent="0.3">
      <c r="B168" s="63">
        <f t="shared" si="12"/>
        <v>17819.090885900994</v>
      </c>
      <c r="C168" s="63">
        <f t="shared" si="12"/>
        <v>17819.090885900994</v>
      </c>
      <c r="D168" s="9">
        <f t="shared" si="12"/>
        <v>0</v>
      </c>
      <c r="E168" s="9">
        <f t="shared" si="12"/>
        <v>0</v>
      </c>
      <c r="F168" s="9">
        <f t="shared" si="12"/>
        <v>0</v>
      </c>
      <c r="G168" s="9">
        <f t="shared" si="12"/>
        <v>0</v>
      </c>
      <c r="H168" s="9">
        <f t="shared" si="12"/>
        <v>0</v>
      </c>
      <c r="I168" s="9">
        <f t="shared" si="12"/>
        <v>0</v>
      </c>
      <c r="J168" s="63">
        <f t="shared" si="12"/>
        <v>-17819.090885900994</v>
      </c>
      <c r="K168" s="63">
        <f t="shared" si="12"/>
        <v>-17819.090885900994</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-17819.090885900994</v>
      </c>
      <c r="C175" s="63">
        <f t="shared" si="12"/>
        <v>-17819.090885900994</v>
      </c>
      <c r="D175" s="9">
        <f t="shared" si="12"/>
        <v>0</v>
      </c>
      <c r="E175" s="9">
        <f t="shared" si="12"/>
        <v>0</v>
      </c>
      <c r="F175" s="9">
        <f t="shared" si="12"/>
        <v>0</v>
      </c>
      <c r="G175" s="9">
        <f t="shared" si="12"/>
        <v>0</v>
      </c>
      <c r="H175" s="9">
        <f t="shared" si="12"/>
        <v>0</v>
      </c>
      <c r="I175" s="9">
        <f t="shared" si="12"/>
        <v>0</v>
      </c>
      <c r="J175" s="63">
        <f t="shared" si="12"/>
        <v>17819.090885900994</v>
      </c>
      <c r="K175" s="63">
        <f t="shared" si="12"/>
        <v>17819.090885900994</v>
      </c>
      <c r="L175" s="61" t="s">
        <v>186</v>
      </c>
    </row>
    <row r="176" spans="1:12" ht="19.05" customHeight="1" x14ac:dyDescent="0.3">
      <c r="B176" s="63">
        <f t="shared" si="12"/>
        <v>-17819.090885900994</v>
      </c>
      <c r="C176" s="63">
        <f t="shared" si="12"/>
        <v>-17819.090885900994</v>
      </c>
      <c r="D176" s="9">
        <f t="shared" si="12"/>
        <v>0</v>
      </c>
      <c r="E176" s="9">
        <f t="shared" si="12"/>
        <v>0</v>
      </c>
      <c r="F176" s="9">
        <f t="shared" si="12"/>
        <v>0</v>
      </c>
      <c r="G176" s="9">
        <f t="shared" si="12"/>
        <v>0</v>
      </c>
      <c r="H176" s="9">
        <f t="shared" si="12"/>
        <v>0</v>
      </c>
      <c r="I176" s="9">
        <f t="shared" si="12"/>
        <v>0</v>
      </c>
      <c r="J176" s="63">
        <f t="shared" si="12"/>
        <v>17819.090885900994</v>
      </c>
      <c r="K176" s="63">
        <f t="shared" si="12"/>
        <v>17819.090885900994</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103857.27265770298</v>
      </c>
      <c r="C180" s="36">
        <f t="shared" si="13"/>
        <v>53457.272657702983</v>
      </c>
      <c r="D180" s="9">
        <f t="shared" si="13"/>
        <v>-50400</v>
      </c>
      <c r="E180" s="9">
        <f t="shared" si="13"/>
        <v>0</v>
      </c>
      <c r="F180" s="9">
        <f t="shared" si="13"/>
        <v>0</v>
      </c>
      <c r="G180" s="9">
        <f t="shared" si="13"/>
        <v>0</v>
      </c>
      <c r="H180" s="9">
        <f t="shared" si="13"/>
        <v>-35638.181771801988</v>
      </c>
      <c r="I180" s="9">
        <f t="shared" si="13"/>
        <v>-35638.181771801988</v>
      </c>
      <c r="J180" s="9">
        <f t="shared" si="13"/>
        <v>-17819.090885900994</v>
      </c>
      <c r="K180" s="9">
        <f t="shared" si="13"/>
        <v>-17819.090885900994</v>
      </c>
      <c r="L180" s="89" t="s">
        <v>178</v>
      </c>
    </row>
    <row r="181" spans="1:19" ht="19.95" customHeight="1" x14ac:dyDescent="0.3">
      <c r="B181" s="36">
        <f t="shared" ref="B181:K181" si="14">B35+B54+B73+B92+B111+B130+B149+B168</f>
        <v>53457.272657702983</v>
      </c>
      <c r="C181" s="35">
        <f t="shared" si="14"/>
        <v>53457.272657702983</v>
      </c>
      <c r="D181" s="9">
        <f t="shared" si="14"/>
        <v>0</v>
      </c>
      <c r="E181" s="9">
        <f t="shared" si="14"/>
        <v>0</v>
      </c>
      <c r="F181" s="9">
        <f t="shared" si="14"/>
        <v>0</v>
      </c>
      <c r="G181" s="9">
        <f t="shared" si="14"/>
        <v>0</v>
      </c>
      <c r="H181" s="9">
        <f t="shared" si="14"/>
        <v>-35638.181771801988</v>
      </c>
      <c r="I181" s="9">
        <f t="shared" si="14"/>
        <v>-35638.181771801988</v>
      </c>
      <c r="J181" s="9">
        <f t="shared" si="14"/>
        <v>-17819.090885900994</v>
      </c>
      <c r="K181" s="9">
        <f t="shared" si="14"/>
        <v>-17819.090885900994</v>
      </c>
      <c r="L181" s="89" t="s">
        <v>179</v>
      </c>
    </row>
    <row r="182" spans="1:19" ht="19.95" customHeight="1" x14ac:dyDescent="0.3">
      <c r="B182" s="9">
        <f t="shared" ref="B182:K182" si="15">B36+B55+B74+B93+B112+B131+B150+B169</f>
        <v>-50400</v>
      </c>
      <c r="C182" s="9">
        <f t="shared" si="15"/>
        <v>0</v>
      </c>
      <c r="D182" s="35">
        <f t="shared" si="15"/>
        <v>136438.18177180199</v>
      </c>
      <c r="E182" s="36">
        <f t="shared" si="15"/>
        <v>-35638.181771801988</v>
      </c>
      <c r="F182" s="9">
        <f t="shared" si="15"/>
        <v>-50400</v>
      </c>
      <c r="G182" s="9">
        <f t="shared" si="15"/>
        <v>0</v>
      </c>
      <c r="H182" s="9">
        <f t="shared" si="15"/>
        <v>-35638.181771801988</v>
      </c>
      <c r="I182" s="9">
        <f t="shared" si="15"/>
        <v>35638.181771801988</v>
      </c>
      <c r="J182" s="9">
        <f t="shared" si="15"/>
        <v>0</v>
      </c>
      <c r="K182" s="9">
        <f t="shared" si="15"/>
        <v>0</v>
      </c>
      <c r="L182" s="89" t="s">
        <v>180</v>
      </c>
    </row>
    <row r="183" spans="1:19" ht="19.95" customHeight="1" x14ac:dyDescent="0.3">
      <c r="B183" s="9">
        <f t="shared" ref="B183:K183" si="16">B37+B56+B75+B94+B113+B132+B151+B170</f>
        <v>0</v>
      </c>
      <c r="C183" s="9">
        <f t="shared" si="16"/>
        <v>0</v>
      </c>
      <c r="D183" s="36">
        <f t="shared" si="16"/>
        <v>-35638.181771801988</v>
      </c>
      <c r="E183" s="35">
        <f t="shared" si="16"/>
        <v>86038.181771801988</v>
      </c>
      <c r="F183" s="9">
        <f t="shared" si="16"/>
        <v>0</v>
      </c>
      <c r="G183" s="9">
        <f t="shared" si="16"/>
        <v>0</v>
      </c>
      <c r="H183" s="9">
        <f t="shared" si="16"/>
        <v>35638.181771801988</v>
      </c>
      <c r="I183" s="9">
        <f t="shared" si="16"/>
        <v>-35638.181771801988</v>
      </c>
      <c r="J183" s="9">
        <f t="shared" si="16"/>
        <v>0</v>
      </c>
      <c r="K183" s="9">
        <f t="shared" si="16"/>
        <v>-50400</v>
      </c>
      <c r="L183" s="89" t="s">
        <v>181</v>
      </c>
    </row>
    <row r="184" spans="1:19" ht="19.95" customHeight="1" x14ac:dyDescent="0.3">
      <c r="A184" s="28" t="s">
        <v>205</v>
      </c>
      <c r="B184" s="9">
        <f t="shared" ref="B184:K184" si="17">B38+B57+B76+B95+B114+B133+B152+B171</f>
        <v>0</v>
      </c>
      <c r="C184" s="9">
        <f t="shared" si="17"/>
        <v>0</v>
      </c>
      <c r="D184" s="9">
        <f t="shared" si="17"/>
        <v>-50400</v>
      </c>
      <c r="E184" s="9">
        <f t="shared" si="17"/>
        <v>0</v>
      </c>
      <c r="F184" s="35">
        <f t="shared" si="17"/>
        <v>68219.090885900994</v>
      </c>
      <c r="G184" s="36">
        <f t="shared" si="17"/>
        <v>-17819.090885900994</v>
      </c>
      <c r="H184" s="9">
        <f t="shared" si="17"/>
        <v>0</v>
      </c>
      <c r="I184" s="9">
        <f t="shared" si="17"/>
        <v>0</v>
      </c>
      <c r="J184" s="9">
        <f t="shared" si="17"/>
        <v>-17819.090885900994</v>
      </c>
      <c r="K184" s="9">
        <f t="shared" si="17"/>
        <v>17819.090885900994</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-17819.090885900994</v>
      </c>
      <c r="G185" s="35">
        <f t="shared" si="18"/>
        <v>17819.090885900994</v>
      </c>
      <c r="H185" s="9">
        <f t="shared" si="18"/>
        <v>0</v>
      </c>
      <c r="I185" s="9">
        <f t="shared" si="18"/>
        <v>0</v>
      </c>
      <c r="J185" s="9">
        <f t="shared" si="18"/>
        <v>17819.090885900994</v>
      </c>
      <c r="K185" s="9">
        <f t="shared" si="18"/>
        <v>-17819.090885900994</v>
      </c>
      <c r="L185" s="89" t="s">
        <v>183</v>
      </c>
    </row>
    <row r="186" spans="1:19" ht="19.95" customHeight="1" x14ac:dyDescent="0.3">
      <c r="B186" s="9">
        <f t="shared" ref="B186:K186" si="19">B40+B59+B78+B97+B116+B135+B154+B173</f>
        <v>-35638.181771801988</v>
      </c>
      <c r="C186" s="9">
        <f t="shared" si="19"/>
        <v>-35638.181771801988</v>
      </c>
      <c r="D186" s="9">
        <f t="shared" si="19"/>
        <v>-35638.181771801988</v>
      </c>
      <c r="E186" s="9">
        <f t="shared" si="19"/>
        <v>35638.181771801988</v>
      </c>
      <c r="F186" s="9">
        <f t="shared" si="19"/>
        <v>0</v>
      </c>
      <c r="G186" s="9">
        <f t="shared" si="19"/>
        <v>0</v>
      </c>
      <c r="H186" s="35">
        <f t="shared" si="19"/>
        <v>106914.54531540597</v>
      </c>
      <c r="I186" s="36">
        <f t="shared" si="19"/>
        <v>35638.181771801988</v>
      </c>
      <c r="J186" s="9">
        <f t="shared" si="19"/>
        <v>-35638.181771801988</v>
      </c>
      <c r="K186" s="9">
        <f t="shared" si="19"/>
        <v>-35638.181771801988</v>
      </c>
      <c r="L186" s="89" t="s">
        <v>184</v>
      </c>
    </row>
    <row r="187" spans="1:19" ht="19.95" customHeight="1" x14ac:dyDescent="0.3">
      <c r="B187" s="9">
        <f t="shared" ref="B187:K187" si="20">B41+B60+B79+B98+B117+B136+B155+B174</f>
        <v>-35638.181771801988</v>
      </c>
      <c r="C187" s="9">
        <f t="shared" si="20"/>
        <v>-35638.181771801988</v>
      </c>
      <c r="D187" s="9">
        <f t="shared" si="20"/>
        <v>35638.181771801988</v>
      </c>
      <c r="E187" s="9">
        <f t="shared" si="20"/>
        <v>-35638.181771801988</v>
      </c>
      <c r="F187" s="9">
        <f t="shared" si="20"/>
        <v>0</v>
      </c>
      <c r="G187" s="9">
        <f t="shared" si="20"/>
        <v>0</v>
      </c>
      <c r="H187" s="36">
        <f t="shared" si="20"/>
        <v>35638.181771801988</v>
      </c>
      <c r="I187" s="35">
        <f t="shared" si="20"/>
        <v>106914.54531540597</v>
      </c>
      <c r="J187" s="9">
        <f t="shared" si="20"/>
        <v>-35638.181771801988</v>
      </c>
      <c r="K187" s="9">
        <f t="shared" si="20"/>
        <v>-35638.181771801988</v>
      </c>
      <c r="L187" s="89" t="s">
        <v>185</v>
      </c>
    </row>
    <row r="188" spans="1:19" ht="19.95" customHeight="1" x14ac:dyDescent="0.3">
      <c r="B188" s="9">
        <f t="shared" ref="B188:K188" si="21">B42+B61+B80+B99+B118+B137+B156+B175</f>
        <v>-17819.090885900994</v>
      </c>
      <c r="C188" s="9">
        <f t="shared" si="21"/>
        <v>-17819.090885900994</v>
      </c>
      <c r="D188" s="9">
        <f t="shared" si="21"/>
        <v>0</v>
      </c>
      <c r="E188" s="9">
        <f t="shared" si="21"/>
        <v>0</v>
      </c>
      <c r="F188" s="9">
        <f t="shared" si="21"/>
        <v>-17819.090885900994</v>
      </c>
      <c r="G188" s="9">
        <f t="shared" si="21"/>
        <v>17819.090885900994</v>
      </c>
      <c r="H188" s="9">
        <f t="shared" si="21"/>
        <v>-35638.181771801988</v>
      </c>
      <c r="I188" s="9">
        <f t="shared" si="21"/>
        <v>-35638.181771801988</v>
      </c>
      <c r="J188" s="35">
        <f t="shared" si="21"/>
        <v>71276.363543603977</v>
      </c>
      <c r="K188" s="36">
        <f t="shared" si="21"/>
        <v>35638.181771801988</v>
      </c>
      <c r="L188" s="89" t="s">
        <v>186</v>
      </c>
    </row>
    <row r="189" spans="1:19" ht="19.95" customHeight="1" x14ac:dyDescent="0.3">
      <c r="B189" s="9">
        <f t="shared" ref="B189:K189" si="22">B43+B62+B81+B100+B119+B138+B157+B176</f>
        <v>-17819.090885900994</v>
      </c>
      <c r="C189" s="9">
        <f t="shared" si="22"/>
        <v>-17819.090885900994</v>
      </c>
      <c r="D189" s="9">
        <f t="shared" si="22"/>
        <v>0</v>
      </c>
      <c r="E189" s="9">
        <f t="shared" si="22"/>
        <v>-50400</v>
      </c>
      <c r="F189" s="9">
        <f t="shared" si="22"/>
        <v>17819.090885900994</v>
      </c>
      <c r="G189" s="9">
        <f t="shared" si="22"/>
        <v>-17819.090885900994</v>
      </c>
      <c r="H189" s="9">
        <f t="shared" si="22"/>
        <v>-35638.181771801988</v>
      </c>
      <c r="I189" s="9">
        <f t="shared" si="22"/>
        <v>-35638.181771801988</v>
      </c>
      <c r="J189" s="36">
        <f t="shared" si="22"/>
        <v>35638.181771801988</v>
      </c>
      <c r="K189" s="35">
        <f t="shared" si="22"/>
        <v>121676.36354360398</v>
      </c>
      <c r="L189" s="89" t="s">
        <v>187</v>
      </c>
    </row>
    <row r="192" spans="1:19" ht="19.95" customHeight="1" x14ac:dyDescent="0.35">
      <c r="A192" s="11" t="s">
        <v>206</v>
      </c>
      <c r="N192" s="216" t="s">
        <v>207</v>
      </c>
      <c r="O192" s="172"/>
      <c r="P192" s="172"/>
      <c r="Q192" s="172"/>
      <c r="R192" s="172"/>
      <c r="S192" s="173"/>
    </row>
    <row r="193" spans="1:19" ht="16.95" customHeight="1" x14ac:dyDescent="0.3">
      <c r="B193" s="12" t="s">
        <v>208</v>
      </c>
      <c r="C193" s="12" t="s">
        <v>178</v>
      </c>
      <c r="E193" s="37" t="str">
        <f>IF(GRAFICA_62!F14=1, B193, GRAFICA_62!H14)</f>
        <v>C1X</v>
      </c>
      <c r="N193" s="215" t="s">
        <v>376</v>
      </c>
      <c r="O193" s="172"/>
      <c r="P193" s="172"/>
      <c r="Q193" s="172"/>
      <c r="R193" s="172"/>
      <c r="S193" s="173"/>
    </row>
    <row r="194" spans="1:19" ht="16.95" customHeight="1" x14ac:dyDescent="0.3">
      <c r="B194" s="12" t="s">
        <v>210</v>
      </c>
      <c r="C194" s="12" t="s">
        <v>179</v>
      </c>
      <c r="E194" s="37" t="str">
        <f>IF(GRAFICA_62!G14=1, B194, GRAFICA_62!I14)</f>
        <v>C1Y</v>
      </c>
      <c r="N194" s="215" t="s">
        <v>211</v>
      </c>
      <c r="O194" s="172"/>
      <c r="P194" s="172"/>
      <c r="Q194" s="172"/>
      <c r="R194" s="172"/>
      <c r="S194" s="173"/>
    </row>
    <row r="195" spans="1:19" ht="16.95" customHeight="1" x14ac:dyDescent="0.3">
      <c r="B195" s="12" t="s">
        <v>212</v>
      </c>
      <c r="C195" s="12" t="s">
        <v>180</v>
      </c>
      <c r="E195" s="37">
        <f>IF(GRAFICA_62!F15=1, B195, GRAFICA_62!H15)</f>
        <v>0</v>
      </c>
      <c r="N195" s="215" t="s">
        <v>377</v>
      </c>
      <c r="O195" s="172"/>
      <c r="P195" s="172"/>
      <c r="Q195" s="172"/>
      <c r="R195" s="172"/>
      <c r="S195" s="173"/>
    </row>
    <row r="196" spans="1:19" ht="16.95" customHeight="1" x14ac:dyDescent="0.3">
      <c r="B196" s="12" t="s">
        <v>214</v>
      </c>
      <c r="C196" s="12" t="s">
        <v>181</v>
      </c>
      <c r="E196" s="37">
        <f>IF(GRAFICA_62!G15=1, B196, GRAFICA_62!I15)</f>
        <v>-4000</v>
      </c>
      <c r="N196" s="215" t="s">
        <v>215</v>
      </c>
      <c r="O196" s="172"/>
      <c r="P196" s="172"/>
      <c r="Q196" s="172"/>
      <c r="R196" s="172"/>
      <c r="S196" s="173"/>
    </row>
    <row r="197" spans="1:19" ht="16.95" customHeight="1" x14ac:dyDescent="0.3">
      <c r="A197" s="38" t="s">
        <v>218</v>
      </c>
      <c r="B197" s="12" t="s">
        <v>216</v>
      </c>
      <c r="C197" s="12" t="s">
        <v>182</v>
      </c>
      <c r="D197" s="13" t="s">
        <v>220</v>
      </c>
      <c r="E197" s="37">
        <f>IF(GRAFICA_62!F16=1, B197, GRAFICA_62!H16)</f>
        <v>0</v>
      </c>
      <c r="N197" s="215" t="s">
        <v>378</v>
      </c>
      <c r="O197" s="172"/>
      <c r="P197" s="172"/>
      <c r="Q197" s="172"/>
      <c r="R197" s="172"/>
      <c r="S197" s="173"/>
    </row>
    <row r="198" spans="1:19" ht="16.95" customHeight="1" x14ac:dyDescent="0.3">
      <c r="B198" s="12" t="s">
        <v>219</v>
      </c>
      <c r="C198" s="12" t="s">
        <v>183</v>
      </c>
      <c r="E198" s="37" t="str">
        <f>IF(GRAFICA_62!G16=1, B198, GRAFICA_62!I16)</f>
        <v>C3Y</v>
      </c>
      <c r="N198" s="215" t="s">
        <v>379</v>
      </c>
      <c r="O198" s="172"/>
      <c r="P198" s="172"/>
      <c r="Q198" s="172"/>
      <c r="R198" s="172"/>
      <c r="S198" s="173"/>
    </row>
    <row r="199" spans="1:19" ht="16.95" customHeight="1" x14ac:dyDescent="0.3">
      <c r="B199" s="12" t="s">
        <v>221</v>
      </c>
      <c r="C199" s="12" t="s">
        <v>184</v>
      </c>
      <c r="E199" s="37">
        <f>IF(GRAFICA_62!F17=1, B199, GRAFICA_62!H17)</f>
        <v>2000</v>
      </c>
      <c r="N199" s="215"/>
      <c r="O199" s="172"/>
      <c r="P199" s="172"/>
      <c r="Q199" s="172"/>
      <c r="R199" s="172"/>
      <c r="S199" s="173"/>
    </row>
    <row r="200" spans="1:19" ht="16.95" customHeight="1" x14ac:dyDescent="0.3">
      <c r="B200" s="12" t="s">
        <v>222</v>
      </c>
      <c r="C200" s="12" t="s">
        <v>185</v>
      </c>
      <c r="E200" s="37">
        <f>IF(GRAFICA_62!G17=1, B200, GRAFICA_62!I17)</f>
        <v>0</v>
      </c>
      <c r="N200" s="215"/>
      <c r="O200" s="172"/>
      <c r="P200" s="172"/>
      <c r="Q200" s="172"/>
      <c r="R200" s="172"/>
      <c r="S200" s="173"/>
    </row>
    <row r="201" spans="1:19" ht="16.95" customHeight="1" x14ac:dyDescent="0.3">
      <c r="B201" s="12" t="s">
        <v>223</v>
      </c>
      <c r="C201" s="12" t="s">
        <v>186</v>
      </c>
      <c r="E201" s="37">
        <f>IF(GRAFICA_62!F18=1, B201, GRAFICA_62!H18)</f>
        <v>0</v>
      </c>
      <c r="N201" s="215"/>
      <c r="O201" s="172"/>
      <c r="P201" s="172"/>
      <c r="Q201" s="172"/>
      <c r="R201" s="172"/>
      <c r="S201" s="173"/>
    </row>
    <row r="202" spans="1:19" ht="16.95" customHeight="1" x14ac:dyDescent="0.3">
      <c r="B202" s="12" t="s">
        <v>224</v>
      </c>
      <c r="C202" s="12" t="s">
        <v>187</v>
      </c>
      <c r="E202" s="37">
        <f>IF(GRAFICA_62!G18=1, B202, GRAFICA_62!I18)</f>
        <v>-8000</v>
      </c>
      <c r="N202" s="215"/>
      <c r="O202" s="172"/>
      <c r="P202" s="172"/>
      <c r="Q202" s="172"/>
      <c r="R202" s="172"/>
      <c r="S202" s="173"/>
    </row>
    <row r="203" spans="1:19" ht="16.95" customHeight="1" x14ac:dyDescent="0.3">
      <c r="N203" s="215"/>
      <c r="O203" s="172"/>
      <c r="P203" s="172"/>
      <c r="Q203" s="172"/>
      <c r="R203" s="172"/>
      <c r="S203" s="173"/>
    </row>
    <row r="204" spans="1:19" ht="16.95" customHeight="1" x14ac:dyDescent="0.35">
      <c r="A204" s="11" t="s">
        <v>227</v>
      </c>
      <c r="N204" s="215"/>
      <c r="O204" s="172"/>
      <c r="P204" s="172"/>
      <c r="Q204" s="172"/>
      <c r="R204" s="172"/>
      <c r="S204" s="173"/>
    </row>
    <row r="205" spans="1:19" ht="16.95" customHeight="1" x14ac:dyDescent="0.3">
      <c r="B205" s="12" t="s">
        <v>228</v>
      </c>
      <c r="C205" s="12" t="s">
        <v>178</v>
      </c>
      <c r="E205" s="39">
        <f>IF(GRAFICA_62!F14=1, 0, B205)</f>
        <v>0</v>
      </c>
      <c r="F205" s="14" t="str">
        <f>IF(E205&lt;&gt;0, COUNTIF(E$205:E205, "&lt;&gt;0"), "")</f>
        <v/>
      </c>
      <c r="G205" s="14">
        <f>IF(E205=0, COUNTIF(E$205:E205, 0), "")</f>
        <v>1</v>
      </c>
      <c r="N205" s="215"/>
      <c r="O205" s="172"/>
      <c r="P205" s="172"/>
      <c r="Q205" s="172"/>
      <c r="R205" s="172"/>
      <c r="S205" s="173"/>
    </row>
    <row r="206" spans="1:19" ht="16.95" customHeight="1" x14ac:dyDescent="0.3">
      <c r="B206" s="12" t="s">
        <v>229</v>
      </c>
      <c r="C206" s="12" t="s">
        <v>179</v>
      </c>
      <c r="E206" s="39">
        <f>IF(GRAFICA_62!G14=1, 0, B206)</f>
        <v>0</v>
      </c>
      <c r="F206" s="14" t="str">
        <f>IF(E206&lt;&gt;0, COUNTIF(E$205:E206, "&lt;&gt;0"), "")</f>
        <v/>
      </c>
      <c r="G206" s="14">
        <f>IF(E206=0, COUNTIF(E$205:E206, 0), "")</f>
        <v>2</v>
      </c>
      <c r="N206" s="215"/>
      <c r="O206" s="172"/>
      <c r="P206" s="172"/>
      <c r="Q206" s="172"/>
      <c r="R206" s="172"/>
      <c r="S206" s="173"/>
    </row>
    <row r="207" spans="1:19" ht="16.95" customHeight="1" x14ac:dyDescent="0.3">
      <c r="B207" s="12" t="s">
        <v>230</v>
      </c>
      <c r="C207" s="12" t="s">
        <v>180</v>
      </c>
      <c r="E207" s="39" t="str">
        <f>IF(GRAFICA_62!F15=1, 0, B207)</f>
        <v>D2X</v>
      </c>
      <c r="F207" s="14">
        <f>IF(E207&lt;&gt;0, COUNTIF(E$205:E207, "&lt;&gt;0"), "")</f>
        <v>1</v>
      </c>
      <c r="G207" s="14" t="str">
        <f>IF(E207=0, COUNTIF(E$205:E207, 0), "")</f>
        <v/>
      </c>
      <c r="N207" s="215"/>
      <c r="O207" s="172"/>
      <c r="P207" s="172"/>
      <c r="Q207" s="172"/>
      <c r="R207" s="172"/>
      <c r="S207" s="173"/>
    </row>
    <row r="208" spans="1:19" ht="16.95" customHeight="1" x14ac:dyDescent="0.3">
      <c r="B208" s="12" t="s">
        <v>231</v>
      </c>
      <c r="C208" s="12" t="s">
        <v>181</v>
      </c>
      <c r="E208" s="39" t="str">
        <f>IF(GRAFICA_62!G15=1, 0, B208)</f>
        <v>D2Y</v>
      </c>
      <c r="F208" s="14">
        <f>IF(E208&lt;&gt;0, COUNTIF(E$205:E208, "&lt;&gt;0"), "")</f>
        <v>2</v>
      </c>
      <c r="G208" s="14" t="str">
        <f>IF(E208=0, COUNTIF(E$205:E208, 0), "")</f>
        <v/>
      </c>
      <c r="N208" s="215"/>
      <c r="O208" s="172"/>
      <c r="P208" s="172"/>
      <c r="Q208" s="172"/>
      <c r="R208" s="172"/>
      <c r="S208" s="173"/>
    </row>
    <row r="209" spans="1:19" ht="16.95" customHeight="1" x14ac:dyDescent="0.3">
      <c r="A209" s="38" t="s">
        <v>233</v>
      </c>
      <c r="B209" s="12" t="s">
        <v>232</v>
      </c>
      <c r="C209" s="12" t="s">
        <v>182</v>
      </c>
      <c r="D209" s="13" t="s">
        <v>220</v>
      </c>
      <c r="E209" s="39" t="str">
        <f>IF(GRAFICA_62!F16=1, 0, B209)</f>
        <v>D3X</v>
      </c>
      <c r="F209" s="14">
        <f>IF(E209&lt;&gt;0, COUNTIF(E$205:E209, "&lt;&gt;0"), "")</f>
        <v>3</v>
      </c>
      <c r="G209" s="14" t="str">
        <f>IF(E209=0, COUNTIF(E$205:E209, 0), "")</f>
        <v/>
      </c>
      <c r="N209" s="215"/>
      <c r="O209" s="172"/>
      <c r="P209" s="172"/>
      <c r="Q209" s="172"/>
      <c r="R209" s="172"/>
      <c r="S209" s="173"/>
    </row>
    <row r="210" spans="1:19" ht="16.95" customHeight="1" x14ac:dyDescent="0.3">
      <c r="B210" s="12" t="s">
        <v>234</v>
      </c>
      <c r="C210" s="12" t="s">
        <v>183</v>
      </c>
      <c r="E210" s="39">
        <f>IF(GRAFICA_62!G16=1, 0, B210)</f>
        <v>0</v>
      </c>
      <c r="F210" s="14" t="str">
        <f>IF(E210&lt;&gt;0, COUNTIF(E$205:E210, "&lt;&gt;0"), "")</f>
        <v/>
      </c>
      <c r="G210" s="14">
        <f>IF(E210=0, COUNTIF(E$205:E210, 0), "")</f>
        <v>3</v>
      </c>
      <c r="N210" s="215"/>
      <c r="O210" s="172"/>
      <c r="P210" s="172"/>
      <c r="Q210" s="172"/>
      <c r="R210" s="172"/>
      <c r="S210" s="173"/>
    </row>
    <row r="211" spans="1:19" ht="16.95" customHeight="1" x14ac:dyDescent="0.3">
      <c r="B211" s="12" t="s">
        <v>235</v>
      </c>
      <c r="C211" s="12" t="s">
        <v>184</v>
      </c>
      <c r="E211" s="39" t="str">
        <f>IF(GRAFICA_62!F17=1, 0, B211)</f>
        <v>D4X</v>
      </c>
      <c r="F211" s="14">
        <f>IF(E211&lt;&gt;0, COUNTIF(E$205:E211, "&lt;&gt;0"), "")</f>
        <v>4</v>
      </c>
      <c r="G211" s="14" t="str">
        <f>IF(E211=0, COUNTIF(E$205:E211, 0), "")</f>
        <v/>
      </c>
      <c r="N211" s="215"/>
      <c r="O211" s="172"/>
      <c r="P211" s="172"/>
      <c r="Q211" s="172"/>
      <c r="R211" s="172"/>
      <c r="S211" s="173"/>
    </row>
    <row r="212" spans="1:19" ht="16.95" customHeight="1" x14ac:dyDescent="0.3">
      <c r="B212" s="12" t="s">
        <v>236</v>
      </c>
      <c r="C212" s="12" t="s">
        <v>185</v>
      </c>
      <c r="E212" s="39" t="str">
        <f>IF(GRAFICA_62!G17=1, 0, B212)</f>
        <v>D4Y</v>
      </c>
      <c r="F212" s="14">
        <f>IF(E212&lt;&gt;0, COUNTIF(E$205:E212, "&lt;&gt;0"), "")</f>
        <v>5</v>
      </c>
      <c r="G212" s="14" t="str">
        <f>IF(E212=0, COUNTIF(E$205:E212, 0), "")</f>
        <v/>
      </c>
      <c r="N212" s="215"/>
      <c r="O212" s="172"/>
      <c r="P212" s="172"/>
      <c r="Q212" s="172"/>
      <c r="R212" s="172"/>
      <c r="S212" s="173"/>
    </row>
    <row r="213" spans="1:19" ht="16.95" customHeight="1" x14ac:dyDescent="0.3">
      <c r="B213" s="12" t="s">
        <v>237</v>
      </c>
      <c r="C213" s="12" t="s">
        <v>186</v>
      </c>
      <c r="E213" s="39" t="str">
        <f>IF(GRAFICA_62!F18=1, 0, B213)</f>
        <v>D5X</v>
      </c>
      <c r="F213" s="14">
        <f>IF(E213&lt;&gt;0, COUNTIF(E$205:E213, "&lt;&gt;0"), "")</f>
        <v>6</v>
      </c>
      <c r="G213" s="14" t="str">
        <f>IF(E213=0, COUNTIF(E$205:E213, 0), "")</f>
        <v/>
      </c>
      <c r="N213" s="215"/>
      <c r="O213" s="172"/>
      <c r="P213" s="172"/>
      <c r="Q213" s="172"/>
      <c r="R213" s="172"/>
      <c r="S213" s="173"/>
    </row>
    <row r="214" spans="1:19" ht="16.95" customHeight="1" x14ac:dyDescent="0.3">
      <c r="B214" s="12" t="s">
        <v>238</v>
      </c>
      <c r="C214" s="12" t="s">
        <v>187</v>
      </c>
      <c r="E214" s="39" t="str">
        <f>IF(GRAFICA_62!G18=1, 0, B214)</f>
        <v>D5Y</v>
      </c>
      <c r="F214" s="14">
        <f>IF(E214&lt;&gt;0, COUNTIF(E$205:E214, "&lt;&gt;0"), "")</f>
        <v>7</v>
      </c>
      <c r="G214" s="14" t="str">
        <f>IF(E214=0, COUNTIF(E$205:E214, 0), "")</f>
        <v/>
      </c>
      <c r="N214" s="215"/>
      <c r="O214" s="172"/>
      <c r="P214" s="172"/>
      <c r="Q214" s="172"/>
      <c r="R214" s="172"/>
      <c r="S214" s="173"/>
    </row>
    <row r="216" spans="1:19" ht="19.95" customHeight="1" x14ac:dyDescent="0.35">
      <c r="A216" s="15" t="s">
        <v>241</v>
      </c>
      <c r="C216" s="218" t="s">
        <v>242</v>
      </c>
      <c r="D216" s="173"/>
      <c r="E216" s="40" t="s">
        <v>243</v>
      </c>
      <c r="N216" s="216" t="s">
        <v>244</v>
      </c>
      <c r="O216" s="172"/>
      <c r="P216" s="172"/>
      <c r="Q216" s="172"/>
      <c r="R216" s="172"/>
      <c r="S216" s="173"/>
    </row>
    <row r="217" spans="1:19" ht="16.95" customHeight="1" x14ac:dyDescent="0.3">
      <c r="E217" s="40" t="s">
        <v>245</v>
      </c>
      <c r="N217" s="215" t="s">
        <v>246</v>
      </c>
      <c r="O217" s="172"/>
      <c r="P217" s="172"/>
      <c r="Q217" s="172"/>
      <c r="R217" s="172"/>
      <c r="S217" s="173"/>
    </row>
    <row r="218" spans="1:19" ht="16.95" customHeight="1" x14ac:dyDescent="0.3">
      <c r="A218" s="99" t="s">
        <v>247</v>
      </c>
      <c r="C218" s="99" t="s">
        <v>248</v>
      </c>
      <c r="N218" s="215" t="s">
        <v>250</v>
      </c>
      <c r="O218" s="172"/>
      <c r="P218" s="172"/>
      <c r="Q218" s="172"/>
      <c r="R218" s="172"/>
      <c r="S218" s="173"/>
    </row>
    <row r="219" spans="1:19" ht="16.95" customHeight="1" x14ac:dyDescent="0.3">
      <c r="A219" s="12" t="str">
        <f t="shared" ref="A219:A228" si="23">E193</f>
        <v>C1X</v>
      </c>
      <c r="C219" s="9">
        <f t="shared" ref="C219:L219" si="24">B180</f>
        <v>103857.27265770298</v>
      </c>
      <c r="D219" s="9">
        <f t="shared" si="24"/>
        <v>53457.272657702983</v>
      </c>
      <c r="E219" s="9">
        <f t="shared" si="24"/>
        <v>-50400</v>
      </c>
      <c r="F219" s="9">
        <f t="shared" si="24"/>
        <v>0</v>
      </c>
      <c r="G219" s="9">
        <f t="shared" si="24"/>
        <v>0</v>
      </c>
      <c r="H219" s="9">
        <f t="shared" si="24"/>
        <v>0</v>
      </c>
      <c r="I219" s="9">
        <f t="shared" si="24"/>
        <v>-35638.181771801988</v>
      </c>
      <c r="J219" s="9">
        <f t="shared" si="24"/>
        <v>-35638.181771801988</v>
      </c>
      <c r="K219" s="9">
        <f t="shared" si="24"/>
        <v>-17819.090885900994</v>
      </c>
      <c r="L219" s="9">
        <f t="shared" si="24"/>
        <v>-17819.090885900994</v>
      </c>
      <c r="M219" s="13" t="s">
        <v>251</v>
      </c>
      <c r="N219" s="219" t="s">
        <v>380</v>
      </c>
      <c r="O219" s="172"/>
      <c r="P219" s="172"/>
      <c r="Q219" s="172"/>
      <c r="R219" s="172"/>
      <c r="S219" s="173"/>
    </row>
    <row r="220" spans="1:19" ht="16.95" customHeight="1" x14ac:dyDescent="0.3">
      <c r="A220" s="12" t="str">
        <f t="shared" si="23"/>
        <v>C1Y</v>
      </c>
      <c r="C220" s="9">
        <f t="shared" ref="C220:L220" si="25">B181</f>
        <v>53457.272657702983</v>
      </c>
      <c r="D220" s="9">
        <f t="shared" si="25"/>
        <v>53457.272657702983</v>
      </c>
      <c r="E220" s="9">
        <f t="shared" si="25"/>
        <v>0</v>
      </c>
      <c r="F220" s="9">
        <f t="shared" si="25"/>
        <v>0</v>
      </c>
      <c r="G220" s="9">
        <f t="shared" si="25"/>
        <v>0</v>
      </c>
      <c r="H220" s="9">
        <f t="shared" si="25"/>
        <v>0</v>
      </c>
      <c r="I220" s="9">
        <f t="shared" si="25"/>
        <v>-35638.181771801988</v>
      </c>
      <c r="J220" s="9">
        <f t="shared" si="25"/>
        <v>-35638.181771801988</v>
      </c>
      <c r="K220" s="9">
        <f t="shared" si="25"/>
        <v>-17819.090885900994</v>
      </c>
      <c r="L220" s="9">
        <f t="shared" si="25"/>
        <v>-17819.090885900994</v>
      </c>
      <c r="M220" s="13" t="s">
        <v>251</v>
      </c>
      <c r="N220" s="219" t="s">
        <v>253</v>
      </c>
      <c r="O220" s="172"/>
      <c r="P220" s="172"/>
      <c r="Q220" s="172"/>
      <c r="R220" s="172"/>
      <c r="S220" s="173"/>
    </row>
    <row r="221" spans="1:19" ht="16.95" customHeight="1" x14ac:dyDescent="0.3">
      <c r="A221" s="41">
        <f t="shared" si="23"/>
        <v>0</v>
      </c>
      <c r="C221" s="9">
        <f t="shared" ref="C221:L221" si="26">B182</f>
        <v>-50400</v>
      </c>
      <c r="D221" s="9">
        <f t="shared" si="26"/>
        <v>0</v>
      </c>
      <c r="E221" s="41">
        <f t="shared" si="26"/>
        <v>136438.18177180199</v>
      </c>
      <c r="F221" s="41">
        <f t="shared" si="26"/>
        <v>-35638.181771801988</v>
      </c>
      <c r="G221" s="41">
        <f t="shared" si="26"/>
        <v>-50400</v>
      </c>
      <c r="H221" s="9">
        <f t="shared" si="26"/>
        <v>0</v>
      </c>
      <c r="I221" s="41">
        <f t="shared" si="26"/>
        <v>-35638.181771801988</v>
      </c>
      <c r="J221" s="41">
        <f t="shared" si="26"/>
        <v>35638.181771801988</v>
      </c>
      <c r="K221" s="41">
        <f t="shared" si="26"/>
        <v>0</v>
      </c>
      <c r="L221" s="41">
        <f t="shared" si="26"/>
        <v>0</v>
      </c>
      <c r="M221" s="13" t="s">
        <v>251</v>
      </c>
      <c r="N221" s="215" t="s">
        <v>254</v>
      </c>
      <c r="O221" s="172"/>
      <c r="P221" s="172"/>
      <c r="Q221" s="172"/>
      <c r="R221" s="172"/>
      <c r="S221" s="173"/>
    </row>
    <row r="222" spans="1:19" ht="16.95" customHeight="1" x14ac:dyDescent="0.3">
      <c r="A222" s="41">
        <f t="shared" si="23"/>
        <v>-4000</v>
      </c>
      <c r="C222" s="9">
        <f t="shared" ref="C222:L222" si="27">B183</f>
        <v>0</v>
      </c>
      <c r="D222" s="9">
        <f t="shared" si="27"/>
        <v>0</v>
      </c>
      <c r="E222" s="41">
        <f t="shared" si="27"/>
        <v>-35638.181771801988</v>
      </c>
      <c r="F222" s="41">
        <f t="shared" si="27"/>
        <v>86038.181771801988</v>
      </c>
      <c r="G222" s="41">
        <f t="shared" si="27"/>
        <v>0</v>
      </c>
      <c r="H222" s="9">
        <f t="shared" si="27"/>
        <v>0</v>
      </c>
      <c r="I222" s="41">
        <f t="shared" si="27"/>
        <v>35638.181771801988</v>
      </c>
      <c r="J222" s="41">
        <f t="shared" si="27"/>
        <v>-35638.181771801988</v>
      </c>
      <c r="K222" s="41">
        <f t="shared" si="27"/>
        <v>0</v>
      </c>
      <c r="L222" s="41">
        <f t="shared" si="27"/>
        <v>-50400</v>
      </c>
      <c r="M222" s="13" t="s">
        <v>251</v>
      </c>
      <c r="N222" s="215" t="s">
        <v>381</v>
      </c>
      <c r="O222" s="172"/>
      <c r="P222" s="172"/>
      <c r="Q222" s="172"/>
      <c r="R222" s="172"/>
      <c r="S222" s="173"/>
    </row>
    <row r="223" spans="1:19" ht="16.95" customHeight="1" x14ac:dyDescent="0.3">
      <c r="A223" s="41">
        <f t="shared" si="23"/>
        <v>0</v>
      </c>
      <c r="C223" s="9">
        <f t="shared" ref="C223:L223" si="28">B184</f>
        <v>0</v>
      </c>
      <c r="D223" s="9">
        <f t="shared" si="28"/>
        <v>0</v>
      </c>
      <c r="E223" s="41">
        <f t="shared" si="28"/>
        <v>-50400</v>
      </c>
      <c r="F223" s="41">
        <f t="shared" si="28"/>
        <v>0</v>
      </c>
      <c r="G223" s="41">
        <f t="shared" si="28"/>
        <v>68219.090885900994</v>
      </c>
      <c r="H223" s="9">
        <f t="shared" si="28"/>
        <v>-17819.090885900994</v>
      </c>
      <c r="I223" s="41">
        <f t="shared" si="28"/>
        <v>0</v>
      </c>
      <c r="J223" s="41">
        <f t="shared" si="28"/>
        <v>0</v>
      </c>
      <c r="K223" s="41">
        <f t="shared" si="28"/>
        <v>-17819.090885900994</v>
      </c>
      <c r="L223" s="41">
        <f t="shared" si="28"/>
        <v>17819.090885900994</v>
      </c>
      <c r="M223" s="13" t="s">
        <v>251</v>
      </c>
      <c r="N223" s="215" t="s">
        <v>382</v>
      </c>
      <c r="O223" s="172"/>
      <c r="P223" s="172"/>
      <c r="Q223" s="172"/>
      <c r="R223" s="172"/>
      <c r="S223" s="173"/>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-17819.090885900994</v>
      </c>
      <c r="H224" s="9">
        <f t="shared" si="29"/>
        <v>17819.090885900994</v>
      </c>
      <c r="I224" s="9">
        <f t="shared" si="29"/>
        <v>0</v>
      </c>
      <c r="J224" s="9">
        <f t="shared" si="29"/>
        <v>0</v>
      </c>
      <c r="K224" s="9">
        <f t="shared" si="29"/>
        <v>17819.090885900994</v>
      </c>
      <c r="L224" s="9">
        <f t="shared" si="29"/>
        <v>-17819.090885900994</v>
      </c>
      <c r="M224" s="13" t="s">
        <v>251</v>
      </c>
      <c r="N224" s="219">
        <f>E210</f>
        <v>0</v>
      </c>
      <c r="O224" s="172"/>
      <c r="P224" s="172"/>
      <c r="Q224" s="172"/>
      <c r="R224" s="172"/>
      <c r="S224" s="173"/>
    </row>
    <row r="225" spans="1:19" ht="16.95" customHeight="1" x14ac:dyDescent="0.3">
      <c r="A225" s="41">
        <f t="shared" si="23"/>
        <v>2000</v>
      </c>
      <c r="C225" s="9">
        <f t="shared" ref="C225:L225" si="30">B186</f>
        <v>-35638.181771801988</v>
      </c>
      <c r="D225" s="9">
        <f t="shared" si="30"/>
        <v>-35638.181771801988</v>
      </c>
      <c r="E225" s="41">
        <f t="shared" si="30"/>
        <v>-35638.181771801988</v>
      </c>
      <c r="F225" s="41">
        <f t="shared" si="30"/>
        <v>35638.181771801988</v>
      </c>
      <c r="G225" s="41">
        <f t="shared" si="30"/>
        <v>0</v>
      </c>
      <c r="H225" s="9">
        <f t="shared" si="30"/>
        <v>0</v>
      </c>
      <c r="I225" s="41">
        <f t="shared" si="30"/>
        <v>106914.54531540597</v>
      </c>
      <c r="J225" s="41">
        <f t="shared" si="30"/>
        <v>35638.181771801988</v>
      </c>
      <c r="K225" s="41">
        <f t="shared" si="30"/>
        <v>-35638.181771801988</v>
      </c>
      <c r="L225" s="41">
        <f t="shared" si="30"/>
        <v>-35638.181771801988</v>
      </c>
      <c r="M225" s="13" t="s">
        <v>251</v>
      </c>
      <c r="N225" s="215" t="str">
        <f>E211</f>
        <v>D4X</v>
      </c>
      <c r="O225" s="172"/>
      <c r="P225" s="172"/>
      <c r="Q225" s="172"/>
      <c r="R225" s="172"/>
      <c r="S225" s="173"/>
    </row>
    <row r="226" spans="1:19" ht="16.95" customHeight="1" x14ac:dyDescent="0.3">
      <c r="A226" s="41">
        <f t="shared" si="23"/>
        <v>0</v>
      </c>
      <c r="C226" s="9">
        <f t="shared" ref="C226:L226" si="31">B187</f>
        <v>-35638.181771801988</v>
      </c>
      <c r="D226" s="9">
        <f t="shared" si="31"/>
        <v>-35638.181771801988</v>
      </c>
      <c r="E226" s="41">
        <f t="shared" si="31"/>
        <v>35638.181771801988</v>
      </c>
      <c r="F226" s="41">
        <f t="shared" si="31"/>
        <v>-35638.181771801988</v>
      </c>
      <c r="G226" s="41">
        <f t="shared" si="31"/>
        <v>0</v>
      </c>
      <c r="H226" s="9">
        <f t="shared" si="31"/>
        <v>0</v>
      </c>
      <c r="I226" s="41">
        <f t="shared" si="31"/>
        <v>35638.181771801988</v>
      </c>
      <c r="J226" s="41">
        <f t="shared" si="31"/>
        <v>106914.54531540597</v>
      </c>
      <c r="K226" s="41">
        <f t="shared" si="31"/>
        <v>-35638.181771801988</v>
      </c>
      <c r="L226" s="41">
        <f t="shared" si="31"/>
        <v>-35638.181771801988</v>
      </c>
      <c r="M226" s="13" t="s">
        <v>251</v>
      </c>
      <c r="N226" s="215" t="str">
        <f>E212</f>
        <v>D4Y</v>
      </c>
      <c r="O226" s="172"/>
      <c r="P226" s="172"/>
      <c r="Q226" s="172"/>
      <c r="R226" s="172"/>
      <c r="S226" s="173"/>
    </row>
    <row r="227" spans="1:19" ht="16.95" customHeight="1" x14ac:dyDescent="0.3">
      <c r="A227" s="41">
        <f t="shared" si="23"/>
        <v>0</v>
      </c>
      <c r="C227" s="9">
        <f t="shared" ref="C227:L227" si="32">B188</f>
        <v>-17819.090885900994</v>
      </c>
      <c r="D227" s="9">
        <f t="shared" si="32"/>
        <v>-17819.090885900994</v>
      </c>
      <c r="E227" s="41">
        <f t="shared" si="32"/>
        <v>0</v>
      </c>
      <c r="F227" s="41">
        <f t="shared" si="32"/>
        <v>0</v>
      </c>
      <c r="G227" s="41">
        <f t="shared" si="32"/>
        <v>-17819.090885900994</v>
      </c>
      <c r="H227" s="9">
        <f t="shared" si="32"/>
        <v>17819.090885900994</v>
      </c>
      <c r="I227" s="41">
        <f t="shared" si="32"/>
        <v>-35638.181771801988</v>
      </c>
      <c r="J227" s="41">
        <f t="shared" si="32"/>
        <v>-35638.181771801988</v>
      </c>
      <c r="K227" s="41">
        <f t="shared" si="32"/>
        <v>71276.363543603977</v>
      </c>
      <c r="L227" s="41">
        <f t="shared" si="32"/>
        <v>35638.181771801988</v>
      </c>
      <c r="M227" s="13" t="s">
        <v>251</v>
      </c>
      <c r="N227" s="215" t="str">
        <f>E213</f>
        <v>D5X</v>
      </c>
      <c r="O227" s="172"/>
      <c r="P227" s="172"/>
      <c r="Q227" s="172"/>
      <c r="R227" s="172"/>
      <c r="S227" s="173"/>
    </row>
    <row r="228" spans="1:19" ht="16.95" customHeight="1" x14ac:dyDescent="0.3">
      <c r="A228" s="41">
        <f t="shared" si="23"/>
        <v>-8000</v>
      </c>
      <c r="C228" s="9">
        <f t="shared" ref="C228:L228" si="33">B189</f>
        <v>-17819.090885900994</v>
      </c>
      <c r="D228" s="9">
        <f t="shared" si="33"/>
        <v>-17819.090885900994</v>
      </c>
      <c r="E228" s="41">
        <f t="shared" si="33"/>
        <v>0</v>
      </c>
      <c r="F228" s="41">
        <f t="shared" si="33"/>
        <v>-50400</v>
      </c>
      <c r="G228" s="41">
        <f t="shared" si="33"/>
        <v>17819.090885900994</v>
      </c>
      <c r="H228" s="9">
        <f t="shared" si="33"/>
        <v>-17819.090885900994</v>
      </c>
      <c r="I228" s="41">
        <f t="shared" si="33"/>
        <v>-35638.181771801988</v>
      </c>
      <c r="J228" s="41">
        <f t="shared" si="33"/>
        <v>-35638.181771801988</v>
      </c>
      <c r="K228" s="41">
        <f t="shared" si="33"/>
        <v>35638.181771801988</v>
      </c>
      <c r="L228" s="41">
        <f t="shared" si="33"/>
        <v>121676.36354360398</v>
      </c>
      <c r="M228" s="13" t="s">
        <v>251</v>
      </c>
      <c r="N228" s="215" t="str">
        <f>E214</f>
        <v>D5Y</v>
      </c>
      <c r="O228" s="172"/>
      <c r="P228" s="172"/>
      <c r="Q228" s="172"/>
      <c r="R228" s="172"/>
      <c r="S228" s="173"/>
    </row>
    <row r="231" spans="1:19" ht="19.95" customHeight="1" x14ac:dyDescent="0.35">
      <c r="A231" s="15" t="s">
        <v>257</v>
      </c>
      <c r="N231" s="216" t="s">
        <v>258</v>
      </c>
      <c r="O231" s="172"/>
      <c r="P231" s="172"/>
      <c r="Q231" s="172"/>
      <c r="R231" s="172"/>
      <c r="S231" s="173"/>
    </row>
    <row r="232" spans="1:19" ht="16.95" customHeight="1" x14ac:dyDescent="0.3">
      <c r="C232" s="38" t="str">
        <f>INDEX(C$205:C$214, MATCH(1, F$205:F$214, 0))</f>
        <v>U2X</v>
      </c>
      <c r="D232" s="38" t="str">
        <f>INDEX(C$205:C$214, MATCH(2, F$205:F$214, 0))</f>
        <v>U2Y</v>
      </c>
      <c r="E232" s="38" t="str">
        <f>INDEX(C$205:C$214, MATCH(3, F$205:F$214, 0))</f>
        <v>U3X</v>
      </c>
      <c r="F232" s="38" t="str">
        <f>INDEX(C$205:C$214, MATCH(4, F$205:F$214, 0))</f>
        <v>U4X</v>
      </c>
      <c r="G232" s="38" t="str">
        <f>INDEX(C$205:C$214, MATCH(5, F$205:F$214, 0))</f>
        <v>U4Y</v>
      </c>
      <c r="H232" s="38" t="str">
        <f>INDEX(C$205:C$214, MATCH(6, F$205:F$214, 0))</f>
        <v>U5X</v>
      </c>
      <c r="I232" s="38" t="str">
        <f>INDEX(C$205:C$214, MATCH(7, F$205:F$214, 0))</f>
        <v>U5Y</v>
      </c>
      <c r="N232" s="215" t="s">
        <v>383</v>
      </c>
      <c r="O232" s="172"/>
      <c r="P232" s="172"/>
      <c r="Q232" s="172"/>
      <c r="R232" s="172"/>
      <c r="S232" s="173"/>
    </row>
    <row r="233" spans="1:19" ht="16.95" customHeight="1" x14ac:dyDescent="0.3">
      <c r="A233" s="41">
        <f t="shared" ref="A233:A239" si="34">INDEX(E$193:E$202, MATCH(L233, C$193:C$202, 0))</f>
        <v>0</v>
      </c>
      <c r="C233" s="41">
        <f t="shared" ref="C233:I239" si="35">INDEX($B$180:$K$189, MATCH($L233, $L$180:$L$189, 0), MATCH(C$232, $B$179:$K$179, 0))</f>
        <v>136438.18177180199</v>
      </c>
      <c r="D233" s="41">
        <f t="shared" si="35"/>
        <v>-35638.181771801988</v>
      </c>
      <c r="E233" s="41">
        <f t="shared" si="35"/>
        <v>-50400</v>
      </c>
      <c r="F233" s="41">
        <f t="shared" si="35"/>
        <v>-35638.181771801988</v>
      </c>
      <c r="G233" s="41">
        <f t="shared" si="35"/>
        <v>35638.181771801988</v>
      </c>
      <c r="H233" s="41">
        <f t="shared" si="35"/>
        <v>0</v>
      </c>
      <c r="I233" s="41">
        <f t="shared" si="35"/>
        <v>0</v>
      </c>
      <c r="J233" s="13" t="s">
        <v>251</v>
      </c>
      <c r="K233" s="38" t="str">
        <f>INDEX(B$205:B$214, MATCH(1, F$205:F$214, 0))</f>
        <v>D2X</v>
      </c>
      <c r="L233" s="14" t="str">
        <f>INDEX(C$205:C$214, MATCH(1, F$205:F$214, 0))</f>
        <v>U2X</v>
      </c>
      <c r="N233" s="215" t="s">
        <v>384</v>
      </c>
      <c r="O233" s="172"/>
      <c r="P233" s="172"/>
      <c r="Q233" s="172"/>
      <c r="R233" s="172"/>
      <c r="S233" s="173"/>
    </row>
    <row r="234" spans="1:19" ht="16.95" customHeight="1" x14ac:dyDescent="0.3">
      <c r="A234" s="41">
        <f t="shared" si="34"/>
        <v>-4000</v>
      </c>
      <c r="C234" s="41">
        <f t="shared" si="35"/>
        <v>-35638.181771801988</v>
      </c>
      <c r="D234" s="41">
        <f t="shared" si="35"/>
        <v>86038.181771801988</v>
      </c>
      <c r="E234" s="41">
        <f t="shared" si="35"/>
        <v>0</v>
      </c>
      <c r="F234" s="41">
        <f t="shared" si="35"/>
        <v>35638.181771801988</v>
      </c>
      <c r="G234" s="41">
        <f t="shared" si="35"/>
        <v>-35638.181771801988</v>
      </c>
      <c r="H234" s="41">
        <f t="shared" si="35"/>
        <v>0</v>
      </c>
      <c r="I234" s="41">
        <f t="shared" si="35"/>
        <v>-50400</v>
      </c>
      <c r="J234" s="13" t="s">
        <v>251</v>
      </c>
      <c r="K234" s="38" t="str">
        <f>INDEX(B$205:B$214, MATCH(2, F$205:F$214, 0))</f>
        <v>D2Y</v>
      </c>
      <c r="L234" s="14" t="str">
        <f>INDEX(C$205:C$214, MATCH(2, F$205:F$214, 0))</f>
        <v>U2Y</v>
      </c>
      <c r="N234" s="215" t="s">
        <v>385</v>
      </c>
      <c r="O234" s="172"/>
      <c r="P234" s="172"/>
      <c r="Q234" s="172"/>
      <c r="R234" s="172"/>
      <c r="S234" s="173"/>
    </row>
    <row r="235" spans="1:19" ht="16.95" customHeight="1" x14ac:dyDescent="0.3">
      <c r="A235" s="41">
        <f t="shared" si="34"/>
        <v>0</v>
      </c>
      <c r="C235" s="41">
        <f t="shared" si="35"/>
        <v>-50400</v>
      </c>
      <c r="D235" s="41">
        <f t="shared" si="35"/>
        <v>0</v>
      </c>
      <c r="E235" s="41">
        <f t="shared" si="35"/>
        <v>68219.090885900994</v>
      </c>
      <c r="F235" s="41">
        <f t="shared" si="35"/>
        <v>0</v>
      </c>
      <c r="G235" s="41">
        <f t="shared" si="35"/>
        <v>0</v>
      </c>
      <c r="H235" s="41">
        <f t="shared" si="35"/>
        <v>-17819.090885900994</v>
      </c>
      <c r="I235" s="41">
        <f t="shared" si="35"/>
        <v>17819.090885900994</v>
      </c>
      <c r="J235" s="13" t="s">
        <v>251</v>
      </c>
      <c r="K235" s="38" t="str">
        <f>INDEX(B$205:B$214, MATCH(3, F$205:F$214, 0))</f>
        <v>D3X</v>
      </c>
      <c r="L235" s="14" t="str">
        <f>INDEX(C$205:C$214, MATCH(3, F$205:F$214, 0))</f>
        <v>U3X</v>
      </c>
      <c r="N235" s="215" t="s">
        <v>386</v>
      </c>
      <c r="O235" s="172"/>
      <c r="P235" s="172"/>
      <c r="Q235" s="172"/>
      <c r="R235" s="172"/>
      <c r="S235" s="173"/>
    </row>
    <row r="236" spans="1:19" ht="16.95" customHeight="1" x14ac:dyDescent="0.3">
      <c r="A236" s="41">
        <f t="shared" si="34"/>
        <v>2000</v>
      </c>
      <c r="B236" s="13" t="s">
        <v>220</v>
      </c>
      <c r="C236" s="41">
        <f t="shared" si="35"/>
        <v>-35638.181771801988</v>
      </c>
      <c r="D236" s="41">
        <f t="shared" si="35"/>
        <v>35638.181771801988</v>
      </c>
      <c r="E236" s="41">
        <f t="shared" si="35"/>
        <v>0</v>
      </c>
      <c r="F236" s="41">
        <f t="shared" si="35"/>
        <v>106914.54531540597</v>
      </c>
      <c r="G236" s="41">
        <f t="shared" si="35"/>
        <v>35638.181771801988</v>
      </c>
      <c r="H236" s="41">
        <f t="shared" si="35"/>
        <v>-35638.181771801988</v>
      </c>
      <c r="I236" s="41">
        <f t="shared" si="35"/>
        <v>-35638.181771801988</v>
      </c>
      <c r="J236" s="13" t="s">
        <v>251</v>
      </c>
      <c r="K236" s="38" t="str">
        <f>INDEX(B$205:B$214, MATCH(4, F$205:F$214, 0))</f>
        <v>D4X</v>
      </c>
      <c r="L236" s="14" t="str">
        <f>INDEX(C$205:C$214, MATCH(4, F$205:F$214, 0))</f>
        <v>U4X</v>
      </c>
      <c r="N236" s="215" t="s">
        <v>387</v>
      </c>
      <c r="O236" s="172"/>
      <c r="P236" s="172"/>
      <c r="Q236" s="172"/>
      <c r="R236" s="172"/>
      <c r="S236" s="173"/>
    </row>
    <row r="237" spans="1:19" ht="16.95" customHeight="1" x14ac:dyDescent="0.3">
      <c r="A237" s="41">
        <f t="shared" si="34"/>
        <v>0</v>
      </c>
      <c r="C237" s="41">
        <f t="shared" si="35"/>
        <v>35638.181771801988</v>
      </c>
      <c r="D237" s="41">
        <f t="shared" si="35"/>
        <v>-35638.181771801988</v>
      </c>
      <c r="E237" s="41">
        <f t="shared" si="35"/>
        <v>0</v>
      </c>
      <c r="F237" s="41">
        <f t="shared" si="35"/>
        <v>35638.181771801988</v>
      </c>
      <c r="G237" s="41">
        <f t="shared" si="35"/>
        <v>106914.54531540597</v>
      </c>
      <c r="H237" s="41">
        <f t="shared" si="35"/>
        <v>-35638.181771801988</v>
      </c>
      <c r="I237" s="41">
        <f t="shared" si="35"/>
        <v>-35638.181771801988</v>
      </c>
      <c r="J237" s="13" t="s">
        <v>251</v>
      </c>
      <c r="K237" s="38" t="str">
        <f>INDEX(B$205:B$214, MATCH(5, F$205:F$214, 0))</f>
        <v>D4Y</v>
      </c>
      <c r="L237" s="14" t="str">
        <f>INDEX(C$205:C$214, MATCH(5, F$205:F$214, 0))</f>
        <v>U4Y</v>
      </c>
      <c r="N237" s="215" t="s">
        <v>388</v>
      </c>
      <c r="O237" s="172"/>
      <c r="P237" s="172"/>
      <c r="Q237" s="172"/>
      <c r="R237" s="172"/>
      <c r="S237" s="173"/>
    </row>
    <row r="238" spans="1:19" ht="16.95" customHeight="1" x14ac:dyDescent="0.3">
      <c r="A238" s="41">
        <f t="shared" si="34"/>
        <v>0</v>
      </c>
      <c r="C238" s="41">
        <f t="shared" si="35"/>
        <v>0</v>
      </c>
      <c r="D238" s="41">
        <f t="shared" si="35"/>
        <v>0</v>
      </c>
      <c r="E238" s="41">
        <f t="shared" si="35"/>
        <v>-17819.090885900994</v>
      </c>
      <c r="F238" s="41">
        <f t="shared" si="35"/>
        <v>-35638.181771801988</v>
      </c>
      <c r="G238" s="41">
        <f t="shared" si="35"/>
        <v>-35638.181771801988</v>
      </c>
      <c r="H238" s="41">
        <f t="shared" si="35"/>
        <v>71276.363543603977</v>
      </c>
      <c r="I238" s="41">
        <f t="shared" si="35"/>
        <v>35638.181771801988</v>
      </c>
      <c r="J238" s="13" t="s">
        <v>251</v>
      </c>
      <c r="K238" s="38" t="str">
        <f>INDEX(B$205:B$214, MATCH(6, F$205:F$214, 0))</f>
        <v>D5X</v>
      </c>
      <c r="L238" s="14" t="str">
        <f>INDEX(C$205:C$214, MATCH(6, F$205:F$214, 0))</f>
        <v>U5X</v>
      </c>
      <c r="N238" s="215"/>
      <c r="O238" s="172"/>
      <c r="P238" s="172"/>
      <c r="Q238" s="172"/>
      <c r="R238" s="172"/>
      <c r="S238" s="173"/>
    </row>
    <row r="239" spans="1:19" ht="16.95" customHeight="1" x14ac:dyDescent="0.3">
      <c r="A239" s="41">
        <f t="shared" si="34"/>
        <v>-8000</v>
      </c>
      <c r="C239" s="41">
        <f t="shared" si="35"/>
        <v>0</v>
      </c>
      <c r="D239" s="41">
        <f t="shared" si="35"/>
        <v>-50400</v>
      </c>
      <c r="E239" s="41">
        <f t="shared" si="35"/>
        <v>17819.090885900994</v>
      </c>
      <c r="F239" s="41">
        <f t="shared" si="35"/>
        <v>-35638.181771801988</v>
      </c>
      <c r="G239" s="41">
        <f t="shared" si="35"/>
        <v>-35638.181771801988</v>
      </c>
      <c r="H239" s="41">
        <f t="shared" si="35"/>
        <v>35638.181771801988</v>
      </c>
      <c r="I239" s="41">
        <f t="shared" si="35"/>
        <v>121676.36354360398</v>
      </c>
      <c r="J239" s="13" t="s">
        <v>251</v>
      </c>
      <c r="K239" s="38" t="str">
        <f>INDEX(B$205:B$214, MATCH(7, F$205:F$214, 0))</f>
        <v>D5Y</v>
      </c>
      <c r="L239" s="14" t="str">
        <f>INDEX(C$205:C$214, MATCH(7, F$205:F$214, 0))</f>
        <v>U5Y</v>
      </c>
      <c r="N239" s="215"/>
      <c r="O239" s="172"/>
      <c r="P239" s="172"/>
      <c r="Q239" s="172"/>
      <c r="R239" s="172"/>
      <c r="S239" s="173"/>
    </row>
    <row r="240" spans="1:19" ht="16.95" customHeight="1" x14ac:dyDescent="0.3">
      <c r="N240" s="215"/>
      <c r="O240" s="172"/>
      <c r="P240" s="172"/>
      <c r="Q240" s="172"/>
      <c r="R240" s="172"/>
      <c r="S240" s="173"/>
    </row>
    <row r="241" spans="1:19" ht="16.95" customHeight="1" x14ac:dyDescent="0.3">
      <c r="C241" s="218" t="s">
        <v>263</v>
      </c>
      <c r="D241" s="172"/>
      <c r="E241" s="172"/>
      <c r="F241" s="172"/>
      <c r="G241" s="172"/>
      <c r="H241" s="172"/>
      <c r="I241" s="173"/>
      <c r="N241" s="215"/>
      <c r="O241" s="172"/>
      <c r="P241" s="172"/>
      <c r="Q241" s="172"/>
      <c r="R241" s="172"/>
      <c r="S241" s="173"/>
    </row>
    <row r="242" spans="1:19" ht="16.95" customHeight="1" x14ac:dyDescent="0.3">
      <c r="A242" s="99" t="s">
        <v>249</v>
      </c>
      <c r="C242" s="193" t="s">
        <v>264</v>
      </c>
      <c r="D242" s="175"/>
      <c r="E242" s="175"/>
      <c r="F242" s="175"/>
      <c r="G242" s="175"/>
      <c r="H242" s="175"/>
      <c r="I242" s="175"/>
      <c r="K242" s="99" t="s">
        <v>247</v>
      </c>
      <c r="N242" s="215"/>
      <c r="O242" s="172"/>
      <c r="P242" s="172"/>
      <c r="Q242" s="172"/>
      <c r="R242" s="172"/>
      <c r="S242" s="173"/>
    </row>
    <row r="243" spans="1:19" ht="16.95" customHeight="1" x14ac:dyDescent="0.3">
      <c r="A243" s="12" t="str">
        <f t="shared" ref="A243:A249" si="36">K233</f>
        <v>D2X</v>
      </c>
      <c r="C243" s="93">
        <f t="array" ref="C243:I249">MINVERSE(C233:I239)</f>
        <v>1.9841269841269848E-5</v>
      </c>
      <c r="D243" s="93">
        <v>-9.9206349206349291E-6</v>
      </c>
      <c r="E243" s="93">
        <v>1.9841269841269851E-5</v>
      </c>
      <c r="F243" s="93">
        <v>1.4880952380952393E-5</v>
      </c>
      <c r="G243" s="93">
        <v>-1.4880952380952393E-5</v>
      </c>
      <c r="H243" s="93">
        <v>9.9206349206349325E-6</v>
      </c>
      <c r="I243" s="93">
        <v>-9.9206349206349308E-6</v>
      </c>
      <c r="K243" s="17">
        <f t="shared" ref="K243:K249" si="37">A233</f>
        <v>0</v>
      </c>
      <c r="N243" s="215"/>
      <c r="O243" s="172"/>
      <c r="P243" s="172"/>
      <c r="Q243" s="172"/>
      <c r="R243" s="172"/>
      <c r="S243" s="173"/>
    </row>
    <row r="244" spans="1:19" ht="16.95" customHeight="1" x14ac:dyDescent="0.3">
      <c r="A244" s="12" t="str">
        <f t="shared" si="36"/>
        <v>D2Y</v>
      </c>
      <c r="C244" s="93">
        <v>-9.9206349206349308E-6</v>
      </c>
      <c r="D244" s="93">
        <v>5.0806749440075856E-5</v>
      </c>
      <c r="E244" s="93">
        <v>-1.9841269841269858E-5</v>
      </c>
      <c r="F244" s="93">
        <v>-2.6856218067326886E-5</v>
      </c>
      <c r="G244" s="93">
        <v>3.3871166293383904E-5</v>
      </c>
      <c r="H244" s="93">
        <v>-1.6935583146691962E-5</v>
      </c>
      <c r="I244" s="93">
        <v>3.0965479598806001E-5</v>
      </c>
      <c r="K244" s="17">
        <f t="shared" si="37"/>
        <v>-4000</v>
      </c>
      <c r="N244" s="215"/>
      <c r="O244" s="172"/>
      <c r="P244" s="172"/>
      <c r="Q244" s="172"/>
      <c r="R244" s="172"/>
      <c r="S244" s="173"/>
    </row>
    <row r="245" spans="1:19" ht="16.95" customHeight="1" x14ac:dyDescent="0.3">
      <c r="A245" s="12" t="str">
        <f t="shared" si="36"/>
        <v>D3X</v>
      </c>
      <c r="C245" s="93">
        <v>1.9841269841269851E-5</v>
      </c>
      <c r="D245" s="93">
        <v>-1.9841269841269858E-5</v>
      </c>
      <c r="E245" s="93">
        <v>3.9682539682539696E-5</v>
      </c>
      <c r="F245" s="93">
        <v>1.9841269841269858E-5</v>
      </c>
      <c r="G245" s="93">
        <v>-1.9841269841269858E-5</v>
      </c>
      <c r="H245" s="93">
        <v>1.9841269841269858E-5</v>
      </c>
      <c r="I245" s="93">
        <v>-1.9841269841269858E-5</v>
      </c>
      <c r="K245" s="17">
        <f t="shared" si="37"/>
        <v>0</v>
      </c>
      <c r="N245" s="215"/>
      <c r="O245" s="172"/>
      <c r="P245" s="172"/>
      <c r="Q245" s="172"/>
      <c r="R245" s="172"/>
      <c r="S245" s="173"/>
    </row>
    <row r="246" spans="1:19" ht="16.95" customHeight="1" x14ac:dyDescent="0.3">
      <c r="A246" s="12" t="str">
        <f t="shared" si="36"/>
        <v>D4X</v>
      </c>
      <c r="B246" s="13" t="s">
        <v>220</v>
      </c>
      <c r="C246" s="93">
        <v>1.4880952380952389E-5</v>
      </c>
      <c r="D246" s="93">
        <v>-2.6856218067326879E-5</v>
      </c>
      <c r="E246" s="93">
        <v>1.9841269841269858E-5</v>
      </c>
      <c r="F246" s="93">
        <v>3.1391007563225177E-5</v>
      </c>
      <c r="G246" s="93">
        <v>-2.4376059337168146E-5</v>
      </c>
      <c r="H246" s="93">
        <v>1.6935583146691959E-5</v>
      </c>
      <c r="I246" s="93">
        <v>-1.6935583146691955E-5</v>
      </c>
      <c r="K246" s="17">
        <f t="shared" si="37"/>
        <v>2000</v>
      </c>
      <c r="N246" s="215"/>
      <c r="O246" s="172"/>
      <c r="P246" s="172"/>
      <c r="Q246" s="172"/>
      <c r="R246" s="172"/>
      <c r="S246" s="173"/>
    </row>
    <row r="247" spans="1:19" ht="16.95" customHeight="1" x14ac:dyDescent="0.3">
      <c r="A247" s="12" t="str">
        <f t="shared" si="36"/>
        <v>D4Y</v>
      </c>
      <c r="C247" s="93">
        <v>-1.4880952380952391E-5</v>
      </c>
      <c r="D247" s="93">
        <v>3.3871166293383904E-5</v>
      </c>
      <c r="E247" s="93">
        <v>-1.9841269841269858E-5</v>
      </c>
      <c r="F247" s="93">
        <v>-2.4376059337168153E-5</v>
      </c>
      <c r="G247" s="93">
        <v>3.8405955789282195E-5</v>
      </c>
      <c r="H247" s="93">
        <v>-9.9206349206349376E-6</v>
      </c>
      <c r="I247" s="93">
        <v>2.395053137274898E-5</v>
      </c>
      <c r="K247" s="17">
        <f t="shared" si="37"/>
        <v>0</v>
      </c>
      <c r="N247" s="215"/>
      <c r="O247" s="172"/>
      <c r="P247" s="172"/>
      <c r="Q247" s="172"/>
      <c r="R247" s="172"/>
      <c r="S247" s="173"/>
    </row>
    <row r="248" spans="1:19" ht="16.95" customHeight="1" x14ac:dyDescent="0.3">
      <c r="A248" s="12" t="str">
        <f t="shared" si="36"/>
        <v>D5X</v>
      </c>
      <c r="C248" s="93">
        <v>9.9206349206349274E-6</v>
      </c>
      <c r="D248" s="93">
        <v>-1.6935583146691955E-5</v>
      </c>
      <c r="E248" s="93">
        <v>1.9841269841269855E-5</v>
      </c>
      <c r="F248" s="93">
        <v>1.6935583146691955E-5</v>
      </c>
      <c r="G248" s="93">
        <v>-9.9206349206349325E-6</v>
      </c>
      <c r="H248" s="93">
        <v>3.0965479598806001E-5</v>
      </c>
      <c r="I248" s="93">
        <v>-1.6935583146691955E-5</v>
      </c>
      <c r="K248" s="17">
        <f t="shared" si="37"/>
        <v>0</v>
      </c>
      <c r="N248" s="215"/>
      <c r="O248" s="172"/>
      <c r="P248" s="172"/>
      <c r="Q248" s="172"/>
      <c r="R248" s="172"/>
      <c r="S248" s="173"/>
    </row>
    <row r="249" spans="1:19" ht="16.95" customHeight="1" x14ac:dyDescent="0.3">
      <c r="A249" s="12" t="str">
        <f t="shared" si="36"/>
        <v>D5Y</v>
      </c>
      <c r="C249" s="93">
        <v>-9.9206349206349291E-6</v>
      </c>
      <c r="D249" s="93">
        <v>3.0965479598806001E-5</v>
      </c>
      <c r="E249" s="93">
        <v>-1.9841269841269858E-5</v>
      </c>
      <c r="F249" s="93">
        <v>-1.6935583146691959E-5</v>
      </c>
      <c r="G249" s="93">
        <v>2.395053137274898E-5</v>
      </c>
      <c r="H249" s="93">
        <v>-1.6935583146691959E-5</v>
      </c>
      <c r="I249" s="93">
        <v>3.0965479598806001E-5</v>
      </c>
      <c r="K249" s="17">
        <f t="shared" si="37"/>
        <v>-8000</v>
      </c>
      <c r="N249" s="215"/>
      <c r="O249" s="172"/>
      <c r="P249" s="172"/>
      <c r="Q249" s="172"/>
      <c r="R249" s="172"/>
      <c r="S249" s="173"/>
    </row>
    <row r="250" spans="1:19" ht="16.95" customHeight="1" x14ac:dyDescent="0.3">
      <c r="N250" s="215"/>
      <c r="O250" s="172"/>
      <c r="P250" s="172"/>
      <c r="Q250" s="172"/>
      <c r="R250" s="172"/>
      <c r="S250" s="173"/>
    </row>
    <row r="251" spans="1:19" ht="16.95" customHeight="1" x14ac:dyDescent="0.3">
      <c r="C251" s="218" t="s">
        <v>265</v>
      </c>
      <c r="D251" s="173"/>
      <c r="N251" s="215"/>
      <c r="O251" s="172"/>
      <c r="P251" s="172"/>
      <c r="Q251" s="172"/>
      <c r="R251" s="172"/>
      <c r="S251" s="173"/>
    </row>
    <row r="252" spans="1:19" ht="16.95" customHeight="1" x14ac:dyDescent="0.3">
      <c r="A252" s="99" t="s">
        <v>249</v>
      </c>
      <c r="C252" s="99" t="s">
        <v>266</v>
      </c>
      <c r="N252" s="215"/>
      <c r="O252" s="172"/>
      <c r="P252" s="172"/>
      <c r="Q252" s="172"/>
      <c r="R252" s="172"/>
      <c r="S252" s="173"/>
    </row>
    <row r="253" spans="1:19" ht="16.95" customHeight="1" x14ac:dyDescent="0.3">
      <c r="A253" s="12" t="str">
        <f t="shared" ref="A253:A259" si="38">A243</f>
        <v>D2X</v>
      </c>
      <c r="C253" s="94">
        <f t="array" ref="C253:C259">MMULT(C243:I249, K243:K249)</f>
        <v>0.14880952380952395</v>
      </c>
      <c r="D253" s="12" t="s">
        <v>267</v>
      </c>
      <c r="N253" s="215"/>
      <c r="O253" s="172"/>
      <c r="P253" s="172"/>
      <c r="Q253" s="172"/>
      <c r="R253" s="172"/>
      <c r="S253" s="173"/>
    </row>
    <row r="254" spans="1:19" ht="16.95" customHeight="1" x14ac:dyDescent="0.3">
      <c r="A254" s="12" t="str">
        <f t="shared" si="38"/>
        <v>D2Y</v>
      </c>
      <c r="C254" s="94">
        <v>-0.50466327068540529</v>
      </c>
      <c r="D254" s="12" t="s">
        <v>267</v>
      </c>
      <c r="N254" s="215"/>
      <c r="O254" s="172"/>
      <c r="P254" s="172"/>
      <c r="Q254" s="172"/>
      <c r="R254" s="172"/>
      <c r="S254" s="173"/>
    </row>
    <row r="255" spans="1:19" ht="16.95" customHeight="1" x14ac:dyDescent="0.3">
      <c r="A255" s="12" t="str">
        <f t="shared" si="38"/>
        <v>D3X</v>
      </c>
      <c r="C255" s="94">
        <v>0.27777777777777801</v>
      </c>
      <c r="D255" s="12" t="s">
        <v>267</v>
      </c>
      <c r="N255" s="215"/>
      <c r="O255" s="172"/>
      <c r="P255" s="172"/>
      <c r="Q255" s="172"/>
      <c r="R255" s="172"/>
      <c r="S255" s="173"/>
    </row>
    <row r="256" spans="1:19" ht="16.95" customHeight="1" x14ac:dyDescent="0.3">
      <c r="A256" s="12" t="str">
        <f t="shared" si="38"/>
        <v>D4X</v>
      </c>
      <c r="B256" s="13" t="s">
        <v>220</v>
      </c>
      <c r="C256" s="94">
        <v>0.30569155256929348</v>
      </c>
      <c r="D256" s="12" t="s">
        <v>267</v>
      </c>
      <c r="N256" s="215"/>
      <c r="O256" s="172"/>
      <c r="P256" s="172"/>
      <c r="Q256" s="172"/>
      <c r="R256" s="172"/>
      <c r="S256" s="173"/>
    </row>
    <row r="257" spans="1:19" ht="16.95" customHeight="1" x14ac:dyDescent="0.3">
      <c r="A257" s="12" t="str">
        <f t="shared" si="38"/>
        <v>D4Y</v>
      </c>
      <c r="C257" s="94">
        <v>-0.37584103482986375</v>
      </c>
      <c r="D257" s="12" t="s">
        <v>267</v>
      </c>
      <c r="N257" s="215"/>
      <c r="O257" s="172"/>
      <c r="P257" s="172"/>
      <c r="Q257" s="172"/>
      <c r="R257" s="172"/>
      <c r="S257" s="173"/>
    </row>
    <row r="258" spans="1:19" ht="16.95" customHeight="1" x14ac:dyDescent="0.3">
      <c r="A258" s="12" t="str">
        <f t="shared" si="38"/>
        <v>D5X</v>
      </c>
      <c r="C258" s="94">
        <v>0.23709816405368736</v>
      </c>
      <c r="D258" s="12" t="s">
        <v>267</v>
      </c>
      <c r="N258" s="215"/>
      <c r="O258" s="172"/>
      <c r="P258" s="172"/>
      <c r="Q258" s="172"/>
      <c r="R258" s="172"/>
      <c r="S258" s="173"/>
    </row>
    <row r="259" spans="1:19" ht="16.95" customHeight="1" x14ac:dyDescent="0.3">
      <c r="A259" s="12" t="str">
        <f t="shared" si="38"/>
        <v>D5Y</v>
      </c>
      <c r="C259" s="94">
        <v>-0.40545692147905593</v>
      </c>
      <c r="D259" s="12" t="s">
        <v>267</v>
      </c>
      <c r="N259" s="215"/>
      <c r="O259" s="172"/>
      <c r="P259" s="172"/>
      <c r="Q259" s="172"/>
      <c r="R259" s="172"/>
      <c r="S259" s="173"/>
    </row>
    <row r="262" spans="1:19" ht="19.95" customHeight="1" x14ac:dyDescent="0.35">
      <c r="A262" s="11" t="s">
        <v>268</v>
      </c>
      <c r="N262" s="216" t="s">
        <v>269</v>
      </c>
      <c r="O262" s="172"/>
      <c r="P262" s="172"/>
      <c r="Q262" s="172"/>
      <c r="R262" s="172"/>
      <c r="S262" s="173"/>
    </row>
    <row r="263" spans="1:19" ht="16.95" customHeight="1" x14ac:dyDescent="0.3">
      <c r="A263" s="99" t="s">
        <v>247</v>
      </c>
      <c r="K263" s="99" t="s">
        <v>249</v>
      </c>
      <c r="N263" s="215" t="s">
        <v>389</v>
      </c>
      <c r="O263" s="172"/>
      <c r="P263" s="172"/>
      <c r="Q263" s="172"/>
      <c r="R263" s="172"/>
      <c r="S263" s="173"/>
    </row>
    <row r="264" spans="1:19" ht="16.95" customHeight="1" x14ac:dyDescent="0.3">
      <c r="A264" s="18" t="str">
        <f>INDEX(B$193:B$202, MATCH(L264, C$193:C$202, 0))</f>
        <v>C1X</v>
      </c>
      <c r="C264" s="9">
        <f t="shared" ref="C264:I266" si="39">INDEX($B$180:$K$189, MATCH($L264, $L$180:$L$189, 0), MATCH(C$232, $B$179:$K$179, 0))</f>
        <v>-50400</v>
      </c>
      <c r="D264" s="9">
        <f t="shared" si="39"/>
        <v>0</v>
      </c>
      <c r="E264" s="9">
        <f t="shared" si="39"/>
        <v>0</v>
      </c>
      <c r="F264" s="9">
        <f t="shared" si="39"/>
        <v>-35638.181771801988</v>
      </c>
      <c r="G264" s="9">
        <f t="shared" si="39"/>
        <v>-35638.181771801988</v>
      </c>
      <c r="H264" s="9">
        <f t="shared" si="39"/>
        <v>-17819.090885900994</v>
      </c>
      <c r="I264" s="9">
        <f t="shared" si="39"/>
        <v>-17819.090885900994</v>
      </c>
      <c r="K264" s="95">
        <f t="shared" ref="K264:K270" si="40">C253</f>
        <v>0.14880952380952395</v>
      </c>
      <c r="L264" s="14" t="str">
        <f>INDEX(C$205:C$214, MATCH(1, G$205:G$214, 0))</f>
        <v>U1X</v>
      </c>
      <c r="N264" s="215" t="s">
        <v>390</v>
      </c>
      <c r="O264" s="172"/>
      <c r="P264" s="172"/>
      <c r="Q264" s="172"/>
      <c r="R264" s="172"/>
      <c r="S264" s="173"/>
    </row>
    <row r="265" spans="1:19" ht="16.95" customHeight="1" x14ac:dyDescent="0.3">
      <c r="A265" s="18" t="str">
        <f>INDEX(B$193:B$202, MATCH(L265, C$193:C$202, 0))</f>
        <v>C1Y</v>
      </c>
      <c r="B265" s="13" t="s">
        <v>220</v>
      </c>
      <c r="C265" s="9">
        <f t="shared" si="39"/>
        <v>0</v>
      </c>
      <c r="D265" s="9">
        <f t="shared" si="39"/>
        <v>0</v>
      </c>
      <c r="E265" s="9">
        <f t="shared" si="39"/>
        <v>0</v>
      </c>
      <c r="F265" s="9">
        <f t="shared" si="39"/>
        <v>-35638.181771801988</v>
      </c>
      <c r="G265" s="9">
        <f t="shared" si="39"/>
        <v>-35638.181771801988</v>
      </c>
      <c r="H265" s="9">
        <f t="shared" si="39"/>
        <v>-17819.090885900994</v>
      </c>
      <c r="I265" s="9">
        <f t="shared" si="39"/>
        <v>-17819.090885900994</v>
      </c>
      <c r="K265" s="95">
        <f t="shared" si="40"/>
        <v>-0.50466327068540529</v>
      </c>
      <c r="L265" s="14" t="str">
        <f>INDEX(C$205:C$214, MATCH(2, G$205:G$214, 0))</f>
        <v>U1Y</v>
      </c>
      <c r="N265" s="215" t="s">
        <v>391</v>
      </c>
      <c r="O265" s="172"/>
      <c r="P265" s="172"/>
      <c r="Q265" s="172"/>
      <c r="R265" s="172"/>
      <c r="S265" s="173"/>
    </row>
    <row r="266" spans="1:19" ht="16.95" customHeight="1" x14ac:dyDescent="0.3">
      <c r="A266" s="18" t="str">
        <f>INDEX(B$193:B$202, MATCH(L266, C$193:C$202, 0))</f>
        <v>C3Y</v>
      </c>
      <c r="C266" s="9">
        <f t="shared" si="39"/>
        <v>0</v>
      </c>
      <c r="D266" s="9">
        <f t="shared" si="39"/>
        <v>0</v>
      </c>
      <c r="E266" s="9">
        <f t="shared" si="39"/>
        <v>-17819.090885900994</v>
      </c>
      <c r="F266" s="9">
        <f t="shared" si="39"/>
        <v>0</v>
      </c>
      <c r="G266" s="9">
        <f t="shared" si="39"/>
        <v>0</v>
      </c>
      <c r="H266" s="9">
        <f t="shared" si="39"/>
        <v>17819.090885900994</v>
      </c>
      <c r="I266" s="9">
        <f t="shared" si="39"/>
        <v>-17819.090885900994</v>
      </c>
      <c r="K266" s="95">
        <f t="shared" si="40"/>
        <v>0.27777777777777801</v>
      </c>
      <c r="L266" s="14" t="str">
        <f>INDEX(C$205:C$214, MATCH(3, G$205:G$214, 0))</f>
        <v>U3Y</v>
      </c>
      <c r="N266" s="215" t="s">
        <v>392</v>
      </c>
      <c r="O266" s="172"/>
      <c r="P266" s="172"/>
      <c r="Q266" s="172"/>
      <c r="R266" s="172"/>
      <c r="S266" s="173"/>
    </row>
    <row r="267" spans="1:19" ht="16.95" customHeight="1" x14ac:dyDescent="0.3">
      <c r="K267" s="95">
        <f t="shared" si="40"/>
        <v>0.30569155256929348</v>
      </c>
      <c r="N267" s="215" t="s">
        <v>393</v>
      </c>
      <c r="O267" s="172"/>
      <c r="P267" s="172"/>
      <c r="Q267" s="172"/>
      <c r="R267" s="172"/>
      <c r="S267" s="173"/>
    </row>
    <row r="268" spans="1:19" ht="16.95" customHeight="1" x14ac:dyDescent="0.3">
      <c r="K268" s="95">
        <f t="shared" si="40"/>
        <v>-0.37584103482986375</v>
      </c>
      <c r="N268" s="215" t="s">
        <v>394</v>
      </c>
      <c r="O268" s="172"/>
      <c r="P268" s="172"/>
      <c r="Q268" s="172"/>
      <c r="R268" s="172"/>
      <c r="S268" s="173"/>
    </row>
    <row r="269" spans="1:19" ht="16.95" customHeight="1" x14ac:dyDescent="0.3">
      <c r="K269" s="95">
        <f t="shared" si="40"/>
        <v>0.23709816405368736</v>
      </c>
      <c r="N269" s="215"/>
      <c r="O269" s="172"/>
      <c r="P269" s="172"/>
      <c r="Q269" s="172"/>
      <c r="R269" s="172"/>
      <c r="S269" s="173"/>
    </row>
    <row r="270" spans="1:19" ht="16.95" customHeight="1" x14ac:dyDescent="0.3">
      <c r="K270" s="95">
        <f t="shared" si="40"/>
        <v>-0.40545692147905593</v>
      </c>
      <c r="N270" s="215"/>
      <c r="O270" s="172"/>
      <c r="P270" s="172"/>
      <c r="Q270" s="172"/>
      <c r="R270" s="172"/>
      <c r="S270" s="173"/>
    </row>
    <row r="271" spans="1:19" ht="16.95" customHeight="1" x14ac:dyDescent="0.3">
      <c r="N271" s="215"/>
      <c r="O271" s="172"/>
      <c r="P271" s="172"/>
      <c r="Q271" s="172"/>
      <c r="R271" s="172"/>
      <c r="S271" s="173"/>
    </row>
    <row r="272" spans="1:19" ht="16.95" customHeight="1" x14ac:dyDescent="0.3">
      <c r="A272" s="12" t="str">
        <f>A264</f>
        <v>C1X</v>
      </c>
      <c r="C272" s="17">
        <f t="array" ref="C272:C274">MMULT(C264:I266, K264:K270)</f>
        <v>-2000.0000000000009</v>
      </c>
      <c r="D272" s="12" t="s">
        <v>273</v>
      </c>
      <c r="N272" s="215"/>
      <c r="O272" s="172"/>
      <c r="P272" s="172"/>
      <c r="Q272" s="172"/>
      <c r="R272" s="172"/>
      <c r="S272" s="173"/>
    </row>
    <row r="273" spans="1:19" ht="16.95" customHeight="1" x14ac:dyDescent="0.3">
      <c r="A273" s="12" t="str">
        <f>A265</f>
        <v>C1Y</v>
      </c>
      <c r="B273" s="13" t="s">
        <v>220</v>
      </c>
      <c r="C273" s="17">
        <v>5500.0000000000045</v>
      </c>
      <c r="D273" s="12" t="s">
        <v>273</v>
      </c>
      <c r="N273" s="215"/>
      <c r="O273" s="172"/>
      <c r="P273" s="172"/>
      <c r="Q273" s="172"/>
      <c r="R273" s="172"/>
      <c r="S273" s="173"/>
    </row>
    <row r="274" spans="1:19" ht="16.95" customHeight="1" x14ac:dyDescent="0.3">
      <c r="A274" s="12" t="str">
        <f>A266</f>
        <v>C3Y</v>
      </c>
      <c r="C274" s="17">
        <v>6500.0000000000036</v>
      </c>
      <c r="D274" s="12" t="s">
        <v>273</v>
      </c>
      <c r="N274" s="215"/>
      <c r="O274" s="172"/>
      <c r="P274" s="172"/>
      <c r="Q274" s="172"/>
      <c r="R274" s="172"/>
      <c r="S274" s="173"/>
    </row>
    <row r="277" spans="1:19" ht="19.95" customHeight="1" x14ac:dyDescent="0.35">
      <c r="A277" s="11" t="s">
        <v>274</v>
      </c>
    </row>
    <row r="279" spans="1:19" ht="19.05" customHeight="1" x14ac:dyDescent="0.3">
      <c r="A279" s="12" t="s">
        <v>228</v>
      </c>
      <c r="B279" s="12" t="s">
        <v>178</v>
      </c>
      <c r="D279" s="94">
        <f t="shared" ref="D279:D288" si="41">IFERROR(INDEX(C$253:C$259, MATCH(A279, A$253:A$259, 0)), 0)</f>
        <v>0</v>
      </c>
    </row>
    <row r="280" spans="1:19" ht="19.05" customHeight="1" x14ac:dyDescent="0.3">
      <c r="A280" s="12" t="s">
        <v>229</v>
      </c>
      <c r="B280" s="12" t="s">
        <v>179</v>
      </c>
      <c r="D280" s="94">
        <f t="shared" si="41"/>
        <v>0</v>
      </c>
    </row>
    <row r="281" spans="1:19" ht="19.05" customHeight="1" x14ac:dyDescent="0.3">
      <c r="A281" s="12" t="s">
        <v>230</v>
      </c>
      <c r="B281" s="12" t="s">
        <v>180</v>
      </c>
      <c r="D281" s="94">
        <f t="shared" si="41"/>
        <v>0.14880952380952395</v>
      </c>
    </row>
    <row r="282" spans="1:19" ht="19.05" customHeight="1" x14ac:dyDescent="0.3">
      <c r="A282" s="12" t="s">
        <v>231</v>
      </c>
      <c r="B282" s="12" t="s">
        <v>181</v>
      </c>
      <c r="D282" s="94">
        <f t="shared" si="41"/>
        <v>-0.50466327068540529</v>
      </c>
    </row>
    <row r="283" spans="1:19" ht="19.05" customHeight="1" x14ac:dyDescent="0.3">
      <c r="A283" s="12" t="s">
        <v>232</v>
      </c>
      <c r="B283" s="12" t="s">
        <v>182</v>
      </c>
      <c r="D283" s="94">
        <f t="shared" si="41"/>
        <v>0.27777777777777801</v>
      </c>
    </row>
    <row r="284" spans="1:19" ht="19.05" customHeight="1" x14ac:dyDescent="0.3">
      <c r="A284" s="12" t="s">
        <v>234</v>
      </c>
      <c r="B284" s="12" t="s">
        <v>183</v>
      </c>
      <c r="D284" s="94">
        <f t="shared" si="41"/>
        <v>0</v>
      </c>
    </row>
    <row r="285" spans="1:19" ht="19.05" customHeight="1" x14ac:dyDescent="0.3">
      <c r="A285" s="12" t="s">
        <v>235</v>
      </c>
      <c r="B285" s="12" t="s">
        <v>184</v>
      </c>
      <c r="D285" s="94">
        <f t="shared" si="41"/>
        <v>0.30569155256929348</v>
      </c>
    </row>
    <row r="286" spans="1:19" ht="19.05" customHeight="1" x14ac:dyDescent="0.3">
      <c r="A286" s="12" t="s">
        <v>236</v>
      </c>
      <c r="B286" s="12" t="s">
        <v>185</v>
      </c>
      <c r="D286" s="94">
        <f t="shared" si="41"/>
        <v>-0.37584103482986375</v>
      </c>
    </row>
    <row r="287" spans="1:19" ht="19.05" customHeight="1" x14ac:dyDescent="0.3">
      <c r="A287" s="12" t="s">
        <v>237</v>
      </c>
      <c r="B287" s="12" t="s">
        <v>186</v>
      </c>
      <c r="D287" s="94">
        <f t="shared" si="41"/>
        <v>0.23709816405368736</v>
      </c>
    </row>
    <row r="288" spans="1:19" ht="19.05" customHeight="1" x14ac:dyDescent="0.3">
      <c r="A288" s="12" t="s">
        <v>238</v>
      </c>
      <c r="B288" s="12" t="s">
        <v>187</v>
      </c>
      <c r="D288" s="94">
        <f t="shared" si="41"/>
        <v>-0.40545692147905593</v>
      </c>
    </row>
    <row r="291" spans="1:19" ht="19.95" customHeight="1" x14ac:dyDescent="0.35">
      <c r="A291" s="11" t="s">
        <v>275</v>
      </c>
      <c r="N291" s="216" t="s">
        <v>276</v>
      </c>
      <c r="O291" s="172"/>
      <c r="P291" s="172"/>
      <c r="Q291" s="172"/>
      <c r="R291" s="172"/>
      <c r="S291" s="173"/>
    </row>
    <row r="292" spans="1:19" ht="16.95" customHeight="1" x14ac:dyDescent="0.3">
      <c r="N292" s="215" t="s">
        <v>395</v>
      </c>
      <c r="O292" s="172"/>
      <c r="P292" s="172"/>
      <c r="Q292" s="172"/>
      <c r="R292" s="172"/>
      <c r="S292" s="173"/>
    </row>
    <row r="293" spans="1:19" ht="16.95" customHeight="1" x14ac:dyDescent="0.3">
      <c r="A293" s="19" t="s">
        <v>278</v>
      </c>
      <c r="C293" s="19" t="s">
        <v>279</v>
      </c>
      <c r="D293" s="19" t="s">
        <v>280</v>
      </c>
      <c r="E293" s="19" t="s">
        <v>279</v>
      </c>
      <c r="F293" s="19" t="s">
        <v>280</v>
      </c>
      <c r="G293" s="19" t="s">
        <v>249</v>
      </c>
      <c r="N293" s="215" t="s">
        <v>396</v>
      </c>
      <c r="O293" s="172"/>
      <c r="P293" s="172"/>
      <c r="Q293" s="172"/>
      <c r="R293" s="172"/>
      <c r="S293" s="173"/>
    </row>
    <row r="294" spans="1:19" ht="16.95" customHeight="1" x14ac:dyDescent="0.3">
      <c r="C294" s="19" t="s">
        <v>282</v>
      </c>
      <c r="D294" s="19" t="s">
        <v>282</v>
      </c>
      <c r="E294" s="19" t="s">
        <v>283</v>
      </c>
      <c r="F294" s="19" t="s">
        <v>283</v>
      </c>
      <c r="N294" s="215" t="s">
        <v>397</v>
      </c>
      <c r="O294" s="172"/>
      <c r="P294" s="172"/>
      <c r="Q294" s="172"/>
      <c r="R294" s="172"/>
      <c r="S294" s="173"/>
    </row>
    <row r="295" spans="1:19" ht="16.95" customHeight="1" x14ac:dyDescent="0.3">
      <c r="A295" s="17">
        <f>N6</f>
        <v>50400</v>
      </c>
      <c r="C295" s="92">
        <f>-J6</f>
        <v>-1</v>
      </c>
      <c r="D295" s="92">
        <f>-K6</f>
        <v>0</v>
      </c>
      <c r="E295" s="92">
        <f>J6</f>
        <v>1</v>
      </c>
      <c r="F295" s="92">
        <f>K6</f>
        <v>0</v>
      </c>
      <c r="G295" s="96">
        <f>IFERROR(VLOOKUP(H295, A$279:D$288, 4, FALSE), 0)</f>
        <v>0</v>
      </c>
      <c r="H295" s="12" t="str">
        <f>"D" &amp; C17 &amp; "X"</f>
        <v>D1X</v>
      </c>
      <c r="N295" s="215" t="s">
        <v>398</v>
      </c>
      <c r="O295" s="172"/>
      <c r="P295" s="172"/>
      <c r="Q295" s="172"/>
      <c r="R295" s="172"/>
      <c r="S295" s="173"/>
    </row>
    <row r="296" spans="1:19" ht="16.95" customHeight="1" x14ac:dyDescent="0.3">
      <c r="A296" s="99" t="s">
        <v>285</v>
      </c>
      <c r="B296" s="97">
        <f>(MMULT(C295:F295, G295:G298)*A295)</f>
        <v>7500.0000000000073</v>
      </c>
      <c r="G296" s="96">
        <f>IFERROR(VLOOKUP(H296, A$279:D$288, 4, FALSE), 0)</f>
        <v>0</v>
      </c>
      <c r="H296" s="12" t="str">
        <f>"D" &amp; D17 &amp; "Y"</f>
        <v>D1Y</v>
      </c>
      <c r="N296" s="215" t="s">
        <v>399</v>
      </c>
      <c r="O296" s="172"/>
      <c r="P296" s="172"/>
      <c r="Q296" s="172"/>
      <c r="R296" s="172"/>
      <c r="S296" s="173"/>
    </row>
    <row r="297" spans="1:19" ht="16.95" customHeight="1" x14ac:dyDescent="0.3">
      <c r="G297" s="96">
        <f>IFERROR(VLOOKUP(H297, A$279:D$288, 4, FALSE), 0)</f>
        <v>0.14880952380952395</v>
      </c>
      <c r="H297" s="12" t="str">
        <f>"D" &amp; E17 &amp; "X"</f>
        <v>D2X</v>
      </c>
      <c r="N297" s="215" t="s">
        <v>400</v>
      </c>
      <c r="O297" s="172"/>
      <c r="P297" s="172"/>
      <c r="Q297" s="172"/>
      <c r="R297" s="172"/>
      <c r="S297" s="173"/>
    </row>
    <row r="298" spans="1:19" ht="16.95" customHeight="1" x14ac:dyDescent="0.3">
      <c r="G298" s="96">
        <f>IFERROR(VLOOKUP(H298, A$279:D$288, 4, FALSE), 0)</f>
        <v>-0.50466327068540529</v>
      </c>
      <c r="H298" s="12" t="str">
        <f>"D" &amp; F17 &amp; "Y"</f>
        <v>D2Y</v>
      </c>
      <c r="N298" s="215" t="s">
        <v>401</v>
      </c>
      <c r="O298" s="172"/>
      <c r="P298" s="172"/>
      <c r="Q298" s="172"/>
      <c r="R298" s="172"/>
      <c r="S298" s="173"/>
    </row>
    <row r="299" spans="1:19" ht="16.95" customHeight="1" x14ac:dyDescent="0.3">
      <c r="B299" s="99" t="s">
        <v>273</v>
      </c>
      <c r="C299" s="178" t="str">
        <f>IF(B296&gt;0.001,"BARRA A TRACCIÓN (+)",IF(B296&lt;-0.001,"BARRA A COMPRESIÓN (-)","BARRA DE FUERZA NULA"))</f>
        <v>BARRA A TRACCIÓN (+)</v>
      </c>
      <c r="D299" s="172"/>
      <c r="E299" s="172"/>
      <c r="F299" s="173"/>
      <c r="N299" s="215" t="s">
        <v>402</v>
      </c>
      <c r="O299" s="172"/>
      <c r="P299" s="172"/>
      <c r="Q299" s="172"/>
      <c r="R299" s="172"/>
      <c r="S299" s="173"/>
    </row>
    <row r="300" spans="1:19" ht="16.95" customHeight="1" x14ac:dyDescent="0.3">
      <c r="N300" s="215" t="s">
        <v>403</v>
      </c>
      <c r="O300" s="172"/>
      <c r="P300" s="172"/>
      <c r="Q300" s="172"/>
      <c r="R300" s="172"/>
      <c r="S300" s="173"/>
    </row>
    <row r="301" spans="1:19" ht="16.95" customHeight="1" x14ac:dyDescent="0.3">
      <c r="A301" s="19" t="s">
        <v>278</v>
      </c>
      <c r="C301" s="19" t="s">
        <v>279</v>
      </c>
      <c r="D301" s="19" t="s">
        <v>280</v>
      </c>
      <c r="E301" s="19" t="s">
        <v>279</v>
      </c>
      <c r="F301" s="19" t="s">
        <v>280</v>
      </c>
      <c r="G301" s="19" t="s">
        <v>249</v>
      </c>
      <c r="N301" s="215"/>
      <c r="O301" s="172"/>
      <c r="P301" s="172"/>
      <c r="Q301" s="172"/>
      <c r="R301" s="172"/>
      <c r="S301" s="173"/>
    </row>
    <row r="302" spans="1:19" ht="16.95" customHeight="1" x14ac:dyDescent="0.3">
      <c r="C302" s="19" t="s">
        <v>282</v>
      </c>
      <c r="D302" s="19" t="s">
        <v>282</v>
      </c>
      <c r="E302" s="19" t="s">
        <v>283</v>
      </c>
      <c r="F302" s="19" t="s">
        <v>283</v>
      </c>
      <c r="N302" s="215"/>
      <c r="O302" s="172"/>
      <c r="P302" s="172"/>
      <c r="Q302" s="172"/>
      <c r="R302" s="172"/>
      <c r="S302" s="173"/>
    </row>
    <row r="303" spans="1:19" ht="16.95" customHeight="1" x14ac:dyDescent="0.3">
      <c r="A303" s="17">
        <f>N7</f>
        <v>50400</v>
      </c>
      <c r="C303" s="92">
        <f>-J7</f>
        <v>-1</v>
      </c>
      <c r="D303" s="92">
        <f>-K7</f>
        <v>0</v>
      </c>
      <c r="E303" s="92">
        <f>J7</f>
        <v>1</v>
      </c>
      <c r="F303" s="92">
        <f>K7</f>
        <v>0</v>
      </c>
      <c r="G303" s="96">
        <f>IFERROR(VLOOKUP(H303, A$279:D$288, 4, FALSE), 0)</f>
        <v>0.14880952380952395</v>
      </c>
      <c r="H303" s="12" t="str">
        <f>"D" &amp; C18 &amp; "X"</f>
        <v>D2X</v>
      </c>
      <c r="N303" s="215"/>
      <c r="O303" s="172"/>
      <c r="P303" s="172"/>
      <c r="Q303" s="172"/>
      <c r="R303" s="172"/>
      <c r="S303" s="173"/>
    </row>
    <row r="304" spans="1:19" ht="16.95" customHeight="1" x14ac:dyDescent="0.3">
      <c r="A304" s="99" t="s">
        <v>286</v>
      </c>
      <c r="B304" s="97">
        <f>(MMULT(C303:F303, G303:G306)*A303)</f>
        <v>6500.0000000000045</v>
      </c>
      <c r="G304" s="96">
        <f>IFERROR(VLOOKUP(H304, A$279:D$288, 4, FALSE), 0)</f>
        <v>-0.50466327068540529</v>
      </c>
      <c r="H304" s="12" t="str">
        <f>"D" &amp; D18 &amp; "Y"</f>
        <v>D2Y</v>
      </c>
      <c r="N304" s="215"/>
      <c r="O304" s="172"/>
      <c r="P304" s="172"/>
      <c r="Q304" s="172"/>
      <c r="R304" s="172"/>
      <c r="S304" s="173"/>
    </row>
    <row r="305" spans="1:19" ht="16.95" customHeight="1" x14ac:dyDescent="0.3">
      <c r="G305" s="96">
        <f>IFERROR(VLOOKUP(H305, A$279:D$288, 4, FALSE), 0)</f>
        <v>0.27777777777777801</v>
      </c>
      <c r="H305" s="12" t="str">
        <f>"D" &amp; E18 &amp; "X"</f>
        <v>D3X</v>
      </c>
      <c r="N305" s="215"/>
      <c r="O305" s="172"/>
      <c r="P305" s="172"/>
      <c r="Q305" s="172"/>
      <c r="R305" s="172"/>
      <c r="S305" s="173"/>
    </row>
    <row r="306" spans="1:19" ht="16.95" customHeight="1" x14ac:dyDescent="0.3">
      <c r="G306" s="96">
        <f>IFERROR(VLOOKUP(H306, A$279:D$288, 4, FALSE), 0)</f>
        <v>0</v>
      </c>
      <c r="H306" s="12" t="str">
        <f>"D" &amp; F18 &amp; "Y"</f>
        <v>D3Y</v>
      </c>
      <c r="N306" s="215"/>
      <c r="O306" s="172"/>
      <c r="P306" s="172"/>
      <c r="Q306" s="172"/>
      <c r="R306" s="172"/>
      <c r="S306" s="173"/>
    </row>
    <row r="307" spans="1:19" ht="16.95" customHeight="1" x14ac:dyDescent="0.3">
      <c r="B307" s="99" t="s">
        <v>273</v>
      </c>
      <c r="C307" s="178" t="str">
        <f>IF(B304&gt;0.001,"BARRA A TRACCIÓN (+)",IF(B304&lt;-0.001,"BARRA A COMPRESIÓN (-)","BARRA DE FUERZA NULA"))</f>
        <v>BARRA A TRACCIÓN (+)</v>
      </c>
      <c r="D307" s="172"/>
      <c r="E307" s="172"/>
      <c r="F307" s="173"/>
      <c r="N307" s="215"/>
      <c r="O307" s="172"/>
      <c r="P307" s="172"/>
      <c r="Q307" s="172"/>
      <c r="R307" s="172"/>
      <c r="S307" s="173"/>
    </row>
    <row r="308" spans="1:19" ht="16.95" customHeight="1" x14ac:dyDescent="0.3">
      <c r="N308" s="215"/>
      <c r="O308" s="172"/>
      <c r="P308" s="172"/>
      <c r="Q308" s="172"/>
      <c r="R308" s="172"/>
      <c r="S308" s="173"/>
    </row>
    <row r="309" spans="1:19" ht="16.95" customHeight="1" x14ac:dyDescent="0.3">
      <c r="A309" s="19" t="s">
        <v>278</v>
      </c>
      <c r="C309" s="19" t="s">
        <v>279</v>
      </c>
      <c r="D309" s="19" t="s">
        <v>280</v>
      </c>
      <c r="E309" s="19" t="s">
        <v>279</v>
      </c>
      <c r="F309" s="19" t="s">
        <v>280</v>
      </c>
      <c r="G309" s="19" t="s">
        <v>249</v>
      </c>
      <c r="N309" s="215"/>
      <c r="O309" s="172"/>
      <c r="P309" s="172"/>
      <c r="Q309" s="172"/>
      <c r="R309" s="172"/>
      <c r="S309" s="173"/>
    </row>
    <row r="310" spans="1:19" ht="16.95" customHeight="1" x14ac:dyDescent="0.3">
      <c r="C310" s="19" t="s">
        <v>282</v>
      </c>
      <c r="D310" s="19" t="s">
        <v>282</v>
      </c>
      <c r="E310" s="19" t="s">
        <v>283</v>
      </c>
      <c r="F310" s="19" t="s">
        <v>283</v>
      </c>
      <c r="N310" s="215"/>
      <c r="O310" s="172"/>
      <c r="P310" s="172"/>
      <c r="Q310" s="172"/>
      <c r="R310" s="172"/>
      <c r="S310" s="173"/>
    </row>
    <row r="311" spans="1:19" ht="16.95" customHeight="1" x14ac:dyDescent="0.3">
      <c r="A311" s="17">
        <f>N8</f>
        <v>71276.363543603991</v>
      </c>
      <c r="C311" s="92">
        <f>-J8</f>
        <v>-0.70710678118654746</v>
      </c>
      <c r="D311" s="92">
        <f>-K8</f>
        <v>-0.70710678118654746</v>
      </c>
      <c r="E311" s="92">
        <f>J8</f>
        <v>0.70710678118654746</v>
      </c>
      <c r="F311" s="92">
        <f>K8</f>
        <v>0.70710678118654746</v>
      </c>
      <c r="G311" s="96">
        <f>IFERROR(VLOOKUP(H311, A$279:D$288, 4, FALSE), 0)</f>
        <v>0</v>
      </c>
      <c r="H311" s="12" t="str">
        <f>"D" &amp; C19 &amp; "X"</f>
        <v>D1X</v>
      </c>
      <c r="N311" s="215"/>
      <c r="O311" s="172"/>
      <c r="P311" s="172"/>
      <c r="Q311" s="172"/>
      <c r="R311" s="172"/>
      <c r="S311" s="173"/>
    </row>
    <row r="312" spans="1:19" ht="16.95" customHeight="1" x14ac:dyDescent="0.3">
      <c r="A312" s="99" t="s">
        <v>287</v>
      </c>
      <c r="B312" s="97">
        <f>(MMULT(C311:F311, G311:G314)*A311)</f>
        <v>-3535.5339059327407</v>
      </c>
      <c r="G312" s="96">
        <f>IFERROR(VLOOKUP(H312, A$279:D$288, 4, FALSE), 0)</f>
        <v>0</v>
      </c>
      <c r="H312" s="12" t="str">
        <f>"D" &amp; D19 &amp; "Y"</f>
        <v>D1Y</v>
      </c>
      <c r="N312" s="215"/>
      <c r="O312" s="172"/>
      <c r="P312" s="172"/>
      <c r="Q312" s="172"/>
      <c r="R312" s="172"/>
      <c r="S312" s="173"/>
    </row>
    <row r="313" spans="1:19" ht="16.95" customHeight="1" x14ac:dyDescent="0.3">
      <c r="G313" s="96">
        <f>IFERROR(VLOOKUP(H313, A$279:D$288, 4, FALSE), 0)</f>
        <v>0.30569155256929348</v>
      </c>
      <c r="H313" s="12" t="str">
        <f>"D" &amp; E19 &amp; "X"</f>
        <v>D4X</v>
      </c>
      <c r="N313" s="215"/>
      <c r="O313" s="172"/>
      <c r="P313" s="172"/>
      <c r="Q313" s="172"/>
      <c r="R313" s="172"/>
      <c r="S313" s="173"/>
    </row>
    <row r="314" spans="1:19" ht="16.95" customHeight="1" x14ac:dyDescent="0.3">
      <c r="G314" s="96">
        <f>IFERROR(VLOOKUP(H314, A$279:D$288, 4, FALSE), 0)</f>
        <v>-0.37584103482986375</v>
      </c>
      <c r="H314" s="12" t="str">
        <f>"D" &amp; F19 &amp; "Y"</f>
        <v>D4Y</v>
      </c>
      <c r="N314" s="215"/>
      <c r="O314" s="172"/>
      <c r="P314" s="172"/>
      <c r="Q314" s="172"/>
      <c r="R314" s="172"/>
      <c r="S314" s="173"/>
    </row>
    <row r="315" spans="1:19" ht="16.95" customHeight="1" x14ac:dyDescent="0.3">
      <c r="B315" s="99" t="s">
        <v>273</v>
      </c>
      <c r="C315" s="178" t="str">
        <f>IF(B312&gt;0.001,"BARRA A TRACCIÓN (+)",IF(B312&lt;-0.001,"BARRA A COMPRESIÓN (-)","BARRA DE FUERZA NULA"))</f>
        <v>BARRA A COMPRESIÓN (-)</v>
      </c>
      <c r="D315" s="172"/>
      <c r="E315" s="172"/>
      <c r="F315" s="173"/>
      <c r="N315" s="215"/>
      <c r="O315" s="172"/>
      <c r="P315" s="172"/>
      <c r="Q315" s="172"/>
      <c r="R315" s="172"/>
      <c r="S315" s="173"/>
    </row>
    <row r="316" spans="1:19" ht="16.95" customHeight="1" x14ac:dyDescent="0.3">
      <c r="N316" s="215"/>
      <c r="O316" s="172"/>
      <c r="P316" s="172"/>
      <c r="Q316" s="172"/>
      <c r="R316" s="172"/>
      <c r="S316" s="173"/>
    </row>
    <row r="317" spans="1:19" ht="18" customHeight="1" x14ac:dyDescent="0.3">
      <c r="A317" s="19" t="s">
        <v>278</v>
      </c>
      <c r="C317" s="19" t="s">
        <v>279</v>
      </c>
      <c r="D317" s="19" t="s">
        <v>280</v>
      </c>
      <c r="E317" s="19" t="s">
        <v>279</v>
      </c>
      <c r="F317" s="19" t="s">
        <v>280</v>
      </c>
      <c r="G317" s="19" t="s">
        <v>249</v>
      </c>
    </row>
    <row r="318" spans="1:19" ht="16.05" customHeight="1" x14ac:dyDescent="0.3">
      <c r="C318" s="19" t="s">
        <v>282</v>
      </c>
      <c r="D318" s="19" t="s">
        <v>282</v>
      </c>
      <c r="E318" s="19" t="s">
        <v>283</v>
      </c>
      <c r="F318" s="19" t="s">
        <v>283</v>
      </c>
    </row>
    <row r="319" spans="1:19" ht="19.95" customHeight="1" x14ac:dyDescent="0.3">
      <c r="A319" s="17">
        <f>N9</f>
        <v>71276.363543603991</v>
      </c>
      <c r="C319" s="92">
        <f>-J9</f>
        <v>-0.70710678118654746</v>
      </c>
      <c r="D319" s="92">
        <f>-K9</f>
        <v>-0.70710678118654746</v>
      </c>
      <c r="E319" s="92">
        <f>J9</f>
        <v>0.70710678118654746</v>
      </c>
      <c r="F319" s="92">
        <f>K9</f>
        <v>0.70710678118654746</v>
      </c>
      <c r="G319" s="96">
        <f>IFERROR(VLOOKUP(H319, A$279:D$288, 4, FALSE), 0)</f>
        <v>0.30569155256929348</v>
      </c>
      <c r="H319" s="12" t="str">
        <f>"D" &amp; C20 &amp; "X"</f>
        <v>D4X</v>
      </c>
    </row>
    <row r="320" spans="1:19" ht="19.95" customHeight="1" x14ac:dyDescent="0.3">
      <c r="A320" s="99" t="s">
        <v>288</v>
      </c>
      <c r="B320" s="97">
        <f>(MMULT(C319:F319, G319:G322)*A319)</f>
        <v>-4949.7474683058372</v>
      </c>
      <c r="G320" s="96">
        <f>IFERROR(VLOOKUP(H320, A$279:D$288, 4, FALSE), 0)</f>
        <v>-0.37584103482986375</v>
      </c>
      <c r="H320" s="12" t="str">
        <f>"D" &amp; D20 &amp; "Y"</f>
        <v>D4Y</v>
      </c>
    </row>
    <row r="321" spans="1:8" ht="19.95" customHeight="1" x14ac:dyDescent="0.3">
      <c r="G321" s="96">
        <f>IFERROR(VLOOKUP(H321, A$279:D$288, 4, FALSE), 0)</f>
        <v>0.23709816405368736</v>
      </c>
      <c r="H321" s="12" t="str">
        <f>"D" &amp; E20 &amp; "X"</f>
        <v>D5X</v>
      </c>
    </row>
    <row r="322" spans="1:8" ht="19.95" customHeight="1" x14ac:dyDescent="0.3">
      <c r="G322" s="96">
        <f>IFERROR(VLOOKUP(H322, A$279:D$288, 4, FALSE), 0)</f>
        <v>-0.40545692147905593</v>
      </c>
      <c r="H322" s="12" t="str">
        <f>"D" &amp; F20 &amp; "Y"</f>
        <v>D5Y</v>
      </c>
    </row>
    <row r="323" spans="1:8" ht="19.95" customHeight="1" x14ac:dyDescent="0.3">
      <c r="B323" s="99" t="s">
        <v>273</v>
      </c>
      <c r="C323" s="178" t="str">
        <f>IF(B320&gt;0.001,"BARRA A TRACCIÓN (+)",IF(B320&lt;-0.001,"BARRA A COMPRESIÓN (-)","BARRA DE FUERZA NULA"))</f>
        <v>BARRA A COMPRESIÓN (-)</v>
      </c>
      <c r="D323" s="172"/>
      <c r="E323" s="172"/>
      <c r="F323" s="173"/>
    </row>
    <row r="325" spans="1:8" ht="18" customHeight="1" x14ac:dyDescent="0.3">
      <c r="A325" s="19" t="s">
        <v>278</v>
      </c>
      <c r="C325" s="19" t="s">
        <v>279</v>
      </c>
      <c r="D325" s="19" t="s">
        <v>280</v>
      </c>
      <c r="E325" s="19" t="s">
        <v>279</v>
      </c>
      <c r="F325" s="19" t="s">
        <v>280</v>
      </c>
      <c r="G325" s="19" t="s">
        <v>249</v>
      </c>
    </row>
    <row r="326" spans="1:8" ht="16.05" customHeight="1" x14ac:dyDescent="0.3">
      <c r="C326" s="19" t="s">
        <v>282</v>
      </c>
      <c r="D326" s="19" t="s">
        <v>282</v>
      </c>
      <c r="E326" s="19" t="s">
        <v>283</v>
      </c>
      <c r="F326" s="19" t="s">
        <v>283</v>
      </c>
    </row>
    <row r="327" spans="1:8" ht="19.95" customHeight="1" x14ac:dyDescent="0.3">
      <c r="A327" s="17">
        <f>N10</f>
        <v>35638.181771801996</v>
      </c>
      <c r="C327" s="92">
        <f>-J10</f>
        <v>-0.70710678118654746</v>
      </c>
      <c r="D327" s="92">
        <f>-K10</f>
        <v>0.70710678118654746</v>
      </c>
      <c r="E327" s="92">
        <f>J10</f>
        <v>0.70710678118654746</v>
      </c>
      <c r="F327" s="92">
        <f>K10</f>
        <v>-0.70710678118654746</v>
      </c>
      <c r="G327" s="96">
        <f>IFERROR(VLOOKUP(H327, A$279:D$288, 4, FALSE), 0)</f>
        <v>0.23709816405368736</v>
      </c>
      <c r="H327" s="12" t="str">
        <f>"D" &amp; C21 &amp; "X"</f>
        <v>D5X</v>
      </c>
    </row>
    <row r="328" spans="1:8" ht="19.95" customHeight="1" x14ac:dyDescent="0.3">
      <c r="A328" s="99" t="s">
        <v>289</v>
      </c>
      <c r="B328" s="97">
        <f>(MMULT(C327:F327, G327:G330)*A327)</f>
        <v>-9192.3881554251257</v>
      </c>
      <c r="G328" s="96">
        <f>IFERROR(VLOOKUP(H328, A$279:D$288, 4, FALSE), 0)</f>
        <v>-0.40545692147905593</v>
      </c>
      <c r="H328" s="12" t="str">
        <f>"D" &amp; D21 &amp; "Y"</f>
        <v>D5Y</v>
      </c>
    </row>
    <row r="329" spans="1:8" ht="19.95" customHeight="1" x14ac:dyDescent="0.3">
      <c r="G329" s="96">
        <f>IFERROR(VLOOKUP(H329, A$279:D$288, 4, FALSE), 0)</f>
        <v>0.27777777777777801</v>
      </c>
      <c r="H329" s="12" t="str">
        <f>"D" &amp; E21 &amp; "X"</f>
        <v>D3X</v>
      </c>
    </row>
    <row r="330" spans="1:8" ht="19.95" customHeight="1" x14ac:dyDescent="0.3">
      <c r="G330" s="96">
        <f>IFERROR(VLOOKUP(H330, A$279:D$288, 4, FALSE), 0)</f>
        <v>0</v>
      </c>
      <c r="H330" s="12" t="str">
        <f>"D" &amp; F21 &amp; "Y"</f>
        <v>D3Y</v>
      </c>
    </row>
    <row r="331" spans="1:8" ht="19.95" customHeight="1" x14ac:dyDescent="0.3">
      <c r="B331" s="99" t="s">
        <v>273</v>
      </c>
      <c r="C331" s="178" t="str">
        <f>IF(B328&gt;0.001,"BARRA A TRACCIÓN (+)",IF(B328&lt;-0.001,"BARRA A COMPRESIÓN (-)","BARRA DE FUERZA NULA"))</f>
        <v>BARRA A COMPRESIÓN (-)</v>
      </c>
      <c r="D331" s="172"/>
      <c r="E331" s="172"/>
      <c r="F331" s="173"/>
    </row>
    <row r="333" spans="1:8" ht="18" customHeight="1" x14ac:dyDescent="0.3">
      <c r="A333" s="19" t="s">
        <v>278</v>
      </c>
      <c r="C333" s="19" t="s">
        <v>279</v>
      </c>
      <c r="D333" s="19" t="s">
        <v>280</v>
      </c>
      <c r="E333" s="19" t="s">
        <v>279</v>
      </c>
      <c r="F333" s="19" t="s">
        <v>280</v>
      </c>
      <c r="G333" s="19" t="s">
        <v>249</v>
      </c>
    </row>
    <row r="334" spans="1:8" ht="16.05" customHeight="1" x14ac:dyDescent="0.3">
      <c r="C334" s="19" t="s">
        <v>282</v>
      </c>
      <c r="D334" s="19" t="s">
        <v>282</v>
      </c>
      <c r="E334" s="19" t="s">
        <v>283</v>
      </c>
      <c r="F334" s="19" t="s">
        <v>283</v>
      </c>
    </row>
    <row r="335" spans="1:8" ht="19.95" customHeight="1" x14ac:dyDescent="0.3">
      <c r="A335" s="17">
        <f>N11</f>
        <v>71276.363543603991</v>
      </c>
      <c r="C335" s="92">
        <f>-J11</f>
        <v>-0.70710678118654746</v>
      </c>
      <c r="D335" s="92">
        <f>-K11</f>
        <v>0.70710678118654746</v>
      </c>
      <c r="E335" s="92">
        <f>J11</f>
        <v>0.70710678118654746</v>
      </c>
      <c r="F335" s="92">
        <f>K11</f>
        <v>-0.70710678118654746</v>
      </c>
      <c r="G335" s="96">
        <f>IFERROR(VLOOKUP(H335, A$279:D$288, 4, FALSE), 0)</f>
        <v>0.30569155256929348</v>
      </c>
      <c r="H335" s="12" t="str">
        <f>"D" &amp; C22 &amp; "X"</f>
        <v>D4X</v>
      </c>
    </row>
    <row r="336" spans="1:8" ht="19.95" customHeight="1" x14ac:dyDescent="0.3">
      <c r="A336" s="99" t="s">
        <v>290</v>
      </c>
      <c r="B336" s="97">
        <f>(MMULT(C335:F335, G335:G338)*A335)</f>
        <v>-1414.2135623730901</v>
      </c>
      <c r="G336" s="96">
        <f>IFERROR(VLOOKUP(H336, A$279:D$288, 4, FALSE), 0)</f>
        <v>-0.37584103482986375</v>
      </c>
      <c r="H336" s="12" t="str">
        <f>"D" &amp; D22 &amp; "Y"</f>
        <v>D4Y</v>
      </c>
    </row>
    <row r="337" spans="1:8" ht="19.95" customHeight="1" x14ac:dyDescent="0.3">
      <c r="G337" s="96">
        <f>IFERROR(VLOOKUP(H337, A$279:D$288, 4, FALSE), 0)</f>
        <v>0.14880952380952395</v>
      </c>
      <c r="H337" s="12" t="str">
        <f>"D" &amp; E22 &amp; "X"</f>
        <v>D2X</v>
      </c>
    </row>
    <row r="338" spans="1:8" ht="19.95" customHeight="1" x14ac:dyDescent="0.3">
      <c r="G338" s="96">
        <f>IFERROR(VLOOKUP(H338, A$279:D$288, 4, FALSE), 0)</f>
        <v>-0.50466327068540529</v>
      </c>
      <c r="H338" s="12" t="str">
        <f>"D" &amp; F22 &amp; "Y"</f>
        <v>D2Y</v>
      </c>
    </row>
    <row r="339" spans="1:8" ht="19.95" customHeight="1" x14ac:dyDescent="0.3">
      <c r="B339" s="99" t="s">
        <v>273</v>
      </c>
      <c r="C339" s="178" t="str">
        <f>IF(B336&gt;0.001,"BARRA A TRACCIÓN (+)",IF(B336&lt;-0.001,"BARRA A COMPRESIÓN (-)","BARRA DE FUERZA NULA"))</f>
        <v>BARRA A COMPRESIÓN (-)</v>
      </c>
      <c r="D339" s="172"/>
      <c r="E339" s="172"/>
      <c r="F339" s="173"/>
    </row>
    <row r="341" spans="1:8" ht="18" customHeight="1" x14ac:dyDescent="0.3">
      <c r="A341" s="19" t="s">
        <v>278</v>
      </c>
      <c r="C341" s="19" t="s">
        <v>279</v>
      </c>
      <c r="D341" s="19" t="s">
        <v>280</v>
      </c>
      <c r="E341" s="19" t="s">
        <v>279</v>
      </c>
      <c r="F341" s="19" t="s">
        <v>280</v>
      </c>
      <c r="G341" s="19" t="s">
        <v>249</v>
      </c>
    </row>
    <row r="342" spans="1:8" ht="16.05" customHeight="1" x14ac:dyDescent="0.3">
      <c r="C342" s="19" t="s">
        <v>282</v>
      </c>
      <c r="D342" s="19" t="s">
        <v>282</v>
      </c>
      <c r="E342" s="19" t="s">
        <v>283</v>
      </c>
      <c r="F342" s="19" t="s">
        <v>283</v>
      </c>
    </row>
    <row r="343" spans="1:8" ht="19.95" customHeight="1" x14ac:dyDescent="0.3">
      <c r="A343" s="17">
        <f>N12</f>
        <v>50400</v>
      </c>
      <c r="C343" s="92">
        <f>-J12</f>
        <v>0</v>
      </c>
      <c r="D343" s="92">
        <f>-K12</f>
        <v>-1</v>
      </c>
      <c r="E343" s="92">
        <f>J12</f>
        <v>0</v>
      </c>
      <c r="F343" s="92">
        <f>K12</f>
        <v>1</v>
      </c>
      <c r="G343" s="96">
        <f>IFERROR(VLOOKUP(H343, A$279:D$288, 4, FALSE), 0)</f>
        <v>0.14880952380952395</v>
      </c>
      <c r="H343" s="12" t="str">
        <f>"D" &amp; C23 &amp; "X"</f>
        <v>D2X</v>
      </c>
    </row>
    <row r="344" spans="1:8" ht="19.95" customHeight="1" x14ac:dyDescent="0.3">
      <c r="A344" s="99" t="s">
        <v>291</v>
      </c>
      <c r="B344" s="97">
        <f>(MMULT(C343:F343, G343:G346)*A343)</f>
        <v>5000.0000000000073</v>
      </c>
      <c r="G344" s="96">
        <f>IFERROR(VLOOKUP(H344, A$279:D$288, 4, FALSE), 0)</f>
        <v>-0.50466327068540529</v>
      </c>
      <c r="H344" s="12" t="str">
        <f>"D" &amp; D23 &amp; "Y"</f>
        <v>D2Y</v>
      </c>
    </row>
    <row r="345" spans="1:8" ht="19.95" customHeight="1" x14ac:dyDescent="0.3">
      <c r="G345" s="96">
        <f>IFERROR(VLOOKUP(H345, A$279:D$288, 4, FALSE), 0)</f>
        <v>0.23709816405368736</v>
      </c>
      <c r="H345" s="12" t="str">
        <f>"D" &amp; E23 &amp; "X"</f>
        <v>D5X</v>
      </c>
    </row>
    <row r="346" spans="1:8" ht="19.95" customHeight="1" x14ac:dyDescent="0.3">
      <c r="G346" s="96">
        <f>IFERROR(VLOOKUP(H346, A$279:D$288, 4, FALSE), 0)</f>
        <v>-0.40545692147905593</v>
      </c>
      <c r="H346" s="12" t="str">
        <f>"D" &amp; F23 &amp; "Y"</f>
        <v>D5Y</v>
      </c>
    </row>
    <row r="347" spans="1:8" ht="19.95" customHeight="1" x14ac:dyDescent="0.3">
      <c r="B347" s="99" t="s">
        <v>273</v>
      </c>
      <c r="C347" s="178" t="str">
        <f>IF(B344&gt;0.001,"BARRA A TRACCIÓN (+)",IF(B344&lt;-0.001,"BARRA A COMPRESIÓN (-)","BARRA DE FUERZA NULA"))</f>
        <v>BARRA A TRACCIÓN (+)</v>
      </c>
      <c r="D347" s="172"/>
      <c r="E347" s="172"/>
      <c r="F347" s="173"/>
    </row>
    <row r="349" spans="1:8" ht="18" customHeight="1" x14ac:dyDescent="0.3">
      <c r="A349" s="19" t="s">
        <v>278</v>
      </c>
      <c r="C349" s="19" t="s">
        <v>279</v>
      </c>
      <c r="D349" s="19" t="s">
        <v>280</v>
      </c>
      <c r="E349" s="19" t="s">
        <v>279</v>
      </c>
      <c r="F349" s="19" t="s">
        <v>280</v>
      </c>
      <c r="G349" s="19" t="s">
        <v>249</v>
      </c>
    </row>
    <row r="350" spans="1:8" ht="16.05" customHeight="1" x14ac:dyDescent="0.3">
      <c r="C350" s="19" t="s">
        <v>282</v>
      </c>
      <c r="D350" s="19" t="s">
        <v>282</v>
      </c>
      <c r="E350" s="19" t="s">
        <v>283</v>
      </c>
      <c r="F350" s="19" t="s">
        <v>283</v>
      </c>
    </row>
    <row r="351" spans="1:8" ht="19.95" customHeight="1" x14ac:dyDescent="0.3">
      <c r="A351" s="17">
        <f>N13</f>
        <v>35638.181771801996</v>
      </c>
      <c r="C351" s="92">
        <f>-J13</f>
        <v>-0.70710678118654746</v>
      </c>
      <c r="D351" s="92">
        <f>-K13</f>
        <v>-0.70710678118654746</v>
      </c>
      <c r="E351" s="92">
        <f>J13</f>
        <v>0.70710678118654746</v>
      </c>
      <c r="F351" s="92">
        <f>K13</f>
        <v>0.70710678118654746</v>
      </c>
      <c r="G351" s="96">
        <f>IFERROR(VLOOKUP(H351, A$279:D$288, 4, FALSE), 0)</f>
        <v>0</v>
      </c>
      <c r="H351" s="12" t="str">
        <f>"D" &amp; C24 &amp; "X"</f>
        <v>D1X</v>
      </c>
    </row>
    <row r="352" spans="1:8" ht="19.95" customHeight="1" x14ac:dyDescent="0.3">
      <c r="A352" s="99" t="s">
        <v>292</v>
      </c>
      <c r="B352" s="97">
        <f>(MMULT(C351:F351, G351:G354)*A351)</f>
        <v>-4242.6406871192885</v>
      </c>
      <c r="G352" s="96">
        <f>IFERROR(VLOOKUP(H352, A$279:D$288, 4, FALSE), 0)</f>
        <v>0</v>
      </c>
      <c r="H352" s="12" t="str">
        <f>"D" &amp; D24 &amp; "Y"</f>
        <v>D1Y</v>
      </c>
    </row>
    <row r="353" spans="2:8" ht="19.95" customHeight="1" x14ac:dyDescent="0.3">
      <c r="G353" s="96">
        <f>IFERROR(VLOOKUP(H353, A$279:D$288, 4, FALSE), 0)</f>
        <v>0.23709816405368736</v>
      </c>
      <c r="H353" s="12" t="str">
        <f>"D" &amp; E24 &amp; "X"</f>
        <v>D5X</v>
      </c>
    </row>
    <row r="354" spans="2:8" ht="19.95" customHeight="1" x14ac:dyDescent="0.3">
      <c r="G354" s="96">
        <f>IFERROR(VLOOKUP(H354, A$279:D$288, 4, FALSE), 0)</f>
        <v>-0.40545692147905593</v>
      </c>
      <c r="H354" s="12" t="str">
        <f>"D" &amp; F24 &amp; "Y"</f>
        <v>D5Y</v>
      </c>
    </row>
    <row r="355" spans="2:8" ht="19.95" customHeight="1" x14ac:dyDescent="0.3">
      <c r="B355" s="99" t="s">
        <v>273</v>
      </c>
      <c r="C355" s="178" t="str">
        <f>IF(B352&gt;0.001,"BARRA A TRACCIÓN (+)",IF(B352&lt;-0.001,"BARRA A COMPRESIÓN (-)","BARRA DE FUERZA NULA"))</f>
        <v>BARRA A COMPRESIÓN (-)</v>
      </c>
      <c r="D355" s="172"/>
      <c r="E355" s="172"/>
      <c r="F355" s="173"/>
    </row>
    <row r="358" spans="2:8" ht="22.05" customHeight="1" x14ac:dyDescent="0.3">
      <c r="B358" s="217" t="s">
        <v>404</v>
      </c>
      <c r="C358" s="175"/>
      <c r="D358" s="175"/>
      <c r="E358" s="175"/>
      <c r="F358" s="175"/>
      <c r="G358" s="175"/>
      <c r="H358" s="175"/>
    </row>
    <row r="359" spans="2:8" ht="24" customHeight="1" x14ac:dyDescent="0.3">
      <c r="B359" s="87" t="s">
        <v>294</v>
      </c>
      <c r="C359" s="87" t="s">
        <v>295</v>
      </c>
      <c r="D359" s="87" t="s">
        <v>296</v>
      </c>
      <c r="E359" s="87" t="s">
        <v>297</v>
      </c>
      <c r="F359" s="87" t="s">
        <v>298</v>
      </c>
      <c r="G359" s="87" t="s">
        <v>299</v>
      </c>
      <c r="H359" s="87" t="s">
        <v>300</v>
      </c>
    </row>
    <row r="360" spans="2:8" ht="19.95" customHeight="1" x14ac:dyDescent="0.3">
      <c r="B360" s="85">
        <v>1</v>
      </c>
      <c r="C360" s="86">
        <f t="shared" ref="C360:C367" si="42">C17</f>
        <v>1</v>
      </c>
      <c r="D360" s="86">
        <f t="shared" ref="D360:D367" si="43">E17</f>
        <v>2</v>
      </c>
      <c r="E360" s="9">
        <f t="shared" ref="E360:E367" si="44">I6</f>
        <v>500</v>
      </c>
      <c r="F360" s="9">
        <f t="shared" ref="F360:F367" si="45">L6</f>
        <v>12</v>
      </c>
      <c r="G360" s="97">
        <f>B296</f>
        <v>7500.0000000000073</v>
      </c>
      <c r="H360" s="84" t="str">
        <f>C299</f>
        <v>BARRA A TRACCIÓN (+)</v>
      </c>
    </row>
    <row r="361" spans="2:8" ht="19.95" customHeight="1" x14ac:dyDescent="0.3">
      <c r="B361" s="25">
        <v>2</v>
      </c>
      <c r="C361" s="86">
        <f t="shared" si="42"/>
        <v>2</v>
      </c>
      <c r="D361" s="86">
        <f t="shared" si="43"/>
        <v>3</v>
      </c>
      <c r="E361" s="9">
        <f t="shared" si="44"/>
        <v>500</v>
      </c>
      <c r="F361" s="9">
        <f t="shared" si="45"/>
        <v>12</v>
      </c>
      <c r="G361" s="97">
        <f>B304</f>
        <v>6500.0000000000045</v>
      </c>
      <c r="H361" s="84" t="str">
        <f>C307</f>
        <v>BARRA A TRACCIÓN (+)</v>
      </c>
    </row>
    <row r="362" spans="2:8" ht="19.95" customHeight="1" x14ac:dyDescent="0.3">
      <c r="B362" s="26">
        <v>3</v>
      </c>
      <c r="C362" s="86">
        <f t="shared" si="42"/>
        <v>1</v>
      </c>
      <c r="D362" s="86">
        <f t="shared" si="43"/>
        <v>4</v>
      </c>
      <c r="E362" s="9">
        <f t="shared" si="44"/>
        <v>353.55339059327378</v>
      </c>
      <c r="F362" s="9">
        <f t="shared" si="45"/>
        <v>12</v>
      </c>
      <c r="G362" s="97">
        <f>B312</f>
        <v>-3535.5339059327407</v>
      </c>
      <c r="H362" s="84" t="str">
        <f>C315</f>
        <v>BARRA A COMPRESIÓN (-)</v>
      </c>
    </row>
    <row r="363" spans="2:8" ht="19.95" customHeight="1" x14ac:dyDescent="0.3">
      <c r="B363" s="43">
        <v>4</v>
      </c>
      <c r="C363" s="86">
        <f t="shared" si="42"/>
        <v>4</v>
      </c>
      <c r="D363" s="86">
        <f t="shared" si="43"/>
        <v>5</v>
      </c>
      <c r="E363" s="9">
        <f t="shared" si="44"/>
        <v>353.55339059327378</v>
      </c>
      <c r="F363" s="9">
        <f t="shared" si="45"/>
        <v>12</v>
      </c>
      <c r="G363" s="97">
        <f>B320</f>
        <v>-4949.7474683058372</v>
      </c>
      <c r="H363" s="84" t="str">
        <f>C323</f>
        <v>BARRA A COMPRESIÓN (-)</v>
      </c>
    </row>
    <row r="364" spans="2:8" ht="19.95" customHeight="1" x14ac:dyDescent="0.3">
      <c r="B364" s="44">
        <v>5</v>
      </c>
      <c r="C364" s="86">
        <f t="shared" si="42"/>
        <v>5</v>
      </c>
      <c r="D364" s="86">
        <f t="shared" si="43"/>
        <v>3</v>
      </c>
      <c r="E364" s="9">
        <f t="shared" si="44"/>
        <v>707.10678118654755</v>
      </c>
      <c r="F364" s="9">
        <f t="shared" si="45"/>
        <v>12</v>
      </c>
      <c r="G364" s="97">
        <f>B328</f>
        <v>-9192.3881554251257</v>
      </c>
      <c r="H364" s="84" t="str">
        <f>C331</f>
        <v>BARRA A COMPRESIÓN (-)</v>
      </c>
    </row>
    <row r="365" spans="2:8" ht="19.95" customHeight="1" x14ac:dyDescent="0.3">
      <c r="B365" s="51">
        <v>6</v>
      </c>
      <c r="C365" s="86">
        <f t="shared" si="42"/>
        <v>4</v>
      </c>
      <c r="D365" s="86">
        <f t="shared" si="43"/>
        <v>2</v>
      </c>
      <c r="E365" s="9">
        <f t="shared" si="44"/>
        <v>353.55339059327378</v>
      </c>
      <c r="F365" s="9">
        <f t="shared" si="45"/>
        <v>12</v>
      </c>
      <c r="G365" s="97">
        <f>B336</f>
        <v>-1414.2135623730901</v>
      </c>
      <c r="H365" s="84" t="str">
        <f>C339</f>
        <v>BARRA A COMPRESIÓN (-)</v>
      </c>
    </row>
    <row r="366" spans="2:8" ht="19.95" customHeight="1" x14ac:dyDescent="0.3">
      <c r="B366" s="52">
        <v>7</v>
      </c>
      <c r="C366" s="86">
        <f t="shared" si="42"/>
        <v>2</v>
      </c>
      <c r="D366" s="86">
        <f t="shared" si="43"/>
        <v>5</v>
      </c>
      <c r="E366" s="9">
        <f t="shared" si="44"/>
        <v>500</v>
      </c>
      <c r="F366" s="9">
        <f t="shared" si="45"/>
        <v>12</v>
      </c>
      <c r="G366" s="97">
        <f>B344</f>
        <v>5000.0000000000073</v>
      </c>
      <c r="H366" s="84" t="str">
        <f>C347</f>
        <v>BARRA A TRACCIÓN (+)</v>
      </c>
    </row>
    <row r="367" spans="2:8" ht="19.95" customHeight="1" x14ac:dyDescent="0.3">
      <c r="B367" s="59">
        <v>8</v>
      </c>
      <c r="C367" s="86">
        <f t="shared" si="42"/>
        <v>1</v>
      </c>
      <c r="D367" s="86">
        <f t="shared" si="43"/>
        <v>5</v>
      </c>
      <c r="E367" s="9">
        <f t="shared" si="44"/>
        <v>707.10678118654755</v>
      </c>
      <c r="F367" s="9">
        <f t="shared" si="45"/>
        <v>12</v>
      </c>
      <c r="G367" s="97">
        <f>B352</f>
        <v>-4242.6406871192885</v>
      </c>
      <c r="H367" s="84" t="str">
        <f>C355</f>
        <v>BARRA A COMPRESIÓN (-)</v>
      </c>
    </row>
  </sheetData>
  <mergeCells count="135">
    <mergeCell ref="H4:H5"/>
    <mergeCell ref="N239:S239"/>
    <mergeCell ref="N236:S236"/>
    <mergeCell ref="N223:S223"/>
    <mergeCell ref="N232:S232"/>
    <mergeCell ref="E15:F15"/>
    <mergeCell ref="K4:K5"/>
    <mergeCell ref="J4:J5"/>
    <mergeCell ref="N293:S293"/>
    <mergeCell ref="L4:L5"/>
    <mergeCell ref="N195:S195"/>
    <mergeCell ref="N201:S201"/>
    <mergeCell ref="N197:S197"/>
    <mergeCell ref="N259:S259"/>
    <mergeCell ref="N245:S245"/>
    <mergeCell ref="N308:S308"/>
    <mergeCell ref="N220:S220"/>
    <mergeCell ref="N237:S237"/>
    <mergeCell ref="N221:S221"/>
    <mergeCell ref="N203:S203"/>
    <mergeCell ref="N301:S301"/>
    <mergeCell ref="B358:H358"/>
    <mergeCell ref="N204:S204"/>
    <mergeCell ref="N256:S256"/>
    <mergeCell ref="N213:S213"/>
    <mergeCell ref="N271:S271"/>
    <mergeCell ref="C242:I242"/>
    <mergeCell ref="N312:S312"/>
    <mergeCell ref="N208:S208"/>
    <mergeCell ref="N217:S217"/>
    <mergeCell ref="N269:S269"/>
    <mergeCell ref="N316:S316"/>
    <mergeCell ref="N250:S250"/>
    <mergeCell ref="N310:S310"/>
    <mergeCell ref="N206:S206"/>
    <mergeCell ref="N307:S307"/>
    <mergeCell ref="N294:S294"/>
    <mergeCell ref="N244:S244"/>
    <mergeCell ref="C339:F339"/>
    <mergeCell ref="C323:F323"/>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309:S309"/>
    <mergeCell ref="N253:S253"/>
    <mergeCell ref="N231:S231"/>
    <mergeCell ref="C347:F347"/>
    <mergeCell ref="N264:S264"/>
    <mergeCell ref="C241:I241"/>
    <mergeCell ref="N273:S273"/>
    <mergeCell ref="N263:S263"/>
    <mergeCell ref="C355:F355"/>
    <mergeCell ref="N247:S247"/>
    <mergeCell ref="N265:S265"/>
    <mergeCell ref="N249:S249"/>
    <mergeCell ref="N314:S314"/>
    <mergeCell ref="N313:S313"/>
    <mergeCell ref="N300:S300"/>
    <mergeCell ref="C331:F331"/>
    <mergeCell ref="N262:S262"/>
    <mergeCell ref="N240:S240"/>
    <mergeCell ref="C307:F307"/>
    <mergeCell ref="N303:S303"/>
    <mergeCell ref="N304:S304"/>
    <mergeCell ref="N270:S270"/>
    <mergeCell ref="C251:D251"/>
    <mergeCell ref="C315:F315"/>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38:S238"/>
    <mergeCell ref="N199:S199"/>
    <mergeCell ref="N205:S205"/>
    <mergeCell ref="N210:S210"/>
    <mergeCell ref="N226:S226"/>
    <mergeCell ref="B15:B16"/>
    <mergeCell ref="N222:S222"/>
    <mergeCell ref="N254:S254"/>
    <mergeCell ref="N207:S207"/>
    <mergeCell ref="C15:D15"/>
    <mergeCell ref="N194:S19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696</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HYPERLINK("#'AUTOMATIZADA_63'!A1",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5</v>
      </c>
      <c r="C6" s="173"/>
      <c r="D6" s="206">
        <f>COUNT(C28:C42)</f>
        <v>7</v>
      </c>
      <c r="E6" s="173"/>
      <c r="F6" s="206">
        <f>SUM(F14:G23)</f>
        <v>4</v>
      </c>
      <c r="G6" s="173"/>
      <c r="H6" s="206">
        <f>D6+F6-2*B6</f>
        <v>1</v>
      </c>
      <c r="I6" s="173"/>
      <c r="J6" s="220" t="str">
        <f>IF(H6=0,"✅ ISOSTÁTICA (Estable y Determinada)",IF(H6&gt;0,"🔷 HIPERESTÁTICA (Grado " &amp; H6 &amp; " - Resoluble por Rigidez)","⚠️ HIPOSTÁTICA (Mecanismo Inestable)"))</f>
        <v>🔷 HIPERESTÁTICA (Grado 1 -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670</v>
      </c>
      <c r="K14" s="172"/>
      <c r="L14" s="172"/>
      <c r="M14" s="172"/>
      <c r="N14" s="172"/>
      <c r="O14" s="173"/>
      <c r="AA14" s="20">
        <f>IF(E31="","",E31)</f>
        <v>200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-5000</v>
      </c>
      <c r="J15" s="205" t="s">
        <v>671</v>
      </c>
      <c r="K15" s="172"/>
      <c r="L15" s="172"/>
      <c r="M15" s="172"/>
      <c r="N15" s="172"/>
      <c r="O15" s="173"/>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205" t="s">
        <v>672</v>
      </c>
      <c r="K16" s="172"/>
      <c r="L16" s="172"/>
      <c r="M16" s="172"/>
      <c r="N16" s="172"/>
      <c r="O16" s="173"/>
    </row>
    <row r="17" spans="2:29" ht="19.05" customHeight="1" x14ac:dyDescent="0.3">
      <c r="B17" s="89">
        <v>4</v>
      </c>
      <c r="C17" s="21">
        <v>200</v>
      </c>
      <c r="D17" s="21">
        <v>300</v>
      </c>
      <c r="E17" s="21" t="s">
        <v>326</v>
      </c>
      <c r="F17" s="88">
        <f t="shared" si="0"/>
        <v>0</v>
      </c>
      <c r="G17" s="88">
        <f t="shared" si="1"/>
        <v>0</v>
      </c>
      <c r="H17" s="22">
        <v>0</v>
      </c>
      <c r="I17" s="22">
        <v>0</v>
      </c>
      <c r="J17" s="205" t="s">
        <v>660</v>
      </c>
      <c r="K17" s="172"/>
      <c r="L17" s="172"/>
      <c r="M17" s="172"/>
      <c r="N17" s="172"/>
      <c r="O17" s="173"/>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205" t="s">
        <v>661</v>
      </c>
      <c r="K18" s="172"/>
      <c r="L18" s="172"/>
      <c r="M18" s="172"/>
      <c r="N18" s="172"/>
      <c r="O18" s="173"/>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600</v>
      </c>
      <c r="AB23" s="20">
        <f>IF(F34="","",F34)</f>
        <v>300</v>
      </c>
      <c r="AC23" t="s">
        <v>338</v>
      </c>
    </row>
    <row r="24" spans="2:29" x14ac:dyDescent="0.3">
      <c r="AA24" s="20">
        <f>IF(G34="","",G34)</f>
        <v>800</v>
      </c>
      <c r="AB24" s="20">
        <f>IF(H34="","",H34)</f>
        <v>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7F00-000000000000}">
      <formula1>"Fijo (articulado),Rodillo Y (despl. X libre),Rodillo X (despl. Y libre),Libre (0 reac.)"</formula1>
    </dataValidation>
  </dataValidations>
  <pageMargins left="0.75" right="0.75" top="1" bottom="1" header="0.5" footer="0.5"/>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S33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4" t="s">
        <v>697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HYPERLINK("#'GRAFICA_63'!A1",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GRAFICA_63!E28</f>
        <v>0</v>
      </c>
      <c r="D6" s="22">
        <f>GRAFICA_63!F28</f>
        <v>0</v>
      </c>
      <c r="E6" s="22">
        <f>GRAFICA_63!G28</f>
        <v>400</v>
      </c>
      <c r="F6" s="22">
        <f>GRAFICA_63!H28</f>
        <v>0</v>
      </c>
      <c r="G6" s="9">
        <f t="shared" ref="G6:H12" si="0">E6-C6</f>
        <v>400</v>
      </c>
      <c r="H6" s="9">
        <f t="shared" si="0"/>
        <v>0</v>
      </c>
      <c r="I6" s="9">
        <f t="shared" ref="I6:I12" si="1">SQRT(G6*G6+H6*H6)</f>
        <v>400</v>
      </c>
      <c r="J6" s="92">
        <f t="shared" ref="J6:J12" si="2">G6/I6</f>
        <v>1</v>
      </c>
      <c r="K6" s="92">
        <f t="shared" ref="K6:K12" si="3">H6/I6</f>
        <v>0</v>
      </c>
      <c r="L6" s="22">
        <f>GRAFICA_63!N28</f>
        <v>12</v>
      </c>
      <c r="M6" s="22">
        <f>GRAFICA_63!O28</f>
        <v>2100000</v>
      </c>
      <c r="N6" s="6">
        <f t="shared" ref="N6:N12" si="4">L6*M6/I6</f>
        <v>63000</v>
      </c>
    </row>
    <row r="7" spans="2:14" ht="19.05" customHeight="1" x14ac:dyDescent="0.3">
      <c r="B7" s="25">
        <v>2</v>
      </c>
      <c r="C7" s="22">
        <f>GRAFICA_63!E29</f>
        <v>400</v>
      </c>
      <c r="D7" s="22">
        <f>GRAFICA_63!F29</f>
        <v>0</v>
      </c>
      <c r="E7" s="22">
        <f>GRAFICA_63!G29</f>
        <v>800</v>
      </c>
      <c r="F7" s="22">
        <f>GRAFICA_63!H29</f>
        <v>0</v>
      </c>
      <c r="G7" s="9">
        <f t="shared" si="0"/>
        <v>400</v>
      </c>
      <c r="H7" s="9">
        <f t="shared" si="0"/>
        <v>0</v>
      </c>
      <c r="I7" s="9">
        <f t="shared" si="1"/>
        <v>400</v>
      </c>
      <c r="J7" s="92">
        <f t="shared" si="2"/>
        <v>1</v>
      </c>
      <c r="K7" s="92">
        <f t="shared" si="3"/>
        <v>0</v>
      </c>
      <c r="L7" s="22">
        <f>GRAFICA_63!N29</f>
        <v>12</v>
      </c>
      <c r="M7" s="22">
        <f>GRAFICA_63!O29</f>
        <v>2100000</v>
      </c>
      <c r="N7" s="6">
        <f t="shared" si="4"/>
        <v>63000</v>
      </c>
    </row>
    <row r="8" spans="2:14" ht="19.05" customHeight="1" x14ac:dyDescent="0.3">
      <c r="B8" s="26">
        <v>3</v>
      </c>
      <c r="C8" s="22">
        <f>GRAFICA_63!E30</f>
        <v>0</v>
      </c>
      <c r="D8" s="22">
        <f>GRAFICA_63!F30</f>
        <v>0</v>
      </c>
      <c r="E8" s="22">
        <f>GRAFICA_63!G30</f>
        <v>200</v>
      </c>
      <c r="F8" s="22">
        <f>GRAFICA_63!H30</f>
        <v>300</v>
      </c>
      <c r="G8" s="9">
        <f t="shared" si="0"/>
        <v>200</v>
      </c>
      <c r="H8" s="9">
        <f t="shared" si="0"/>
        <v>300</v>
      </c>
      <c r="I8" s="9">
        <f t="shared" si="1"/>
        <v>360.55512754639892</v>
      </c>
      <c r="J8" s="92">
        <f t="shared" si="2"/>
        <v>0.55470019622522915</v>
      </c>
      <c r="K8" s="92">
        <f t="shared" si="3"/>
        <v>0.83205029433784372</v>
      </c>
      <c r="L8" s="22">
        <f>GRAFICA_63!N30</f>
        <v>12</v>
      </c>
      <c r="M8" s="22">
        <f>GRAFICA_63!O30</f>
        <v>2100000</v>
      </c>
      <c r="N8" s="6">
        <f t="shared" si="4"/>
        <v>69892.224724378873</v>
      </c>
    </row>
    <row r="9" spans="2:14" ht="19.05" customHeight="1" x14ac:dyDescent="0.3">
      <c r="B9" s="43">
        <v>4</v>
      </c>
      <c r="C9" s="22">
        <f>GRAFICA_63!E31</f>
        <v>200</v>
      </c>
      <c r="D9" s="22">
        <f>GRAFICA_63!F31</f>
        <v>300</v>
      </c>
      <c r="E9" s="22">
        <f>GRAFICA_63!G31</f>
        <v>400</v>
      </c>
      <c r="F9" s="22">
        <f>GRAFICA_63!H31</f>
        <v>0</v>
      </c>
      <c r="G9" s="9">
        <f t="shared" si="0"/>
        <v>200</v>
      </c>
      <c r="H9" s="9">
        <f t="shared" si="0"/>
        <v>-300</v>
      </c>
      <c r="I9" s="9">
        <f t="shared" si="1"/>
        <v>360.55512754639892</v>
      </c>
      <c r="J9" s="92">
        <f t="shared" si="2"/>
        <v>0.55470019622522915</v>
      </c>
      <c r="K9" s="92">
        <f t="shared" si="3"/>
        <v>-0.83205029433784372</v>
      </c>
      <c r="L9" s="22">
        <f>GRAFICA_63!N31</f>
        <v>12</v>
      </c>
      <c r="M9" s="22">
        <f>GRAFICA_63!O31</f>
        <v>2100000</v>
      </c>
      <c r="N9" s="6">
        <f t="shared" si="4"/>
        <v>69892.224724378873</v>
      </c>
    </row>
    <row r="10" spans="2:14" ht="19.05" customHeight="1" x14ac:dyDescent="0.3">
      <c r="B10" s="44">
        <v>5</v>
      </c>
      <c r="C10" s="22">
        <f>GRAFICA_63!E32</f>
        <v>200</v>
      </c>
      <c r="D10" s="22">
        <f>GRAFICA_63!F32</f>
        <v>300</v>
      </c>
      <c r="E10" s="22">
        <f>GRAFICA_63!G32</f>
        <v>600</v>
      </c>
      <c r="F10" s="22">
        <f>GRAFICA_63!H32</f>
        <v>300</v>
      </c>
      <c r="G10" s="9">
        <f t="shared" si="0"/>
        <v>400</v>
      </c>
      <c r="H10" s="9">
        <f t="shared" si="0"/>
        <v>0</v>
      </c>
      <c r="I10" s="9">
        <f t="shared" si="1"/>
        <v>400</v>
      </c>
      <c r="J10" s="92">
        <f t="shared" si="2"/>
        <v>1</v>
      </c>
      <c r="K10" s="92">
        <f t="shared" si="3"/>
        <v>0</v>
      </c>
      <c r="L10" s="22">
        <f>GRAFICA_63!N32</f>
        <v>12</v>
      </c>
      <c r="M10" s="22">
        <f>GRAFICA_63!O32</f>
        <v>2100000</v>
      </c>
      <c r="N10" s="6">
        <f t="shared" si="4"/>
        <v>63000</v>
      </c>
    </row>
    <row r="11" spans="2:14" ht="19.05" customHeight="1" x14ac:dyDescent="0.3">
      <c r="B11" s="51">
        <v>6</v>
      </c>
      <c r="C11" s="22">
        <f>GRAFICA_63!E33</f>
        <v>400</v>
      </c>
      <c r="D11" s="22">
        <f>GRAFICA_63!F33</f>
        <v>0</v>
      </c>
      <c r="E11" s="22">
        <f>GRAFICA_63!G33</f>
        <v>600</v>
      </c>
      <c r="F11" s="22">
        <f>GRAFICA_63!H33</f>
        <v>300</v>
      </c>
      <c r="G11" s="9">
        <f t="shared" si="0"/>
        <v>200</v>
      </c>
      <c r="H11" s="9">
        <f t="shared" si="0"/>
        <v>300</v>
      </c>
      <c r="I11" s="9">
        <f t="shared" si="1"/>
        <v>360.55512754639892</v>
      </c>
      <c r="J11" s="92">
        <f t="shared" si="2"/>
        <v>0.55470019622522915</v>
      </c>
      <c r="K11" s="92">
        <f t="shared" si="3"/>
        <v>0.83205029433784372</v>
      </c>
      <c r="L11" s="22">
        <f>GRAFICA_63!N33</f>
        <v>12</v>
      </c>
      <c r="M11" s="22">
        <f>GRAFICA_63!O33</f>
        <v>2100000</v>
      </c>
      <c r="N11" s="6">
        <f t="shared" si="4"/>
        <v>69892.224724378873</v>
      </c>
    </row>
    <row r="12" spans="2:14" ht="19.05" customHeight="1" x14ac:dyDescent="0.3">
      <c r="B12" s="52">
        <v>7</v>
      </c>
      <c r="C12" s="22">
        <f>GRAFICA_63!E34</f>
        <v>600</v>
      </c>
      <c r="D12" s="22">
        <f>GRAFICA_63!F34</f>
        <v>300</v>
      </c>
      <c r="E12" s="22">
        <f>GRAFICA_63!G34</f>
        <v>800</v>
      </c>
      <c r="F12" s="22">
        <f>GRAFICA_63!H34</f>
        <v>0</v>
      </c>
      <c r="G12" s="9">
        <f t="shared" si="0"/>
        <v>200</v>
      </c>
      <c r="H12" s="9">
        <f t="shared" si="0"/>
        <v>-300</v>
      </c>
      <c r="I12" s="9">
        <f t="shared" si="1"/>
        <v>360.55512754639892</v>
      </c>
      <c r="J12" s="92">
        <f t="shared" si="2"/>
        <v>0.55470019622522915</v>
      </c>
      <c r="K12" s="92">
        <f t="shared" si="3"/>
        <v>-0.83205029433784372</v>
      </c>
      <c r="L12" s="22">
        <f>GRAFICA_63!N34</f>
        <v>12</v>
      </c>
      <c r="M12" s="22">
        <f>GRAFICA_63!O34</f>
        <v>2100000</v>
      </c>
      <c r="N12" s="6">
        <f t="shared" si="4"/>
        <v>69892.224724378873</v>
      </c>
    </row>
    <row r="14" spans="2:14" ht="18" customHeight="1" x14ac:dyDescent="0.3">
      <c r="B14" s="202" t="s">
        <v>145</v>
      </c>
      <c r="C14" s="202" t="s">
        <v>369</v>
      </c>
      <c r="D14" s="173"/>
      <c r="E14" s="202" t="s">
        <v>370</v>
      </c>
      <c r="F14" s="173"/>
    </row>
    <row r="15" spans="2:14" ht="18" customHeight="1" x14ac:dyDescent="0.3">
      <c r="B15" s="203"/>
      <c r="C15" s="81" t="s">
        <v>157</v>
      </c>
      <c r="D15" s="81" t="s">
        <v>158</v>
      </c>
      <c r="E15" s="81" t="s">
        <v>157</v>
      </c>
      <c r="F15" s="81" t="s">
        <v>158</v>
      </c>
    </row>
    <row r="16" spans="2:14" ht="19.05" customHeight="1" x14ac:dyDescent="0.3">
      <c r="B16" s="85">
        <v>1</v>
      </c>
      <c r="C16" s="23">
        <f>GRAFICA_63!C28</f>
        <v>1</v>
      </c>
      <c r="D16" s="23">
        <f>GRAFICA_63!C28</f>
        <v>1</v>
      </c>
      <c r="E16" s="23">
        <f>GRAFICA_63!D28</f>
        <v>2</v>
      </c>
      <c r="F16" s="23">
        <f>GRAFICA_63!D28</f>
        <v>2</v>
      </c>
    </row>
    <row r="17" spans="1:12" ht="19.05" customHeight="1" x14ac:dyDescent="0.3">
      <c r="B17" s="25">
        <v>2</v>
      </c>
      <c r="C17" s="23">
        <f>GRAFICA_63!C29</f>
        <v>2</v>
      </c>
      <c r="D17" s="23">
        <f>GRAFICA_63!C29</f>
        <v>2</v>
      </c>
      <c r="E17" s="23">
        <f>GRAFICA_63!D29</f>
        <v>3</v>
      </c>
      <c r="F17" s="23">
        <f>GRAFICA_63!D29</f>
        <v>3</v>
      </c>
    </row>
    <row r="18" spans="1:12" ht="19.05" customHeight="1" x14ac:dyDescent="0.3">
      <c r="B18" s="26">
        <v>3</v>
      </c>
      <c r="C18" s="23">
        <f>GRAFICA_63!C30</f>
        <v>1</v>
      </c>
      <c r="D18" s="23">
        <f>GRAFICA_63!C30</f>
        <v>1</v>
      </c>
      <c r="E18" s="23">
        <f>GRAFICA_63!D30</f>
        <v>4</v>
      </c>
      <c r="F18" s="23">
        <f>GRAFICA_63!D30</f>
        <v>4</v>
      </c>
    </row>
    <row r="19" spans="1:12" ht="19.05" customHeight="1" x14ac:dyDescent="0.3">
      <c r="B19" s="43">
        <v>4</v>
      </c>
      <c r="C19" s="23">
        <f>GRAFICA_63!C31</f>
        <v>4</v>
      </c>
      <c r="D19" s="23">
        <f>GRAFICA_63!C31</f>
        <v>4</v>
      </c>
      <c r="E19" s="23">
        <f>GRAFICA_63!D31</f>
        <v>2</v>
      </c>
      <c r="F19" s="23">
        <f>GRAFICA_63!D31</f>
        <v>2</v>
      </c>
    </row>
    <row r="20" spans="1:12" ht="19.05" customHeight="1" x14ac:dyDescent="0.3">
      <c r="B20" s="44">
        <v>5</v>
      </c>
      <c r="C20" s="23">
        <f>GRAFICA_63!C32</f>
        <v>4</v>
      </c>
      <c r="D20" s="23">
        <f>GRAFICA_63!C32</f>
        <v>4</v>
      </c>
      <c r="E20" s="23">
        <f>GRAFICA_63!D32</f>
        <v>5</v>
      </c>
      <c r="F20" s="23">
        <f>GRAFICA_63!D32</f>
        <v>5</v>
      </c>
    </row>
    <row r="21" spans="1:12" ht="19.05" customHeight="1" x14ac:dyDescent="0.3">
      <c r="B21" s="51">
        <v>6</v>
      </c>
      <c r="C21" s="23">
        <f>GRAFICA_63!C33</f>
        <v>2</v>
      </c>
      <c r="D21" s="23">
        <f>GRAFICA_63!C33</f>
        <v>2</v>
      </c>
      <c r="E21" s="23">
        <f>GRAFICA_63!D33</f>
        <v>5</v>
      </c>
      <c r="F21" s="23">
        <f>GRAFICA_63!D33</f>
        <v>5</v>
      </c>
    </row>
    <row r="22" spans="1:12" ht="19.05" customHeight="1" x14ac:dyDescent="0.3">
      <c r="B22" s="52">
        <v>7</v>
      </c>
      <c r="C22" s="23">
        <f>GRAFICA_63!C34</f>
        <v>5</v>
      </c>
      <c r="D22" s="23">
        <f>GRAFICA_63!C34</f>
        <v>5</v>
      </c>
      <c r="E22" s="23">
        <f>GRAFICA_63!D34</f>
        <v>3</v>
      </c>
      <c r="F22" s="23">
        <f>GRAFICA_63!D34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216" t="s">
        <v>207</v>
      </c>
      <c r="O171" s="172"/>
      <c r="P171" s="172"/>
      <c r="Q171" s="172"/>
      <c r="R171" s="172"/>
      <c r="S171" s="173"/>
    </row>
    <row r="172" spans="1:19" ht="16.95" customHeight="1" x14ac:dyDescent="0.3">
      <c r="B172" s="12" t="s">
        <v>208</v>
      </c>
      <c r="C172" s="12" t="s">
        <v>178</v>
      </c>
      <c r="E172" s="37" t="str">
        <f>IF(GRAFICA_63!F14=1, B172, GRAFICA_63!H14)</f>
        <v>C1X</v>
      </c>
      <c r="N172" s="215" t="s">
        <v>376</v>
      </c>
      <c r="O172" s="172"/>
      <c r="P172" s="172"/>
      <c r="Q172" s="172"/>
      <c r="R172" s="172"/>
      <c r="S172" s="173"/>
    </row>
    <row r="173" spans="1:19" ht="16.95" customHeight="1" x14ac:dyDescent="0.3">
      <c r="B173" s="12" t="s">
        <v>210</v>
      </c>
      <c r="C173" s="12" t="s">
        <v>179</v>
      </c>
      <c r="E173" s="37" t="str">
        <f>IF(GRAFICA_63!G14=1, B173, GRAFICA_63!I14)</f>
        <v>C1Y</v>
      </c>
      <c r="N173" s="215" t="s">
        <v>211</v>
      </c>
      <c r="O173" s="172"/>
      <c r="P173" s="172"/>
      <c r="Q173" s="172"/>
      <c r="R173" s="172"/>
      <c r="S173" s="173"/>
    </row>
    <row r="174" spans="1:19" ht="16.95" customHeight="1" x14ac:dyDescent="0.3">
      <c r="B174" s="12" t="s">
        <v>212</v>
      </c>
      <c r="C174" s="12" t="s">
        <v>180</v>
      </c>
      <c r="E174" s="37">
        <f>IF(GRAFICA_63!F15=1, B174, GRAFICA_63!H15)</f>
        <v>0</v>
      </c>
      <c r="N174" s="215" t="s">
        <v>377</v>
      </c>
      <c r="O174" s="172"/>
      <c r="P174" s="172"/>
      <c r="Q174" s="172"/>
      <c r="R174" s="172"/>
      <c r="S174" s="173"/>
    </row>
    <row r="175" spans="1:19" ht="16.95" customHeight="1" x14ac:dyDescent="0.3">
      <c r="B175" s="12" t="s">
        <v>214</v>
      </c>
      <c r="C175" s="12" t="s">
        <v>181</v>
      </c>
      <c r="E175" s="37" t="str">
        <f>IF(GRAFICA_63!G15=1, B175, GRAFICA_63!I15)</f>
        <v>C2Y</v>
      </c>
      <c r="N175" s="215" t="s">
        <v>215</v>
      </c>
      <c r="O175" s="172"/>
      <c r="P175" s="172"/>
      <c r="Q175" s="172"/>
      <c r="R175" s="172"/>
      <c r="S175" s="173"/>
    </row>
    <row r="176" spans="1:19" ht="16.95" customHeight="1" x14ac:dyDescent="0.3">
      <c r="A176" s="38" t="s">
        <v>218</v>
      </c>
      <c r="B176" s="12" t="s">
        <v>216</v>
      </c>
      <c r="C176" s="12" t="s">
        <v>182</v>
      </c>
      <c r="D176" s="13" t="s">
        <v>220</v>
      </c>
      <c r="E176" s="37">
        <f>IF(GRAFICA_63!F16=1, B176, GRAFICA_63!H16)</f>
        <v>0</v>
      </c>
      <c r="N176" s="215" t="s">
        <v>378</v>
      </c>
      <c r="O176" s="172"/>
      <c r="P176" s="172"/>
      <c r="Q176" s="172"/>
      <c r="R176" s="172"/>
      <c r="S176" s="173"/>
    </row>
    <row r="177" spans="1:19" ht="16.95" customHeight="1" x14ac:dyDescent="0.3">
      <c r="B177" s="12" t="s">
        <v>219</v>
      </c>
      <c r="C177" s="12" t="s">
        <v>183</v>
      </c>
      <c r="E177" s="37" t="str">
        <f>IF(GRAFICA_63!G16=1, B177, GRAFICA_63!I16)</f>
        <v>C3Y</v>
      </c>
      <c r="N177" s="215" t="s">
        <v>379</v>
      </c>
      <c r="O177" s="172"/>
      <c r="P177" s="172"/>
      <c r="Q177" s="172"/>
      <c r="R177" s="172"/>
      <c r="S177" s="173"/>
    </row>
    <row r="178" spans="1:19" ht="16.95" customHeight="1" x14ac:dyDescent="0.3">
      <c r="B178" s="12" t="s">
        <v>221</v>
      </c>
      <c r="C178" s="12" t="s">
        <v>184</v>
      </c>
      <c r="E178" s="37">
        <f>IF(GRAFICA_63!F17=1, B178, GRAFICA_63!H17)</f>
        <v>0</v>
      </c>
      <c r="N178" s="215"/>
      <c r="O178" s="172"/>
      <c r="P178" s="172"/>
      <c r="Q178" s="172"/>
      <c r="R178" s="172"/>
      <c r="S178" s="173"/>
    </row>
    <row r="179" spans="1:19" ht="16.95" customHeight="1" x14ac:dyDescent="0.3">
      <c r="B179" s="12" t="s">
        <v>222</v>
      </c>
      <c r="C179" s="12" t="s">
        <v>185</v>
      </c>
      <c r="E179" s="37">
        <f>IF(GRAFICA_63!G17=1, B179, GRAFICA_63!I17)</f>
        <v>0</v>
      </c>
      <c r="N179" s="215"/>
      <c r="O179" s="172"/>
      <c r="P179" s="172"/>
      <c r="Q179" s="172"/>
      <c r="R179" s="172"/>
      <c r="S179" s="173"/>
    </row>
    <row r="180" spans="1:19" ht="16.95" customHeight="1" x14ac:dyDescent="0.3">
      <c r="B180" s="12" t="s">
        <v>223</v>
      </c>
      <c r="C180" s="12" t="s">
        <v>186</v>
      </c>
      <c r="E180" s="37">
        <f>IF(GRAFICA_63!F18=1, B180, GRAFICA_63!H18)</f>
        <v>0</v>
      </c>
      <c r="N180" s="215"/>
      <c r="O180" s="172"/>
      <c r="P180" s="172"/>
      <c r="Q180" s="172"/>
      <c r="R180" s="172"/>
      <c r="S180" s="173"/>
    </row>
    <row r="181" spans="1:19" ht="16.95" customHeight="1" x14ac:dyDescent="0.3">
      <c r="B181" s="12" t="s">
        <v>224</v>
      </c>
      <c r="C181" s="12" t="s">
        <v>187</v>
      </c>
      <c r="E181" s="37">
        <f>IF(GRAFICA_63!G18=1, B181, GRAFICA_63!I18)</f>
        <v>0</v>
      </c>
      <c r="N181" s="215"/>
      <c r="O181" s="172"/>
      <c r="P181" s="172"/>
      <c r="Q181" s="172"/>
      <c r="R181" s="172"/>
      <c r="S181" s="173"/>
    </row>
    <row r="182" spans="1:19" ht="16.95" customHeight="1" x14ac:dyDescent="0.3">
      <c r="N182" s="215"/>
      <c r="O182" s="172"/>
      <c r="P182" s="172"/>
      <c r="Q182" s="172"/>
      <c r="R182" s="172"/>
      <c r="S182" s="173"/>
    </row>
    <row r="183" spans="1:19" ht="16.95" customHeight="1" x14ac:dyDescent="0.35">
      <c r="A183" s="11" t="s">
        <v>227</v>
      </c>
      <c r="N183" s="215"/>
      <c r="O183" s="172"/>
      <c r="P183" s="172"/>
      <c r="Q183" s="172"/>
      <c r="R183" s="172"/>
      <c r="S183" s="173"/>
    </row>
    <row r="184" spans="1:19" ht="16.95" customHeight="1" x14ac:dyDescent="0.3">
      <c r="B184" s="12" t="s">
        <v>228</v>
      </c>
      <c r="C184" s="12" t="s">
        <v>178</v>
      </c>
      <c r="E184" s="39">
        <f>IF(GRAFICA_63!F14=1, 0, B184)</f>
        <v>0</v>
      </c>
      <c r="F184" s="14" t="str">
        <f>IF(E184&lt;&gt;0, COUNTIF(E$184:E184, "&lt;&gt;0"), "")</f>
        <v/>
      </c>
      <c r="G184" s="14">
        <f>IF(E184=0, COUNTIF(E$184:E184, 0), "")</f>
        <v>1</v>
      </c>
      <c r="N184" s="215"/>
      <c r="O184" s="172"/>
      <c r="P184" s="172"/>
      <c r="Q184" s="172"/>
      <c r="R184" s="172"/>
      <c r="S184" s="173"/>
    </row>
    <row r="185" spans="1:19" ht="16.95" customHeight="1" x14ac:dyDescent="0.3">
      <c r="B185" s="12" t="s">
        <v>229</v>
      </c>
      <c r="C185" s="12" t="s">
        <v>179</v>
      </c>
      <c r="E185" s="39">
        <f>IF(GRAFICA_63!G14=1, 0, B185)</f>
        <v>0</v>
      </c>
      <c r="F185" s="14" t="str">
        <f>IF(E185&lt;&gt;0, COUNTIF(E$184:E185, "&lt;&gt;0"), "")</f>
        <v/>
      </c>
      <c r="G185" s="14">
        <f>IF(E185=0, COUNTIF(E$184:E185, 0), "")</f>
        <v>2</v>
      </c>
      <c r="N185" s="215"/>
      <c r="O185" s="172"/>
      <c r="P185" s="172"/>
      <c r="Q185" s="172"/>
      <c r="R185" s="172"/>
      <c r="S185" s="173"/>
    </row>
    <row r="186" spans="1:19" ht="16.95" customHeight="1" x14ac:dyDescent="0.3">
      <c r="B186" s="12" t="s">
        <v>230</v>
      </c>
      <c r="C186" s="12" t="s">
        <v>180</v>
      </c>
      <c r="E186" s="39" t="str">
        <f>IF(GRAFICA_63!F15=1, 0, B186)</f>
        <v>D2X</v>
      </c>
      <c r="F186" s="14">
        <f>IF(E186&lt;&gt;0, COUNTIF(E$184:E186, "&lt;&gt;0"), "")</f>
        <v>1</v>
      </c>
      <c r="G186" s="14" t="str">
        <f>IF(E186=0, COUNTIF(E$184:E186, 0), "")</f>
        <v/>
      </c>
      <c r="N186" s="215"/>
      <c r="O186" s="172"/>
      <c r="P186" s="172"/>
      <c r="Q186" s="172"/>
      <c r="R186" s="172"/>
      <c r="S186" s="173"/>
    </row>
    <row r="187" spans="1:19" ht="16.95" customHeight="1" x14ac:dyDescent="0.3">
      <c r="B187" s="12" t="s">
        <v>231</v>
      </c>
      <c r="C187" s="12" t="s">
        <v>181</v>
      </c>
      <c r="E187" s="39">
        <f>IF(GRAFICA_63!G15=1, 0, B187)</f>
        <v>0</v>
      </c>
      <c r="F187" s="14" t="str">
        <f>IF(E187&lt;&gt;0, COUNTIF(E$184:E187, "&lt;&gt;0"), "")</f>
        <v/>
      </c>
      <c r="G187" s="14">
        <f>IF(E187=0, COUNTIF(E$184:E187, 0), "")</f>
        <v>3</v>
      </c>
      <c r="N187" s="215"/>
      <c r="O187" s="172"/>
      <c r="P187" s="172"/>
      <c r="Q187" s="172"/>
      <c r="R187" s="172"/>
      <c r="S187" s="173"/>
    </row>
    <row r="188" spans="1:19" ht="16.95" customHeight="1" x14ac:dyDescent="0.3">
      <c r="A188" s="38" t="s">
        <v>233</v>
      </c>
      <c r="B188" s="12" t="s">
        <v>232</v>
      </c>
      <c r="C188" s="12" t="s">
        <v>182</v>
      </c>
      <c r="D188" s="13" t="s">
        <v>220</v>
      </c>
      <c r="E188" s="39" t="str">
        <f>IF(GRAFICA_63!F16=1, 0, B188)</f>
        <v>D3X</v>
      </c>
      <c r="F188" s="14">
        <f>IF(E188&lt;&gt;0, COUNTIF(E$184:E188, "&lt;&gt;0"), "")</f>
        <v>2</v>
      </c>
      <c r="G188" s="14" t="str">
        <f>IF(E188=0, COUNTIF(E$184:E188, 0), "")</f>
        <v/>
      </c>
      <c r="N188" s="215"/>
      <c r="O188" s="172"/>
      <c r="P188" s="172"/>
      <c r="Q188" s="172"/>
      <c r="R188" s="172"/>
      <c r="S188" s="173"/>
    </row>
    <row r="189" spans="1:19" ht="16.95" customHeight="1" x14ac:dyDescent="0.3">
      <c r="B189" s="12" t="s">
        <v>234</v>
      </c>
      <c r="C189" s="12" t="s">
        <v>183</v>
      </c>
      <c r="E189" s="39">
        <f>IF(GRAFICA_63!G16=1, 0, B189)</f>
        <v>0</v>
      </c>
      <c r="F189" s="14" t="str">
        <f>IF(E189&lt;&gt;0, COUNTIF(E$184:E189, "&lt;&gt;0"), "")</f>
        <v/>
      </c>
      <c r="G189" s="14">
        <f>IF(E189=0, COUNTIF(E$184:E189, 0), "")</f>
        <v>4</v>
      </c>
      <c r="N189" s="215"/>
      <c r="O189" s="172"/>
      <c r="P189" s="172"/>
      <c r="Q189" s="172"/>
      <c r="R189" s="172"/>
      <c r="S189" s="173"/>
    </row>
    <row r="190" spans="1:19" ht="16.95" customHeight="1" x14ac:dyDescent="0.3">
      <c r="B190" s="12" t="s">
        <v>235</v>
      </c>
      <c r="C190" s="12" t="s">
        <v>184</v>
      </c>
      <c r="E190" s="39" t="str">
        <f>IF(GRAFICA_63!F17=1, 0, B190)</f>
        <v>D4X</v>
      </c>
      <c r="F190" s="14">
        <f>IF(E190&lt;&gt;0, COUNTIF(E$184:E190, "&lt;&gt;0"), "")</f>
        <v>3</v>
      </c>
      <c r="G190" s="14" t="str">
        <f>IF(E190=0, COUNTIF(E$184:E190, 0), "")</f>
        <v/>
      </c>
      <c r="N190" s="215"/>
      <c r="O190" s="172"/>
      <c r="P190" s="172"/>
      <c r="Q190" s="172"/>
      <c r="R190" s="172"/>
      <c r="S190" s="173"/>
    </row>
    <row r="191" spans="1:19" ht="16.95" customHeight="1" x14ac:dyDescent="0.3">
      <c r="B191" s="12" t="s">
        <v>236</v>
      </c>
      <c r="C191" s="12" t="s">
        <v>185</v>
      </c>
      <c r="E191" s="39" t="str">
        <f>IF(GRAFICA_63!G17=1, 0, B191)</f>
        <v>D4Y</v>
      </c>
      <c r="F191" s="14">
        <f>IF(E191&lt;&gt;0, COUNTIF(E$184:E191, "&lt;&gt;0"), "")</f>
        <v>4</v>
      </c>
      <c r="G191" s="14" t="str">
        <f>IF(E191=0, COUNTIF(E$184:E191, 0), "")</f>
        <v/>
      </c>
      <c r="N191" s="215"/>
      <c r="O191" s="172"/>
      <c r="P191" s="172"/>
      <c r="Q191" s="172"/>
      <c r="R191" s="172"/>
      <c r="S191" s="173"/>
    </row>
    <row r="192" spans="1:19" ht="16.95" customHeight="1" x14ac:dyDescent="0.3">
      <c r="B192" s="12" t="s">
        <v>237</v>
      </c>
      <c r="C192" s="12" t="s">
        <v>186</v>
      </c>
      <c r="E192" s="39" t="str">
        <f>IF(GRAFICA_63!F18=1, 0, B192)</f>
        <v>D5X</v>
      </c>
      <c r="F192" s="14">
        <f>IF(E192&lt;&gt;0, COUNTIF(E$184:E192, "&lt;&gt;0"), "")</f>
        <v>5</v>
      </c>
      <c r="G192" s="14" t="str">
        <f>IF(E192=0, COUNTIF(E$184:E192, 0), "")</f>
        <v/>
      </c>
      <c r="N192" s="215"/>
      <c r="O192" s="172"/>
      <c r="P192" s="172"/>
      <c r="Q192" s="172"/>
      <c r="R192" s="172"/>
      <c r="S192" s="173"/>
    </row>
    <row r="193" spans="1:19" ht="16.95" customHeight="1" x14ac:dyDescent="0.3">
      <c r="B193" s="12" t="s">
        <v>238</v>
      </c>
      <c r="C193" s="12" t="s">
        <v>187</v>
      </c>
      <c r="E193" s="39" t="str">
        <f>IF(GRAFICA_63!G18=1, 0, B193)</f>
        <v>D5Y</v>
      </c>
      <c r="F193" s="14">
        <f>IF(E193&lt;&gt;0, COUNTIF(E$184:E193, "&lt;&gt;0"), "")</f>
        <v>6</v>
      </c>
      <c r="G193" s="14" t="str">
        <f>IF(E193=0, COUNTIF(E$184:E193, 0), "")</f>
        <v/>
      </c>
      <c r="N193" s="215"/>
      <c r="O193" s="172"/>
      <c r="P193" s="172"/>
      <c r="Q193" s="172"/>
      <c r="R193" s="172"/>
      <c r="S193" s="173"/>
    </row>
    <row r="195" spans="1:19" ht="19.95" customHeight="1" x14ac:dyDescent="0.35">
      <c r="A195" s="15" t="s">
        <v>241</v>
      </c>
      <c r="C195" s="218" t="s">
        <v>242</v>
      </c>
      <c r="D195" s="173"/>
      <c r="E195" s="40" t="s">
        <v>243</v>
      </c>
      <c r="N195" s="216" t="s">
        <v>244</v>
      </c>
      <c r="O195" s="172"/>
      <c r="P195" s="172"/>
      <c r="Q195" s="172"/>
      <c r="R195" s="172"/>
      <c r="S195" s="173"/>
    </row>
    <row r="196" spans="1:19" ht="16.95" customHeight="1" x14ac:dyDescent="0.3">
      <c r="E196" s="40" t="s">
        <v>245</v>
      </c>
      <c r="N196" s="215" t="s">
        <v>246</v>
      </c>
      <c r="O196" s="172"/>
      <c r="P196" s="172"/>
      <c r="Q196" s="172"/>
      <c r="R196" s="172"/>
      <c r="S196" s="173"/>
    </row>
    <row r="197" spans="1:19" ht="16.95" customHeight="1" x14ac:dyDescent="0.3">
      <c r="A197" s="99" t="s">
        <v>247</v>
      </c>
      <c r="C197" s="99" t="s">
        <v>248</v>
      </c>
      <c r="N197" s="215" t="s">
        <v>250</v>
      </c>
      <c r="O197" s="172"/>
      <c r="P197" s="172"/>
      <c r="Q197" s="172"/>
      <c r="R197" s="172"/>
      <c r="S197" s="173"/>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219" t="s">
        <v>380</v>
      </c>
      <c r="O198" s="172"/>
      <c r="P198" s="172"/>
      <c r="Q198" s="172"/>
      <c r="R198" s="172"/>
      <c r="S198" s="173"/>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219" t="s">
        <v>253</v>
      </c>
      <c r="O199" s="172"/>
      <c r="P199" s="172"/>
      <c r="Q199" s="172"/>
      <c r="R199" s="172"/>
      <c r="S199" s="173"/>
    </row>
    <row r="200" spans="1:19" ht="16.95" customHeight="1" x14ac:dyDescent="0.3">
      <c r="A200" s="41">
        <f t="shared" si="22"/>
        <v>0</v>
      </c>
      <c r="C200" s="9">
        <f t="shared" ref="C200:L200" si="25">B161</f>
        <v>-63000</v>
      </c>
      <c r="D200" s="9">
        <f t="shared" si="25"/>
        <v>0</v>
      </c>
      <c r="E200" s="41">
        <f t="shared" si="25"/>
        <v>169010.59983038699</v>
      </c>
      <c r="F200" s="9">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215" t="s">
        <v>254</v>
      </c>
      <c r="O200" s="172"/>
      <c r="P200" s="172"/>
      <c r="Q200" s="172"/>
      <c r="R200" s="172"/>
      <c r="S200" s="173"/>
    </row>
    <row r="201" spans="1:19" ht="16.95" customHeight="1" x14ac:dyDescent="0.3">
      <c r="A201" s="12" t="str">
        <f t="shared" si="22"/>
        <v>C2Y</v>
      </c>
      <c r="C201" s="9">
        <f t="shared" ref="C201:L201" si="26">B162</f>
        <v>0</v>
      </c>
      <c r="D201" s="9">
        <f t="shared" si="26"/>
        <v>0</v>
      </c>
      <c r="E201" s="9">
        <f t="shared" si="26"/>
        <v>0</v>
      </c>
      <c r="F201" s="9">
        <f t="shared" si="26"/>
        <v>96773.849618370761</v>
      </c>
      <c r="G201" s="9">
        <f t="shared" si="26"/>
        <v>0</v>
      </c>
      <c r="H201" s="9">
        <f t="shared" si="26"/>
        <v>0</v>
      </c>
      <c r="I201" s="9">
        <f t="shared" si="26"/>
        <v>32257.94987279025</v>
      </c>
      <c r="J201" s="9">
        <f t="shared" si="26"/>
        <v>-48386.924809185381</v>
      </c>
      <c r="K201" s="9">
        <f t="shared" si="26"/>
        <v>-32257.94987279025</v>
      </c>
      <c r="L201" s="9">
        <f t="shared" si="26"/>
        <v>-48386.924809185381</v>
      </c>
      <c r="M201" s="13" t="s">
        <v>251</v>
      </c>
      <c r="N201" s="219" t="s">
        <v>381</v>
      </c>
      <c r="O201" s="172"/>
      <c r="P201" s="172"/>
      <c r="Q201" s="172"/>
      <c r="R201" s="172"/>
      <c r="S201" s="173"/>
    </row>
    <row r="202" spans="1:19" ht="16.95" customHeight="1" x14ac:dyDescent="0.3">
      <c r="A202" s="41">
        <f t="shared" si="22"/>
        <v>0</v>
      </c>
      <c r="C202" s="9">
        <f t="shared" ref="C202:L202" si="27">B163</f>
        <v>0</v>
      </c>
      <c r="D202" s="9">
        <f t="shared" si="27"/>
        <v>0</v>
      </c>
      <c r="E202" s="41">
        <f t="shared" si="27"/>
        <v>-63000</v>
      </c>
      <c r="F202" s="9">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215" t="s">
        <v>382</v>
      </c>
      <c r="O202" s="172"/>
      <c r="P202" s="172"/>
      <c r="Q202" s="172"/>
      <c r="R202" s="172"/>
      <c r="S202" s="173"/>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219">
        <f>E189</f>
        <v>0</v>
      </c>
      <c r="O203" s="172"/>
      <c r="P203" s="172"/>
      <c r="Q203" s="172"/>
      <c r="R203" s="172"/>
      <c r="S203" s="173"/>
    </row>
    <row r="204" spans="1:19" ht="16.95" customHeight="1" x14ac:dyDescent="0.3">
      <c r="A204" s="41">
        <f t="shared" si="22"/>
        <v>0</v>
      </c>
      <c r="C204" s="9">
        <f t="shared" ref="C204:L204" si="29">B165</f>
        <v>-21505.2999151935</v>
      </c>
      <c r="D204" s="9">
        <f t="shared" si="29"/>
        <v>-32257.94987279025</v>
      </c>
      <c r="E204" s="41">
        <f t="shared" si="29"/>
        <v>-21505.2999151935</v>
      </c>
      <c r="F204" s="9">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215" t="str">
        <f>E190</f>
        <v>D4X</v>
      </c>
      <c r="O204" s="172"/>
      <c r="P204" s="172"/>
      <c r="Q204" s="172"/>
      <c r="R204" s="172"/>
      <c r="S204" s="173"/>
    </row>
    <row r="205" spans="1:19" ht="16.95" customHeight="1" x14ac:dyDescent="0.3">
      <c r="A205" s="41">
        <f t="shared" si="22"/>
        <v>0</v>
      </c>
      <c r="C205" s="9">
        <f t="shared" ref="C205:L205" si="30">B166</f>
        <v>-32257.94987279025</v>
      </c>
      <c r="D205" s="9">
        <f t="shared" si="30"/>
        <v>-48386.924809185381</v>
      </c>
      <c r="E205" s="41">
        <f t="shared" si="30"/>
        <v>32257.94987279025</v>
      </c>
      <c r="F205" s="9">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215" t="str">
        <f>E191</f>
        <v>D4Y</v>
      </c>
      <c r="O205" s="172"/>
      <c r="P205" s="172"/>
      <c r="Q205" s="172"/>
      <c r="R205" s="172"/>
      <c r="S205" s="173"/>
    </row>
    <row r="206" spans="1:19" ht="16.95" customHeight="1" x14ac:dyDescent="0.3">
      <c r="A206" s="41">
        <f t="shared" si="22"/>
        <v>0</v>
      </c>
      <c r="C206" s="9">
        <f t="shared" ref="C206:L206" si="31">B167</f>
        <v>0</v>
      </c>
      <c r="D206" s="9">
        <f t="shared" si="31"/>
        <v>0</v>
      </c>
      <c r="E206" s="41">
        <f t="shared" si="31"/>
        <v>-21505.2999151935</v>
      </c>
      <c r="F206" s="9">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215" t="str">
        <f>E192</f>
        <v>D5X</v>
      </c>
      <c r="O206" s="172"/>
      <c r="P206" s="172"/>
      <c r="Q206" s="172"/>
      <c r="R206" s="172"/>
      <c r="S206" s="173"/>
    </row>
    <row r="207" spans="1:19" ht="16.95" customHeight="1" x14ac:dyDescent="0.3">
      <c r="A207" s="41">
        <f t="shared" si="22"/>
        <v>0</v>
      </c>
      <c r="C207" s="9">
        <f t="shared" ref="C207:L207" si="32">B168</f>
        <v>0</v>
      </c>
      <c r="D207" s="9">
        <f t="shared" si="32"/>
        <v>0</v>
      </c>
      <c r="E207" s="41">
        <f t="shared" si="32"/>
        <v>-32257.94987279025</v>
      </c>
      <c r="F207" s="9">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215" t="str">
        <f>E193</f>
        <v>D5Y</v>
      </c>
      <c r="O207" s="172"/>
      <c r="P207" s="172"/>
      <c r="Q207" s="172"/>
      <c r="R207" s="172"/>
      <c r="S207" s="173"/>
    </row>
    <row r="210" spans="1:19" ht="19.95" customHeight="1" x14ac:dyDescent="0.35">
      <c r="A210" s="15" t="s">
        <v>257</v>
      </c>
      <c r="N210" s="216" t="s">
        <v>258</v>
      </c>
      <c r="O210" s="172"/>
      <c r="P210" s="172"/>
      <c r="Q210" s="172"/>
      <c r="R210" s="172"/>
      <c r="S210" s="173"/>
    </row>
    <row r="211" spans="1:19" ht="16.95" customHeight="1" x14ac:dyDescent="0.3">
      <c r="C211" s="38" t="str">
        <f>INDEX(C$184:C$193, MATCH(1, F$184:F$193, 0))</f>
        <v>U2X</v>
      </c>
      <c r="D211" s="38" t="str">
        <f>INDEX(C$184:C$193, MATCH(2, F$184:F$193, 0))</f>
        <v>U3X</v>
      </c>
      <c r="E211" s="38" t="str">
        <f>INDEX(C$184:C$193, MATCH(3, F$184:F$193, 0))</f>
        <v>U4X</v>
      </c>
      <c r="F211" s="38" t="str">
        <f>INDEX(C$184:C$193, MATCH(4, F$184:F$193, 0))</f>
        <v>U4Y</v>
      </c>
      <c r="G211" s="38" t="str">
        <f>INDEX(C$184:C$193, MATCH(5, F$184:F$193, 0))</f>
        <v>U5X</v>
      </c>
      <c r="H211" s="38" t="str">
        <f>INDEX(C$184:C$193, MATCH(6, F$184:F$193, 0))</f>
        <v>U5Y</v>
      </c>
      <c r="N211" s="215" t="s">
        <v>383</v>
      </c>
      <c r="O211" s="172"/>
      <c r="P211" s="172"/>
      <c r="Q211" s="172"/>
      <c r="R211" s="172"/>
      <c r="S211" s="173"/>
    </row>
    <row r="212" spans="1:19" ht="16.95" customHeight="1" x14ac:dyDescent="0.3">
      <c r="A212" s="41">
        <f t="shared" ref="A212:A217" si="33">INDEX(E$172:E$181, MATCH(K212, C$172:C$181, 0))</f>
        <v>0</v>
      </c>
      <c r="C212" s="41">
        <f t="shared" ref="C212:H217" si="34">INDEX($B$159:$K$168, MATCH($K212, $L$159:$L$168, 0), MATCH(C$211, $B$158:$K$158, 0))</f>
        <v>169010.59983038699</v>
      </c>
      <c r="D212" s="41">
        <f t="shared" si="34"/>
        <v>-63000</v>
      </c>
      <c r="E212" s="41">
        <f t="shared" si="34"/>
        <v>-21505.2999151935</v>
      </c>
      <c r="F212" s="41">
        <f t="shared" si="34"/>
        <v>32257.94987279025</v>
      </c>
      <c r="G212" s="41">
        <f t="shared" si="34"/>
        <v>-21505.2999151935</v>
      </c>
      <c r="H212" s="41">
        <f t="shared" si="34"/>
        <v>-32257.94987279025</v>
      </c>
      <c r="I212" s="13" t="s">
        <v>251</v>
      </c>
      <c r="J212" s="38" t="str">
        <f>INDEX(B$184:B$193, MATCH(1, F$184:F$193, 0))</f>
        <v>D2X</v>
      </c>
      <c r="K212" s="14" t="str">
        <f>INDEX(C$184:C$193, MATCH(1, F$184:F$193, 0))</f>
        <v>U2X</v>
      </c>
      <c r="N212" s="215" t="s">
        <v>384</v>
      </c>
      <c r="O212" s="172"/>
      <c r="P212" s="172"/>
      <c r="Q212" s="172"/>
      <c r="R212" s="172"/>
      <c r="S212" s="173"/>
    </row>
    <row r="213" spans="1:19" ht="16.95" customHeight="1" x14ac:dyDescent="0.3">
      <c r="A213" s="41">
        <f t="shared" si="33"/>
        <v>0</v>
      </c>
      <c r="C213" s="41">
        <f t="shared" si="34"/>
        <v>-63000</v>
      </c>
      <c r="D213" s="41">
        <f t="shared" si="34"/>
        <v>84505.299915193493</v>
      </c>
      <c r="E213" s="41">
        <f t="shared" si="34"/>
        <v>0</v>
      </c>
      <c r="F213" s="41">
        <f t="shared" si="34"/>
        <v>0</v>
      </c>
      <c r="G213" s="41">
        <f t="shared" si="34"/>
        <v>-21505.2999151935</v>
      </c>
      <c r="H213" s="41">
        <f t="shared" si="34"/>
        <v>32257.94987279025</v>
      </c>
      <c r="I213" s="13" t="s">
        <v>251</v>
      </c>
      <c r="J213" s="38" t="str">
        <f>INDEX(B$184:B$193, MATCH(2, F$184:F$193, 0))</f>
        <v>D3X</v>
      </c>
      <c r="K213" s="14" t="str">
        <f>INDEX(C$184:C$193, MATCH(2, F$184:F$193, 0))</f>
        <v>U3X</v>
      </c>
      <c r="N213" s="215" t="s">
        <v>385</v>
      </c>
      <c r="O213" s="172"/>
      <c r="P213" s="172"/>
      <c r="Q213" s="172"/>
      <c r="R213" s="172"/>
      <c r="S213" s="173"/>
    </row>
    <row r="214" spans="1:19" ht="16.95" customHeight="1" x14ac:dyDescent="0.3">
      <c r="A214" s="41">
        <f t="shared" si="33"/>
        <v>0</v>
      </c>
      <c r="C214" s="41">
        <f t="shared" si="34"/>
        <v>-21505.2999151935</v>
      </c>
      <c r="D214" s="41">
        <f t="shared" si="34"/>
        <v>0</v>
      </c>
      <c r="E214" s="41">
        <f t="shared" si="34"/>
        <v>106010.599830387</v>
      </c>
      <c r="F214" s="41">
        <f t="shared" si="34"/>
        <v>0</v>
      </c>
      <c r="G214" s="41">
        <f t="shared" si="34"/>
        <v>-63000</v>
      </c>
      <c r="H214" s="41">
        <f t="shared" si="34"/>
        <v>0</v>
      </c>
      <c r="I214" s="13" t="s">
        <v>251</v>
      </c>
      <c r="J214" s="38" t="str">
        <f>INDEX(B$184:B$193, MATCH(3, F$184:F$193, 0))</f>
        <v>D4X</v>
      </c>
      <c r="K214" s="14" t="str">
        <f>INDEX(C$184:C$193, MATCH(3, F$184:F$193, 0))</f>
        <v>U4X</v>
      </c>
      <c r="N214" s="215" t="s">
        <v>386</v>
      </c>
      <c r="O214" s="172"/>
      <c r="P214" s="172"/>
      <c r="Q214" s="172"/>
      <c r="R214" s="172"/>
      <c r="S214" s="173"/>
    </row>
    <row r="215" spans="1:19" ht="16.95" customHeight="1" x14ac:dyDescent="0.3">
      <c r="A215" s="41">
        <f t="shared" si="33"/>
        <v>0</v>
      </c>
      <c r="B215" s="13" t="s">
        <v>220</v>
      </c>
      <c r="C215" s="41">
        <f t="shared" si="34"/>
        <v>32257.94987279025</v>
      </c>
      <c r="D215" s="41">
        <f t="shared" si="34"/>
        <v>0</v>
      </c>
      <c r="E215" s="41">
        <f t="shared" si="34"/>
        <v>0</v>
      </c>
      <c r="F215" s="41">
        <f t="shared" si="34"/>
        <v>96773.849618370761</v>
      </c>
      <c r="G215" s="41">
        <f t="shared" si="34"/>
        <v>0</v>
      </c>
      <c r="H215" s="41">
        <f t="shared" si="34"/>
        <v>0</v>
      </c>
      <c r="I215" s="13" t="s">
        <v>251</v>
      </c>
      <c r="J215" s="38" t="str">
        <f>INDEX(B$184:B$193, MATCH(4, F$184:F$193, 0))</f>
        <v>D4Y</v>
      </c>
      <c r="K215" s="14" t="str">
        <f>INDEX(C$184:C$193, MATCH(4, F$184:F$193, 0))</f>
        <v>U4Y</v>
      </c>
      <c r="N215" s="215" t="s">
        <v>387</v>
      </c>
      <c r="O215" s="172"/>
      <c r="P215" s="172"/>
      <c r="Q215" s="172"/>
      <c r="R215" s="172"/>
      <c r="S215" s="173"/>
    </row>
    <row r="216" spans="1:19" ht="16.95" customHeight="1" x14ac:dyDescent="0.3">
      <c r="A216" s="41">
        <f t="shared" si="33"/>
        <v>0</v>
      </c>
      <c r="C216" s="41">
        <f t="shared" si="34"/>
        <v>-21505.2999151935</v>
      </c>
      <c r="D216" s="41">
        <f t="shared" si="34"/>
        <v>-21505.2999151935</v>
      </c>
      <c r="E216" s="41">
        <f t="shared" si="34"/>
        <v>-63000</v>
      </c>
      <c r="F216" s="41">
        <f t="shared" si="34"/>
        <v>0</v>
      </c>
      <c r="G216" s="41">
        <f t="shared" si="34"/>
        <v>106010.59983038699</v>
      </c>
      <c r="H216" s="41">
        <f t="shared" si="34"/>
        <v>0</v>
      </c>
      <c r="I216" s="13" t="s">
        <v>251</v>
      </c>
      <c r="J216" s="38" t="str">
        <f>INDEX(B$184:B$193, MATCH(5, F$184:F$193, 0))</f>
        <v>D5X</v>
      </c>
      <c r="K216" s="14" t="str">
        <f>INDEX(C$184:C$193, MATCH(5, F$184:F$193, 0))</f>
        <v>U5X</v>
      </c>
      <c r="N216" s="215" t="s">
        <v>388</v>
      </c>
      <c r="O216" s="172"/>
      <c r="P216" s="172"/>
      <c r="Q216" s="172"/>
      <c r="R216" s="172"/>
      <c r="S216" s="173"/>
    </row>
    <row r="217" spans="1:19" ht="16.95" customHeight="1" x14ac:dyDescent="0.3">
      <c r="A217" s="41">
        <f t="shared" si="33"/>
        <v>0</v>
      </c>
      <c r="C217" s="41">
        <f t="shared" si="34"/>
        <v>-32257.94987279025</v>
      </c>
      <c r="D217" s="41">
        <f t="shared" si="34"/>
        <v>32257.94987279025</v>
      </c>
      <c r="E217" s="41">
        <f t="shared" si="34"/>
        <v>0</v>
      </c>
      <c r="F217" s="41">
        <f t="shared" si="34"/>
        <v>0</v>
      </c>
      <c r="G217" s="41">
        <f t="shared" si="34"/>
        <v>0</v>
      </c>
      <c r="H217" s="41">
        <f t="shared" si="34"/>
        <v>96773.849618370761</v>
      </c>
      <c r="I217" s="13" t="s">
        <v>251</v>
      </c>
      <c r="J217" s="38" t="str">
        <f>INDEX(B$184:B$193, MATCH(6, F$184:F$193, 0))</f>
        <v>D5Y</v>
      </c>
      <c r="K217" s="14" t="str">
        <f>INDEX(C$184:C$193, MATCH(6, F$184:F$193, 0))</f>
        <v>U5Y</v>
      </c>
      <c r="N217" s="215"/>
      <c r="O217" s="172"/>
      <c r="P217" s="172"/>
      <c r="Q217" s="172"/>
      <c r="R217" s="172"/>
      <c r="S217" s="173"/>
    </row>
    <row r="218" spans="1:19" ht="16.95" customHeight="1" x14ac:dyDescent="0.3">
      <c r="N218" s="215"/>
      <c r="O218" s="172"/>
      <c r="P218" s="172"/>
      <c r="Q218" s="172"/>
      <c r="R218" s="172"/>
      <c r="S218" s="173"/>
    </row>
    <row r="219" spans="1:19" ht="16.95" customHeight="1" x14ac:dyDescent="0.3">
      <c r="C219" s="218" t="s">
        <v>263</v>
      </c>
      <c r="D219" s="172"/>
      <c r="E219" s="172"/>
      <c r="F219" s="172"/>
      <c r="G219" s="172"/>
      <c r="H219" s="173"/>
      <c r="N219" s="215"/>
      <c r="O219" s="172"/>
      <c r="P219" s="172"/>
      <c r="Q219" s="172"/>
      <c r="R219" s="172"/>
      <c r="S219" s="173"/>
    </row>
    <row r="220" spans="1:19" ht="16.95" customHeight="1" x14ac:dyDescent="0.3">
      <c r="A220" s="99" t="s">
        <v>249</v>
      </c>
      <c r="C220" s="193" t="s">
        <v>264</v>
      </c>
      <c r="D220" s="175"/>
      <c r="E220" s="175"/>
      <c r="F220" s="175"/>
      <c r="G220" s="175"/>
      <c r="H220" s="175"/>
      <c r="J220" s="99" t="s">
        <v>247</v>
      </c>
      <c r="N220" s="215"/>
      <c r="O220" s="172"/>
      <c r="P220" s="172"/>
      <c r="Q220" s="172"/>
      <c r="R220" s="172"/>
      <c r="S220" s="173"/>
    </row>
    <row r="221" spans="1:19" ht="16.95" customHeight="1" x14ac:dyDescent="0.3">
      <c r="A221" s="12" t="str">
        <f t="shared" ref="A221:A226" si="35">J212</f>
        <v>D2X</v>
      </c>
      <c r="C221" s="93">
        <f t="array" ref="C221:H226">MINVERSE(C212:H217)</f>
        <v>1.497714847464208E-5</v>
      </c>
      <c r="D221" s="93">
        <v>1.4081281076268278E-5</v>
      </c>
      <c r="E221" s="93">
        <v>1.0113027108014311E-5</v>
      </c>
      <c r="F221" s="93">
        <v>-4.9923828248806926E-6</v>
      </c>
      <c r="G221" s="93">
        <v>1.1904761904761905E-5</v>
      </c>
      <c r="H221" s="93">
        <v>2.986224661245994E-7</v>
      </c>
      <c r="J221" s="17">
        <f t="shared" ref="J221:J226" si="36">A212</f>
        <v>0</v>
      </c>
      <c r="N221" s="215"/>
      <c r="O221" s="172"/>
      <c r="P221" s="172"/>
      <c r="Q221" s="172"/>
      <c r="R221" s="172"/>
      <c r="S221" s="173"/>
    </row>
    <row r="222" spans="1:19" ht="16.95" customHeight="1" x14ac:dyDescent="0.3">
      <c r="A222" s="12" t="str">
        <f t="shared" si="35"/>
        <v>D3X</v>
      </c>
      <c r="C222" s="93">
        <v>1.408128107626828E-5</v>
      </c>
      <c r="D222" s="93">
        <v>2.8162562152536556E-5</v>
      </c>
      <c r="E222" s="93">
        <v>1.228954627952068E-5</v>
      </c>
      <c r="F222" s="93">
        <v>-4.6937603587560915E-6</v>
      </c>
      <c r="G222" s="93">
        <v>1.5873015873015872E-5</v>
      </c>
      <c r="H222" s="93">
        <v>-4.6937603587560924E-6</v>
      </c>
      <c r="J222" s="17">
        <f t="shared" si="36"/>
        <v>0</v>
      </c>
      <c r="N222" s="215"/>
      <c r="O222" s="172"/>
      <c r="P222" s="172"/>
      <c r="Q222" s="172"/>
      <c r="R222" s="172"/>
      <c r="S222" s="173"/>
    </row>
    <row r="223" spans="1:19" ht="16.95" customHeight="1" x14ac:dyDescent="0.3">
      <c r="A223" s="12" t="str">
        <f t="shared" si="35"/>
        <v>D4X</v>
      </c>
      <c r="C223" s="93">
        <v>1.0113027108014309E-5</v>
      </c>
      <c r="D223" s="93">
        <v>1.228954627952068E-5</v>
      </c>
      <c r="E223" s="93">
        <v>2.1930460610133736E-5</v>
      </c>
      <c r="F223" s="93">
        <v>-3.371009036004769E-6</v>
      </c>
      <c r="G223" s="93">
        <v>1.7577422267120994E-5</v>
      </c>
      <c r="H223" s="93">
        <v>-7.2550639050212407E-7</v>
      </c>
      <c r="J223" s="17">
        <f t="shared" si="36"/>
        <v>0</v>
      </c>
      <c r="N223" s="215"/>
      <c r="O223" s="172"/>
      <c r="P223" s="172"/>
      <c r="Q223" s="172"/>
      <c r="R223" s="172"/>
      <c r="S223" s="173"/>
    </row>
    <row r="224" spans="1:19" ht="16.95" customHeight="1" x14ac:dyDescent="0.3">
      <c r="A224" s="12" t="str">
        <f t="shared" si="35"/>
        <v>D4Y</v>
      </c>
      <c r="B224" s="13" t="s">
        <v>220</v>
      </c>
      <c r="C224" s="93">
        <v>-4.9923828248806926E-6</v>
      </c>
      <c r="D224" s="93">
        <v>-4.6937603587560932E-6</v>
      </c>
      <c r="E224" s="93">
        <v>-3.3710090360047694E-6</v>
      </c>
      <c r="F224" s="93">
        <v>1.199749766584027E-5</v>
      </c>
      <c r="G224" s="93">
        <v>-3.9682539682539681E-6</v>
      </c>
      <c r="H224" s="93">
        <v>-9.9540822041533116E-8</v>
      </c>
      <c r="J224" s="17">
        <f t="shared" si="36"/>
        <v>0</v>
      </c>
      <c r="N224" s="215"/>
      <c r="O224" s="172"/>
      <c r="P224" s="172"/>
      <c r="Q224" s="172"/>
      <c r="R224" s="172"/>
      <c r="S224" s="173"/>
    </row>
    <row r="225" spans="1:19" ht="16.95" customHeight="1" x14ac:dyDescent="0.3">
      <c r="A225" s="12" t="str">
        <f t="shared" si="35"/>
        <v>D5X</v>
      </c>
      <c r="C225" s="93">
        <v>1.1904761904761907E-5</v>
      </c>
      <c r="D225" s="93">
        <v>1.5873015873015876E-5</v>
      </c>
      <c r="E225" s="93">
        <v>1.7577422267120997E-5</v>
      </c>
      <c r="F225" s="93">
        <v>-3.9682539682539681E-6</v>
      </c>
      <c r="G225" s="93">
        <v>2.5513930203628931E-5</v>
      </c>
      <c r="H225" s="93">
        <v>-1.3227513227513234E-6</v>
      </c>
      <c r="J225" s="17">
        <f t="shared" si="36"/>
        <v>0</v>
      </c>
      <c r="N225" s="215"/>
      <c r="O225" s="172"/>
      <c r="P225" s="172"/>
      <c r="Q225" s="172"/>
      <c r="R225" s="172"/>
      <c r="S225" s="173"/>
    </row>
    <row r="226" spans="1:19" ht="16.95" customHeight="1" x14ac:dyDescent="0.3">
      <c r="A226" s="12" t="str">
        <f t="shared" si="35"/>
        <v>D5Y</v>
      </c>
      <c r="C226" s="93">
        <v>2.9862246612459956E-7</v>
      </c>
      <c r="D226" s="93">
        <v>-4.6937603587560924E-6</v>
      </c>
      <c r="E226" s="93">
        <v>-7.2550639050212354E-7</v>
      </c>
      <c r="F226" s="93">
        <v>-9.9540822041533288E-8</v>
      </c>
      <c r="G226" s="93">
        <v>-1.3227513227513228E-6</v>
      </c>
      <c r="H226" s="93">
        <v>1.199749766584027E-5</v>
      </c>
      <c r="J226" s="17">
        <f t="shared" si="36"/>
        <v>0</v>
      </c>
      <c r="N226" s="215"/>
      <c r="O226" s="172"/>
      <c r="P226" s="172"/>
      <c r="Q226" s="172"/>
      <c r="R226" s="172"/>
      <c r="S226" s="173"/>
    </row>
    <row r="227" spans="1:19" ht="16.95" customHeight="1" x14ac:dyDescent="0.3">
      <c r="N227" s="215"/>
      <c r="O227" s="172"/>
      <c r="P227" s="172"/>
      <c r="Q227" s="172"/>
      <c r="R227" s="172"/>
      <c r="S227" s="173"/>
    </row>
    <row r="228" spans="1:19" ht="16.95" customHeight="1" x14ac:dyDescent="0.3">
      <c r="C228" s="218" t="s">
        <v>265</v>
      </c>
      <c r="D228" s="173"/>
      <c r="N228" s="215"/>
      <c r="O228" s="172"/>
      <c r="P228" s="172"/>
      <c r="Q228" s="172"/>
      <c r="R228" s="172"/>
      <c r="S228" s="173"/>
    </row>
    <row r="229" spans="1:19" ht="16.95" customHeight="1" x14ac:dyDescent="0.3">
      <c r="A229" s="99" t="s">
        <v>249</v>
      </c>
      <c r="C229" s="99" t="s">
        <v>266</v>
      </c>
      <c r="N229" s="215"/>
      <c r="O229" s="172"/>
      <c r="P229" s="172"/>
      <c r="Q229" s="172"/>
      <c r="R229" s="172"/>
      <c r="S229" s="173"/>
    </row>
    <row r="230" spans="1:19" ht="16.95" customHeight="1" x14ac:dyDescent="0.3">
      <c r="A230" s="12" t="str">
        <f t="shared" ref="A230:A235" si="37">A221</f>
        <v>D2X</v>
      </c>
      <c r="C230" s="94">
        <f t="array" ref="C230:C235">MMULT(C221:H226, J221:J226)</f>
        <v>0</v>
      </c>
      <c r="D230" s="12" t="s">
        <v>267</v>
      </c>
      <c r="N230" s="215"/>
      <c r="O230" s="172"/>
      <c r="P230" s="172"/>
      <c r="Q230" s="172"/>
      <c r="R230" s="172"/>
      <c r="S230" s="173"/>
    </row>
    <row r="231" spans="1:19" ht="16.95" customHeight="1" x14ac:dyDescent="0.3">
      <c r="A231" s="12" t="str">
        <f t="shared" si="37"/>
        <v>D3X</v>
      </c>
      <c r="C231" s="94">
        <v>0</v>
      </c>
      <c r="D231" s="12" t="s">
        <v>267</v>
      </c>
      <c r="N231" s="215"/>
      <c r="O231" s="172"/>
      <c r="P231" s="172"/>
      <c r="Q231" s="172"/>
      <c r="R231" s="172"/>
      <c r="S231" s="173"/>
    </row>
    <row r="232" spans="1:19" ht="16.95" customHeight="1" x14ac:dyDescent="0.3">
      <c r="A232" s="12" t="str">
        <f t="shared" si="37"/>
        <v>D4X</v>
      </c>
      <c r="C232" s="94">
        <v>0</v>
      </c>
      <c r="D232" s="12" t="s">
        <v>267</v>
      </c>
      <c r="N232" s="215"/>
      <c r="O232" s="172"/>
      <c r="P232" s="172"/>
      <c r="Q232" s="172"/>
      <c r="R232" s="172"/>
      <c r="S232" s="173"/>
    </row>
    <row r="233" spans="1:19" ht="16.95" customHeight="1" x14ac:dyDescent="0.3">
      <c r="A233" s="12" t="str">
        <f t="shared" si="37"/>
        <v>D4Y</v>
      </c>
      <c r="B233" s="13" t="s">
        <v>220</v>
      </c>
      <c r="C233" s="94">
        <v>0</v>
      </c>
      <c r="D233" s="12" t="s">
        <v>267</v>
      </c>
      <c r="N233" s="215"/>
      <c r="O233" s="172"/>
      <c r="P233" s="172"/>
      <c r="Q233" s="172"/>
      <c r="R233" s="172"/>
      <c r="S233" s="173"/>
    </row>
    <row r="234" spans="1:19" ht="16.95" customHeight="1" x14ac:dyDescent="0.3">
      <c r="A234" s="12" t="str">
        <f t="shared" si="37"/>
        <v>D5X</v>
      </c>
      <c r="C234" s="94">
        <v>0</v>
      </c>
      <c r="D234" s="12" t="s">
        <v>267</v>
      </c>
      <c r="N234" s="215"/>
      <c r="O234" s="172"/>
      <c r="P234" s="172"/>
      <c r="Q234" s="172"/>
      <c r="R234" s="172"/>
      <c r="S234" s="173"/>
    </row>
    <row r="235" spans="1:19" ht="16.95" customHeight="1" x14ac:dyDescent="0.3">
      <c r="A235" s="12" t="str">
        <f t="shared" si="37"/>
        <v>D5Y</v>
      </c>
      <c r="C235" s="94">
        <v>0</v>
      </c>
      <c r="D235" s="12" t="s">
        <v>267</v>
      </c>
      <c r="N235" s="215"/>
      <c r="O235" s="172"/>
      <c r="P235" s="172"/>
      <c r="Q235" s="172"/>
      <c r="R235" s="172"/>
      <c r="S235" s="173"/>
    </row>
    <row r="238" spans="1:19" ht="19.95" customHeight="1" x14ac:dyDescent="0.35">
      <c r="A238" s="11" t="s">
        <v>268</v>
      </c>
      <c r="N238" s="216" t="s">
        <v>269</v>
      </c>
      <c r="O238" s="172"/>
      <c r="P238" s="172"/>
      <c r="Q238" s="172"/>
      <c r="R238" s="172"/>
      <c r="S238" s="173"/>
    </row>
    <row r="239" spans="1:19" ht="16.95" customHeight="1" x14ac:dyDescent="0.3">
      <c r="A239" s="99" t="s">
        <v>247</v>
      </c>
      <c r="J239" s="99" t="s">
        <v>249</v>
      </c>
      <c r="N239" s="215" t="s">
        <v>389</v>
      </c>
      <c r="O239" s="172"/>
      <c r="P239" s="172"/>
      <c r="Q239" s="172"/>
      <c r="R239" s="172"/>
      <c r="S239" s="173"/>
    </row>
    <row r="240" spans="1:19" ht="16.95" customHeight="1" x14ac:dyDescent="0.3">
      <c r="A240" s="18" t="str">
        <f>INDEX(B$172:B$181, MATCH(K240, C$172:C$181, 0))</f>
        <v>C1X</v>
      </c>
      <c r="C240" s="9">
        <f t="shared" ref="C240:H243" si="38">INDEX($B$159:$K$168, MATCH($K240, $L$159:$L$168, 0), MATCH(C$211, $B$158:$K$158, 0))</f>
        <v>-63000</v>
      </c>
      <c r="D240" s="9">
        <f t="shared" si="38"/>
        <v>0</v>
      </c>
      <c r="E240" s="9">
        <f t="shared" si="38"/>
        <v>-21505.2999151935</v>
      </c>
      <c r="F240" s="9">
        <f t="shared" si="38"/>
        <v>-32257.94987279025</v>
      </c>
      <c r="G240" s="9">
        <f t="shared" si="38"/>
        <v>0</v>
      </c>
      <c r="H240" s="9">
        <f t="shared" si="38"/>
        <v>0</v>
      </c>
      <c r="J240" s="95">
        <f t="shared" ref="J240:J245" si="39">C230</f>
        <v>0</v>
      </c>
      <c r="K240" s="14" t="str">
        <f>INDEX(C$184:C$193, MATCH(1, G$184:G$193, 0))</f>
        <v>U1X</v>
      </c>
      <c r="N240" s="215" t="s">
        <v>390</v>
      </c>
      <c r="O240" s="172"/>
      <c r="P240" s="172"/>
      <c r="Q240" s="172"/>
      <c r="R240" s="172"/>
      <c r="S240" s="173"/>
    </row>
    <row r="241" spans="1:19" ht="16.95" customHeight="1" x14ac:dyDescent="0.3">
      <c r="A241" s="18" t="str">
        <f>INDEX(B$172:B$181, MATCH(K241, C$172:C$181, 0))</f>
        <v>C1Y</v>
      </c>
      <c r="C241" s="9">
        <f t="shared" si="38"/>
        <v>0</v>
      </c>
      <c r="D241" s="9">
        <f t="shared" si="38"/>
        <v>0</v>
      </c>
      <c r="E241" s="9">
        <f t="shared" si="38"/>
        <v>-32257.94987279025</v>
      </c>
      <c r="F241" s="9">
        <f t="shared" si="38"/>
        <v>-48386.924809185381</v>
      </c>
      <c r="G241" s="9">
        <f t="shared" si="38"/>
        <v>0</v>
      </c>
      <c r="H241" s="9">
        <f t="shared" si="38"/>
        <v>0</v>
      </c>
      <c r="J241" s="95">
        <f t="shared" si="39"/>
        <v>0</v>
      </c>
      <c r="K241" s="14" t="str">
        <f>INDEX(C$184:C$193, MATCH(2, G$184:G$193, 0))</f>
        <v>U1Y</v>
      </c>
      <c r="N241" s="215" t="s">
        <v>391</v>
      </c>
      <c r="O241" s="172"/>
      <c r="P241" s="172"/>
      <c r="Q241" s="172"/>
      <c r="R241" s="172"/>
      <c r="S241" s="173"/>
    </row>
    <row r="242" spans="1:19" ht="16.95" customHeight="1" x14ac:dyDescent="0.3">
      <c r="A242" s="18" t="str">
        <f>INDEX(B$172:B$181, MATCH(K242, C$172:C$181, 0))</f>
        <v>C2Y</v>
      </c>
      <c r="B242" s="13" t="s">
        <v>220</v>
      </c>
      <c r="C242" s="9">
        <f t="shared" si="38"/>
        <v>0</v>
      </c>
      <c r="D242" s="9">
        <f t="shared" si="38"/>
        <v>0</v>
      </c>
      <c r="E242" s="9">
        <f t="shared" si="38"/>
        <v>32257.94987279025</v>
      </c>
      <c r="F242" s="9">
        <f t="shared" si="38"/>
        <v>-48386.924809185381</v>
      </c>
      <c r="G242" s="9">
        <f t="shared" si="38"/>
        <v>-32257.94987279025</v>
      </c>
      <c r="H242" s="9">
        <f t="shared" si="38"/>
        <v>-48386.924809185381</v>
      </c>
      <c r="J242" s="95">
        <f t="shared" si="39"/>
        <v>0</v>
      </c>
      <c r="K242" s="14" t="str">
        <f>INDEX(C$184:C$193, MATCH(3, G$184:G$193, 0))</f>
        <v>U2Y</v>
      </c>
      <c r="N242" s="215" t="s">
        <v>392</v>
      </c>
      <c r="O242" s="172"/>
      <c r="P242" s="172"/>
      <c r="Q242" s="172"/>
      <c r="R242" s="172"/>
      <c r="S242" s="173"/>
    </row>
    <row r="243" spans="1:19" ht="16.95" customHeight="1" x14ac:dyDescent="0.3">
      <c r="A243" s="18" t="str">
        <f>INDEX(B$172:B$181, MATCH(K243, C$172:C$181, 0))</f>
        <v>C3Y</v>
      </c>
      <c r="C243" s="9">
        <f t="shared" si="38"/>
        <v>0</v>
      </c>
      <c r="D243" s="9">
        <f t="shared" si="38"/>
        <v>-32257.94987279025</v>
      </c>
      <c r="E243" s="9">
        <f t="shared" si="38"/>
        <v>0</v>
      </c>
      <c r="F243" s="9">
        <f t="shared" si="38"/>
        <v>0</v>
      </c>
      <c r="G243" s="9">
        <f t="shared" si="38"/>
        <v>32257.94987279025</v>
      </c>
      <c r="H243" s="9">
        <f t="shared" si="38"/>
        <v>-48386.924809185381</v>
      </c>
      <c r="J243" s="95">
        <f t="shared" si="39"/>
        <v>0</v>
      </c>
      <c r="K243" s="14" t="str">
        <f>INDEX(C$184:C$193, MATCH(4, G$184:G$193, 0))</f>
        <v>U3Y</v>
      </c>
      <c r="N243" s="215" t="s">
        <v>393</v>
      </c>
      <c r="O243" s="172"/>
      <c r="P243" s="172"/>
      <c r="Q243" s="172"/>
      <c r="R243" s="172"/>
      <c r="S243" s="173"/>
    </row>
    <row r="244" spans="1:19" ht="16.95" customHeight="1" x14ac:dyDescent="0.3">
      <c r="J244" s="95">
        <f t="shared" si="39"/>
        <v>0</v>
      </c>
      <c r="N244" s="215" t="s">
        <v>394</v>
      </c>
      <c r="O244" s="172"/>
      <c r="P244" s="172"/>
      <c r="Q244" s="172"/>
      <c r="R244" s="172"/>
      <c r="S244" s="173"/>
    </row>
    <row r="245" spans="1:19" ht="16.95" customHeight="1" x14ac:dyDescent="0.3">
      <c r="J245" s="95">
        <f t="shared" si="39"/>
        <v>0</v>
      </c>
      <c r="N245" s="215"/>
      <c r="O245" s="172"/>
      <c r="P245" s="172"/>
      <c r="Q245" s="172"/>
      <c r="R245" s="172"/>
      <c r="S245" s="173"/>
    </row>
    <row r="246" spans="1:19" ht="16.95" customHeight="1" x14ac:dyDescent="0.3">
      <c r="N246" s="215"/>
      <c r="O246" s="172"/>
      <c r="P246" s="172"/>
      <c r="Q246" s="172"/>
      <c r="R246" s="172"/>
      <c r="S246" s="173"/>
    </row>
    <row r="247" spans="1:19" ht="16.95" customHeight="1" x14ac:dyDescent="0.3">
      <c r="A247" s="12" t="str">
        <f>A240</f>
        <v>C1X</v>
      </c>
      <c r="C247" s="17">
        <f t="array" ref="C247:C250">MMULT(C240:H243, J240:J245)</f>
        <v>0</v>
      </c>
      <c r="D247" s="12" t="s">
        <v>273</v>
      </c>
      <c r="N247" s="215"/>
      <c r="O247" s="172"/>
      <c r="P247" s="172"/>
      <c r="Q247" s="172"/>
      <c r="R247" s="172"/>
      <c r="S247" s="173"/>
    </row>
    <row r="248" spans="1:19" ht="16.95" customHeight="1" x14ac:dyDescent="0.3">
      <c r="A248" s="12" t="str">
        <f>A241</f>
        <v>C1Y</v>
      </c>
      <c r="C248" s="17">
        <v>0</v>
      </c>
      <c r="D248" s="12" t="s">
        <v>273</v>
      </c>
      <c r="N248" s="215"/>
      <c r="O248" s="172"/>
      <c r="P248" s="172"/>
      <c r="Q248" s="172"/>
      <c r="R248" s="172"/>
      <c r="S248" s="173"/>
    </row>
    <row r="249" spans="1:19" ht="16.95" customHeight="1" x14ac:dyDescent="0.3">
      <c r="A249" s="12" t="str">
        <f>A242</f>
        <v>C2Y</v>
      </c>
      <c r="B249" s="13" t="s">
        <v>220</v>
      </c>
      <c r="C249" s="17">
        <v>0</v>
      </c>
      <c r="D249" s="12" t="s">
        <v>273</v>
      </c>
      <c r="N249" s="215"/>
      <c r="O249" s="172"/>
      <c r="P249" s="172"/>
      <c r="Q249" s="172"/>
      <c r="R249" s="172"/>
      <c r="S249" s="173"/>
    </row>
    <row r="250" spans="1:19" ht="16.95" customHeight="1" x14ac:dyDescent="0.3">
      <c r="A250" s="12" t="str">
        <f>A243</f>
        <v>C3Y</v>
      </c>
      <c r="C250" s="17">
        <v>0</v>
      </c>
      <c r="D250" s="12" t="s">
        <v>273</v>
      </c>
      <c r="N250" s="215"/>
      <c r="O250" s="172"/>
      <c r="P250" s="172"/>
      <c r="Q250" s="172"/>
      <c r="R250" s="172"/>
      <c r="S250" s="173"/>
    </row>
    <row r="253" spans="1:19" ht="19.95" customHeight="1" x14ac:dyDescent="0.35">
      <c r="A253" s="11" t="s">
        <v>274</v>
      </c>
    </row>
    <row r="255" spans="1:19" ht="19.05" customHeight="1" x14ac:dyDescent="0.3">
      <c r="A255" s="12" t="s">
        <v>228</v>
      </c>
      <c r="B255" s="12" t="s">
        <v>178</v>
      </c>
      <c r="D255" s="94">
        <f t="shared" ref="D255:D264" si="40">IFERROR(INDEX(C$230:C$235, MATCH(A255, A$230:A$235, 0)), 0)</f>
        <v>0</v>
      </c>
    </row>
    <row r="256" spans="1:19" ht="19.05" customHeight="1" x14ac:dyDescent="0.3">
      <c r="A256" s="12" t="s">
        <v>229</v>
      </c>
      <c r="B256" s="12" t="s">
        <v>179</v>
      </c>
      <c r="D256" s="94">
        <f t="shared" si="40"/>
        <v>0</v>
      </c>
    </row>
    <row r="257" spans="1:19" ht="19.05" customHeight="1" x14ac:dyDescent="0.3">
      <c r="A257" s="12" t="s">
        <v>230</v>
      </c>
      <c r="B257" s="12" t="s">
        <v>180</v>
      </c>
      <c r="D257" s="94">
        <f t="shared" si="40"/>
        <v>0</v>
      </c>
    </row>
    <row r="258" spans="1:19" ht="19.05" customHeight="1" x14ac:dyDescent="0.3">
      <c r="A258" s="12" t="s">
        <v>231</v>
      </c>
      <c r="B258" s="12" t="s">
        <v>181</v>
      </c>
      <c r="D258" s="94">
        <f t="shared" si="40"/>
        <v>0</v>
      </c>
    </row>
    <row r="259" spans="1:19" ht="19.05" customHeight="1" x14ac:dyDescent="0.3">
      <c r="A259" s="12" t="s">
        <v>232</v>
      </c>
      <c r="B259" s="12" t="s">
        <v>182</v>
      </c>
      <c r="D259" s="94">
        <f t="shared" si="40"/>
        <v>0</v>
      </c>
    </row>
    <row r="260" spans="1:19" ht="19.05" customHeight="1" x14ac:dyDescent="0.3">
      <c r="A260" s="12" t="s">
        <v>234</v>
      </c>
      <c r="B260" s="12" t="s">
        <v>183</v>
      </c>
      <c r="D260" s="94">
        <f t="shared" si="40"/>
        <v>0</v>
      </c>
    </row>
    <row r="261" spans="1:19" ht="19.05" customHeight="1" x14ac:dyDescent="0.3">
      <c r="A261" s="12" t="s">
        <v>235</v>
      </c>
      <c r="B261" s="12" t="s">
        <v>184</v>
      </c>
      <c r="D261" s="94">
        <f t="shared" si="40"/>
        <v>0</v>
      </c>
    </row>
    <row r="262" spans="1:19" ht="19.05" customHeight="1" x14ac:dyDescent="0.3">
      <c r="A262" s="12" t="s">
        <v>236</v>
      </c>
      <c r="B262" s="12" t="s">
        <v>185</v>
      </c>
      <c r="D262" s="94">
        <f t="shared" si="40"/>
        <v>0</v>
      </c>
    </row>
    <row r="263" spans="1:19" ht="19.05" customHeight="1" x14ac:dyDescent="0.3">
      <c r="A263" s="12" t="s">
        <v>237</v>
      </c>
      <c r="B263" s="12" t="s">
        <v>186</v>
      </c>
      <c r="D263" s="94">
        <f t="shared" si="40"/>
        <v>0</v>
      </c>
    </row>
    <row r="264" spans="1:19" ht="19.05" customHeight="1" x14ac:dyDescent="0.3">
      <c r="A264" s="12" t="s">
        <v>238</v>
      </c>
      <c r="B264" s="12" t="s">
        <v>187</v>
      </c>
      <c r="D264" s="94">
        <f t="shared" si="40"/>
        <v>0</v>
      </c>
    </row>
    <row r="267" spans="1:19" ht="19.95" customHeight="1" x14ac:dyDescent="0.35">
      <c r="A267" s="11" t="s">
        <v>275</v>
      </c>
      <c r="N267" s="216" t="s">
        <v>276</v>
      </c>
      <c r="O267" s="172"/>
      <c r="P267" s="172"/>
      <c r="Q267" s="172"/>
      <c r="R267" s="172"/>
      <c r="S267" s="173"/>
    </row>
    <row r="268" spans="1:19" ht="16.95" customHeight="1" x14ac:dyDescent="0.3">
      <c r="N268" s="215" t="s">
        <v>395</v>
      </c>
      <c r="O268" s="172"/>
      <c r="P268" s="172"/>
      <c r="Q268" s="172"/>
      <c r="R268" s="172"/>
      <c r="S268" s="173"/>
    </row>
    <row r="269" spans="1:19" ht="16.95" customHeight="1" x14ac:dyDescent="0.3">
      <c r="A269" s="19" t="s">
        <v>278</v>
      </c>
      <c r="C269" s="19" t="s">
        <v>279</v>
      </c>
      <c r="D269" s="19" t="s">
        <v>280</v>
      </c>
      <c r="E269" s="19" t="s">
        <v>279</v>
      </c>
      <c r="F269" s="19" t="s">
        <v>280</v>
      </c>
      <c r="G269" s="19" t="s">
        <v>249</v>
      </c>
      <c r="N269" s="215" t="s">
        <v>396</v>
      </c>
      <c r="O269" s="172"/>
      <c r="P269" s="172"/>
      <c r="Q269" s="172"/>
      <c r="R269" s="172"/>
      <c r="S269" s="173"/>
    </row>
    <row r="270" spans="1:19" ht="16.95" customHeight="1" x14ac:dyDescent="0.3">
      <c r="C270" s="19" t="s">
        <v>282</v>
      </c>
      <c r="D270" s="19" t="s">
        <v>282</v>
      </c>
      <c r="E270" s="19" t="s">
        <v>283</v>
      </c>
      <c r="F270" s="19" t="s">
        <v>283</v>
      </c>
      <c r="N270" s="215" t="s">
        <v>397</v>
      </c>
      <c r="O270" s="172"/>
      <c r="P270" s="172"/>
      <c r="Q270" s="172"/>
      <c r="R270" s="172"/>
      <c r="S270" s="173"/>
    </row>
    <row r="271" spans="1:19" ht="16.95" customHeight="1" x14ac:dyDescent="0.3">
      <c r="A271" s="17">
        <f>N6</f>
        <v>63000</v>
      </c>
      <c r="C271" s="92">
        <f>-J6</f>
        <v>-1</v>
      </c>
      <c r="D271" s="92">
        <f>-K6</f>
        <v>0</v>
      </c>
      <c r="E271" s="92">
        <f>J6</f>
        <v>1</v>
      </c>
      <c r="F271" s="92">
        <f>K6</f>
        <v>0</v>
      </c>
      <c r="G271" s="96">
        <f>IFERROR(VLOOKUP(H271, A$255:D$264, 4, FALSE), 0)</f>
        <v>0</v>
      </c>
      <c r="H271" s="12" t="str">
        <f>"D" &amp; C16 &amp; "X"</f>
        <v>D1X</v>
      </c>
      <c r="N271" s="215" t="s">
        <v>398</v>
      </c>
      <c r="O271" s="172"/>
      <c r="P271" s="172"/>
      <c r="Q271" s="172"/>
      <c r="R271" s="172"/>
      <c r="S271" s="173"/>
    </row>
    <row r="272" spans="1:19" ht="16.95" customHeight="1" x14ac:dyDescent="0.3">
      <c r="A272" s="99" t="s">
        <v>285</v>
      </c>
      <c r="B272" s="97">
        <f>(MMULT(C271:F271, G271:G274)*A271)</f>
        <v>0</v>
      </c>
      <c r="G272" s="96">
        <f>IFERROR(VLOOKUP(H272, A$255:D$264, 4, FALSE), 0)</f>
        <v>0</v>
      </c>
      <c r="H272" s="12" t="str">
        <f>"D" &amp; D16 &amp; "Y"</f>
        <v>D1Y</v>
      </c>
      <c r="N272" s="215" t="s">
        <v>399</v>
      </c>
      <c r="O272" s="172"/>
      <c r="P272" s="172"/>
      <c r="Q272" s="172"/>
      <c r="R272" s="172"/>
      <c r="S272" s="173"/>
    </row>
    <row r="273" spans="1:19" ht="16.95" customHeight="1" x14ac:dyDescent="0.3">
      <c r="G273" s="96">
        <f>IFERROR(VLOOKUP(H273, A$255:D$264, 4, FALSE), 0)</f>
        <v>0</v>
      </c>
      <c r="H273" s="12" t="str">
        <f>"D" &amp; E16 &amp; "X"</f>
        <v>D2X</v>
      </c>
      <c r="N273" s="215" t="s">
        <v>400</v>
      </c>
      <c r="O273" s="172"/>
      <c r="P273" s="172"/>
      <c r="Q273" s="172"/>
      <c r="R273" s="172"/>
      <c r="S273" s="173"/>
    </row>
    <row r="274" spans="1:19" ht="16.95" customHeight="1" x14ac:dyDescent="0.3">
      <c r="G274" s="96">
        <f>IFERROR(VLOOKUP(H274, A$255:D$264, 4, FALSE), 0)</f>
        <v>0</v>
      </c>
      <c r="H274" s="12" t="str">
        <f>"D" &amp; F16 &amp; "Y"</f>
        <v>D2Y</v>
      </c>
      <c r="N274" s="215" t="s">
        <v>401</v>
      </c>
      <c r="O274" s="172"/>
      <c r="P274" s="172"/>
      <c r="Q274" s="172"/>
      <c r="R274" s="172"/>
      <c r="S274" s="173"/>
    </row>
    <row r="275" spans="1:19" ht="16.95" customHeight="1" x14ac:dyDescent="0.3">
      <c r="B275" s="99" t="s">
        <v>273</v>
      </c>
      <c r="C275" s="178" t="str">
        <f>IF(B272&gt;0.001,"BARRA A TRACCIÓN (+)",IF(B272&lt;-0.001,"BARRA A COMPRESIÓN (-)","BARRA DE FUERZA NULA"))</f>
        <v>BARRA DE FUERZA NULA</v>
      </c>
      <c r="D275" s="172"/>
      <c r="E275" s="172"/>
      <c r="F275" s="173"/>
      <c r="N275" s="215" t="s">
        <v>402</v>
      </c>
      <c r="O275" s="172"/>
      <c r="P275" s="172"/>
      <c r="Q275" s="172"/>
      <c r="R275" s="172"/>
      <c r="S275" s="173"/>
    </row>
    <row r="276" spans="1:19" ht="16.95" customHeight="1" x14ac:dyDescent="0.3">
      <c r="N276" s="215" t="s">
        <v>403</v>
      </c>
      <c r="O276" s="172"/>
      <c r="P276" s="172"/>
      <c r="Q276" s="172"/>
      <c r="R276" s="172"/>
      <c r="S276" s="173"/>
    </row>
    <row r="277" spans="1:19" ht="16.95" customHeight="1" x14ac:dyDescent="0.3">
      <c r="A277" s="19" t="s">
        <v>278</v>
      </c>
      <c r="C277" s="19" t="s">
        <v>279</v>
      </c>
      <c r="D277" s="19" t="s">
        <v>280</v>
      </c>
      <c r="E277" s="19" t="s">
        <v>279</v>
      </c>
      <c r="F277" s="19" t="s">
        <v>280</v>
      </c>
      <c r="G277" s="19" t="s">
        <v>249</v>
      </c>
      <c r="N277" s="215"/>
      <c r="O277" s="172"/>
      <c r="P277" s="172"/>
      <c r="Q277" s="172"/>
      <c r="R277" s="172"/>
      <c r="S277" s="173"/>
    </row>
    <row r="278" spans="1:19" ht="16.95" customHeight="1" x14ac:dyDescent="0.3">
      <c r="C278" s="19" t="s">
        <v>282</v>
      </c>
      <c r="D278" s="19" t="s">
        <v>282</v>
      </c>
      <c r="E278" s="19" t="s">
        <v>283</v>
      </c>
      <c r="F278" s="19" t="s">
        <v>283</v>
      </c>
      <c r="N278" s="215"/>
      <c r="O278" s="172"/>
      <c r="P278" s="172"/>
      <c r="Q278" s="172"/>
      <c r="R278" s="172"/>
      <c r="S278" s="173"/>
    </row>
    <row r="279" spans="1:19" ht="16.95" customHeight="1" x14ac:dyDescent="0.3">
      <c r="A279" s="17">
        <f>N7</f>
        <v>63000</v>
      </c>
      <c r="C279" s="92">
        <f>-J7</f>
        <v>-1</v>
      </c>
      <c r="D279" s="92">
        <f>-K7</f>
        <v>0</v>
      </c>
      <c r="E279" s="92">
        <f>J7</f>
        <v>1</v>
      </c>
      <c r="F279" s="92">
        <f>K7</f>
        <v>0</v>
      </c>
      <c r="G279" s="96">
        <f>IFERROR(VLOOKUP(H279, A$255:D$264, 4, FALSE), 0)</f>
        <v>0</v>
      </c>
      <c r="H279" s="12" t="str">
        <f>"D" &amp; C17 &amp; "X"</f>
        <v>D2X</v>
      </c>
      <c r="N279" s="215"/>
      <c r="O279" s="172"/>
      <c r="P279" s="172"/>
      <c r="Q279" s="172"/>
      <c r="R279" s="172"/>
      <c r="S279" s="173"/>
    </row>
    <row r="280" spans="1:19" ht="16.95" customHeight="1" x14ac:dyDescent="0.3">
      <c r="A280" s="99" t="s">
        <v>286</v>
      </c>
      <c r="B280" s="97">
        <f>(MMULT(C279:F279, G279:G282)*A279)</f>
        <v>0</v>
      </c>
      <c r="G280" s="96">
        <f>IFERROR(VLOOKUP(H280, A$255:D$264, 4, FALSE), 0)</f>
        <v>0</v>
      </c>
      <c r="H280" s="12" t="str">
        <f>"D" &amp; D17 &amp; "Y"</f>
        <v>D2Y</v>
      </c>
      <c r="N280" s="215"/>
      <c r="O280" s="172"/>
      <c r="P280" s="172"/>
      <c r="Q280" s="172"/>
      <c r="R280" s="172"/>
      <c r="S280" s="173"/>
    </row>
    <row r="281" spans="1:19" ht="16.95" customHeight="1" x14ac:dyDescent="0.3">
      <c r="G281" s="96">
        <f>IFERROR(VLOOKUP(H281, A$255:D$264, 4, FALSE), 0)</f>
        <v>0</v>
      </c>
      <c r="H281" s="12" t="str">
        <f>"D" &amp; E17 &amp; "X"</f>
        <v>D3X</v>
      </c>
      <c r="N281" s="215"/>
      <c r="O281" s="172"/>
      <c r="P281" s="172"/>
      <c r="Q281" s="172"/>
      <c r="R281" s="172"/>
      <c r="S281" s="173"/>
    </row>
    <row r="282" spans="1:19" ht="16.95" customHeight="1" x14ac:dyDescent="0.3">
      <c r="G282" s="96">
        <f>IFERROR(VLOOKUP(H282, A$255:D$264, 4, FALSE), 0)</f>
        <v>0</v>
      </c>
      <c r="H282" s="12" t="str">
        <f>"D" &amp; F17 &amp; "Y"</f>
        <v>D3Y</v>
      </c>
      <c r="N282" s="215"/>
      <c r="O282" s="172"/>
      <c r="P282" s="172"/>
      <c r="Q282" s="172"/>
      <c r="R282" s="172"/>
      <c r="S282" s="173"/>
    </row>
    <row r="283" spans="1:19" ht="16.95" customHeight="1" x14ac:dyDescent="0.3">
      <c r="B283" s="99" t="s">
        <v>273</v>
      </c>
      <c r="C283" s="178" t="str">
        <f>IF(B280&gt;0.001,"BARRA A TRACCIÓN (+)",IF(B280&lt;-0.001,"BARRA A COMPRESIÓN (-)","BARRA DE FUERZA NULA"))</f>
        <v>BARRA DE FUERZA NULA</v>
      </c>
      <c r="D283" s="172"/>
      <c r="E283" s="172"/>
      <c r="F283" s="173"/>
      <c r="N283" s="215"/>
      <c r="O283" s="172"/>
      <c r="P283" s="172"/>
      <c r="Q283" s="172"/>
      <c r="R283" s="172"/>
      <c r="S283" s="173"/>
    </row>
    <row r="284" spans="1:19" ht="16.95" customHeight="1" x14ac:dyDescent="0.3">
      <c r="N284" s="215"/>
      <c r="O284" s="172"/>
      <c r="P284" s="172"/>
      <c r="Q284" s="172"/>
      <c r="R284" s="172"/>
      <c r="S284" s="173"/>
    </row>
    <row r="285" spans="1:19" ht="16.95" customHeight="1" x14ac:dyDescent="0.3">
      <c r="A285" s="19" t="s">
        <v>278</v>
      </c>
      <c r="C285" s="19" t="s">
        <v>279</v>
      </c>
      <c r="D285" s="19" t="s">
        <v>280</v>
      </c>
      <c r="E285" s="19" t="s">
        <v>279</v>
      </c>
      <c r="F285" s="19" t="s">
        <v>280</v>
      </c>
      <c r="G285" s="19" t="s">
        <v>249</v>
      </c>
      <c r="N285" s="215"/>
      <c r="O285" s="172"/>
      <c r="P285" s="172"/>
      <c r="Q285" s="172"/>
      <c r="R285" s="172"/>
      <c r="S285" s="173"/>
    </row>
    <row r="286" spans="1:19" ht="16.95" customHeight="1" x14ac:dyDescent="0.3">
      <c r="C286" s="19" t="s">
        <v>282</v>
      </c>
      <c r="D286" s="19" t="s">
        <v>282</v>
      </c>
      <c r="E286" s="19" t="s">
        <v>283</v>
      </c>
      <c r="F286" s="19" t="s">
        <v>283</v>
      </c>
      <c r="N286" s="215"/>
      <c r="O286" s="172"/>
      <c r="P286" s="172"/>
      <c r="Q286" s="172"/>
      <c r="R286" s="172"/>
      <c r="S286" s="173"/>
    </row>
    <row r="287" spans="1:19" ht="16.95" customHeight="1" x14ac:dyDescent="0.3">
      <c r="A287" s="17">
        <f>N8</f>
        <v>69892.224724378873</v>
      </c>
      <c r="C287" s="92">
        <f>-J8</f>
        <v>-0.55470019622522915</v>
      </c>
      <c r="D287" s="92">
        <f>-K8</f>
        <v>-0.83205029433784372</v>
      </c>
      <c r="E287" s="92">
        <f>J8</f>
        <v>0.55470019622522915</v>
      </c>
      <c r="F287" s="92">
        <f>K8</f>
        <v>0.83205029433784372</v>
      </c>
      <c r="G287" s="96">
        <f>IFERROR(VLOOKUP(H287, A$255:D$264, 4, FALSE), 0)</f>
        <v>0</v>
      </c>
      <c r="H287" s="12" t="str">
        <f>"D" &amp; C18 &amp; "X"</f>
        <v>D1X</v>
      </c>
      <c r="N287" s="215"/>
      <c r="O287" s="172"/>
      <c r="P287" s="172"/>
      <c r="Q287" s="172"/>
      <c r="R287" s="172"/>
      <c r="S287" s="173"/>
    </row>
    <row r="288" spans="1:19" ht="16.95" customHeight="1" x14ac:dyDescent="0.3">
      <c r="A288" s="99" t="s">
        <v>287</v>
      </c>
      <c r="B288" s="97">
        <f>(MMULT(C287:F287, G287:G290)*A287)</f>
        <v>0</v>
      </c>
      <c r="G288" s="96">
        <f>IFERROR(VLOOKUP(H288, A$255:D$264, 4, FALSE), 0)</f>
        <v>0</v>
      </c>
      <c r="H288" s="12" t="str">
        <f>"D" &amp; D18 &amp; "Y"</f>
        <v>D1Y</v>
      </c>
      <c r="N288" s="215"/>
      <c r="O288" s="172"/>
      <c r="P288" s="172"/>
      <c r="Q288" s="172"/>
      <c r="R288" s="172"/>
      <c r="S288" s="173"/>
    </row>
    <row r="289" spans="1:19" ht="16.95" customHeight="1" x14ac:dyDescent="0.3">
      <c r="G289" s="96">
        <f>IFERROR(VLOOKUP(H289, A$255:D$264, 4, FALSE), 0)</f>
        <v>0</v>
      </c>
      <c r="H289" s="12" t="str">
        <f>"D" &amp; E18 &amp; "X"</f>
        <v>D4X</v>
      </c>
      <c r="N289" s="215"/>
      <c r="O289" s="172"/>
      <c r="P289" s="172"/>
      <c r="Q289" s="172"/>
      <c r="R289" s="172"/>
      <c r="S289" s="173"/>
    </row>
    <row r="290" spans="1:19" ht="16.95" customHeight="1" x14ac:dyDescent="0.3">
      <c r="G290" s="96">
        <f>IFERROR(VLOOKUP(H290, A$255:D$264, 4, FALSE), 0)</f>
        <v>0</v>
      </c>
      <c r="H290" s="12" t="str">
        <f>"D" &amp; F18 &amp; "Y"</f>
        <v>D4Y</v>
      </c>
      <c r="N290" s="215"/>
      <c r="O290" s="172"/>
      <c r="P290" s="172"/>
      <c r="Q290" s="172"/>
      <c r="R290" s="172"/>
      <c r="S290" s="173"/>
    </row>
    <row r="291" spans="1:19" ht="16.95" customHeight="1" x14ac:dyDescent="0.3">
      <c r="B291" s="99" t="s">
        <v>273</v>
      </c>
      <c r="C291" s="178" t="str">
        <f>IF(B288&gt;0.001,"BARRA A TRACCIÓN (+)",IF(B288&lt;-0.001,"BARRA A COMPRESIÓN (-)","BARRA DE FUERZA NULA"))</f>
        <v>BARRA DE FUERZA NULA</v>
      </c>
      <c r="D291" s="172"/>
      <c r="E291" s="172"/>
      <c r="F291" s="173"/>
      <c r="N291" s="215"/>
      <c r="O291" s="172"/>
      <c r="P291" s="172"/>
      <c r="Q291" s="172"/>
      <c r="R291" s="172"/>
      <c r="S291" s="173"/>
    </row>
    <row r="292" spans="1:19" ht="16.95" customHeight="1" x14ac:dyDescent="0.3">
      <c r="N292" s="215"/>
      <c r="O292" s="172"/>
      <c r="P292" s="172"/>
      <c r="Q292" s="172"/>
      <c r="R292" s="172"/>
      <c r="S292" s="173"/>
    </row>
    <row r="293" spans="1:19" ht="18" customHeight="1" x14ac:dyDescent="0.3">
      <c r="A293" s="19" t="s">
        <v>278</v>
      </c>
      <c r="C293" s="19" t="s">
        <v>279</v>
      </c>
      <c r="D293" s="19" t="s">
        <v>280</v>
      </c>
      <c r="E293" s="19" t="s">
        <v>279</v>
      </c>
      <c r="F293" s="19" t="s">
        <v>280</v>
      </c>
      <c r="G293" s="19" t="s">
        <v>249</v>
      </c>
    </row>
    <row r="294" spans="1:19" ht="16.05" customHeight="1" x14ac:dyDescent="0.3">
      <c r="C294" s="19" t="s">
        <v>282</v>
      </c>
      <c r="D294" s="19" t="s">
        <v>282</v>
      </c>
      <c r="E294" s="19" t="s">
        <v>283</v>
      </c>
      <c r="F294" s="19" t="s">
        <v>283</v>
      </c>
    </row>
    <row r="295" spans="1:19" ht="19.95" customHeight="1" x14ac:dyDescent="0.3">
      <c r="A295" s="17">
        <f>N9</f>
        <v>69892.224724378873</v>
      </c>
      <c r="C295" s="92">
        <f>-J9</f>
        <v>-0.55470019622522915</v>
      </c>
      <c r="D295" s="92">
        <f>-K9</f>
        <v>0.83205029433784372</v>
      </c>
      <c r="E295" s="92">
        <f>J9</f>
        <v>0.55470019622522915</v>
      </c>
      <c r="F295" s="92">
        <f>K9</f>
        <v>-0.83205029433784372</v>
      </c>
      <c r="G295" s="96">
        <f>IFERROR(VLOOKUP(H295, A$255:D$264, 4, FALSE), 0)</f>
        <v>0</v>
      </c>
      <c r="H295" s="12" t="str">
        <f>"D" &amp; C19 &amp; "X"</f>
        <v>D4X</v>
      </c>
    </row>
    <row r="296" spans="1:19" ht="19.95" customHeight="1" x14ac:dyDescent="0.3">
      <c r="A296" s="99" t="s">
        <v>288</v>
      </c>
      <c r="B296" s="97">
        <f>(MMULT(C295:F295, G295:G298)*A295)</f>
        <v>0</v>
      </c>
      <c r="G296" s="96">
        <f>IFERROR(VLOOKUP(H296, A$255:D$264, 4, FALSE), 0)</f>
        <v>0</v>
      </c>
      <c r="H296" s="12" t="str">
        <f>"D" &amp; D19 &amp; "Y"</f>
        <v>D4Y</v>
      </c>
    </row>
    <row r="297" spans="1:19" ht="19.95" customHeight="1" x14ac:dyDescent="0.3">
      <c r="G297" s="96">
        <f>IFERROR(VLOOKUP(H297, A$255:D$264, 4, FALSE), 0)</f>
        <v>0</v>
      </c>
      <c r="H297" s="12" t="str">
        <f>"D" &amp; E19 &amp; "X"</f>
        <v>D2X</v>
      </c>
    </row>
    <row r="298" spans="1:19" ht="19.95" customHeight="1" x14ac:dyDescent="0.3">
      <c r="G298" s="96">
        <f>IFERROR(VLOOKUP(H298, A$255:D$264, 4, FALSE), 0)</f>
        <v>0</v>
      </c>
      <c r="H298" s="12" t="str">
        <f>"D" &amp; F19 &amp; "Y"</f>
        <v>D2Y</v>
      </c>
    </row>
    <row r="299" spans="1:19" ht="19.95" customHeight="1" x14ac:dyDescent="0.3">
      <c r="B299" s="99" t="s">
        <v>273</v>
      </c>
      <c r="C299" s="178" t="str">
        <f>IF(B296&gt;0.001,"BARRA A TRACCIÓN (+)",IF(B296&lt;-0.001,"BARRA A COMPRESIÓN (-)","BARRA DE FUERZA NULA"))</f>
        <v>BARRA DE FUERZA NULA</v>
      </c>
      <c r="D299" s="172"/>
      <c r="E299" s="172"/>
      <c r="F299" s="173"/>
    </row>
    <row r="301" spans="1:19" ht="18" customHeight="1" x14ac:dyDescent="0.3">
      <c r="A301" s="19" t="s">
        <v>278</v>
      </c>
      <c r="C301" s="19" t="s">
        <v>279</v>
      </c>
      <c r="D301" s="19" t="s">
        <v>280</v>
      </c>
      <c r="E301" s="19" t="s">
        <v>279</v>
      </c>
      <c r="F301" s="19" t="s">
        <v>280</v>
      </c>
      <c r="G301" s="19" t="s">
        <v>249</v>
      </c>
    </row>
    <row r="302" spans="1:19" ht="16.05" customHeight="1" x14ac:dyDescent="0.3">
      <c r="C302" s="19" t="s">
        <v>282</v>
      </c>
      <c r="D302" s="19" t="s">
        <v>282</v>
      </c>
      <c r="E302" s="19" t="s">
        <v>283</v>
      </c>
      <c r="F302" s="19" t="s">
        <v>283</v>
      </c>
    </row>
    <row r="303" spans="1:19" ht="19.95" customHeight="1" x14ac:dyDescent="0.3">
      <c r="A303" s="17">
        <f>N10</f>
        <v>63000</v>
      </c>
      <c r="C303" s="92">
        <f>-J10</f>
        <v>-1</v>
      </c>
      <c r="D303" s="92">
        <f>-K10</f>
        <v>0</v>
      </c>
      <c r="E303" s="92">
        <f>J10</f>
        <v>1</v>
      </c>
      <c r="F303" s="92">
        <f>K10</f>
        <v>0</v>
      </c>
      <c r="G303" s="96">
        <f>IFERROR(VLOOKUP(H303, A$255:D$264, 4, FALSE), 0)</f>
        <v>0</v>
      </c>
      <c r="H303" s="12" t="str">
        <f>"D" &amp; C20 &amp; "X"</f>
        <v>D4X</v>
      </c>
    </row>
    <row r="304" spans="1:19" ht="19.95" customHeight="1" x14ac:dyDescent="0.3">
      <c r="A304" s="99" t="s">
        <v>289</v>
      </c>
      <c r="B304" s="97">
        <f>(MMULT(C303:F303, G303:G306)*A303)</f>
        <v>0</v>
      </c>
      <c r="G304" s="96">
        <f>IFERROR(VLOOKUP(H304, A$255:D$264, 4, FALSE), 0)</f>
        <v>0</v>
      </c>
      <c r="H304" s="12" t="str">
        <f>"D" &amp; D20 &amp; "Y"</f>
        <v>D4Y</v>
      </c>
    </row>
    <row r="305" spans="1:8" ht="19.95" customHeight="1" x14ac:dyDescent="0.3">
      <c r="G305" s="96">
        <f>IFERROR(VLOOKUP(H305, A$255:D$264, 4, FALSE), 0)</f>
        <v>0</v>
      </c>
      <c r="H305" s="12" t="str">
        <f>"D" &amp; E20 &amp; "X"</f>
        <v>D5X</v>
      </c>
    </row>
    <row r="306" spans="1:8" ht="19.95" customHeight="1" x14ac:dyDescent="0.3">
      <c r="G306" s="96">
        <f>IFERROR(VLOOKUP(H306, A$255:D$264, 4, FALSE), 0)</f>
        <v>0</v>
      </c>
      <c r="H306" s="12" t="str">
        <f>"D" &amp; F20 &amp; "Y"</f>
        <v>D5Y</v>
      </c>
    </row>
    <row r="307" spans="1:8" ht="19.95" customHeight="1" x14ac:dyDescent="0.3">
      <c r="B307" s="99" t="s">
        <v>273</v>
      </c>
      <c r="C307" s="178" t="str">
        <f>IF(B304&gt;0.001,"BARRA A TRACCIÓN (+)",IF(B304&lt;-0.001,"BARRA A COMPRESIÓN (-)","BARRA DE FUERZA NULA"))</f>
        <v>BARRA DE FUERZA NULA</v>
      </c>
      <c r="D307" s="172"/>
      <c r="E307" s="172"/>
      <c r="F307" s="173"/>
    </row>
    <row r="309" spans="1:8" ht="18" customHeight="1" x14ac:dyDescent="0.3">
      <c r="A309" s="19" t="s">
        <v>278</v>
      </c>
      <c r="C309" s="19" t="s">
        <v>279</v>
      </c>
      <c r="D309" s="19" t="s">
        <v>280</v>
      </c>
      <c r="E309" s="19" t="s">
        <v>279</v>
      </c>
      <c r="F309" s="19" t="s">
        <v>280</v>
      </c>
      <c r="G309" s="19" t="s">
        <v>249</v>
      </c>
    </row>
    <row r="310" spans="1:8" ht="16.05" customHeight="1" x14ac:dyDescent="0.3">
      <c r="C310" s="19" t="s">
        <v>282</v>
      </c>
      <c r="D310" s="19" t="s">
        <v>282</v>
      </c>
      <c r="E310" s="19" t="s">
        <v>283</v>
      </c>
      <c r="F310" s="19" t="s">
        <v>283</v>
      </c>
    </row>
    <row r="311" spans="1:8" ht="19.95" customHeight="1" x14ac:dyDescent="0.3">
      <c r="A311" s="17">
        <f>N11</f>
        <v>69892.224724378873</v>
      </c>
      <c r="C311" s="92">
        <f>-J11</f>
        <v>-0.55470019622522915</v>
      </c>
      <c r="D311" s="92">
        <f>-K11</f>
        <v>-0.83205029433784372</v>
      </c>
      <c r="E311" s="92">
        <f>J11</f>
        <v>0.55470019622522915</v>
      </c>
      <c r="F311" s="92">
        <f>K11</f>
        <v>0.83205029433784372</v>
      </c>
      <c r="G311" s="96">
        <f>IFERROR(VLOOKUP(H311, A$255:D$264, 4, FALSE), 0)</f>
        <v>0</v>
      </c>
      <c r="H311" s="12" t="str">
        <f>"D" &amp; C21 &amp; "X"</f>
        <v>D2X</v>
      </c>
    </row>
    <row r="312" spans="1:8" ht="19.95" customHeight="1" x14ac:dyDescent="0.3">
      <c r="A312" s="99" t="s">
        <v>290</v>
      </c>
      <c r="B312" s="97">
        <f>(MMULT(C311:F311, G311:G314)*A311)</f>
        <v>0</v>
      </c>
      <c r="G312" s="96">
        <f>IFERROR(VLOOKUP(H312, A$255:D$264, 4, FALSE), 0)</f>
        <v>0</v>
      </c>
      <c r="H312" s="12" t="str">
        <f>"D" &amp; D21 &amp; "Y"</f>
        <v>D2Y</v>
      </c>
    </row>
    <row r="313" spans="1:8" ht="19.95" customHeight="1" x14ac:dyDescent="0.3">
      <c r="G313" s="96">
        <f>IFERROR(VLOOKUP(H313, A$255:D$264, 4, FALSE), 0)</f>
        <v>0</v>
      </c>
      <c r="H313" s="12" t="str">
        <f>"D" &amp; E21 &amp; "X"</f>
        <v>D5X</v>
      </c>
    </row>
    <row r="314" spans="1:8" ht="19.95" customHeight="1" x14ac:dyDescent="0.3">
      <c r="G314" s="96">
        <f>IFERROR(VLOOKUP(H314, A$255:D$264, 4, FALSE), 0)</f>
        <v>0</v>
      </c>
      <c r="H314" s="12" t="str">
        <f>"D" &amp; F21 &amp; "Y"</f>
        <v>D5Y</v>
      </c>
    </row>
    <row r="315" spans="1:8" ht="19.95" customHeight="1" x14ac:dyDescent="0.3">
      <c r="B315" s="99" t="s">
        <v>273</v>
      </c>
      <c r="C315" s="178" t="str">
        <f>IF(B312&gt;0.001,"BARRA A TRACCIÓN (+)",IF(B312&lt;-0.001,"BARRA A COMPRESIÓN (-)","BARRA DE FUERZA NULA"))</f>
        <v>BARRA DE FUERZA NULA</v>
      </c>
      <c r="D315" s="172"/>
      <c r="E315" s="172"/>
      <c r="F315" s="173"/>
    </row>
    <row r="317" spans="1:8" ht="18" customHeight="1" x14ac:dyDescent="0.3">
      <c r="A317" s="19" t="s">
        <v>278</v>
      </c>
      <c r="C317" s="19" t="s">
        <v>279</v>
      </c>
      <c r="D317" s="19" t="s">
        <v>280</v>
      </c>
      <c r="E317" s="19" t="s">
        <v>279</v>
      </c>
      <c r="F317" s="19" t="s">
        <v>280</v>
      </c>
      <c r="G317" s="19" t="s">
        <v>249</v>
      </c>
    </row>
    <row r="318" spans="1:8" ht="16.05" customHeight="1" x14ac:dyDescent="0.3">
      <c r="C318" s="19" t="s">
        <v>282</v>
      </c>
      <c r="D318" s="19" t="s">
        <v>282</v>
      </c>
      <c r="E318" s="19" t="s">
        <v>283</v>
      </c>
      <c r="F318" s="19" t="s">
        <v>283</v>
      </c>
    </row>
    <row r="319" spans="1:8" ht="19.95" customHeight="1" x14ac:dyDescent="0.3">
      <c r="A319" s="17">
        <f>N12</f>
        <v>69892.224724378873</v>
      </c>
      <c r="C319" s="92">
        <f>-J12</f>
        <v>-0.55470019622522915</v>
      </c>
      <c r="D319" s="92">
        <f>-K12</f>
        <v>0.83205029433784372</v>
      </c>
      <c r="E319" s="92">
        <f>J12</f>
        <v>0.55470019622522915</v>
      </c>
      <c r="F319" s="92">
        <f>K12</f>
        <v>-0.83205029433784372</v>
      </c>
      <c r="G319" s="96">
        <f>IFERROR(VLOOKUP(H319, A$255:D$264, 4, FALSE), 0)</f>
        <v>0</v>
      </c>
      <c r="H319" s="12" t="str">
        <f>"D" &amp; C22 &amp; "X"</f>
        <v>D5X</v>
      </c>
    </row>
    <row r="320" spans="1:8" ht="19.95" customHeight="1" x14ac:dyDescent="0.3">
      <c r="A320" s="99" t="s">
        <v>291</v>
      </c>
      <c r="B320" s="97">
        <f>(MMULT(C319:F319, G319:G322)*A319)</f>
        <v>0</v>
      </c>
      <c r="G320" s="96">
        <f>IFERROR(VLOOKUP(H320, A$255:D$264, 4, FALSE), 0)</f>
        <v>0</v>
      </c>
      <c r="H320" s="12" t="str">
        <f>"D" &amp; D22 &amp; "Y"</f>
        <v>D5Y</v>
      </c>
    </row>
    <row r="321" spans="2:8" ht="19.95" customHeight="1" x14ac:dyDescent="0.3">
      <c r="G321" s="96">
        <f>IFERROR(VLOOKUP(H321, A$255:D$264, 4, FALSE), 0)</f>
        <v>0</v>
      </c>
      <c r="H321" s="12" t="str">
        <f>"D" &amp; E22 &amp; "X"</f>
        <v>D3X</v>
      </c>
    </row>
    <row r="322" spans="2:8" ht="19.95" customHeight="1" x14ac:dyDescent="0.3">
      <c r="G322" s="96">
        <f>IFERROR(VLOOKUP(H322, A$255:D$264, 4, FALSE), 0)</f>
        <v>0</v>
      </c>
      <c r="H322" s="12" t="str">
        <f>"D" &amp; F22 &amp; "Y"</f>
        <v>D3Y</v>
      </c>
    </row>
    <row r="323" spans="2:8" ht="19.95" customHeight="1" x14ac:dyDescent="0.3">
      <c r="B323" s="99" t="s">
        <v>273</v>
      </c>
      <c r="C323" s="178" t="str">
        <f>IF(B320&gt;0.001,"BARRA A TRACCIÓN (+)",IF(B320&lt;-0.001,"BARRA A COMPRESIÓN (-)","BARRA DE FUERZA NULA"))</f>
        <v>BARRA DE FUERZA NULA</v>
      </c>
      <c r="D323" s="172"/>
      <c r="E323" s="172"/>
      <c r="F323" s="173"/>
    </row>
    <row r="326" spans="2:8" ht="22.05" customHeight="1" x14ac:dyDescent="0.3">
      <c r="B326" s="217" t="s">
        <v>404</v>
      </c>
      <c r="C326" s="175"/>
      <c r="D326" s="175"/>
      <c r="E326" s="175"/>
      <c r="F326" s="175"/>
      <c r="G326" s="175"/>
      <c r="H326" s="175"/>
    </row>
    <row r="327" spans="2:8" ht="24" customHeight="1" x14ac:dyDescent="0.3">
      <c r="B327" s="87" t="s">
        <v>294</v>
      </c>
      <c r="C327" s="87" t="s">
        <v>295</v>
      </c>
      <c r="D327" s="87" t="s">
        <v>296</v>
      </c>
      <c r="E327" s="87" t="s">
        <v>297</v>
      </c>
      <c r="F327" s="87" t="s">
        <v>298</v>
      </c>
      <c r="G327" s="87" t="s">
        <v>299</v>
      </c>
      <c r="H327" s="87" t="s">
        <v>300</v>
      </c>
    </row>
    <row r="328" spans="2:8" ht="19.95" customHeight="1" x14ac:dyDescent="0.3">
      <c r="B328" s="85">
        <v>1</v>
      </c>
      <c r="C328" s="86">
        <f t="shared" ref="C328:C334" si="41">C16</f>
        <v>1</v>
      </c>
      <c r="D328" s="86">
        <f t="shared" ref="D328:D334" si="42">E16</f>
        <v>2</v>
      </c>
      <c r="E328" s="9">
        <f t="shared" ref="E328:E334" si="43">I6</f>
        <v>400</v>
      </c>
      <c r="F328" s="9">
        <f t="shared" ref="F328:F334" si="44">L6</f>
        <v>12</v>
      </c>
      <c r="G328" s="97">
        <f>B272</f>
        <v>0</v>
      </c>
      <c r="H328" s="84" t="str">
        <f>C275</f>
        <v>BARRA DE FUERZA NULA</v>
      </c>
    </row>
    <row r="329" spans="2:8" ht="19.95" customHeight="1" x14ac:dyDescent="0.3">
      <c r="B329" s="25">
        <v>2</v>
      </c>
      <c r="C329" s="86">
        <f t="shared" si="41"/>
        <v>2</v>
      </c>
      <c r="D329" s="86">
        <f t="shared" si="42"/>
        <v>3</v>
      </c>
      <c r="E329" s="9">
        <f t="shared" si="43"/>
        <v>400</v>
      </c>
      <c r="F329" s="9">
        <f t="shared" si="44"/>
        <v>12</v>
      </c>
      <c r="G329" s="97">
        <f>B280</f>
        <v>0</v>
      </c>
      <c r="H329" s="84" t="str">
        <f>C283</f>
        <v>BARRA DE FUERZA NULA</v>
      </c>
    </row>
    <row r="330" spans="2:8" ht="19.95" customHeight="1" x14ac:dyDescent="0.3">
      <c r="B330" s="26">
        <v>3</v>
      </c>
      <c r="C330" s="86">
        <f t="shared" si="41"/>
        <v>1</v>
      </c>
      <c r="D330" s="86">
        <f t="shared" si="42"/>
        <v>4</v>
      </c>
      <c r="E330" s="9">
        <f t="shared" si="43"/>
        <v>360.55512754639892</v>
      </c>
      <c r="F330" s="9">
        <f t="shared" si="44"/>
        <v>12</v>
      </c>
      <c r="G330" s="97">
        <f>B288</f>
        <v>0</v>
      </c>
      <c r="H330" s="84" t="str">
        <f>C291</f>
        <v>BARRA DE FUERZA NULA</v>
      </c>
    </row>
    <row r="331" spans="2:8" ht="19.95" customHeight="1" x14ac:dyDescent="0.3">
      <c r="B331" s="43">
        <v>4</v>
      </c>
      <c r="C331" s="86">
        <f t="shared" si="41"/>
        <v>4</v>
      </c>
      <c r="D331" s="86">
        <f t="shared" si="42"/>
        <v>2</v>
      </c>
      <c r="E331" s="9">
        <f t="shared" si="43"/>
        <v>360.55512754639892</v>
      </c>
      <c r="F331" s="9">
        <f t="shared" si="44"/>
        <v>12</v>
      </c>
      <c r="G331" s="97">
        <f>B296</f>
        <v>0</v>
      </c>
      <c r="H331" s="84" t="str">
        <f>C299</f>
        <v>BARRA DE FUERZA NULA</v>
      </c>
    </row>
    <row r="332" spans="2:8" ht="19.95" customHeight="1" x14ac:dyDescent="0.3">
      <c r="B332" s="44">
        <v>5</v>
      </c>
      <c r="C332" s="86">
        <f t="shared" si="41"/>
        <v>4</v>
      </c>
      <c r="D332" s="86">
        <f t="shared" si="42"/>
        <v>5</v>
      </c>
      <c r="E332" s="9">
        <f t="shared" si="43"/>
        <v>400</v>
      </c>
      <c r="F332" s="9">
        <f t="shared" si="44"/>
        <v>12</v>
      </c>
      <c r="G332" s="97">
        <f>B304</f>
        <v>0</v>
      </c>
      <c r="H332" s="84" t="str">
        <f>C307</f>
        <v>BARRA DE FUERZA NULA</v>
      </c>
    </row>
    <row r="333" spans="2:8" ht="19.95" customHeight="1" x14ac:dyDescent="0.3">
      <c r="B333" s="51">
        <v>6</v>
      </c>
      <c r="C333" s="86">
        <f t="shared" si="41"/>
        <v>2</v>
      </c>
      <c r="D333" s="86">
        <f t="shared" si="42"/>
        <v>5</v>
      </c>
      <c r="E333" s="9">
        <f t="shared" si="43"/>
        <v>360.55512754639892</v>
      </c>
      <c r="F333" s="9">
        <f t="shared" si="44"/>
        <v>12</v>
      </c>
      <c r="G333" s="97">
        <f>B312</f>
        <v>0</v>
      </c>
      <c r="H333" s="84" t="str">
        <f>C315</f>
        <v>BARRA DE FUERZA NULA</v>
      </c>
    </row>
    <row r="334" spans="2:8" ht="19.95" customHeight="1" x14ac:dyDescent="0.3">
      <c r="B334" s="52">
        <v>7</v>
      </c>
      <c r="C334" s="86">
        <f t="shared" si="41"/>
        <v>5</v>
      </c>
      <c r="D334" s="86">
        <f t="shared" si="42"/>
        <v>3</v>
      </c>
      <c r="E334" s="9">
        <f t="shared" si="43"/>
        <v>360.55512754639892</v>
      </c>
      <c r="F334" s="9">
        <f t="shared" si="44"/>
        <v>12</v>
      </c>
      <c r="G334" s="97">
        <f>B320</f>
        <v>0</v>
      </c>
      <c r="H334" s="84" t="str">
        <f>C323</f>
        <v>BARRA DE FUERZA NULA</v>
      </c>
    </row>
  </sheetData>
  <mergeCells count="131">
    <mergeCell ref="E3:H3"/>
    <mergeCell ref="N202:S202"/>
    <mergeCell ref="N211:S211"/>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01:S201"/>
    <mergeCell ref="K4:K5"/>
    <mergeCell ref="N183:S183"/>
    <mergeCell ref="N192:S192"/>
    <mergeCell ref="N275:S275"/>
    <mergeCell ref="B1:N1"/>
    <mergeCell ref="N188:S188"/>
    <mergeCell ref="N246:S246"/>
    <mergeCell ref="N193:S193"/>
    <mergeCell ref="N233:S233"/>
    <mergeCell ref="N248:S248"/>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N181:S181"/>
    <mergeCell ref="N244:S244"/>
    <mergeCell ref="N203:S203"/>
    <mergeCell ref="N174:S174"/>
    <mergeCell ref="B2:N2"/>
    <mergeCell ref="C228:D228"/>
    <mergeCell ref="N228:S228"/>
    <mergeCell ref="B4:B5"/>
    <mergeCell ref="N212:S212"/>
    <mergeCell ref="N268:S268"/>
    <mergeCell ref="C195:D195"/>
    <mergeCell ref="B3:D3"/>
    <mergeCell ref="N250:S250"/>
    <mergeCell ref="N197:S197"/>
    <mergeCell ref="N206:S206"/>
    <mergeCell ref="N221:S221"/>
    <mergeCell ref="B14:B15"/>
    <mergeCell ref="N4:N5"/>
    <mergeCell ref="N234:S234"/>
    <mergeCell ref="N172:S172"/>
    <mergeCell ref="C219:H219"/>
    <mergeCell ref="G4:G5"/>
    <mergeCell ref="I4:I5"/>
    <mergeCell ref="N173:S173"/>
    <mergeCell ref="N175:S175"/>
    <mergeCell ref="M4:M5"/>
    <mergeCell ref="H4:H5"/>
    <mergeCell ref="N239:S239"/>
    <mergeCell ref="B326:H326"/>
    <mergeCell ref="N241:S241"/>
    <mergeCell ref="N216:S216"/>
    <mergeCell ref="N198:S198"/>
    <mergeCell ref="N225:S225"/>
    <mergeCell ref="N281:S281"/>
    <mergeCell ref="C220:H220"/>
    <mergeCell ref="N280:S280"/>
    <mergeCell ref="N218:S218"/>
    <mergeCell ref="N227:S227"/>
    <mergeCell ref="N242:S242"/>
    <mergeCell ref="N291:S291"/>
    <mergeCell ref="C299:F299"/>
    <mergeCell ref="N238:S238"/>
    <mergeCell ref="N278:S278"/>
    <mergeCell ref="C283:F283"/>
    <mergeCell ref="N292:S292"/>
    <mergeCell ref="N286:S286"/>
    <mergeCell ref="N267:S267"/>
    <mergeCell ref="N276:S276"/>
    <mergeCell ref="N214:S214"/>
    <mergeCell ref="N224:S224"/>
    <mergeCell ref="N226:S226"/>
    <mergeCell ref="N230:S230"/>
    <mergeCell ref="C307:F307"/>
    <mergeCell ref="C275:F275"/>
    <mergeCell ref="N187:S187"/>
    <mergeCell ref="N196:S196"/>
    <mergeCell ref="N279:S279"/>
    <mergeCell ref="N288:S288"/>
    <mergeCell ref="N283:S283"/>
    <mergeCell ref="N243:S243"/>
    <mergeCell ref="N277:S277"/>
    <mergeCell ref="N189:S189"/>
    <mergeCell ref="N190:S190"/>
    <mergeCell ref="N289:S289"/>
    <mergeCell ref="N231:S231"/>
    <mergeCell ref="N240:S240"/>
    <mergeCell ref="N287:S287"/>
    <mergeCell ref="N282:S282"/>
    <mergeCell ref="C291:F291"/>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698</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HYPERLINK("#'AUTOMATIZADA_64'!A1",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3</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-6000</v>
      </c>
      <c r="J15" s="205" t="s">
        <v>699</v>
      </c>
      <c r="K15" s="172"/>
      <c r="L15" s="172"/>
      <c r="M15" s="172"/>
      <c r="N15" s="172"/>
      <c r="O15" s="173"/>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-6000</v>
      </c>
      <c r="J16" s="205" t="s">
        <v>700</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435</v>
      </c>
      <c r="K17" s="172"/>
      <c r="L17" s="172"/>
      <c r="M17" s="172"/>
      <c r="N17" s="172"/>
      <c r="O17" s="173"/>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205" t="s">
        <v>525</v>
      </c>
      <c r="K18" s="172"/>
      <c r="L18" s="172"/>
      <c r="M18" s="172"/>
      <c r="N18" s="172"/>
      <c r="O18" s="173"/>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205" t="s">
        <v>526</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300</v>
      </c>
      <c r="AB23" s="20">
        <f>IF(F34="","",F34)</f>
        <v>0</v>
      </c>
      <c r="AC23" t="s">
        <v>338</v>
      </c>
    </row>
    <row r="24" spans="2:29" x14ac:dyDescent="0.3">
      <c r="AA24" s="20">
        <f>IF(G34="","",G34)</f>
        <v>600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300</v>
      </c>
      <c r="AB32" s="20">
        <f>IF(F37="","",F37)</f>
        <v>300</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f>IF(G37="","",G37)</f>
        <v>600</v>
      </c>
      <c r="AB33" s="20">
        <f>IF(H37="","",H37)</f>
        <v>0</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f>IF(E38="","",E38)</f>
        <v>0</v>
      </c>
      <c r="AB35" s="20">
        <f>IF(F38="","",F38)</f>
        <v>0</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f>IF(G38="","",G38)</f>
        <v>600</v>
      </c>
      <c r="AB36" s="20">
        <f>IF(H38="","",H38)</f>
        <v>300</v>
      </c>
      <c r="AC36" t="s">
        <v>358</v>
      </c>
    </row>
    <row r="37" spans="2:29" ht="19.05" customHeight="1" x14ac:dyDescent="0.3">
      <c r="B37" s="89">
        <v>10</v>
      </c>
      <c r="C37" s="23">
        <v>5</v>
      </c>
      <c r="D37" s="23">
        <v>3</v>
      </c>
      <c r="E37" s="5">
        <f t="shared" si="2"/>
        <v>300</v>
      </c>
      <c r="F37" s="5">
        <f t="shared" si="3"/>
        <v>300</v>
      </c>
      <c r="G37" s="5">
        <f t="shared" si="4"/>
        <v>600</v>
      </c>
      <c r="H37" s="5">
        <f t="shared" si="5"/>
        <v>0</v>
      </c>
      <c r="I37" s="9">
        <f t="shared" si="6"/>
        <v>300</v>
      </c>
      <c r="J37" s="9">
        <f t="shared" si="7"/>
        <v>-300</v>
      </c>
      <c r="K37" s="9">
        <f t="shared" si="8"/>
        <v>424.26406871192853</v>
      </c>
      <c r="L37" s="92">
        <f t="shared" si="9"/>
        <v>0.70710678118654746</v>
      </c>
      <c r="M37" s="92">
        <f t="shared" si="10"/>
        <v>-0.70710678118654746</v>
      </c>
      <c r="N37" s="22">
        <v>12</v>
      </c>
      <c r="O37" s="24">
        <v>2100000</v>
      </c>
    </row>
    <row r="38" spans="2:29" ht="19.05" customHeight="1" x14ac:dyDescent="0.3">
      <c r="B38" s="89">
        <v>11</v>
      </c>
      <c r="C38" s="23">
        <v>1</v>
      </c>
      <c r="D38" s="23">
        <v>6</v>
      </c>
      <c r="E38" s="5">
        <f t="shared" si="2"/>
        <v>0</v>
      </c>
      <c r="F38" s="5">
        <f t="shared" si="3"/>
        <v>0</v>
      </c>
      <c r="G38" s="5">
        <f t="shared" si="4"/>
        <v>600</v>
      </c>
      <c r="H38" s="5">
        <f t="shared" si="5"/>
        <v>300</v>
      </c>
      <c r="I38" s="9">
        <f t="shared" si="6"/>
        <v>600</v>
      </c>
      <c r="J38" s="9">
        <f t="shared" si="7"/>
        <v>300</v>
      </c>
      <c r="K38" s="9">
        <f t="shared" si="8"/>
        <v>670.82039324993696</v>
      </c>
      <c r="L38" s="92">
        <f t="shared" si="9"/>
        <v>0.89442719099991586</v>
      </c>
      <c r="M38" s="92">
        <f t="shared" si="10"/>
        <v>0.44721359549995793</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100-000000000000}">
      <formula1>"Fijo (articulado),Rodillo Y (despl. X libre),Rodillo X (despl. Y libre),Libre (0 reac.)"</formula1>
    </dataValidation>
  </dataValidations>
  <pageMargins left="0.75" right="0.75" top="1" bottom="1" header="0.5" footer="0.5"/>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701</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HYPERLINK("#'GRAFICA_64'!A1",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GRAFICA_64!E28</f>
        <v>0</v>
      </c>
      <c r="D6" s="22">
        <f>GRAFICA_64!F28</f>
        <v>0</v>
      </c>
      <c r="E6" s="22">
        <f>GRAFICA_64!G28</f>
        <v>300</v>
      </c>
      <c r="F6" s="22">
        <f>GRAFICA_64!H28</f>
        <v>0</v>
      </c>
      <c r="G6" s="9">
        <f t="shared" ref="G6:G16" si="0">E6-C6</f>
        <v>300</v>
      </c>
      <c r="H6" s="9">
        <f t="shared" ref="H6:H16" si="1">F6-D6</f>
        <v>0</v>
      </c>
      <c r="I6" s="9">
        <f t="shared" ref="I6:I16" si="2">SQRT(G6*G6+H6*H6)</f>
        <v>300</v>
      </c>
      <c r="J6" s="92">
        <f t="shared" ref="J6:J16" si="3">G6/I6</f>
        <v>1</v>
      </c>
      <c r="K6" s="92">
        <f t="shared" ref="K6:K16" si="4">H6/I6</f>
        <v>0</v>
      </c>
      <c r="L6" s="22">
        <f>GRAFICA_64!N28</f>
        <v>12</v>
      </c>
      <c r="M6" s="22">
        <f>GRAFICA_64!O28</f>
        <v>2100000</v>
      </c>
      <c r="N6" s="6">
        <f t="shared" ref="N6:N16" si="5">L6*M6/I6</f>
        <v>84000</v>
      </c>
    </row>
    <row r="7" spans="2:14" ht="19.05" customHeight="1" x14ac:dyDescent="0.3">
      <c r="B7" s="25">
        <v>2</v>
      </c>
      <c r="C7" s="22">
        <f>GRAFICA_64!E29</f>
        <v>300</v>
      </c>
      <c r="D7" s="22">
        <f>GRAFICA_64!F29</f>
        <v>0</v>
      </c>
      <c r="E7" s="22">
        <f>GRAFICA_64!G29</f>
        <v>600</v>
      </c>
      <c r="F7" s="22">
        <f>GRAFICA_64!H29</f>
        <v>0</v>
      </c>
      <c r="G7" s="9">
        <f t="shared" si="0"/>
        <v>300</v>
      </c>
      <c r="H7" s="9">
        <f t="shared" si="1"/>
        <v>0</v>
      </c>
      <c r="I7" s="9">
        <f t="shared" si="2"/>
        <v>300</v>
      </c>
      <c r="J7" s="92">
        <f t="shared" si="3"/>
        <v>1</v>
      </c>
      <c r="K7" s="92">
        <f t="shared" si="4"/>
        <v>0</v>
      </c>
      <c r="L7" s="22">
        <f>GRAFICA_64!N29</f>
        <v>12</v>
      </c>
      <c r="M7" s="22">
        <f>GRAFICA_64!O29</f>
        <v>2100000</v>
      </c>
      <c r="N7" s="6">
        <f t="shared" si="5"/>
        <v>84000</v>
      </c>
    </row>
    <row r="8" spans="2:14" ht="19.05" customHeight="1" x14ac:dyDescent="0.3">
      <c r="B8" s="26">
        <v>3</v>
      </c>
      <c r="C8" s="22">
        <f>GRAFICA_64!E30</f>
        <v>600</v>
      </c>
      <c r="D8" s="22">
        <f>GRAFICA_64!F30</f>
        <v>0</v>
      </c>
      <c r="E8" s="22">
        <f>GRAFICA_64!G30</f>
        <v>900</v>
      </c>
      <c r="F8" s="22">
        <f>GRAFICA_64!H30</f>
        <v>0</v>
      </c>
      <c r="G8" s="9">
        <f t="shared" si="0"/>
        <v>300</v>
      </c>
      <c r="H8" s="9">
        <f t="shared" si="1"/>
        <v>0</v>
      </c>
      <c r="I8" s="9">
        <f t="shared" si="2"/>
        <v>300</v>
      </c>
      <c r="J8" s="92">
        <f t="shared" si="3"/>
        <v>1</v>
      </c>
      <c r="K8" s="92">
        <f t="shared" si="4"/>
        <v>0</v>
      </c>
      <c r="L8" s="22">
        <f>GRAFICA_64!N30</f>
        <v>12</v>
      </c>
      <c r="M8" s="22">
        <f>GRAFICA_64!O30</f>
        <v>2100000</v>
      </c>
      <c r="N8" s="6">
        <f t="shared" si="5"/>
        <v>84000</v>
      </c>
    </row>
    <row r="9" spans="2:14" ht="19.05" customHeight="1" x14ac:dyDescent="0.3">
      <c r="B9" s="43">
        <v>4</v>
      </c>
      <c r="C9" s="22">
        <f>GRAFICA_64!E31</f>
        <v>300</v>
      </c>
      <c r="D9" s="22">
        <f>GRAFICA_64!F31</f>
        <v>300</v>
      </c>
      <c r="E9" s="22">
        <f>GRAFICA_64!G31</f>
        <v>600</v>
      </c>
      <c r="F9" s="22">
        <f>GRAFICA_64!H31</f>
        <v>300</v>
      </c>
      <c r="G9" s="9">
        <f t="shared" si="0"/>
        <v>300</v>
      </c>
      <c r="H9" s="9">
        <f t="shared" si="1"/>
        <v>0</v>
      </c>
      <c r="I9" s="9">
        <f t="shared" si="2"/>
        <v>300</v>
      </c>
      <c r="J9" s="92">
        <f t="shared" si="3"/>
        <v>1</v>
      </c>
      <c r="K9" s="92">
        <f t="shared" si="4"/>
        <v>0</v>
      </c>
      <c r="L9" s="22">
        <f>GRAFICA_64!N31</f>
        <v>12</v>
      </c>
      <c r="M9" s="22">
        <f>GRAFICA_64!O31</f>
        <v>2100000</v>
      </c>
      <c r="N9" s="6">
        <f t="shared" si="5"/>
        <v>84000</v>
      </c>
    </row>
    <row r="10" spans="2:14" ht="19.05" customHeight="1" x14ac:dyDescent="0.3">
      <c r="B10" s="44">
        <v>5</v>
      </c>
      <c r="C10" s="22">
        <f>GRAFICA_64!E32</f>
        <v>0</v>
      </c>
      <c r="D10" s="22">
        <f>GRAFICA_64!F32</f>
        <v>0</v>
      </c>
      <c r="E10" s="22">
        <f>GRAFICA_64!G32</f>
        <v>300</v>
      </c>
      <c r="F10" s="22">
        <f>GRAFICA_64!H32</f>
        <v>300</v>
      </c>
      <c r="G10" s="9">
        <f t="shared" si="0"/>
        <v>300</v>
      </c>
      <c r="H10" s="9">
        <f t="shared" si="1"/>
        <v>300</v>
      </c>
      <c r="I10" s="9">
        <f t="shared" si="2"/>
        <v>424.26406871192853</v>
      </c>
      <c r="J10" s="92">
        <f t="shared" si="3"/>
        <v>0.70710678118654746</v>
      </c>
      <c r="K10" s="92">
        <f t="shared" si="4"/>
        <v>0.70710678118654746</v>
      </c>
      <c r="L10" s="22">
        <f>GRAFICA_64!N32</f>
        <v>12</v>
      </c>
      <c r="M10" s="22">
        <f>GRAFICA_64!O32</f>
        <v>2100000</v>
      </c>
      <c r="N10" s="6">
        <f t="shared" si="5"/>
        <v>59396.969619669988</v>
      </c>
    </row>
    <row r="11" spans="2:14" ht="19.05" customHeight="1" x14ac:dyDescent="0.3">
      <c r="B11" s="51">
        <v>6</v>
      </c>
      <c r="C11" s="22">
        <f>GRAFICA_64!E33</f>
        <v>300</v>
      </c>
      <c r="D11" s="22">
        <f>GRAFICA_64!F33</f>
        <v>300</v>
      </c>
      <c r="E11" s="22">
        <f>GRAFICA_64!G33</f>
        <v>300</v>
      </c>
      <c r="F11" s="22">
        <f>GRAFICA_64!H33</f>
        <v>0</v>
      </c>
      <c r="G11" s="9">
        <f t="shared" si="0"/>
        <v>0</v>
      </c>
      <c r="H11" s="9">
        <f t="shared" si="1"/>
        <v>-300</v>
      </c>
      <c r="I11" s="9">
        <f t="shared" si="2"/>
        <v>300</v>
      </c>
      <c r="J11" s="92">
        <f t="shared" si="3"/>
        <v>0</v>
      </c>
      <c r="K11" s="92">
        <f t="shared" si="4"/>
        <v>-1</v>
      </c>
      <c r="L11" s="22">
        <f>GRAFICA_64!N33</f>
        <v>12</v>
      </c>
      <c r="M11" s="22">
        <f>GRAFICA_64!O33</f>
        <v>2100000</v>
      </c>
      <c r="N11" s="6">
        <f t="shared" si="5"/>
        <v>84000</v>
      </c>
    </row>
    <row r="12" spans="2:14" ht="19.05" customHeight="1" x14ac:dyDescent="0.3">
      <c r="B12" s="52">
        <v>7</v>
      </c>
      <c r="C12" s="22">
        <f>GRAFICA_64!E34</f>
        <v>300</v>
      </c>
      <c r="D12" s="22">
        <f>GRAFICA_64!F34</f>
        <v>0</v>
      </c>
      <c r="E12" s="22">
        <f>GRAFICA_64!G34</f>
        <v>600</v>
      </c>
      <c r="F12" s="22">
        <f>GRAFICA_64!H34</f>
        <v>300</v>
      </c>
      <c r="G12" s="9">
        <f t="shared" si="0"/>
        <v>300</v>
      </c>
      <c r="H12" s="9">
        <f t="shared" si="1"/>
        <v>300</v>
      </c>
      <c r="I12" s="9">
        <f t="shared" si="2"/>
        <v>424.26406871192853</v>
      </c>
      <c r="J12" s="92">
        <f t="shared" si="3"/>
        <v>0.70710678118654746</v>
      </c>
      <c r="K12" s="92">
        <f t="shared" si="4"/>
        <v>0.70710678118654746</v>
      </c>
      <c r="L12" s="22">
        <f>GRAFICA_64!N34</f>
        <v>12</v>
      </c>
      <c r="M12" s="22">
        <f>GRAFICA_64!O34</f>
        <v>2100000</v>
      </c>
      <c r="N12" s="6">
        <f t="shared" si="5"/>
        <v>59396.969619669988</v>
      </c>
    </row>
    <row r="13" spans="2:14" ht="19.05" customHeight="1" x14ac:dyDescent="0.3">
      <c r="B13" s="59">
        <v>8</v>
      </c>
      <c r="C13" s="22">
        <f>GRAFICA_64!E35</f>
        <v>600</v>
      </c>
      <c r="D13" s="22">
        <f>GRAFICA_64!F35</f>
        <v>300</v>
      </c>
      <c r="E13" s="22">
        <f>GRAFICA_64!G35</f>
        <v>600</v>
      </c>
      <c r="F13" s="22">
        <f>GRAFICA_64!H35</f>
        <v>0</v>
      </c>
      <c r="G13" s="9">
        <f t="shared" si="0"/>
        <v>0</v>
      </c>
      <c r="H13" s="9">
        <f t="shared" si="1"/>
        <v>-300</v>
      </c>
      <c r="I13" s="9">
        <f t="shared" si="2"/>
        <v>300</v>
      </c>
      <c r="J13" s="92">
        <f t="shared" si="3"/>
        <v>0</v>
      </c>
      <c r="K13" s="92">
        <f t="shared" si="4"/>
        <v>-1</v>
      </c>
      <c r="L13" s="22">
        <f>GRAFICA_64!N35</f>
        <v>12</v>
      </c>
      <c r="M13" s="22">
        <f>GRAFICA_64!O35</f>
        <v>2100000</v>
      </c>
      <c r="N13" s="6">
        <f t="shared" si="5"/>
        <v>84000</v>
      </c>
    </row>
    <row r="14" spans="2:14" ht="19.05" customHeight="1" x14ac:dyDescent="0.3">
      <c r="B14" s="60">
        <v>9</v>
      </c>
      <c r="C14" s="22">
        <f>GRAFICA_64!E36</f>
        <v>600</v>
      </c>
      <c r="D14" s="22">
        <f>GRAFICA_64!F36</f>
        <v>300</v>
      </c>
      <c r="E14" s="22">
        <f>GRAFICA_64!G36</f>
        <v>900</v>
      </c>
      <c r="F14" s="22">
        <f>GRAFICA_64!H36</f>
        <v>0</v>
      </c>
      <c r="G14" s="9">
        <f t="shared" si="0"/>
        <v>300</v>
      </c>
      <c r="H14" s="9">
        <f t="shared" si="1"/>
        <v>-300</v>
      </c>
      <c r="I14" s="9">
        <f t="shared" si="2"/>
        <v>424.26406871192853</v>
      </c>
      <c r="J14" s="92">
        <f t="shared" si="3"/>
        <v>0.70710678118654746</v>
      </c>
      <c r="K14" s="92">
        <f t="shared" si="4"/>
        <v>-0.70710678118654746</v>
      </c>
      <c r="L14" s="22">
        <f>GRAFICA_64!N36</f>
        <v>12</v>
      </c>
      <c r="M14" s="22">
        <f>GRAFICA_64!O36</f>
        <v>2100000</v>
      </c>
      <c r="N14" s="6">
        <f t="shared" si="5"/>
        <v>59396.969619669988</v>
      </c>
    </row>
    <row r="15" spans="2:14" ht="19.05" customHeight="1" x14ac:dyDescent="0.3">
      <c r="B15" s="67">
        <v>10</v>
      </c>
      <c r="C15" s="22">
        <f>GRAFICA_64!E37</f>
        <v>300</v>
      </c>
      <c r="D15" s="22">
        <f>GRAFICA_64!F37</f>
        <v>300</v>
      </c>
      <c r="E15" s="22">
        <f>GRAFICA_64!G37</f>
        <v>600</v>
      </c>
      <c r="F15" s="22">
        <f>GRAFICA_64!H37</f>
        <v>0</v>
      </c>
      <c r="G15" s="9">
        <f t="shared" si="0"/>
        <v>300</v>
      </c>
      <c r="H15" s="9">
        <f t="shared" si="1"/>
        <v>-300</v>
      </c>
      <c r="I15" s="9">
        <f t="shared" si="2"/>
        <v>424.26406871192853</v>
      </c>
      <c r="J15" s="92">
        <f t="shared" si="3"/>
        <v>0.70710678118654746</v>
      </c>
      <c r="K15" s="92">
        <f t="shared" si="4"/>
        <v>-0.70710678118654746</v>
      </c>
      <c r="L15" s="22">
        <f>GRAFICA_64!N37</f>
        <v>12</v>
      </c>
      <c r="M15" s="22">
        <f>GRAFICA_64!O37</f>
        <v>2100000</v>
      </c>
      <c r="N15" s="6">
        <f t="shared" si="5"/>
        <v>59396.969619669988</v>
      </c>
    </row>
    <row r="16" spans="2:14" ht="19.05" customHeight="1" x14ac:dyDescent="0.3">
      <c r="B16" s="68">
        <v>11</v>
      </c>
      <c r="C16" s="22">
        <f>GRAFICA_64!E38</f>
        <v>0</v>
      </c>
      <c r="D16" s="22">
        <f>GRAFICA_64!F38</f>
        <v>0</v>
      </c>
      <c r="E16" s="22">
        <f>GRAFICA_64!G38</f>
        <v>600</v>
      </c>
      <c r="F16" s="22">
        <f>GRAFICA_64!H38</f>
        <v>300</v>
      </c>
      <c r="G16" s="9">
        <f t="shared" si="0"/>
        <v>600</v>
      </c>
      <c r="H16" s="9">
        <f t="shared" si="1"/>
        <v>300</v>
      </c>
      <c r="I16" s="9">
        <f t="shared" si="2"/>
        <v>670.82039324993696</v>
      </c>
      <c r="J16" s="92">
        <f t="shared" si="3"/>
        <v>0.89442719099991586</v>
      </c>
      <c r="K16" s="92">
        <f t="shared" si="4"/>
        <v>0.44721359549995793</v>
      </c>
      <c r="L16" s="22">
        <f>GRAFICA_64!N38</f>
        <v>12</v>
      </c>
      <c r="M16" s="22">
        <f>GRAFICA_64!O38</f>
        <v>2100000</v>
      </c>
      <c r="N16" s="6">
        <f t="shared" si="5"/>
        <v>37565.942021996467</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GRAFICA_64!C28</f>
        <v>1</v>
      </c>
      <c r="D20" s="23">
        <f>GRAFICA_64!C28</f>
        <v>1</v>
      </c>
      <c r="E20" s="23">
        <f>GRAFICA_64!D28</f>
        <v>2</v>
      </c>
      <c r="F20" s="23">
        <f>GRAFICA_64!D28</f>
        <v>2</v>
      </c>
    </row>
    <row r="21" spans="2:6" ht="19.05" customHeight="1" x14ac:dyDescent="0.3">
      <c r="B21" s="25">
        <v>2</v>
      </c>
      <c r="C21" s="23">
        <f>GRAFICA_64!C29</f>
        <v>2</v>
      </c>
      <c r="D21" s="23">
        <f>GRAFICA_64!C29</f>
        <v>2</v>
      </c>
      <c r="E21" s="23">
        <f>GRAFICA_64!D29</f>
        <v>3</v>
      </c>
      <c r="F21" s="23">
        <f>GRAFICA_64!D29</f>
        <v>3</v>
      </c>
    </row>
    <row r="22" spans="2:6" ht="19.05" customHeight="1" x14ac:dyDescent="0.3">
      <c r="B22" s="26">
        <v>3</v>
      </c>
      <c r="C22" s="23">
        <f>GRAFICA_64!C30</f>
        <v>3</v>
      </c>
      <c r="D22" s="23">
        <f>GRAFICA_64!C30</f>
        <v>3</v>
      </c>
      <c r="E22" s="23">
        <f>GRAFICA_64!D30</f>
        <v>4</v>
      </c>
      <c r="F22" s="23">
        <f>GRAFICA_64!D30</f>
        <v>4</v>
      </c>
    </row>
    <row r="23" spans="2:6" ht="19.05" customHeight="1" x14ac:dyDescent="0.3">
      <c r="B23" s="43">
        <v>4</v>
      </c>
      <c r="C23" s="23">
        <f>GRAFICA_64!C31</f>
        <v>5</v>
      </c>
      <c r="D23" s="23">
        <f>GRAFICA_64!C31</f>
        <v>5</v>
      </c>
      <c r="E23" s="23">
        <f>GRAFICA_64!D31</f>
        <v>6</v>
      </c>
      <c r="F23" s="23">
        <f>GRAFICA_64!D31</f>
        <v>6</v>
      </c>
    </row>
    <row r="24" spans="2:6" ht="19.05" customHeight="1" x14ac:dyDescent="0.3">
      <c r="B24" s="44">
        <v>5</v>
      </c>
      <c r="C24" s="23">
        <f>GRAFICA_64!C32</f>
        <v>1</v>
      </c>
      <c r="D24" s="23">
        <f>GRAFICA_64!C32</f>
        <v>1</v>
      </c>
      <c r="E24" s="23">
        <f>GRAFICA_64!D32</f>
        <v>5</v>
      </c>
      <c r="F24" s="23">
        <f>GRAFICA_64!D32</f>
        <v>5</v>
      </c>
    </row>
    <row r="25" spans="2:6" ht="19.05" customHeight="1" x14ac:dyDescent="0.3">
      <c r="B25" s="51">
        <v>6</v>
      </c>
      <c r="C25" s="23">
        <f>GRAFICA_64!C33</f>
        <v>5</v>
      </c>
      <c r="D25" s="23">
        <f>GRAFICA_64!C33</f>
        <v>5</v>
      </c>
      <c r="E25" s="23">
        <f>GRAFICA_64!D33</f>
        <v>2</v>
      </c>
      <c r="F25" s="23">
        <f>GRAFICA_64!D33</f>
        <v>2</v>
      </c>
    </row>
    <row r="26" spans="2:6" ht="19.05" customHeight="1" x14ac:dyDescent="0.3">
      <c r="B26" s="52">
        <v>7</v>
      </c>
      <c r="C26" s="23">
        <f>GRAFICA_64!C34</f>
        <v>2</v>
      </c>
      <c r="D26" s="23">
        <f>GRAFICA_64!C34</f>
        <v>2</v>
      </c>
      <c r="E26" s="23">
        <f>GRAFICA_64!D34</f>
        <v>6</v>
      </c>
      <c r="F26" s="23">
        <f>GRAFICA_64!D34</f>
        <v>6</v>
      </c>
    </row>
    <row r="27" spans="2:6" ht="19.05" customHeight="1" x14ac:dyDescent="0.3">
      <c r="B27" s="59">
        <v>8</v>
      </c>
      <c r="C27" s="23">
        <f>GRAFICA_64!C35</f>
        <v>6</v>
      </c>
      <c r="D27" s="23">
        <f>GRAFICA_64!C35</f>
        <v>6</v>
      </c>
      <c r="E27" s="23">
        <f>GRAFICA_64!D35</f>
        <v>3</v>
      </c>
      <c r="F27" s="23">
        <f>GRAFICA_64!D35</f>
        <v>3</v>
      </c>
    </row>
    <row r="28" spans="2:6" ht="19.05" customHeight="1" x14ac:dyDescent="0.3">
      <c r="B28" s="60">
        <v>9</v>
      </c>
      <c r="C28" s="23">
        <f>GRAFICA_64!C36</f>
        <v>6</v>
      </c>
      <c r="D28" s="23">
        <f>GRAFICA_64!C36</f>
        <v>6</v>
      </c>
      <c r="E28" s="23">
        <f>GRAFICA_64!D36</f>
        <v>4</v>
      </c>
      <c r="F28" s="23">
        <f>GRAFICA_64!D36</f>
        <v>4</v>
      </c>
    </row>
    <row r="29" spans="2:6" ht="19.05" customHeight="1" x14ac:dyDescent="0.3">
      <c r="B29" s="67">
        <v>10</v>
      </c>
      <c r="C29" s="23">
        <f>GRAFICA_64!C37</f>
        <v>5</v>
      </c>
      <c r="D29" s="23">
        <f>GRAFICA_64!C37</f>
        <v>5</v>
      </c>
      <c r="E29" s="23">
        <f>GRAFICA_64!D37</f>
        <v>3</v>
      </c>
      <c r="F29" s="23">
        <f>GRAFICA_64!D37</f>
        <v>3</v>
      </c>
    </row>
    <row r="30" spans="2:6" ht="19.05" customHeight="1" x14ac:dyDescent="0.3">
      <c r="B30" s="68">
        <v>11</v>
      </c>
      <c r="C30" s="23">
        <f>GRAFICA_64!C38</f>
        <v>1</v>
      </c>
      <c r="D30" s="23">
        <f>GRAFICA_64!C38</f>
        <v>1</v>
      </c>
      <c r="E30" s="23">
        <f>GRAFICA_64!D38</f>
        <v>6</v>
      </c>
      <c r="F30" s="23">
        <f>GRAFICA_64!D38</f>
        <v>6</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84000</v>
      </c>
      <c r="C34" s="7">
        <f>J6*K6*N6</f>
        <v>0</v>
      </c>
      <c r="D34" s="7">
        <f>-B34</f>
        <v>-84000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-84000</v>
      </c>
      <c r="C36" s="7">
        <f>E34</f>
        <v>0</v>
      </c>
      <c r="D36" s="7">
        <f>B34</f>
        <v>84000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84000</v>
      </c>
      <c r="C40" s="8">
        <f t="shared" si="6"/>
        <v>0</v>
      </c>
      <c r="D40" s="8">
        <f t="shared" si="6"/>
        <v>-84000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-84000</v>
      </c>
      <c r="C42" s="8">
        <f t="shared" si="6"/>
        <v>0</v>
      </c>
      <c r="D42" s="8">
        <f t="shared" si="6"/>
        <v>84000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84000</v>
      </c>
      <c r="C55" s="30">
        <f>J7*K7*N7</f>
        <v>0</v>
      </c>
      <c r="D55" s="30">
        <f>-B55</f>
        <v>-84000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-84000</v>
      </c>
      <c r="C57" s="30">
        <f>E55</f>
        <v>0</v>
      </c>
      <c r="D57" s="30">
        <f>B55</f>
        <v>84000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84000</v>
      </c>
      <c r="E63" s="31">
        <f t="shared" si="7"/>
        <v>0</v>
      </c>
      <c r="F63" s="31">
        <f t="shared" si="7"/>
        <v>-84000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-84000</v>
      </c>
      <c r="E65" s="31">
        <f t="shared" si="7"/>
        <v>0</v>
      </c>
      <c r="F65" s="31">
        <f t="shared" si="7"/>
        <v>84000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U3X</v>
      </c>
      <c r="C75" s="32" t="str">
        <f>CONCATENATE("U",D22,D$19)</f>
        <v>U3Y</v>
      </c>
      <c r="D75" s="32" t="str">
        <f>CONCATENATE("U",E22,E$19)</f>
        <v>U4X</v>
      </c>
      <c r="E75" s="32" t="str">
        <f>CONCATENATE("U",F22,F$19)</f>
        <v>U4Y</v>
      </c>
    </row>
    <row r="76" spans="1:14" x14ac:dyDescent="0.3">
      <c r="B76" s="33">
        <f>J8*J8*N8</f>
        <v>84000</v>
      </c>
      <c r="C76" s="33">
        <f>J8*K8*N8</f>
        <v>0</v>
      </c>
      <c r="D76" s="33">
        <f>-B76</f>
        <v>-84000</v>
      </c>
      <c r="E76" s="33">
        <f>-C76</f>
        <v>0</v>
      </c>
      <c r="F76" s="32" t="str">
        <f>B75</f>
        <v>U3X</v>
      </c>
    </row>
    <row r="77" spans="1:14" ht="16.8" customHeight="1" x14ac:dyDescent="0.3">
      <c r="A77" s="28" t="s">
        <v>193</v>
      </c>
      <c r="B77" s="33">
        <f>C76</f>
        <v>0</v>
      </c>
      <c r="C77" s="33">
        <f>K8*K8*N8</f>
        <v>0</v>
      </c>
      <c r="D77" s="33">
        <f>-B77</f>
        <v>0</v>
      </c>
      <c r="E77" s="33">
        <f>-C77</f>
        <v>0</v>
      </c>
      <c r="F77" s="32" t="str">
        <f>C75</f>
        <v>U3Y</v>
      </c>
    </row>
    <row r="78" spans="1:14" x14ac:dyDescent="0.3">
      <c r="B78" s="33">
        <f>D76</f>
        <v>-84000</v>
      </c>
      <c r="C78" s="33">
        <f>E76</f>
        <v>0</v>
      </c>
      <c r="D78" s="33">
        <f>B76</f>
        <v>84000</v>
      </c>
      <c r="E78" s="33">
        <f>C76</f>
        <v>0</v>
      </c>
      <c r="F78" s="32" t="str">
        <f>D75</f>
        <v>U4X</v>
      </c>
    </row>
    <row r="79" spans="1:14" x14ac:dyDescent="0.3">
      <c r="B79" s="33">
        <f>D77</f>
        <v>0</v>
      </c>
      <c r="C79" s="33">
        <f>E77</f>
        <v>0</v>
      </c>
      <c r="D79" s="33">
        <f>B77</f>
        <v>0</v>
      </c>
      <c r="E79" s="33">
        <f>C77</f>
        <v>0</v>
      </c>
      <c r="F79" s="32" t="str">
        <f>E75</f>
        <v>U4Y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34">
        <f t="shared" si="8"/>
        <v>84000</v>
      </c>
      <c r="G86" s="34">
        <f t="shared" si="8"/>
        <v>0</v>
      </c>
      <c r="H86" s="34">
        <f t="shared" si="8"/>
        <v>-84000</v>
      </c>
      <c r="I86" s="34">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34">
        <f t="shared" si="8"/>
        <v>0</v>
      </c>
      <c r="G87" s="34">
        <f t="shared" si="8"/>
        <v>0</v>
      </c>
      <c r="H87" s="34">
        <f t="shared" si="8"/>
        <v>0</v>
      </c>
      <c r="I87" s="34">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34">
        <f t="shared" si="8"/>
        <v>-84000</v>
      </c>
      <c r="G88" s="34">
        <f t="shared" si="8"/>
        <v>0</v>
      </c>
      <c r="H88" s="34">
        <f t="shared" si="8"/>
        <v>84000</v>
      </c>
      <c r="I88" s="34">
        <f t="shared" si="8"/>
        <v>0</v>
      </c>
      <c r="J88" s="9">
        <f t="shared" si="8"/>
        <v>0</v>
      </c>
      <c r="K88" s="9">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34">
        <f t="shared" si="8"/>
        <v>0</v>
      </c>
      <c r="G89" s="34">
        <f t="shared" si="8"/>
        <v>0</v>
      </c>
      <c r="H89" s="34">
        <f t="shared" si="8"/>
        <v>0</v>
      </c>
      <c r="I89" s="34">
        <f t="shared" si="8"/>
        <v>0</v>
      </c>
      <c r="J89" s="9">
        <f t="shared" si="8"/>
        <v>0</v>
      </c>
      <c r="K89" s="9">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84000</v>
      </c>
      <c r="C97" s="46">
        <f>J9*K9*N9</f>
        <v>0</v>
      </c>
      <c r="D97" s="46">
        <f>-B97</f>
        <v>-84000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-84000</v>
      </c>
      <c r="C99" s="46">
        <f>E97</f>
        <v>0</v>
      </c>
      <c r="D99" s="46">
        <f>B97</f>
        <v>84000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84000</v>
      </c>
      <c r="K111" s="47">
        <f t="shared" si="9"/>
        <v>0</v>
      </c>
      <c r="L111" s="47">
        <f t="shared" si="9"/>
        <v>-84000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-84000</v>
      </c>
      <c r="K113" s="47">
        <f t="shared" si="9"/>
        <v>0</v>
      </c>
      <c r="L113" s="47">
        <f t="shared" si="9"/>
        <v>84000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U5X</v>
      </c>
      <c r="E117" s="48" t="str">
        <f>CONCATENATE("U",F24,F$19)</f>
        <v>U5Y</v>
      </c>
    </row>
    <row r="118" spans="1:14" x14ac:dyDescent="0.3">
      <c r="B118" s="49">
        <f>J10*J10*N10</f>
        <v>29698.484809834987</v>
      </c>
      <c r="C118" s="49">
        <f>J10*K10*N10</f>
        <v>29698.484809834987</v>
      </c>
      <c r="D118" s="49">
        <f>-B118</f>
        <v>-29698.484809834987</v>
      </c>
      <c r="E118" s="49">
        <f>-C118</f>
        <v>-29698.484809834987</v>
      </c>
      <c r="F118" s="48" t="str">
        <f>B117</f>
        <v>U1X</v>
      </c>
    </row>
    <row r="119" spans="1:14" ht="16.8" customHeight="1" x14ac:dyDescent="0.3">
      <c r="A119" s="28" t="s">
        <v>197</v>
      </c>
      <c r="B119" s="49">
        <f>C118</f>
        <v>29698.484809834987</v>
      </c>
      <c r="C119" s="49">
        <f>K10*K10*N10</f>
        <v>29698.484809834987</v>
      </c>
      <c r="D119" s="49">
        <f>-B119</f>
        <v>-29698.484809834987</v>
      </c>
      <c r="E119" s="49">
        <f>-C119</f>
        <v>-29698.484809834987</v>
      </c>
      <c r="F119" s="48" t="str">
        <f>C117</f>
        <v>U1Y</v>
      </c>
    </row>
    <row r="120" spans="1:14" x14ac:dyDescent="0.3">
      <c r="B120" s="49">
        <f>D118</f>
        <v>-29698.484809834987</v>
      </c>
      <c r="C120" s="49">
        <f>E118</f>
        <v>-29698.484809834987</v>
      </c>
      <c r="D120" s="49">
        <f>B118</f>
        <v>29698.484809834987</v>
      </c>
      <c r="E120" s="49">
        <f>C118</f>
        <v>29698.484809834987</v>
      </c>
      <c r="F120" s="48" t="str">
        <f>D117</f>
        <v>U5X</v>
      </c>
    </row>
    <row r="121" spans="1:14" x14ac:dyDescent="0.3">
      <c r="B121" s="49">
        <f>D119</f>
        <v>-29698.484809834987</v>
      </c>
      <c r="C121" s="49">
        <f>E119</f>
        <v>-29698.484809834987</v>
      </c>
      <c r="D121" s="49">
        <f>B119</f>
        <v>29698.484809834987</v>
      </c>
      <c r="E121" s="49">
        <f>C119</f>
        <v>29698.484809834987</v>
      </c>
      <c r="F121" s="48" t="str">
        <f>E117</f>
        <v>U5Y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29698.484809834987</v>
      </c>
      <c r="C124" s="50">
        <f t="shared" si="10"/>
        <v>29698.484809834987</v>
      </c>
      <c r="D124" s="9">
        <f t="shared" si="10"/>
        <v>0</v>
      </c>
      <c r="E124" s="9">
        <f t="shared" si="10"/>
        <v>0</v>
      </c>
      <c r="F124" s="9">
        <f t="shared" si="10"/>
        <v>0</v>
      </c>
      <c r="G124" s="9">
        <f t="shared" si="10"/>
        <v>0</v>
      </c>
      <c r="H124" s="9">
        <f t="shared" si="10"/>
        <v>0</v>
      </c>
      <c r="I124" s="9">
        <f t="shared" si="10"/>
        <v>0</v>
      </c>
      <c r="J124" s="50">
        <f t="shared" si="10"/>
        <v>-29698.484809834987</v>
      </c>
      <c r="K124" s="50">
        <f t="shared" si="10"/>
        <v>-29698.484809834987</v>
      </c>
      <c r="L124" s="9">
        <f t="shared" si="10"/>
        <v>0</v>
      </c>
      <c r="M124" s="9">
        <f t="shared" si="10"/>
        <v>0</v>
      </c>
      <c r="N124" s="48" t="s">
        <v>178</v>
      </c>
    </row>
    <row r="125" spans="1:14" ht="19.05" customHeight="1" x14ac:dyDescent="0.3">
      <c r="B125" s="50">
        <f t="shared" si="10"/>
        <v>29698.484809834987</v>
      </c>
      <c r="C125" s="50">
        <f t="shared" si="10"/>
        <v>29698.484809834987</v>
      </c>
      <c r="D125" s="9">
        <f t="shared" si="10"/>
        <v>0</v>
      </c>
      <c r="E125" s="9">
        <f t="shared" si="10"/>
        <v>0</v>
      </c>
      <c r="F125" s="9">
        <f t="shared" si="10"/>
        <v>0</v>
      </c>
      <c r="G125" s="9">
        <f t="shared" si="10"/>
        <v>0</v>
      </c>
      <c r="H125" s="9">
        <f t="shared" si="10"/>
        <v>0</v>
      </c>
      <c r="I125" s="9">
        <f t="shared" si="10"/>
        <v>0</v>
      </c>
      <c r="J125" s="50">
        <f t="shared" si="10"/>
        <v>-29698.484809834987</v>
      </c>
      <c r="K125" s="50">
        <f t="shared" si="10"/>
        <v>-29698.484809834987</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184</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185</v>
      </c>
    </row>
    <row r="132" spans="1:14" ht="19.05" customHeight="1" x14ac:dyDescent="0.3">
      <c r="B132" s="50">
        <f t="shared" si="10"/>
        <v>-29698.484809834987</v>
      </c>
      <c r="C132" s="50">
        <f t="shared" si="10"/>
        <v>-29698.484809834987</v>
      </c>
      <c r="D132" s="9">
        <f t="shared" si="10"/>
        <v>0</v>
      </c>
      <c r="E132" s="9">
        <f t="shared" si="10"/>
        <v>0</v>
      </c>
      <c r="F132" s="9">
        <f t="shared" si="10"/>
        <v>0</v>
      </c>
      <c r="G132" s="9">
        <f t="shared" si="10"/>
        <v>0</v>
      </c>
      <c r="H132" s="9">
        <f t="shared" si="10"/>
        <v>0</v>
      </c>
      <c r="I132" s="9">
        <f t="shared" si="10"/>
        <v>0</v>
      </c>
      <c r="J132" s="50">
        <f t="shared" si="10"/>
        <v>29698.484809834987</v>
      </c>
      <c r="K132" s="50">
        <f t="shared" si="10"/>
        <v>29698.484809834987</v>
      </c>
      <c r="L132" s="9">
        <f t="shared" si="10"/>
        <v>0</v>
      </c>
      <c r="M132" s="9">
        <f t="shared" si="10"/>
        <v>0</v>
      </c>
      <c r="N132" s="48" t="s">
        <v>186</v>
      </c>
    </row>
    <row r="133" spans="1:14" ht="19.05" customHeight="1" x14ac:dyDescent="0.3">
      <c r="B133" s="50">
        <f t="shared" si="10"/>
        <v>-29698.484809834987</v>
      </c>
      <c r="C133" s="50">
        <f t="shared" si="10"/>
        <v>-29698.484809834987</v>
      </c>
      <c r="D133" s="9">
        <f t="shared" si="10"/>
        <v>0</v>
      </c>
      <c r="E133" s="9">
        <f t="shared" si="10"/>
        <v>0</v>
      </c>
      <c r="F133" s="9">
        <f t="shared" si="10"/>
        <v>0</v>
      </c>
      <c r="G133" s="9">
        <f t="shared" si="10"/>
        <v>0</v>
      </c>
      <c r="H133" s="9">
        <f t="shared" si="10"/>
        <v>0</v>
      </c>
      <c r="I133" s="9">
        <f t="shared" si="10"/>
        <v>0</v>
      </c>
      <c r="J133" s="50">
        <f t="shared" si="10"/>
        <v>29698.484809834987</v>
      </c>
      <c r="K133" s="50">
        <f t="shared" si="10"/>
        <v>29698.484809834987</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U5X</v>
      </c>
      <c r="C138" s="53" t="str">
        <f>CONCATENATE("U",D25,D$19)</f>
        <v>U5Y</v>
      </c>
      <c r="D138" s="53" t="str">
        <f>CONCATENATE("U",E25,E$19)</f>
        <v>U2X</v>
      </c>
      <c r="E138" s="53" t="str">
        <f>CONCATENATE("U",F25,F$19)</f>
        <v>U2Y</v>
      </c>
    </row>
    <row r="139" spans="1:14" x14ac:dyDescent="0.3">
      <c r="B139" s="54">
        <f>J11*J11*N11</f>
        <v>0</v>
      </c>
      <c r="C139" s="54">
        <f>J11*K11*N11</f>
        <v>0</v>
      </c>
      <c r="D139" s="54">
        <f>-B139</f>
        <v>0</v>
      </c>
      <c r="E139" s="54">
        <f>-C139</f>
        <v>0</v>
      </c>
      <c r="F139" s="53" t="str">
        <f>B138</f>
        <v>U5X</v>
      </c>
    </row>
    <row r="140" spans="1:14" ht="16.8" customHeight="1" x14ac:dyDescent="0.3">
      <c r="A140" s="28" t="s">
        <v>199</v>
      </c>
      <c r="B140" s="54">
        <f>C139</f>
        <v>0</v>
      </c>
      <c r="C140" s="54">
        <f>K11*K11*N11</f>
        <v>84000</v>
      </c>
      <c r="D140" s="54">
        <f>-B140</f>
        <v>0</v>
      </c>
      <c r="E140" s="54">
        <f>-C140</f>
        <v>-84000</v>
      </c>
      <c r="F140" s="53" t="str">
        <f>C138</f>
        <v>U5Y</v>
      </c>
    </row>
    <row r="141" spans="1:14" x14ac:dyDescent="0.3">
      <c r="B141" s="54">
        <f>D139</f>
        <v>0</v>
      </c>
      <c r="C141" s="54">
        <f>E139</f>
        <v>0</v>
      </c>
      <c r="D141" s="54">
        <f>B139</f>
        <v>0</v>
      </c>
      <c r="E141" s="54">
        <f>C139</f>
        <v>0</v>
      </c>
      <c r="F141" s="53" t="str">
        <f>D138</f>
        <v>U2X</v>
      </c>
    </row>
    <row r="142" spans="1:14" x14ac:dyDescent="0.3">
      <c r="B142" s="54">
        <f>D140</f>
        <v>0</v>
      </c>
      <c r="C142" s="54">
        <f>E140</f>
        <v>-84000</v>
      </c>
      <c r="D142" s="54">
        <f>B140</f>
        <v>0</v>
      </c>
      <c r="E142" s="54">
        <f>C140</f>
        <v>84000</v>
      </c>
      <c r="F142" s="53" t="str">
        <f>E138</f>
        <v>U2Y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U2X</v>
      </c>
      <c r="C159" s="56" t="str">
        <f>CONCATENATE("U",D26,D$19)</f>
        <v>U2Y</v>
      </c>
      <c r="D159" s="56" t="str">
        <f>CONCATENATE("U",E26,E$19)</f>
        <v>U6X</v>
      </c>
      <c r="E159" s="56" t="str">
        <f>CONCATENATE("U",F26,F$19)</f>
        <v>U6Y</v>
      </c>
    </row>
    <row r="160" spans="1:14" x14ac:dyDescent="0.3">
      <c r="B160" s="57">
        <f>J12*J12*N12</f>
        <v>29698.484809834987</v>
      </c>
      <c r="C160" s="57">
        <f>J12*K12*N12</f>
        <v>29698.484809834987</v>
      </c>
      <c r="D160" s="57">
        <f>-B160</f>
        <v>-29698.484809834987</v>
      </c>
      <c r="E160" s="57">
        <f>-C160</f>
        <v>-29698.484809834987</v>
      </c>
      <c r="F160" s="56" t="str">
        <f>B159</f>
        <v>U2X</v>
      </c>
    </row>
    <row r="161" spans="1:14" ht="16.8" customHeight="1" x14ac:dyDescent="0.3">
      <c r="A161" s="28" t="s">
        <v>201</v>
      </c>
      <c r="B161" s="57">
        <f>C160</f>
        <v>29698.484809834987</v>
      </c>
      <c r="C161" s="57">
        <f>K12*K12*N12</f>
        <v>29698.484809834987</v>
      </c>
      <c r="D161" s="57">
        <f>-B161</f>
        <v>-29698.484809834987</v>
      </c>
      <c r="E161" s="57">
        <f>-C161</f>
        <v>-29698.484809834987</v>
      </c>
      <c r="F161" s="56" t="str">
        <f>C159</f>
        <v>U2Y</v>
      </c>
    </row>
    <row r="162" spans="1:14" x14ac:dyDescent="0.3">
      <c r="B162" s="57">
        <f>D160</f>
        <v>-29698.484809834987</v>
      </c>
      <c r="C162" s="57">
        <f>E160</f>
        <v>-29698.484809834987</v>
      </c>
      <c r="D162" s="57">
        <f>B160</f>
        <v>29698.484809834987</v>
      </c>
      <c r="E162" s="57">
        <f>C160</f>
        <v>29698.484809834987</v>
      </c>
      <c r="F162" s="56" t="str">
        <f>D159</f>
        <v>U6X</v>
      </c>
    </row>
    <row r="163" spans="1:14" x14ac:dyDescent="0.3">
      <c r="B163" s="57">
        <f>D161</f>
        <v>-29698.484809834987</v>
      </c>
      <c r="C163" s="57">
        <f>E161</f>
        <v>-29698.484809834987</v>
      </c>
      <c r="D163" s="57">
        <f>B161</f>
        <v>29698.484809834987</v>
      </c>
      <c r="E163" s="57">
        <f>C161</f>
        <v>29698.484809834987</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58">
        <f t="shared" si="12"/>
        <v>29698.484809834987</v>
      </c>
      <c r="E168" s="58">
        <f t="shared" si="12"/>
        <v>29698.484809834987</v>
      </c>
      <c r="F168" s="9">
        <f t="shared" si="12"/>
        <v>0</v>
      </c>
      <c r="G168" s="9">
        <f t="shared" si="12"/>
        <v>0</v>
      </c>
      <c r="H168" s="9">
        <f t="shared" si="12"/>
        <v>0</v>
      </c>
      <c r="I168" s="9">
        <f t="shared" si="12"/>
        <v>0</v>
      </c>
      <c r="J168" s="9">
        <f t="shared" si="12"/>
        <v>0</v>
      </c>
      <c r="K168" s="9">
        <f t="shared" si="12"/>
        <v>0</v>
      </c>
      <c r="L168" s="58">
        <f t="shared" si="12"/>
        <v>-29698.484809834987</v>
      </c>
      <c r="M168" s="58">
        <f t="shared" si="12"/>
        <v>-29698.484809834987</v>
      </c>
      <c r="N168" s="56" t="s">
        <v>180</v>
      </c>
    </row>
    <row r="169" spans="1:14" ht="19.05" customHeight="1" x14ac:dyDescent="0.3">
      <c r="B169" s="9">
        <f t="shared" si="12"/>
        <v>0</v>
      </c>
      <c r="C169" s="9">
        <f t="shared" si="12"/>
        <v>0</v>
      </c>
      <c r="D169" s="58">
        <f t="shared" si="12"/>
        <v>29698.484809834987</v>
      </c>
      <c r="E169" s="58">
        <f t="shared" si="12"/>
        <v>29698.484809834987</v>
      </c>
      <c r="F169" s="9">
        <f t="shared" si="12"/>
        <v>0</v>
      </c>
      <c r="G169" s="9">
        <f t="shared" si="12"/>
        <v>0</v>
      </c>
      <c r="H169" s="9">
        <f t="shared" si="12"/>
        <v>0</v>
      </c>
      <c r="I169" s="9">
        <f t="shared" si="12"/>
        <v>0</v>
      </c>
      <c r="J169" s="9">
        <f t="shared" si="12"/>
        <v>0</v>
      </c>
      <c r="K169" s="9">
        <f t="shared" si="12"/>
        <v>0</v>
      </c>
      <c r="L169" s="58">
        <f t="shared" si="12"/>
        <v>-29698.484809834987</v>
      </c>
      <c r="M169" s="58">
        <f t="shared" si="12"/>
        <v>-29698.484809834987</v>
      </c>
      <c r="N169" s="56" t="s">
        <v>181</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182</v>
      </c>
    </row>
    <row r="171" spans="1:14" ht="19.05" customHeight="1" x14ac:dyDescent="0.3">
      <c r="A171" s="28" t="s">
        <v>202</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58">
        <f t="shared" si="12"/>
        <v>-29698.484809834987</v>
      </c>
      <c r="E176" s="58">
        <f t="shared" si="12"/>
        <v>-29698.484809834987</v>
      </c>
      <c r="F176" s="9">
        <f t="shared" si="12"/>
        <v>0</v>
      </c>
      <c r="G176" s="9">
        <f t="shared" si="12"/>
        <v>0</v>
      </c>
      <c r="H176" s="9">
        <f t="shared" si="12"/>
        <v>0</v>
      </c>
      <c r="I176" s="9">
        <f t="shared" si="12"/>
        <v>0</v>
      </c>
      <c r="J176" s="9">
        <f t="shared" si="12"/>
        <v>0</v>
      </c>
      <c r="K176" s="9">
        <f t="shared" si="12"/>
        <v>0</v>
      </c>
      <c r="L176" s="58">
        <f t="shared" si="12"/>
        <v>29698.484809834987</v>
      </c>
      <c r="M176" s="58">
        <f t="shared" si="12"/>
        <v>29698.484809834987</v>
      </c>
      <c r="N176" s="56" t="s">
        <v>188</v>
      </c>
    </row>
    <row r="177" spans="1:14" ht="19.05" customHeight="1" x14ac:dyDescent="0.3">
      <c r="B177" s="9">
        <f t="shared" si="12"/>
        <v>0</v>
      </c>
      <c r="C177" s="9">
        <f t="shared" si="12"/>
        <v>0</v>
      </c>
      <c r="D177" s="58">
        <f t="shared" si="12"/>
        <v>-29698.484809834987</v>
      </c>
      <c r="E177" s="58">
        <f t="shared" si="12"/>
        <v>-29698.484809834987</v>
      </c>
      <c r="F177" s="9">
        <f t="shared" si="12"/>
        <v>0</v>
      </c>
      <c r="G177" s="9">
        <f t="shared" si="12"/>
        <v>0</v>
      </c>
      <c r="H177" s="9">
        <f t="shared" si="12"/>
        <v>0</v>
      </c>
      <c r="I177" s="9">
        <f t="shared" si="12"/>
        <v>0</v>
      </c>
      <c r="J177" s="9">
        <f t="shared" si="12"/>
        <v>0</v>
      </c>
      <c r="K177" s="9">
        <f t="shared" si="12"/>
        <v>0</v>
      </c>
      <c r="L177" s="58">
        <f t="shared" si="12"/>
        <v>29698.484809834987</v>
      </c>
      <c r="M177" s="58">
        <f t="shared" si="12"/>
        <v>29698.484809834987</v>
      </c>
      <c r="N177" s="56" t="s">
        <v>189</v>
      </c>
    </row>
    <row r="180" spans="1:14" ht="18" customHeight="1" x14ac:dyDescent="0.3">
      <c r="B180" s="61" t="str">
        <f>CONCATENATE("U",C27,C$19)</f>
        <v>U6X</v>
      </c>
      <c r="C180" s="61" t="str">
        <f>CONCATENATE("U",D27,D$19)</f>
        <v>U6Y</v>
      </c>
      <c r="D180" s="61" t="str">
        <f>CONCATENATE("U",E27,E$19)</f>
        <v>U3X</v>
      </c>
      <c r="E180" s="61" t="str">
        <f>CONCATENATE("U",F27,F$19)</f>
        <v>U3Y</v>
      </c>
    </row>
    <row r="181" spans="1:14" x14ac:dyDescent="0.3">
      <c r="B181" s="62">
        <f>J13*J13*N13</f>
        <v>0</v>
      </c>
      <c r="C181" s="62">
        <f>J13*K13*N13</f>
        <v>0</v>
      </c>
      <c r="D181" s="62">
        <f>-B181</f>
        <v>0</v>
      </c>
      <c r="E181" s="62">
        <f>-C181</f>
        <v>0</v>
      </c>
      <c r="F181" s="61" t="str">
        <f>B180</f>
        <v>U6X</v>
      </c>
    </row>
    <row r="182" spans="1:14" ht="16.8" customHeight="1" x14ac:dyDescent="0.3">
      <c r="A182" s="28" t="s">
        <v>203</v>
      </c>
      <c r="B182" s="62">
        <f>C181</f>
        <v>0</v>
      </c>
      <c r="C182" s="62">
        <f>K13*K13*N13</f>
        <v>84000</v>
      </c>
      <c r="D182" s="62">
        <f>-B182</f>
        <v>0</v>
      </c>
      <c r="E182" s="62">
        <f>-C182</f>
        <v>-84000</v>
      </c>
      <c r="F182" s="61" t="str">
        <f>C180</f>
        <v>U6Y</v>
      </c>
    </row>
    <row r="183" spans="1:14" x14ac:dyDescent="0.3">
      <c r="B183" s="62">
        <f>D181</f>
        <v>0</v>
      </c>
      <c r="C183" s="62">
        <f>E181</f>
        <v>0</v>
      </c>
      <c r="D183" s="62">
        <f>B181</f>
        <v>0</v>
      </c>
      <c r="E183" s="62">
        <f>C181</f>
        <v>0</v>
      </c>
      <c r="F183" s="61" t="str">
        <f>D180</f>
        <v>U3X</v>
      </c>
    </row>
    <row r="184" spans="1:14" x14ac:dyDescent="0.3">
      <c r="B184" s="62">
        <f>D182</f>
        <v>0</v>
      </c>
      <c r="C184" s="62">
        <f>E182</f>
        <v>-84000</v>
      </c>
      <c r="D184" s="62">
        <f>B182</f>
        <v>0</v>
      </c>
      <c r="E184" s="62">
        <f>C182</f>
        <v>84000</v>
      </c>
      <c r="F184" s="61" t="str">
        <f>E180</f>
        <v>U3Y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9">
        <f t="shared" ref="B187:M198" si="13">IFERROR(INDEX($B$181:$E$184, MATCH($N187, $B$180:$E$180, 0), MATCH(B$186, $B$180:$E$180, 0)), 0)</f>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178</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63">
        <f t="shared" si="13"/>
        <v>0</v>
      </c>
      <c r="G191" s="63">
        <f t="shared" si="13"/>
        <v>0</v>
      </c>
      <c r="H191" s="9">
        <f t="shared" si="13"/>
        <v>0</v>
      </c>
      <c r="I191" s="9">
        <f t="shared" si="13"/>
        <v>0</v>
      </c>
      <c r="J191" s="9">
        <f t="shared" si="13"/>
        <v>0</v>
      </c>
      <c r="K191" s="9">
        <f t="shared" si="13"/>
        <v>0</v>
      </c>
      <c r="L191" s="63">
        <f t="shared" si="13"/>
        <v>0</v>
      </c>
      <c r="M191" s="63">
        <f t="shared" si="13"/>
        <v>0</v>
      </c>
      <c r="N191" s="61" t="s">
        <v>182</v>
      </c>
    </row>
    <row r="192" spans="1:14" ht="19.05" customHeight="1" x14ac:dyDescent="0.3">
      <c r="A192" s="28" t="s">
        <v>204</v>
      </c>
      <c r="B192" s="9">
        <f t="shared" si="13"/>
        <v>0</v>
      </c>
      <c r="C192" s="9">
        <f t="shared" si="13"/>
        <v>0</v>
      </c>
      <c r="D192" s="9">
        <f t="shared" si="13"/>
        <v>0</v>
      </c>
      <c r="E192" s="9">
        <f t="shared" si="13"/>
        <v>0</v>
      </c>
      <c r="F192" s="63">
        <f t="shared" si="13"/>
        <v>0</v>
      </c>
      <c r="G192" s="63">
        <f t="shared" si="13"/>
        <v>84000</v>
      </c>
      <c r="H192" s="9">
        <f t="shared" si="13"/>
        <v>0</v>
      </c>
      <c r="I192" s="9">
        <f t="shared" si="13"/>
        <v>0</v>
      </c>
      <c r="J192" s="9">
        <f t="shared" si="13"/>
        <v>0</v>
      </c>
      <c r="K192" s="9">
        <f t="shared" si="13"/>
        <v>0</v>
      </c>
      <c r="L192" s="63">
        <f t="shared" si="13"/>
        <v>0</v>
      </c>
      <c r="M192" s="63">
        <f t="shared" si="13"/>
        <v>-84000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186</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63">
        <f t="shared" si="13"/>
        <v>0</v>
      </c>
      <c r="G197" s="63">
        <f t="shared" si="13"/>
        <v>0</v>
      </c>
      <c r="H197" s="9">
        <f t="shared" si="13"/>
        <v>0</v>
      </c>
      <c r="I197" s="9">
        <f t="shared" si="13"/>
        <v>0</v>
      </c>
      <c r="J197" s="9">
        <f t="shared" si="13"/>
        <v>0</v>
      </c>
      <c r="K197" s="9">
        <f t="shared" si="13"/>
        <v>0</v>
      </c>
      <c r="L197" s="63">
        <f t="shared" si="13"/>
        <v>0</v>
      </c>
      <c r="M197" s="63">
        <f t="shared" si="13"/>
        <v>0</v>
      </c>
      <c r="N197" s="61" t="s">
        <v>188</v>
      </c>
    </row>
    <row r="198" spans="1:14" ht="19.05" customHeight="1" x14ac:dyDescent="0.3">
      <c r="B198" s="9">
        <f t="shared" si="13"/>
        <v>0</v>
      </c>
      <c r="C198" s="9">
        <f t="shared" si="13"/>
        <v>0</v>
      </c>
      <c r="D198" s="9">
        <f t="shared" si="13"/>
        <v>0</v>
      </c>
      <c r="E198" s="9">
        <f t="shared" si="13"/>
        <v>0</v>
      </c>
      <c r="F198" s="63">
        <f t="shared" si="13"/>
        <v>0</v>
      </c>
      <c r="G198" s="63">
        <f t="shared" si="13"/>
        <v>-84000</v>
      </c>
      <c r="H198" s="9">
        <f t="shared" si="13"/>
        <v>0</v>
      </c>
      <c r="I198" s="9">
        <f t="shared" si="13"/>
        <v>0</v>
      </c>
      <c r="J198" s="9">
        <f t="shared" si="13"/>
        <v>0</v>
      </c>
      <c r="K198" s="9">
        <f t="shared" si="13"/>
        <v>0</v>
      </c>
      <c r="L198" s="63">
        <f t="shared" si="13"/>
        <v>0</v>
      </c>
      <c r="M198" s="63">
        <f t="shared" si="13"/>
        <v>84000</v>
      </c>
      <c r="N198" s="61" t="s">
        <v>189</v>
      </c>
    </row>
    <row r="201" spans="1:14" ht="18" customHeight="1" x14ac:dyDescent="0.3">
      <c r="B201" s="64" t="str">
        <f>CONCATENATE("U",C28,C$19)</f>
        <v>U6X</v>
      </c>
      <c r="C201" s="64" t="str">
        <f>CONCATENATE("U",D28,D$19)</f>
        <v>U6Y</v>
      </c>
      <c r="D201" s="64" t="str">
        <f>CONCATENATE("U",E28,E$19)</f>
        <v>U4X</v>
      </c>
      <c r="E201" s="64" t="str">
        <f>CONCATENATE("U",F28,F$19)</f>
        <v>U4Y</v>
      </c>
    </row>
    <row r="202" spans="1:14" x14ac:dyDescent="0.3">
      <c r="B202" s="65">
        <f>J14*J14*N14</f>
        <v>29698.484809834987</v>
      </c>
      <c r="C202" s="65">
        <f>J14*K14*N14</f>
        <v>-29698.484809834987</v>
      </c>
      <c r="D202" s="65">
        <f>-B202</f>
        <v>-29698.484809834987</v>
      </c>
      <c r="E202" s="65">
        <f>-C202</f>
        <v>29698.484809834987</v>
      </c>
      <c r="F202" s="64" t="str">
        <f>B201</f>
        <v>U6X</v>
      </c>
    </row>
    <row r="203" spans="1:14" ht="16.8" customHeight="1" x14ac:dyDescent="0.3">
      <c r="A203" s="28" t="s">
        <v>528</v>
      </c>
      <c r="B203" s="65">
        <f>C202</f>
        <v>-29698.484809834987</v>
      </c>
      <c r="C203" s="65">
        <f>K14*K14*N14</f>
        <v>29698.484809834987</v>
      </c>
      <c r="D203" s="65">
        <f>-B203</f>
        <v>29698.484809834987</v>
      </c>
      <c r="E203" s="65">
        <f>-C203</f>
        <v>-29698.484809834987</v>
      </c>
      <c r="F203" s="64" t="str">
        <f>C201</f>
        <v>U6Y</v>
      </c>
    </row>
    <row r="204" spans="1:14" x14ac:dyDescent="0.3">
      <c r="B204" s="65">
        <f>D202</f>
        <v>-29698.484809834987</v>
      </c>
      <c r="C204" s="65">
        <f>E202</f>
        <v>29698.484809834987</v>
      </c>
      <c r="D204" s="65">
        <f>B202</f>
        <v>29698.484809834987</v>
      </c>
      <c r="E204" s="65">
        <f>C202</f>
        <v>-29698.484809834987</v>
      </c>
      <c r="F204" s="64" t="str">
        <f>D201</f>
        <v>U4X</v>
      </c>
    </row>
    <row r="205" spans="1:14" x14ac:dyDescent="0.3">
      <c r="B205" s="65">
        <f>D203</f>
        <v>29698.484809834987</v>
      </c>
      <c r="C205" s="65">
        <f>E203</f>
        <v>-29698.484809834987</v>
      </c>
      <c r="D205" s="65">
        <f>B203</f>
        <v>-29698.484809834987</v>
      </c>
      <c r="E205" s="65">
        <f>C203</f>
        <v>29698.484809834987</v>
      </c>
      <c r="F205" s="64" t="str">
        <f>E201</f>
        <v>U4Y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29698.484809834987</v>
      </c>
      <c r="I214" s="66">
        <f t="shared" si="14"/>
        <v>-29698.484809834987</v>
      </c>
      <c r="J214" s="9">
        <f t="shared" si="14"/>
        <v>0</v>
      </c>
      <c r="K214" s="9">
        <f t="shared" si="14"/>
        <v>0</v>
      </c>
      <c r="L214" s="66">
        <f t="shared" si="14"/>
        <v>-29698.484809834987</v>
      </c>
      <c r="M214" s="66">
        <f t="shared" si="14"/>
        <v>29698.484809834987</v>
      </c>
      <c r="N214" s="64" t="s">
        <v>184</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-29698.484809834987</v>
      </c>
      <c r="I215" s="66">
        <f t="shared" si="14"/>
        <v>29698.484809834987</v>
      </c>
      <c r="J215" s="9">
        <f t="shared" si="14"/>
        <v>0</v>
      </c>
      <c r="K215" s="9">
        <f t="shared" si="14"/>
        <v>0</v>
      </c>
      <c r="L215" s="66">
        <f t="shared" si="14"/>
        <v>29698.484809834987</v>
      </c>
      <c r="M215" s="66">
        <f t="shared" si="14"/>
        <v>-29698.484809834987</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66">
        <f t="shared" si="14"/>
        <v>-29698.484809834987</v>
      </c>
      <c r="I218" s="66">
        <f t="shared" si="14"/>
        <v>29698.484809834987</v>
      </c>
      <c r="J218" s="9">
        <f t="shared" si="14"/>
        <v>0</v>
      </c>
      <c r="K218" s="9">
        <f t="shared" si="14"/>
        <v>0</v>
      </c>
      <c r="L218" s="66">
        <f t="shared" si="14"/>
        <v>29698.484809834987</v>
      </c>
      <c r="M218" s="66">
        <f t="shared" si="14"/>
        <v>-29698.484809834987</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66">
        <f t="shared" si="14"/>
        <v>29698.484809834987</v>
      </c>
      <c r="I219" s="66">
        <f t="shared" si="14"/>
        <v>-29698.484809834987</v>
      </c>
      <c r="J219" s="9">
        <f t="shared" si="14"/>
        <v>0</v>
      </c>
      <c r="K219" s="9">
        <f t="shared" si="14"/>
        <v>0</v>
      </c>
      <c r="L219" s="66">
        <f t="shared" si="14"/>
        <v>-29698.484809834987</v>
      </c>
      <c r="M219" s="66">
        <f t="shared" si="14"/>
        <v>29698.484809834987</v>
      </c>
      <c r="N219" s="64" t="s">
        <v>189</v>
      </c>
    </row>
    <row r="222" spans="1:14" ht="18" customHeight="1" x14ac:dyDescent="0.3">
      <c r="B222" s="69" t="str">
        <f>CONCATENATE("U",C29,C$19)</f>
        <v>U5X</v>
      </c>
      <c r="C222" s="69" t="str">
        <f>CONCATENATE("U",D29,D$19)</f>
        <v>U5Y</v>
      </c>
      <c r="D222" s="69" t="str">
        <f>CONCATENATE("U",E29,E$19)</f>
        <v>U3X</v>
      </c>
      <c r="E222" s="69" t="str">
        <f>CONCATENATE("U",F29,F$19)</f>
        <v>U3Y</v>
      </c>
    </row>
    <row r="223" spans="1:14" x14ac:dyDescent="0.3">
      <c r="B223" s="70">
        <f>J15*J15*N15</f>
        <v>29698.484809834987</v>
      </c>
      <c r="C223" s="70">
        <f>J15*K15*N15</f>
        <v>-29698.484809834987</v>
      </c>
      <c r="D223" s="70">
        <f>-B223</f>
        <v>-29698.484809834987</v>
      </c>
      <c r="E223" s="70">
        <f>-C223</f>
        <v>29698.484809834987</v>
      </c>
      <c r="F223" s="69" t="str">
        <f>B222</f>
        <v>U5X</v>
      </c>
    </row>
    <row r="224" spans="1:14" ht="16.8" customHeight="1" x14ac:dyDescent="0.3">
      <c r="A224" s="28" t="s">
        <v>581</v>
      </c>
      <c r="B224" s="70">
        <f>C223</f>
        <v>-29698.484809834987</v>
      </c>
      <c r="C224" s="70">
        <f>K15*K15*N15</f>
        <v>29698.484809834987</v>
      </c>
      <c r="D224" s="70">
        <f>-B224</f>
        <v>29698.484809834987</v>
      </c>
      <c r="E224" s="70">
        <f>-C224</f>
        <v>-29698.484809834987</v>
      </c>
      <c r="F224" s="69" t="str">
        <f>C222</f>
        <v>U5Y</v>
      </c>
    </row>
    <row r="225" spans="1:14" x14ac:dyDescent="0.3">
      <c r="B225" s="70">
        <f>D223</f>
        <v>-29698.484809834987</v>
      </c>
      <c r="C225" s="70">
        <f>E223</f>
        <v>29698.484809834987</v>
      </c>
      <c r="D225" s="70">
        <f>B223</f>
        <v>29698.484809834987</v>
      </c>
      <c r="E225" s="70">
        <f>C223</f>
        <v>-29698.484809834987</v>
      </c>
      <c r="F225" s="69" t="str">
        <f>D222</f>
        <v>U3X</v>
      </c>
    </row>
    <row r="226" spans="1:14" x14ac:dyDescent="0.3">
      <c r="B226" s="70">
        <f>D224</f>
        <v>29698.484809834987</v>
      </c>
      <c r="C226" s="70">
        <f>E224</f>
        <v>-29698.484809834987</v>
      </c>
      <c r="D226" s="70">
        <f>B224</f>
        <v>-29698.484809834987</v>
      </c>
      <c r="E226" s="70">
        <f>C224</f>
        <v>29698.484809834987</v>
      </c>
      <c r="F226" s="69" t="str">
        <f>E222</f>
        <v>U3Y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180</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181</v>
      </c>
    </row>
    <row r="233" spans="1:14" ht="19.05" customHeight="1" x14ac:dyDescent="0.3">
      <c r="B233" s="9">
        <f t="shared" si="15"/>
        <v>0</v>
      </c>
      <c r="C233" s="9">
        <f t="shared" si="15"/>
        <v>0</v>
      </c>
      <c r="D233" s="9">
        <f t="shared" si="15"/>
        <v>0</v>
      </c>
      <c r="E233" s="9">
        <f t="shared" si="15"/>
        <v>0</v>
      </c>
      <c r="F233" s="71">
        <f t="shared" si="15"/>
        <v>29698.484809834987</v>
      </c>
      <c r="G233" s="71">
        <f t="shared" si="15"/>
        <v>-29698.484809834987</v>
      </c>
      <c r="H233" s="9">
        <f t="shared" si="15"/>
        <v>0</v>
      </c>
      <c r="I233" s="9">
        <f t="shared" si="15"/>
        <v>0</v>
      </c>
      <c r="J233" s="71">
        <f t="shared" si="15"/>
        <v>-29698.484809834987</v>
      </c>
      <c r="K233" s="71">
        <f t="shared" si="15"/>
        <v>29698.484809834987</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71">
        <f t="shared" si="15"/>
        <v>-29698.484809834987</v>
      </c>
      <c r="G234" s="71">
        <f t="shared" si="15"/>
        <v>29698.484809834987</v>
      </c>
      <c r="H234" s="9">
        <f t="shared" si="15"/>
        <v>0</v>
      </c>
      <c r="I234" s="9">
        <f t="shared" si="15"/>
        <v>0</v>
      </c>
      <c r="J234" s="71">
        <f t="shared" si="15"/>
        <v>29698.484809834987</v>
      </c>
      <c r="K234" s="71">
        <f t="shared" si="15"/>
        <v>-29698.484809834987</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71">
        <f t="shared" si="15"/>
        <v>-29698.484809834987</v>
      </c>
      <c r="G237" s="71">
        <f t="shared" si="15"/>
        <v>29698.484809834987</v>
      </c>
      <c r="H237" s="9">
        <f t="shared" si="15"/>
        <v>0</v>
      </c>
      <c r="I237" s="9">
        <f t="shared" si="15"/>
        <v>0</v>
      </c>
      <c r="J237" s="71">
        <f t="shared" si="15"/>
        <v>29698.484809834987</v>
      </c>
      <c r="K237" s="71">
        <f t="shared" si="15"/>
        <v>-29698.484809834987</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71">
        <f t="shared" si="15"/>
        <v>29698.484809834987</v>
      </c>
      <c r="G238" s="71">
        <f t="shared" si="15"/>
        <v>-29698.484809834987</v>
      </c>
      <c r="H238" s="9">
        <f t="shared" si="15"/>
        <v>0</v>
      </c>
      <c r="I238" s="9">
        <f t="shared" si="15"/>
        <v>0</v>
      </c>
      <c r="J238" s="71">
        <f t="shared" si="15"/>
        <v>-29698.484809834987</v>
      </c>
      <c r="K238" s="71">
        <f t="shared" si="15"/>
        <v>29698.484809834987</v>
      </c>
      <c r="L238" s="9">
        <f t="shared" si="15"/>
        <v>0</v>
      </c>
      <c r="M238" s="9">
        <f t="shared" si="15"/>
        <v>0</v>
      </c>
      <c r="N238" s="69" t="s">
        <v>187</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188</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189</v>
      </c>
    </row>
    <row r="243" spans="1:14" ht="18" customHeight="1" x14ac:dyDescent="0.3">
      <c r="B243" s="72" t="str">
        <f>CONCATENATE("U",C30,C$19)</f>
        <v>U1X</v>
      </c>
      <c r="C243" s="72" t="str">
        <f>CONCATENATE("U",D30,D$19)</f>
        <v>U1Y</v>
      </c>
      <c r="D243" s="72" t="str">
        <f>CONCATENATE("U",E30,E$19)</f>
        <v>U6X</v>
      </c>
      <c r="E243" s="72" t="str">
        <f>CONCATENATE("U",F30,F$19)</f>
        <v>U6Y</v>
      </c>
    </row>
    <row r="244" spans="1:14" x14ac:dyDescent="0.3">
      <c r="B244" s="73">
        <f>J16*J16*N16</f>
        <v>30052.753617597173</v>
      </c>
      <c r="C244" s="73">
        <f>J16*K16*N16</f>
        <v>15026.376808798586</v>
      </c>
      <c r="D244" s="73">
        <f>-B244</f>
        <v>-30052.753617597173</v>
      </c>
      <c r="E244" s="73">
        <f>-C244</f>
        <v>-15026.376808798586</v>
      </c>
      <c r="F244" s="72" t="str">
        <f>B243</f>
        <v>U1X</v>
      </c>
    </row>
    <row r="245" spans="1:14" ht="16.8" customHeight="1" x14ac:dyDescent="0.3">
      <c r="A245" s="28" t="s">
        <v>583</v>
      </c>
      <c r="B245" s="73">
        <f>C244</f>
        <v>15026.376808798586</v>
      </c>
      <c r="C245" s="73">
        <f>K16*K16*N16</f>
        <v>7513.1884043992932</v>
      </c>
      <c r="D245" s="73">
        <f>-B245</f>
        <v>-15026.376808798586</v>
      </c>
      <c r="E245" s="73">
        <f>-C245</f>
        <v>-7513.1884043992932</v>
      </c>
      <c r="F245" s="72" t="str">
        <f>C243</f>
        <v>U1Y</v>
      </c>
    </row>
    <row r="246" spans="1:14" x14ac:dyDescent="0.3">
      <c r="B246" s="73">
        <f>D244</f>
        <v>-30052.753617597173</v>
      </c>
      <c r="C246" s="73">
        <f>E244</f>
        <v>-15026.376808798586</v>
      </c>
      <c r="D246" s="73">
        <f>B244</f>
        <v>30052.753617597173</v>
      </c>
      <c r="E246" s="73">
        <f>C244</f>
        <v>15026.376808798586</v>
      </c>
      <c r="F246" s="72" t="str">
        <f>D243</f>
        <v>U6X</v>
      </c>
    </row>
    <row r="247" spans="1:14" x14ac:dyDescent="0.3">
      <c r="B247" s="73">
        <f>D245</f>
        <v>-15026.376808798586</v>
      </c>
      <c r="C247" s="73">
        <f>E245</f>
        <v>-7513.1884043992932</v>
      </c>
      <c r="D247" s="73">
        <f>B245</f>
        <v>15026.376808798586</v>
      </c>
      <c r="E247" s="73">
        <f>C245</f>
        <v>7513.1884043992932</v>
      </c>
      <c r="F247" s="72" t="str">
        <f>E243</f>
        <v>U6Y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74">
        <f t="shared" ref="B250:M261" si="16">IFERROR(INDEX($B$244:$E$247, MATCH($N250, $B$243:$E$243, 0), MATCH(B$249, $B$243:$E$243, 0)), 0)</f>
        <v>30052.753617597173</v>
      </c>
      <c r="C250" s="74">
        <f t="shared" si="16"/>
        <v>15026.376808798586</v>
      </c>
      <c r="D250" s="9">
        <f t="shared" si="16"/>
        <v>0</v>
      </c>
      <c r="E250" s="9">
        <f t="shared" si="16"/>
        <v>0</v>
      </c>
      <c r="F250" s="9">
        <f t="shared" si="16"/>
        <v>0</v>
      </c>
      <c r="G250" s="9">
        <f t="shared" si="16"/>
        <v>0</v>
      </c>
      <c r="H250" s="9">
        <f t="shared" si="16"/>
        <v>0</v>
      </c>
      <c r="I250" s="9">
        <f t="shared" si="16"/>
        <v>0</v>
      </c>
      <c r="J250" s="9">
        <f t="shared" si="16"/>
        <v>0</v>
      </c>
      <c r="K250" s="9">
        <f t="shared" si="16"/>
        <v>0</v>
      </c>
      <c r="L250" s="74">
        <f t="shared" si="16"/>
        <v>-30052.753617597173</v>
      </c>
      <c r="M250" s="74">
        <f t="shared" si="16"/>
        <v>-15026.376808798586</v>
      </c>
      <c r="N250" s="72" t="s">
        <v>178</v>
      </c>
    </row>
    <row r="251" spans="1:14" ht="19.05" customHeight="1" x14ac:dyDescent="0.3">
      <c r="B251" s="74">
        <f t="shared" si="16"/>
        <v>15026.376808798586</v>
      </c>
      <c r="C251" s="74">
        <f t="shared" si="16"/>
        <v>7513.1884043992932</v>
      </c>
      <c r="D251" s="9">
        <f t="shared" si="16"/>
        <v>0</v>
      </c>
      <c r="E251" s="9">
        <f t="shared" si="16"/>
        <v>0</v>
      </c>
      <c r="F251" s="9">
        <f t="shared" si="16"/>
        <v>0</v>
      </c>
      <c r="G251" s="9">
        <f t="shared" si="16"/>
        <v>0</v>
      </c>
      <c r="H251" s="9">
        <f t="shared" si="16"/>
        <v>0</v>
      </c>
      <c r="I251" s="9">
        <f t="shared" si="16"/>
        <v>0</v>
      </c>
      <c r="J251" s="9">
        <f t="shared" si="16"/>
        <v>0</v>
      </c>
      <c r="K251" s="9">
        <f t="shared" si="16"/>
        <v>0</v>
      </c>
      <c r="L251" s="74">
        <f t="shared" si="16"/>
        <v>-15026.376808798586</v>
      </c>
      <c r="M251" s="74">
        <f t="shared" si="16"/>
        <v>-7513.1884043992932</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187</v>
      </c>
    </row>
    <row r="260" spans="1:14" ht="19.05" customHeight="1" x14ac:dyDescent="0.3">
      <c r="B260" s="74">
        <f t="shared" si="16"/>
        <v>-30052.753617597173</v>
      </c>
      <c r="C260" s="74">
        <f t="shared" si="16"/>
        <v>-15026.376808798586</v>
      </c>
      <c r="D260" s="9">
        <f t="shared" si="16"/>
        <v>0</v>
      </c>
      <c r="E260" s="9">
        <f t="shared" si="16"/>
        <v>0</v>
      </c>
      <c r="F260" s="9">
        <f t="shared" si="16"/>
        <v>0</v>
      </c>
      <c r="G260" s="9">
        <f t="shared" si="16"/>
        <v>0</v>
      </c>
      <c r="H260" s="9">
        <f t="shared" si="16"/>
        <v>0</v>
      </c>
      <c r="I260" s="9">
        <f t="shared" si="16"/>
        <v>0</v>
      </c>
      <c r="J260" s="9">
        <f t="shared" si="16"/>
        <v>0</v>
      </c>
      <c r="K260" s="9">
        <f t="shared" si="16"/>
        <v>0</v>
      </c>
      <c r="L260" s="74">
        <f t="shared" si="16"/>
        <v>30052.753617597173</v>
      </c>
      <c r="M260" s="74">
        <f t="shared" si="16"/>
        <v>15026.376808798586</v>
      </c>
      <c r="N260" s="72" t="s">
        <v>188</v>
      </c>
    </row>
    <row r="261" spans="1:14" ht="19.05" customHeight="1" x14ac:dyDescent="0.3">
      <c r="B261" s="74">
        <f t="shared" si="16"/>
        <v>-15026.376808798586</v>
      </c>
      <c r="C261" s="74">
        <f t="shared" si="16"/>
        <v>-7513.1884043992932</v>
      </c>
      <c r="D261" s="9">
        <f t="shared" si="16"/>
        <v>0</v>
      </c>
      <c r="E261" s="9">
        <f t="shared" si="16"/>
        <v>0</v>
      </c>
      <c r="F261" s="9">
        <f t="shared" si="16"/>
        <v>0</v>
      </c>
      <c r="G261" s="9">
        <f t="shared" si="16"/>
        <v>0</v>
      </c>
      <c r="H261" s="9">
        <f t="shared" si="16"/>
        <v>0</v>
      </c>
      <c r="I261" s="9">
        <f t="shared" si="16"/>
        <v>0</v>
      </c>
      <c r="J261" s="9">
        <f t="shared" si="16"/>
        <v>0</v>
      </c>
      <c r="K261" s="9">
        <f t="shared" si="16"/>
        <v>0</v>
      </c>
      <c r="L261" s="74">
        <f t="shared" si="16"/>
        <v>15026.376808798586</v>
      </c>
      <c r="M261" s="74">
        <f t="shared" si="16"/>
        <v>7513.1884043992932</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143751.23842743217</v>
      </c>
      <c r="C265" s="36">
        <f t="shared" si="17"/>
        <v>44724.861618633571</v>
      </c>
      <c r="D265" s="9">
        <f t="shared" si="17"/>
        <v>-84000</v>
      </c>
      <c r="E265" s="9">
        <f t="shared" si="17"/>
        <v>0</v>
      </c>
      <c r="F265" s="9">
        <f t="shared" si="17"/>
        <v>0</v>
      </c>
      <c r="G265" s="9">
        <f t="shared" si="17"/>
        <v>0</v>
      </c>
      <c r="H265" s="9">
        <f t="shared" si="17"/>
        <v>0</v>
      </c>
      <c r="I265" s="9">
        <f t="shared" si="17"/>
        <v>0</v>
      </c>
      <c r="J265" s="9">
        <f t="shared" si="17"/>
        <v>-29698.484809834987</v>
      </c>
      <c r="K265" s="9">
        <f t="shared" si="17"/>
        <v>-29698.484809834987</v>
      </c>
      <c r="L265" s="9">
        <f t="shared" si="17"/>
        <v>-30052.753617597173</v>
      </c>
      <c r="M265" s="9">
        <f t="shared" si="17"/>
        <v>-15026.376808798586</v>
      </c>
      <c r="N265" s="89" t="s">
        <v>178</v>
      </c>
    </row>
    <row r="266" spans="1:14" ht="19.95" customHeight="1" x14ac:dyDescent="0.3">
      <c r="B266" s="36">
        <f t="shared" ref="B266:M266" si="18">B41+B62+B83+B104+B125+B146+B167+B188+B209+B230+B251</f>
        <v>44724.861618633571</v>
      </c>
      <c r="C266" s="35">
        <f t="shared" si="18"/>
        <v>37211.673214234281</v>
      </c>
      <c r="D266" s="9">
        <f t="shared" si="18"/>
        <v>0</v>
      </c>
      <c r="E266" s="9">
        <f t="shared" si="18"/>
        <v>0</v>
      </c>
      <c r="F266" s="9">
        <f t="shared" si="18"/>
        <v>0</v>
      </c>
      <c r="G266" s="9">
        <f t="shared" si="18"/>
        <v>0</v>
      </c>
      <c r="H266" s="9">
        <f t="shared" si="18"/>
        <v>0</v>
      </c>
      <c r="I266" s="9">
        <f t="shared" si="18"/>
        <v>0</v>
      </c>
      <c r="J266" s="9">
        <f t="shared" si="18"/>
        <v>-29698.484809834987</v>
      </c>
      <c r="K266" s="9">
        <f t="shared" si="18"/>
        <v>-29698.484809834987</v>
      </c>
      <c r="L266" s="9">
        <f t="shared" si="18"/>
        <v>-15026.376808798586</v>
      </c>
      <c r="M266" s="9">
        <f t="shared" si="18"/>
        <v>-7513.1884043992932</v>
      </c>
      <c r="N266" s="89" t="s">
        <v>179</v>
      </c>
    </row>
    <row r="267" spans="1:14" ht="19.95" customHeight="1" x14ac:dyDescent="0.3">
      <c r="B267" s="9">
        <f t="shared" ref="B267:M267" si="19">B42+B63+B84+B105+B126+B147+B168+B189+B210+B231+B252</f>
        <v>-84000</v>
      </c>
      <c r="C267" s="9">
        <f t="shared" si="19"/>
        <v>0</v>
      </c>
      <c r="D267" s="35">
        <f t="shared" si="19"/>
        <v>197698.48480983498</v>
      </c>
      <c r="E267" s="36">
        <f t="shared" si="19"/>
        <v>29698.484809834987</v>
      </c>
      <c r="F267" s="9">
        <f t="shared" si="19"/>
        <v>-84000</v>
      </c>
      <c r="G267" s="9">
        <f t="shared" si="19"/>
        <v>0</v>
      </c>
      <c r="H267" s="9">
        <f t="shared" si="19"/>
        <v>0</v>
      </c>
      <c r="I267" s="9">
        <f t="shared" si="19"/>
        <v>0</v>
      </c>
      <c r="J267" s="9">
        <f t="shared" si="19"/>
        <v>0</v>
      </c>
      <c r="K267" s="9">
        <f t="shared" si="19"/>
        <v>0</v>
      </c>
      <c r="L267" s="9">
        <f t="shared" si="19"/>
        <v>-29698.484809834987</v>
      </c>
      <c r="M267" s="9">
        <f t="shared" si="19"/>
        <v>-29698.484809834987</v>
      </c>
      <c r="N267" s="89" t="s">
        <v>180</v>
      </c>
    </row>
    <row r="268" spans="1:14" ht="19.95" customHeight="1" x14ac:dyDescent="0.3">
      <c r="B268" s="9">
        <f t="shared" ref="B268:M268" si="20">B43+B64+B85+B106+B127+B148+B169+B190+B211+B232+B253</f>
        <v>0</v>
      </c>
      <c r="C268" s="9">
        <f t="shared" si="20"/>
        <v>0</v>
      </c>
      <c r="D268" s="36">
        <f t="shared" si="20"/>
        <v>29698.484809834987</v>
      </c>
      <c r="E268" s="35">
        <f t="shared" si="20"/>
        <v>113698.48480983499</v>
      </c>
      <c r="F268" s="9">
        <f t="shared" si="20"/>
        <v>0</v>
      </c>
      <c r="G268" s="9">
        <f t="shared" si="20"/>
        <v>0</v>
      </c>
      <c r="H268" s="9">
        <f t="shared" si="20"/>
        <v>0</v>
      </c>
      <c r="I268" s="9">
        <f t="shared" si="20"/>
        <v>0</v>
      </c>
      <c r="J268" s="9">
        <f t="shared" si="20"/>
        <v>0</v>
      </c>
      <c r="K268" s="9">
        <f t="shared" si="20"/>
        <v>-84000</v>
      </c>
      <c r="L268" s="9">
        <f t="shared" si="20"/>
        <v>-29698.484809834987</v>
      </c>
      <c r="M268" s="9">
        <f t="shared" si="20"/>
        <v>-29698.484809834987</v>
      </c>
      <c r="N268" s="89" t="s">
        <v>181</v>
      </c>
    </row>
    <row r="269" spans="1:14" ht="19.95" customHeight="1" x14ac:dyDescent="0.3">
      <c r="B269" s="9">
        <f t="shared" ref="B269:M269" si="21">B44+B65+B86+B107+B128+B149+B170+B191+B212+B233+B254</f>
        <v>0</v>
      </c>
      <c r="C269" s="9">
        <f t="shared" si="21"/>
        <v>0</v>
      </c>
      <c r="D269" s="9">
        <f t="shared" si="21"/>
        <v>-84000</v>
      </c>
      <c r="E269" s="9">
        <f t="shared" si="21"/>
        <v>0</v>
      </c>
      <c r="F269" s="35">
        <f t="shared" si="21"/>
        <v>197698.48480983498</v>
      </c>
      <c r="G269" s="36">
        <f t="shared" si="21"/>
        <v>-29698.484809834987</v>
      </c>
      <c r="H269" s="9">
        <f t="shared" si="21"/>
        <v>-84000</v>
      </c>
      <c r="I269" s="9">
        <f t="shared" si="21"/>
        <v>0</v>
      </c>
      <c r="J269" s="9">
        <f t="shared" si="21"/>
        <v>-29698.484809834987</v>
      </c>
      <c r="K269" s="9">
        <f t="shared" si="21"/>
        <v>29698.484809834987</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-29698.484809834987</v>
      </c>
      <c r="G270" s="35">
        <f t="shared" si="22"/>
        <v>113698.48480983499</v>
      </c>
      <c r="H270" s="9">
        <f t="shared" si="22"/>
        <v>0</v>
      </c>
      <c r="I270" s="9">
        <f t="shared" si="22"/>
        <v>0</v>
      </c>
      <c r="J270" s="9">
        <f t="shared" si="22"/>
        <v>29698.484809834987</v>
      </c>
      <c r="K270" s="9">
        <f t="shared" si="22"/>
        <v>-29698.484809834987</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0</v>
      </c>
      <c r="E271" s="9">
        <f t="shared" si="23"/>
        <v>0</v>
      </c>
      <c r="F271" s="9">
        <f t="shared" si="23"/>
        <v>-84000</v>
      </c>
      <c r="G271" s="9">
        <f t="shared" si="23"/>
        <v>0</v>
      </c>
      <c r="H271" s="35">
        <f t="shared" si="23"/>
        <v>113698.48480983499</v>
      </c>
      <c r="I271" s="36">
        <f t="shared" si="23"/>
        <v>-29698.484809834987</v>
      </c>
      <c r="J271" s="9">
        <f t="shared" si="23"/>
        <v>0</v>
      </c>
      <c r="K271" s="9">
        <f t="shared" si="23"/>
        <v>0</v>
      </c>
      <c r="L271" s="9">
        <f t="shared" si="23"/>
        <v>-29698.484809834987</v>
      </c>
      <c r="M271" s="9">
        <f t="shared" si="23"/>
        <v>29698.484809834987</v>
      </c>
      <c r="N271" s="89" t="s">
        <v>184</v>
      </c>
    </row>
    <row r="272" spans="1:14" ht="19.95" customHeight="1" x14ac:dyDescent="0.3">
      <c r="B272" s="9">
        <f t="shared" ref="B272:M272" si="24">B47+B68+B89+B110+B131+B152+B173+B194+B215+B236+B257</f>
        <v>0</v>
      </c>
      <c r="C272" s="9">
        <f t="shared" si="24"/>
        <v>0</v>
      </c>
      <c r="D272" s="9">
        <f t="shared" si="24"/>
        <v>0</v>
      </c>
      <c r="E272" s="9">
        <f t="shared" si="24"/>
        <v>0</v>
      </c>
      <c r="F272" s="9">
        <f t="shared" si="24"/>
        <v>0</v>
      </c>
      <c r="G272" s="9">
        <f t="shared" si="24"/>
        <v>0</v>
      </c>
      <c r="H272" s="36">
        <f t="shared" si="24"/>
        <v>-29698.484809834987</v>
      </c>
      <c r="I272" s="35">
        <f t="shared" si="24"/>
        <v>29698.484809834987</v>
      </c>
      <c r="J272" s="9">
        <f t="shared" si="24"/>
        <v>0</v>
      </c>
      <c r="K272" s="9">
        <f t="shared" si="24"/>
        <v>0</v>
      </c>
      <c r="L272" s="9">
        <f t="shared" si="24"/>
        <v>29698.484809834987</v>
      </c>
      <c r="M272" s="9">
        <f t="shared" si="24"/>
        <v>-29698.484809834987</v>
      </c>
      <c r="N272" s="89" t="s">
        <v>185</v>
      </c>
    </row>
    <row r="273" spans="1:21" ht="19.95" customHeight="1" x14ac:dyDescent="0.3">
      <c r="B273" s="9">
        <f t="shared" ref="B273:M273" si="25">B48+B69+B90+B111+B132+B153+B174+B195+B216+B237+B258</f>
        <v>-29698.484809834987</v>
      </c>
      <c r="C273" s="9">
        <f t="shared" si="25"/>
        <v>-29698.484809834987</v>
      </c>
      <c r="D273" s="9">
        <f t="shared" si="25"/>
        <v>0</v>
      </c>
      <c r="E273" s="9">
        <f t="shared" si="25"/>
        <v>0</v>
      </c>
      <c r="F273" s="9">
        <f t="shared" si="25"/>
        <v>-29698.484809834987</v>
      </c>
      <c r="G273" s="9">
        <f t="shared" si="25"/>
        <v>29698.484809834987</v>
      </c>
      <c r="H273" s="9">
        <f t="shared" si="25"/>
        <v>0</v>
      </c>
      <c r="I273" s="9">
        <f t="shared" si="25"/>
        <v>0</v>
      </c>
      <c r="J273" s="35">
        <f t="shared" si="25"/>
        <v>143396.96961966998</v>
      </c>
      <c r="K273" s="36">
        <f t="shared" si="25"/>
        <v>0</v>
      </c>
      <c r="L273" s="9">
        <f t="shared" si="25"/>
        <v>-84000</v>
      </c>
      <c r="M273" s="9">
        <f t="shared" si="25"/>
        <v>0</v>
      </c>
      <c r="N273" s="89" t="s">
        <v>186</v>
      </c>
    </row>
    <row r="274" spans="1:21" ht="19.95" customHeight="1" x14ac:dyDescent="0.3">
      <c r="B274" s="9">
        <f t="shared" ref="B274:M274" si="26">B49+B70+B91+B112+B133+B154+B175+B196+B217+B238+B259</f>
        <v>-29698.484809834987</v>
      </c>
      <c r="C274" s="9">
        <f t="shared" si="26"/>
        <v>-29698.484809834987</v>
      </c>
      <c r="D274" s="9">
        <f t="shared" si="26"/>
        <v>0</v>
      </c>
      <c r="E274" s="9">
        <f t="shared" si="26"/>
        <v>-84000</v>
      </c>
      <c r="F274" s="9">
        <f t="shared" si="26"/>
        <v>29698.484809834987</v>
      </c>
      <c r="G274" s="9">
        <f t="shared" si="26"/>
        <v>-29698.484809834987</v>
      </c>
      <c r="H274" s="9">
        <f t="shared" si="26"/>
        <v>0</v>
      </c>
      <c r="I274" s="9">
        <f t="shared" si="26"/>
        <v>0</v>
      </c>
      <c r="J274" s="36">
        <f t="shared" si="26"/>
        <v>0</v>
      </c>
      <c r="K274" s="35">
        <f t="shared" si="26"/>
        <v>143396.96961966998</v>
      </c>
      <c r="L274" s="9">
        <f t="shared" si="26"/>
        <v>0</v>
      </c>
      <c r="M274" s="9">
        <f t="shared" si="26"/>
        <v>0</v>
      </c>
      <c r="N274" s="89" t="s">
        <v>187</v>
      </c>
    </row>
    <row r="275" spans="1:21" ht="19.95" customHeight="1" x14ac:dyDescent="0.3">
      <c r="B275" s="9">
        <f t="shared" ref="B275:M275" si="27">B50+B71+B92+B113+B134+B155+B176+B197+B218+B239+B260</f>
        <v>-30052.753617597173</v>
      </c>
      <c r="C275" s="9">
        <f t="shared" si="27"/>
        <v>-15026.376808798586</v>
      </c>
      <c r="D275" s="9">
        <f t="shared" si="27"/>
        <v>-29698.484809834987</v>
      </c>
      <c r="E275" s="9">
        <f t="shared" si="27"/>
        <v>-29698.484809834987</v>
      </c>
      <c r="F275" s="9">
        <f t="shared" si="27"/>
        <v>0</v>
      </c>
      <c r="G275" s="9">
        <f t="shared" si="27"/>
        <v>0</v>
      </c>
      <c r="H275" s="9">
        <f t="shared" si="27"/>
        <v>-29698.484809834987</v>
      </c>
      <c r="I275" s="9">
        <f t="shared" si="27"/>
        <v>29698.484809834987</v>
      </c>
      <c r="J275" s="9">
        <f t="shared" si="27"/>
        <v>-84000</v>
      </c>
      <c r="K275" s="9">
        <f t="shared" si="27"/>
        <v>0</v>
      </c>
      <c r="L275" s="35">
        <f t="shared" si="27"/>
        <v>173449.72323726714</v>
      </c>
      <c r="M275" s="36">
        <f t="shared" si="27"/>
        <v>15026.376808798586</v>
      </c>
      <c r="N275" s="89" t="s">
        <v>188</v>
      </c>
    </row>
    <row r="276" spans="1:21" ht="19.95" customHeight="1" x14ac:dyDescent="0.3">
      <c r="B276" s="9">
        <f t="shared" ref="B276:M276" si="28">B51+B72+B93+B114+B135+B156+B177+B198+B219+B240+B261</f>
        <v>-15026.376808798586</v>
      </c>
      <c r="C276" s="9">
        <f t="shared" si="28"/>
        <v>-7513.1884043992932</v>
      </c>
      <c r="D276" s="9">
        <f t="shared" si="28"/>
        <v>-29698.484809834987</v>
      </c>
      <c r="E276" s="9">
        <f t="shared" si="28"/>
        <v>-29698.484809834987</v>
      </c>
      <c r="F276" s="9">
        <f t="shared" si="28"/>
        <v>0</v>
      </c>
      <c r="G276" s="9">
        <f t="shared" si="28"/>
        <v>-84000</v>
      </c>
      <c r="H276" s="9">
        <f t="shared" si="28"/>
        <v>29698.484809834987</v>
      </c>
      <c r="I276" s="9">
        <f t="shared" si="28"/>
        <v>-29698.484809834987</v>
      </c>
      <c r="J276" s="9">
        <f t="shared" si="28"/>
        <v>0</v>
      </c>
      <c r="K276" s="9">
        <f t="shared" si="28"/>
        <v>0</v>
      </c>
      <c r="L276" s="36">
        <f t="shared" si="28"/>
        <v>15026.376808798586</v>
      </c>
      <c r="M276" s="35">
        <f t="shared" si="28"/>
        <v>150910.15802406927</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IF(GRAFICA_64!F14=1, B280, GRAFICA_64!H14)</f>
        <v>C1X</v>
      </c>
      <c r="P280" s="215" t="s">
        <v>376</v>
      </c>
      <c r="Q280" s="172"/>
      <c r="R280" s="172"/>
      <c r="S280" s="172"/>
      <c r="T280" s="172"/>
      <c r="U280" s="173"/>
    </row>
    <row r="281" spans="1:21" ht="16.95" customHeight="1" x14ac:dyDescent="0.3">
      <c r="B281" s="12" t="s">
        <v>210</v>
      </c>
      <c r="C281" s="12" t="s">
        <v>179</v>
      </c>
      <c r="E281" s="37" t="str">
        <f>IF(GRAFICA_64!G14=1, B281, GRAFICA_64!I14)</f>
        <v>C1Y</v>
      </c>
      <c r="P281" s="215" t="s">
        <v>211</v>
      </c>
      <c r="Q281" s="172"/>
      <c r="R281" s="172"/>
      <c r="S281" s="172"/>
      <c r="T281" s="172"/>
      <c r="U281" s="173"/>
    </row>
    <row r="282" spans="1:21" ht="16.95" customHeight="1" x14ac:dyDescent="0.3">
      <c r="B282" s="12" t="s">
        <v>212</v>
      </c>
      <c r="C282" s="12" t="s">
        <v>180</v>
      </c>
      <c r="E282" s="37">
        <f>IF(GRAFICA_64!F15=1, B282, GRAFICA_64!H15)</f>
        <v>0</v>
      </c>
      <c r="P282" s="215" t="s">
        <v>377</v>
      </c>
      <c r="Q282" s="172"/>
      <c r="R282" s="172"/>
      <c r="S282" s="172"/>
      <c r="T282" s="172"/>
      <c r="U282" s="173"/>
    </row>
    <row r="283" spans="1:21" ht="16.95" customHeight="1" x14ac:dyDescent="0.3">
      <c r="B283" s="12" t="s">
        <v>214</v>
      </c>
      <c r="C283" s="12" t="s">
        <v>181</v>
      </c>
      <c r="E283" s="37">
        <f>IF(GRAFICA_64!G15=1, B283, GRAFICA_64!I15)</f>
        <v>-6000</v>
      </c>
      <c r="P283" s="215" t="s">
        <v>215</v>
      </c>
      <c r="Q283" s="172"/>
      <c r="R283" s="172"/>
      <c r="S283" s="172"/>
      <c r="T283" s="172"/>
      <c r="U283" s="173"/>
    </row>
    <row r="284" spans="1:21" ht="16.95" customHeight="1" x14ac:dyDescent="0.3">
      <c r="B284" s="12" t="s">
        <v>216</v>
      </c>
      <c r="C284" s="12" t="s">
        <v>182</v>
      </c>
      <c r="E284" s="37">
        <f>IF(GRAFICA_64!F16=1, B284, GRAFICA_64!H16)</f>
        <v>0</v>
      </c>
      <c r="P284" s="215" t="s">
        <v>378</v>
      </c>
      <c r="Q284" s="172"/>
      <c r="R284" s="172"/>
      <c r="S284" s="172"/>
      <c r="T284" s="172"/>
      <c r="U284" s="173"/>
    </row>
    <row r="285" spans="1:21" ht="16.95" customHeight="1" x14ac:dyDescent="0.3">
      <c r="A285" s="38" t="s">
        <v>218</v>
      </c>
      <c r="B285" s="12" t="s">
        <v>219</v>
      </c>
      <c r="C285" s="12" t="s">
        <v>183</v>
      </c>
      <c r="D285" s="13" t="s">
        <v>220</v>
      </c>
      <c r="E285" s="37">
        <f>IF(GRAFICA_64!G16=1, B285, GRAFICA_64!I16)</f>
        <v>-6000</v>
      </c>
      <c r="P285" s="215" t="s">
        <v>379</v>
      </c>
      <c r="Q285" s="172"/>
      <c r="R285" s="172"/>
      <c r="S285" s="172"/>
      <c r="T285" s="172"/>
      <c r="U285" s="173"/>
    </row>
    <row r="286" spans="1:21" ht="16.95" customHeight="1" x14ac:dyDescent="0.3">
      <c r="B286" s="12" t="s">
        <v>221</v>
      </c>
      <c r="C286" s="12" t="s">
        <v>184</v>
      </c>
      <c r="E286" s="37">
        <f>IF(GRAFICA_64!F17=1, B286, GRAFICA_64!H17)</f>
        <v>0</v>
      </c>
      <c r="P286" s="215"/>
      <c r="Q286" s="172"/>
      <c r="R286" s="172"/>
      <c r="S286" s="172"/>
      <c r="T286" s="172"/>
      <c r="U286" s="173"/>
    </row>
    <row r="287" spans="1:21" ht="16.95" customHeight="1" x14ac:dyDescent="0.3">
      <c r="B287" s="12" t="s">
        <v>222</v>
      </c>
      <c r="C287" s="12" t="s">
        <v>185</v>
      </c>
      <c r="E287" s="37" t="str">
        <f>IF(GRAFICA_64!G17=1, B287, GRAFICA_64!I17)</f>
        <v>C4Y</v>
      </c>
      <c r="P287" s="215"/>
      <c r="Q287" s="172"/>
      <c r="R287" s="172"/>
      <c r="S287" s="172"/>
      <c r="T287" s="172"/>
      <c r="U287" s="173"/>
    </row>
    <row r="288" spans="1:21" ht="16.95" customHeight="1" x14ac:dyDescent="0.3">
      <c r="B288" s="12" t="s">
        <v>223</v>
      </c>
      <c r="C288" s="12" t="s">
        <v>186</v>
      </c>
      <c r="E288" s="37">
        <f>IF(GRAFICA_64!F18=1, B288, GRAFICA_64!H18)</f>
        <v>0</v>
      </c>
      <c r="P288" s="215"/>
      <c r="Q288" s="172"/>
      <c r="R288" s="172"/>
      <c r="S288" s="172"/>
      <c r="T288" s="172"/>
      <c r="U288" s="173"/>
    </row>
    <row r="289" spans="1:21" ht="16.95" customHeight="1" x14ac:dyDescent="0.3">
      <c r="B289" s="12" t="s">
        <v>224</v>
      </c>
      <c r="C289" s="12" t="s">
        <v>187</v>
      </c>
      <c r="E289" s="37">
        <f>IF(GRAFICA_64!G18=1, B289, GRAFICA_64!I18)</f>
        <v>0</v>
      </c>
      <c r="P289" s="215"/>
      <c r="Q289" s="172"/>
      <c r="R289" s="172"/>
      <c r="S289" s="172"/>
      <c r="T289" s="172"/>
      <c r="U289" s="173"/>
    </row>
    <row r="290" spans="1:21" ht="16.95" customHeight="1" x14ac:dyDescent="0.3">
      <c r="B290" s="12" t="s">
        <v>225</v>
      </c>
      <c r="C290" s="12" t="s">
        <v>188</v>
      </c>
      <c r="E290" s="37">
        <f>IF(GRAFICA_64!F19=1, B290, GRAFICA_64!H19)</f>
        <v>0</v>
      </c>
      <c r="P290" s="215"/>
      <c r="Q290" s="172"/>
      <c r="R290" s="172"/>
      <c r="S290" s="172"/>
      <c r="T290" s="172"/>
      <c r="U290" s="173"/>
    </row>
    <row r="291" spans="1:21" ht="16.95" customHeight="1" x14ac:dyDescent="0.3">
      <c r="B291" s="12" t="s">
        <v>226</v>
      </c>
      <c r="C291" s="12" t="s">
        <v>189</v>
      </c>
      <c r="E291" s="37">
        <f>IF(GRAFICA_64!G19=1, B291, GRAFICA_64!I19)</f>
        <v>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IF(GRAFICA_64!F14=1,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IF(GRAFICA_64!G14=1,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t="str">
        <f>IF(GRAFICA_64!F15=1, 0, B296)</f>
        <v>D2X</v>
      </c>
      <c r="F296" s="14">
        <f>IF(E296&lt;&gt;0, COUNTIF(E$294:E296, "&lt;&gt;0"), "")</f>
        <v>1</v>
      </c>
      <c r="G296" s="14" t="str">
        <f>IF(E296=0, COUNTIF(E$294:E296, 0), "")</f>
        <v/>
      </c>
      <c r="P296" s="215"/>
      <c r="Q296" s="172"/>
      <c r="R296" s="172"/>
      <c r="S296" s="172"/>
      <c r="T296" s="172"/>
      <c r="U296" s="173"/>
    </row>
    <row r="297" spans="1:21" ht="16.95" customHeight="1" x14ac:dyDescent="0.3">
      <c r="B297" s="12" t="s">
        <v>231</v>
      </c>
      <c r="C297" s="12" t="s">
        <v>181</v>
      </c>
      <c r="E297" s="39" t="str">
        <f>IF(GRAFICA_64!G15=1, 0, B297)</f>
        <v>D2Y</v>
      </c>
      <c r="F297" s="14">
        <f>IF(E297&lt;&gt;0, COUNTIF(E$294:E297, "&lt;&gt;0"), "")</f>
        <v>2</v>
      </c>
      <c r="G297" s="14" t="str">
        <f>IF(E297=0, COUNTIF(E$294:E297, 0), "")</f>
        <v/>
      </c>
      <c r="P297" s="215"/>
      <c r="Q297" s="172"/>
      <c r="R297" s="172"/>
      <c r="S297" s="172"/>
      <c r="T297" s="172"/>
      <c r="U297" s="173"/>
    </row>
    <row r="298" spans="1:21" ht="16.95" customHeight="1" x14ac:dyDescent="0.3">
      <c r="B298" s="12" t="s">
        <v>232</v>
      </c>
      <c r="C298" s="12" t="s">
        <v>182</v>
      </c>
      <c r="E298" s="39" t="str">
        <f>IF(GRAFICA_64!F16=1, 0, B298)</f>
        <v>D3X</v>
      </c>
      <c r="F298" s="14">
        <f>IF(E298&lt;&gt;0, COUNTIF(E$294:E298, "&lt;&gt;0"), "")</f>
        <v>3</v>
      </c>
      <c r="G298" s="14" t="str">
        <f>IF(E298=0, COUNTIF(E$294:E298, 0), "")</f>
        <v/>
      </c>
      <c r="P298" s="215"/>
      <c r="Q298" s="172"/>
      <c r="R298" s="172"/>
      <c r="S298" s="172"/>
      <c r="T298" s="172"/>
      <c r="U298" s="173"/>
    </row>
    <row r="299" spans="1:21" ht="16.95" customHeight="1" x14ac:dyDescent="0.3">
      <c r="A299" s="38" t="s">
        <v>233</v>
      </c>
      <c r="B299" s="12" t="s">
        <v>234</v>
      </c>
      <c r="C299" s="12" t="s">
        <v>183</v>
      </c>
      <c r="D299" s="13" t="s">
        <v>220</v>
      </c>
      <c r="E299" s="39" t="str">
        <f>IF(GRAFICA_64!G16=1, 0, B299)</f>
        <v>D3Y</v>
      </c>
      <c r="F299" s="14">
        <f>IF(E299&lt;&gt;0, COUNTIF(E$294:E299, "&lt;&gt;0"), "")</f>
        <v>4</v>
      </c>
      <c r="G299" s="14" t="str">
        <f>IF(E299=0, COUNTIF(E$294:E299, 0), "")</f>
        <v/>
      </c>
      <c r="P299" s="215"/>
      <c r="Q299" s="172"/>
      <c r="R299" s="172"/>
      <c r="S299" s="172"/>
      <c r="T299" s="172"/>
      <c r="U299" s="173"/>
    </row>
    <row r="300" spans="1:21" ht="16.95" customHeight="1" x14ac:dyDescent="0.3">
      <c r="B300" s="12" t="s">
        <v>235</v>
      </c>
      <c r="C300" s="12" t="s">
        <v>184</v>
      </c>
      <c r="E300" s="39" t="str">
        <f>IF(GRAFICA_64!F17=1, 0, B300)</f>
        <v>D4X</v>
      </c>
      <c r="F300" s="14">
        <f>IF(E300&lt;&gt;0, COUNTIF(E$294:E300, "&lt;&gt;0"), "")</f>
        <v>5</v>
      </c>
      <c r="G300" s="14" t="str">
        <f>IF(E300=0, COUNTIF(E$294:E300, 0), "")</f>
        <v/>
      </c>
      <c r="P300" s="215"/>
      <c r="Q300" s="172"/>
      <c r="R300" s="172"/>
      <c r="S300" s="172"/>
      <c r="T300" s="172"/>
      <c r="U300" s="173"/>
    </row>
    <row r="301" spans="1:21" ht="16.95" customHeight="1" x14ac:dyDescent="0.3">
      <c r="B301" s="12" t="s">
        <v>236</v>
      </c>
      <c r="C301" s="12" t="s">
        <v>185</v>
      </c>
      <c r="E301" s="39">
        <f>IF(GRAFICA_64!G17=1, 0, B301)</f>
        <v>0</v>
      </c>
      <c r="F301" s="14" t="str">
        <f>IF(E301&lt;&gt;0, COUNTIF(E$294:E301, "&lt;&gt;0"), "")</f>
        <v/>
      </c>
      <c r="G301" s="14">
        <f>IF(E301=0, COUNTIF(E$294:E301, 0), "")</f>
        <v>3</v>
      </c>
      <c r="P301" s="215"/>
      <c r="Q301" s="172"/>
      <c r="R301" s="172"/>
      <c r="S301" s="172"/>
      <c r="T301" s="172"/>
      <c r="U301" s="173"/>
    </row>
    <row r="302" spans="1:21" ht="16.95" customHeight="1" x14ac:dyDescent="0.3">
      <c r="B302" s="12" t="s">
        <v>237</v>
      </c>
      <c r="C302" s="12" t="s">
        <v>186</v>
      </c>
      <c r="E302" s="39" t="str">
        <f>IF(GRAFICA_64!F18=1, 0, B302)</f>
        <v>D5X</v>
      </c>
      <c r="F302" s="14">
        <f>IF(E302&lt;&gt;0, COUNTIF(E$294:E302, "&lt;&gt;0"), "")</f>
        <v>6</v>
      </c>
      <c r="G302" s="14" t="str">
        <f>IF(E302=0, COUNTIF(E$294:E302, 0), "")</f>
        <v/>
      </c>
      <c r="P302" s="215"/>
      <c r="Q302" s="172"/>
      <c r="R302" s="172"/>
      <c r="S302" s="172"/>
      <c r="T302" s="172"/>
      <c r="U302" s="173"/>
    </row>
    <row r="303" spans="1:21" ht="16.95" customHeight="1" x14ac:dyDescent="0.3">
      <c r="B303" s="12" t="s">
        <v>238</v>
      </c>
      <c r="C303" s="12" t="s">
        <v>187</v>
      </c>
      <c r="E303" s="39" t="str">
        <f>IF(GRAFICA_64!G18=1, 0, B303)</f>
        <v>D5Y</v>
      </c>
      <c r="F303" s="14">
        <f>IF(E303&lt;&gt;0, COUNTIF(E$294:E303, "&lt;&gt;0"), "")</f>
        <v>7</v>
      </c>
      <c r="G303" s="14" t="str">
        <f>IF(E303=0, COUNTIF(E$294:E303, 0), "")</f>
        <v/>
      </c>
      <c r="P303" s="215"/>
      <c r="Q303" s="172"/>
      <c r="R303" s="172"/>
      <c r="S303" s="172"/>
      <c r="T303" s="172"/>
      <c r="U303" s="173"/>
    </row>
    <row r="304" spans="1:21" ht="16.95" customHeight="1" x14ac:dyDescent="0.3">
      <c r="B304" s="12" t="s">
        <v>239</v>
      </c>
      <c r="C304" s="12" t="s">
        <v>188</v>
      </c>
      <c r="E304" s="39" t="str">
        <f>IF(GRAFICA_64!F19=1, 0, B304)</f>
        <v>D6X</v>
      </c>
      <c r="F304" s="14">
        <f>IF(E304&lt;&gt;0, COUNTIF(E$294:E304, "&lt;&gt;0"), "")</f>
        <v>8</v>
      </c>
      <c r="G304" s="14" t="str">
        <f>IF(E304=0, COUNTIF(E$294:E304, 0), "")</f>
        <v/>
      </c>
      <c r="P304" s="215"/>
      <c r="Q304" s="172"/>
      <c r="R304" s="172"/>
      <c r="S304" s="172"/>
      <c r="T304" s="172"/>
      <c r="U304" s="173"/>
    </row>
    <row r="305" spans="1:21" ht="16.95" customHeight="1" x14ac:dyDescent="0.3">
      <c r="B305" s="12" t="s">
        <v>240</v>
      </c>
      <c r="C305" s="12" t="s">
        <v>189</v>
      </c>
      <c r="E305" s="39" t="str">
        <f>IF(GRAFICA_64!G19=1, 0, B305)</f>
        <v>D6Y</v>
      </c>
      <c r="F305" s="14">
        <f>IF(E305&lt;&gt;0, COUNTIF(E$294:E305, "&lt;&gt;0"), "")</f>
        <v>9</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143751.23842743217</v>
      </c>
      <c r="D310" s="9">
        <f t="shared" si="30"/>
        <v>44724.861618633571</v>
      </c>
      <c r="E310" s="9">
        <f t="shared" si="30"/>
        <v>-84000</v>
      </c>
      <c r="F310" s="9">
        <f t="shared" si="30"/>
        <v>0</v>
      </c>
      <c r="G310" s="9">
        <f t="shared" si="30"/>
        <v>0</v>
      </c>
      <c r="H310" s="9">
        <f t="shared" si="30"/>
        <v>0</v>
      </c>
      <c r="I310" s="9">
        <f t="shared" si="30"/>
        <v>0</v>
      </c>
      <c r="J310" s="9">
        <f t="shared" si="30"/>
        <v>0</v>
      </c>
      <c r="K310" s="9">
        <f t="shared" si="30"/>
        <v>-29698.484809834987</v>
      </c>
      <c r="L310" s="9">
        <f t="shared" si="30"/>
        <v>-29698.484809834987</v>
      </c>
      <c r="M310" s="9">
        <f t="shared" si="30"/>
        <v>-30052.753617597173</v>
      </c>
      <c r="N310" s="9">
        <f t="shared" si="30"/>
        <v>-15026.376808798586</v>
      </c>
      <c r="O310" s="13" t="s">
        <v>251</v>
      </c>
      <c r="P310" s="219" t="s">
        <v>380</v>
      </c>
      <c r="Q310" s="172"/>
      <c r="R310" s="172"/>
      <c r="S310" s="172"/>
      <c r="T310" s="172"/>
      <c r="U310" s="173"/>
    </row>
    <row r="311" spans="1:21" ht="16.95" customHeight="1" x14ac:dyDescent="0.3">
      <c r="A311" s="12" t="str">
        <f t="shared" si="29"/>
        <v>C1Y</v>
      </c>
      <c r="C311" s="9">
        <f t="shared" ref="C311:N311" si="31">B266</f>
        <v>44724.861618633571</v>
      </c>
      <c r="D311" s="9">
        <f t="shared" si="31"/>
        <v>37211.673214234281</v>
      </c>
      <c r="E311" s="9">
        <f t="shared" si="31"/>
        <v>0</v>
      </c>
      <c r="F311" s="9">
        <f t="shared" si="31"/>
        <v>0</v>
      </c>
      <c r="G311" s="9">
        <f t="shared" si="31"/>
        <v>0</v>
      </c>
      <c r="H311" s="9">
        <f t="shared" si="31"/>
        <v>0</v>
      </c>
      <c r="I311" s="9">
        <f t="shared" si="31"/>
        <v>0</v>
      </c>
      <c r="J311" s="9">
        <f t="shared" si="31"/>
        <v>0</v>
      </c>
      <c r="K311" s="9">
        <f t="shared" si="31"/>
        <v>-29698.484809834987</v>
      </c>
      <c r="L311" s="9">
        <f t="shared" si="31"/>
        <v>-29698.484809834987</v>
      </c>
      <c r="M311" s="9">
        <f t="shared" si="31"/>
        <v>-15026.376808798586</v>
      </c>
      <c r="N311" s="9">
        <f t="shared" si="31"/>
        <v>-7513.1884043992932</v>
      </c>
      <c r="O311" s="13" t="s">
        <v>251</v>
      </c>
      <c r="P311" s="219" t="s">
        <v>253</v>
      </c>
      <c r="Q311" s="172"/>
      <c r="R311" s="172"/>
      <c r="S311" s="172"/>
      <c r="T311" s="172"/>
      <c r="U311" s="173"/>
    </row>
    <row r="312" spans="1:21" ht="16.95" customHeight="1" x14ac:dyDescent="0.3">
      <c r="A312" s="41">
        <f t="shared" si="29"/>
        <v>0</v>
      </c>
      <c r="C312" s="9">
        <f t="shared" ref="C312:N312" si="32">B267</f>
        <v>-84000</v>
      </c>
      <c r="D312" s="9">
        <f t="shared" si="32"/>
        <v>0</v>
      </c>
      <c r="E312" s="41">
        <f t="shared" si="32"/>
        <v>197698.48480983498</v>
      </c>
      <c r="F312" s="41">
        <f t="shared" si="32"/>
        <v>29698.484809834987</v>
      </c>
      <c r="G312" s="41">
        <f t="shared" si="32"/>
        <v>-84000</v>
      </c>
      <c r="H312" s="41">
        <f t="shared" si="32"/>
        <v>0</v>
      </c>
      <c r="I312" s="41">
        <f t="shared" si="32"/>
        <v>0</v>
      </c>
      <c r="J312" s="9">
        <f t="shared" si="32"/>
        <v>0</v>
      </c>
      <c r="K312" s="41">
        <f t="shared" si="32"/>
        <v>0</v>
      </c>
      <c r="L312" s="41">
        <f t="shared" si="32"/>
        <v>0</v>
      </c>
      <c r="M312" s="41">
        <f t="shared" si="32"/>
        <v>-29698.484809834987</v>
      </c>
      <c r="N312" s="41">
        <f t="shared" si="32"/>
        <v>-29698.484809834987</v>
      </c>
      <c r="O312" s="13" t="s">
        <v>251</v>
      </c>
      <c r="P312" s="215" t="s">
        <v>254</v>
      </c>
      <c r="Q312" s="172"/>
      <c r="R312" s="172"/>
      <c r="S312" s="172"/>
      <c r="T312" s="172"/>
      <c r="U312" s="173"/>
    </row>
    <row r="313" spans="1:21" ht="16.95" customHeight="1" x14ac:dyDescent="0.3">
      <c r="A313" s="41">
        <f t="shared" si="29"/>
        <v>-6000</v>
      </c>
      <c r="C313" s="9">
        <f t="shared" ref="C313:N313" si="33">B268</f>
        <v>0</v>
      </c>
      <c r="D313" s="9">
        <f t="shared" si="33"/>
        <v>0</v>
      </c>
      <c r="E313" s="41">
        <f t="shared" si="33"/>
        <v>29698.484809834987</v>
      </c>
      <c r="F313" s="41">
        <f t="shared" si="33"/>
        <v>113698.48480983499</v>
      </c>
      <c r="G313" s="41">
        <f t="shared" si="33"/>
        <v>0</v>
      </c>
      <c r="H313" s="41">
        <f t="shared" si="33"/>
        <v>0</v>
      </c>
      <c r="I313" s="41">
        <f t="shared" si="33"/>
        <v>0</v>
      </c>
      <c r="J313" s="9">
        <f t="shared" si="33"/>
        <v>0</v>
      </c>
      <c r="K313" s="41">
        <f t="shared" si="33"/>
        <v>0</v>
      </c>
      <c r="L313" s="41">
        <f t="shared" si="33"/>
        <v>-84000</v>
      </c>
      <c r="M313" s="41">
        <f t="shared" si="33"/>
        <v>-29698.484809834987</v>
      </c>
      <c r="N313" s="41">
        <f t="shared" si="33"/>
        <v>-29698.484809834987</v>
      </c>
      <c r="O313" s="13" t="s">
        <v>251</v>
      </c>
      <c r="P313" s="215" t="s">
        <v>381</v>
      </c>
      <c r="Q313" s="172"/>
      <c r="R313" s="172"/>
      <c r="S313" s="172"/>
      <c r="T313" s="172"/>
      <c r="U313" s="173"/>
    </row>
    <row r="314" spans="1:21" ht="16.95" customHeight="1" x14ac:dyDescent="0.3">
      <c r="A314" s="41">
        <f t="shared" si="29"/>
        <v>0</v>
      </c>
      <c r="C314" s="9">
        <f t="shared" ref="C314:N314" si="34">B269</f>
        <v>0</v>
      </c>
      <c r="D314" s="9">
        <f t="shared" si="34"/>
        <v>0</v>
      </c>
      <c r="E314" s="41">
        <f t="shared" si="34"/>
        <v>-84000</v>
      </c>
      <c r="F314" s="41">
        <f t="shared" si="34"/>
        <v>0</v>
      </c>
      <c r="G314" s="41">
        <f t="shared" si="34"/>
        <v>197698.48480983498</v>
      </c>
      <c r="H314" s="41">
        <f t="shared" si="34"/>
        <v>-29698.484809834987</v>
      </c>
      <c r="I314" s="41">
        <f t="shared" si="34"/>
        <v>-84000</v>
      </c>
      <c r="J314" s="9">
        <f t="shared" si="34"/>
        <v>0</v>
      </c>
      <c r="K314" s="41">
        <f t="shared" si="34"/>
        <v>-29698.484809834987</v>
      </c>
      <c r="L314" s="41">
        <f t="shared" si="34"/>
        <v>29698.484809834987</v>
      </c>
      <c r="M314" s="41">
        <f t="shared" si="34"/>
        <v>0</v>
      </c>
      <c r="N314" s="41">
        <f t="shared" si="34"/>
        <v>0</v>
      </c>
      <c r="O314" s="13" t="s">
        <v>251</v>
      </c>
      <c r="P314" s="215" t="s">
        <v>382</v>
      </c>
      <c r="Q314" s="172"/>
      <c r="R314" s="172"/>
      <c r="S314" s="172"/>
      <c r="T314" s="172"/>
      <c r="U314" s="173"/>
    </row>
    <row r="315" spans="1:21" ht="16.95" customHeight="1" x14ac:dyDescent="0.3">
      <c r="A315" s="41">
        <f t="shared" si="29"/>
        <v>-6000</v>
      </c>
      <c r="C315" s="9">
        <f t="shared" ref="C315:N315" si="35">B270</f>
        <v>0</v>
      </c>
      <c r="D315" s="9">
        <f t="shared" si="35"/>
        <v>0</v>
      </c>
      <c r="E315" s="41">
        <f t="shared" si="35"/>
        <v>0</v>
      </c>
      <c r="F315" s="41">
        <f t="shared" si="35"/>
        <v>0</v>
      </c>
      <c r="G315" s="41">
        <f t="shared" si="35"/>
        <v>-29698.484809834987</v>
      </c>
      <c r="H315" s="41">
        <f t="shared" si="35"/>
        <v>113698.48480983499</v>
      </c>
      <c r="I315" s="41">
        <f t="shared" si="35"/>
        <v>0</v>
      </c>
      <c r="J315" s="9">
        <f t="shared" si="35"/>
        <v>0</v>
      </c>
      <c r="K315" s="41">
        <f t="shared" si="35"/>
        <v>29698.484809834987</v>
      </c>
      <c r="L315" s="41">
        <f t="shared" si="35"/>
        <v>-29698.484809834987</v>
      </c>
      <c r="M315" s="41">
        <f t="shared" si="35"/>
        <v>0</v>
      </c>
      <c r="N315" s="41">
        <f t="shared" si="35"/>
        <v>-84000</v>
      </c>
      <c r="O315" s="13" t="s">
        <v>251</v>
      </c>
      <c r="P315" s="215" t="str">
        <f t="shared" ref="P315:P321" si="36">E299</f>
        <v>D3Y</v>
      </c>
      <c r="Q315" s="172"/>
      <c r="R315" s="172"/>
      <c r="S315" s="172"/>
      <c r="T315" s="172"/>
      <c r="U315" s="173"/>
    </row>
    <row r="316" spans="1:21" ht="16.95" customHeight="1" x14ac:dyDescent="0.3">
      <c r="A316" s="41">
        <f t="shared" si="29"/>
        <v>0</v>
      </c>
      <c r="B316" s="13" t="s">
        <v>220</v>
      </c>
      <c r="C316" s="9">
        <f t="shared" ref="C316:N316" si="37">B271</f>
        <v>0</v>
      </c>
      <c r="D316" s="9">
        <f t="shared" si="37"/>
        <v>0</v>
      </c>
      <c r="E316" s="41">
        <f t="shared" si="37"/>
        <v>0</v>
      </c>
      <c r="F316" s="41">
        <f t="shared" si="37"/>
        <v>0</v>
      </c>
      <c r="G316" s="41">
        <f t="shared" si="37"/>
        <v>-84000</v>
      </c>
      <c r="H316" s="41">
        <f t="shared" si="37"/>
        <v>0</v>
      </c>
      <c r="I316" s="41">
        <f t="shared" si="37"/>
        <v>113698.48480983499</v>
      </c>
      <c r="J316" s="9">
        <f t="shared" si="37"/>
        <v>-29698.484809834987</v>
      </c>
      <c r="K316" s="41">
        <f t="shared" si="37"/>
        <v>0</v>
      </c>
      <c r="L316" s="41">
        <f t="shared" si="37"/>
        <v>0</v>
      </c>
      <c r="M316" s="41">
        <f t="shared" si="37"/>
        <v>-29698.484809834987</v>
      </c>
      <c r="N316" s="41">
        <f t="shared" si="37"/>
        <v>29698.484809834987</v>
      </c>
      <c r="O316" s="13" t="s">
        <v>251</v>
      </c>
      <c r="P316" s="215" t="str">
        <f t="shared" si="36"/>
        <v>D4X</v>
      </c>
      <c r="Q316" s="172"/>
      <c r="R316" s="172"/>
      <c r="S316" s="172"/>
      <c r="T316" s="172"/>
      <c r="U316" s="173"/>
    </row>
    <row r="317" spans="1:21" ht="16.95" customHeight="1" x14ac:dyDescent="0.3">
      <c r="A317" s="12" t="str">
        <f t="shared" si="29"/>
        <v>C4Y</v>
      </c>
      <c r="C317" s="9">
        <f t="shared" ref="C317:N317" si="38">B272</f>
        <v>0</v>
      </c>
      <c r="D317" s="9">
        <f t="shared" si="38"/>
        <v>0</v>
      </c>
      <c r="E317" s="9">
        <f t="shared" si="38"/>
        <v>0</v>
      </c>
      <c r="F317" s="9">
        <f t="shared" si="38"/>
        <v>0</v>
      </c>
      <c r="G317" s="9">
        <f t="shared" si="38"/>
        <v>0</v>
      </c>
      <c r="H317" s="9">
        <f t="shared" si="38"/>
        <v>0</v>
      </c>
      <c r="I317" s="9">
        <f t="shared" si="38"/>
        <v>-29698.484809834987</v>
      </c>
      <c r="J317" s="9">
        <f t="shared" si="38"/>
        <v>29698.484809834987</v>
      </c>
      <c r="K317" s="9">
        <f t="shared" si="38"/>
        <v>0</v>
      </c>
      <c r="L317" s="9">
        <f t="shared" si="38"/>
        <v>0</v>
      </c>
      <c r="M317" s="9">
        <f t="shared" si="38"/>
        <v>29698.484809834987</v>
      </c>
      <c r="N317" s="9">
        <f t="shared" si="38"/>
        <v>-29698.484809834987</v>
      </c>
      <c r="O317" s="13" t="s">
        <v>251</v>
      </c>
      <c r="P317" s="219">
        <f t="shared" si="36"/>
        <v>0</v>
      </c>
      <c r="Q317" s="172"/>
      <c r="R317" s="172"/>
      <c r="S317" s="172"/>
      <c r="T317" s="172"/>
      <c r="U317" s="173"/>
    </row>
    <row r="318" spans="1:21" ht="16.95" customHeight="1" x14ac:dyDescent="0.3">
      <c r="A318" s="41">
        <f t="shared" si="29"/>
        <v>0</v>
      </c>
      <c r="C318" s="9">
        <f t="shared" ref="C318:N318" si="39">B273</f>
        <v>-29698.484809834987</v>
      </c>
      <c r="D318" s="9">
        <f t="shared" si="39"/>
        <v>-29698.484809834987</v>
      </c>
      <c r="E318" s="41">
        <f t="shared" si="39"/>
        <v>0</v>
      </c>
      <c r="F318" s="41">
        <f t="shared" si="39"/>
        <v>0</v>
      </c>
      <c r="G318" s="41">
        <f t="shared" si="39"/>
        <v>-29698.484809834987</v>
      </c>
      <c r="H318" s="41">
        <f t="shared" si="39"/>
        <v>29698.484809834987</v>
      </c>
      <c r="I318" s="41">
        <f t="shared" si="39"/>
        <v>0</v>
      </c>
      <c r="J318" s="9">
        <f t="shared" si="39"/>
        <v>0</v>
      </c>
      <c r="K318" s="41">
        <f t="shared" si="39"/>
        <v>143396.96961966998</v>
      </c>
      <c r="L318" s="41">
        <f t="shared" si="39"/>
        <v>0</v>
      </c>
      <c r="M318" s="41">
        <f t="shared" si="39"/>
        <v>-84000</v>
      </c>
      <c r="N318" s="41">
        <f t="shared" si="39"/>
        <v>0</v>
      </c>
      <c r="O318" s="13" t="s">
        <v>251</v>
      </c>
      <c r="P318" s="215" t="str">
        <f t="shared" si="36"/>
        <v>D5X</v>
      </c>
      <c r="Q318" s="172"/>
      <c r="R318" s="172"/>
      <c r="S318" s="172"/>
      <c r="T318" s="172"/>
      <c r="U318" s="173"/>
    </row>
    <row r="319" spans="1:21" ht="16.95" customHeight="1" x14ac:dyDescent="0.3">
      <c r="A319" s="41">
        <f t="shared" si="29"/>
        <v>0</v>
      </c>
      <c r="C319" s="9">
        <f t="shared" ref="C319:N319" si="40">B274</f>
        <v>-29698.484809834987</v>
      </c>
      <c r="D319" s="9">
        <f t="shared" si="40"/>
        <v>-29698.484809834987</v>
      </c>
      <c r="E319" s="41">
        <f t="shared" si="40"/>
        <v>0</v>
      </c>
      <c r="F319" s="41">
        <f t="shared" si="40"/>
        <v>-84000</v>
      </c>
      <c r="G319" s="41">
        <f t="shared" si="40"/>
        <v>29698.484809834987</v>
      </c>
      <c r="H319" s="41">
        <f t="shared" si="40"/>
        <v>-29698.484809834987</v>
      </c>
      <c r="I319" s="41">
        <f t="shared" si="40"/>
        <v>0</v>
      </c>
      <c r="J319" s="9">
        <f t="shared" si="40"/>
        <v>0</v>
      </c>
      <c r="K319" s="41">
        <f t="shared" si="40"/>
        <v>0</v>
      </c>
      <c r="L319" s="41">
        <f t="shared" si="40"/>
        <v>143396.96961966998</v>
      </c>
      <c r="M319" s="41">
        <f t="shared" si="40"/>
        <v>0</v>
      </c>
      <c r="N319" s="41">
        <f t="shared" si="40"/>
        <v>0</v>
      </c>
      <c r="O319" s="13" t="s">
        <v>251</v>
      </c>
      <c r="P319" s="215" t="str">
        <f t="shared" si="36"/>
        <v>D5Y</v>
      </c>
      <c r="Q319" s="172"/>
      <c r="R319" s="172"/>
      <c r="S319" s="172"/>
      <c r="T319" s="172"/>
      <c r="U319" s="173"/>
    </row>
    <row r="320" spans="1:21" ht="16.95" customHeight="1" x14ac:dyDescent="0.3">
      <c r="A320" s="41">
        <f t="shared" si="29"/>
        <v>0</v>
      </c>
      <c r="C320" s="9">
        <f t="shared" ref="C320:N320" si="41">B275</f>
        <v>-30052.753617597173</v>
      </c>
      <c r="D320" s="9">
        <f t="shared" si="41"/>
        <v>-15026.376808798586</v>
      </c>
      <c r="E320" s="41">
        <f t="shared" si="41"/>
        <v>-29698.484809834987</v>
      </c>
      <c r="F320" s="41">
        <f t="shared" si="41"/>
        <v>-29698.484809834987</v>
      </c>
      <c r="G320" s="41">
        <f t="shared" si="41"/>
        <v>0</v>
      </c>
      <c r="H320" s="41">
        <f t="shared" si="41"/>
        <v>0</v>
      </c>
      <c r="I320" s="41">
        <f t="shared" si="41"/>
        <v>-29698.484809834987</v>
      </c>
      <c r="J320" s="9">
        <f t="shared" si="41"/>
        <v>29698.484809834987</v>
      </c>
      <c r="K320" s="41">
        <f t="shared" si="41"/>
        <v>-84000</v>
      </c>
      <c r="L320" s="41">
        <f t="shared" si="41"/>
        <v>0</v>
      </c>
      <c r="M320" s="41">
        <f t="shared" si="41"/>
        <v>173449.72323726714</v>
      </c>
      <c r="N320" s="41">
        <f t="shared" si="41"/>
        <v>15026.376808798586</v>
      </c>
      <c r="O320" s="13" t="s">
        <v>251</v>
      </c>
      <c r="P320" s="215" t="str">
        <f t="shared" si="36"/>
        <v>D6X</v>
      </c>
      <c r="Q320" s="172"/>
      <c r="R320" s="172"/>
      <c r="S320" s="172"/>
      <c r="T320" s="172"/>
      <c r="U320" s="173"/>
    </row>
    <row r="321" spans="1:21" ht="16.95" customHeight="1" x14ac:dyDescent="0.3">
      <c r="A321" s="41">
        <f t="shared" si="29"/>
        <v>0</v>
      </c>
      <c r="C321" s="9">
        <f t="shared" ref="C321:N321" si="42">B276</f>
        <v>-15026.376808798586</v>
      </c>
      <c r="D321" s="9">
        <f t="shared" si="42"/>
        <v>-7513.1884043992932</v>
      </c>
      <c r="E321" s="41">
        <f t="shared" si="42"/>
        <v>-29698.484809834987</v>
      </c>
      <c r="F321" s="41">
        <f t="shared" si="42"/>
        <v>-29698.484809834987</v>
      </c>
      <c r="G321" s="41">
        <f t="shared" si="42"/>
        <v>0</v>
      </c>
      <c r="H321" s="41">
        <f t="shared" si="42"/>
        <v>-84000</v>
      </c>
      <c r="I321" s="41">
        <f t="shared" si="42"/>
        <v>29698.484809834987</v>
      </c>
      <c r="J321" s="9">
        <f t="shared" si="42"/>
        <v>-29698.484809834987</v>
      </c>
      <c r="K321" s="41">
        <f t="shared" si="42"/>
        <v>0</v>
      </c>
      <c r="L321" s="41">
        <f t="shared" si="42"/>
        <v>0</v>
      </c>
      <c r="M321" s="41">
        <f t="shared" si="42"/>
        <v>15026.376808798586</v>
      </c>
      <c r="N321" s="41">
        <f t="shared" si="42"/>
        <v>150910.15802406927</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U3Y</v>
      </c>
      <c r="G325" s="38" t="str">
        <f>INDEX(C$294:C$305, MATCH(5, F$294:F$305, 0))</f>
        <v>U4X</v>
      </c>
      <c r="H325" s="38" t="str">
        <f>INDEX(C$294:C$305, MATCH(6, F$294:F$305, 0))</f>
        <v>U5X</v>
      </c>
      <c r="I325" s="38" t="str">
        <f>INDEX(C$294:C$305, MATCH(7, F$294:F$305, 0))</f>
        <v>U5Y</v>
      </c>
      <c r="J325" s="38" t="str">
        <f>INDEX(C$294:C$305, MATCH(8, F$294:F$305, 0))</f>
        <v>U6X</v>
      </c>
      <c r="K325" s="38" t="str">
        <f>INDEX(C$294:C$305, MATCH(9, F$294:F$305, 0))</f>
        <v>U6Y</v>
      </c>
      <c r="P325" s="215" t="s">
        <v>383</v>
      </c>
      <c r="Q325" s="172"/>
      <c r="R325" s="172"/>
      <c r="S325" s="172"/>
      <c r="T325" s="172"/>
      <c r="U325" s="173"/>
    </row>
    <row r="326" spans="1:21" ht="16.95" customHeight="1" x14ac:dyDescent="0.3">
      <c r="A326" s="41">
        <f t="shared" ref="A326:A334" si="43">INDEX(E$280:E$291, MATCH(N326, C$280:C$291, 0))</f>
        <v>0</v>
      </c>
      <c r="C326" s="41">
        <f t="shared" ref="C326:K334" si="44">INDEX($B$265:$M$276, MATCH($N326, $N$265:$N$276, 0), MATCH(C$325, $B$264:$M$264, 0))</f>
        <v>197698.48480983498</v>
      </c>
      <c r="D326" s="41">
        <f t="shared" si="44"/>
        <v>29698.484809834987</v>
      </c>
      <c r="E326" s="41">
        <f t="shared" si="44"/>
        <v>-84000</v>
      </c>
      <c r="F326" s="41">
        <f t="shared" si="44"/>
        <v>0</v>
      </c>
      <c r="G326" s="41">
        <f t="shared" si="44"/>
        <v>0</v>
      </c>
      <c r="H326" s="41">
        <f t="shared" si="44"/>
        <v>0</v>
      </c>
      <c r="I326" s="41">
        <f t="shared" si="44"/>
        <v>0</v>
      </c>
      <c r="J326" s="41">
        <f t="shared" si="44"/>
        <v>-29698.484809834987</v>
      </c>
      <c r="K326" s="41">
        <f t="shared" si="44"/>
        <v>-29698.484809834987</v>
      </c>
      <c r="L326" s="13" t="s">
        <v>251</v>
      </c>
      <c r="M326" s="38" t="str">
        <f>INDEX(B$294:B$305, MATCH(1, F$294:F$305, 0))</f>
        <v>D2X</v>
      </c>
      <c r="N326" s="14" t="str">
        <f>INDEX(C$294:C$305, MATCH(1, F$294:F$305, 0))</f>
        <v>U2X</v>
      </c>
      <c r="P326" s="215" t="s">
        <v>384</v>
      </c>
      <c r="Q326" s="172"/>
      <c r="R326" s="172"/>
      <c r="S326" s="172"/>
      <c r="T326" s="172"/>
      <c r="U326" s="173"/>
    </row>
    <row r="327" spans="1:21" ht="16.95" customHeight="1" x14ac:dyDescent="0.3">
      <c r="A327" s="41">
        <f t="shared" si="43"/>
        <v>-6000</v>
      </c>
      <c r="C327" s="41">
        <f t="shared" si="44"/>
        <v>29698.484809834987</v>
      </c>
      <c r="D327" s="41">
        <f t="shared" si="44"/>
        <v>113698.48480983499</v>
      </c>
      <c r="E327" s="41">
        <f t="shared" si="44"/>
        <v>0</v>
      </c>
      <c r="F327" s="41">
        <f t="shared" si="44"/>
        <v>0</v>
      </c>
      <c r="G327" s="41">
        <f t="shared" si="44"/>
        <v>0</v>
      </c>
      <c r="H327" s="41">
        <f t="shared" si="44"/>
        <v>0</v>
      </c>
      <c r="I327" s="41">
        <f t="shared" si="44"/>
        <v>-84000</v>
      </c>
      <c r="J327" s="41">
        <f t="shared" si="44"/>
        <v>-29698.484809834987</v>
      </c>
      <c r="K327" s="41">
        <f t="shared" si="44"/>
        <v>-29698.484809834987</v>
      </c>
      <c r="L327" s="13" t="s">
        <v>251</v>
      </c>
      <c r="M327" s="38" t="str">
        <f>INDEX(B$294:B$305, MATCH(2, F$294:F$305, 0))</f>
        <v>D2Y</v>
      </c>
      <c r="N327" s="14" t="str">
        <f>INDEX(C$294:C$305, MATCH(2, F$294:F$305, 0))</f>
        <v>U2Y</v>
      </c>
      <c r="P327" s="215" t="s">
        <v>385</v>
      </c>
      <c r="Q327" s="172"/>
      <c r="R327" s="172"/>
      <c r="S327" s="172"/>
      <c r="T327" s="172"/>
      <c r="U327" s="173"/>
    </row>
    <row r="328" spans="1:21" ht="16.95" customHeight="1" x14ac:dyDescent="0.3">
      <c r="A328" s="41">
        <f t="shared" si="43"/>
        <v>0</v>
      </c>
      <c r="C328" s="41">
        <f t="shared" si="44"/>
        <v>-84000</v>
      </c>
      <c r="D328" s="41">
        <f t="shared" si="44"/>
        <v>0</v>
      </c>
      <c r="E328" s="41">
        <f t="shared" si="44"/>
        <v>197698.48480983498</v>
      </c>
      <c r="F328" s="41">
        <f t="shared" si="44"/>
        <v>-29698.484809834987</v>
      </c>
      <c r="G328" s="41">
        <f t="shared" si="44"/>
        <v>-84000</v>
      </c>
      <c r="H328" s="41">
        <f t="shared" si="44"/>
        <v>-29698.484809834987</v>
      </c>
      <c r="I328" s="41">
        <f t="shared" si="44"/>
        <v>29698.484809834987</v>
      </c>
      <c r="J328" s="41">
        <f t="shared" si="44"/>
        <v>0</v>
      </c>
      <c r="K328" s="41">
        <f t="shared" si="44"/>
        <v>0</v>
      </c>
      <c r="L328" s="13" t="s">
        <v>251</v>
      </c>
      <c r="M328" s="38" t="str">
        <f>INDEX(B$294:B$305, MATCH(3, F$294:F$305, 0))</f>
        <v>D3X</v>
      </c>
      <c r="N328" s="14" t="str">
        <f>INDEX(C$294:C$305, MATCH(3, F$294:F$305, 0))</f>
        <v>U3X</v>
      </c>
      <c r="P328" s="215" t="s">
        <v>386</v>
      </c>
      <c r="Q328" s="172"/>
      <c r="R328" s="172"/>
      <c r="S328" s="172"/>
      <c r="T328" s="172"/>
      <c r="U328" s="173"/>
    </row>
    <row r="329" spans="1:21" ht="16.95" customHeight="1" x14ac:dyDescent="0.3">
      <c r="A329" s="41">
        <f t="shared" si="43"/>
        <v>-6000</v>
      </c>
      <c r="C329" s="41">
        <f t="shared" si="44"/>
        <v>0</v>
      </c>
      <c r="D329" s="41">
        <f t="shared" si="44"/>
        <v>0</v>
      </c>
      <c r="E329" s="41">
        <f t="shared" si="44"/>
        <v>-29698.484809834987</v>
      </c>
      <c r="F329" s="41">
        <f t="shared" si="44"/>
        <v>113698.48480983499</v>
      </c>
      <c r="G329" s="41">
        <f t="shared" si="44"/>
        <v>0</v>
      </c>
      <c r="H329" s="41">
        <f t="shared" si="44"/>
        <v>29698.484809834987</v>
      </c>
      <c r="I329" s="41">
        <f t="shared" si="44"/>
        <v>-29698.484809834987</v>
      </c>
      <c r="J329" s="41">
        <f t="shared" si="44"/>
        <v>0</v>
      </c>
      <c r="K329" s="41">
        <f t="shared" si="44"/>
        <v>-84000</v>
      </c>
      <c r="L329" s="13" t="s">
        <v>251</v>
      </c>
      <c r="M329" s="38" t="str">
        <f>INDEX(B$294:B$305, MATCH(4, F$294:F$305, 0))</f>
        <v>D3Y</v>
      </c>
      <c r="N329" s="14" t="str">
        <f>INDEX(C$294:C$305, MATCH(4, F$294:F$305, 0))</f>
        <v>U3Y</v>
      </c>
      <c r="P329" s="215" t="s">
        <v>387</v>
      </c>
      <c r="Q329" s="172"/>
      <c r="R329" s="172"/>
      <c r="S329" s="172"/>
      <c r="T329" s="172"/>
      <c r="U329" s="173"/>
    </row>
    <row r="330" spans="1:21" ht="16.95" customHeight="1" x14ac:dyDescent="0.3">
      <c r="A330" s="41">
        <f t="shared" si="43"/>
        <v>0</v>
      </c>
      <c r="B330" s="13" t="s">
        <v>220</v>
      </c>
      <c r="C330" s="41">
        <f t="shared" si="44"/>
        <v>0</v>
      </c>
      <c r="D330" s="41">
        <f t="shared" si="44"/>
        <v>0</v>
      </c>
      <c r="E330" s="41">
        <f t="shared" si="44"/>
        <v>-84000</v>
      </c>
      <c r="F330" s="41">
        <f t="shared" si="44"/>
        <v>0</v>
      </c>
      <c r="G330" s="41">
        <f t="shared" si="44"/>
        <v>113698.48480983499</v>
      </c>
      <c r="H330" s="41">
        <f t="shared" si="44"/>
        <v>0</v>
      </c>
      <c r="I330" s="41">
        <f t="shared" si="44"/>
        <v>0</v>
      </c>
      <c r="J330" s="41">
        <f t="shared" si="44"/>
        <v>-29698.484809834987</v>
      </c>
      <c r="K330" s="41">
        <f t="shared" si="44"/>
        <v>29698.484809834987</v>
      </c>
      <c r="L330" s="13" t="s">
        <v>251</v>
      </c>
      <c r="M330" s="38" t="str">
        <f>INDEX(B$294:B$305, MATCH(5, F$294:F$305, 0))</f>
        <v>D4X</v>
      </c>
      <c r="N330" s="14" t="str">
        <f>INDEX(C$294:C$305, MATCH(5, F$294:F$305, 0))</f>
        <v>U4X</v>
      </c>
      <c r="P330" s="215" t="s">
        <v>388</v>
      </c>
      <c r="Q330" s="172"/>
      <c r="R330" s="172"/>
      <c r="S330" s="172"/>
      <c r="T330" s="172"/>
      <c r="U330" s="173"/>
    </row>
    <row r="331" spans="1:21" ht="16.95" customHeight="1" x14ac:dyDescent="0.3">
      <c r="A331" s="41">
        <f t="shared" si="43"/>
        <v>0</v>
      </c>
      <c r="C331" s="41">
        <f t="shared" si="44"/>
        <v>0</v>
      </c>
      <c r="D331" s="41">
        <f t="shared" si="44"/>
        <v>0</v>
      </c>
      <c r="E331" s="41">
        <f t="shared" si="44"/>
        <v>-29698.484809834987</v>
      </c>
      <c r="F331" s="41">
        <f t="shared" si="44"/>
        <v>29698.484809834987</v>
      </c>
      <c r="G331" s="41">
        <f t="shared" si="44"/>
        <v>0</v>
      </c>
      <c r="H331" s="41">
        <f t="shared" si="44"/>
        <v>143396.96961966998</v>
      </c>
      <c r="I331" s="41">
        <f t="shared" si="44"/>
        <v>0</v>
      </c>
      <c r="J331" s="41">
        <f t="shared" si="44"/>
        <v>-84000</v>
      </c>
      <c r="K331" s="41">
        <f t="shared" si="44"/>
        <v>0</v>
      </c>
      <c r="L331" s="13" t="s">
        <v>251</v>
      </c>
      <c r="M331" s="38" t="str">
        <f>INDEX(B$294:B$305, MATCH(6, F$294:F$305, 0))</f>
        <v>D5X</v>
      </c>
      <c r="N331" s="14" t="str">
        <f>INDEX(C$294:C$305, MATCH(6, F$294:F$305, 0))</f>
        <v>U5X</v>
      </c>
      <c r="P331" s="215"/>
      <c r="Q331" s="172"/>
      <c r="R331" s="172"/>
      <c r="S331" s="172"/>
      <c r="T331" s="172"/>
      <c r="U331" s="173"/>
    </row>
    <row r="332" spans="1:21" ht="16.95" customHeight="1" x14ac:dyDescent="0.3">
      <c r="A332" s="41">
        <f t="shared" si="43"/>
        <v>0</v>
      </c>
      <c r="C332" s="41">
        <f t="shared" si="44"/>
        <v>0</v>
      </c>
      <c r="D332" s="41">
        <f t="shared" si="44"/>
        <v>-84000</v>
      </c>
      <c r="E332" s="41">
        <f t="shared" si="44"/>
        <v>29698.484809834987</v>
      </c>
      <c r="F332" s="41">
        <f t="shared" si="44"/>
        <v>-29698.484809834987</v>
      </c>
      <c r="G332" s="41">
        <f t="shared" si="44"/>
        <v>0</v>
      </c>
      <c r="H332" s="41">
        <f t="shared" si="44"/>
        <v>0</v>
      </c>
      <c r="I332" s="41">
        <f t="shared" si="44"/>
        <v>143396.96961966998</v>
      </c>
      <c r="J332" s="41">
        <f t="shared" si="44"/>
        <v>0</v>
      </c>
      <c r="K332" s="41">
        <f t="shared" si="44"/>
        <v>0</v>
      </c>
      <c r="L332" s="13" t="s">
        <v>251</v>
      </c>
      <c r="M332" s="38" t="str">
        <f>INDEX(B$294:B$305, MATCH(7, F$294:F$305, 0))</f>
        <v>D5Y</v>
      </c>
      <c r="N332" s="14" t="str">
        <f>INDEX(C$294:C$305, MATCH(7, F$294:F$305, 0))</f>
        <v>U5Y</v>
      </c>
      <c r="P332" s="215"/>
      <c r="Q332" s="172"/>
      <c r="R332" s="172"/>
      <c r="S332" s="172"/>
      <c r="T332" s="172"/>
      <c r="U332" s="173"/>
    </row>
    <row r="333" spans="1:21" ht="16.95" customHeight="1" x14ac:dyDescent="0.3">
      <c r="A333" s="41">
        <f t="shared" si="43"/>
        <v>0</v>
      </c>
      <c r="C333" s="41">
        <f t="shared" si="44"/>
        <v>-29698.484809834987</v>
      </c>
      <c r="D333" s="41">
        <f t="shared" si="44"/>
        <v>-29698.484809834987</v>
      </c>
      <c r="E333" s="41">
        <f t="shared" si="44"/>
        <v>0</v>
      </c>
      <c r="F333" s="41">
        <f t="shared" si="44"/>
        <v>0</v>
      </c>
      <c r="G333" s="41">
        <f t="shared" si="44"/>
        <v>-29698.484809834987</v>
      </c>
      <c r="H333" s="41">
        <f t="shared" si="44"/>
        <v>-84000</v>
      </c>
      <c r="I333" s="41">
        <f t="shared" si="44"/>
        <v>0</v>
      </c>
      <c r="J333" s="41">
        <f t="shared" si="44"/>
        <v>173449.72323726714</v>
      </c>
      <c r="K333" s="41">
        <f t="shared" si="44"/>
        <v>15026.376808798586</v>
      </c>
      <c r="L333" s="13" t="s">
        <v>251</v>
      </c>
      <c r="M333" s="38" t="str">
        <f>INDEX(B$294:B$305, MATCH(8, F$294:F$305, 0))</f>
        <v>D6X</v>
      </c>
      <c r="N333" s="14" t="str">
        <f>INDEX(C$294:C$305, MATCH(8, F$294:F$305, 0))</f>
        <v>U6X</v>
      </c>
      <c r="P333" s="215"/>
      <c r="Q333" s="172"/>
      <c r="R333" s="172"/>
      <c r="S333" s="172"/>
      <c r="T333" s="172"/>
      <c r="U333" s="173"/>
    </row>
    <row r="334" spans="1:21" ht="16.95" customHeight="1" x14ac:dyDescent="0.3">
      <c r="A334" s="41">
        <f t="shared" si="43"/>
        <v>0</v>
      </c>
      <c r="C334" s="41">
        <f t="shared" si="44"/>
        <v>-29698.484809834987</v>
      </c>
      <c r="D334" s="41">
        <f t="shared" si="44"/>
        <v>-29698.484809834987</v>
      </c>
      <c r="E334" s="41">
        <f t="shared" si="44"/>
        <v>0</v>
      </c>
      <c r="F334" s="41">
        <f t="shared" si="44"/>
        <v>-84000</v>
      </c>
      <c r="G334" s="41">
        <f t="shared" si="44"/>
        <v>29698.484809834987</v>
      </c>
      <c r="H334" s="41">
        <f t="shared" si="44"/>
        <v>0</v>
      </c>
      <c r="I334" s="41">
        <f t="shared" si="44"/>
        <v>0</v>
      </c>
      <c r="J334" s="41">
        <f t="shared" si="44"/>
        <v>15026.376808798586</v>
      </c>
      <c r="K334" s="41">
        <f t="shared" si="44"/>
        <v>150910.15802406927</v>
      </c>
      <c r="L334" s="13" t="s">
        <v>251</v>
      </c>
      <c r="M334" s="38" t="str">
        <f>INDEX(B$294:B$305, MATCH(9, F$294:F$305, 0))</f>
        <v>D6Y</v>
      </c>
      <c r="N334" s="14" t="str">
        <f>INDEX(C$294:C$305, MATCH(9, F$294:F$305, 0))</f>
        <v>U6Y</v>
      </c>
      <c r="P334" s="215"/>
      <c r="Q334" s="172"/>
      <c r="R334" s="172"/>
      <c r="S334" s="172"/>
      <c r="T334" s="172"/>
      <c r="U334" s="173"/>
    </row>
    <row r="335" spans="1:21" ht="16.95" customHeight="1" x14ac:dyDescent="0.3">
      <c r="P335" s="215"/>
      <c r="Q335" s="172"/>
      <c r="R335" s="172"/>
      <c r="S335" s="172"/>
      <c r="T335" s="172"/>
      <c r="U335" s="173"/>
    </row>
    <row r="336" spans="1:21" ht="16.95" customHeight="1" x14ac:dyDescent="0.3">
      <c r="C336" s="218" t="s">
        <v>263</v>
      </c>
      <c r="D336" s="172"/>
      <c r="E336" s="172"/>
      <c r="F336" s="172"/>
      <c r="G336" s="172"/>
      <c r="H336" s="172"/>
      <c r="I336" s="172"/>
      <c r="J336" s="172"/>
      <c r="K336" s="173"/>
      <c r="P336" s="215"/>
      <c r="Q336" s="172"/>
      <c r="R336" s="172"/>
      <c r="S336" s="172"/>
      <c r="T336" s="172"/>
      <c r="U336" s="173"/>
    </row>
    <row r="337" spans="1:21" ht="16.95" customHeight="1" x14ac:dyDescent="0.3">
      <c r="A337" s="99" t="s">
        <v>249</v>
      </c>
      <c r="C337" s="193" t="s">
        <v>264</v>
      </c>
      <c r="D337" s="175"/>
      <c r="E337" s="175"/>
      <c r="F337" s="175"/>
      <c r="G337" s="175"/>
      <c r="H337" s="175"/>
      <c r="I337" s="175"/>
      <c r="J337" s="175"/>
      <c r="K337" s="175"/>
      <c r="M337" s="99" t="s">
        <v>247</v>
      </c>
      <c r="P337" s="215"/>
      <c r="Q337" s="172"/>
      <c r="R337" s="172"/>
      <c r="S337" s="172"/>
      <c r="T337" s="172"/>
      <c r="U337" s="173"/>
    </row>
    <row r="338" spans="1:21" ht="16.95" customHeight="1" x14ac:dyDescent="0.3">
      <c r="A338" s="12" t="str">
        <f t="shared" ref="A338:A346" si="45">M326</f>
        <v>D2X</v>
      </c>
      <c r="C338" s="93">
        <f t="array" ref="C338:K346">MINVERSE(C326:K334)</f>
        <v>1.1278484466720129E-5</v>
      </c>
      <c r="D338" s="93">
        <v>-9.0562838605244408E-6</v>
      </c>
      <c r="E338" s="93">
        <v>1.1095052052021828E-5</v>
      </c>
      <c r="F338" s="93">
        <v>-4.8792707462565481E-6</v>
      </c>
      <c r="G338" s="93">
        <v>1.1095052052021828E-5</v>
      </c>
      <c r="H338" s="93">
        <v>6.8420587438070564E-6</v>
      </c>
      <c r="I338" s="93">
        <v>-8.6134388371809666E-6</v>
      </c>
      <c r="J338" s="93">
        <v>6.0323488910669836E-6</v>
      </c>
      <c r="K338" s="93">
        <v>-5.0627031609548487E-6</v>
      </c>
      <c r="M338" s="17">
        <f t="shared" ref="M338:M346" si="46">A326</f>
        <v>0</v>
      </c>
      <c r="P338" s="215"/>
      <c r="Q338" s="172"/>
      <c r="R338" s="172"/>
      <c r="S338" s="172"/>
      <c r="T338" s="172"/>
      <c r="U338" s="173"/>
    </row>
    <row r="339" spans="1:21" ht="16.95" customHeight="1" x14ac:dyDescent="0.3">
      <c r="A339" s="12" t="str">
        <f t="shared" si="45"/>
        <v>D2Y</v>
      </c>
      <c r="C339" s="93">
        <v>-9.0562838605244408E-6</v>
      </c>
      <c r="D339" s="93">
        <v>3.8506279361172345E-5</v>
      </c>
      <c r="E339" s="93">
        <v>-1.4103861128196657E-5</v>
      </c>
      <c r="F339" s="93">
        <v>2.4783169947627077E-5</v>
      </c>
      <c r="G339" s="93">
        <v>-1.8072115096450626E-5</v>
      </c>
      <c r="H339" s="93">
        <v>-1.1329594323006215E-5</v>
      </c>
      <c r="I339" s="93">
        <v>3.0610224049262663E-5</v>
      </c>
      <c r="J339" s="93">
        <v>-5.5921856099330383E-6</v>
      </c>
      <c r="K339" s="93">
        <v>2.3703846648208823E-5</v>
      </c>
      <c r="M339" s="17">
        <f t="shared" si="46"/>
        <v>-6000</v>
      </c>
      <c r="P339" s="215"/>
      <c r="Q339" s="172"/>
      <c r="R339" s="172"/>
      <c r="S339" s="172"/>
      <c r="T339" s="172"/>
      <c r="U339" s="173"/>
    </row>
    <row r="340" spans="1:21" ht="16.95" customHeight="1" x14ac:dyDescent="0.3">
      <c r="A340" s="12" t="str">
        <f t="shared" si="45"/>
        <v>D3X</v>
      </c>
      <c r="C340" s="93">
        <v>1.109505205202183E-5</v>
      </c>
      <c r="D340" s="93">
        <v>-1.4103861128196662E-5</v>
      </c>
      <c r="E340" s="93">
        <v>2.1529876972265989E-5</v>
      </c>
      <c r="F340" s="93">
        <v>-9.8657038756960011E-6</v>
      </c>
      <c r="G340" s="93">
        <v>2.1529876972265989E-5</v>
      </c>
      <c r="H340" s="93">
        <v>1.2473882949310063E-5</v>
      </c>
      <c r="I340" s="93">
        <v>-1.4764088259974329E-5</v>
      </c>
      <c r="J340" s="93">
        <v>1.0194236112052249E-5</v>
      </c>
      <c r="K340" s="93">
        <v>-1.1335640860213745E-5</v>
      </c>
      <c r="M340" s="17">
        <f t="shared" si="46"/>
        <v>0</v>
      </c>
      <c r="P340" s="215"/>
      <c r="Q340" s="172"/>
      <c r="R340" s="172"/>
      <c r="S340" s="172"/>
      <c r="T340" s="172"/>
      <c r="U340" s="173"/>
    </row>
    <row r="341" spans="1:21" ht="16.95" customHeight="1" x14ac:dyDescent="0.3">
      <c r="A341" s="12" t="str">
        <f t="shared" si="45"/>
        <v>D3Y</v>
      </c>
      <c r="C341" s="93">
        <v>-4.8792707462565489E-6</v>
      </c>
      <c r="D341" s="93">
        <v>2.478316994762708E-5</v>
      </c>
      <c r="E341" s="93">
        <v>-9.8657038756960011E-6</v>
      </c>
      <c r="F341" s="93">
        <v>3.9183210261845384E-5</v>
      </c>
      <c r="G341" s="93">
        <v>-1.7802211812203939E-5</v>
      </c>
      <c r="H341" s="93">
        <v>-1.6028834968754327E-5</v>
      </c>
      <c r="I341" s="93">
        <v>2.4676007564444174E-5</v>
      </c>
      <c r="J341" s="93">
        <v>-1.0021522971434458E-5</v>
      </c>
      <c r="K341" s="93">
        <v>3.0228523164151956E-5</v>
      </c>
      <c r="M341" s="17">
        <f t="shared" si="46"/>
        <v>-6000</v>
      </c>
      <c r="P341" s="215"/>
      <c r="Q341" s="172"/>
      <c r="R341" s="172"/>
      <c r="S341" s="172"/>
      <c r="T341" s="172"/>
      <c r="U341" s="173"/>
    </row>
    <row r="342" spans="1:21" ht="16.95" customHeight="1" x14ac:dyDescent="0.3">
      <c r="A342" s="12" t="str">
        <f t="shared" si="45"/>
        <v>D4X</v>
      </c>
      <c r="B342" s="13" t="s">
        <v>220</v>
      </c>
      <c r="C342" s="93">
        <v>1.109505205202183E-5</v>
      </c>
      <c r="D342" s="93">
        <v>-1.8072115096450629E-5</v>
      </c>
      <c r="E342" s="93">
        <v>2.1529876972265989E-5</v>
      </c>
      <c r="F342" s="93">
        <v>-1.7802211812203939E-5</v>
      </c>
      <c r="G342" s="93">
        <v>3.3434638877027892E-5</v>
      </c>
      <c r="H342" s="93">
        <v>1.6442136917564034E-5</v>
      </c>
      <c r="I342" s="93">
        <v>-1.8732342228228293E-5</v>
      </c>
      <c r="J342" s="93">
        <v>1.4162490080306216E-5</v>
      </c>
      <c r="K342" s="93">
        <v>-1.927214879672168E-5</v>
      </c>
      <c r="M342" s="17">
        <f t="shared" si="46"/>
        <v>0</v>
      </c>
      <c r="P342" s="215"/>
      <c r="Q342" s="172"/>
      <c r="R342" s="172"/>
      <c r="S342" s="172"/>
      <c r="T342" s="172"/>
      <c r="U342" s="173"/>
    </row>
    <row r="343" spans="1:21" ht="16.95" customHeight="1" x14ac:dyDescent="0.3">
      <c r="A343" s="12" t="str">
        <f t="shared" si="45"/>
        <v>D5X</v>
      </c>
      <c r="C343" s="93">
        <v>6.8420587438070564E-6</v>
      </c>
      <c r="D343" s="93">
        <v>-1.1329594323006217E-5</v>
      </c>
      <c r="E343" s="93">
        <v>1.2473882949310061E-5</v>
      </c>
      <c r="F343" s="93">
        <v>-1.6028834968754327E-5</v>
      </c>
      <c r="G343" s="93">
        <v>1.6442136917564034E-5</v>
      </c>
      <c r="H343" s="93">
        <v>2.0668176239709762E-5</v>
      </c>
      <c r="I343" s="93">
        <v>-1.2539828861310265E-5</v>
      </c>
      <c r="J343" s="93">
        <v>1.3300789347749983E-5</v>
      </c>
      <c r="K343" s="93">
        <v>-1.4365264731505289E-5</v>
      </c>
      <c r="M343" s="17">
        <f t="shared" si="46"/>
        <v>0</v>
      </c>
      <c r="P343" s="215"/>
      <c r="Q343" s="172"/>
      <c r="R343" s="172"/>
      <c r="S343" s="172"/>
      <c r="T343" s="172"/>
      <c r="U343" s="173"/>
    </row>
    <row r="344" spans="1:21" ht="16.95" customHeight="1" x14ac:dyDescent="0.3">
      <c r="A344" s="12" t="str">
        <f t="shared" si="45"/>
        <v>D5Y</v>
      </c>
      <c r="C344" s="93">
        <v>-8.6134388371809632E-6</v>
      </c>
      <c r="D344" s="93">
        <v>3.0610224049262663E-5</v>
      </c>
      <c r="E344" s="93">
        <v>-1.4764088259974324E-5</v>
      </c>
      <c r="F344" s="93">
        <v>2.4676007564444174E-5</v>
      </c>
      <c r="G344" s="93">
        <v>-1.8732342228228293E-5</v>
      </c>
      <c r="H344" s="93">
        <v>-1.2539828861310267E-5</v>
      </c>
      <c r="I344" s="93">
        <v>3.3073013463650259E-5</v>
      </c>
      <c r="J344" s="93">
        <v>-7.4626472800147552E-6</v>
      </c>
      <c r="K344" s="93">
        <v>2.2493612109904775E-5</v>
      </c>
      <c r="M344" s="17">
        <f t="shared" si="46"/>
        <v>0</v>
      </c>
      <c r="P344" s="215"/>
      <c r="Q344" s="172"/>
      <c r="R344" s="172"/>
      <c r="S344" s="172"/>
      <c r="T344" s="172"/>
      <c r="U344" s="173"/>
    </row>
    <row r="345" spans="1:21" ht="16.95" customHeight="1" x14ac:dyDescent="0.3">
      <c r="A345" s="12" t="str">
        <f t="shared" si="45"/>
        <v>D6X</v>
      </c>
      <c r="C345" s="93">
        <v>6.0323488910669819E-6</v>
      </c>
      <c r="D345" s="93">
        <v>-5.5921856099330383E-6</v>
      </c>
      <c r="E345" s="93">
        <v>1.0194236112052247E-5</v>
      </c>
      <c r="F345" s="93">
        <v>-1.0021522971434456E-5</v>
      </c>
      <c r="G345" s="93">
        <v>1.4162490080306216E-5</v>
      </c>
      <c r="H345" s="93">
        <v>1.3300789347749984E-5</v>
      </c>
      <c r="I345" s="93">
        <v>-7.4626472800147552E-6</v>
      </c>
      <c r="J345" s="93">
        <v>1.5558517523294295E-5</v>
      </c>
      <c r="K345" s="93">
        <v>-9.827889718703159E-6</v>
      </c>
      <c r="M345" s="17">
        <f t="shared" si="46"/>
        <v>0</v>
      </c>
      <c r="P345" s="215"/>
      <c r="Q345" s="172"/>
      <c r="R345" s="172"/>
      <c r="S345" s="172"/>
      <c r="T345" s="172"/>
      <c r="U345" s="173"/>
    </row>
    <row r="346" spans="1:21" ht="16.95" customHeight="1" x14ac:dyDescent="0.3">
      <c r="A346" s="12" t="str">
        <f t="shared" si="45"/>
        <v>D6Y</v>
      </c>
      <c r="C346" s="93">
        <v>-5.0627031609548478E-6</v>
      </c>
      <c r="D346" s="93">
        <v>2.370384664820883E-5</v>
      </c>
      <c r="E346" s="93">
        <v>-1.1335640860213744E-5</v>
      </c>
      <c r="F346" s="93">
        <v>3.0228523164151963E-5</v>
      </c>
      <c r="G346" s="93">
        <v>-1.9272148796721683E-5</v>
      </c>
      <c r="H346" s="93">
        <v>-1.4365264731505289E-5</v>
      </c>
      <c r="I346" s="93">
        <v>2.2493612109904778E-5</v>
      </c>
      <c r="J346" s="93">
        <v>-9.8278897187031607E-6</v>
      </c>
      <c r="K346" s="93">
        <v>3.1892093401400999E-5</v>
      </c>
      <c r="M346" s="17">
        <f t="shared" si="46"/>
        <v>0</v>
      </c>
      <c r="P346" s="215"/>
      <c r="Q346" s="172"/>
      <c r="R346" s="172"/>
      <c r="S346" s="172"/>
      <c r="T346" s="172"/>
      <c r="U346" s="173"/>
    </row>
    <row r="347" spans="1:21" ht="16.95" customHeight="1" x14ac:dyDescent="0.3">
      <c r="P347" s="215"/>
      <c r="Q347" s="172"/>
      <c r="R347" s="172"/>
      <c r="S347" s="172"/>
      <c r="T347" s="172"/>
      <c r="U347" s="173"/>
    </row>
    <row r="348" spans="1:21" ht="16.95" customHeight="1" x14ac:dyDescent="0.3">
      <c r="C348" s="218" t="s">
        <v>265</v>
      </c>
      <c r="D348" s="173"/>
      <c r="P348" s="215"/>
      <c r="Q348" s="172"/>
      <c r="R348" s="172"/>
      <c r="S348" s="172"/>
      <c r="T348" s="172"/>
      <c r="U348" s="173"/>
    </row>
    <row r="349" spans="1:21" ht="16.95" customHeight="1" x14ac:dyDescent="0.3">
      <c r="A349" s="99" t="s">
        <v>249</v>
      </c>
      <c r="C349" s="99" t="s">
        <v>266</v>
      </c>
      <c r="P349" s="215"/>
      <c r="Q349" s="172"/>
      <c r="R349" s="172"/>
      <c r="S349" s="172"/>
      <c r="T349" s="172"/>
      <c r="U349" s="173"/>
    </row>
    <row r="350" spans="1:21" ht="16.95" customHeight="1" x14ac:dyDescent="0.3">
      <c r="A350" s="12" t="str">
        <f t="shared" ref="A350:A358" si="47">A338</f>
        <v>D2X</v>
      </c>
      <c r="C350" s="94">
        <f t="array" ref="C350:C358">MMULT(C338:K346, M338:M346)</f>
        <v>8.3613327640685936E-2</v>
      </c>
      <c r="D350" s="12" t="s">
        <v>267</v>
      </c>
      <c r="P350" s="215"/>
      <c r="Q350" s="172"/>
      <c r="R350" s="172"/>
      <c r="S350" s="172"/>
      <c r="T350" s="172"/>
      <c r="U350" s="173"/>
    </row>
    <row r="351" spans="1:21" ht="16.95" customHeight="1" x14ac:dyDescent="0.3">
      <c r="A351" s="12" t="str">
        <f t="shared" si="47"/>
        <v>D2Y</v>
      </c>
      <c r="C351" s="94">
        <v>-0.37973669585279657</v>
      </c>
      <c r="D351" s="12" t="s">
        <v>267</v>
      </c>
      <c r="P351" s="215"/>
      <c r="Q351" s="172"/>
      <c r="R351" s="172"/>
      <c r="S351" s="172"/>
      <c r="T351" s="172"/>
      <c r="U351" s="173"/>
    </row>
    <row r="352" spans="1:21" ht="16.95" customHeight="1" x14ac:dyDescent="0.3">
      <c r="A352" s="12" t="str">
        <f t="shared" si="47"/>
        <v>D3X</v>
      </c>
      <c r="C352" s="94">
        <v>0.14381739002335597</v>
      </c>
      <c r="D352" s="12" t="s">
        <v>267</v>
      </c>
      <c r="P352" s="215"/>
      <c r="Q352" s="172"/>
      <c r="R352" s="172"/>
      <c r="S352" s="172"/>
      <c r="T352" s="172"/>
      <c r="U352" s="173"/>
    </row>
    <row r="353" spans="1:21" ht="16.95" customHeight="1" x14ac:dyDescent="0.3">
      <c r="A353" s="12" t="str">
        <f t="shared" si="47"/>
        <v>D3Y</v>
      </c>
      <c r="C353" s="94">
        <v>-0.38379828125683479</v>
      </c>
      <c r="D353" s="12" t="s">
        <v>267</v>
      </c>
      <c r="P353" s="215"/>
      <c r="Q353" s="172"/>
      <c r="R353" s="172"/>
      <c r="S353" s="172"/>
      <c r="T353" s="172"/>
      <c r="U353" s="173"/>
    </row>
    <row r="354" spans="1:21" ht="16.95" customHeight="1" x14ac:dyDescent="0.3">
      <c r="A354" s="12" t="str">
        <f t="shared" si="47"/>
        <v>D4X</v>
      </c>
      <c r="B354" s="13" t="s">
        <v>220</v>
      </c>
      <c r="C354" s="94">
        <v>0.21524596145192743</v>
      </c>
      <c r="D354" s="12" t="s">
        <v>267</v>
      </c>
      <c r="P354" s="215"/>
      <c r="Q354" s="172"/>
      <c r="R354" s="172"/>
      <c r="S354" s="172"/>
      <c r="T354" s="172"/>
      <c r="U354" s="173"/>
    </row>
    <row r="355" spans="1:21" ht="16.95" customHeight="1" x14ac:dyDescent="0.3">
      <c r="A355" s="12" t="str">
        <f t="shared" si="47"/>
        <v>D5X</v>
      </c>
      <c r="C355" s="94">
        <v>0.16415057575056327</v>
      </c>
      <c r="D355" s="12" t="s">
        <v>267</v>
      </c>
      <c r="P355" s="215"/>
      <c r="Q355" s="172"/>
      <c r="R355" s="172"/>
      <c r="S355" s="172"/>
      <c r="T355" s="172"/>
      <c r="U355" s="173"/>
    </row>
    <row r="356" spans="1:21" ht="16.95" customHeight="1" x14ac:dyDescent="0.3">
      <c r="A356" s="12" t="str">
        <f t="shared" si="47"/>
        <v>D5Y</v>
      </c>
      <c r="C356" s="94">
        <v>-0.33171738968224102</v>
      </c>
      <c r="D356" s="12" t="s">
        <v>267</v>
      </c>
      <c r="P356" s="215"/>
      <c r="Q356" s="172"/>
      <c r="R356" s="172"/>
      <c r="S356" s="172"/>
      <c r="T356" s="172"/>
      <c r="U356" s="173"/>
    </row>
    <row r="357" spans="1:21" ht="16.95" customHeight="1" x14ac:dyDescent="0.3">
      <c r="A357" s="12" t="str">
        <f t="shared" si="47"/>
        <v>D6X</v>
      </c>
      <c r="C357" s="94">
        <v>9.3682251488204971E-2</v>
      </c>
      <c r="D357" s="12" t="s">
        <v>267</v>
      </c>
      <c r="P357" s="215"/>
      <c r="Q357" s="172"/>
      <c r="R357" s="172"/>
      <c r="S357" s="172"/>
      <c r="T357" s="172"/>
      <c r="U357" s="173"/>
    </row>
    <row r="358" spans="1:21" ht="16.95" customHeight="1" x14ac:dyDescent="0.3">
      <c r="A358" s="12" t="str">
        <f t="shared" si="47"/>
        <v>D6Y</v>
      </c>
      <c r="C358" s="94">
        <v>-0.32359421887416473</v>
      </c>
      <c r="D358" s="12" t="s">
        <v>267</v>
      </c>
      <c r="P358" s="215"/>
      <c r="Q358" s="172"/>
      <c r="R358" s="172"/>
      <c r="S358" s="172"/>
      <c r="T358" s="172"/>
      <c r="U358" s="173"/>
    </row>
    <row r="361" spans="1:21" ht="19.95" customHeight="1" x14ac:dyDescent="0.35">
      <c r="A361" s="11" t="s">
        <v>268</v>
      </c>
      <c r="P361" s="216" t="s">
        <v>269</v>
      </c>
      <c r="Q361" s="172"/>
      <c r="R361" s="172"/>
      <c r="S361" s="172"/>
      <c r="T361" s="172"/>
      <c r="U361" s="173"/>
    </row>
    <row r="362" spans="1:21" ht="16.95" customHeight="1" x14ac:dyDescent="0.3">
      <c r="A362" s="99" t="s">
        <v>247</v>
      </c>
      <c r="M362" s="99" t="s">
        <v>249</v>
      </c>
      <c r="P362" s="215" t="s">
        <v>389</v>
      </c>
      <c r="Q362" s="172"/>
      <c r="R362" s="172"/>
      <c r="S362" s="172"/>
      <c r="T362" s="172"/>
      <c r="U362" s="173"/>
    </row>
    <row r="363" spans="1:21" ht="16.95" customHeight="1" x14ac:dyDescent="0.3">
      <c r="A363" s="18" t="str">
        <f>INDEX(B$280:B$291, MATCH(N363, C$280:C$291, 0))</f>
        <v>C1X</v>
      </c>
      <c r="C363" s="9">
        <f t="shared" ref="C363:K365" si="48">INDEX($B$265:$M$276, MATCH($N363, $N$265:$N$276, 0), MATCH(C$325, $B$264:$M$264, 0))</f>
        <v>-84000</v>
      </c>
      <c r="D363" s="9">
        <f t="shared" si="48"/>
        <v>0</v>
      </c>
      <c r="E363" s="9">
        <f t="shared" si="48"/>
        <v>0</v>
      </c>
      <c r="F363" s="9">
        <f t="shared" si="48"/>
        <v>0</v>
      </c>
      <c r="G363" s="9">
        <f t="shared" si="48"/>
        <v>0</v>
      </c>
      <c r="H363" s="9">
        <f t="shared" si="48"/>
        <v>-29698.484809834987</v>
      </c>
      <c r="I363" s="9">
        <f t="shared" si="48"/>
        <v>-29698.484809834987</v>
      </c>
      <c r="J363" s="9">
        <f t="shared" si="48"/>
        <v>-30052.753617597173</v>
      </c>
      <c r="K363" s="9">
        <f t="shared" si="48"/>
        <v>-15026.376808798586</v>
      </c>
      <c r="M363" s="95">
        <f t="shared" ref="M363:M371" si="49">C350</f>
        <v>8.3613327640685936E-2</v>
      </c>
      <c r="N363" s="14" t="str">
        <f>INDEX(C$294:C$305, MATCH(1, G$294:G$305, 0))</f>
        <v>U1X</v>
      </c>
      <c r="P363" s="215" t="s">
        <v>390</v>
      </c>
      <c r="Q363" s="172"/>
      <c r="R363" s="172"/>
      <c r="S363" s="172"/>
      <c r="T363" s="172"/>
      <c r="U363" s="173"/>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0</v>
      </c>
      <c r="H364" s="9">
        <f t="shared" si="48"/>
        <v>-29698.484809834987</v>
      </c>
      <c r="I364" s="9">
        <f t="shared" si="48"/>
        <v>-29698.484809834987</v>
      </c>
      <c r="J364" s="9">
        <f t="shared" si="48"/>
        <v>-15026.376808798586</v>
      </c>
      <c r="K364" s="9">
        <f t="shared" si="48"/>
        <v>-7513.1884043992932</v>
      </c>
      <c r="M364" s="95">
        <f t="shared" si="49"/>
        <v>-0.37973669585279657</v>
      </c>
      <c r="N364" s="14" t="str">
        <f>INDEX(C$294:C$305, MATCH(2, G$294:G$305, 0))</f>
        <v>U1Y</v>
      </c>
      <c r="P364" s="215" t="s">
        <v>391</v>
      </c>
      <c r="Q364" s="172"/>
      <c r="R364" s="172"/>
      <c r="S364" s="172"/>
      <c r="T364" s="172"/>
      <c r="U364" s="173"/>
    </row>
    <row r="365" spans="1:21" ht="16.95" customHeight="1" x14ac:dyDescent="0.3">
      <c r="A365" s="18" t="str">
        <f>INDEX(B$280:B$291, MATCH(N365, C$280:C$291, 0))</f>
        <v>C4Y</v>
      </c>
      <c r="C365" s="9">
        <f t="shared" si="48"/>
        <v>0</v>
      </c>
      <c r="D365" s="9">
        <f t="shared" si="48"/>
        <v>0</v>
      </c>
      <c r="E365" s="9">
        <f t="shared" si="48"/>
        <v>0</v>
      </c>
      <c r="F365" s="9">
        <f t="shared" si="48"/>
        <v>0</v>
      </c>
      <c r="G365" s="9">
        <f t="shared" si="48"/>
        <v>-29698.484809834987</v>
      </c>
      <c r="H365" s="9">
        <f t="shared" si="48"/>
        <v>0</v>
      </c>
      <c r="I365" s="9">
        <f t="shared" si="48"/>
        <v>0</v>
      </c>
      <c r="J365" s="9">
        <f t="shared" si="48"/>
        <v>29698.484809834987</v>
      </c>
      <c r="K365" s="9">
        <f t="shared" si="48"/>
        <v>-29698.484809834987</v>
      </c>
      <c r="M365" s="95">
        <f t="shared" si="49"/>
        <v>0.14381739002335597</v>
      </c>
      <c r="N365" s="14" t="str">
        <f>INDEX(C$294:C$305, MATCH(3, G$294:G$305, 0))</f>
        <v>U4Y</v>
      </c>
      <c r="P365" s="215" t="s">
        <v>392</v>
      </c>
      <c r="Q365" s="172"/>
      <c r="R365" s="172"/>
      <c r="S365" s="172"/>
      <c r="T365" s="172"/>
      <c r="U365" s="173"/>
    </row>
    <row r="366" spans="1:21" ht="16.95" customHeight="1" x14ac:dyDescent="0.3">
      <c r="M366" s="95">
        <f t="shared" si="49"/>
        <v>-0.38379828125683479</v>
      </c>
      <c r="P366" s="215" t="s">
        <v>393</v>
      </c>
      <c r="Q366" s="172"/>
      <c r="R366" s="172"/>
      <c r="S366" s="172"/>
      <c r="T366" s="172"/>
      <c r="U366" s="173"/>
    </row>
    <row r="367" spans="1:21" ht="16.95" customHeight="1" x14ac:dyDescent="0.3">
      <c r="M367" s="95">
        <f t="shared" si="49"/>
        <v>0.21524596145192743</v>
      </c>
      <c r="P367" s="215" t="s">
        <v>394</v>
      </c>
      <c r="Q367" s="172"/>
      <c r="R367" s="172"/>
      <c r="S367" s="172"/>
      <c r="T367" s="172"/>
      <c r="U367" s="173"/>
    </row>
    <row r="368" spans="1:21" ht="16.95" customHeight="1" x14ac:dyDescent="0.3">
      <c r="M368" s="95">
        <f t="shared" si="49"/>
        <v>0.16415057575056327</v>
      </c>
      <c r="P368" s="215"/>
      <c r="Q368" s="172"/>
      <c r="R368" s="172"/>
      <c r="S368" s="172"/>
      <c r="T368" s="172"/>
      <c r="U368" s="173"/>
    </row>
    <row r="369" spans="1:21" ht="16.95" customHeight="1" x14ac:dyDescent="0.3">
      <c r="M369" s="95">
        <f t="shared" si="49"/>
        <v>-0.33171738968224102</v>
      </c>
      <c r="P369" s="215"/>
      <c r="Q369" s="172"/>
      <c r="R369" s="172"/>
      <c r="S369" s="172"/>
      <c r="T369" s="172"/>
      <c r="U369" s="173"/>
    </row>
    <row r="370" spans="1:21" ht="16.95" customHeight="1" x14ac:dyDescent="0.3">
      <c r="M370" s="95">
        <f t="shared" si="49"/>
        <v>9.3682251488204971E-2</v>
      </c>
      <c r="P370" s="215"/>
      <c r="Q370" s="172"/>
      <c r="R370" s="172"/>
      <c r="S370" s="172"/>
      <c r="T370" s="172"/>
      <c r="U370" s="173"/>
    </row>
    <row r="371" spans="1:21" ht="16.95" customHeight="1" x14ac:dyDescent="0.3">
      <c r="M371" s="95">
        <f t="shared" si="49"/>
        <v>-0.32359421887416473</v>
      </c>
      <c r="P371" s="215"/>
      <c r="Q371" s="172"/>
      <c r="R371" s="172"/>
      <c r="S371" s="172"/>
      <c r="T371" s="172"/>
      <c r="U371" s="173"/>
    </row>
    <row r="372" spans="1:21" ht="16.95" customHeight="1" x14ac:dyDescent="0.3">
      <c r="P372" s="215"/>
      <c r="Q372" s="172"/>
      <c r="R372" s="172"/>
      <c r="S372" s="172"/>
      <c r="T372" s="172"/>
      <c r="U372" s="173"/>
    </row>
    <row r="373" spans="1:21" ht="16.95" customHeight="1" x14ac:dyDescent="0.3">
      <c r="A373" s="12" t="str">
        <f>A363</f>
        <v>C1X</v>
      </c>
      <c r="C373" s="17">
        <f t="array" ref="C373:C375">MMULT(C363:K365, M363:M371)</f>
        <v>1.8189894035458565E-12</v>
      </c>
      <c r="D373" s="12" t="s">
        <v>273</v>
      </c>
      <c r="P373" s="215"/>
      <c r="Q373" s="172"/>
      <c r="R373" s="172"/>
      <c r="S373" s="172"/>
      <c r="T373" s="172"/>
      <c r="U373" s="173"/>
    </row>
    <row r="374" spans="1:21" ht="16.95" customHeight="1" x14ac:dyDescent="0.3">
      <c r="A374" s="12" t="str">
        <f>A364</f>
        <v>C1Y</v>
      </c>
      <c r="B374" s="13" t="s">
        <v>220</v>
      </c>
      <c r="C374" s="17">
        <v>5999.9999999999991</v>
      </c>
      <c r="D374" s="12" t="s">
        <v>273</v>
      </c>
      <c r="P374" s="215"/>
      <c r="Q374" s="172"/>
      <c r="R374" s="172"/>
      <c r="S374" s="172"/>
      <c r="T374" s="172"/>
      <c r="U374" s="173"/>
    </row>
    <row r="375" spans="1:21" ht="16.95" customHeight="1" x14ac:dyDescent="0.3">
      <c r="A375" s="12" t="str">
        <f>A365</f>
        <v>C4Y</v>
      </c>
      <c r="C375" s="17">
        <v>6000.0000000000018</v>
      </c>
      <c r="D375" s="12" t="s">
        <v>273</v>
      </c>
      <c r="P375" s="215"/>
      <c r="Q375" s="172"/>
      <c r="R375" s="172"/>
      <c r="S375" s="172"/>
      <c r="T375" s="172"/>
      <c r="U375" s="173"/>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8.3613327640685936E-2</v>
      </c>
    </row>
    <row r="383" spans="1:21" ht="19.05" customHeight="1" x14ac:dyDescent="0.3">
      <c r="A383" s="12" t="s">
        <v>231</v>
      </c>
      <c r="B383" s="12" t="s">
        <v>181</v>
      </c>
      <c r="D383" s="94">
        <f t="shared" si="50"/>
        <v>-0.37973669585279657</v>
      </c>
    </row>
    <row r="384" spans="1:21" ht="19.05" customHeight="1" x14ac:dyDescent="0.3">
      <c r="A384" s="12" t="s">
        <v>232</v>
      </c>
      <c r="B384" s="12" t="s">
        <v>182</v>
      </c>
      <c r="D384" s="94">
        <f t="shared" si="50"/>
        <v>0.14381739002335597</v>
      </c>
    </row>
    <row r="385" spans="1:21" ht="19.05" customHeight="1" x14ac:dyDescent="0.3">
      <c r="A385" s="12" t="s">
        <v>234</v>
      </c>
      <c r="B385" s="12" t="s">
        <v>183</v>
      </c>
      <c r="D385" s="94">
        <f t="shared" si="50"/>
        <v>-0.38379828125683479</v>
      </c>
    </row>
    <row r="386" spans="1:21" ht="19.05" customHeight="1" x14ac:dyDescent="0.3">
      <c r="A386" s="12" t="s">
        <v>235</v>
      </c>
      <c r="B386" s="12" t="s">
        <v>184</v>
      </c>
      <c r="D386" s="94">
        <f t="shared" si="50"/>
        <v>0.21524596145192743</v>
      </c>
    </row>
    <row r="387" spans="1:21" ht="19.05" customHeight="1" x14ac:dyDescent="0.3">
      <c r="A387" s="12" t="s">
        <v>236</v>
      </c>
      <c r="B387" s="12" t="s">
        <v>185</v>
      </c>
      <c r="D387" s="94">
        <f t="shared" si="50"/>
        <v>0</v>
      </c>
    </row>
    <row r="388" spans="1:21" ht="19.05" customHeight="1" x14ac:dyDescent="0.3">
      <c r="A388" s="12" t="s">
        <v>237</v>
      </c>
      <c r="B388" s="12" t="s">
        <v>186</v>
      </c>
      <c r="D388" s="94">
        <f t="shared" si="50"/>
        <v>0.16415057575056327</v>
      </c>
    </row>
    <row r="389" spans="1:21" ht="19.05" customHeight="1" x14ac:dyDescent="0.3">
      <c r="A389" s="12" t="s">
        <v>238</v>
      </c>
      <c r="B389" s="12" t="s">
        <v>187</v>
      </c>
      <c r="D389" s="94">
        <f t="shared" si="50"/>
        <v>-0.33171738968224102</v>
      </c>
    </row>
    <row r="390" spans="1:21" ht="19.05" customHeight="1" x14ac:dyDescent="0.3">
      <c r="A390" s="12" t="s">
        <v>239</v>
      </c>
      <c r="B390" s="12" t="s">
        <v>188</v>
      </c>
      <c r="D390" s="94">
        <f t="shared" si="50"/>
        <v>9.3682251488204971E-2</v>
      </c>
    </row>
    <row r="391" spans="1:21" ht="19.05" customHeight="1" x14ac:dyDescent="0.3">
      <c r="A391" s="12" t="s">
        <v>240</v>
      </c>
      <c r="B391" s="12" t="s">
        <v>189</v>
      </c>
      <c r="D391" s="94">
        <f t="shared" si="50"/>
        <v>-0.32359421887416473</v>
      </c>
    </row>
    <row r="394" spans="1:21" ht="19.95" customHeight="1" x14ac:dyDescent="0.35">
      <c r="A394" s="11" t="s">
        <v>275</v>
      </c>
      <c r="P394" s="216" t="s">
        <v>276</v>
      </c>
      <c r="Q394" s="172"/>
      <c r="R394" s="172"/>
      <c r="S394" s="172"/>
      <c r="T394" s="172"/>
      <c r="U394" s="173"/>
    </row>
    <row r="395" spans="1:21" ht="16.95" customHeight="1" x14ac:dyDescent="0.3">
      <c r="P395" s="215" t="s">
        <v>395</v>
      </c>
      <c r="Q395" s="172"/>
      <c r="R395" s="172"/>
      <c r="S395" s="172"/>
      <c r="T395" s="172"/>
      <c r="U395" s="173"/>
    </row>
    <row r="396" spans="1:21" ht="16.95" customHeight="1" x14ac:dyDescent="0.3">
      <c r="A396" s="19" t="s">
        <v>278</v>
      </c>
      <c r="C396" s="19" t="s">
        <v>279</v>
      </c>
      <c r="D396" s="19" t="s">
        <v>280</v>
      </c>
      <c r="E396" s="19" t="s">
        <v>279</v>
      </c>
      <c r="F396" s="19" t="s">
        <v>280</v>
      </c>
      <c r="G396" s="19" t="s">
        <v>249</v>
      </c>
      <c r="P396" s="215" t="s">
        <v>396</v>
      </c>
      <c r="Q396" s="172"/>
      <c r="R396" s="172"/>
      <c r="S396" s="172"/>
      <c r="T396" s="172"/>
      <c r="U396" s="173"/>
    </row>
    <row r="397" spans="1:21" ht="16.95" customHeight="1" x14ac:dyDescent="0.3">
      <c r="C397" s="19" t="s">
        <v>282</v>
      </c>
      <c r="D397" s="19" t="s">
        <v>282</v>
      </c>
      <c r="E397" s="19" t="s">
        <v>283</v>
      </c>
      <c r="F397" s="19" t="s">
        <v>283</v>
      </c>
      <c r="P397" s="215" t="s">
        <v>397</v>
      </c>
      <c r="Q397" s="172"/>
      <c r="R397" s="172"/>
      <c r="S397" s="172"/>
      <c r="T397" s="172"/>
      <c r="U397" s="173"/>
    </row>
    <row r="398" spans="1:21" ht="16.95" customHeight="1" x14ac:dyDescent="0.3">
      <c r="A398" s="17">
        <f>N6</f>
        <v>84000</v>
      </c>
      <c r="C398" s="92">
        <f>-J6</f>
        <v>-1</v>
      </c>
      <c r="D398" s="92">
        <f>-K6</f>
        <v>0</v>
      </c>
      <c r="E398" s="92">
        <f>J6</f>
        <v>1</v>
      </c>
      <c r="F398" s="92">
        <f>K6</f>
        <v>0</v>
      </c>
      <c r="G398" s="96">
        <f>IFERROR(VLOOKUP(H398, A$380:D$391, 4, FALSE), 0)</f>
        <v>0</v>
      </c>
      <c r="H398" s="12" t="str">
        <f>"D" &amp; C20 &amp; "X"</f>
        <v>D1X</v>
      </c>
      <c r="P398" s="215" t="s">
        <v>398</v>
      </c>
      <c r="Q398" s="172"/>
      <c r="R398" s="172"/>
      <c r="S398" s="172"/>
      <c r="T398" s="172"/>
      <c r="U398" s="173"/>
    </row>
    <row r="399" spans="1:21" ht="16.95" customHeight="1" x14ac:dyDescent="0.3">
      <c r="A399" s="99" t="s">
        <v>285</v>
      </c>
      <c r="B399" s="97">
        <f>(MMULT(C398:F398, G398:G401)*A398)</f>
        <v>7023.5195218176186</v>
      </c>
      <c r="G399" s="96">
        <f>IFERROR(VLOOKUP(H399, A$380:D$391, 4, FALSE), 0)</f>
        <v>0</v>
      </c>
      <c r="H399" s="12" t="str">
        <f>"D" &amp; D20 &amp; "Y"</f>
        <v>D1Y</v>
      </c>
      <c r="P399" s="215" t="s">
        <v>399</v>
      </c>
      <c r="Q399" s="172"/>
      <c r="R399" s="172"/>
      <c r="S399" s="172"/>
      <c r="T399" s="172"/>
      <c r="U399" s="173"/>
    </row>
    <row r="400" spans="1:21" ht="16.95" customHeight="1" x14ac:dyDescent="0.3">
      <c r="G400" s="96">
        <f>IFERROR(VLOOKUP(H400, A$380:D$391, 4, FALSE), 0)</f>
        <v>8.3613327640685936E-2</v>
      </c>
      <c r="H400" s="12" t="str">
        <f>"D" &amp; E20 &amp; "X"</f>
        <v>D2X</v>
      </c>
      <c r="P400" s="215" t="s">
        <v>400</v>
      </c>
      <c r="Q400" s="172"/>
      <c r="R400" s="172"/>
      <c r="S400" s="172"/>
      <c r="T400" s="172"/>
      <c r="U400" s="173"/>
    </row>
    <row r="401" spans="1:21" ht="16.95" customHeight="1" x14ac:dyDescent="0.3">
      <c r="G401" s="96">
        <f>IFERROR(VLOOKUP(H401, A$380:D$391, 4, FALSE), 0)</f>
        <v>-0.37973669585279657</v>
      </c>
      <c r="H401" s="12" t="str">
        <f>"D" &amp; F20 &amp; "Y"</f>
        <v>D2Y</v>
      </c>
      <c r="P401" s="215" t="s">
        <v>401</v>
      </c>
      <c r="Q401" s="172"/>
      <c r="R401" s="172"/>
      <c r="S401" s="172"/>
      <c r="T401" s="172"/>
      <c r="U401" s="173"/>
    </row>
    <row r="402" spans="1:21" ht="16.95" customHeight="1" x14ac:dyDescent="0.3">
      <c r="B402" s="99" t="s">
        <v>273</v>
      </c>
      <c r="C402" s="178" t="str">
        <f>IF(B399&gt;0.001,"BARRA A TRACCIÓN (+)",IF(B399&lt;-0.001,"BARRA A COMPRESIÓN (-)","BARRA DE FUERZA NULA"))</f>
        <v>BARRA A TRACCIÓN (+)</v>
      </c>
      <c r="D402" s="172"/>
      <c r="E402" s="172"/>
      <c r="F402" s="173"/>
      <c r="P402" s="215" t="s">
        <v>402</v>
      </c>
      <c r="Q402" s="172"/>
      <c r="R402" s="172"/>
      <c r="S402" s="172"/>
      <c r="T402" s="172"/>
      <c r="U402" s="173"/>
    </row>
    <row r="403" spans="1:21" ht="16.95" customHeight="1" x14ac:dyDescent="0.3">
      <c r="P403" s="215" t="s">
        <v>403</v>
      </c>
      <c r="Q403" s="172"/>
      <c r="R403" s="172"/>
      <c r="S403" s="172"/>
      <c r="T403" s="172"/>
      <c r="U403" s="173"/>
    </row>
    <row r="404" spans="1:21" ht="16.95" customHeight="1" x14ac:dyDescent="0.3">
      <c r="A404" s="19" t="s">
        <v>278</v>
      </c>
      <c r="C404" s="19" t="s">
        <v>279</v>
      </c>
      <c r="D404" s="19" t="s">
        <v>280</v>
      </c>
      <c r="E404" s="19" t="s">
        <v>279</v>
      </c>
      <c r="F404" s="19" t="s">
        <v>280</v>
      </c>
      <c r="G404" s="19" t="s">
        <v>249</v>
      </c>
      <c r="P404" s="215"/>
      <c r="Q404" s="172"/>
      <c r="R404" s="172"/>
      <c r="S404" s="172"/>
      <c r="T404" s="172"/>
      <c r="U404" s="173"/>
    </row>
    <row r="405" spans="1:21" ht="16.95" customHeight="1" x14ac:dyDescent="0.3">
      <c r="C405" s="19" t="s">
        <v>282</v>
      </c>
      <c r="D405" s="19" t="s">
        <v>282</v>
      </c>
      <c r="E405" s="19" t="s">
        <v>283</v>
      </c>
      <c r="F405" s="19" t="s">
        <v>283</v>
      </c>
      <c r="P405" s="215"/>
      <c r="Q405" s="172"/>
      <c r="R405" s="172"/>
      <c r="S405" s="172"/>
      <c r="T405" s="172"/>
      <c r="U405" s="173"/>
    </row>
    <row r="406" spans="1:21" ht="16.95" customHeight="1" x14ac:dyDescent="0.3">
      <c r="A406" s="17">
        <f>N7</f>
        <v>84000</v>
      </c>
      <c r="C406" s="92">
        <f>-J7</f>
        <v>-1</v>
      </c>
      <c r="D406" s="92">
        <f>-K7</f>
        <v>0</v>
      </c>
      <c r="E406" s="92">
        <f>J7</f>
        <v>1</v>
      </c>
      <c r="F406" s="92">
        <f>K7</f>
        <v>0</v>
      </c>
      <c r="G406" s="96">
        <f>IFERROR(VLOOKUP(H406, A$380:D$391, 4, FALSE), 0)</f>
        <v>8.3613327640685936E-2</v>
      </c>
      <c r="H406" s="12" t="str">
        <f>"D" &amp; C21 &amp; "X"</f>
        <v>D2X</v>
      </c>
      <c r="P406" s="215"/>
      <c r="Q406" s="172"/>
      <c r="R406" s="172"/>
      <c r="S406" s="172"/>
      <c r="T406" s="172"/>
      <c r="U406" s="173"/>
    </row>
    <row r="407" spans="1:21" ht="16.95" customHeight="1" x14ac:dyDescent="0.3">
      <c r="A407" s="99" t="s">
        <v>286</v>
      </c>
      <c r="B407" s="97">
        <f>(MMULT(C406:F406, G406:G409)*A406)</f>
        <v>5057.1412401442831</v>
      </c>
      <c r="G407" s="96">
        <f>IFERROR(VLOOKUP(H407, A$380:D$391, 4, FALSE), 0)</f>
        <v>-0.37973669585279657</v>
      </c>
      <c r="H407" s="12" t="str">
        <f>"D" &amp; D21 &amp; "Y"</f>
        <v>D2Y</v>
      </c>
      <c r="P407" s="215"/>
      <c r="Q407" s="172"/>
      <c r="R407" s="172"/>
      <c r="S407" s="172"/>
      <c r="T407" s="172"/>
      <c r="U407" s="173"/>
    </row>
    <row r="408" spans="1:21" ht="16.95" customHeight="1" x14ac:dyDescent="0.3">
      <c r="G408" s="96">
        <f>IFERROR(VLOOKUP(H408, A$380:D$391, 4, FALSE), 0)</f>
        <v>0.14381739002335597</v>
      </c>
      <c r="H408" s="12" t="str">
        <f>"D" &amp; E21 &amp; "X"</f>
        <v>D3X</v>
      </c>
      <c r="P408" s="215"/>
      <c r="Q408" s="172"/>
      <c r="R408" s="172"/>
      <c r="S408" s="172"/>
      <c r="T408" s="172"/>
      <c r="U408" s="173"/>
    </row>
    <row r="409" spans="1:21" ht="16.95" customHeight="1" x14ac:dyDescent="0.3">
      <c r="G409" s="96">
        <f>IFERROR(VLOOKUP(H409, A$380:D$391, 4, FALSE), 0)</f>
        <v>-0.38379828125683479</v>
      </c>
      <c r="H409" s="12" t="str">
        <f>"D" &amp; F21 &amp; "Y"</f>
        <v>D3Y</v>
      </c>
      <c r="P409" s="215"/>
      <c r="Q409" s="172"/>
      <c r="R409" s="172"/>
      <c r="S409" s="172"/>
      <c r="T409" s="172"/>
      <c r="U409" s="173"/>
    </row>
    <row r="410" spans="1:21" ht="16.95" customHeight="1" x14ac:dyDescent="0.3">
      <c r="B410" s="99" t="s">
        <v>273</v>
      </c>
      <c r="C410" s="178" t="str">
        <f>IF(B407&gt;0.001,"BARRA A TRACCIÓN (+)",IF(B407&lt;-0.001,"BARRA A COMPRESIÓN (-)","BARRA DE FUERZA NULA"))</f>
        <v>BARRA A TRACCIÓN (+)</v>
      </c>
      <c r="D410" s="172"/>
      <c r="E410" s="172"/>
      <c r="F410" s="173"/>
      <c r="P410" s="215"/>
      <c r="Q410" s="172"/>
      <c r="R410" s="172"/>
      <c r="S410" s="172"/>
      <c r="T410" s="172"/>
      <c r="U410" s="173"/>
    </row>
    <row r="411" spans="1:21" ht="16.95" customHeight="1" x14ac:dyDescent="0.3">
      <c r="P411" s="215"/>
      <c r="Q411" s="172"/>
      <c r="R411" s="172"/>
      <c r="S411" s="172"/>
      <c r="T411" s="172"/>
      <c r="U411" s="173"/>
    </row>
    <row r="412" spans="1:21" ht="16.95" customHeight="1" x14ac:dyDescent="0.3">
      <c r="A412" s="19" t="s">
        <v>278</v>
      </c>
      <c r="C412" s="19" t="s">
        <v>279</v>
      </c>
      <c r="D412" s="19" t="s">
        <v>280</v>
      </c>
      <c r="E412" s="19" t="s">
        <v>279</v>
      </c>
      <c r="F412" s="19" t="s">
        <v>280</v>
      </c>
      <c r="G412" s="19" t="s">
        <v>249</v>
      </c>
      <c r="P412" s="215"/>
      <c r="Q412" s="172"/>
      <c r="R412" s="172"/>
      <c r="S412" s="172"/>
      <c r="T412" s="172"/>
      <c r="U412" s="173"/>
    </row>
    <row r="413" spans="1:21" ht="16.95" customHeight="1" x14ac:dyDescent="0.3">
      <c r="C413" s="19" t="s">
        <v>282</v>
      </c>
      <c r="D413" s="19" t="s">
        <v>282</v>
      </c>
      <c r="E413" s="19" t="s">
        <v>283</v>
      </c>
      <c r="F413" s="19" t="s">
        <v>283</v>
      </c>
      <c r="P413" s="215"/>
      <c r="Q413" s="172"/>
      <c r="R413" s="172"/>
      <c r="S413" s="172"/>
      <c r="T413" s="172"/>
      <c r="U413" s="173"/>
    </row>
    <row r="414" spans="1:21" ht="16.95" customHeight="1" x14ac:dyDescent="0.3">
      <c r="A414" s="17">
        <f>N8</f>
        <v>84000</v>
      </c>
      <c r="C414" s="92">
        <f>-J8</f>
        <v>-1</v>
      </c>
      <c r="D414" s="92">
        <f>-K8</f>
        <v>0</v>
      </c>
      <c r="E414" s="92">
        <f>J8</f>
        <v>1</v>
      </c>
      <c r="F414" s="92">
        <f>K8</f>
        <v>0</v>
      </c>
      <c r="G414" s="96">
        <f>IFERROR(VLOOKUP(H414, A$380:D$391, 4, FALSE), 0)</f>
        <v>0.14381739002335597</v>
      </c>
      <c r="H414" s="12" t="str">
        <f>"D" &amp; C22 &amp; "X"</f>
        <v>D3X</v>
      </c>
      <c r="P414" s="215"/>
      <c r="Q414" s="172"/>
      <c r="R414" s="172"/>
      <c r="S414" s="172"/>
      <c r="T414" s="172"/>
      <c r="U414" s="173"/>
    </row>
    <row r="415" spans="1:21" ht="16.95" customHeight="1" x14ac:dyDescent="0.3">
      <c r="A415" s="99" t="s">
        <v>287</v>
      </c>
      <c r="B415" s="97">
        <f>(MMULT(C414:F414, G414:G417)*A414)</f>
        <v>6000.0000000000018</v>
      </c>
      <c r="G415" s="96">
        <f>IFERROR(VLOOKUP(H415, A$380:D$391, 4, FALSE), 0)</f>
        <v>-0.38379828125683479</v>
      </c>
      <c r="H415" s="12" t="str">
        <f>"D" &amp; D22 &amp; "Y"</f>
        <v>D3Y</v>
      </c>
      <c r="P415" s="215"/>
      <c r="Q415" s="172"/>
      <c r="R415" s="172"/>
      <c r="S415" s="172"/>
      <c r="T415" s="172"/>
      <c r="U415" s="173"/>
    </row>
    <row r="416" spans="1:21" ht="16.95" customHeight="1" x14ac:dyDescent="0.3">
      <c r="G416" s="96">
        <f>IFERROR(VLOOKUP(H416, A$380:D$391, 4, FALSE), 0)</f>
        <v>0.21524596145192743</v>
      </c>
      <c r="H416" s="12" t="str">
        <f>"D" &amp; E22 &amp; "X"</f>
        <v>D4X</v>
      </c>
      <c r="P416" s="215"/>
      <c r="Q416" s="172"/>
      <c r="R416" s="172"/>
      <c r="S416" s="172"/>
      <c r="T416" s="172"/>
      <c r="U416" s="173"/>
    </row>
    <row r="417" spans="1:21" ht="16.95" customHeight="1" x14ac:dyDescent="0.3">
      <c r="G417" s="96">
        <f>IFERROR(VLOOKUP(H417, A$380:D$391, 4, FALSE), 0)</f>
        <v>0</v>
      </c>
      <c r="H417" s="12" t="str">
        <f>"D" &amp; F22 &amp; "Y"</f>
        <v>D4Y</v>
      </c>
      <c r="P417" s="215"/>
      <c r="Q417" s="172"/>
      <c r="R417" s="172"/>
      <c r="S417" s="172"/>
      <c r="T417" s="172"/>
      <c r="U417" s="173"/>
    </row>
    <row r="418" spans="1:21" ht="16.95" customHeight="1" x14ac:dyDescent="0.3">
      <c r="B418" s="99" t="s">
        <v>273</v>
      </c>
      <c r="C418" s="178" t="str">
        <f>IF(B415&gt;0.001,"BARRA A TRACCIÓN (+)",IF(B415&lt;-0.001,"BARRA A COMPRESIÓN (-)","BARRA DE FUERZA NULA"))</f>
        <v>BARRA A TRACCIÓN (+)</v>
      </c>
      <c r="D418" s="172"/>
      <c r="E418" s="172"/>
      <c r="F418" s="173"/>
      <c r="P418" s="215"/>
      <c r="Q418" s="172"/>
      <c r="R418" s="172"/>
      <c r="S418" s="172"/>
      <c r="T418" s="172"/>
      <c r="U418" s="173"/>
    </row>
    <row r="419" spans="1:21" ht="16.95" customHeight="1" x14ac:dyDescent="0.3">
      <c r="P419" s="215"/>
      <c r="Q419" s="172"/>
      <c r="R419" s="172"/>
      <c r="S419" s="172"/>
      <c r="T419" s="172"/>
      <c r="U419" s="173"/>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84000</v>
      </c>
      <c r="C422" s="92">
        <f>-J9</f>
        <v>-1</v>
      </c>
      <c r="D422" s="92">
        <f>-K9</f>
        <v>0</v>
      </c>
      <c r="E422" s="92">
        <f>J9</f>
        <v>1</v>
      </c>
      <c r="F422" s="92">
        <f>K9</f>
        <v>0</v>
      </c>
      <c r="G422" s="96">
        <f>IFERROR(VLOOKUP(H422, A$380:D$391, 4, FALSE), 0)</f>
        <v>0.16415057575056327</v>
      </c>
      <c r="H422" s="12" t="str">
        <f>"D" &amp; C23 &amp; "X"</f>
        <v>D5X</v>
      </c>
    </row>
    <row r="423" spans="1:21" ht="19.95" customHeight="1" x14ac:dyDescent="0.3">
      <c r="A423" s="99" t="s">
        <v>288</v>
      </c>
      <c r="B423" s="97">
        <f>(MMULT(C422:F422, G422:G425)*A422)</f>
        <v>-5919.3392380380974</v>
      </c>
      <c r="G423" s="96">
        <f>IFERROR(VLOOKUP(H423, A$380:D$391, 4, FALSE), 0)</f>
        <v>-0.33171738968224102</v>
      </c>
      <c r="H423" s="12" t="str">
        <f>"D" &amp; D23 &amp; "Y"</f>
        <v>D5Y</v>
      </c>
    </row>
    <row r="424" spans="1:21" ht="19.95" customHeight="1" x14ac:dyDescent="0.3">
      <c r="G424" s="96">
        <f>IFERROR(VLOOKUP(H424, A$380:D$391, 4, FALSE), 0)</f>
        <v>9.3682251488204971E-2</v>
      </c>
      <c r="H424" s="12" t="str">
        <f>"D" &amp; E23 &amp; "X"</f>
        <v>D6X</v>
      </c>
    </row>
    <row r="425" spans="1:21" ht="19.95" customHeight="1" x14ac:dyDescent="0.3">
      <c r="G425" s="96">
        <f>IFERROR(VLOOKUP(H425, A$380:D$391, 4, FALSE), 0)</f>
        <v>-0.32359421887416473</v>
      </c>
      <c r="H425" s="12" t="str">
        <f>"D" &amp; F23 &amp; "Y"</f>
        <v>D6Y</v>
      </c>
    </row>
    <row r="426" spans="1:21" ht="19.95" customHeight="1" x14ac:dyDescent="0.3">
      <c r="B426" s="99" t="s">
        <v>273</v>
      </c>
      <c r="C426" s="178" t="str">
        <f>IF(B423&gt;0.001,"BARRA A TRACCIÓN (+)",IF(B423&lt;-0.001,"BARRA A COMPRESIÓN (-)","BARRA DE FUERZA NULA"))</f>
        <v>BARRA A COMPRESIÓN (-)</v>
      </c>
      <c r="D426" s="172"/>
      <c r="E426" s="172"/>
      <c r="F426" s="173"/>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59396.969619669988</v>
      </c>
      <c r="C430" s="92">
        <f>-J10</f>
        <v>-0.70710678118654746</v>
      </c>
      <c r="D430" s="92">
        <f>-K10</f>
        <v>-0.70710678118654746</v>
      </c>
      <c r="E430" s="92">
        <f>J10</f>
        <v>0.70710678118654746</v>
      </c>
      <c r="F430" s="92">
        <f>K10</f>
        <v>0.70710678118654746</v>
      </c>
      <c r="G430" s="96">
        <f>IFERROR(VLOOKUP(H430, A$380:D$391, 4, FALSE), 0)</f>
        <v>0</v>
      </c>
      <c r="H430" s="12" t="str">
        <f>"D" &amp; C24 &amp; "X"</f>
        <v>D1X</v>
      </c>
    </row>
    <row r="431" spans="1:21" ht="19.95" customHeight="1" x14ac:dyDescent="0.3">
      <c r="A431" s="99" t="s">
        <v>289</v>
      </c>
      <c r="B431" s="97">
        <f>(MMULT(C430:F430, G430:G433)*A430)</f>
        <v>-7037.8061851304656</v>
      </c>
      <c r="G431" s="96">
        <f>IFERROR(VLOOKUP(H431, A$380:D$391, 4, FALSE), 0)</f>
        <v>0</v>
      </c>
      <c r="H431" s="12" t="str">
        <f>"D" &amp; D24 &amp; "Y"</f>
        <v>D1Y</v>
      </c>
    </row>
    <row r="432" spans="1:21" ht="19.95" customHeight="1" x14ac:dyDescent="0.3">
      <c r="G432" s="96">
        <f>IFERROR(VLOOKUP(H432, A$380:D$391, 4, FALSE), 0)</f>
        <v>0.16415057575056327</v>
      </c>
      <c r="H432" s="12" t="str">
        <f>"D" &amp; E24 &amp; "X"</f>
        <v>D5X</v>
      </c>
    </row>
    <row r="433" spans="1:8" ht="19.95" customHeight="1" x14ac:dyDescent="0.3">
      <c r="G433" s="96">
        <f>IFERROR(VLOOKUP(H433, A$380:D$391, 4, FALSE), 0)</f>
        <v>-0.33171738968224102</v>
      </c>
      <c r="H433" s="12" t="str">
        <f>"D" &amp; F24 &amp; "Y"</f>
        <v>D5Y</v>
      </c>
    </row>
    <row r="434" spans="1:8" ht="19.95" customHeight="1" x14ac:dyDescent="0.3">
      <c r="B434" s="99" t="s">
        <v>273</v>
      </c>
      <c r="C434" s="178" t="str">
        <f>IF(B431&gt;0.001,"BARRA A TRACCIÓN (+)",IF(B431&lt;-0.001,"BARRA A COMPRESIÓN (-)","BARRA DE FUERZA NULA"))</f>
        <v>BARRA A COMPRESIÓN (-)</v>
      </c>
      <c r="D434" s="172"/>
      <c r="E434" s="172"/>
      <c r="F434" s="173"/>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0.16415057575056327</v>
      </c>
      <c r="H438" s="12" t="str">
        <f>"D" &amp; C25 &amp; "X"</f>
        <v>D5X</v>
      </c>
    </row>
    <row r="439" spans="1:8" ht="19.95" customHeight="1" x14ac:dyDescent="0.3">
      <c r="A439" s="99" t="s">
        <v>290</v>
      </c>
      <c r="B439" s="97">
        <f>(MMULT(C438:F438, G438:G441)*A438)</f>
        <v>4033.6217183266663</v>
      </c>
      <c r="G439" s="96">
        <f>IFERROR(VLOOKUP(H439, A$380:D$391, 4, FALSE), 0)</f>
        <v>-0.33171738968224102</v>
      </c>
      <c r="H439" s="12" t="str">
        <f>"D" &amp; D25 &amp; "Y"</f>
        <v>D5Y</v>
      </c>
    </row>
    <row r="440" spans="1:8" ht="19.95" customHeight="1" x14ac:dyDescent="0.3">
      <c r="G440" s="96">
        <f>IFERROR(VLOOKUP(H440, A$380:D$391, 4, FALSE), 0)</f>
        <v>8.3613327640685936E-2</v>
      </c>
      <c r="H440" s="12" t="str">
        <f>"D" &amp; E25 &amp; "X"</f>
        <v>D2X</v>
      </c>
    </row>
    <row r="441" spans="1:8" ht="19.95" customHeight="1" x14ac:dyDescent="0.3">
      <c r="G441" s="96">
        <f>IFERROR(VLOOKUP(H441, A$380:D$391, 4, FALSE), 0)</f>
        <v>-0.37973669585279657</v>
      </c>
      <c r="H441" s="12" t="str">
        <f>"D" &amp; F25 &amp; "Y"</f>
        <v>D2Y</v>
      </c>
    </row>
    <row r="442" spans="1:8" ht="19.95" customHeight="1" x14ac:dyDescent="0.3">
      <c r="B442" s="99" t="s">
        <v>273</v>
      </c>
      <c r="C442" s="178" t="str">
        <f>IF(B439&gt;0.001,"BARRA A TRACCIÓN (+)",IF(B439&lt;-0.001,"BARRA A COMPRESIÓN (-)","BARRA DE FUERZA NULA"))</f>
        <v>BARRA A TRACCIÓN (+)</v>
      </c>
      <c r="D442" s="172"/>
      <c r="E442" s="172"/>
      <c r="F442" s="173"/>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59396.969619669988</v>
      </c>
      <c r="C446" s="92">
        <f>-J12</f>
        <v>-0.70710678118654746</v>
      </c>
      <c r="D446" s="92">
        <f>-K12</f>
        <v>-0.70710678118654746</v>
      </c>
      <c r="E446" s="92">
        <f>J12</f>
        <v>0.70710678118654746</v>
      </c>
      <c r="F446" s="92">
        <f>K12</f>
        <v>0.70710678118654746</v>
      </c>
      <c r="G446" s="96">
        <f>IFERROR(VLOOKUP(H446, A$380:D$391, 4, FALSE), 0)</f>
        <v>8.3613327640685936E-2</v>
      </c>
      <c r="H446" s="12" t="str">
        <f>"D" &amp; C26 &amp; "X"</f>
        <v>D2X</v>
      </c>
    </row>
    <row r="447" spans="1:8" ht="19.95" customHeight="1" x14ac:dyDescent="0.3">
      <c r="A447" s="99" t="s">
        <v>291</v>
      </c>
      <c r="B447" s="97">
        <f>(MMULT(C446:F446, G446:G449)*A446)</f>
        <v>2780.8788346983397</v>
      </c>
      <c r="G447" s="96">
        <f>IFERROR(VLOOKUP(H447, A$380:D$391, 4, FALSE), 0)</f>
        <v>-0.37973669585279657</v>
      </c>
      <c r="H447" s="12" t="str">
        <f>"D" &amp; D26 &amp; "Y"</f>
        <v>D2Y</v>
      </c>
    </row>
    <row r="448" spans="1:8" ht="19.95" customHeight="1" x14ac:dyDescent="0.3">
      <c r="G448" s="96">
        <f>IFERROR(VLOOKUP(H448, A$380:D$391, 4, FALSE), 0)</f>
        <v>9.3682251488204971E-2</v>
      </c>
      <c r="H448" s="12" t="str">
        <f>"D" &amp; E26 &amp; "X"</f>
        <v>D6X</v>
      </c>
    </row>
    <row r="449" spans="1:8" ht="19.95" customHeight="1" x14ac:dyDescent="0.3">
      <c r="G449" s="96">
        <f>IFERROR(VLOOKUP(H449, A$380:D$391, 4, FALSE), 0)</f>
        <v>-0.32359421887416473</v>
      </c>
      <c r="H449" s="12" t="str">
        <f>"D" &amp; F26 &amp; "Y"</f>
        <v>D6Y</v>
      </c>
    </row>
    <row r="450" spans="1:8" ht="19.95" customHeight="1" x14ac:dyDescent="0.3">
      <c r="B450" s="99" t="s">
        <v>273</v>
      </c>
      <c r="C450" s="178" t="str">
        <f>IF(B447&gt;0.001,"BARRA A TRACCIÓN (+)",IF(B447&lt;-0.001,"BARRA A COMPRESIÓN (-)","BARRA DE FUERZA NULA"))</f>
        <v>BARRA A TRACCIÓN (+)</v>
      </c>
      <c r="D450" s="172"/>
      <c r="E450" s="172"/>
      <c r="F450" s="173"/>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84000</v>
      </c>
      <c r="C454" s="92">
        <f>-J13</f>
        <v>0</v>
      </c>
      <c r="D454" s="92">
        <f>-K13</f>
        <v>1</v>
      </c>
      <c r="E454" s="92">
        <f>J13</f>
        <v>0</v>
      </c>
      <c r="F454" s="92">
        <f>K13</f>
        <v>-1</v>
      </c>
      <c r="G454" s="96">
        <f>IFERROR(VLOOKUP(H454, A$380:D$391, 4, FALSE), 0)</f>
        <v>9.3682251488204971E-2</v>
      </c>
      <c r="H454" s="12" t="str">
        <f>"D" &amp; C27 &amp; "X"</f>
        <v>D6X</v>
      </c>
    </row>
    <row r="455" spans="1:8" ht="19.95" customHeight="1" x14ac:dyDescent="0.3">
      <c r="A455" s="99" t="s">
        <v>292</v>
      </c>
      <c r="B455" s="97">
        <f>(MMULT(C454:F454, G454:G457)*A454)</f>
        <v>5057.1412401442858</v>
      </c>
      <c r="G455" s="96">
        <f>IFERROR(VLOOKUP(H455, A$380:D$391, 4, FALSE), 0)</f>
        <v>-0.32359421887416473</v>
      </c>
      <c r="H455" s="12" t="str">
        <f>"D" &amp; D27 &amp; "Y"</f>
        <v>D6Y</v>
      </c>
    </row>
    <row r="456" spans="1:8" ht="19.95" customHeight="1" x14ac:dyDescent="0.3">
      <c r="G456" s="96">
        <f>IFERROR(VLOOKUP(H456, A$380:D$391, 4, FALSE), 0)</f>
        <v>0.14381739002335597</v>
      </c>
      <c r="H456" s="12" t="str">
        <f>"D" &amp; E27 &amp; "X"</f>
        <v>D3X</v>
      </c>
    </row>
    <row r="457" spans="1:8" ht="19.95" customHeight="1" x14ac:dyDescent="0.3">
      <c r="G457" s="96">
        <f>IFERROR(VLOOKUP(H457, A$380:D$391, 4, FALSE), 0)</f>
        <v>-0.38379828125683479</v>
      </c>
      <c r="H457" s="12" t="str">
        <f>"D" &amp; F27 &amp; "Y"</f>
        <v>D3Y</v>
      </c>
    </row>
    <row r="458" spans="1:8" ht="19.95" customHeight="1" x14ac:dyDescent="0.3">
      <c r="B458" s="99" t="s">
        <v>273</v>
      </c>
      <c r="C458" s="178" t="str">
        <f>IF(B455&gt;0.001,"BARRA A TRACCIÓN (+)",IF(B455&lt;-0.001,"BARRA A COMPRESIÓN (-)","BARRA DE FUERZA NULA"))</f>
        <v>BARRA A TRACCIÓN (+)</v>
      </c>
      <c r="D458" s="172"/>
      <c r="E458" s="172"/>
      <c r="F458" s="173"/>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59396.969619669988</v>
      </c>
      <c r="C462" s="92">
        <f>-J14</f>
        <v>-0.70710678118654746</v>
      </c>
      <c r="D462" s="92">
        <f>-K14</f>
        <v>0.70710678118654746</v>
      </c>
      <c r="E462" s="92">
        <f>J14</f>
        <v>0.70710678118654746</v>
      </c>
      <c r="F462" s="92">
        <f>K14</f>
        <v>-0.70710678118654746</v>
      </c>
      <c r="G462" s="96">
        <f>IFERROR(VLOOKUP(H462, A$380:D$391, 4, FALSE), 0)</f>
        <v>9.3682251488204971E-2</v>
      </c>
      <c r="H462" s="12" t="str">
        <f>"D" &amp; C28 &amp; "X"</f>
        <v>D6X</v>
      </c>
    </row>
    <row r="463" spans="1:8" ht="19.95" customHeight="1" x14ac:dyDescent="0.3">
      <c r="A463" s="99" t="s">
        <v>530</v>
      </c>
      <c r="B463" s="97">
        <f>(MMULT(C462:F462, G462:G465)*A462)</f>
        <v>-8485.2813742385733</v>
      </c>
      <c r="G463" s="96">
        <f>IFERROR(VLOOKUP(H463, A$380:D$391, 4, FALSE), 0)</f>
        <v>-0.32359421887416473</v>
      </c>
      <c r="H463" s="12" t="str">
        <f>"D" &amp; D28 &amp; "Y"</f>
        <v>D6Y</v>
      </c>
    </row>
    <row r="464" spans="1:8" ht="19.95" customHeight="1" x14ac:dyDescent="0.3">
      <c r="G464" s="96">
        <f>IFERROR(VLOOKUP(H464, A$380:D$391, 4, FALSE), 0)</f>
        <v>0.21524596145192743</v>
      </c>
      <c r="H464" s="12" t="str">
        <f>"D" &amp; E28 &amp; "X"</f>
        <v>D4X</v>
      </c>
    </row>
    <row r="465" spans="1:8" ht="19.95" customHeight="1" x14ac:dyDescent="0.3">
      <c r="G465" s="96">
        <f>IFERROR(VLOOKUP(H465, A$380:D$391, 4, FALSE), 0)</f>
        <v>0</v>
      </c>
      <c r="H465" s="12" t="str">
        <f>"D" &amp; F28 &amp; "Y"</f>
        <v>D4Y</v>
      </c>
    </row>
    <row r="466" spans="1:8" ht="19.95" customHeight="1" x14ac:dyDescent="0.3">
      <c r="B466" s="99" t="s">
        <v>273</v>
      </c>
      <c r="C466" s="178" t="str">
        <f>IF(B463&gt;0.001,"BARRA A TRACCIÓN (+)",IF(B463&lt;-0.001,"BARRA A COMPRESIÓN (-)","BARRA DE FUERZA NULA"))</f>
        <v>BARRA A COMPRESIÓN (-)</v>
      </c>
      <c r="D466" s="172"/>
      <c r="E466" s="172"/>
      <c r="F466" s="173"/>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59396.969619669988</v>
      </c>
      <c r="C470" s="92">
        <f>-J15</f>
        <v>-0.70710678118654746</v>
      </c>
      <c r="D470" s="92">
        <f>-K15</f>
        <v>0.70710678118654746</v>
      </c>
      <c r="E470" s="92">
        <f>J15</f>
        <v>0.70710678118654746</v>
      </c>
      <c r="F470" s="92">
        <f>K15</f>
        <v>-0.70710678118654746</v>
      </c>
      <c r="G470" s="96">
        <f>IFERROR(VLOOKUP(H470, A$380:D$391, 4, FALSE), 0)</f>
        <v>0.16415057575056327</v>
      </c>
      <c r="H470" s="12" t="str">
        <f>"D" &amp; C29 &amp; "X"</f>
        <v>D5X</v>
      </c>
    </row>
    <row r="471" spans="1:8" ht="19.95" customHeight="1" x14ac:dyDescent="0.3">
      <c r="A471" s="99" t="s">
        <v>589</v>
      </c>
      <c r="B471" s="97">
        <f>(MMULT(C470:F470, G470:G473)*A470)</f>
        <v>1333.4036455902312</v>
      </c>
      <c r="G471" s="96">
        <f>IFERROR(VLOOKUP(H471, A$380:D$391, 4, FALSE), 0)</f>
        <v>-0.33171738968224102</v>
      </c>
      <c r="H471" s="12" t="str">
        <f>"D" &amp; D29 &amp; "Y"</f>
        <v>D5Y</v>
      </c>
    </row>
    <row r="472" spans="1:8" ht="19.95" customHeight="1" x14ac:dyDescent="0.3">
      <c r="G472" s="96">
        <f>IFERROR(VLOOKUP(H472, A$380:D$391, 4, FALSE), 0)</f>
        <v>0.14381739002335597</v>
      </c>
      <c r="H472" s="12" t="str">
        <f>"D" &amp; E29 &amp; "X"</f>
        <v>D3X</v>
      </c>
    </row>
    <row r="473" spans="1:8" ht="19.95" customHeight="1" x14ac:dyDescent="0.3">
      <c r="G473" s="96">
        <f>IFERROR(VLOOKUP(H473, A$380:D$391, 4, FALSE), 0)</f>
        <v>-0.38379828125683479</v>
      </c>
      <c r="H473" s="12" t="str">
        <f>"D" &amp; F29 &amp; "Y"</f>
        <v>D3Y</v>
      </c>
    </row>
    <row r="474" spans="1:8" ht="19.95" customHeight="1" x14ac:dyDescent="0.3">
      <c r="B474" s="99" t="s">
        <v>273</v>
      </c>
      <c r="C474" s="178" t="str">
        <f>IF(B471&gt;0.001,"BARRA A TRACCIÓN (+)",IF(B471&lt;-0.001,"BARRA A COMPRESIÓN (-)","BARRA DE FUERZA NULA"))</f>
        <v>BARRA A TRACCIÓN (+)</v>
      </c>
      <c r="D474" s="172"/>
      <c r="E474" s="172"/>
      <c r="F474" s="173"/>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37565.942021996467</v>
      </c>
      <c r="C478" s="92">
        <f>-J16</f>
        <v>-0.89442719099991586</v>
      </c>
      <c r="D478" s="92">
        <f>-K16</f>
        <v>-0.44721359549995793</v>
      </c>
      <c r="E478" s="92">
        <f>J16</f>
        <v>0.89442719099991586</v>
      </c>
      <c r="F478" s="92">
        <f>K16</f>
        <v>0.44721359549995793</v>
      </c>
      <c r="G478" s="96">
        <f>IFERROR(VLOOKUP(H478, A$380:D$391, 4, FALSE), 0)</f>
        <v>0</v>
      </c>
      <c r="H478" s="12" t="str">
        <f>"D" &amp; C30 &amp; "X"</f>
        <v>D1X</v>
      </c>
    </row>
    <row r="479" spans="1:8" ht="19.95" customHeight="1" x14ac:dyDescent="0.3">
      <c r="A479" s="99" t="s">
        <v>590</v>
      </c>
      <c r="B479" s="97">
        <f>(MMULT(C478:F478, G478:G481)*A478)</f>
        <v>-2288.6592270822803</v>
      </c>
      <c r="G479" s="96">
        <f>IFERROR(VLOOKUP(H479, A$380:D$391, 4, FALSE), 0)</f>
        <v>0</v>
      </c>
      <c r="H479" s="12" t="str">
        <f>"D" &amp; D30 &amp; "Y"</f>
        <v>D1Y</v>
      </c>
    </row>
    <row r="480" spans="1:8" ht="19.95" customHeight="1" x14ac:dyDescent="0.3">
      <c r="G480" s="96">
        <f>IFERROR(VLOOKUP(H480, A$380:D$391, 4, FALSE), 0)</f>
        <v>9.3682251488204971E-2</v>
      </c>
      <c r="H480" s="12" t="str">
        <f>"D" &amp; E30 &amp; "X"</f>
        <v>D6X</v>
      </c>
    </row>
    <row r="481" spans="2:8" ht="19.95" customHeight="1" x14ac:dyDescent="0.3">
      <c r="G481" s="96">
        <f>IFERROR(VLOOKUP(H481, A$380:D$391, 4, FALSE), 0)</f>
        <v>-0.32359421887416473</v>
      </c>
      <c r="H481" s="12" t="str">
        <f>"D" &amp; F30 &amp; "Y"</f>
        <v>D6Y</v>
      </c>
    </row>
    <row r="482" spans="2:8" ht="19.95" customHeight="1" x14ac:dyDescent="0.3">
      <c r="B482" s="99" t="s">
        <v>273</v>
      </c>
      <c r="C482" s="178" t="str">
        <f>IF(B479&gt;0.001,"BARRA A TRACCIÓN (+)",IF(B479&lt;-0.001,"BARRA A COMPRESIÓN (-)","BARRA DE FUERZA NULA"))</f>
        <v>BARRA A COMPRESIÓN (-)</v>
      </c>
      <c r="D482" s="172"/>
      <c r="E482" s="172"/>
      <c r="F482" s="173"/>
    </row>
    <row r="485" spans="2:8" ht="22.05" customHeight="1" x14ac:dyDescent="0.3">
      <c r="B485" s="217" t="s">
        <v>404</v>
      </c>
      <c r="C485" s="175"/>
      <c r="D485" s="175"/>
      <c r="E485" s="175"/>
      <c r="F485" s="175"/>
      <c r="G485" s="175"/>
      <c r="H485" s="175"/>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300</v>
      </c>
      <c r="F487" s="9">
        <f t="shared" ref="F487:F497" si="54">L6</f>
        <v>12</v>
      </c>
      <c r="G487" s="97">
        <f>B399</f>
        <v>7023.5195218176186</v>
      </c>
      <c r="H487" s="84" t="str">
        <f>C402</f>
        <v>BARRA A TRACCIÓN (+)</v>
      </c>
    </row>
    <row r="488" spans="2:8" ht="19.95" customHeight="1" x14ac:dyDescent="0.3">
      <c r="B488" s="25">
        <v>2</v>
      </c>
      <c r="C488" s="86">
        <f t="shared" si="51"/>
        <v>2</v>
      </c>
      <c r="D488" s="86">
        <f t="shared" si="52"/>
        <v>3</v>
      </c>
      <c r="E488" s="9">
        <f t="shared" si="53"/>
        <v>300</v>
      </c>
      <c r="F488" s="9">
        <f t="shared" si="54"/>
        <v>12</v>
      </c>
      <c r="G488" s="97">
        <f>B407</f>
        <v>5057.1412401442831</v>
      </c>
      <c r="H488" s="84" t="str">
        <f>C410</f>
        <v>BARRA A TRACCIÓN (+)</v>
      </c>
    </row>
    <row r="489" spans="2:8" ht="19.95" customHeight="1" x14ac:dyDescent="0.3">
      <c r="B489" s="26">
        <v>3</v>
      </c>
      <c r="C489" s="86">
        <f t="shared" si="51"/>
        <v>3</v>
      </c>
      <c r="D489" s="86">
        <f t="shared" si="52"/>
        <v>4</v>
      </c>
      <c r="E489" s="9">
        <f t="shared" si="53"/>
        <v>300</v>
      </c>
      <c r="F489" s="9">
        <f t="shared" si="54"/>
        <v>12</v>
      </c>
      <c r="G489" s="97">
        <f>B415</f>
        <v>6000.0000000000018</v>
      </c>
      <c r="H489" s="84" t="str">
        <f>C418</f>
        <v>BARRA A TRACCIÓN (+)</v>
      </c>
    </row>
    <row r="490" spans="2:8" ht="19.95" customHeight="1" x14ac:dyDescent="0.3">
      <c r="B490" s="43">
        <v>4</v>
      </c>
      <c r="C490" s="86">
        <f t="shared" si="51"/>
        <v>5</v>
      </c>
      <c r="D490" s="86">
        <f t="shared" si="52"/>
        <v>6</v>
      </c>
      <c r="E490" s="9">
        <f t="shared" si="53"/>
        <v>300</v>
      </c>
      <c r="F490" s="9">
        <f t="shared" si="54"/>
        <v>12</v>
      </c>
      <c r="G490" s="97">
        <f>B423</f>
        <v>-5919.3392380380974</v>
      </c>
      <c r="H490" s="84" t="str">
        <f>C426</f>
        <v>BARRA A COMPRESIÓN (-)</v>
      </c>
    </row>
    <row r="491" spans="2:8" ht="19.95" customHeight="1" x14ac:dyDescent="0.3">
      <c r="B491" s="44">
        <v>5</v>
      </c>
      <c r="C491" s="86">
        <f t="shared" si="51"/>
        <v>1</v>
      </c>
      <c r="D491" s="86">
        <f t="shared" si="52"/>
        <v>5</v>
      </c>
      <c r="E491" s="9">
        <f t="shared" si="53"/>
        <v>424.26406871192853</v>
      </c>
      <c r="F491" s="9">
        <f t="shared" si="54"/>
        <v>12</v>
      </c>
      <c r="G491" s="97">
        <f>B431</f>
        <v>-7037.8061851304656</v>
      </c>
      <c r="H491" s="84" t="str">
        <f>C434</f>
        <v>BARRA A COMPRESIÓN (-)</v>
      </c>
    </row>
    <row r="492" spans="2:8" ht="19.95" customHeight="1" x14ac:dyDescent="0.3">
      <c r="B492" s="51">
        <v>6</v>
      </c>
      <c r="C492" s="86">
        <f t="shared" si="51"/>
        <v>5</v>
      </c>
      <c r="D492" s="86">
        <f t="shared" si="52"/>
        <v>2</v>
      </c>
      <c r="E492" s="9">
        <f t="shared" si="53"/>
        <v>300</v>
      </c>
      <c r="F492" s="9">
        <f t="shared" si="54"/>
        <v>12</v>
      </c>
      <c r="G492" s="97">
        <f>B439</f>
        <v>4033.6217183266663</v>
      </c>
      <c r="H492" s="84" t="str">
        <f>C442</f>
        <v>BARRA A TRACCIÓN (+)</v>
      </c>
    </row>
    <row r="493" spans="2:8" ht="19.95" customHeight="1" x14ac:dyDescent="0.3">
      <c r="B493" s="52">
        <v>7</v>
      </c>
      <c r="C493" s="86">
        <f t="shared" si="51"/>
        <v>2</v>
      </c>
      <c r="D493" s="86">
        <f t="shared" si="52"/>
        <v>6</v>
      </c>
      <c r="E493" s="9">
        <f t="shared" si="53"/>
        <v>424.26406871192853</v>
      </c>
      <c r="F493" s="9">
        <f t="shared" si="54"/>
        <v>12</v>
      </c>
      <c r="G493" s="97">
        <f>B447</f>
        <v>2780.8788346983397</v>
      </c>
      <c r="H493" s="84" t="str">
        <f>C450</f>
        <v>BARRA A TRACCIÓN (+)</v>
      </c>
    </row>
    <row r="494" spans="2:8" ht="19.95" customHeight="1" x14ac:dyDescent="0.3">
      <c r="B494" s="59">
        <v>8</v>
      </c>
      <c r="C494" s="86">
        <f t="shared" si="51"/>
        <v>6</v>
      </c>
      <c r="D494" s="86">
        <f t="shared" si="52"/>
        <v>3</v>
      </c>
      <c r="E494" s="9">
        <f t="shared" si="53"/>
        <v>300</v>
      </c>
      <c r="F494" s="9">
        <f t="shared" si="54"/>
        <v>12</v>
      </c>
      <c r="G494" s="97">
        <f>B455</f>
        <v>5057.1412401442858</v>
      </c>
      <c r="H494" s="84" t="str">
        <f>C458</f>
        <v>BARRA A TRACCIÓN (+)</v>
      </c>
    </row>
    <row r="495" spans="2:8" ht="19.95" customHeight="1" x14ac:dyDescent="0.3">
      <c r="B495" s="60">
        <v>9</v>
      </c>
      <c r="C495" s="86">
        <f t="shared" si="51"/>
        <v>6</v>
      </c>
      <c r="D495" s="86">
        <f t="shared" si="52"/>
        <v>4</v>
      </c>
      <c r="E495" s="9">
        <f t="shared" si="53"/>
        <v>424.26406871192853</v>
      </c>
      <c r="F495" s="9">
        <f t="shared" si="54"/>
        <v>12</v>
      </c>
      <c r="G495" s="97">
        <f>B463</f>
        <v>-8485.2813742385733</v>
      </c>
      <c r="H495" s="84" t="str">
        <f>C466</f>
        <v>BARRA A COMPRESIÓN (-)</v>
      </c>
    </row>
    <row r="496" spans="2:8" ht="19.95" customHeight="1" x14ac:dyDescent="0.3">
      <c r="B496" s="67">
        <v>10</v>
      </c>
      <c r="C496" s="86">
        <f t="shared" si="51"/>
        <v>5</v>
      </c>
      <c r="D496" s="86">
        <f t="shared" si="52"/>
        <v>3</v>
      </c>
      <c r="E496" s="9">
        <f t="shared" si="53"/>
        <v>424.26406871192853</v>
      </c>
      <c r="F496" s="9">
        <f t="shared" si="54"/>
        <v>12</v>
      </c>
      <c r="G496" s="97">
        <f>B471</f>
        <v>1333.4036455902312</v>
      </c>
      <c r="H496" s="84" t="str">
        <f>C474</f>
        <v>BARRA A TRACCIÓN (+)</v>
      </c>
    </row>
    <row r="497" spans="2:8" ht="19.95" customHeight="1" x14ac:dyDescent="0.3">
      <c r="B497" s="68">
        <v>11</v>
      </c>
      <c r="C497" s="86">
        <f t="shared" si="51"/>
        <v>1</v>
      </c>
      <c r="D497" s="86">
        <f t="shared" si="52"/>
        <v>6</v>
      </c>
      <c r="E497" s="9">
        <f t="shared" si="53"/>
        <v>670.82039324993696</v>
      </c>
      <c r="F497" s="9">
        <f t="shared" si="54"/>
        <v>12</v>
      </c>
      <c r="G497" s="97">
        <f>B479</f>
        <v>-2288.6592270822803</v>
      </c>
      <c r="H497" s="84" t="str">
        <f>C482</f>
        <v>BARRA A COMPRESIÓN (-)</v>
      </c>
    </row>
  </sheetData>
  <mergeCells count="152">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 ref="P342:U342"/>
    <mergeCell ref="P396:U396"/>
    <mergeCell ref="P330:U330"/>
    <mergeCell ref="P364:U364"/>
    <mergeCell ref="P404:U404"/>
    <mergeCell ref="P332:U332"/>
    <mergeCell ref="P331:U331"/>
    <mergeCell ref="P411:U411"/>
    <mergeCell ref="P345:U345"/>
    <mergeCell ref="P288:U288"/>
    <mergeCell ref="P366:U366"/>
    <mergeCell ref="B4:B5"/>
    <mergeCell ref="N4:N5"/>
    <mergeCell ref="P286:U286"/>
    <mergeCell ref="J4:J5"/>
    <mergeCell ref="L4:L5"/>
    <mergeCell ref="B3:D3"/>
    <mergeCell ref="P280:U280"/>
    <mergeCell ref="M4:M5"/>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304:U304"/>
    <mergeCell ref="P417:U417"/>
    <mergeCell ref="C337:K337"/>
    <mergeCell ref="C450:F450"/>
    <mergeCell ref="P348:U348"/>
    <mergeCell ref="P338:U338"/>
    <mergeCell ref="P398:U398"/>
    <mergeCell ref="P373:U373"/>
    <mergeCell ref="P309:U309"/>
    <mergeCell ref="C474:F474"/>
    <mergeCell ref="P395:U395"/>
    <mergeCell ref="C458:F458"/>
    <mergeCell ref="P370:U370"/>
    <mergeCell ref="P279:U279"/>
    <mergeCell ref="P353:U353"/>
    <mergeCell ref="G4:G5"/>
    <mergeCell ref="I4:I5"/>
    <mergeCell ref="P289:U289"/>
    <mergeCell ref="P285:U285"/>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702</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HYPERLINK("#'AUTOMATIZADA_65'!A1",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10</v>
      </c>
      <c r="E6" s="173"/>
      <c r="F6" s="206">
        <f>SUM(F14:G23)</f>
        <v>5</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300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300</v>
      </c>
      <c r="AB8" s="20">
        <f>IF(F29="","",F29)</f>
        <v>0</v>
      </c>
      <c r="AC8" t="s">
        <v>316</v>
      </c>
    </row>
    <row r="9" spans="2:29" x14ac:dyDescent="0.3">
      <c r="AA9" s="20">
        <f>IF(G29="","",G29)</f>
        <v>600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688</v>
      </c>
      <c r="K14" s="172"/>
      <c r="L14" s="172"/>
      <c r="M14" s="172"/>
      <c r="N14" s="172"/>
      <c r="O14" s="173"/>
      <c r="AA14" s="20">
        <f>IF(E31="","",E31)</f>
        <v>300</v>
      </c>
      <c r="AB14" s="20">
        <f>IF(F31="","",F31)</f>
        <v>300</v>
      </c>
      <c r="AC14" t="s">
        <v>328</v>
      </c>
    </row>
    <row r="15" spans="2:29" ht="19.05" customHeight="1" x14ac:dyDescent="0.3">
      <c r="B15" s="89">
        <v>2</v>
      </c>
      <c r="C15" s="21">
        <v>300</v>
      </c>
      <c r="D15" s="21">
        <v>0</v>
      </c>
      <c r="E15" s="21" t="s">
        <v>329</v>
      </c>
      <c r="F15" s="88">
        <f t="shared" si="0"/>
        <v>0</v>
      </c>
      <c r="G15" s="88">
        <f t="shared" si="1"/>
        <v>1</v>
      </c>
      <c r="H15" s="22">
        <v>0</v>
      </c>
      <c r="I15" s="22">
        <v>0</v>
      </c>
      <c r="J15" s="205" t="s">
        <v>703</v>
      </c>
      <c r="K15" s="172"/>
      <c r="L15" s="172"/>
      <c r="M15" s="172"/>
      <c r="N15" s="172"/>
      <c r="O15" s="173"/>
      <c r="AA15" s="20">
        <f>IF(G31="","",G31)</f>
        <v>600</v>
      </c>
      <c r="AB15" s="20">
        <f>IF(H31="","",H31)</f>
        <v>300</v>
      </c>
      <c r="AC15" t="s">
        <v>331</v>
      </c>
    </row>
    <row r="16" spans="2:29" ht="19.05" customHeight="1" x14ac:dyDescent="0.3">
      <c r="B16" s="89">
        <v>3</v>
      </c>
      <c r="C16" s="21">
        <v>600</v>
      </c>
      <c r="D16" s="21">
        <v>0</v>
      </c>
      <c r="E16" s="21" t="s">
        <v>329</v>
      </c>
      <c r="F16" s="88">
        <f t="shared" si="0"/>
        <v>0</v>
      </c>
      <c r="G16" s="88">
        <f t="shared" si="1"/>
        <v>1</v>
      </c>
      <c r="H16" s="22">
        <v>0</v>
      </c>
      <c r="I16" s="22">
        <v>0</v>
      </c>
      <c r="J16" s="205" t="s">
        <v>704</v>
      </c>
      <c r="K16" s="172"/>
      <c r="L16" s="172"/>
      <c r="M16" s="172"/>
      <c r="N16" s="172"/>
      <c r="O16" s="173"/>
    </row>
    <row r="17" spans="2:29" ht="19.05" customHeight="1" x14ac:dyDescent="0.3">
      <c r="B17" s="89">
        <v>4</v>
      </c>
      <c r="C17" s="21">
        <v>900</v>
      </c>
      <c r="D17" s="21">
        <v>0</v>
      </c>
      <c r="E17" s="21" t="s">
        <v>329</v>
      </c>
      <c r="F17" s="88">
        <f t="shared" si="0"/>
        <v>0</v>
      </c>
      <c r="G17" s="88">
        <f t="shared" si="1"/>
        <v>1</v>
      </c>
      <c r="H17" s="22">
        <v>0</v>
      </c>
      <c r="I17" s="22">
        <v>0</v>
      </c>
      <c r="J17" s="205" t="s">
        <v>705</v>
      </c>
      <c r="K17" s="172"/>
      <c r="L17" s="172"/>
      <c r="M17" s="172"/>
      <c r="N17" s="172"/>
      <c r="O17" s="173"/>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2500</v>
      </c>
      <c r="I18" s="22">
        <v>-7000</v>
      </c>
      <c r="J18" s="205" t="s">
        <v>628</v>
      </c>
      <c r="K18" s="172"/>
      <c r="L18" s="172"/>
      <c r="M18" s="172"/>
      <c r="N18" s="172"/>
      <c r="O18" s="173"/>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-7000</v>
      </c>
      <c r="J19" s="205" t="s">
        <v>706</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300</v>
      </c>
      <c r="AB23" s="20">
        <f>IF(F34="","",F34)</f>
        <v>0</v>
      </c>
      <c r="AC23" t="s">
        <v>338</v>
      </c>
    </row>
    <row r="24" spans="2:29" x14ac:dyDescent="0.3">
      <c r="AA24" s="20">
        <f>IF(G34="","",G34)</f>
        <v>600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600</v>
      </c>
      <c r="AB26" s="20">
        <f>IF(F35="","",F35)</f>
        <v>300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300</v>
      </c>
      <c r="AB32" s="20">
        <f>IF(F37="","",F37)</f>
        <v>300</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f>IF(G37="","",G37)</f>
        <v>600</v>
      </c>
      <c r="AB33" s="20">
        <f>IF(H37="","",H37)</f>
        <v>0</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v>5</v>
      </c>
      <c r="D37" s="23">
        <v>3</v>
      </c>
      <c r="E37" s="5">
        <f t="shared" si="2"/>
        <v>300</v>
      </c>
      <c r="F37" s="5">
        <f t="shared" si="3"/>
        <v>300</v>
      </c>
      <c r="G37" s="5">
        <f t="shared" si="4"/>
        <v>600</v>
      </c>
      <c r="H37" s="5">
        <f t="shared" si="5"/>
        <v>0</v>
      </c>
      <c r="I37" s="9">
        <f t="shared" si="6"/>
        <v>300</v>
      </c>
      <c r="J37" s="9">
        <f t="shared" si="7"/>
        <v>-300</v>
      </c>
      <c r="K37" s="9">
        <f t="shared" si="8"/>
        <v>424.26406871192853</v>
      </c>
      <c r="L37" s="92">
        <f t="shared" si="9"/>
        <v>0.70710678118654746</v>
      </c>
      <c r="M37" s="92">
        <f t="shared" si="10"/>
        <v>-0.70710678118654746</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300-000000000000}">
      <formula1>"Fijo (articulado),Rodillo Y (despl. X libre),Rodillo X (despl. Y libre),Libre (0 reac.)"</formula1>
    </dataValidation>
  </dataValidations>
  <pageMargins left="0.75" right="0.75" top="1" bottom="1" header="0.5" footer="0.5"/>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U45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707</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HYPERLINK("#'GRAFICA_65'!A1",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GRAFICA_65!E28</f>
        <v>0</v>
      </c>
      <c r="D6" s="22">
        <f>GRAFICA_65!F28</f>
        <v>0</v>
      </c>
      <c r="E6" s="22">
        <f>GRAFICA_65!G28</f>
        <v>300</v>
      </c>
      <c r="F6" s="22">
        <f>GRAFICA_65!H28</f>
        <v>0</v>
      </c>
      <c r="G6" s="9">
        <f t="shared" ref="G6:G15" si="0">E6-C6</f>
        <v>300</v>
      </c>
      <c r="H6" s="9">
        <f t="shared" ref="H6:H15" si="1">F6-D6</f>
        <v>0</v>
      </c>
      <c r="I6" s="9">
        <f t="shared" ref="I6:I15" si="2">SQRT(G6*G6+H6*H6)</f>
        <v>300</v>
      </c>
      <c r="J6" s="92">
        <f t="shared" ref="J6:J15" si="3">G6/I6</f>
        <v>1</v>
      </c>
      <c r="K6" s="92">
        <f t="shared" ref="K6:K15" si="4">H6/I6</f>
        <v>0</v>
      </c>
      <c r="L6" s="22">
        <f>GRAFICA_65!N28</f>
        <v>12</v>
      </c>
      <c r="M6" s="22">
        <f>GRAFICA_65!O28</f>
        <v>2100000</v>
      </c>
      <c r="N6" s="6">
        <f t="shared" ref="N6:N15" si="5">L6*M6/I6</f>
        <v>84000</v>
      </c>
    </row>
    <row r="7" spans="2:14" ht="19.05" customHeight="1" x14ac:dyDescent="0.3">
      <c r="B7" s="25">
        <v>2</v>
      </c>
      <c r="C7" s="22">
        <f>GRAFICA_65!E29</f>
        <v>300</v>
      </c>
      <c r="D7" s="22">
        <f>GRAFICA_65!F29</f>
        <v>0</v>
      </c>
      <c r="E7" s="22">
        <f>GRAFICA_65!G29</f>
        <v>600</v>
      </c>
      <c r="F7" s="22">
        <f>GRAFICA_65!H29</f>
        <v>0</v>
      </c>
      <c r="G7" s="9">
        <f t="shared" si="0"/>
        <v>300</v>
      </c>
      <c r="H7" s="9">
        <f t="shared" si="1"/>
        <v>0</v>
      </c>
      <c r="I7" s="9">
        <f t="shared" si="2"/>
        <v>300</v>
      </c>
      <c r="J7" s="92">
        <f t="shared" si="3"/>
        <v>1</v>
      </c>
      <c r="K7" s="92">
        <f t="shared" si="4"/>
        <v>0</v>
      </c>
      <c r="L7" s="22">
        <f>GRAFICA_65!N29</f>
        <v>12</v>
      </c>
      <c r="M7" s="22">
        <f>GRAFICA_65!O29</f>
        <v>2100000</v>
      </c>
      <c r="N7" s="6">
        <f t="shared" si="5"/>
        <v>84000</v>
      </c>
    </row>
    <row r="8" spans="2:14" ht="19.05" customHeight="1" x14ac:dyDescent="0.3">
      <c r="B8" s="26">
        <v>3</v>
      </c>
      <c r="C8" s="22">
        <f>GRAFICA_65!E30</f>
        <v>600</v>
      </c>
      <c r="D8" s="22">
        <f>GRAFICA_65!F30</f>
        <v>0</v>
      </c>
      <c r="E8" s="22">
        <f>GRAFICA_65!G30</f>
        <v>900</v>
      </c>
      <c r="F8" s="22">
        <f>GRAFICA_65!H30</f>
        <v>0</v>
      </c>
      <c r="G8" s="9">
        <f t="shared" si="0"/>
        <v>300</v>
      </c>
      <c r="H8" s="9">
        <f t="shared" si="1"/>
        <v>0</v>
      </c>
      <c r="I8" s="9">
        <f t="shared" si="2"/>
        <v>300</v>
      </c>
      <c r="J8" s="92">
        <f t="shared" si="3"/>
        <v>1</v>
      </c>
      <c r="K8" s="92">
        <f t="shared" si="4"/>
        <v>0</v>
      </c>
      <c r="L8" s="22">
        <f>GRAFICA_65!N30</f>
        <v>12</v>
      </c>
      <c r="M8" s="22">
        <f>GRAFICA_65!O30</f>
        <v>2100000</v>
      </c>
      <c r="N8" s="6">
        <f t="shared" si="5"/>
        <v>84000</v>
      </c>
    </row>
    <row r="9" spans="2:14" ht="19.05" customHeight="1" x14ac:dyDescent="0.3">
      <c r="B9" s="43">
        <v>4</v>
      </c>
      <c r="C9" s="22">
        <f>GRAFICA_65!E31</f>
        <v>300</v>
      </c>
      <c r="D9" s="22">
        <f>GRAFICA_65!F31</f>
        <v>300</v>
      </c>
      <c r="E9" s="22">
        <f>GRAFICA_65!G31</f>
        <v>600</v>
      </c>
      <c r="F9" s="22">
        <f>GRAFICA_65!H31</f>
        <v>300</v>
      </c>
      <c r="G9" s="9">
        <f t="shared" si="0"/>
        <v>300</v>
      </c>
      <c r="H9" s="9">
        <f t="shared" si="1"/>
        <v>0</v>
      </c>
      <c r="I9" s="9">
        <f t="shared" si="2"/>
        <v>300</v>
      </c>
      <c r="J9" s="92">
        <f t="shared" si="3"/>
        <v>1</v>
      </c>
      <c r="K9" s="92">
        <f t="shared" si="4"/>
        <v>0</v>
      </c>
      <c r="L9" s="22">
        <f>GRAFICA_65!N31</f>
        <v>12</v>
      </c>
      <c r="M9" s="22">
        <f>GRAFICA_65!O31</f>
        <v>2100000</v>
      </c>
      <c r="N9" s="6">
        <f t="shared" si="5"/>
        <v>84000</v>
      </c>
    </row>
    <row r="10" spans="2:14" ht="19.05" customHeight="1" x14ac:dyDescent="0.3">
      <c r="B10" s="44">
        <v>5</v>
      </c>
      <c r="C10" s="22">
        <f>GRAFICA_65!E32</f>
        <v>0</v>
      </c>
      <c r="D10" s="22">
        <f>GRAFICA_65!F32</f>
        <v>0</v>
      </c>
      <c r="E10" s="22">
        <f>GRAFICA_65!G32</f>
        <v>300</v>
      </c>
      <c r="F10" s="22">
        <f>GRAFICA_65!H32</f>
        <v>300</v>
      </c>
      <c r="G10" s="9">
        <f t="shared" si="0"/>
        <v>300</v>
      </c>
      <c r="H10" s="9">
        <f t="shared" si="1"/>
        <v>300</v>
      </c>
      <c r="I10" s="9">
        <f t="shared" si="2"/>
        <v>424.26406871192853</v>
      </c>
      <c r="J10" s="92">
        <f t="shared" si="3"/>
        <v>0.70710678118654746</v>
      </c>
      <c r="K10" s="92">
        <f t="shared" si="4"/>
        <v>0.70710678118654746</v>
      </c>
      <c r="L10" s="22">
        <f>GRAFICA_65!N32</f>
        <v>12</v>
      </c>
      <c r="M10" s="22">
        <f>GRAFICA_65!O32</f>
        <v>2100000</v>
      </c>
      <c r="N10" s="6">
        <f t="shared" si="5"/>
        <v>59396.969619669988</v>
      </c>
    </row>
    <row r="11" spans="2:14" ht="19.05" customHeight="1" x14ac:dyDescent="0.3">
      <c r="B11" s="51">
        <v>6</v>
      </c>
      <c r="C11" s="22">
        <f>GRAFICA_65!E33</f>
        <v>300</v>
      </c>
      <c r="D11" s="22">
        <f>GRAFICA_65!F33</f>
        <v>300</v>
      </c>
      <c r="E11" s="22">
        <f>GRAFICA_65!G33</f>
        <v>300</v>
      </c>
      <c r="F11" s="22">
        <f>GRAFICA_65!H33</f>
        <v>0</v>
      </c>
      <c r="G11" s="9">
        <f t="shared" si="0"/>
        <v>0</v>
      </c>
      <c r="H11" s="9">
        <f t="shared" si="1"/>
        <v>-300</v>
      </c>
      <c r="I11" s="9">
        <f t="shared" si="2"/>
        <v>300</v>
      </c>
      <c r="J11" s="92">
        <f t="shared" si="3"/>
        <v>0</v>
      </c>
      <c r="K11" s="92">
        <f t="shared" si="4"/>
        <v>-1</v>
      </c>
      <c r="L11" s="22">
        <f>GRAFICA_65!N33</f>
        <v>12</v>
      </c>
      <c r="M11" s="22">
        <f>GRAFICA_65!O33</f>
        <v>2100000</v>
      </c>
      <c r="N11" s="6">
        <f t="shared" si="5"/>
        <v>84000</v>
      </c>
    </row>
    <row r="12" spans="2:14" ht="19.05" customHeight="1" x14ac:dyDescent="0.3">
      <c r="B12" s="52">
        <v>7</v>
      </c>
      <c r="C12" s="22">
        <f>GRAFICA_65!E34</f>
        <v>300</v>
      </c>
      <c r="D12" s="22">
        <f>GRAFICA_65!F34</f>
        <v>0</v>
      </c>
      <c r="E12" s="22">
        <f>GRAFICA_65!G34</f>
        <v>600</v>
      </c>
      <c r="F12" s="22">
        <f>GRAFICA_65!H34</f>
        <v>300</v>
      </c>
      <c r="G12" s="9">
        <f t="shared" si="0"/>
        <v>300</v>
      </c>
      <c r="H12" s="9">
        <f t="shared" si="1"/>
        <v>300</v>
      </c>
      <c r="I12" s="9">
        <f t="shared" si="2"/>
        <v>424.26406871192853</v>
      </c>
      <c r="J12" s="92">
        <f t="shared" si="3"/>
        <v>0.70710678118654746</v>
      </c>
      <c r="K12" s="92">
        <f t="shared" si="4"/>
        <v>0.70710678118654746</v>
      </c>
      <c r="L12" s="22">
        <f>GRAFICA_65!N34</f>
        <v>12</v>
      </c>
      <c r="M12" s="22">
        <f>GRAFICA_65!O34</f>
        <v>2100000</v>
      </c>
      <c r="N12" s="6">
        <f t="shared" si="5"/>
        <v>59396.969619669988</v>
      </c>
    </row>
    <row r="13" spans="2:14" ht="19.05" customHeight="1" x14ac:dyDescent="0.3">
      <c r="B13" s="59">
        <v>8</v>
      </c>
      <c r="C13" s="22">
        <f>GRAFICA_65!E35</f>
        <v>600</v>
      </c>
      <c r="D13" s="22">
        <f>GRAFICA_65!F35</f>
        <v>300</v>
      </c>
      <c r="E13" s="22">
        <f>GRAFICA_65!G35</f>
        <v>600</v>
      </c>
      <c r="F13" s="22">
        <f>GRAFICA_65!H35</f>
        <v>0</v>
      </c>
      <c r="G13" s="9">
        <f t="shared" si="0"/>
        <v>0</v>
      </c>
      <c r="H13" s="9">
        <f t="shared" si="1"/>
        <v>-300</v>
      </c>
      <c r="I13" s="9">
        <f t="shared" si="2"/>
        <v>300</v>
      </c>
      <c r="J13" s="92">
        <f t="shared" si="3"/>
        <v>0</v>
      </c>
      <c r="K13" s="92">
        <f t="shared" si="4"/>
        <v>-1</v>
      </c>
      <c r="L13" s="22">
        <f>GRAFICA_65!N35</f>
        <v>12</v>
      </c>
      <c r="M13" s="22">
        <f>GRAFICA_65!O35</f>
        <v>2100000</v>
      </c>
      <c r="N13" s="6">
        <f t="shared" si="5"/>
        <v>84000</v>
      </c>
    </row>
    <row r="14" spans="2:14" ht="19.05" customHeight="1" x14ac:dyDescent="0.3">
      <c r="B14" s="60">
        <v>9</v>
      </c>
      <c r="C14" s="22">
        <f>GRAFICA_65!E36</f>
        <v>600</v>
      </c>
      <c r="D14" s="22">
        <f>GRAFICA_65!F36</f>
        <v>300</v>
      </c>
      <c r="E14" s="22">
        <f>GRAFICA_65!G36</f>
        <v>900</v>
      </c>
      <c r="F14" s="22">
        <f>GRAFICA_65!H36</f>
        <v>0</v>
      </c>
      <c r="G14" s="9">
        <f t="shared" si="0"/>
        <v>300</v>
      </c>
      <c r="H14" s="9">
        <f t="shared" si="1"/>
        <v>-300</v>
      </c>
      <c r="I14" s="9">
        <f t="shared" si="2"/>
        <v>424.26406871192853</v>
      </c>
      <c r="J14" s="92">
        <f t="shared" si="3"/>
        <v>0.70710678118654746</v>
      </c>
      <c r="K14" s="92">
        <f t="shared" si="4"/>
        <v>-0.70710678118654746</v>
      </c>
      <c r="L14" s="22">
        <f>GRAFICA_65!N36</f>
        <v>12</v>
      </c>
      <c r="M14" s="22">
        <f>GRAFICA_65!O36</f>
        <v>2100000</v>
      </c>
      <c r="N14" s="6">
        <f t="shared" si="5"/>
        <v>59396.969619669988</v>
      </c>
    </row>
    <row r="15" spans="2:14" ht="19.05" customHeight="1" x14ac:dyDescent="0.3">
      <c r="B15" s="67">
        <v>10</v>
      </c>
      <c r="C15" s="22">
        <f>GRAFICA_65!E37</f>
        <v>300</v>
      </c>
      <c r="D15" s="22">
        <f>GRAFICA_65!F37</f>
        <v>300</v>
      </c>
      <c r="E15" s="22">
        <f>GRAFICA_65!G37</f>
        <v>600</v>
      </c>
      <c r="F15" s="22">
        <f>GRAFICA_65!H37</f>
        <v>0</v>
      </c>
      <c r="G15" s="9">
        <f t="shared" si="0"/>
        <v>300</v>
      </c>
      <c r="H15" s="9">
        <f t="shared" si="1"/>
        <v>-300</v>
      </c>
      <c r="I15" s="9">
        <f t="shared" si="2"/>
        <v>424.26406871192853</v>
      </c>
      <c r="J15" s="92">
        <f t="shared" si="3"/>
        <v>0.70710678118654746</v>
      </c>
      <c r="K15" s="92">
        <f t="shared" si="4"/>
        <v>-0.70710678118654746</v>
      </c>
      <c r="L15" s="22">
        <f>GRAFICA_65!N37</f>
        <v>12</v>
      </c>
      <c r="M15" s="22">
        <f>GRAFICA_65!O37</f>
        <v>2100000</v>
      </c>
      <c r="N15" s="6">
        <f t="shared" si="5"/>
        <v>59396.969619669988</v>
      </c>
    </row>
    <row r="17" spans="2:6" ht="18" customHeight="1" x14ac:dyDescent="0.3">
      <c r="B17" s="202" t="s">
        <v>145</v>
      </c>
      <c r="C17" s="202" t="s">
        <v>369</v>
      </c>
      <c r="D17" s="173"/>
      <c r="E17" s="202" t="s">
        <v>370</v>
      </c>
      <c r="F17" s="173"/>
    </row>
    <row r="18" spans="2:6" ht="18" customHeight="1" x14ac:dyDescent="0.3">
      <c r="B18" s="203"/>
      <c r="C18" s="81" t="s">
        <v>157</v>
      </c>
      <c r="D18" s="81" t="s">
        <v>158</v>
      </c>
      <c r="E18" s="81" t="s">
        <v>157</v>
      </c>
      <c r="F18" s="81" t="s">
        <v>158</v>
      </c>
    </row>
    <row r="19" spans="2:6" ht="19.05" customHeight="1" x14ac:dyDescent="0.3">
      <c r="B19" s="85">
        <v>1</v>
      </c>
      <c r="C19" s="23">
        <f>GRAFICA_65!C28</f>
        <v>1</v>
      </c>
      <c r="D19" s="23">
        <f>GRAFICA_65!C28</f>
        <v>1</v>
      </c>
      <c r="E19" s="23">
        <f>GRAFICA_65!D28</f>
        <v>2</v>
      </c>
      <c r="F19" s="23">
        <f>GRAFICA_65!D28</f>
        <v>2</v>
      </c>
    </row>
    <row r="20" spans="2:6" ht="19.05" customHeight="1" x14ac:dyDescent="0.3">
      <c r="B20" s="25">
        <v>2</v>
      </c>
      <c r="C20" s="23">
        <f>GRAFICA_65!C29</f>
        <v>2</v>
      </c>
      <c r="D20" s="23">
        <f>GRAFICA_65!C29</f>
        <v>2</v>
      </c>
      <c r="E20" s="23">
        <f>GRAFICA_65!D29</f>
        <v>3</v>
      </c>
      <c r="F20" s="23">
        <f>GRAFICA_65!D29</f>
        <v>3</v>
      </c>
    </row>
    <row r="21" spans="2:6" ht="19.05" customHeight="1" x14ac:dyDescent="0.3">
      <c r="B21" s="26">
        <v>3</v>
      </c>
      <c r="C21" s="23">
        <f>GRAFICA_65!C30</f>
        <v>3</v>
      </c>
      <c r="D21" s="23">
        <f>GRAFICA_65!C30</f>
        <v>3</v>
      </c>
      <c r="E21" s="23">
        <f>GRAFICA_65!D30</f>
        <v>4</v>
      </c>
      <c r="F21" s="23">
        <f>GRAFICA_65!D30</f>
        <v>4</v>
      </c>
    </row>
    <row r="22" spans="2:6" ht="19.05" customHeight="1" x14ac:dyDescent="0.3">
      <c r="B22" s="43">
        <v>4</v>
      </c>
      <c r="C22" s="23">
        <f>GRAFICA_65!C31</f>
        <v>5</v>
      </c>
      <c r="D22" s="23">
        <f>GRAFICA_65!C31</f>
        <v>5</v>
      </c>
      <c r="E22" s="23">
        <f>GRAFICA_65!D31</f>
        <v>6</v>
      </c>
      <c r="F22" s="23">
        <f>GRAFICA_65!D31</f>
        <v>6</v>
      </c>
    </row>
    <row r="23" spans="2:6" ht="19.05" customHeight="1" x14ac:dyDescent="0.3">
      <c r="B23" s="44">
        <v>5</v>
      </c>
      <c r="C23" s="23">
        <f>GRAFICA_65!C32</f>
        <v>1</v>
      </c>
      <c r="D23" s="23">
        <f>GRAFICA_65!C32</f>
        <v>1</v>
      </c>
      <c r="E23" s="23">
        <f>GRAFICA_65!D32</f>
        <v>5</v>
      </c>
      <c r="F23" s="23">
        <f>GRAFICA_65!D32</f>
        <v>5</v>
      </c>
    </row>
    <row r="24" spans="2:6" ht="19.05" customHeight="1" x14ac:dyDescent="0.3">
      <c r="B24" s="51">
        <v>6</v>
      </c>
      <c r="C24" s="23">
        <f>GRAFICA_65!C33</f>
        <v>5</v>
      </c>
      <c r="D24" s="23">
        <f>GRAFICA_65!C33</f>
        <v>5</v>
      </c>
      <c r="E24" s="23">
        <f>GRAFICA_65!D33</f>
        <v>2</v>
      </c>
      <c r="F24" s="23">
        <f>GRAFICA_65!D33</f>
        <v>2</v>
      </c>
    </row>
    <row r="25" spans="2:6" ht="19.05" customHeight="1" x14ac:dyDescent="0.3">
      <c r="B25" s="52">
        <v>7</v>
      </c>
      <c r="C25" s="23">
        <f>GRAFICA_65!C34</f>
        <v>2</v>
      </c>
      <c r="D25" s="23">
        <f>GRAFICA_65!C34</f>
        <v>2</v>
      </c>
      <c r="E25" s="23">
        <f>GRAFICA_65!D34</f>
        <v>6</v>
      </c>
      <c r="F25" s="23">
        <f>GRAFICA_65!D34</f>
        <v>6</v>
      </c>
    </row>
    <row r="26" spans="2:6" ht="19.05" customHeight="1" x14ac:dyDescent="0.3">
      <c r="B26" s="59">
        <v>8</v>
      </c>
      <c r="C26" s="23">
        <f>GRAFICA_65!C35</f>
        <v>6</v>
      </c>
      <c r="D26" s="23">
        <f>GRAFICA_65!C35</f>
        <v>6</v>
      </c>
      <c r="E26" s="23">
        <f>GRAFICA_65!D35</f>
        <v>3</v>
      </c>
      <c r="F26" s="23">
        <f>GRAFICA_65!D35</f>
        <v>3</v>
      </c>
    </row>
    <row r="27" spans="2:6" ht="19.05" customHeight="1" x14ac:dyDescent="0.3">
      <c r="B27" s="60">
        <v>9</v>
      </c>
      <c r="C27" s="23">
        <f>GRAFICA_65!C36</f>
        <v>6</v>
      </c>
      <c r="D27" s="23">
        <f>GRAFICA_65!C36</f>
        <v>6</v>
      </c>
      <c r="E27" s="23">
        <f>GRAFICA_65!D36</f>
        <v>4</v>
      </c>
      <c r="F27" s="23">
        <f>GRAFICA_65!D36</f>
        <v>4</v>
      </c>
    </row>
    <row r="28" spans="2:6" ht="19.05" customHeight="1" x14ac:dyDescent="0.3">
      <c r="B28" s="67">
        <v>10</v>
      </c>
      <c r="C28" s="23">
        <f>GRAFICA_65!C37</f>
        <v>5</v>
      </c>
      <c r="D28" s="23">
        <f>GRAFICA_65!C37</f>
        <v>5</v>
      </c>
      <c r="E28" s="23">
        <f>GRAFICA_65!D37</f>
        <v>3</v>
      </c>
      <c r="F28" s="23">
        <f>GRAFICA_65!D37</f>
        <v>3</v>
      </c>
    </row>
    <row r="31" spans="2:6" ht="18" customHeight="1" x14ac:dyDescent="0.3">
      <c r="B31" s="27" t="str">
        <f>CONCATENATE("U",C19,C$18)</f>
        <v>U1X</v>
      </c>
      <c r="C31" s="27" t="str">
        <f>CONCATENATE("U",D19,D$18)</f>
        <v>U1Y</v>
      </c>
      <c r="D31" s="27" t="str">
        <f>CONCATENATE("U",E19,E$18)</f>
        <v>U2X</v>
      </c>
      <c r="E31" s="27" t="str">
        <f>CONCATENATE("U",F19,F$18)</f>
        <v>U2Y</v>
      </c>
    </row>
    <row r="32" spans="2:6" x14ac:dyDescent="0.3">
      <c r="B32" s="7">
        <f>J6*J6*N6</f>
        <v>84000</v>
      </c>
      <c r="C32" s="7">
        <f>J6*K6*N6</f>
        <v>0</v>
      </c>
      <c r="D32" s="7">
        <f>-B32</f>
        <v>-84000</v>
      </c>
      <c r="E32" s="7">
        <f>-C32</f>
        <v>0</v>
      </c>
      <c r="F32" s="27" t="str">
        <f>B31</f>
        <v>U1X</v>
      </c>
    </row>
    <row r="33" spans="1:14" ht="16.8" customHeight="1" x14ac:dyDescent="0.3">
      <c r="A33" s="28" t="s">
        <v>177</v>
      </c>
      <c r="B33" s="7">
        <f>C32</f>
        <v>0</v>
      </c>
      <c r="C33" s="7">
        <f>K6*K6*N6</f>
        <v>0</v>
      </c>
      <c r="D33" s="7">
        <f>-B33</f>
        <v>0</v>
      </c>
      <c r="E33" s="7">
        <f>-C33</f>
        <v>0</v>
      </c>
      <c r="F33" s="27" t="str">
        <f>C31</f>
        <v>U1Y</v>
      </c>
    </row>
    <row r="34" spans="1:14" x14ac:dyDescent="0.3">
      <c r="B34" s="7">
        <f>D32</f>
        <v>-84000</v>
      </c>
      <c r="C34" s="7">
        <f>E32</f>
        <v>0</v>
      </c>
      <c r="D34" s="7">
        <f>B32</f>
        <v>84000</v>
      </c>
      <c r="E34" s="7">
        <f>C32</f>
        <v>0</v>
      </c>
      <c r="F34" s="27" t="str">
        <f>D31</f>
        <v>U2X</v>
      </c>
    </row>
    <row r="35" spans="1:14" x14ac:dyDescent="0.3">
      <c r="B35" s="7">
        <f>D33</f>
        <v>0</v>
      </c>
      <c r="C35" s="7">
        <f>E33</f>
        <v>0</v>
      </c>
      <c r="D35" s="7">
        <f>B33</f>
        <v>0</v>
      </c>
      <c r="E35" s="7">
        <f>C33</f>
        <v>0</v>
      </c>
      <c r="F35" s="27" t="str">
        <f>E31</f>
        <v>U2Y</v>
      </c>
    </row>
    <row r="37" spans="1:14" ht="18" customHeight="1" x14ac:dyDescent="0.3">
      <c r="B37" s="27" t="s">
        <v>178</v>
      </c>
      <c r="C37" s="27" t="s">
        <v>179</v>
      </c>
      <c r="D37" s="27" t="s">
        <v>180</v>
      </c>
      <c r="E37" s="27" t="s">
        <v>181</v>
      </c>
      <c r="F37" s="27" t="s">
        <v>182</v>
      </c>
      <c r="G37" s="27" t="s">
        <v>183</v>
      </c>
      <c r="H37" s="27" t="s">
        <v>184</v>
      </c>
      <c r="I37" s="27" t="s">
        <v>185</v>
      </c>
      <c r="J37" s="27" t="s">
        <v>186</v>
      </c>
      <c r="K37" s="27" t="s">
        <v>187</v>
      </c>
      <c r="L37" s="27" t="s">
        <v>188</v>
      </c>
      <c r="M37" s="27" t="s">
        <v>189</v>
      </c>
    </row>
    <row r="38" spans="1:14" ht="19.05" customHeight="1" x14ac:dyDescent="0.3">
      <c r="B38" s="8">
        <f t="shared" ref="B38:M49" si="6">IFERROR(INDEX($B$32:$E$35, MATCH($N38, $B$31:$E$31, 0), MATCH(B$37, $B$31:$E$31, 0)), 0)</f>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178</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179</v>
      </c>
    </row>
    <row r="40" spans="1:14" ht="19.05" customHeight="1" x14ac:dyDescent="0.3">
      <c r="B40" s="8">
        <f t="shared" si="6"/>
        <v>-84000</v>
      </c>
      <c r="C40" s="8">
        <f t="shared" si="6"/>
        <v>0</v>
      </c>
      <c r="D40" s="8">
        <f t="shared" si="6"/>
        <v>84000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180</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181</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182</v>
      </c>
    </row>
    <row r="43" spans="1:14" ht="19.05" customHeight="1" x14ac:dyDescent="0.3">
      <c r="A43" s="28" t="s">
        <v>190</v>
      </c>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183</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184</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185</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186</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187</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188</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189</v>
      </c>
    </row>
    <row r="52" spans="1:14" ht="18" customHeight="1" x14ac:dyDescent="0.3">
      <c r="B52" s="29" t="str">
        <f>CONCATENATE("U",C20,C$18)</f>
        <v>U2X</v>
      </c>
      <c r="C52" s="29" t="str">
        <f>CONCATENATE("U",D20,D$18)</f>
        <v>U2Y</v>
      </c>
      <c r="D52" s="29" t="str">
        <f>CONCATENATE("U",E20,E$18)</f>
        <v>U3X</v>
      </c>
      <c r="E52" s="29" t="str">
        <f>CONCATENATE("U",F20,F$18)</f>
        <v>U3Y</v>
      </c>
    </row>
    <row r="53" spans="1:14" x14ac:dyDescent="0.3">
      <c r="B53" s="30">
        <f>J7*J7*N7</f>
        <v>84000</v>
      </c>
      <c r="C53" s="30">
        <f>J7*K7*N7</f>
        <v>0</v>
      </c>
      <c r="D53" s="30">
        <f>-B53</f>
        <v>-84000</v>
      </c>
      <c r="E53" s="30">
        <f>-C53</f>
        <v>0</v>
      </c>
      <c r="F53" s="29" t="str">
        <f>B52</f>
        <v>U2X</v>
      </c>
    </row>
    <row r="54" spans="1:14" ht="16.8" customHeight="1" x14ac:dyDescent="0.3">
      <c r="A54" s="28" t="s">
        <v>191</v>
      </c>
      <c r="B54" s="30">
        <f>C53</f>
        <v>0</v>
      </c>
      <c r="C54" s="30">
        <f>K7*K7*N7</f>
        <v>0</v>
      </c>
      <c r="D54" s="30">
        <f>-B54</f>
        <v>0</v>
      </c>
      <c r="E54" s="30">
        <f>-C54</f>
        <v>0</v>
      </c>
      <c r="F54" s="29" t="str">
        <f>C52</f>
        <v>U2Y</v>
      </c>
    </row>
    <row r="55" spans="1:14" x14ac:dyDescent="0.3">
      <c r="B55" s="30">
        <f>D53</f>
        <v>-84000</v>
      </c>
      <c r="C55" s="30">
        <f>E53</f>
        <v>0</v>
      </c>
      <c r="D55" s="30">
        <f>B53</f>
        <v>84000</v>
      </c>
      <c r="E55" s="30">
        <f>C53</f>
        <v>0</v>
      </c>
      <c r="F55" s="29" t="str">
        <f>D52</f>
        <v>U3X</v>
      </c>
    </row>
    <row r="56" spans="1:14" x14ac:dyDescent="0.3">
      <c r="B56" s="30">
        <f>D54</f>
        <v>0</v>
      </c>
      <c r="C56" s="30">
        <f>E54</f>
        <v>0</v>
      </c>
      <c r="D56" s="30">
        <f>B54</f>
        <v>0</v>
      </c>
      <c r="E56" s="30">
        <f>C54</f>
        <v>0</v>
      </c>
      <c r="F56" s="29" t="str">
        <f>E52</f>
        <v>U3Y</v>
      </c>
    </row>
    <row r="58" spans="1:14" ht="18" customHeight="1" x14ac:dyDescent="0.3">
      <c r="B58" s="29" t="s">
        <v>178</v>
      </c>
      <c r="C58" s="29" t="s">
        <v>179</v>
      </c>
      <c r="D58" s="29" t="s">
        <v>180</v>
      </c>
      <c r="E58" s="29" t="s">
        <v>181</v>
      </c>
      <c r="F58" s="29" t="s">
        <v>182</v>
      </c>
      <c r="G58" s="29" t="s">
        <v>183</v>
      </c>
      <c r="H58" s="29" t="s">
        <v>184</v>
      </c>
      <c r="I58" s="29" t="s">
        <v>185</v>
      </c>
      <c r="J58" s="29" t="s">
        <v>186</v>
      </c>
      <c r="K58" s="29" t="s">
        <v>187</v>
      </c>
      <c r="L58" s="29" t="s">
        <v>188</v>
      </c>
      <c r="M58" s="29" t="s">
        <v>189</v>
      </c>
    </row>
    <row r="59" spans="1:14" ht="19.05" customHeight="1" x14ac:dyDescent="0.3">
      <c r="B59" s="9">
        <f t="shared" ref="B59:M70" si="7">IFERROR(INDEX($B$53:$E$56, MATCH($N59, $B$52:$E$52, 0), MATCH(B$58, $B$52:$E$52, 0)), 0)</f>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178</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179</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180</v>
      </c>
    </row>
    <row r="62" spans="1:14" ht="19.05" customHeight="1" x14ac:dyDescent="0.3">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181</v>
      </c>
    </row>
    <row r="63" spans="1:14" ht="19.05" customHeight="1" x14ac:dyDescent="0.3">
      <c r="B63" s="9">
        <f t="shared" si="7"/>
        <v>0</v>
      </c>
      <c r="C63" s="9">
        <f t="shared" si="7"/>
        <v>0</v>
      </c>
      <c r="D63" s="31">
        <f t="shared" si="7"/>
        <v>-84000</v>
      </c>
      <c r="E63" s="31">
        <f t="shared" si="7"/>
        <v>0</v>
      </c>
      <c r="F63" s="31">
        <f t="shared" si="7"/>
        <v>84000</v>
      </c>
      <c r="G63" s="31">
        <f t="shared" si="7"/>
        <v>0</v>
      </c>
      <c r="H63" s="9">
        <f t="shared" si="7"/>
        <v>0</v>
      </c>
      <c r="I63" s="9">
        <f t="shared" si="7"/>
        <v>0</v>
      </c>
      <c r="J63" s="9">
        <f t="shared" si="7"/>
        <v>0</v>
      </c>
      <c r="K63" s="9">
        <f t="shared" si="7"/>
        <v>0</v>
      </c>
      <c r="L63" s="9">
        <f t="shared" si="7"/>
        <v>0</v>
      </c>
      <c r="M63" s="9">
        <f t="shared" si="7"/>
        <v>0</v>
      </c>
      <c r="N63" s="29" t="s">
        <v>182</v>
      </c>
    </row>
    <row r="64" spans="1:14" ht="19.05" customHeight="1" x14ac:dyDescent="0.3">
      <c r="A64" s="28" t="s">
        <v>192</v>
      </c>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183</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184</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185</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186</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187</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188</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189</v>
      </c>
    </row>
    <row r="73" spans="1:14" ht="18" customHeight="1" x14ac:dyDescent="0.3">
      <c r="B73" s="32" t="str">
        <f>CONCATENATE("U",C21,C$18)</f>
        <v>U3X</v>
      </c>
      <c r="C73" s="32" t="str">
        <f>CONCATENATE("U",D21,D$18)</f>
        <v>U3Y</v>
      </c>
      <c r="D73" s="32" t="str">
        <f>CONCATENATE("U",E21,E$18)</f>
        <v>U4X</v>
      </c>
      <c r="E73" s="32" t="str">
        <f>CONCATENATE("U",F21,F$18)</f>
        <v>U4Y</v>
      </c>
    </row>
    <row r="74" spans="1:14" x14ac:dyDescent="0.3">
      <c r="B74" s="33">
        <f>J8*J8*N8</f>
        <v>84000</v>
      </c>
      <c r="C74" s="33">
        <f>J8*K8*N8</f>
        <v>0</v>
      </c>
      <c r="D74" s="33">
        <f>-B74</f>
        <v>-84000</v>
      </c>
      <c r="E74" s="33">
        <f>-C74</f>
        <v>0</v>
      </c>
      <c r="F74" s="32" t="str">
        <f>B73</f>
        <v>U3X</v>
      </c>
    </row>
    <row r="75" spans="1:14" ht="16.8" customHeight="1" x14ac:dyDescent="0.3">
      <c r="A75" s="28" t="s">
        <v>193</v>
      </c>
      <c r="B75" s="33">
        <f>C74</f>
        <v>0</v>
      </c>
      <c r="C75" s="33">
        <f>K8*K8*N8</f>
        <v>0</v>
      </c>
      <c r="D75" s="33">
        <f>-B75</f>
        <v>0</v>
      </c>
      <c r="E75" s="33">
        <f>-C75</f>
        <v>0</v>
      </c>
      <c r="F75" s="32" t="str">
        <f>C73</f>
        <v>U3Y</v>
      </c>
    </row>
    <row r="76" spans="1:14" x14ac:dyDescent="0.3">
      <c r="B76" s="33">
        <f>D74</f>
        <v>-84000</v>
      </c>
      <c r="C76" s="33">
        <f>E74</f>
        <v>0</v>
      </c>
      <c r="D76" s="33">
        <f>B74</f>
        <v>84000</v>
      </c>
      <c r="E76" s="33">
        <f>C74</f>
        <v>0</v>
      </c>
      <c r="F76" s="32" t="str">
        <f>D73</f>
        <v>U4X</v>
      </c>
    </row>
    <row r="77" spans="1:14" x14ac:dyDescent="0.3">
      <c r="B77" s="33">
        <f>D75</f>
        <v>0</v>
      </c>
      <c r="C77" s="33">
        <f>E75</f>
        <v>0</v>
      </c>
      <c r="D77" s="33">
        <f>B75</f>
        <v>0</v>
      </c>
      <c r="E77" s="33">
        <f>C75</f>
        <v>0</v>
      </c>
      <c r="F77" s="32" t="str">
        <f>E73</f>
        <v>U4Y</v>
      </c>
    </row>
    <row r="79" spans="1:14" ht="18" customHeight="1" x14ac:dyDescent="0.3">
      <c r="B79" s="32" t="s">
        <v>178</v>
      </c>
      <c r="C79" s="32" t="s">
        <v>179</v>
      </c>
      <c r="D79" s="32" t="s">
        <v>180</v>
      </c>
      <c r="E79" s="32" t="s">
        <v>181</v>
      </c>
      <c r="F79" s="32" t="s">
        <v>182</v>
      </c>
      <c r="G79" s="32" t="s">
        <v>183</v>
      </c>
      <c r="H79" s="32" t="s">
        <v>184</v>
      </c>
      <c r="I79" s="32" t="s">
        <v>185</v>
      </c>
      <c r="J79" s="32" t="s">
        <v>186</v>
      </c>
      <c r="K79" s="32" t="s">
        <v>187</v>
      </c>
      <c r="L79" s="32" t="s">
        <v>188</v>
      </c>
      <c r="M79" s="32" t="s">
        <v>189</v>
      </c>
    </row>
    <row r="80" spans="1:14" ht="19.05" customHeight="1" x14ac:dyDescent="0.3">
      <c r="B80" s="9">
        <f t="shared" ref="B80:M91" si="8">IFERROR(INDEX($B$74:$E$77, MATCH($N80, $B$73:$E$73, 0), MATCH(B$79, $B$73:$E$73, 0)), 0)</f>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178</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179</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180</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181</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182</v>
      </c>
    </row>
    <row r="85" spans="1:14" ht="19.05" customHeight="1" x14ac:dyDescent="0.3">
      <c r="A85" s="28" t="s">
        <v>194</v>
      </c>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183</v>
      </c>
    </row>
    <row r="86" spans="1:14" ht="19.05" customHeight="1" x14ac:dyDescent="0.3">
      <c r="B86" s="9">
        <f t="shared" si="8"/>
        <v>0</v>
      </c>
      <c r="C86" s="9">
        <f t="shared" si="8"/>
        <v>0</v>
      </c>
      <c r="D86" s="9">
        <f t="shared" si="8"/>
        <v>0</v>
      </c>
      <c r="E86" s="9">
        <f t="shared" si="8"/>
        <v>0</v>
      </c>
      <c r="F86" s="34">
        <f t="shared" si="8"/>
        <v>-84000</v>
      </c>
      <c r="G86" s="34">
        <f t="shared" si="8"/>
        <v>0</v>
      </c>
      <c r="H86" s="34">
        <f t="shared" si="8"/>
        <v>84000</v>
      </c>
      <c r="I86" s="34">
        <f t="shared" si="8"/>
        <v>0</v>
      </c>
      <c r="J86" s="9">
        <f t="shared" si="8"/>
        <v>0</v>
      </c>
      <c r="K86" s="9">
        <f t="shared" si="8"/>
        <v>0</v>
      </c>
      <c r="L86" s="9">
        <f t="shared" si="8"/>
        <v>0</v>
      </c>
      <c r="M86" s="9">
        <f t="shared" si="8"/>
        <v>0</v>
      </c>
      <c r="N86" s="32" t="s">
        <v>184</v>
      </c>
    </row>
    <row r="87" spans="1:14" ht="19.05" customHeight="1" x14ac:dyDescent="0.3">
      <c r="B87" s="9">
        <f t="shared" si="8"/>
        <v>0</v>
      </c>
      <c r="C87" s="9">
        <f t="shared" si="8"/>
        <v>0</v>
      </c>
      <c r="D87" s="9">
        <f t="shared" si="8"/>
        <v>0</v>
      </c>
      <c r="E87" s="9">
        <f t="shared" si="8"/>
        <v>0</v>
      </c>
      <c r="F87" s="34">
        <f t="shared" si="8"/>
        <v>0</v>
      </c>
      <c r="G87" s="34">
        <f t="shared" si="8"/>
        <v>0</v>
      </c>
      <c r="H87" s="34">
        <f t="shared" si="8"/>
        <v>0</v>
      </c>
      <c r="I87" s="34">
        <f t="shared" si="8"/>
        <v>0</v>
      </c>
      <c r="J87" s="9">
        <f t="shared" si="8"/>
        <v>0</v>
      </c>
      <c r="K87" s="9">
        <f t="shared" si="8"/>
        <v>0</v>
      </c>
      <c r="L87" s="9">
        <f t="shared" si="8"/>
        <v>0</v>
      </c>
      <c r="M87" s="9">
        <f t="shared" si="8"/>
        <v>0</v>
      </c>
      <c r="N87" s="32" t="s">
        <v>185</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186</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187</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188</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189</v>
      </c>
    </row>
    <row r="94" spans="1:14" ht="18" customHeight="1" x14ac:dyDescent="0.3">
      <c r="B94" s="45" t="str">
        <f>CONCATENATE("U",C22,C$18)</f>
        <v>U5X</v>
      </c>
      <c r="C94" s="45" t="str">
        <f>CONCATENATE("U",D22,D$18)</f>
        <v>U5Y</v>
      </c>
      <c r="D94" s="45" t="str">
        <f>CONCATENATE("U",E22,E$18)</f>
        <v>U6X</v>
      </c>
      <c r="E94" s="45" t="str">
        <f>CONCATENATE("U",F22,F$18)</f>
        <v>U6Y</v>
      </c>
    </row>
    <row r="95" spans="1:14" x14ac:dyDescent="0.3">
      <c r="B95" s="46">
        <f>J9*J9*N9</f>
        <v>84000</v>
      </c>
      <c r="C95" s="46">
        <f>J9*K9*N9</f>
        <v>0</v>
      </c>
      <c r="D95" s="46">
        <f>-B95</f>
        <v>-84000</v>
      </c>
      <c r="E95" s="46">
        <f>-C95</f>
        <v>0</v>
      </c>
      <c r="F95" s="45" t="str">
        <f>B94</f>
        <v>U5X</v>
      </c>
    </row>
    <row r="96" spans="1:14" ht="16.8" customHeight="1" x14ac:dyDescent="0.3">
      <c r="A96" s="28" t="s">
        <v>195</v>
      </c>
      <c r="B96" s="46">
        <f>C95</f>
        <v>0</v>
      </c>
      <c r="C96" s="46">
        <f>K9*K9*N9</f>
        <v>0</v>
      </c>
      <c r="D96" s="46">
        <f>-B96</f>
        <v>0</v>
      </c>
      <c r="E96" s="46">
        <f>-C96</f>
        <v>0</v>
      </c>
      <c r="F96" s="45" t="str">
        <f>C94</f>
        <v>U5Y</v>
      </c>
    </row>
    <row r="97" spans="1:14" x14ac:dyDescent="0.3">
      <c r="B97" s="46">
        <f>D95</f>
        <v>-84000</v>
      </c>
      <c r="C97" s="46">
        <f>E95</f>
        <v>0</v>
      </c>
      <c r="D97" s="46">
        <f>B95</f>
        <v>84000</v>
      </c>
      <c r="E97" s="46">
        <f>C95</f>
        <v>0</v>
      </c>
      <c r="F97" s="45" t="str">
        <f>D94</f>
        <v>U6X</v>
      </c>
    </row>
    <row r="98" spans="1:14" x14ac:dyDescent="0.3">
      <c r="B98" s="46">
        <f>D96</f>
        <v>0</v>
      </c>
      <c r="C98" s="46">
        <f>E96</f>
        <v>0</v>
      </c>
      <c r="D98" s="46">
        <f>B96</f>
        <v>0</v>
      </c>
      <c r="E98" s="46">
        <f>C96</f>
        <v>0</v>
      </c>
      <c r="F98" s="45" t="str">
        <f>E94</f>
        <v>U6Y</v>
      </c>
    </row>
    <row r="100" spans="1:14" ht="18" customHeight="1" x14ac:dyDescent="0.3">
      <c r="B100" s="45" t="s">
        <v>178</v>
      </c>
      <c r="C100" s="45" t="s">
        <v>179</v>
      </c>
      <c r="D100" s="45" t="s">
        <v>180</v>
      </c>
      <c r="E100" s="45" t="s">
        <v>181</v>
      </c>
      <c r="F100" s="45" t="s">
        <v>182</v>
      </c>
      <c r="G100" s="45" t="s">
        <v>183</v>
      </c>
      <c r="H100" s="45" t="s">
        <v>184</v>
      </c>
      <c r="I100" s="45" t="s">
        <v>185</v>
      </c>
      <c r="J100" s="45" t="s">
        <v>186</v>
      </c>
      <c r="K100" s="45" t="s">
        <v>187</v>
      </c>
      <c r="L100" s="45" t="s">
        <v>188</v>
      </c>
      <c r="M100" s="45" t="s">
        <v>189</v>
      </c>
    </row>
    <row r="101" spans="1:14" ht="19.05" customHeight="1" x14ac:dyDescent="0.3">
      <c r="B101" s="9">
        <f t="shared" ref="B101:M112" si="9">IFERROR(INDEX($B$95:$E$98, MATCH($N101, $B$94:$E$94, 0), MATCH(B$100, $B$94:$E$94, 0)), 0)</f>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178</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179</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180</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181</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182</v>
      </c>
    </row>
    <row r="106" spans="1:14" ht="19.05" customHeight="1" x14ac:dyDescent="0.3">
      <c r="A106" s="28" t="s">
        <v>196</v>
      </c>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183</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184</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185</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186</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187</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-84000</v>
      </c>
      <c r="K111" s="47">
        <f t="shared" si="9"/>
        <v>0</v>
      </c>
      <c r="L111" s="47">
        <f t="shared" si="9"/>
        <v>84000</v>
      </c>
      <c r="M111" s="47">
        <f t="shared" si="9"/>
        <v>0</v>
      </c>
      <c r="N111" s="45" t="s">
        <v>188</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189</v>
      </c>
    </row>
    <row r="115" spans="1:14" ht="18" customHeight="1" x14ac:dyDescent="0.3">
      <c r="B115" s="48" t="str">
        <f>CONCATENATE("U",C23,C$18)</f>
        <v>U1X</v>
      </c>
      <c r="C115" s="48" t="str">
        <f>CONCATENATE("U",D23,D$18)</f>
        <v>U1Y</v>
      </c>
      <c r="D115" s="48" t="str">
        <f>CONCATENATE("U",E23,E$18)</f>
        <v>U5X</v>
      </c>
      <c r="E115" s="48" t="str">
        <f>CONCATENATE("U",F23,F$18)</f>
        <v>U5Y</v>
      </c>
    </row>
    <row r="116" spans="1:14" x14ac:dyDescent="0.3">
      <c r="B116" s="49">
        <f>J10*J10*N10</f>
        <v>29698.484809834987</v>
      </c>
      <c r="C116" s="49">
        <f>J10*K10*N10</f>
        <v>29698.484809834987</v>
      </c>
      <c r="D116" s="49">
        <f>-B116</f>
        <v>-29698.484809834987</v>
      </c>
      <c r="E116" s="49">
        <f>-C116</f>
        <v>-29698.484809834987</v>
      </c>
      <c r="F116" s="48" t="str">
        <f>B115</f>
        <v>U1X</v>
      </c>
    </row>
    <row r="117" spans="1:14" ht="16.8" customHeight="1" x14ac:dyDescent="0.3">
      <c r="A117" s="28" t="s">
        <v>197</v>
      </c>
      <c r="B117" s="49">
        <f>C116</f>
        <v>29698.484809834987</v>
      </c>
      <c r="C117" s="49">
        <f>K10*K10*N10</f>
        <v>29698.484809834987</v>
      </c>
      <c r="D117" s="49">
        <f>-B117</f>
        <v>-29698.484809834987</v>
      </c>
      <c r="E117" s="49">
        <f>-C117</f>
        <v>-29698.484809834987</v>
      </c>
      <c r="F117" s="48" t="str">
        <f>C115</f>
        <v>U1Y</v>
      </c>
    </row>
    <row r="118" spans="1:14" x14ac:dyDescent="0.3">
      <c r="B118" s="49">
        <f>D116</f>
        <v>-29698.484809834987</v>
      </c>
      <c r="C118" s="49">
        <f>E116</f>
        <v>-29698.484809834987</v>
      </c>
      <c r="D118" s="49">
        <f>B116</f>
        <v>29698.484809834987</v>
      </c>
      <c r="E118" s="49">
        <f>C116</f>
        <v>29698.484809834987</v>
      </c>
      <c r="F118" s="48" t="str">
        <f>D115</f>
        <v>U5X</v>
      </c>
    </row>
    <row r="119" spans="1:14" x14ac:dyDescent="0.3">
      <c r="B119" s="49">
        <f>D117</f>
        <v>-29698.484809834987</v>
      </c>
      <c r="C119" s="49">
        <f>E117</f>
        <v>-29698.484809834987</v>
      </c>
      <c r="D119" s="49">
        <f>B117</f>
        <v>29698.484809834987</v>
      </c>
      <c r="E119" s="49">
        <f>C117</f>
        <v>29698.484809834987</v>
      </c>
      <c r="F119" s="48" t="str">
        <f>E115</f>
        <v>U5Y</v>
      </c>
    </row>
    <row r="121" spans="1:14" ht="18" customHeight="1" x14ac:dyDescent="0.3">
      <c r="B121" s="48" t="s">
        <v>178</v>
      </c>
      <c r="C121" s="48" t="s">
        <v>179</v>
      </c>
      <c r="D121" s="48" t="s">
        <v>180</v>
      </c>
      <c r="E121" s="48" t="s">
        <v>181</v>
      </c>
      <c r="F121" s="48" t="s">
        <v>182</v>
      </c>
      <c r="G121" s="48" t="s">
        <v>183</v>
      </c>
      <c r="H121" s="48" t="s">
        <v>184</v>
      </c>
      <c r="I121" s="48" t="s">
        <v>185</v>
      </c>
      <c r="J121" s="48" t="s">
        <v>186</v>
      </c>
      <c r="K121" s="48" t="s">
        <v>187</v>
      </c>
      <c r="L121" s="48" t="s">
        <v>188</v>
      </c>
      <c r="M121" s="48" t="s">
        <v>189</v>
      </c>
    </row>
    <row r="122" spans="1:14" ht="19.05" customHeight="1" x14ac:dyDescent="0.3">
      <c r="B122" s="50">
        <f t="shared" ref="B122:M133" si="10">IFERROR(INDEX($B$116:$E$119, MATCH($N122, $B$115:$E$115, 0), MATCH(B$121, $B$115:$E$115, 0)), 0)</f>
        <v>29698.484809834987</v>
      </c>
      <c r="C122" s="50">
        <f t="shared" si="10"/>
        <v>29698.484809834987</v>
      </c>
      <c r="D122" s="9">
        <f t="shared" si="10"/>
        <v>0</v>
      </c>
      <c r="E122" s="9">
        <f t="shared" si="10"/>
        <v>0</v>
      </c>
      <c r="F122" s="9">
        <f t="shared" si="10"/>
        <v>0</v>
      </c>
      <c r="G122" s="9">
        <f t="shared" si="10"/>
        <v>0</v>
      </c>
      <c r="H122" s="9">
        <f t="shared" si="10"/>
        <v>0</v>
      </c>
      <c r="I122" s="9">
        <f t="shared" si="10"/>
        <v>0</v>
      </c>
      <c r="J122" s="50">
        <f t="shared" si="10"/>
        <v>-29698.484809834987</v>
      </c>
      <c r="K122" s="50">
        <f t="shared" si="10"/>
        <v>-29698.484809834987</v>
      </c>
      <c r="L122" s="9">
        <f t="shared" si="10"/>
        <v>0</v>
      </c>
      <c r="M122" s="9">
        <f t="shared" si="10"/>
        <v>0</v>
      </c>
      <c r="N122" s="48" t="s">
        <v>178</v>
      </c>
    </row>
    <row r="123" spans="1:14" ht="19.05" customHeight="1" x14ac:dyDescent="0.3">
      <c r="B123" s="50">
        <f t="shared" si="10"/>
        <v>29698.484809834987</v>
      </c>
      <c r="C123" s="50">
        <f t="shared" si="10"/>
        <v>29698.484809834987</v>
      </c>
      <c r="D123" s="9">
        <f t="shared" si="10"/>
        <v>0</v>
      </c>
      <c r="E123" s="9">
        <f t="shared" si="10"/>
        <v>0</v>
      </c>
      <c r="F123" s="9">
        <f t="shared" si="10"/>
        <v>0</v>
      </c>
      <c r="G123" s="9">
        <f t="shared" si="10"/>
        <v>0</v>
      </c>
      <c r="H123" s="9">
        <f t="shared" si="10"/>
        <v>0</v>
      </c>
      <c r="I123" s="9">
        <f t="shared" si="10"/>
        <v>0</v>
      </c>
      <c r="J123" s="50">
        <f t="shared" si="10"/>
        <v>-29698.484809834987</v>
      </c>
      <c r="K123" s="50">
        <f t="shared" si="10"/>
        <v>-29698.484809834987</v>
      </c>
      <c r="L123" s="9">
        <f t="shared" si="10"/>
        <v>0</v>
      </c>
      <c r="M123" s="9">
        <f t="shared" si="10"/>
        <v>0</v>
      </c>
      <c r="N123" s="48" t="s">
        <v>179</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180</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181</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182</v>
      </c>
    </row>
    <row r="127" spans="1:14" ht="19.05" customHeight="1" x14ac:dyDescent="0.3">
      <c r="A127" s="28" t="s">
        <v>198</v>
      </c>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183</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184</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185</v>
      </c>
    </row>
    <row r="130" spans="1:14" ht="19.05" customHeight="1" x14ac:dyDescent="0.3">
      <c r="B130" s="50">
        <f t="shared" si="10"/>
        <v>-29698.484809834987</v>
      </c>
      <c r="C130" s="50">
        <f t="shared" si="10"/>
        <v>-29698.484809834987</v>
      </c>
      <c r="D130" s="9">
        <f t="shared" si="10"/>
        <v>0</v>
      </c>
      <c r="E130" s="9">
        <f t="shared" si="10"/>
        <v>0</v>
      </c>
      <c r="F130" s="9">
        <f t="shared" si="10"/>
        <v>0</v>
      </c>
      <c r="G130" s="9">
        <f t="shared" si="10"/>
        <v>0</v>
      </c>
      <c r="H130" s="9">
        <f t="shared" si="10"/>
        <v>0</v>
      </c>
      <c r="I130" s="9">
        <f t="shared" si="10"/>
        <v>0</v>
      </c>
      <c r="J130" s="50">
        <f t="shared" si="10"/>
        <v>29698.484809834987</v>
      </c>
      <c r="K130" s="50">
        <f t="shared" si="10"/>
        <v>29698.484809834987</v>
      </c>
      <c r="L130" s="9">
        <f t="shared" si="10"/>
        <v>0</v>
      </c>
      <c r="M130" s="9">
        <f t="shared" si="10"/>
        <v>0</v>
      </c>
      <c r="N130" s="48" t="s">
        <v>186</v>
      </c>
    </row>
    <row r="131" spans="1:14" ht="19.05" customHeight="1" x14ac:dyDescent="0.3">
      <c r="B131" s="50">
        <f t="shared" si="10"/>
        <v>-29698.484809834987</v>
      </c>
      <c r="C131" s="50">
        <f t="shared" si="10"/>
        <v>-29698.484809834987</v>
      </c>
      <c r="D131" s="9">
        <f t="shared" si="10"/>
        <v>0</v>
      </c>
      <c r="E131" s="9">
        <f t="shared" si="10"/>
        <v>0</v>
      </c>
      <c r="F131" s="9">
        <f t="shared" si="10"/>
        <v>0</v>
      </c>
      <c r="G131" s="9">
        <f t="shared" si="10"/>
        <v>0</v>
      </c>
      <c r="H131" s="9">
        <f t="shared" si="10"/>
        <v>0</v>
      </c>
      <c r="I131" s="9">
        <f t="shared" si="10"/>
        <v>0</v>
      </c>
      <c r="J131" s="50">
        <f t="shared" si="10"/>
        <v>29698.484809834987</v>
      </c>
      <c r="K131" s="50">
        <f t="shared" si="10"/>
        <v>29698.484809834987</v>
      </c>
      <c r="L131" s="9">
        <f t="shared" si="10"/>
        <v>0</v>
      </c>
      <c r="M131" s="9">
        <f t="shared" si="10"/>
        <v>0</v>
      </c>
      <c r="N131" s="48" t="s">
        <v>187</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188</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189</v>
      </c>
    </row>
    <row r="136" spans="1:14" ht="18" customHeight="1" x14ac:dyDescent="0.3">
      <c r="B136" s="53" t="str">
        <f>CONCATENATE("U",C24,C$18)</f>
        <v>U5X</v>
      </c>
      <c r="C136" s="53" t="str">
        <f>CONCATENATE("U",D24,D$18)</f>
        <v>U5Y</v>
      </c>
      <c r="D136" s="53" t="str">
        <f>CONCATENATE("U",E24,E$18)</f>
        <v>U2X</v>
      </c>
      <c r="E136" s="53" t="str">
        <f>CONCATENATE("U",F24,F$18)</f>
        <v>U2Y</v>
      </c>
    </row>
    <row r="137" spans="1:14" x14ac:dyDescent="0.3">
      <c r="B137" s="54">
        <f>J11*J11*N11</f>
        <v>0</v>
      </c>
      <c r="C137" s="54">
        <f>J11*K11*N11</f>
        <v>0</v>
      </c>
      <c r="D137" s="54">
        <f>-B137</f>
        <v>0</v>
      </c>
      <c r="E137" s="54">
        <f>-C137</f>
        <v>0</v>
      </c>
      <c r="F137" s="53" t="str">
        <f>B136</f>
        <v>U5X</v>
      </c>
    </row>
    <row r="138" spans="1:14" ht="16.8" customHeight="1" x14ac:dyDescent="0.3">
      <c r="A138" s="28" t="s">
        <v>199</v>
      </c>
      <c r="B138" s="54">
        <f>C137</f>
        <v>0</v>
      </c>
      <c r="C138" s="54">
        <f>K11*K11*N11</f>
        <v>84000</v>
      </c>
      <c r="D138" s="54">
        <f>-B138</f>
        <v>0</v>
      </c>
      <c r="E138" s="54">
        <f>-C138</f>
        <v>-84000</v>
      </c>
      <c r="F138" s="53" t="str">
        <f>C136</f>
        <v>U5Y</v>
      </c>
    </row>
    <row r="139" spans="1:14" x14ac:dyDescent="0.3">
      <c r="B139" s="54">
        <f>D137</f>
        <v>0</v>
      </c>
      <c r="C139" s="54">
        <f>E137</f>
        <v>0</v>
      </c>
      <c r="D139" s="54">
        <f>B137</f>
        <v>0</v>
      </c>
      <c r="E139" s="54">
        <f>C137</f>
        <v>0</v>
      </c>
      <c r="F139" s="53" t="str">
        <f>D136</f>
        <v>U2X</v>
      </c>
    </row>
    <row r="140" spans="1:14" x14ac:dyDescent="0.3">
      <c r="B140" s="54">
        <f>D138</f>
        <v>0</v>
      </c>
      <c r="C140" s="54">
        <f>E138</f>
        <v>-84000</v>
      </c>
      <c r="D140" s="54">
        <f>B138</f>
        <v>0</v>
      </c>
      <c r="E140" s="54">
        <f>C138</f>
        <v>84000</v>
      </c>
      <c r="F140" s="53" t="str">
        <f>E136</f>
        <v>U2Y</v>
      </c>
    </row>
    <row r="142" spans="1:14" ht="18" customHeight="1" x14ac:dyDescent="0.3">
      <c r="B142" s="53" t="s">
        <v>178</v>
      </c>
      <c r="C142" s="53" t="s">
        <v>179</v>
      </c>
      <c r="D142" s="53" t="s">
        <v>180</v>
      </c>
      <c r="E142" s="53" t="s">
        <v>181</v>
      </c>
      <c r="F142" s="53" t="s">
        <v>182</v>
      </c>
      <c r="G142" s="53" t="s">
        <v>183</v>
      </c>
      <c r="H142" s="53" t="s">
        <v>184</v>
      </c>
      <c r="I142" s="53" t="s">
        <v>185</v>
      </c>
      <c r="J142" s="53" t="s">
        <v>186</v>
      </c>
      <c r="K142" s="53" t="s">
        <v>187</v>
      </c>
      <c r="L142" s="53" t="s">
        <v>188</v>
      </c>
      <c r="M142" s="53" t="s">
        <v>189</v>
      </c>
    </row>
    <row r="143" spans="1:14" ht="19.05" customHeight="1" x14ac:dyDescent="0.3">
      <c r="B143" s="9">
        <f t="shared" ref="B143:M154" si="11">IFERROR(INDEX($B$137:$E$140, MATCH($N143, $B$136:$E$136, 0), MATCH(B$142, $B$136:$E$136, 0)), 0)</f>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178</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179</v>
      </c>
    </row>
    <row r="145" spans="1:14" ht="19.05" customHeight="1" x14ac:dyDescent="0.3">
      <c r="B145" s="9">
        <f t="shared" si="11"/>
        <v>0</v>
      </c>
      <c r="C145" s="9">
        <f t="shared" si="11"/>
        <v>0</v>
      </c>
      <c r="D145" s="55">
        <f t="shared" si="11"/>
        <v>0</v>
      </c>
      <c r="E145" s="55">
        <f t="shared" si="11"/>
        <v>0</v>
      </c>
      <c r="F145" s="9">
        <f t="shared" si="11"/>
        <v>0</v>
      </c>
      <c r="G145" s="9">
        <f t="shared" si="11"/>
        <v>0</v>
      </c>
      <c r="H145" s="9">
        <f t="shared" si="11"/>
        <v>0</v>
      </c>
      <c r="I145" s="9">
        <f t="shared" si="11"/>
        <v>0</v>
      </c>
      <c r="J145" s="55">
        <f t="shared" si="11"/>
        <v>0</v>
      </c>
      <c r="K145" s="55">
        <f t="shared" si="11"/>
        <v>0</v>
      </c>
      <c r="L145" s="9">
        <f t="shared" si="11"/>
        <v>0</v>
      </c>
      <c r="M145" s="9">
        <f t="shared" si="11"/>
        <v>0</v>
      </c>
      <c r="N145" s="53" t="s">
        <v>180</v>
      </c>
    </row>
    <row r="146" spans="1:14" ht="19.05" customHeight="1" x14ac:dyDescent="0.3">
      <c r="B146" s="9">
        <f t="shared" si="11"/>
        <v>0</v>
      </c>
      <c r="C146" s="9">
        <f t="shared" si="11"/>
        <v>0</v>
      </c>
      <c r="D146" s="55">
        <f t="shared" si="11"/>
        <v>0</v>
      </c>
      <c r="E146" s="55">
        <f t="shared" si="11"/>
        <v>84000</v>
      </c>
      <c r="F146" s="9">
        <f t="shared" si="11"/>
        <v>0</v>
      </c>
      <c r="G146" s="9">
        <f t="shared" si="11"/>
        <v>0</v>
      </c>
      <c r="H146" s="9">
        <f t="shared" si="11"/>
        <v>0</v>
      </c>
      <c r="I146" s="9">
        <f t="shared" si="11"/>
        <v>0</v>
      </c>
      <c r="J146" s="55">
        <f t="shared" si="11"/>
        <v>0</v>
      </c>
      <c r="K146" s="55">
        <f t="shared" si="11"/>
        <v>-84000</v>
      </c>
      <c r="L146" s="9">
        <f t="shared" si="11"/>
        <v>0</v>
      </c>
      <c r="M146" s="9">
        <f t="shared" si="11"/>
        <v>0</v>
      </c>
      <c r="N146" s="53" t="s">
        <v>181</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182</v>
      </c>
    </row>
    <row r="148" spans="1:14" ht="19.05" customHeight="1" x14ac:dyDescent="0.3">
      <c r="A148" s="28" t="s">
        <v>200</v>
      </c>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183</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184</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185</v>
      </c>
    </row>
    <row r="151" spans="1:14" ht="19.05" customHeight="1" x14ac:dyDescent="0.3">
      <c r="B151" s="9">
        <f t="shared" si="11"/>
        <v>0</v>
      </c>
      <c r="C151" s="9">
        <f t="shared" si="11"/>
        <v>0</v>
      </c>
      <c r="D151" s="55">
        <f t="shared" si="11"/>
        <v>0</v>
      </c>
      <c r="E151" s="55">
        <f t="shared" si="11"/>
        <v>0</v>
      </c>
      <c r="F151" s="9">
        <f t="shared" si="11"/>
        <v>0</v>
      </c>
      <c r="G151" s="9">
        <f t="shared" si="11"/>
        <v>0</v>
      </c>
      <c r="H151" s="9">
        <f t="shared" si="11"/>
        <v>0</v>
      </c>
      <c r="I151" s="9">
        <f t="shared" si="11"/>
        <v>0</v>
      </c>
      <c r="J151" s="55">
        <f t="shared" si="11"/>
        <v>0</v>
      </c>
      <c r="K151" s="55">
        <f t="shared" si="11"/>
        <v>0</v>
      </c>
      <c r="L151" s="9">
        <f t="shared" si="11"/>
        <v>0</v>
      </c>
      <c r="M151" s="9">
        <f t="shared" si="11"/>
        <v>0</v>
      </c>
      <c r="N151" s="53" t="s">
        <v>186</v>
      </c>
    </row>
    <row r="152" spans="1:14" ht="19.05" customHeight="1" x14ac:dyDescent="0.3">
      <c r="B152" s="9">
        <f t="shared" si="11"/>
        <v>0</v>
      </c>
      <c r="C152" s="9">
        <f t="shared" si="11"/>
        <v>0</v>
      </c>
      <c r="D152" s="55">
        <f t="shared" si="11"/>
        <v>0</v>
      </c>
      <c r="E152" s="55">
        <f t="shared" si="11"/>
        <v>-84000</v>
      </c>
      <c r="F152" s="9">
        <f t="shared" si="11"/>
        <v>0</v>
      </c>
      <c r="G152" s="9">
        <f t="shared" si="11"/>
        <v>0</v>
      </c>
      <c r="H152" s="9">
        <f t="shared" si="11"/>
        <v>0</v>
      </c>
      <c r="I152" s="9">
        <f t="shared" si="11"/>
        <v>0</v>
      </c>
      <c r="J152" s="55">
        <f t="shared" si="11"/>
        <v>0</v>
      </c>
      <c r="K152" s="55">
        <f t="shared" si="11"/>
        <v>84000</v>
      </c>
      <c r="L152" s="9">
        <f t="shared" si="11"/>
        <v>0</v>
      </c>
      <c r="M152" s="9">
        <f t="shared" si="11"/>
        <v>0</v>
      </c>
      <c r="N152" s="53" t="s">
        <v>187</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188</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189</v>
      </c>
    </row>
    <row r="157" spans="1:14" ht="18" customHeight="1" x14ac:dyDescent="0.3">
      <c r="B157" s="56" t="str">
        <f>CONCATENATE("U",C25,C$18)</f>
        <v>U2X</v>
      </c>
      <c r="C157" s="56" t="str">
        <f>CONCATENATE("U",D25,D$18)</f>
        <v>U2Y</v>
      </c>
      <c r="D157" s="56" t="str">
        <f>CONCATENATE("U",E25,E$18)</f>
        <v>U6X</v>
      </c>
      <c r="E157" s="56" t="str">
        <f>CONCATENATE("U",F25,F$18)</f>
        <v>U6Y</v>
      </c>
    </row>
    <row r="158" spans="1:14" x14ac:dyDescent="0.3">
      <c r="B158" s="57">
        <f>J12*J12*N12</f>
        <v>29698.484809834987</v>
      </c>
      <c r="C158" s="57">
        <f>J12*K12*N12</f>
        <v>29698.484809834987</v>
      </c>
      <c r="D158" s="57">
        <f>-B158</f>
        <v>-29698.484809834987</v>
      </c>
      <c r="E158" s="57">
        <f>-C158</f>
        <v>-29698.484809834987</v>
      </c>
      <c r="F158" s="56" t="str">
        <f>B157</f>
        <v>U2X</v>
      </c>
    </row>
    <row r="159" spans="1:14" ht="16.8" customHeight="1" x14ac:dyDescent="0.3">
      <c r="A159" s="28" t="s">
        <v>201</v>
      </c>
      <c r="B159" s="57">
        <f>C158</f>
        <v>29698.484809834987</v>
      </c>
      <c r="C159" s="57">
        <f>K12*K12*N12</f>
        <v>29698.484809834987</v>
      </c>
      <c r="D159" s="57">
        <f>-B159</f>
        <v>-29698.484809834987</v>
      </c>
      <c r="E159" s="57">
        <f>-C159</f>
        <v>-29698.484809834987</v>
      </c>
      <c r="F159" s="56" t="str">
        <f>C157</f>
        <v>U2Y</v>
      </c>
    </row>
    <row r="160" spans="1:14" x14ac:dyDescent="0.3">
      <c r="B160" s="57">
        <f>D158</f>
        <v>-29698.484809834987</v>
      </c>
      <c r="C160" s="57">
        <f>E158</f>
        <v>-29698.484809834987</v>
      </c>
      <c r="D160" s="57">
        <f>B158</f>
        <v>29698.484809834987</v>
      </c>
      <c r="E160" s="57">
        <f>C158</f>
        <v>29698.484809834987</v>
      </c>
      <c r="F160" s="56" t="str">
        <f>D157</f>
        <v>U6X</v>
      </c>
    </row>
    <row r="161" spans="1:14" x14ac:dyDescent="0.3">
      <c r="B161" s="57">
        <f>D159</f>
        <v>-29698.484809834987</v>
      </c>
      <c r="C161" s="57">
        <f>E159</f>
        <v>-29698.484809834987</v>
      </c>
      <c r="D161" s="57">
        <f>B159</f>
        <v>29698.484809834987</v>
      </c>
      <c r="E161" s="57">
        <f>C159</f>
        <v>29698.484809834987</v>
      </c>
      <c r="F161" s="56" t="str">
        <f>E157</f>
        <v>U6Y</v>
      </c>
    </row>
    <row r="163" spans="1:14" ht="18" customHeight="1" x14ac:dyDescent="0.3">
      <c r="B163" s="56" t="s">
        <v>178</v>
      </c>
      <c r="C163" s="56" t="s">
        <v>179</v>
      </c>
      <c r="D163" s="56" t="s">
        <v>180</v>
      </c>
      <c r="E163" s="56" t="s">
        <v>181</v>
      </c>
      <c r="F163" s="56" t="s">
        <v>182</v>
      </c>
      <c r="G163" s="56" t="s">
        <v>183</v>
      </c>
      <c r="H163" s="56" t="s">
        <v>184</v>
      </c>
      <c r="I163" s="56" t="s">
        <v>185</v>
      </c>
      <c r="J163" s="56" t="s">
        <v>186</v>
      </c>
      <c r="K163" s="56" t="s">
        <v>187</v>
      </c>
      <c r="L163" s="56" t="s">
        <v>188</v>
      </c>
      <c r="M163" s="56" t="s">
        <v>189</v>
      </c>
    </row>
    <row r="164" spans="1:14" ht="19.05" customHeight="1" x14ac:dyDescent="0.3">
      <c r="B164" s="9">
        <f t="shared" ref="B164:M175" si="12">IFERROR(INDEX($B$158:$E$161, MATCH($N164, $B$157:$E$157, 0), MATCH(B$163, $B$157:$E$157, 0)), 0)</f>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178</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179</v>
      </c>
    </row>
    <row r="166" spans="1:14" ht="19.05" customHeight="1" x14ac:dyDescent="0.3">
      <c r="B166" s="9">
        <f t="shared" si="12"/>
        <v>0</v>
      </c>
      <c r="C166" s="9">
        <f t="shared" si="12"/>
        <v>0</v>
      </c>
      <c r="D166" s="58">
        <f t="shared" si="12"/>
        <v>29698.484809834987</v>
      </c>
      <c r="E166" s="58">
        <f t="shared" si="12"/>
        <v>29698.484809834987</v>
      </c>
      <c r="F166" s="9">
        <f t="shared" si="12"/>
        <v>0</v>
      </c>
      <c r="G166" s="9">
        <f t="shared" si="12"/>
        <v>0</v>
      </c>
      <c r="H166" s="9">
        <f t="shared" si="12"/>
        <v>0</v>
      </c>
      <c r="I166" s="9">
        <f t="shared" si="12"/>
        <v>0</v>
      </c>
      <c r="J166" s="9">
        <f t="shared" si="12"/>
        <v>0</v>
      </c>
      <c r="K166" s="9">
        <f t="shared" si="12"/>
        <v>0</v>
      </c>
      <c r="L166" s="58">
        <f t="shared" si="12"/>
        <v>-29698.484809834987</v>
      </c>
      <c r="M166" s="58">
        <f t="shared" si="12"/>
        <v>-29698.484809834987</v>
      </c>
      <c r="N166" s="56" t="s">
        <v>180</v>
      </c>
    </row>
    <row r="167" spans="1:14" ht="19.05" customHeight="1" x14ac:dyDescent="0.3">
      <c r="B167" s="9">
        <f t="shared" si="12"/>
        <v>0</v>
      </c>
      <c r="C167" s="9">
        <f t="shared" si="12"/>
        <v>0</v>
      </c>
      <c r="D167" s="58">
        <f t="shared" si="12"/>
        <v>29698.484809834987</v>
      </c>
      <c r="E167" s="58">
        <f t="shared" si="12"/>
        <v>29698.484809834987</v>
      </c>
      <c r="F167" s="9">
        <f t="shared" si="12"/>
        <v>0</v>
      </c>
      <c r="G167" s="9">
        <f t="shared" si="12"/>
        <v>0</v>
      </c>
      <c r="H167" s="9">
        <f t="shared" si="12"/>
        <v>0</v>
      </c>
      <c r="I167" s="9">
        <f t="shared" si="12"/>
        <v>0</v>
      </c>
      <c r="J167" s="9">
        <f t="shared" si="12"/>
        <v>0</v>
      </c>
      <c r="K167" s="9">
        <f t="shared" si="12"/>
        <v>0</v>
      </c>
      <c r="L167" s="58">
        <f t="shared" si="12"/>
        <v>-29698.484809834987</v>
      </c>
      <c r="M167" s="58">
        <f t="shared" si="12"/>
        <v>-29698.484809834987</v>
      </c>
      <c r="N167" s="56" t="s">
        <v>181</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182</v>
      </c>
    </row>
    <row r="169" spans="1:14" ht="19.05" customHeight="1" x14ac:dyDescent="0.3">
      <c r="A169" s="28" t="s">
        <v>202</v>
      </c>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183</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184</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185</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186</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187</v>
      </c>
    </row>
    <row r="174" spans="1:14" ht="19.05" customHeight="1" x14ac:dyDescent="0.3">
      <c r="B174" s="9">
        <f t="shared" si="12"/>
        <v>0</v>
      </c>
      <c r="C174" s="9">
        <f t="shared" si="12"/>
        <v>0</v>
      </c>
      <c r="D174" s="58">
        <f t="shared" si="12"/>
        <v>-29698.484809834987</v>
      </c>
      <c r="E174" s="58">
        <f t="shared" si="12"/>
        <v>-29698.484809834987</v>
      </c>
      <c r="F174" s="9">
        <f t="shared" si="12"/>
        <v>0</v>
      </c>
      <c r="G174" s="9">
        <f t="shared" si="12"/>
        <v>0</v>
      </c>
      <c r="H174" s="9">
        <f t="shared" si="12"/>
        <v>0</v>
      </c>
      <c r="I174" s="9">
        <f t="shared" si="12"/>
        <v>0</v>
      </c>
      <c r="J174" s="9">
        <f t="shared" si="12"/>
        <v>0</v>
      </c>
      <c r="K174" s="9">
        <f t="shared" si="12"/>
        <v>0</v>
      </c>
      <c r="L174" s="58">
        <f t="shared" si="12"/>
        <v>29698.484809834987</v>
      </c>
      <c r="M174" s="58">
        <f t="shared" si="12"/>
        <v>29698.484809834987</v>
      </c>
      <c r="N174" s="56" t="s">
        <v>188</v>
      </c>
    </row>
    <row r="175" spans="1:14" ht="19.05" customHeight="1" x14ac:dyDescent="0.3">
      <c r="B175" s="9">
        <f t="shared" si="12"/>
        <v>0</v>
      </c>
      <c r="C175" s="9">
        <f t="shared" si="12"/>
        <v>0</v>
      </c>
      <c r="D175" s="58">
        <f t="shared" si="12"/>
        <v>-29698.484809834987</v>
      </c>
      <c r="E175" s="58">
        <f t="shared" si="12"/>
        <v>-29698.484809834987</v>
      </c>
      <c r="F175" s="9">
        <f t="shared" si="12"/>
        <v>0</v>
      </c>
      <c r="G175" s="9">
        <f t="shared" si="12"/>
        <v>0</v>
      </c>
      <c r="H175" s="9">
        <f t="shared" si="12"/>
        <v>0</v>
      </c>
      <c r="I175" s="9">
        <f t="shared" si="12"/>
        <v>0</v>
      </c>
      <c r="J175" s="9">
        <f t="shared" si="12"/>
        <v>0</v>
      </c>
      <c r="K175" s="9">
        <f t="shared" si="12"/>
        <v>0</v>
      </c>
      <c r="L175" s="58">
        <f t="shared" si="12"/>
        <v>29698.484809834987</v>
      </c>
      <c r="M175" s="58">
        <f t="shared" si="12"/>
        <v>29698.484809834987</v>
      </c>
      <c r="N175" s="56" t="s">
        <v>189</v>
      </c>
    </row>
    <row r="178" spans="1:14" ht="18" customHeight="1" x14ac:dyDescent="0.3">
      <c r="B178" s="61" t="str">
        <f>CONCATENATE("U",C26,C$18)</f>
        <v>U6X</v>
      </c>
      <c r="C178" s="61" t="str">
        <f>CONCATENATE("U",D26,D$18)</f>
        <v>U6Y</v>
      </c>
      <c r="D178" s="61" t="str">
        <f>CONCATENATE("U",E26,E$18)</f>
        <v>U3X</v>
      </c>
      <c r="E178" s="61" t="str">
        <f>CONCATENATE("U",F26,F$18)</f>
        <v>U3Y</v>
      </c>
    </row>
    <row r="179" spans="1:14" x14ac:dyDescent="0.3">
      <c r="B179" s="62">
        <f>J13*J13*N13</f>
        <v>0</v>
      </c>
      <c r="C179" s="62">
        <f>J13*K13*N13</f>
        <v>0</v>
      </c>
      <c r="D179" s="62">
        <f>-B179</f>
        <v>0</v>
      </c>
      <c r="E179" s="62">
        <f>-C179</f>
        <v>0</v>
      </c>
      <c r="F179" s="61" t="str">
        <f>B178</f>
        <v>U6X</v>
      </c>
    </row>
    <row r="180" spans="1:14" ht="16.8" customHeight="1" x14ac:dyDescent="0.3">
      <c r="A180" s="28" t="s">
        <v>203</v>
      </c>
      <c r="B180" s="62">
        <f>C179</f>
        <v>0</v>
      </c>
      <c r="C180" s="62">
        <f>K13*K13*N13</f>
        <v>84000</v>
      </c>
      <c r="D180" s="62">
        <f>-B180</f>
        <v>0</v>
      </c>
      <c r="E180" s="62">
        <f>-C180</f>
        <v>-84000</v>
      </c>
      <c r="F180" s="61" t="str">
        <f>C178</f>
        <v>U6Y</v>
      </c>
    </row>
    <row r="181" spans="1:14" x14ac:dyDescent="0.3">
      <c r="B181" s="62">
        <f>D179</f>
        <v>0</v>
      </c>
      <c r="C181" s="62">
        <f>E179</f>
        <v>0</v>
      </c>
      <c r="D181" s="62">
        <f>B179</f>
        <v>0</v>
      </c>
      <c r="E181" s="62">
        <f>C179</f>
        <v>0</v>
      </c>
      <c r="F181" s="61" t="str">
        <f>D178</f>
        <v>U3X</v>
      </c>
    </row>
    <row r="182" spans="1:14" x14ac:dyDescent="0.3">
      <c r="B182" s="62">
        <f>D180</f>
        <v>0</v>
      </c>
      <c r="C182" s="62">
        <f>E180</f>
        <v>-84000</v>
      </c>
      <c r="D182" s="62">
        <f>B180</f>
        <v>0</v>
      </c>
      <c r="E182" s="62">
        <f>C180</f>
        <v>84000</v>
      </c>
      <c r="F182" s="61" t="str">
        <f>E178</f>
        <v>U3Y</v>
      </c>
    </row>
    <row r="184" spans="1:14" ht="18" customHeight="1" x14ac:dyDescent="0.3">
      <c r="B184" s="61" t="s">
        <v>178</v>
      </c>
      <c r="C184" s="61" t="s">
        <v>179</v>
      </c>
      <c r="D184" s="61" t="s">
        <v>180</v>
      </c>
      <c r="E184" s="61" t="s">
        <v>181</v>
      </c>
      <c r="F184" s="61" t="s">
        <v>182</v>
      </c>
      <c r="G184" s="61" t="s">
        <v>183</v>
      </c>
      <c r="H184" s="61" t="s">
        <v>184</v>
      </c>
      <c r="I184" s="61" t="s">
        <v>185</v>
      </c>
      <c r="J184" s="61" t="s">
        <v>186</v>
      </c>
      <c r="K184" s="61" t="s">
        <v>187</v>
      </c>
      <c r="L184" s="61" t="s">
        <v>188</v>
      </c>
      <c r="M184" s="61" t="s">
        <v>189</v>
      </c>
    </row>
    <row r="185" spans="1:14" ht="19.05" customHeight="1" x14ac:dyDescent="0.3">
      <c r="B185" s="9">
        <f t="shared" ref="B185:M196" si="13">IFERROR(INDEX($B$179:$E$182, MATCH($N185, $B$178:$E$178, 0), MATCH(B$184, $B$178:$E$178, 0)), 0)</f>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178</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179</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180</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181</v>
      </c>
    </row>
    <row r="189" spans="1:14" ht="19.05" customHeight="1" x14ac:dyDescent="0.3">
      <c r="B189" s="9">
        <f t="shared" si="13"/>
        <v>0</v>
      </c>
      <c r="C189" s="9">
        <f t="shared" si="13"/>
        <v>0</v>
      </c>
      <c r="D189" s="9">
        <f t="shared" si="13"/>
        <v>0</v>
      </c>
      <c r="E189" s="9">
        <f t="shared" si="13"/>
        <v>0</v>
      </c>
      <c r="F189" s="63">
        <f t="shared" si="13"/>
        <v>0</v>
      </c>
      <c r="G189" s="63">
        <f t="shared" si="13"/>
        <v>0</v>
      </c>
      <c r="H189" s="9">
        <f t="shared" si="13"/>
        <v>0</v>
      </c>
      <c r="I189" s="9">
        <f t="shared" si="13"/>
        <v>0</v>
      </c>
      <c r="J189" s="9">
        <f t="shared" si="13"/>
        <v>0</v>
      </c>
      <c r="K189" s="9">
        <f t="shared" si="13"/>
        <v>0</v>
      </c>
      <c r="L189" s="63">
        <f t="shared" si="13"/>
        <v>0</v>
      </c>
      <c r="M189" s="63">
        <f t="shared" si="13"/>
        <v>0</v>
      </c>
      <c r="N189" s="61" t="s">
        <v>182</v>
      </c>
    </row>
    <row r="190" spans="1:14" ht="19.05" customHeight="1" x14ac:dyDescent="0.3">
      <c r="A190" s="28" t="s">
        <v>204</v>
      </c>
      <c r="B190" s="9">
        <f t="shared" si="13"/>
        <v>0</v>
      </c>
      <c r="C190" s="9">
        <f t="shared" si="13"/>
        <v>0</v>
      </c>
      <c r="D190" s="9">
        <f t="shared" si="13"/>
        <v>0</v>
      </c>
      <c r="E190" s="9">
        <f t="shared" si="13"/>
        <v>0</v>
      </c>
      <c r="F190" s="63">
        <f t="shared" si="13"/>
        <v>0</v>
      </c>
      <c r="G190" s="63">
        <f t="shared" si="13"/>
        <v>84000</v>
      </c>
      <c r="H190" s="9">
        <f t="shared" si="13"/>
        <v>0</v>
      </c>
      <c r="I190" s="9">
        <f t="shared" si="13"/>
        <v>0</v>
      </c>
      <c r="J190" s="9">
        <f t="shared" si="13"/>
        <v>0</v>
      </c>
      <c r="K190" s="9">
        <f t="shared" si="13"/>
        <v>0</v>
      </c>
      <c r="L190" s="63">
        <f t="shared" si="13"/>
        <v>0</v>
      </c>
      <c r="M190" s="63">
        <f t="shared" si="13"/>
        <v>-84000</v>
      </c>
      <c r="N190" s="61" t="s">
        <v>183</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184</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185</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186</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187</v>
      </c>
    </row>
    <row r="195" spans="1:14" ht="19.05" customHeight="1" x14ac:dyDescent="0.3">
      <c r="B195" s="9">
        <f t="shared" si="13"/>
        <v>0</v>
      </c>
      <c r="C195" s="9">
        <f t="shared" si="13"/>
        <v>0</v>
      </c>
      <c r="D195" s="9">
        <f t="shared" si="13"/>
        <v>0</v>
      </c>
      <c r="E195" s="9">
        <f t="shared" si="13"/>
        <v>0</v>
      </c>
      <c r="F195" s="63">
        <f t="shared" si="13"/>
        <v>0</v>
      </c>
      <c r="G195" s="63">
        <f t="shared" si="13"/>
        <v>0</v>
      </c>
      <c r="H195" s="9">
        <f t="shared" si="13"/>
        <v>0</v>
      </c>
      <c r="I195" s="9">
        <f t="shared" si="13"/>
        <v>0</v>
      </c>
      <c r="J195" s="9">
        <f t="shared" si="13"/>
        <v>0</v>
      </c>
      <c r="K195" s="9">
        <f t="shared" si="13"/>
        <v>0</v>
      </c>
      <c r="L195" s="63">
        <f t="shared" si="13"/>
        <v>0</v>
      </c>
      <c r="M195" s="63">
        <f t="shared" si="13"/>
        <v>0</v>
      </c>
      <c r="N195" s="61" t="s">
        <v>188</v>
      </c>
    </row>
    <row r="196" spans="1:14" ht="19.05" customHeight="1" x14ac:dyDescent="0.3">
      <c r="B196" s="9">
        <f t="shared" si="13"/>
        <v>0</v>
      </c>
      <c r="C196" s="9">
        <f t="shared" si="13"/>
        <v>0</v>
      </c>
      <c r="D196" s="9">
        <f t="shared" si="13"/>
        <v>0</v>
      </c>
      <c r="E196" s="9">
        <f t="shared" si="13"/>
        <v>0</v>
      </c>
      <c r="F196" s="63">
        <f t="shared" si="13"/>
        <v>0</v>
      </c>
      <c r="G196" s="63">
        <f t="shared" si="13"/>
        <v>-84000</v>
      </c>
      <c r="H196" s="9">
        <f t="shared" si="13"/>
        <v>0</v>
      </c>
      <c r="I196" s="9">
        <f t="shared" si="13"/>
        <v>0</v>
      </c>
      <c r="J196" s="9">
        <f t="shared" si="13"/>
        <v>0</v>
      </c>
      <c r="K196" s="9">
        <f t="shared" si="13"/>
        <v>0</v>
      </c>
      <c r="L196" s="63">
        <f t="shared" si="13"/>
        <v>0</v>
      </c>
      <c r="M196" s="63">
        <f t="shared" si="13"/>
        <v>84000</v>
      </c>
      <c r="N196" s="61" t="s">
        <v>189</v>
      </c>
    </row>
    <row r="199" spans="1:14" ht="18" customHeight="1" x14ac:dyDescent="0.3">
      <c r="B199" s="64" t="str">
        <f>CONCATENATE("U",C27,C$18)</f>
        <v>U6X</v>
      </c>
      <c r="C199" s="64" t="str">
        <f>CONCATENATE("U",D27,D$18)</f>
        <v>U6Y</v>
      </c>
      <c r="D199" s="64" t="str">
        <f>CONCATENATE("U",E27,E$18)</f>
        <v>U4X</v>
      </c>
      <c r="E199" s="64" t="str">
        <f>CONCATENATE("U",F27,F$18)</f>
        <v>U4Y</v>
      </c>
    </row>
    <row r="200" spans="1:14" x14ac:dyDescent="0.3">
      <c r="B200" s="65">
        <f>J14*J14*N14</f>
        <v>29698.484809834987</v>
      </c>
      <c r="C200" s="65">
        <f>J14*K14*N14</f>
        <v>-29698.484809834987</v>
      </c>
      <c r="D200" s="65">
        <f>-B200</f>
        <v>-29698.484809834987</v>
      </c>
      <c r="E200" s="65">
        <f>-C200</f>
        <v>29698.484809834987</v>
      </c>
      <c r="F200" s="64" t="str">
        <f>B199</f>
        <v>U6X</v>
      </c>
    </row>
    <row r="201" spans="1:14" ht="16.8" customHeight="1" x14ac:dyDescent="0.3">
      <c r="A201" s="28" t="s">
        <v>528</v>
      </c>
      <c r="B201" s="65">
        <f>C200</f>
        <v>-29698.484809834987</v>
      </c>
      <c r="C201" s="65">
        <f>K14*K14*N14</f>
        <v>29698.484809834987</v>
      </c>
      <c r="D201" s="65">
        <f>-B201</f>
        <v>29698.484809834987</v>
      </c>
      <c r="E201" s="65">
        <f>-C201</f>
        <v>-29698.484809834987</v>
      </c>
      <c r="F201" s="64" t="str">
        <f>C199</f>
        <v>U6Y</v>
      </c>
    </row>
    <row r="202" spans="1:14" x14ac:dyDescent="0.3">
      <c r="B202" s="65">
        <f>D200</f>
        <v>-29698.484809834987</v>
      </c>
      <c r="C202" s="65">
        <f>E200</f>
        <v>29698.484809834987</v>
      </c>
      <c r="D202" s="65">
        <f>B200</f>
        <v>29698.484809834987</v>
      </c>
      <c r="E202" s="65">
        <f>C200</f>
        <v>-29698.484809834987</v>
      </c>
      <c r="F202" s="64" t="str">
        <f>D199</f>
        <v>U4X</v>
      </c>
    </row>
    <row r="203" spans="1:14" x14ac:dyDescent="0.3">
      <c r="B203" s="65">
        <f>D201</f>
        <v>29698.484809834987</v>
      </c>
      <c r="C203" s="65">
        <f>E201</f>
        <v>-29698.484809834987</v>
      </c>
      <c r="D203" s="65">
        <f>B201</f>
        <v>-29698.484809834987</v>
      </c>
      <c r="E203" s="65">
        <f>C201</f>
        <v>29698.484809834987</v>
      </c>
      <c r="F203" s="64" t="str">
        <f>E199</f>
        <v>U4Y</v>
      </c>
    </row>
    <row r="205" spans="1:14" ht="18" customHeight="1" x14ac:dyDescent="0.3">
      <c r="B205" s="64" t="s">
        <v>178</v>
      </c>
      <c r="C205" s="64" t="s">
        <v>179</v>
      </c>
      <c r="D205" s="64" t="s">
        <v>180</v>
      </c>
      <c r="E205" s="64" t="s">
        <v>181</v>
      </c>
      <c r="F205" s="64" t="s">
        <v>182</v>
      </c>
      <c r="G205" s="64" t="s">
        <v>183</v>
      </c>
      <c r="H205" s="64" t="s">
        <v>184</v>
      </c>
      <c r="I205" s="64" t="s">
        <v>185</v>
      </c>
      <c r="J205" s="64" t="s">
        <v>186</v>
      </c>
      <c r="K205" s="64" t="s">
        <v>187</v>
      </c>
      <c r="L205" s="64" t="s">
        <v>188</v>
      </c>
      <c r="M205" s="64" t="s">
        <v>189</v>
      </c>
    </row>
    <row r="206" spans="1:14" ht="19.05" customHeight="1" x14ac:dyDescent="0.3">
      <c r="B206" s="9">
        <f t="shared" ref="B206:M217" si="14">IFERROR(INDEX($B$200:$E$203, MATCH($N206, $B$199:$E$199, 0), MATCH(B$205, $B$199:$E$199, 0)), 0)</f>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178</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179</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180</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181</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182</v>
      </c>
    </row>
    <row r="211" spans="1:14" ht="19.05" customHeight="1" x14ac:dyDescent="0.3">
      <c r="A211" s="28" t="s">
        <v>529</v>
      </c>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183</v>
      </c>
    </row>
    <row r="212" spans="1:14" ht="19.05" customHeight="1" x14ac:dyDescent="0.3">
      <c r="B212" s="9">
        <f t="shared" si="14"/>
        <v>0</v>
      </c>
      <c r="C212" s="9">
        <f t="shared" si="14"/>
        <v>0</v>
      </c>
      <c r="D212" s="9">
        <f t="shared" si="14"/>
        <v>0</v>
      </c>
      <c r="E212" s="9">
        <f t="shared" si="14"/>
        <v>0</v>
      </c>
      <c r="F212" s="9">
        <f t="shared" si="14"/>
        <v>0</v>
      </c>
      <c r="G212" s="9">
        <f t="shared" si="14"/>
        <v>0</v>
      </c>
      <c r="H212" s="66">
        <f t="shared" si="14"/>
        <v>29698.484809834987</v>
      </c>
      <c r="I212" s="66">
        <f t="shared" si="14"/>
        <v>-29698.484809834987</v>
      </c>
      <c r="J212" s="9">
        <f t="shared" si="14"/>
        <v>0</v>
      </c>
      <c r="K212" s="9">
        <f t="shared" si="14"/>
        <v>0</v>
      </c>
      <c r="L212" s="66">
        <f t="shared" si="14"/>
        <v>-29698.484809834987</v>
      </c>
      <c r="M212" s="66">
        <f t="shared" si="14"/>
        <v>29698.484809834987</v>
      </c>
      <c r="N212" s="64" t="s">
        <v>184</v>
      </c>
    </row>
    <row r="213" spans="1:14" ht="19.05" customHeight="1" x14ac:dyDescent="0.3">
      <c r="B213" s="9">
        <f t="shared" si="14"/>
        <v>0</v>
      </c>
      <c r="C213" s="9">
        <f t="shared" si="14"/>
        <v>0</v>
      </c>
      <c r="D213" s="9">
        <f t="shared" si="14"/>
        <v>0</v>
      </c>
      <c r="E213" s="9">
        <f t="shared" si="14"/>
        <v>0</v>
      </c>
      <c r="F213" s="9">
        <f t="shared" si="14"/>
        <v>0</v>
      </c>
      <c r="G213" s="9">
        <f t="shared" si="14"/>
        <v>0</v>
      </c>
      <c r="H213" s="66">
        <f t="shared" si="14"/>
        <v>-29698.484809834987</v>
      </c>
      <c r="I213" s="66">
        <f t="shared" si="14"/>
        <v>29698.484809834987</v>
      </c>
      <c r="J213" s="9">
        <f t="shared" si="14"/>
        <v>0</v>
      </c>
      <c r="K213" s="9">
        <f t="shared" si="14"/>
        <v>0</v>
      </c>
      <c r="L213" s="66">
        <f t="shared" si="14"/>
        <v>29698.484809834987</v>
      </c>
      <c r="M213" s="66">
        <f t="shared" si="14"/>
        <v>-29698.484809834987</v>
      </c>
      <c r="N213" s="64" t="s">
        <v>185</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186</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187</v>
      </c>
    </row>
    <row r="216" spans="1:14" ht="19.05" customHeight="1" x14ac:dyDescent="0.3">
      <c r="B216" s="9">
        <f t="shared" si="14"/>
        <v>0</v>
      </c>
      <c r="C216" s="9">
        <f t="shared" si="14"/>
        <v>0</v>
      </c>
      <c r="D216" s="9">
        <f t="shared" si="14"/>
        <v>0</v>
      </c>
      <c r="E216" s="9">
        <f t="shared" si="14"/>
        <v>0</v>
      </c>
      <c r="F216" s="9">
        <f t="shared" si="14"/>
        <v>0</v>
      </c>
      <c r="G216" s="9">
        <f t="shared" si="14"/>
        <v>0</v>
      </c>
      <c r="H216" s="66">
        <f t="shared" si="14"/>
        <v>-29698.484809834987</v>
      </c>
      <c r="I216" s="66">
        <f t="shared" si="14"/>
        <v>29698.484809834987</v>
      </c>
      <c r="J216" s="9">
        <f t="shared" si="14"/>
        <v>0</v>
      </c>
      <c r="K216" s="9">
        <f t="shared" si="14"/>
        <v>0</v>
      </c>
      <c r="L216" s="66">
        <f t="shared" si="14"/>
        <v>29698.484809834987</v>
      </c>
      <c r="M216" s="66">
        <f t="shared" si="14"/>
        <v>-29698.484809834987</v>
      </c>
      <c r="N216" s="64" t="s">
        <v>188</v>
      </c>
    </row>
    <row r="217" spans="1:14" ht="19.05" customHeight="1" x14ac:dyDescent="0.3">
      <c r="B217" s="9">
        <f t="shared" si="14"/>
        <v>0</v>
      </c>
      <c r="C217" s="9">
        <f t="shared" si="14"/>
        <v>0</v>
      </c>
      <c r="D217" s="9">
        <f t="shared" si="14"/>
        <v>0</v>
      </c>
      <c r="E217" s="9">
        <f t="shared" si="14"/>
        <v>0</v>
      </c>
      <c r="F217" s="9">
        <f t="shared" si="14"/>
        <v>0</v>
      </c>
      <c r="G217" s="9">
        <f t="shared" si="14"/>
        <v>0</v>
      </c>
      <c r="H217" s="66">
        <f t="shared" si="14"/>
        <v>29698.484809834987</v>
      </c>
      <c r="I217" s="66">
        <f t="shared" si="14"/>
        <v>-29698.484809834987</v>
      </c>
      <c r="J217" s="9">
        <f t="shared" si="14"/>
        <v>0</v>
      </c>
      <c r="K217" s="9">
        <f t="shared" si="14"/>
        <v>0</v>
      </c>
      <c r="L217" s="66">
        <f t="shared" si="14"/>
        <v>-29698.484809834987</v>
      </c>
      <c r="M217" s="66">
        <f t="shared" si="14"/>
        <v>29698.484809834987</v>
      </c>
      <c r="N217" s="64" t="s">
        <v>189</v>
      </c>
    </row>
    <row r="220" spans="1:14" ht="18" customHeight="1" x14ac:dyDescent="0.3">
      <c r="B220" s="69" t="str">
        <f>CONCATENATE("U",C28,C$18)</f>
        <v>U5X</v>
      </c>
      <c r="C220" s="69" t="str">
        <f>CONCATENATE("U",D28,D$18)</f>
        <v>U5Y</v>
      </c>
      <c r="D220" s="69" t="str">
        <f>CONCATENATE("U",E28,E$18)</f>
        <v>U3X</v>
      </c>
      <c r="E220" s="69" t="str">
        <f>CONCATENATE("U",F28,F$18)</f>
        <v>U3Y</v>
      </c>
    </row>
    <row r="221" spans="1:14" x14ac:dyDescent="0.3">
      <c r="B221" s="70">
        <f>J15*J15*N15</f>
        <v>29698.484809834987</v>
      </c>
      <c r="C221" s="70">
        <f>J15*K15*N15</f>
        <v>-29698.484809834987</v>
      </c>
      <c r="D221" s="70">
        <f>-B221</f>
        <v>-29698.484809834987</v>
      </c>
      <c r="E221" s="70">
        <f>-C221</f>
        <v>29698.484809834987</v>
      </c>
      <c r="F221" s="69" t="str">
        <f>B220</f>
        <v>U5X</v>
      </c>
    </row>
    <row r="222" spans="1:14" ht="16.8" customHeight="1" x14ac:dyDescent="0.3">
      <c r="A222" s="28" t="s">
        <v>581</v>
      </c>
      <c r="B222" s="70">
        <f>C221</f>
        <v>-29698.484809834987</v>
      </c>
      <c r="C222" s="70">
        <f>K15*K15*N15</f>
        <v>29698.484809834987</v>
      </c>
      <c r="D222" s="70">
        <f>-B222</f>
        <v>29698.484809834987</v>
      </c>
      <c r="E222" s="70">
        <f>-C222</f>
        <v>-29698.484809834987</v>
      </c>
      <c r="F222" s="69" t="str">
        <f>C220</f>
        <v>U5Y</v>
      </c>
    </row>
    <row r="223" spans="1:14" x14ac:dyDescent="0.3">
      <c r="B223" s="70">
        <f>D221</f>
        <v>-29698.484809834987</v>
      </c>
      <c r="C223" s="70">
        <f>E221</f>
        <v>29698.484809834987</v>
      </c>
      <c r="D223" s="70">
        <f>B221</f>
        <v>29698.484809834987</v>
      </c>
      <c r="E223" s="70">
        <f>C221</f>
        <v>-29698.484809834987</v>
      </c>
      <c r="F223" s="69" t="str">
        <f>D220</f>
        <v>U3X</v>
      </c>
    </row>
    <row r="224" spans="1:14" x14ac:dyDescent="0.3">
      <c r="B224" s="70">
        <f>D222</f>
        <v>29698.484809834987</v>
      </c>
      <c r="C224" s="70">
        <f>E222</f>
        <v>-29698.484809834987</v>
      </c>
      <c r="D224" s="70">
        <f>B222</f>
        <v>-29698.484809834987</v>
      </c>
      <c r="E224" s="70">
        <f>C222</f>
        <v>29698.484809834987</v>
      </c>
      <c r="F224" s="69" t="str">
        <f>E220</f>
        <v>U3Y</v>
      </c>
    </row>
    <row r="226" spans="1:14" ht="18" customHeight="1" x14ac:dyDescent="0.3">
      <c r="B226" s="69" t="s">
        <v>178</v>
      </c>
      <c r="C226" s="69" t="s">
        <v>179</v>
      </c>
      <c r="D226" s="69" t="s">
        <v>180</v>
      </c>
      <c r="E226" s="69" t="s">
        <v>181</v>
      </c>
      <c r="F226" s="69" t="s">
        <v>182</v>
      </c>
      <c r="G226" s="69" t="s">
        <v>183</v>
      </c>
      <c r="H226" s="69" t="s">
        <v>184</v>
      </c>
      <c r="I226" s="69" t="s">
        <v>185</v>
      </c>
      <c r="J226" s="69" t="s">
        <v>186</v>
      </c>
      <c r="K226" s="69" t="s">
        <v>187</v>
      </c>
      <c r="L226" s="69" t="s">
        <v>188</v>
      </c>
      <c r="M226" s="69" t="s">
        <v>189</v>
      </c>
    </row>
    <row r="227" spans="1:14" ht="19.05" customHeight="1" x14ac:dyDescent="0.3">
      <c r="B227" s="9">
        <f t="shared" ref="B227:M238" si="15">IFERROR(INDEX($B$221:$E$224, MATCH($N227, $B$220:$E$220, 0), MATCH(B$226, $B$220:$E$220, 0)), 0)</f>
        <v>0</v>
      </c>
      <c r="C227" s="9">
        <f t="shared" si="15"/>
        <v>0</v>
      </c>
      <c r="D227" s="9">
        <f t="shared" si="15"/>
        <v>0</v>
      </c>
      <c r="E227" s="9">
        <f t="shared" si="15"/>
        <v>0</v>
      </c>
      <c r="F227" s="9">
        <f t="shared" si="15"/>
        <v>0</v>
      </c>
      <c r="G227" s="9">
        <f t="shared" si="15"/>
        <v>0</v>
      </c>
      <c r="H227" s="9">
        <f t="shared" si="15"/>
        <v>0</v>
      </c>
      <c r="I227" s="9">
        <f t="shared" si="15"/>
        <v>0</v>
      </c>
      <c r="J227" s="9">
        <f t="shared" si="15"/>
        <v>0</v>
      </c>
      <c r="K227" s="9">
        <f t="shared" si="15"/>
        <v>0</v>
      </c>
      <c r="L227" s="9">
        <f t="shared" si="15"/>
        <v>0</v>
      </c>
      <c r="M227" s="9">
        <f t="shared" si="15"/>
        <v>0</v>
      </c>
      <c r="N227" s="69" t="s">
        <v>178</v>
      </c>
    </row>
    <row r="228" spans="1:14" ht="19.05" customHeight="1" x14ac:dyDescent="0.3">
      <c r="B228" s="9">
        <f t="shared" si="15"/>
        <v>0</v>
      </c>
      <c r="C228" s="9">
        <f t="shared" si="15"/>
        <v>0</v>
      </c>
      <c r="D228" s="9">
        <f t="shared" si="15"/>
        <v>0</v>
      </c>
      <c r="E228" s="9">
        <f t="shared" si="15"/>
        <v>0</v>
      </c>
      <c r="F228" s="9">
        <f t="shared" si="15"/>
        <v>0</v>
      </c>
      <c r="G228" s="9">
        <f t="shared" si="15"/>
        <v>0</v>
      </c>
      <c r="H228" s="9">
        <f t="shared" si="15"/>
        <v>0</v>
      </c>
      <c r="I228" s="9">
        <f t="shared" si="15"/>
        <v>0</v>
      </c>
      <c r="J228" s="9">
        <f t="shared" si="15"/>
        <v>0</v>
      </c>
      <c r="K228" s="9">
        <f t="shared" si="15"/>
        <v>0</v>
      </c>
      <c r="L228" s="9">
        <f t="shared" si="15"/>
        <v>0</v>
      </c>
      <c r="M228" s="9">
        <f t="shared" si="15"/>
        <v>0</v>
      </c>
      <c r="N228" s="69" t="s">
        <v>179</v>
      </c>
    </row>
    <row r="229" spans="1:14" ht="19.05" customHeight="1" x14ac:dyDescent="0.3">
      <c r="B229" s="9">
        <f t="shared" si="15"/>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180</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181</v>
      </c>
    </row>
    <row r="231" spans="1:14" ht="19.05" customHeight="1" x14ac:dyDescent="0.3">
      <c r="B231" s="9">
        <f t="shared" si="15"/>
        <v>0</v>
      </c>
      <c r="C231" s="9">
        <f t="shared" si="15"/>
        <v>0</v>
      </c>
      <c r="D231" s="9">
        <f t="shared" si="15"/>
        <v>0</v>
      </c>
      <c r="E231" s="9">
        <f t="shared" si="15"/>
        <v>0</v>
      </c>
      <c r="F231" s="71">
        <f t="shared" si="15"/>
        <v>29698.484809834987</v>
      </c>
      <c r="G231" s="71">
        <f t="shared" si="15"/>
        <v>-29698.484809834987</v>
      </c>
      <c r="H231" s="9">
        <f t="shared" si="15"/>
        <v>0</v>
      </c>
      <c r="I231" s="9">
        <f t="shared" si="15"/>
        <v>0</v>
      </c>
      <c r="J231" s="71">
        <f t="shared" si="15"/>
        <v>-29698.484809834987</v>
      </c>
      <c r="K231" s="71">
        <f t="shared" si="15"/>
        <v>29698.484809834987</v>
      </c>
      <c r="L231" s="9">
        <f t="shared" si="15"/>
        <v>0</v>
      </c>
      <c r="M231" s="9">
        <f t="shared" si="15"/>
        <v>0</v>
      </c>
      <c r="N231" s="69" t="s">
        <v>182</v>
      </c>
    </row>
    <row r="232" spans="1:14" ht="19.05" customHeight="1" x14ac:dyDescent="0.3">
      <c r="A232" s="28" t="s">
        <v>582</v>
      </c>
      <c r="B232" s="9">
        <f t="shared" si="15"/>
        <v>0</v>
      </c>
      <c r="C232" s="9">
        <f t="shared" si="15"/>
        <v>0</v>
      </c>
      <c r="D232" s="9">
        <f t="shared" si="15"/>
        <v>0</v>
      </c>
      <c r="E232" s="9">
        <f t="shared" si="15"/>
        <v>0</v>
      </c>
      <c r="F232" s="71">
        <f t="shared" si="15"/>
        <v>-29698.484809834987</v>
      </c>
      <c r="G232" s="71">
        <f t="shared" si="15"/>
        <v>29698.484809834987</v>
      </c>
      <c r="H232" s="9">
        <f t="shared" si="15"/>
        <v>0</v>
      </c>
      <c r="I232" s="9">
        <f t="shared" si="15"/>
        <v>0</v>
      </c>
      <c r="J232" s="71">
        <f t="shared" si="15"/>
        <v>29698.484809834987</v>
      </c>
      <c r="K232" s="71">
        <f t="shared" si="15"/>
        <v>-29698.484809834987</v>
      </c>
      <c r="L232" s="9">
        <f t="shared" si="15"/>
        <v>0</v>
      </c>
      <c r="M232" s="9">
        <f t="shared" si="15"/>
        <v>0</v>
      </c>
      <c r="N232" s="69" t="s">
        <v>183</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184</v>
      </c>
    </row>
    <row r="234" spans="1:14" ht="19.05" customHeight="1" x14ac:dyDescent="0.3">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185</v>
      </c>
    </row>
    <row r="235" spans="1:14" ht="19.05" customHeight="1" x14ac:dyDescent="0.3">
      <c r="B235" s="9">
        <f t="shared" si="15"/>
        <v>0</v>
      </c>
      <c r="C235" s="9">
        <f t="shared" si="15"/>
        <v>0</v>
      </c>
      <c r="D235" s="9">
        <f t="shared" si="15"/>
        <v>0</v>
      </c>
      <c r="E235" s="9">
        <f t="shared" si="15"/>
        <v>0</v>
      </c>
      <c r="F235" s="71">
        <f t="shared" si="15"/>
        <v>-29698.484809834987</v>
      </c>
      <c r="G235" s="71">
        <f t="shared" si="15"/>
        <v>29698.484809834987</v>
      </c>
      <c r="H235" s="9">
        <f t="shared" si="15"/>
        <v>0</v>
      </c>
      <c r="I235" s="9">
        <f t="shared" si="15"/>
        <v>0</v>
      </c>
      <c r="J235" s="71">
        <f t="shared" si="15"/>
        <v>29698.484809834987</v>
      </c>
      <c r="K235" s="71">
        <f t="shared" si="15"/>
        <v>-29698.484809834987</v>
      </c>
      <c r="L235" s="9">
        <f t="shared" si="15"/>
        <v>0</v>
      </c>
      <c r="M235" s="9">
        <f t="shared" si="15"/>
        <v>0</v>
      </c>
      <c r="N235" s="69" t="s">
        <v>186</v>
      </c>
    </row>
    <row r="236" spans="1:14" ht="19.05" customHeight="1" x14ac:dyDescent="0.3">
      <c r="B236" s="9">
        <f t="shared" si="15"/>
        <v>0</v>
      </c>
      <c r="C236" s="9">
        <f t="shared" si="15"/>
        <v>0</v>
      </c>
      <c r="D236" s="9">
        <f t="shared" si="15"/>
        <v>0</v>
      </c>
      <c r="E236" s="9">
        <f t="shared" si="15"/>
        <v>0</v>
      </c>
      <c r="F236" s="71">
        <f t="shared" si="15"/>
        <v>29698.484809834987</v>
      </c>
      <c r="G236" s="71">
        <f t="shared" si="15"/>
        <v>-29698.484809834987</v>
      </c>
      <c r="H236" s="9">
        <f t="shared" si="15"/>
        <v>0</v>
      </c>
      <c r="I236" s="9">
        <f t="shared" si="15"/>
        <v>0</v>
      </c>
      <c r="J236" s="71">
        <f t="shared" si="15"/>
        <v>-29698.484809834987</v>
      </c>
      <c r="K236" s="71">
        <f t="shared" si="15"/>
        <v>29698.484809834987</v>
      </c>
      <c r="L236" s="9">
        <f t="shared" si="15"/>
        <v>0</v>
      </c>
      <c r="M236" s="9">
        <f t="shared" si="15"/>
        <v>0</v>
      </c>
      <c r="N236" s="69" t="s">
        <v>187</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188</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189</v>
      </c>
    </row>
    <row r="241" spans="1:21" ht="19.95" customHeight="1" x14ac:dyDescent="0.3">
      <c r="B241" s="87" t="s">
        <v>178</v>
      </c>
      <c r="C241" s="87" t="s">
        <v>179</v>
      </c>
      <c r="D241" s="87" t="s">
        <v>180</v>
      </c>
      <c r="E241" s="87" t="s">
        <v>181</v>
      </c>
      <c r="F241" s="87" t="s">
        <v>182</v>
      </c>
      <c r="G241" s="87" t="s">
        <v>183</v>
      </c>
      <c r="H241" s="87" t="s">
        <v>184</v>
      </c>
      <c r="I241" s="87" t="s">
        <v>185</v>
      </c>
      <c r="J241" s="87" t="s">
        <v>186</v>
      </c>
      <c r="K241" s="87" t="s">
        <v>187</v>
      </c>
      <c r="L241" s="87" t="s">
        <v>188</v>
      </c>
      <c r="M241" s="87" t="s">
        <v>189</v>
      </c>
    </row>
    <row r="242" spans="1:21" ht="19.95" customHeight="1" x14ac:dyDescent="0.3">
      <c r="B242" s="35">
        <f t="shared" ref="B242:M242" si="16">B38+B59+B80+B101+B122+B143+B164+B185+B206+B227</f>
        <v>113698.48480983499</v>
      </c>
      <c r="C242" s="36">
        <f t="shared" si="16"/>
        <v>29698.484809834987</v>
      </c>
      <c r="D242" s="9">
        <f t="shared" si="16"/>
        <v>-84000</v>
      </c>
      <c r="E242" s="9">
        <f t="shared" si="16"/>
        <v>0</v>
      </c>
      <c r="F242" s="9">
        <f t="shared" si="16"/>
        <v>0</v>
      </c>
      <c r="G242" s="9">
        <f t="shared" si="16"/>
        <v>0</v>
      </c>
      <c r="H242" s="9">
        <f t="shared" si="16"/>
        <v>0</v>
      </c>
      <c r="I242" s="9">
        <f t="shared" si="16"/>
        <v>0</v>
      </c>
      <c r="J242" s="9">
        <f t="shared" si="16"/>
        <v>-29698.484809834987</v>
      </c>
      <c r="K242" s="9">
        <f t="shared" si="16"/>
        <v>-29698.484809834987</v>
      </c>
      <c r="L242" s="9">
        <f t="shared" si="16"/>
        <v>0</v>
      </c>
      <c r="M242" s="9">
        <f t="shared" si="16"/>
        <v>0</v>
      </c>
      <c r="N242" s="89" t="s">
        <v>178</v>
      </c>
    </row>
    <row r="243" spans="1:21" ht="19.95" customHeight="1" x14ac:dyDescent="0.3">
      <c r="B243" s="36">
        <f t="shared" ref="B243:M243" si="17">B39+B60+B81+B102+B123+B144+B165+B186+B207+B228</f>
        <v>29698.484809834987</v>
      </c>
      <c r="C243" s="35">
        <f t="shared" si="17"/>
        <v>29698.484809834987</v>
      </c>
      <c r="D243" s="9">
        <f t="shared" si="17"/>
        <v>0</v>
      </c>
      <c r="E243" s="9">
        <f t="shared" si="17"/>
        <v>0</v>
      </c>
      <c r="F243" s="9">
        <f t="shared" si="17"/>
        <v>0</v>
      </c>
      <c r="G243" s="9">
        <f t="shared" si="17"/>
        <v>0</v>
      </c>
      <c r="H243" s="9">
        <f t="shared" si="17"/>
        <v>0</v>
      </c>
      <c r="I243" s="9">
        <f t="shared" si="17"/>
        <v>0</v>
      </c>
      <c r="J243" s="9">
        <f t="shared" si="17"/>
        <v>-29698.484809834987</v>
      </c>
      <c r="K243" s="9">
        <f t="shared" si="17"/>
        <v>-29698.484809834987</v>
      </c>
      <c r="L243" s="9">
        <f t="shared" si="17"/>
        <v>0</v>
      </c>
      <c r="M243" s="9">
        <f t="shared" si="17"/>
        <v>0</v>
      </c>
      <c r="N243" s="89" t="s">
        <v>179</v>
      </c>
    </row>
    <row r="244" spans="1:21" ht="19.95" customHeight="1" x14ac:dyDescent="0.3">
      <c r="B244" s="9">
        <f t="shared" ref="B244:M244" si="18">B40+B61+B82+B103+B124+B145+B166+B187+B208+B229</f>
        <v>-84000</v>
      </c>
      <c r="C244" s="9">
        <f t="shared" si="18"/>
        <v>0</v>
      </c>
      <c r="D244" s="35">
        <f t="shared" si="18"/>
        <v>197698.48480983498</v>
      </c>
      <c r="E244" s="36">
        <f t="shared" si="18"/>
        <v>29698.484809834987</v>
      </c>
      <c r="F244" s="9">
        <f t="shared" si="18"/>
        <v>-84000</v>
      </c>
      <c r="G244" s="9">
        <f t="shared" si="18"/>
        <v>0</v>
      </c>
      <c r="H244" s="9">
        <f t="shared" si="18"/>
        <v>0</v>
      </c>
      <c r="I244" s="9">
        <f t="shared" si="18"/>
        <v>0</v>
      </c>
      <c r="J244" s="9">
        <f t="shared" si="18"/>
        <v>0</v>
      </c>
      <c r="K244" s="9">
        <f t="shared" si="18"/>
        <v>0</v>
      </c>
      <c r="L244" s="9">
        <f t="shared" si="18"/>
        <v>-29698.484809834987</v>
      </c>
      <c r="M244" s="9">
        <f t="shared" si="18"/>
        <v>-29698.484809834987</v>
      </c>
      <c r="N244" s="89" t="s">
        <v>180</v>
      </c>
    </row>
    <row r="245" spans="1:21" ht="19.95" customHeight="1" x14ac:dyDescent="0.3">
      <c r="B245" s="9">
        <f t="shared" ref="B245:M245" si="19">B41+B62+B83+B104+B125+B146+B167+B188+B209+B230</f>
        <v>0</v>
      </c>
      <c r="C245" s="9">
        <f t="shared" si="19"/>
        <v>0</v>
      </c>
      <c r="D245" s="36">
        <f t="shared" si="19"/>
        <v>29698.484809834987</v>
      </c>
      <c r="E245" s="35">
        <f t="shared" si="19"/>
        <v>113698.48480983499</v>
      </c>
      <c r="F245" s="9">
        <f t="shared" si="19"/>
        <v>0</v>
      </c>
      <c r="G245" s="9">
        <f t="shared" si="19"/>
        <v>0</v>
      </c>
      <c r="H245" s="9">
        <f t="shared" si="19"/>
        <v>0</v>
      </c>
      <c r="I245" s="9">
        <f t="shared" si="19"/>
        <v>0</v>
      </c>
      <c r="J245" s="9">
        <f t="shared" si="19"/>
        <v>0</v>
      </c>
      <c r="K245" s="9">
        <f t="shared" si="19"/>
        <v>-84000</v>
      </c>
      <c r="L245" s="9">
        <f t="shared" si="19"/>
        <v>-29698.484809834987</v>
      </c>
      <c r="M245" s="9">
        <f t="shared" si="19"/>
        <v>-29698.484809834987</v>
      </c>
      <c r="N245" s="89" t="s">
        <v>181</v>
      </c>
    </row>
    <row r="246" spans="1:21" ht="19.95" customHeight="1" x14ac:dyDescent="0.3">
      <c r="B246" s="9">
        <f t="shared" ref="B246:M246" si="20">B42+B63+B84+B105+B126+B147+B168+B189+B210+B231</f>
        <v>0</v>
      </c>
      <c r="C246" s="9">
        <f t="shared" si="20"/>
        <v>0</v>
      </c>
      <c r="D246" s="9">
        <f t="shared" si="20"/>
        <v>-84000</v>
      </c>
      <c r="E246" s="9">
        <f t="shared" si="20"/>
        <v>0</v>
      </c>
      <c r="F246" s="35">
        <f t="shared" si="20"/>
        <v>197698.48480983498</v>
      </c>
      <c r="G246" s="36">
        <f t="shared" si="20"/>
        <v>-29698.484809834987</v>
      </c>
      <c r="H246" s="9">
        <f t="shared" si="20"/>
        <v>-84000</v>
      </c>
      <c r="I246" s="9">
        <f t="shared" si="20"/>
        <v>0</v>
      </c>
      <c r="J246" s="9">
        <f t="shared" si="20"/>
        <v>-29698.484809834987</v>
      </c>
      <c r="K246" s="9">
        <f t="shared" si="20"/>
        <v>29698.484809834987</v>
      </c>
      <c r="L246" s="9">
        <f t="shared" si="20"/>
        <v>0</v>
      </c>
      <c r="M246" s="9">
        <f t="shared" si="20"/>
        <v>0</v>
      </c>
      <c r="N246" s="89" t="s">
        <v>182</v>
      </c>
    </row>
    <row r="247" spans="1:21" ht="19.95" customHeight="1" x14ac:dyDescent="0.3">
      <c r="A247" s="28" t="s">
        <v>205</v>
      </c>
      <c r="B247" s="9">
        <f t="shared" ref="B247:M247" si="21">B43+B64+B85+B106+B127+B148+B169+B190+B211+B232</f>
        <v>0</v>
      </c>
      <c r="C247" s="9">
        <f t="shared" si="21"/>
        <v>0</v>
      </c>
      <c r="D247" s="9">
        <f t="shared" si="21"/>
        <v>0</v>
      </c>
      <c r="E247" s="9">
        <f t="shared" si="21"/>
        <v>0</v>
      </c>
      <c r="F247" s="36">
        <f t="shared" si="21"/>
        <v>-29698.484809834987</v>
      </c>
      <c r="G247" s="35">
        <f t="shared" si="21"/>
        <v>113698.48480983499</v>
      </c>
      <c r="H247" s="9">
        <f t="shared" si="21"/>
        <v>0</v>
      </c>
      <c r="I247" s="9">
        <f t="shared" si="21"/>
        <v>0</v>
      </c>
      <c r="J247" s="9">
        <f t="shared" si="21"/>
        <v>29698.484809834987</v>
      </c>
      <c r="K247" s="9">
        <f t="shared" si="21"/>
        <v>-29698.484809834987</v>
      </c>
      <c r="L247" s="9">
        <f t="shared" si="21"/>
        <v>0</v>
      </c>
      <c r="M247" s="9">
        <f t="shared" si="21"/>
        <v>-84000</v>
      </c>
      <c r="N247" s="89" t="s">
        <v>183</v>
      </c>
    </row>
    <row r="248" spans="1:21" ht="19.95" customHeight="1" x14ac:dyDescent="0.3">
      <c r="B248" s="9">
        <f t="shared" ref="B248:M248" si="22">B44+B65+B86+B107+B128+B149+B170+B191+B212+B233</f>
        <v>0</v>
      </c>
      <c r="C248" s="9">
        <f t="shared" si="22"/>
        <v>0</v>
      </c>
      <c r="D248" s="9">
        <f t="shared" si="22"/>
        <v>0</v>
      </c>
      <c r="E248" s="9">
        <f t="shared" si="22"/>
        <v>0</v>
      </c>
      <c r="F248" s="9">
        <f t="shared" si="22"/>
        <v>-84000</v>
      </c>
      <c r="G248" s="9">
        <f t="shared" si="22"/>
        <v>0</v>
      </c>
      <c r="H248" s="35">
        <f t="shared" si="22"/>
        <v>113698.48480983499</v>
      </c>
      <c r="I248" s="36">
        <f t="shared" si="22"/>
        <v>-29698.484809834987</v>
      </c>
      <c r="J248" s="9">
        <f t="shared" si="22"/>
        <v>0</v>
      </c>
      <c r="K248" s="9">
        <f t="shared" si="22"/>
        <v>0</v>
      </c>
      <c r="L248" s="9">
        <f t="shared" si="22"/>
        <v>-29698.484809834987</v>
      </c>
      <c r="M248" s="9">
        <f t="shared" si="22"/>
        <v>29698.484809834987</v>
      </c>
      <c r="N248" s="89" t="s">
        <v>184</v>
      </c>
    </row>
    <row r="249" spans="1:21" ht="19.95" customHeight="1" x14ac:dyDescent="0.3">
      <c r="B249" s="9">
        <f t="shared" ref="B249:M249" si="23">B45+B66+B87+B108+B129+B150+B171+B192+B213+B234</f>
        <v>0</v>
      </c>
      <c r="C249" s="9">
        <f t="shared" si="23"/>
        <v>0</v>
      </c>
      <c r="D249" s="9">
        <f t="shared" si="23"/>
        <v>0</v>
      </c>
      <c r="E249" s="9">
        <f t="shared" si="23"/>
        <v>0</v>
      </c>
      <c r="F249" s="9">
        <f t="shared" si="23"/>
        <v>0</v>
      </c>
      <c r="G249" s="9">
        <f t="shared" si="23"/>
        <v>0</v>
      </c>
      <c r="H249" s="36">
        <f t="shared" si="23"/>
        <v>-29698.484809834987</v>
      </c>
      <c r="I249" s="35">
        <f t="shared" si="23"/>
        <v>29698.484809834987</v>
      </c>
      <c r="J249" s="9">
        <f t="shared" si="23"/>
        <v>0</v>
      </c>
      <c r="K249" s="9">
        <f t="shared" si="23"/>
        <v>0</v>
      </c>
      <c r="L249" s="9">
        <f t="shared" si="23"/>
        <v>29698.484809834987</v>
      </c>
      <c r="M249" s="9">
        <f t="shared" si="23"/>
        <v>-29698.484809834987</v>
      </c>
      <c r="N249" s="89" t="s">
        <v>185</v>
      </c>
    </row>
    <row r="250" spans="1:21" ht="19.95" customHeight="1" x14ac:dyDescent="0.3">
      <c r="B250" s="9">
        <f t="shared" ref="B250:M250" si="24">B46+B67+B88+B109+B130+B151+B172+B193+B214+B235</f>
        <v>-29698.484809834987</v>
      </c>
      <c r="C250" s="9">
        <f t="shared" si="24"/>
        <v>-29698.484809834987</v>
      </c>
      <c r="D250" s="9">
        <f t="shared" si="24"/>
        <v>0</v>
      </c>
      <c r="E250" s="9">
        <f t="shared" si="24"/>
        <v>0</v>
      </c>
      <c r="F250" s="9">
        <f t="shared" si="24"/>
        <v>-29698.484809834987</v>
      </c>
      <c r="G250" s="9">
        <f t="shared" si="24"/>
        <v>29698.484809834987</v>
      </c>
      <c r="H250" s="9">
        <f t="shared" si="24"/>
        <v>0</v>
      </c>
      <c r="I250" s="9">
        <f t="shared" si="24"/>
        <v>0</v>
      </c>
      <c r="J250" s="35">
        <f t="shared" si="24"/>
        <v>143396.96961966998</v>
      </c>
      <c r="K250" s="36">
        <f t="shared" si="24"/>
        <v>0</v>
      </c>
      <c r="L250" s="9">
        <f t="shared" si="24"/>
        <v>-84000</v>
      </c>
      <c r="M250" s="9">
        <f t="shared" si="24"/>
        <v>0</v>
      </c>
      <c r="N250" s="89" t="s">
        <v>186</v>
      </c>
    </row>
    <row r="251" spans="1:21" ht="19.95" customHeight="1" x14ac:dyDescent="0.3">
      <c r="B251" s="9">
        <f t="shared" ref="B251:M251" si="25">B47+B68+B89+B110+B131+B152+B173+B194+B215+B236</f>
        <v>-29698.484809834987</v>
      </c>
      <c r="C251" s="9">
        <f t="shared" si="25"/>
        <v>-29698.484809834987</v>
      </c>
      <c r="D251" s="9">
        <f t="shared" si="25"/>
        <v>0</v>
      </c>
      <c r="E251" s="9">
        <f t="shared" si="25"/>
        <v>-84000</v>
      </c>
      <c r="F251" s="9">
        <f t="shared" si="25"/>
        <v>29698.484809834987</v>
      </c>
      <c r="G251" s="9">
        <f t="shared" si="25"/>
        <v>-29698.484809834987</v>
      </c>
      <c r="H251" s="9">
        <f t="shared" si="25"/>
        <v>0</v>
      </c>
      <c r="I251" s="9">
        <f t="shared" si="25"/>
        <v>0</v>
      </c>
      <c r="J251" s="36">
        <f t="shared" si="25"/>
        <v>0</v>
      </c>
      <c r="K251" s="35">
        <f t="shared" si="25"/>
        <v>143396.96961966998</v>
      </c>
      <c r="L251" s="9">
        <f t="shared" si="25"/>
        <v>0</v>
      </c>
      <c r="M251" s="9">
        <f t="shared" si="25"/>
        <v>0</v>
      </c>
      <c r="N251" s="89" t="s">
        <v>187</v>
      </c>
    </row>
    <row r="252" spans="1:21" ht="19.95" customHeight="1" x14ac:dyDescent="0.3">
      <c r="B252" s="9">
        <f t="shared" ref="B252:M252" si="26">B48+B69+B90+B111+B132+B153+B174+B195+B216+B237</f>
        <v>0</v>
      </c>
      <c r="C252" s="9">
        <f t="shared" si="26"/>
        <v>0</v>
      </c>
      <c r="D252" s="9">
        <f t="shared" si="26"/>
        <v>-29698.484809834987</v>
      </c>
      <c r="E252" s="9">
        <f t="shared" si="26"/>
        <v>-29698.484809834987</v>
      </c>
      <c r="F252" s="9">
        <f t="shared" si="26"/>
        <v>0</v>
      </c>
      <c r="G252" s="9">
        <f t="shared" si="26"/>
        <v>0</v>
      </c>
      <c r="H252" s="9">
        <f t="shared" si="26"/>
        <v>-29698.484809834987</v>
      </c>
      <c r="I252" s="9">
        <f t="shared" si="26"/>
        <v>29698.484809834987</v>
      </c>
      <c r="J252" s="9">
        <f t="shared" si="26"/>
        <v>-84000</v>
      </c>
      <c r="K252" s="9">
        <f t="shared" si="26"/>
        <v>0</v>
      </c>
      <c r="L252" s="35">
        <f t="shared" si="26"/>
        <v>143396.96961966998</v>
      </c>
      <c r="M252" s="36">
        <f t="shared" si="26"/>
        <v>0</v>
      </c>
      <c r="N252" s="89" t="s">
        <v>188</v>
      </c>
    </row>
    <row r="253" spans="1:21" ht="19.95" customHeight="1" x14ac:dyDescent="0.3">
      <c r="B253" s="9">
        <f t="shared" ref="B253:M253" si="27">B49+B70+B91+B112+B133+B154+B175+B196+B217+B238</f>
        <v>0</v>
      </c>
      <c r="C253" s="9">
        <f t="shared" si="27"/>
        <v>0</v>
      </c>
      <c r="D253" s="9">
        <f t="shared" si="27"/>
        <v>-29698.484809834987</v>
      </c>
      <c r="E253" s="9">
        <f t="shared" si="27"/>
        <v>-29698.484809834987</v>
      </c>
      <c r="F253" s="9">
        <f t="shared" si="27"/>
        <v>0</v>
      </c>
      <c r="G253" s="9">
        <f t="shared" si="27"/>
        <v>-84000</v>
      </c>
      <c r="H253" s="9">
        <f t="shared" si="27"/>
        <v>29698.484809834987</v>
      </c>
      <c r="I253" s="9">
        <f t="shared" si="27"/>
        <v>-29698.484809834987</v>
      </c>
      <c r="J253" s="9">
        <f t="shared" si="27"/>
        <v>0</v>
      </c>
      <c r="K253" s="9">
        <f t="shared" si="27"/>
        <v>0</v>
      </c>
      <c r="L253" s="36">
        <f t="shared" si="27"/>
        <v>0</v>
      </c>
      <c r="M253" s="35">
        <f t="shared" si="27"/>
        <v>143396.96961966998</v>
      </c>
      <c r="N253" s="89" t="s">
        <v>189</v>
      </c>
    </row>
    <row r="256" spans="1:21" ht="19.95" customHeight="1" x14ac:dyDescent="0.35">
      <c r="A256" s="11" t="s">
        <v>206</v>
      </c>
      <c r="P256" s="216" t="s">
        <v>207</v>
      </c>
      <c r="Q256" s="172"/>
      <c r="R256" s="172"/>
      <c r="S256" s="172"/>
      <c r="T256" s="172"/>
      <c r="U256" s="173"/>
    </row>
    <row r="257" spans="1:21" ht="16.95" customHeight="1" x14ac:dyDescent="0.3">
      <c r="B257" s="12" t="s">
        <v>208</v>
      </c>
      <c r="C257" s="12" t="s">
        <v>178</v>
      </c>
      <c r="E257" s="37" t="str">
        <f>IF(GRAFICA_65!F14=1, B257, GRAFICA_65!H14)</f>
        <v>C1X</v>
      </c>
      <c r="P257" s="215" t="s">
        <v>376</v>
      </c>
      <c r="Q257" s="172"/>
      <c r="R257" s="172"/>
      <c r="S257" s="172"/>
      <c r="T257" s="172"/>
      <c r="U257" s="173"/>
    </row>
    <row r="258" spans="1:21" ht="16.95" customHeight="1" x14ac:dyDescent="0.3">
      <c r="B258" s="12" t="s">
        <v>210</v>
      </c>
      <c r="C258" s="12" t="s">
        <v>179</v>
      </c>
      <c r="E258" s="37" t="str">
        <f>IF(GRAFICA_65!G14=1, B258, GRAFICA_65!I14)</f>
        <v>C1Y</v>
      </c>
      <c r="P258" s="215" t="s">
        <v>211</v>
      </c>
      <c r="Q258" s="172"/>
      <c r="R258" s="172"/>
      <c r="S258" s="172"/>
      <c r="T258" s="172"/>
      <c r="U258" s="173"/>
    </row>
    <row r="259" spans="1:21" ht="16.95" customHeight="1" x14ac:dyDescent="0.3">
      <c r="B259" s="12" t="s">
        <v>212</v>
      </c>
      <c r="C259" s="12" t="s">
        <v>180</v>
      </c>
      <c r="E259" s="37">
        <f>IF(GRAFICA_65!F15=1, B259, GRAFICA_65!H15)</f>
        <v>0</v>
      </c>
      <c r="P259" s="215" t="s">
        <v>377</v>
      </c>
      <c r="Q259" s="172"/>
      <c r="R259" s="172"/>
      <c r="S259" s="172"/>
      <c r="T259" s="172"/>
      <c r="U259" s="173"/>
    </row>
    <row r="260" spans="1:21" ht="16.95" customHeight="1" x14ac:dyDescent="0.3">
      <c r="B260" s="12" t="s">
        <v>214</v>
      </c>
      <c r="C260" s="12" t="s">
        <v>181</v>
      </c>
      <c r="E260" s="37" t="str">
        <f>IF(GRAFICA_65!G15=1, B260, GRAFICA_65!I15)</f>
        <v>C2Y</v>
      </c>
      <c r="P260" s="215" t="s">
        <v>215</v>
      </c>
      <c r="Q260" s="172"/>
      <c r="R260" s="172"/>
      <c r="S260" s="172"/>
      <c r="T260" s="172"/>
      <c r="U260" s="173"/>
    </row>
    <row r="261" spans="1:21" ht="16.95" customHeight="1" x14ac:dyDescent="0.3">
      <c r="B261" s="12" t="s">
        <v>216</v>
      </c>
      <c r="C261" s="12" t="s">
        <v>182</v>
      </c>
      <c r="E261" s="37">
        <f>IF(GRAFICA_65!F16=1, B261, GRAFICA_65!H16)</f>
        <v>0</v>
      </c>
      <c r="P261" s="215" t="s">
        <v>378</v>
      </c>
      <c r="Q261" s="172"/>
      <c r="R261" s="172"/>
      <c r="S261" s="172"/>
      <c r="T261" s="172"/>
      <c r="U261" s="173"/>
    </row>
    <row r="262" spans="1:21" ht="16.95" customHeight="1" x14ac:dyDescent="0.3">
      <c r="A262" s="38" t="s">
        <v>218</v>
      </c>
      <c r="B262" s="12" t="s">
        <v>219</v>
      </c>
      <c r="C262" s="12" t="s">
        <v>183</v>
      </c>
      <c r="D262" s="13" t="s">
        <v>220</v>
      </c>
      <c r="E262" s="37" t="str">
        <f>IF(GRAFICA_65!G16=1, B262, GRAFICA_65!I16)</f>
        <v>C3Y</v>
      </c>
      <c r="P262" s="215" t="s">
        <v>379</v>
      </c>
      <c r="Q262" s="172"/>
      <c r="R262" s="172"/>
      <c r="S262" s="172"/>
      <c r="T262" s="172"/>
      <c r="U262" s="173"/>
    </row>
    <row r="263" spans="1:21" ht="16.95" customHeight="1" x14ac:dyDescent="0.3">
      <c r="B263" s="12" t="s">
        <v>221</v>
      </c>
      <c r="C263" s="12" t="s">
        <v>184</v>
      </c>
      <c r="E263" s="37">
        <f>IF(GRAFICA_65!F17=1, B263, GRAFICA_65!H17)</f>
        <v>0</v>
      </c>
      <c r="P263" s="215"/>
      <c r="Q263" s="172"/>
      <c r="R263" s="172"/>
      <c r="S263" s="172"/>
      <c r="T263" s="172"/>
      <c r="U263" s="173"/>
    </row>
    <row r="264" spans="1:21" ht="16.95" customHeight="1" x14ac:dyDescent="0.3">
      <c r="B264" s="12" t="s">
        <v>222</v>
      </c>
      <c r="C264" s="12" t="s">
        <v>185</v>
      </c>
      <c r="E264" s="37" t="str">
        <f>IF(GRAFICA_65!G17=1, B264, GRAFICA_65!I17)</f>
        <v>C4Y</v>
      </c>
      <c r="P264" s="215"/>
      <c r="Q264" s="172"/>
      <c r="R264" s="172"/>
      <c r="S264" s="172"/>
      <c r="T264" s="172"/>
      <c r="U264" s="173"/>
    </row>
    <row r="265" spans="1:21" ht="16.95" customHeight="1" x14ac:dyDescent="0.3">
      <c r="B265" s="12" t="s">
        <v>223</v>
      </c>
      <c r="C265" s="12" t="s">
        <v>186</v>
      </c>
      <c r="E265" s="37">
        <f>IF(GRAFICA_65!F18=1, B265, GRAFICA_65!H18)</f>
        <v>2500</v>
      </c>
      <c r="P265" s="215"/>
      <c r="Q265" s="172"/>
      <c r="R265" s="172"/>
      <c r="S265" s="172"/>
      <c r="T265" s="172"/>
      <c r="U265" s="173"/>
    </row>
    <row r="266" spans="1:21" ht="16.95" customHeight="1" x14ac:dyDescent="0.3">
      <c r="B266" s="12" t="s">
        <v>224</v>
      </c>
      <c r="C266" s="12" t="s">
        <v>187</v>
      </c>
      <c r="E266" s="37">
        <f>IF(GRAFICA_65!G18=1, B266, GRAFICA_65!I18)</f>
        <v>-7000</v>
      </c>
      <c r="P266" s="215"/>
      <c r="Q266" s="172"/>
      <c r="R266" s="172"/>
      <c r="S266" s="172"/>
      <c r="T266" s="172"/>
      <c r="U266" s="173"/>
    </row>
    <row r="267" spans="1:21" ht="16.95" customHeight="1" x14ac:dyDescent="0.3">
      <c r="B267" s="12" t="s">
        <v>225</v>
      </c>
      <c r="C267" s="12" t="s">
        <v>188</v>
      </c>
      <c r="E267" s="37">
        <f>IF(GRAFICA_65!F19=1, B267, GRAFICA_65!H19)</f>
        <v>0</v>
      </c>
      <c r="P267" s="215"/>
      <c r="Q267" s="172"/>
      <c r="R267" s="172"/>
      <c r="S267" s="172"/>
      <c r="T267" s="172"/>
      <c r="U267" s="173"/>
    </row>
    <row r="268" spans="1:21" ht="16.95" customHeight="1" x14ac:dyDescent="0.3">
      <c r="B268" s="12" t="s">
        <v>226</v>
      </c>
      <c r="C268" s="12" t="s">
        <v>189</v>
      </c>
      <c r="E268" s="37">
        <f>IF(GRAFICA_65!G19=1, B268, GRAFICA_65!I19)</f>
        <v>-7000</v>
      </c>
      <c r="P268" s="215"/>
      <c r="Q268" s="172"/>
      <c r="R268" s="172"/>
      <c r="S268" s="172"/>
      <c r="T268" s="172"/>
      <c r="U268" s="173"/>
    </row>
    <row r="269" spans="1:21" ht="16.95" customHeight="1" x14ac:dyDescent="0.3">
      <c r="P269" s="215"/>
      <c r="Q269" s="172"/>
      <c r="R269" s="172"/>
      <c r="S269" s="172"/>
      <c r="T269" s="172"/>
      <c r="U269" s="173"/>
    </row>
    <row r="270" spans="1:21" ht="16.95" customHeight="1" x14ac:dyDescent="0.35">
      <c r="A270" s="11" t="s">
        <v>227</v>
      </c>
      <c r="P270" s="215"/>
      <c r="Q270" s="172"/>
      <c r="R270" s="172"/>
      <c r="S270" s="172"/>
      <c r="T270" s="172"/>
      <c r="U270" s="173"/>
    </row>
    <row r="271" spans="1:21" ht="16.95" customHeight="1" x14ac:dyDescent="0.3">
      <c r="B271" s="12" t="s">
        <v>228</v>
      </c>
      <c r="C271" s="12" t="s">
        <v>178</v>
      </c>
      <c r="E271" s="39">
        <f>IF(GRAFICA_65!F14=1, 0, B271)</f>
        <v>0</v>
      </c>
      <c r="F271" s="14" t="str">
        <f>IF(E271&lt;&gt;0, COUNTIF(E$271:E271, "&lt;&gt;0"), "")</f>
        <v/>
      </c>
      <c r="G271" s="14">
        <f>IF(E271=0, COUNTIF(E$271:E271, 0), "")</f>
        <v>1</v>
      </c>
      <c r="P271" s="215"/>
      <c r="Q271" s="172"/>
      <c r="R271" s="172"/>
      <c r="S271" s="172"/>
      <c r="T271" s="172"/>
      <c r="U271" s="173"/>
    </row>
    <row r="272" spans="1:21" ht="16.95" customHeight="1" x14ac:dyDescent="0.3">
      <c r="B272" s="12" t="s">
        <v>229</v>
      </c>
      <c r="C272" s="12" t="s">
        <v>179</v>
      </c>
      <c r="E272" s="39">
        <f>IF(GRAFICA_65!G14=1, 0, B272)</f>
        <v>0</v>
      </c>
      <c r="F272" s="14" t="str">
        <f>IF(E272&lt;&gt;0, COUNTIF(E$271:E272, "&lt;&gt;0"), "")</f>
        <v/>
      </c>
      <c r="G272" s="14">
        <f>IF(E272=0, COUNTIF(E$271:E272, 0), "")</f>
        <v>2</v>
      </c>
      <c r="P272" s="215"/>
      <c r="Q272" s="172"/>
      <c r="R272" s="172"/>
      <c r="S272" s="172"/>
      <c r="T272" s="172"/>
      <c r="U272" s="173"/>
    </row>
    <row r="273" spans="1:21" ht="16.95" customHeight="1" x14ac:dyDescent="0.3">
      <c r="B273" s="12" t="s">
        <v>230</v>
      </c>
      <c r="C273" s="12" t="s">
        <v>180</v>
      </c>
      <c r="E273" s="39" t="str">
        <f>IF(GRAFICA_65!F15=1, 0, B273)</f>
        <v>D2X</v>
      </c>
      <c r="F273" s="14">
        <f>IF(E273&lt;&gt;0, COUNTIF(E$271:E273, "&lt;&gt;0"), "")</f>
        <v>1</v>
      </c>
      <c r="G273" s="14" t="str">
        <f>IF(E273=0, COUNTIF(E$271:E273, 0), "")</f>
        <v/>
      </c>
      <c r="P273" s="215"/>
      <c r="Q273" s="172"/>
      <c r="R273" s="172"/>
      <c r="S273" s="172"/>
      <c r="T273" s="172"/>
      <c r="U273" s="173"/>
    </row>
    <row r="274" spans="1:21" ht="16.95" customHeight="1" x14ac:dyDescent="0.3">
      <c r="B274" s="12" t="s">
        <v>231</v>
      </c>
      <c r="C274" s="12" t="s">
        <v>181</v>
      </c>
      <c r="E274" s="39">
        <f>IF(GRAFICA_65!G15=1, 0, B274)</f>
        <v>0</v>
      </c>
      <c r="F274" s="14" t="str">
        <f>IF(E274&lt;&gt;0, COUNTIF(E$271:E274, "&lt;&gt;0"), "")</f>
        <v/>
      </c>
      <c r="G274" s="14">
        <f>IF(E274=0, COUNTIF(E$271:E274, 0), "")</f>
        <v>3</v>
      </c>
      <c r="P274" s="215"/>
      <c r="Q274" s="172"/>
      <c r="R274" s="172"/>
      <c r="S274" s="172"/>
      <c r="T274" s="172"/>
      <c r="U274" s="173"/>
    </row>
    <row r="275" spans="1:21" ht="16.95" customHeight="1" x14ac:dyDescent="0.3">
      <c r="B275" s="12" t="s">
        <v>232</v>
      </c>
      <c r="C275" s="12" t="s">
        <v>182</v>
      </c>
      <c r="E275" s="39" t="str">
        <f>IF(GRAFICA_65!F16=1, 0, B275)</f>
        <v>D3X</v>
      </c>
      <c r="F275" s="14">
        <f>IF(E275&lt;&gt;0, COUNTIF(E$271:E275, "&lt;&gt;0"), "")</f>
        <v>2</v>
      </c>
      <c r="G275" s="14" t="str">
        <f>IF(E275=0, COUNTIF(E$271:E275, 0), "")</f>
        <v/>
      </c>
      <c r="P275" s="215"/>
      <c r="Q275" s="172"/>
      <c r="R275" s="172"/>
      <c r="S275" s="172"/>
      <c r="T275" s="172"/>
      <c r="U275" s="173"/>
    </row>
    <row r="276" spans="1:21" ht="16.95" customHeight="1" x14ac:dyDescent="0.3">
      <c r="A276" s="38" t="s">
        <v>233</v>
      </c>
      <c r="B276" s="12" t="s">
        <v>234</v>
      </c>
      <c r="C276" s="12" t="s">
        <v>183</v>
      </c>
      <c r="D276" s="13" t="s">
        <v>220</v>
      </c>
      <c r="E276" s="39">
        <f>IF(GRAFICA_65!G16=1, 0, B276)</f>
        <v>0</v>
      </c>
      <c r="F276" s="14" t="str">
        <f>IF(E276&lt;&gt;0, COUNTIF(E$271:E276, "&lt;&gt;0"), "")</f>
        <v/>
      </c>
      <c r="G276" s="14">
        <f>IF(E276=0, COUNTIF(E$271:E276, 0), "")</f>
        <v>4</v>
      </c>
      <c r="P276" s="215"/>
      <c r="Q276" s="172"/>
      <c r="R276" s="172"/>
      <c r="S276" s="172"/>
      <c r="T276" s="172"/>
      <c r="U276" s="173"/>
    </row>
    <row r="277" spans="1:21" ht="16.95" customHeight="1" x14ac:dyDescent="0.3">
      <c r="B277" s="12" t="s">
        <v>235</v>
      </c>
      <c r="C277" s="12" t="s">
        <v>184</v>
      </c>
      <c r="E277" s="39" t="str">
        <f>IF(GRAFICA_65!F17=1, 0, B277)</f>
        <v>D4X</v>
      </c>
      <c r="F277" s="14">
        <f>IF(E277&lt;&gt;0, COUNTIF(E$271:E277, "&lt;&gt;0"), "")</f>
        <v>3</v>
      </c>
      <c r="G277" s="14" t="str">
        <f>IF(E277=0, COUNTIF(E$271:E277, 0), "")</f>
        <v/>
      </c>
      <c r="P277" s="215"/>
      <c r="Q277" s="172"/>
      <c r="R277" s="172"/>
      <c r="S277" s="172"/>
      <c r="T277" s="172"/>
      <c r="U277" s="173"/>
    </row>
    <row r="278" spans="1:21" ht="16.95" customHeight="1" x14ac:dyDescent="0.3">
      <c r="B278" s="12" t="s">
        <v>236</v>
      </c>
      <c r="C278" s="12" t="s">
        <v>185</v>
      </c>
      <c r="E278" s="39">
        <f>IF(GRAFICA_65!G17=1, 0, B278)</f>
        <v>0</v>
      </c>
      <c r="F278" s="14" t="str">
        <f>IF(E278&lt;&gt;0, COUNTIF(E$271:E278, "&lt;&gt;0"), "")</f>
        <v/>
      </c>
      <c r="G278" s="14">
        <f>IF(E278=0, COUNTIF(E$271:E278, 0), "")</f>
        <v>5</v>
      </c>
      <c r="P278" s="215"/>
      <c r="Q278" s="172"/>
      <c r="R278" s="172"/>
      <c r="S278" s="172"/>
      <c r="T278" s="172"/>
      <c r="U278" s="173"/>
    </row>
    <row r="279" spans="1:21" ht="16.95" customHeight="1" x14ac:dyDescent="0.3">
      <c r="B279" s="12" t="s">
        <v>237</v>
      </c>
      <c r="C279" s="12" t="s">
        <v>186</v>
      </c>
      <c r="E279" s="39" t="str">
        <f>IF(GRAFICA_65!F18=1, 0, B279)</f>
        <v>D5X</v>
      </c>
      <c r="F279" s="14">
        <f>IF(E279&lt;&gt;0, COUNTIF(E$271:E279, "&lt;&gt;0"), "")</f>
        <v>4</v>
      </c>
      <c r="G279" s="14" t="str">
        <f>IF(E279=0, COUNTIF(E$271:E279, 0), "")</f>
        <v/>
      </c>
      <c r="P279" s="215"/>
      <c r="Q279" s="172"/>
      <c r="R279" s="172"/>
      <c r="S279" s="172"/>
      <c r="T279" s="172"/>
      <c r="U279" s="173"/>
    </row>
    <row r="280" spans="1:21" ht="16.95" customHeight="1" x14ac:dyDescent="0.3">
      <c r="B280" s="12" t="s">
        <v>238</v>
      </c>
      <c r="C280" s="12" t="s">
        <v>187</v>
      </c>
      <c r="E280" s="39" t="str">
        <f>IF(GRAFICA_65!G18=1, 0, B280)</f>
        <v>D5Y</v>
      </c>
      <c r="F280" s="14">
        <f>IF(E280&lt;&gt;0, COUNTIF(E$271:E280, "&lt;&gt;0"), "")</f>
        <v>5</v>
      </c>
      <c r="G280" s="14" t="str">
        <f>IF(E280=0, COUNTIF(E$271:E280, 0), "")</f>
        <v/>
      </c>
      <c r="P280" s="215"/>
      <c r="Q280" s="172"/>
      <c r="R280" s="172"/>
      <c r="S280" s="172"/>
      <c r="T280" s="172"/>
      <c r="U280" s="173"/>
    </row>
    <row r="281" spans="1:21" ht="16.95" customHeight="1" x14ac:dyDescent="0.3">
      <c r="B281" s="12" t="s">
        <v>239</v>
      </c>
      <c r="C281" s="12" t="s">
        <v>188</v>
      </c>
      <c r="E281" s="39" t="str">
        <f>IF(GRAFICA_65!F19=1, 0, B281)</f>
        <v>D6X</v>
      </c>
      <c r="F281" s="14">
        <f>IF(E281&lt;&gt;0, COUNTIF(E$271:E281, "&lt;&gt;0"), "")</f>
        <v>6</v>
      </c>
      <c r="G281" s="14" t="str">
        <f>IF(E281=0, COUNTIF(E$271:E281, 0), "")</f>
        <v/>
      </c>
      <c r="P281" s="215"/>
      <c r="Q281" s="172"/>
      <c r="R281" s="172"/>
      <c r="S281" s="172"/>
      <c r="T281" s="172"/>
      <c r="U281" s="173"/>
    </row>
    <row r="282" spans="1:21" ht="16.95" customHeight="1" x14ac:dyDescent="0.3">
      <c r="B282" s="12" t="s">
        <v>240</v>
      </c>
      <c r="C282" s="12" t="s">
        <v>189</v>
      </c>
      <c r="E282" s="39" t="str">
        <f>IF(GRAFICA_65!G19=1, 0, B282)</f>
        <v>D6Y</v>
      </c>
      <c r="F282" s="14">
        <f>IF(E282&lt;&gt;0, COUNTIF(E$271:E282, "&lt;&gt;0"), "")</f>
        <v>7</v>
      </c>
      <c r="G282" s="14" t="str">
        <f>IF(E282=0, COUNTIF(E$271:E282, 0), "")</f>
        <v/>
      </c>
      <c r="P282" s="215"/>
      <c r="Q282" s="172"/>
      <c r="R282" s="172"/>
      <c r="S282" s="172"/>
      <c r="T282" s="172"/>
      <c r="U282" s="173"/>
    </row>
    <row r="284" spans="1:21" ht="19.95" customHeight="1" x14ac:dyDescent="0.35">
      <c r="A284" s="15" t="s">
        <v>241</v>
      </c>
      <c r="C284" s="218" t="s">
        <v>242</v>
      </c>
      <c r="D284" s="173"/>
      <c r="E284" s="40" t="s">
        <v>243</v>
      </c>
      <c r="P284" s="216" t="s">
        <v>244</v>
      </c>
      <c r="Q284" s="172"/>
      <c r="R284" s="172"/>
      <c r="S284" s="172"/>
      <c r="T284" s="172"/>
      <c r="U284" s="173"/>
    </row>
    <row r="285" spans="1:21" ht="16.95" customHeight="1" x14ac:dyDescent="0.3">
      <c r="E285" s="40" t="s">
        <v>245</v>
      </c>
      <c r="P285" s="215" t="s">
        <v>246</v>
      </c>
      <c r="Q285" s="172"/>
      <c r="R285" s="172"/>
      <c r="S285" s="172"/>
      <c r="T285" s="172"/>
      <c r="U285" s="173"/>
    </row>
    <row r="286" spans="1:21" ht="16.95" customHeight="1" x14ac:dyDescent="0.3">
      <c r="A286" s="99" t="s">
        <v>247</v>
      </c>
      <c r="C286" s="99" t="s">
        <v>248</v>
      </c>
      <c r="P286" s="215" t="s">
        <v>250</v>
      </c>
      <c r="Q286" s="172"/>
      <c r="R286" s="172"/>
      <c r="S286" s="172"/>
      <c r="T286" s="172"/>
      <c r="U286" s="173"/>
    </row>
    <row r="287" spans="1:21" ht="16.95" customHeight="1" x14ac:dyDescent="0.3">
      <c r="A287" s="12" t="str">
        <f t="shared" ref="A287:A298" si="28">E257</f>
        <v>C1X</v>
      </c>
      <c r="C287" s="9">
        <f t="shared" ref="C287:N287" si="29">B242</f>
        <v>113698.48480983499</v>
      </c>
      <c r="D287" s="9">
        <f t="shared" si="29"/>
        <v>29698.484809834987</v>
      </c>
      <c r="E287" s="9">
        <f t="shared" si="29"/>
        <v>-84000</v>
      </c>
      <c r="F287" s="9">
        <f t="shared" si="29"/>
        <v>0</v>
      </c>
      <c r="G287" s="9">
        <f t="shared" si="29"/>
        <v>0</v>
      </c>
      <c r="H287" s="9">
        <f t="shared" si="29"/>
        <v>0</v>
      </c>
      <c r="I287" s="9">
        <f t="shared" si="29"/>
        <v>0</v>
      </c>
      <c r="J287" s="9">
        <f t="shared" si="29"/>
        <v>0</v>
      </c>
      <c r="K287" s="9">
        <f t="shared" si="29"/>
        <v>-29698.484809834987</v>
      </c>
      <c r="L287" s="9">
        <f t="shared" si="29"/>
        <v>-29698.484809834987</v>
      </c>
      <c r="M287" s="9">
        <f t="shared" si="29"/>
        <v>0</v>
      </c>
      <c r="N287" s="9">
        <f t="shared" si="29"/>
        <v>0</v>
      </c>
      <c r="O287" s="13" t="s">
        <v>251</v>
      </c>
      <c r="P287" s="219" t="s">
        <v>380</v>
      </c>
      <c r="Q287" s="172"/>
      <c r="R287" s="172"/>
      <c r="S287" s="172"/>
      <c r="T287" s="172"/>
      <c r="U287" s="173"/>
    </row>
    <row r="288" spans="1:21" ht="16.95" customHeight="1" x14ac:dyDescent="0.3">
      <c r="A288" s="12" t="str">
        <f t="shared" si="28"/>
        <v>C1Y</v>
      </c>
      <c r="C288" s="9">
        <f t="shared" ref="C288:N288" si="30">B243</f>
        <v>29698.484809834987</v>
      </c>
      <c r="D288" s="9">
        <f t="shared" si="30"/>
        <v>29698.484809834987</v>
      </c>
      <c r="E288" s="9">
        <f t="shared" si="30"/>
        <v>0</v>
      </c>
      <c r="F288" s="9">
        <f t="shared" si="30"/>
        <v>0</v>
      </c>
      <c r="G288" s="9">
        <f t="shared" si="30"/>
        <v>0</v>
      </c>
      <c r="H288" s="9">
        <f t="shared" si="30"/>
        <v>0</v>
      </c>
      <c r="I288" s="9">
        <f t="shared" si="30"/>
        <v>0</v>
      </c>
      <c r="J288" s="9">
        <f t="shared" si="30"/>
        <v>0</v>
      </c>
      <c r="K288" s="9">
        <f t="shared" si="30"/>
        <v>-29698.484809834987</v>
      </c>
      <c r="L288" s="9">
        <f t="shared" si="30"/>
        <v>-29698.484809834987</v>
      </c>
      <c r="M288" s="9">
        <f t="shared" si="30"/>
        <v>0</v>
      </c>
      <c r="N288" s="9">
        <f t="shared" si="30"/>
        <v>0</v>
      </c>
      <c r="O288" s="13" t="s">
        <v>251</v>
      </c>
      <c r="P288" s="219" t="s">
        <v>253</v>
      </c>
      <c r="Q288" s="172"/>
      <c r="R288" s="172"/>
      <c r="S288" s="172"/>
      <c r="T288" s="172"/>
      <c r="U288" s="173"/>
    </row>
    <row r="289" spans="1:21" ht="16.95" customHeight="1" x14ac:dyDescent="0.3">
      <c r="A289" s="41">
        <f t="shared" si="28"/>
        <v>0</v>
      </c>
      <c r="C289" s="9">
        <f t="shared" ref="C289:N289" si="31">B244</f>
        <v>-84000</v>
      </c>
      <c r="D289" s="9">
        <f t="shared" si="31"/>
        <v>0</v>
      </c>
      <c r="E289" s="41">
        <f t="shared" si="31"/>
        <v>197698.48480983498</v>
      </c>
      <c r="F289" s="9">
        <f t="shared" si="31"/>
        <v>29698.484809834987</v>
      </c>
      <c r="G289" s="41">
        <f t="shared" si="31"/>
        <v>-84000</v>
      </c>
      <c r="H289" s="9">
        <f t="shared" si="31"/>
        <v>0</v>
      </c>
      <c r="I289" s="41">
        <f t="shared" si="31"/>
        <v>0</v>
      </c>
      <c r="J289" s="9">
        <f t="shared" si="31"/>
        <v>0</v>
      </c>
      <c r="K289" s="41">
        <f t="shared" si="31"/>
        <v>0</v>
      </c>
      <c r="L289" s="41">
        <f t="shared" si="31"/>
        <v>0</v>
      </c>
      <c r="M289" s="41">
        <f t="shared" si="31"/>
        <v>-29698.484809834987</v>
      </c>
      <c r="N289" s="41">
        <f t="shared" si="31"/>
        <v>-29698.484809834987</v>
      </c>
      <c r="O289" s="13" t="s">
        <v>251</v>
      </c>
      <c r="P289" s="215" t="s">
        <v>254</v>
      </c>
      <c r="Q289" s="172"/>
      <c r="R289" s="172"/>
      <c r="S289" s="172"/>
      <c r="T289" s="172"/>
      <c r="U289" s="173"/>
    </row>
    <row r="290" spans="1:21" ht="16.95" customHeight="1" x14ac:dyDescent="0.3">
      <c r="A290" s="12" t="str">
        <f t="shared" si="28"/>
        <v>C2Y</v>
      </c>
      <c r="C290" s="9">
        <f t="shared" ref="C290:N290" si="32">B245</f>
        <v>0</v>
      </c>
      <c r="D290" s="9">
        <f t="shared" si="32"/>
        <v>0</v>
      </c>
      <c r="E290" s="9">
        <f t="shared" si="32"/>
        <v>29698.484809834987</v>
      </c>
      <c r="F290" s="9">
        <f t="shared" si="32"/>
        <v>113698.48480983499</v>
      </c>
      <c r="G290" s="9">
        <f t="shared" si="32"/>
        <v>0</v>
      </c>
      <c r="H290" s="9">
        <f t="shared" si="32"/>
        <v>0</v>
      </c>
      <c r="I290" s="9">
        <f t="shared" si="32"/>
        <v>0</v>
      </c>
      <c r="J290" s="9">
        <f t="shared" si="32"/>
        <v>0</v>
      </c>
      <c r="K290" s="9">
        <f t="shared" si="32"/>
        <v>0</v>
      </c>
      <c r="L290" s="9">
        <f t="shared" si="32"/>
        <v>-84000</v>
      </c>
      <c r="M290" s="9">
        <f t="shared" si="32"/>
        <v>-29698.484809834987</v>
      </c>
      <c r="N290" s="9">
        <f t="shared" si="32"/>
        <v>-29698.484809834987</v>
      </c>
      <c r="O290" s="13" t="s">
        <v>251</v>
      </c>
      <c r="P290" s="219" t="s">
        <v>381</v>
      </c>
      <c r="Q290" s="172"/>
      <c r="R290" s="172"/>
      <c r="S290" s="172"/>
      <c r="T290" s="172"/>
      <c r="U290" s="173"/>
    </row>
    <row r="291" spans="1:21" ht="16.95" customHeight="1" x14ac:dyDescent="0.3">
      <c r="A291" s="41">
        <f t="shared" si="28"/>
        <v>0</v>
      </c>
      <c r="C291" s="9">
        <f t="shared" ref="C291:N291" si="33">B246</f>
        <v>0</v>
      </c>
      <c r="D291" s="9">
        <f t="shared" si="33"/>
        <v>0</v>
      </c>
      <c r="E291" s="41">
        <f t="shared" si="33"/>
        <v>-84000</v>
      </c>
      <c r="F291" s="9">
        <f t="shared" si="33"/>
        <v>0</v>
      </c>
      <c r="G291" s="41">
        <f t="shared" si="33"/>
        <v>197698.48480983498</v>
      </c>
      <c r="H291" s="9">
        <f t="shared" si="33"/>
        <v>-29698.484809834987</v>
      </c>
      <c r="I291" s="41">
        <f t="shared" si="33"/>
        <v>-84000</v>
      </c>
      <c r="J291" s="9">
        <f t="shared" si="33"/>
        <v>0</v>
      </c>
      <c r="K291" s="41">
        <f t="shared" si="33"/>
        <v>-29698.484809834987</v>
      </c>
      <c r="L291" s="41">
        <f t="shared" si="33"/>
        <v>29698.484809834987</v>
      </c>
      <c r="M291" s="41">
        <f t="shared" si="33"/>
        <v>0</v>
      </c>
      <c r="N291" s="41">
        <f t="shared" si="33"/>
        <v>0</v>
      </c>
      <c r="O291" s="13" t="s">
        <v>251</v>
      </c>
      <c r="P291" s="215" t="s">
        <v>382</v>
      </c>
      <c r="Q291" s="172"/>
      <c r="R291" s="172"/>
      <c r="S291" s="172"/>
      <c r="T291" s="172"/>
      <c r="U291" s="173"/>
    </row>
    <row r="292" spans="1:21" ht="16.95" customHeight="1" x14ac:dyDescent="0.3">
      <c r="A292" s="12" t="str">
        <f t="shared" si="28"/>
        <v>C3Y</v>
      </c>
      <c r="C292" s="9">
        <f t="shared" ref="C292:N292" si="34">B247</f>
        <v>0</v>
      </c>
      <c r="D292" s="9">
        <f t="shared" si="34"/>
        <v>0</v>
      </c>
      <c r="E292" s="9">
        <f t="shared" si="34"/>
        <v>0</v>
      </c>
      <c r="F292" s="9">
        <f t="shared" si="34"/>
        <v>0</v>
      </c>
      <c r="G292" s="9">
        <f t="shared" si="34"/>
        <v>-29698.484809834987</v>
      </c>
      <c r="H292" s="9">
        <f t="shared" si="34"/>
        <v>113698.48480983499</v>
      </c>
      <c r="I292" s="9">
        <f t="shared" si="34"/>
        <v>0</v>
      </c>
      <c r="J292" s="9">
        <f t="shared" si="34"/>
        <v>0</v>
      </c>
      <c r="K292" s="9">
        <f t="shared" si="34"/>
        <v>29698.484809834987</v>
      </c>
      <c r="L292" s="9">
        <f t="shared" si="34"/>
        <v>-29698.484809834987</v>
      </c>
      <c r="M292" s="9">
        <f t="shared" si="34"/>
        <v>0</v>
      </c>
      <c r="N292" s="9">
        <f t="shared" si="34"/>
        <v>-84000</v>
      </c>
      <c r="O292" s="13" t="s">
        <v>251</v>
      </c>
      <c r="P292" s="219">
        <f t="shared" ref="P292:P298" si="35">E276</f>
        <v>0</v>
      </c>
      <c r="Q292" s="172"/>
      <c r="R292" s="172"/>
      <c r="S292" s="172"/>
      <c r="T292" s="172"/>
      <c r="U292" s="173"/>
    </row>
    <row r="293" spans="1:21" ht="16.95" customHeight="1" x14ac:dyDescent="0.3">
      <c r="A293" s="41">
        <f t="shared" si="28"/>
        <v>0</v>
      </c>
      <c r="B293" s="13" t="s">
        <v>220</v>
      </c>
      <c r="C293" s="9">
        <f t="shared" ref="C293:N293" si="36">B248</f>
        <v>0</v>
      </c>
      <c r="D293" s="9">
        <f t="shared" si="36"/>
        <v>0</v>
      </c>
      <c r="E293" s="41">
        <f t="shared" si="36"/>
        <v>0</v>
      </c>
      <c r="F293" s="9">
        <f t="shared" si="36"/>
        <v>0</v>
      </c>
      <c r="G293" s="41">
        <f t="shared" si="36"/>
        <v>-84000</v>
      </c>
      <c r="H293" s="9">
        <f t="shared" si="36"/>
        <v>0</v>
      </c>
      <c r="I293" s="41">
        <f t="shared" si="36"/>
        <v>113698.48480983499</v>
      </c>
      <c r="J293" s="9">
        <f t="shared" si="36"/>
        <v>-29698.484809834987</v>
      </c>
      <c r="K293" s="41">
        <f t="shared" si="36"/>
        <v>0</v>
      </c>
      <c r="L293" s="41">
        <f t="shared" si="36"/>
        <v>0</v>
      </c>
      <c r="M293" s="41">
        <f t="shared" si="36"/>
        <v>-29698.484809834987</v>
      </c>
      <c r="N293" s="41">
        <f t="shared" si="36"/>
        <v>29698.484809834987</v>
      </c>
      <c r="O293" s="13" t="s">
        <v>251</v>
      </c>
      <c r="P293" s="215" t="str">
        <f t="shared" si="35"/>
        <v>D4X</v>
      </c>
      <c r="Q293" s="172"/>
      <c r="R293" s="172"/>
      <c r="S293" s="172"/>
      <c r="T293" s="172"/>
      <c r="U293" s="173"/>
    </row>
    <row r="294" spans="1:21" ht="16.95" customHeight="1" x14ac:dyDescent="0.3">
      <c r="A294" s="12" t="str">
        <f t="shared" si="28"/>
        <v>C4Y</v>
      </c>
      <c r="C294" s="9">
        <f t="shared" ref="C294:N294" si="37">B249</f>
        <v>0</v>
      </c>
      <c r="D294" s="9">
        <f t="shared" si="37"/>
        <v>0</v>
      </c>
      <c r="E294" s="9">
        <f t="shared" si="37"/>
        <v>0</v>
      </c>
      <c r="F294" s="9">
        <f t="shared" si="37"/>
        <v>0</v>
      </c>
      <c r="G294" s="9">
        <f t="shared" si="37"/>
        <v>0</v>
      </c>
      <c r="H294" s="9">
        <f t="shared" si="37"/>
        <v>0</v>
      </c>
      <c r="I294" s="9">
        <f t="shared" si="37"/>
        <v>-29698.484809834987</v>
      </c>
      <c r="J294" s="9">
        <f t="shared" si="37"/>
        <v>29698.484809834987</v>
      </c>
      <c r="K294" s="9">
        <f t="shared" si="37"/>
        <v>0</v>
      </c>
      <c r="L294" s="9">
        <f t="shared" si="37"/>
        <v>0</v>
      </c>
      <c r="M294" s="9">
        <f t="shared" si="37"/>
        <v>29698.484809834987</v>
      </c>
      <c r="N294" s="9">
        <f t="shared" si="37"/>
        <v>-29698.484809834987</v>
      </c>
      <c r="O294" s="13" t="s">
        <v>251</v>
      </c>
      <c r="P294" s="219">
        <f t="shared" si="35"/>
        <v>0</v>
      </c>
      <c r="Q294" s="172"/>
      <c r="R294" s="172"/>
      <c r="S294" s="172"/>
      <c r="T294" s="172"/>
      <c r="U294" s="173"/>
    </row>
    <row r="295" spans="1:21" ht="16.95" customHeight="1" x14ac:dyDescent="0.3">
      <c r="A295" s="41">
        <f t="shared" si="28"/>
        <v>2500</v>
      </c>
      <c r="C295" s="9">
        <f t="shared" ref="C295:N295" si="38">B250</f>
        <v>-29698.484809834987</v>
      </c>
      <c r="D295" s="9">
        <f t="shared" si="38"/>
        <v>-29698.484809834987</v>
      </c>
      <c r="E295" s="41">
        <f t="shared" si="38"/>
        <v>0</v>
      </c>
      <c r="F295" s="9">
        <f t="shared" si="38"/>
        <v>0</v>
      </c>
      <c r="G295" s="41">
        <f t="shared" si="38"/>
        <v>-29698.484809834987</v>
      </c>
      <c r="H295" s="9">
        <f t="shared" si="38"/>
        <v>29698.484809834987</v>
      </c>
      <c r="I295" s="41">
        <f t="shared" si="38"/>
        <v>0</v>
      </c>
      <c r="J295" s="9">
        <f t="shared" si="38"/>
        <v>0</v>
      </c>
      <c r="K295" s="41">
        <f t="shared" si="38"/>
        <v>143396.96961966998</v>
      </c>
      <c r="L295" s="41">
        <f t="shared" si="38"/>
        <v>0</v>
      </c>
      <c r="M295" s="41">
        <f t="shared" si="38"/>
        <v>-84000</v>
      </c>
      <c r="N295" s="41">
        <f t="shared" si="38"/>
        <v>0</v>
      </c>
      <c r="O295" s="13" t="s">
        <v>251</v>
      </c>
      <c r="P295" s="215" t="str">
        <f t="shared" si="35"/>
        <v>D5X</v>
      </c>
      <c r="Q295" s="172"/>
      <c r="R295" s="172"/>
      <c r="S295" s="172"/>
      <c r="T295" s="172"/>
      <c r="U295" s="173"/>
    </row>
    <row r="296" spans="1:21" ht="16.95" customHeight="1" x14ac:dyDescent="0.3">
      <c r="A296" s="41">
        <f t="shared" si="28"/>
        <v>-7000</v>
      </c>
      <c r="C296" s="9">
        <f t="shared" ref="C296:N296" si="39">B251</f>
        <v>-29698.484809834987</v>
      </c>
      <c r="D296" s="9">
        <f t="shared" si="39"/>
        <v>-29698.484809834987</v>
      </c>
      <c r="E296" s="41">
        <f t="shared" si="39"/>
        <v>0</v>
      </c>
      <c r="F296" s="9">
        <f t="shared" si="39"/>
        <v>-84000</v>
      </c>
      <c r="G296" s="41">
        <f t="shared" si="39"/>
        <v>29698.484809834987</v>
      </c>
      <c r="H296" s="9">
        <f t="shared" si="39"/>
        <v>-29698.484809834987</v>
      </c>
      <c r="I296" s="41">
        <f t="shared" si="39"/>
        <v>0</v>
      </c>
      <c r="J296" s="9">
        <f t="shared" si="39"/>
        <v>0</v>
      </c>
      <c r="K296" s="41">
        <f t="shared" si="39"/>
        <v>0</v>
      </c>
      <c r="L296" s="41">
        <f t="shared" si="39"/>
        <v>143396.96961966998</v>
      </c>
      <c r="M296" s="41">
        <f t="shared" si="39"/>
        <v>0</v>
      </c>
      <c r="N296" s="41">
        <f t="shared" si="39"/>
        <v>0</v>
      </c>
      <c r="O296" s="13" t="s">
        <v>251</v>
      </c>
      <c r="P296" s="215" t="str">
        <f t="shared" si="35"/>
        <v>D5Y</v>
      </c>
      <c r="Q296" s="172"/>
      <c r="R296" s="172"/>
      <c r="S296" s="172"/>
      <c r="T296" s="172"/>
      <c r="U296" s="173"/>
    </row>
    <row r="297" spans="1:21" ht="16.95" customHeight="1" x14ac:dyDescent="0.3">
      <c r="A297" s="41">
        <f t="shared" si="28"/>
        <v>0</v>
      </c>
      <c r="C297" s="9">
        <f t="shared" ref="C297:N297" si="40">B252</f>
        <v>0</v>
      </c>
      <c r="D297" s="9">
        <f t="shared" si="40"/>
        <v>0</v>
      </c>
      <c r="E297" s="41">
        <f t="shared" si="40"/>
        <v>-29698.484809834987</v>
      </c>
      <c r="F297" s="9">
        <f t="shared" si="40"/>
        <v>-29698.484809834987</v>
      </c>
      <c r="G297" s="41">
        <f t="shared" si="40"/>
        <v>0</v>
      </c>
      <c r="H297" s="9">
        <f t="shared" si="40"/>
        <v>0</v>
      </c>
      <c r="I297" s="41">
        <f t="shared" si="40"/>
        <v>-29698.484809834987</v>
      </c>
      <c r="J297" s="9">
        <f t="shared" si="40"/>
        <v>29698.484809834987</v>
      </c>
      <c r="K297" s="41">
        <f t="shared" si="40"/>
        <v>-84000</v>
      </c>
      <c r="L297" s="41">
        <f t="shared" si="40"/>
        <v>0</v>
      </c>
      <c r="M297" s="41">
        <f t="shared" si="40"/>
        <v>143396.96961966998</v>
      </c>
      <c r="N297" s="41">
        <f t="shared" si="40"/>
        <v>0</v>
      </c>
      <c r="O297" s="13" t="s">
        <v>251</v>
      </c>
      <c r="P297" s="215" t="str">
        <f t="shared" si="35"/>
        <v>D6X</v>
      </c>
      <c r="Q297" s="172"/>
      <c r="R297" s="172"/>
      <c r="S297" s="172"/>
      <c r="T297" s="172"/>
      <c r="U297" s="173"/>
    </row>
    <row r="298" spans="1:21" ht="16.95" customHeight="1" x14ac:dyDescent="0.3">
      <c r="A298" s="41">
        <f t="shared" si="28"/>
        <v>-7000</v>
      </c>
      <c r="C298" s="9">
        <f t="shared" ref="C298:N298" si="41">B253</f>
        <v>0</v>
      </c>
      <c r="D298" s="9">
        <f t="shared" si="41"/>
        <v>0</v>
      </c>
      <c r="E298" s="41">
        <f t="shared" si="41"/>
        <v>-29698.484809834987</v>
      </c>
      <c r="F298" s="9">
        <f t="shared" si="41"/>
        <v>-29698.484809834987</v>
      </c>
      <c r="G298" s="41">
        <f t="shared" si="41"/>
        <v>0</v>
      </c>
      <c r="H298" s="9">
        <f t="shared" si="41"/>
        <v>-84000</v>
      </c>
      <c r="I298" s="41">
        <f t="shared" si="41"/>
        <v>29698.484809834987</v>
      </c>
      <c r="J298" s="9">
        <f t="shared" si="41"/>
        <v>-29698.484809834987</v>
      </c>
      <c r="K298" s="41">
        <f t="shared" si="41"/>
        <v>0</v>
      </c>
      <c r="L298" s="41">
        <f t="shared" si="41"/>
        <v>0</v>
      </c>
      <c r="M298" s="41">
        <f t="shared" si="41"/>
        <v>0</v>
      </c>
      <c r="N298" s="41">
        <f t="shared" si="41"/>
        <v>143396.96961966998</v>
      </c>
      <c r="O298" s="13" t="s">
        <v>251</v>
      </c>
      <c r="P298" s="215" t="str">
        <f t="shared" si="35"/>
        <v>D6Y</v>
      </c>
      <c r="Q298" s="172"/>
      <c r="R298" s="172"/>
      <c r="S298" s="172"/>
      <c r="T298" s="172"/>
      <c r="U298" s="173"/>
    </row>
    <row r="301" spans="1:21" ht="19.95" customHeight="1" x14ac:dyDescent="0.35">
      <c r="A301" s="15" t="s">
        <v>257</v>
      </c>
      <c r="P301" s="216" t="s">
        <v>258</v>
      </c>
      <c r="Q301" s="172"/>
      <c r="R301" s="172"/>
      <c r="S301" s="172"/>
      <c r="T301" s="172"/>
      <c r="U301" s="173"/>
    </row>
    <row r="302" spans="1:21" ht="16.95" customHeight="1" x14ac:dyDescent="0.3">
      <c r="C302" s="38" t="str">
        <f>INDEX(C$271:C$282, MATCH(1, F$271:F$282, 0))</f>
        <v>U2X</v>
      </c>
      <c r="D302" s="38" t="str">
        <f>INDEX(C$271:C$282, MATCH(2, F$271:F$282, 0))</f>
        <v>U3X</v>
      </c>
      <c r="E302" s="38" t="str">
        <f>INDEX(C$271:C$282, MATCH(3, F$271:F$282, 0))</f>
        <v>U4X</v>
      </c>
      <c r="F302" s="38" t="str">
        <f>INDEX(C$271:C$282, MATCH(4, F$271:F$282, 0))</f>
        <v>U5X</v>
      </c>
      <c r="G302" s="38" t="str">
        <f>INDEX(C$271:C$282, MATCH(5, F$271:F$282, 0))</f>
        <v>U5Y</v>
      </c>
      <c r="H302" s="38" t="str">
        <f>INDEX(C$271:C$282, MATCH(6, F$271:F$282, 0))</f>
        <v>U6X</v>
      </c>
      <c r="I302" s="38" t="str">
        <f>INDEX(C$271:C$282, MATCH(7, F$271:F$282, 0))</f>
        <v>U6Y</v>
      </c>
      <c r="P302" s="215" t="s">
        <v>383</v>
      </c>
      <c r="Q302" s="172"/>
      <c r="R302" s="172"/>
      <c r="S302" s="172"/>
      <c r="T302" s="172"/>
      <c r="U302" s="173"/>
    </row>
    <row r="303" spans="1:21" ht="16.95" customHeight="1" x14ac:dyDescent="0.3">
      <c r="A303" s="41">
        <f t="shared" ref="A303:A309" si="42">INDEX(E$257:E$268, MATCH(L303, C$257:C$268, 0))</f>
        <v>0</v>
      </c>
      <c r="C303" s="41">
        <f t="shared" ref="C303:I309" si="43">INDEX($B$242:$M$253, MATCH($L303, $N$242:$N$253, 0), MATCH(C$302, $B$241:$M$241, 0))</f>
        <v>197698.48480983498</v>
      </c>
      <c r="D303" s="41">
        <f t="shared" si="43"/>
        <v>-84000</v>
      </c>
      <c r="E303" s="41">
        <f t="shared" si="43"/>
        <v>0</v>
      </c>
      <c r="F303" s="41">
        <f t="shared" si="43"/>
        <v>0</v>
      </c>
      <c r="G303" s="41">
        <f t="shared" si="43"/>
        <v>0</v>
      </c>
      <c r="H303" s="41">
        <f t="shared" si="43"/>
        <v>-29698.484809834987</v>
      </c>
      <c r="I303" s="41">
        <f t="shared" si="43"/>
        <v>-29698.484809834987</v>
      </c>
      <c r="J303" s="13" t="s">
        <v>251</v>
      </c>
      <c r="K303" s="38" t="str">
        <f>INDEX(B$271:B$282, MATCH(1, F$271:F$282, 0))</f>
        <v>D2X</v>
      </c>
      <c r="L303" s="14" t="str">
        <f>INDEX(C$271:C$282, MATCH(1, F$271:F$282, 0))</f>
        <v>U2X</v>
      </c>
      <c r="P303" s="215" t="s">
        <v>384</v>
      </c>
      <c r="Q303" s="172"/>
      <c r="R303" s="172"/>
      <c r="S303" s="172"/>
      <c r="T303" s="172"/>
      <c r="U303" s="173"/>
    </row>
    <row r="304" spans="1:21" ht="16.95" customHeight="1" x14ac:dyDescent="0.3">
      <c r="A304" s="41">
        <f t="shared" si="42"/>
        <v>0</v>
      </c>
      <c r="C304" s="41">
        <f t="shared" si="43"/>
        <v>-84000</v>
      </c>
      <c r="D304" s="41">
        <f t="shared" si="43"/>
        <v>197698.48480983498</v>
      </c>
      <c r="E304" s="41">
        <f t="shared" si="43"/>
        <v>-84000</v>
      </c>
      <c r="F304" s="41">
        <f t="shared" si="43"/>
        <v>-29698.484809834987</v>
      </c>
      <c r="G304" s="41">
        <f t="shared" si="43"/>
        <v>29698.484809834987</v>
      </c>
      <c r="H304" s="41">
        <f t="shared" si="43"/>
        <v>0</v>
      </c>
      <c r="I304" s="41">
        <f t="shared" si="43"/>
        <v>0</v>
      </c>
      <c r="J304" s="13" t="s">
        <v>251</v>
      </c>
      <c r="K304" s="38" t="str">
        <f>INDEX(B$271:B$282, MATCH(2, F$271:F$282, 0))</f>
        <v>D3X</v>
      </c>
      <c r="L304" s="14" t="str">
        <f>INDEX(C$271:C$282, MATCH(2, F$271:F$282, 0))</f>
        <v>U3X</v>
      </c>
      <c r="P304" s="215" t="s">
        <v>385</v>
      </c>
      <c r="Q304" s="172"/>
      <c r="R304" s="172"/>
      <c r="S304" s="172"/>
      <c r="T304" s="172"/>
      <c r="U304" s="173"/>
    </row>
    <row r="305" spans="1:21" ht="16.95" customHeight="1" x14ac:dyDescent="0.3">
      <c r="A305" s="41">
        <f t="shared" si="42"/>
        <v>0</v>
      </c>
      <c r="C305" s="41">
        <f t="shared" si="43"/>
        <v>0</v>
      </c>
      <c r="D305" s="41">
        <f t="shared" si="43"/>
        <v>-84000</v>
      </c>
      <c r="E305" s="41">
        <f t="shared" si="43"/>
        <v>113698.48480983499</v>
      </c>
      <c r="F305" s="41">
        <f t="shared" si="43"/>
        <v>0</v>
      </c>
      <c r="G305" s="41">
        <f t="shared" si="43"/>
        <v>0</v>
      </c>
      <c r="H305" s="41">
        <f t="shared" si="43"/>
        <v>-29698.484809834987</v>
      </c>
      <c r="I305" s="41">
        <f t="shared" si="43"/>
        <v>29698.484809834987</v>
      </c>
      <c r="J305" s="13" t="s">
        <v>251</v>
      </c>
      <c r="K305" s="38" t="str">
        <f>INDEX(B$271:B$282, MATCH(3, F$271:F$282, 0))</f>
        <v>D4X</v>
      </c>
      <c r="L305" s="14" t="str">
        <f>INDEX(C$271:C$282, MATCH(3, F$271:F$282, 0))</f>
        <v>U4X</v>
      </c>
      <c r="P305" s="215" t="s">
        <v>386</v>
      </c>
      <c r="Q305" s="172"/>
      <c r="R305" s="172"/>
      <c r="S305" s="172"/>
      <c r="T305" s="172"/>
      <c r="U305" s="173"/>
    </row>
    <row r="306" spans="1:21" ht="16.95" customHeight="1" x14ac:dyDescent="0.3">
      <c r="A306" s="41">
        <f t="shared" si="42"/>
        <v>2500</v>
      </c>
      <c r="B306" s="13" t="s">
        <v>220</v>
      </c>
      <c r="C306" s="41">
        <f t="shared" si="43"/>
        <v>0</v>
      </c>
      <c r="D306" s="41">
        <f t="shared" si="43"/>
        <v>-29698.484809834987</v>
      </c>
      <c r="E306" s="41">
        <f t="shared" si="43"/>
        <v>0</v>
      </c>
      <c r="F306" s="41">
        <f t="shared" si="43"/>
        <v>143396.96961966998</v>
      </c>
      <c r="G306" s="41">
        <f t="shared" si="43"/>
        <v>0</v>
      </c>
      <c r="H306" s="41">
        <f t="shared" si="43"/>
        <v>-84000</v>
      </c>
      <c r="I306" s="41">
        <f t="shared" si="43"/>
        <v>0</v>
      </c>
      <c r="J306" s="13" t="s">
        <v>251</v>
      </c>
      <c r="K306" s="38" t="str">
        <f>INDEX(B$271:B$282, MATCH(4, F$271:F$282, 0))</f>
        <v>D5X</v>
      </c>
      <c r="L306" s="14" t="str">
        <f>INDEX(C$271:C$282, MATCH(4, F$271:F$282, 0))</f>
        <v>U5X</v>
      </c>
      <c r="P306" s="215" t="s">
        <v>387</v>
      </c>
      <c r="Q306" s="172"/>
      <c r="R306" s="172"/>
      <c r="S306" s="172"/>
      <c r="T306" s="172"/>
      <c r="U306" s="173"/>
    </row>
    <row r="307" spans="1:21" ht="16.95" customHeight="1" x14ac:dyDescent="0.3">
      <c r="A307" s="41">
        <f t="shared" si="42"/>
        <v>-7000</v>
      </c>
      <c r="C307" s="41">
        <f t="shared" si="43"/>
        <v>0</v>
      </c>
      <c r="D307" s="41">
        <f t="shared" si="43"/>
        <v>29698.484809834987</v>
      </c>
      <c r="E307" s="41">
        <f t="shared" si="43"/>
        <v>0</v>
      </c>
      <c r="F307" s="41">
        <f t="shared" si="43"/>
        <v>0</v>
      </c>
      <c r="G307" s="41">
        <f t="shared" si="43"/>
        <v>143396.96961966998</v>
      </c>
      <c r="H307" s="41">
        <f t="shared" si="43"/>
        <v>0</v>
      </c>
      <c r="I307" s="41">
        <f t="shared" si="43"/>
        <v>0</v>
      </c>
      <c r="J307" s="13" t="s">
        <v>251</v>
      </c>
      <c r="K307" s="38" t="str">
        <f>INDEX(B$271:B$282, MATCH(5, F$271:F$282, 0))</f>
        <v>D5Y</v>
      </c>
      <c r="L307" s="14" t="str">
        <f>INDEX(C$271:C$282, MATCH(5, F$271:F$282, 0))</f>
        <v>U5Y</v>
      </c>
      <c r="P307" s="215" t="s">
        <v>388</v>
      </c>
      <c r="Q307" s="172"/>
      <c r="R307" s="172"/>
      <c r="S307" s="172"/>
      <c r="T307" s="172"/>
      <c r="U307" s="173"/>
    </row>
    <row r="308" spans="1:21" ht="16.95" customHeight="1" x14ac:dyDescent="0.3">
      <c r="A308" s="41">
        <f t="shared" si="42"/>
        <v>0</v>
      </c>
      <c r="C308" s="41">
        <f t="shared" si="43"/>
        <v>-29698.484809834987</v>
      </c>
      <c r="D308" s="41">
        <f t="shared" si="43"/>
        <v>0</v>
      </c>
      <c r="E308" s="41">
        <f t="shared" si="43"/>
        <v>-29698.484809834987</v>
      </c>
      <c r="F308" s="41">
        <f t="shared" si="43"/>
        <v>-84000</v>
      </c>
      <c r="G308" s="41">
        <f t="shared" si="43"/>
        <v>0</v>
      </c>
      <c r="H308" s="41">
        <f t="shared" si="43"/>
        <v>143396.96961966998</v>
      </c>
      <c r="I308" s="41">
        <f t="shared" si="43"/>
        <v>0</v>
      </c>
      <c r="J308" s="13" t="s">
        <v>251</v>
      </c>
      <c r="K308" s="38" t="str">
        <f>INDEX(B$271:B$282, MATCH(6, F$271:F$282, 0))</f>
        <v>D6X</v>
      </c>
      <c r="L308" s="14" t="str">
        <f>INDEX(C$271:C$282, MATCH(6, F$271:F$282, 0))</f>
        <v>U6X</v>
      </c>
      <c r="P308" s="215"/>
      <c r="Q308" s="172"/>
      <c r="R308" s="172"/>
      <c r="S308" s="172"/>
      <c r="T308" s="172"/>
      <c r="U308" s="173"/>
    </row>
    <row r="309" spans="1:21" ht="16.95" customHeight="1" x14ac:dyDescent="0.3">
      <c r="A309" s="41">
        <f t="shared" si="42"/>
        <v>-7000</v>
      </c>
      <c r="C309" s="41">
        <f t="shared" si="43"/>
        <v>-29698.484809834987</v>
      </c>
      <c r="D309" s="41">
        <f t="shared" si="43"/>
        <v>0</v>
      </c>
      <c r="E309" s="41">
        <f t="shared" si="43"/>
        <v>29698.484809834987</v>
      </c>
      <c r="F309" s="41">
        <f t="shared" si="43"/>
        <v>0</v>
      </c>
      <c r="G309" s="41">
        <f t="shared" si="43"/>
        <v>0</v>
      </c>
      <c r="H309" s="41">
        <f t="shared" si="43"/>
        <v>0</v>
      </c>
      <c r="I309" s="41">
        <f t="shared" si="43"/>
        <v>143396.96961966998</v>
      </c>
      <c r="J309" s="13" t="s">
        <v>251</v>
      </c>
      <c r="K309" s="38" t="str">
        <f>INDEX(B$271:B$282, MATCH(7, F$271:F$282, 0))</f>
        <v>D6Y</v>
      </c>
      <c r="L309" s="14" t="str">
        <f>INDEX(C$271:C$282, MATCH(7, F$271:F$282, 0))</f>
        <v>U6Y</v>
      </c>
      <c r="P309" s="215"/>
      <c r="Q309" s="172"/>
      <c r="R309" s="172"/>
      <c r="S309" s="172"/>
      <c r="T309" s="172"/>
      <c r="U309" s="173"/>
    </row>
    <row r="310" spans="1:21" ht="16.95" customHeight="1" x14ac:dyDescent="0.3">
      <c r="P310" s="215"/>
      <c r="Q310" s="172"/>
      <c r="R310" s="172"/>
      <c r="S310" s="172"/>
      <c r="T310" s="172"/>
      <c r="U310" s="173"/>
    </row>
    <row r="311" spans="1:21" ht="16.95" customHeight="1" x14ac:dyDescent="0.3">
      <c r="C311" s="218" t="s">
        <v>263</v>
      </c>
      <c r="D311" s="172"/>
      <c r="E311" s="172"/>
      <c r="F311" s="172"/>
      <c r="G311" s="172"/>
      <c r="H311" s="172"/>
      <c r="I311" s="173"/>
      <c r="P311" s="215"/>
      <c r="Q311" s="172"/>
      <c r="R311" s="172"/>
      <c r="S311" s="172"/>
      <c r="T311" s="172"/>
      <c r="U311" s="173"/>
    </row>
    <row r="312" spans="1:21" ht="16.95" customHeight="1" x14ac:dyDescent="0.3">
      <c r="A312" s="99" t="s">
        <v>249</v>
      </c>
      <c r="C312" s="193" t="s">
        <v>264</v>
      </c>
      <c r="D312" s="175"/>
      <c r="E312" s="175"/>
      <c r="F312" s="175"/>
      <c r="G312" s="175"/>
      <c r="H312" s="175"/>
      <c r="I312" s="175"/>
      <c r="K312" s="99" t="s">
        <v>247</v>
      </c>
      <c r="P312" s="215"/>
      <c r="Q312" s="172"/>
      <c r="R312" s="172"/>
      <c r="S312" s="172"/>
      <c r="T312" s="172"/>
      <c r="U312" s="173"/>
    </row>
    <row r="313" spans="1:21" ht="16.95" customHeight="1" x14ac:dyDescent="0.3">
      <c r="A313" s="12" t="str">
        <f t="shared" ref="A313:A319" si="44">K303</f>
        <v>D2X</v>
      </c>
      <c r="C313" s="93">
        <f t="array" ref="C313:I319">MINVERSE(C303:I309)</f>
        <v>1.0287318627534732E-5</v>
      </c>
      <c r="D313" s="93">
        <v>9.4477289574059881E-6</v>
      </c>
      <c r="E313" s="93">
        <v>8.9473847439413699E-6</v>
      </c>
      <c r="F313" s="93">
        <v>6.531509171938994E-6</v>
      </c>
      <c r="G313" s="93">
        <v>-1.9566887338912908E-6</v>
      </c>
      <c r="H313" s="93">
        <v>7.8097069925020473E-6</v>
      </c>
      <c r="I313" s="93">
        <v>2.7750939363381122E-7</v>
      </c>
      <c r="K313" s="17">
        <f t="shared" ref="K313:K319" si="45">A303</f>
        <v>0</v>
      </c>
      <c r="P313" s="215"/>
      <c r="Q313" s="172"/>
      <c r="R313" s="172"/>
      <c r="S313" s="172"/>
      <c r="T313" s="172"/>
      <c r="U313" s="173"/>
    </row>
    <row r="314" spans="1:21" ht="16.95" customHeight="1" x14ac:dyDescent="0.3">
      <c r="A314" s="12" t="str">
        <f t="shared" si="44"/>
        <v>D3X</v>
      </c>
      <c r="C314" s="93">
        <v>9.4477289574059915E-6</v>
      </c>
      <c r="D314" s="93">
        <v>1.8614417776564515E-5</v>
      </c>
      <c r="E314" s="93">
        <v>1.7274483892971151E-5</v>
      </c>
      <c r="F314" s="93">
        <v>1.0804710784062466E-5</v>
      </c>
      <c r="G314" s="93">
        <v>-3.8551721493659263E-6</v>
      </c>
      <c r="H314" s="93">
        <v>1.1863604529408361E-5</v>
      </c>
      <c r="I314" s="93">
        <v>-1.6209740218408247E-6</v>
      </c>
      <c r="K314" s="17">
        <f t="shared" si="45"/>
        <v>0</v>
      </c>
      <c r="P314" s="215"/>
      <c r="Q314" s="172"/>
      <c r="R314" s="172"/>
      <c r="S314" s="172"/>
      <c r="T314" s="172"/>
      <c r="U314" s="173"/>
    </row>
    <row r="315" spans="1:21" ht="16.95" customHeight="1" x14ac:dyDescent="0.3">
      <c r="A315" s="12" t="str">
        <f t="shared" si="44"/>
        <v>D4X</v>
      </c>
      <c r="C315" s="93">
        <v>8.9473847439413699E-6</v>
      </c>
      <c r="D315" s="93">
        <v>1.7274483892971155E-5</v>
      </c>
      <c r="E315" s="93">
        <v>2.6221868636912519E-5</v>
      </c>
      <c r="F315" s="93">
        <v>1.1942388535501786E-5</v>
      </c>
      <c r="G315" s="93">
        <v>-3.5776627557321153E-6</v>
      </c>
      <c r="H315" s="93">
        <v>1.4279480101410733E-5</v>
      </c>
      <c r="I315" s="93">
        <v>-3.5776627557321153E-6</v>
      </c>
      <c r="K315" s="17">
        <f t="shared" si="45"/>
        <v>0</v>
      </c>
      <c r="P315" s="215"/>
      <c r="Q315" s="172"/>
      <c r="R315" s="172"/>
      <c r="S315" s="172"/>
      <c r="T315" s="172"/>
      <c r="U315" s="173"/>
    </row>
    <row r="316" spans="1:21" ht="16.95" customHeight="1" x14ac:dyDescent="0.3">
      <c r="A316" s="12" t="str">
        <f t="shared" si="44"/>
        <v>D5X</v>
      </c>
      <c r="B316" s="13" t="s">
        <v>220</v>
      </c>
      <c r="C316" s="93">
        <v>6.5315091719389966E-6</v>
      </c>
      <c r="D316" s="93">
        <v>1.0804710784062466E-5</v>
      </c>
      <c r="E316" s="93">
        <v>1.1942388535501788E-5</v>
      </c>
      <c r="F316" s="93">
        <v>1.7435582649771656E-5</v>
      </c>
      <c r="G316" s="93">
        <v>-2.2377288721387545E-6</v>
      </c>
      <c r="H316" s="93">
        <v>1.4039597338516811E-5</v>
      </c>
      <c r="I316" s="93">
        <v>-1.120629808376204E-6</v>
      </c>
      <c r="K316" s="17">
        <f t="shared" si="45"/>
        <v>2500</v>
      </c>
      <c r="P316" s="215"/>
      <c r="Q316" s="172"/>
      <c r="R316" s="172"/>
      <c r="S316" s="172"/>
      <c r="T316" s="172"/>
      <c r="U316" s="173"/>
    </row>
    <row r="317" spans="1:21" ht="16.95" customHeight="1" x14ac:dyDescent="0.3">
      <c r="A317" s="12" t="str">
        <f t="shared" si="44"/>
        <v>D5Y</v>
      </c>
      <c r="C317" s="93">
        <v>-1.9566887338912912E-6</v>
      </c>
      <c r="D317" s="93">
        <v>-3.8551721493659263E-6</v>
      </c>
      <c r="E317" s="93">
        <v>-3.5776627557321162E-6</v>
      </c>
      <c r="F317" s="93">
        <v>-2.2377288721387549E-6</v>
      </c>
      <c r="G317" s="93">
        <v>7.7720803617621661E-6</v>
      </c>
      <c r="H317" s="93">
        <v>-2.4570329473559111E-6</v>
      </c>
      <c r="I317" s="93">
        <v>3.3571471205046551E-7</v>
      </c>
      <c r="K317" s="17">
        <f t="shared" si="45"/>
        <v>-7000</v>
      </c>
      <c r="P317" s="215"/>
      <c r="Q317" s="172"/>
      <c r="R317" s="172"/>
      <c r="S317" s="172"/>
      <c r="T317" s="172"/>
      <c r="U317" s="173"/>
    </row>
    <row r="318" spans="1:21" ht="16.95" customHeight="1" x14ac:dyDescent="0.3">
      <c r="A318" s="12" t="str">
        <f t="shared" si="44"/>
        <v>D6X</v>
      </c>
      <c r="C318" s="93">
        <v>7.809706992502049E-6</v>
      </c>
      <c r="D318" s="93">
        <v>1.1863604529408361E-5</v>
      </c>
      <c r="E318" s="93">
        <v>1.4279480101410736E-5</v>
      </c>
      <c r="F318" s="93">
        <v>1.4039597338516811E-5</v>
      </c>
      <c r="G318" s="93">
        <v>-2.4570329473559111E-6</v>
      </c>
      <c r="H318" s="93">
        <v>1.9772674215680606E-5</v>
      </c>
      <c r="I318" s="93">
        <v>-1.3399338835933604E-6</v>
      </c>
      <c r="K318" s="17">
        <f t="shared" si="45"/>
        <v>0</v>
      </c>
      <c r="P318" s="215"/>
      <c r="Q318" s="172"/>
      <c r="R318" s="172"/>
      <c r="S318" s="172"/>
      <c r="T318" s="172"/>
      <c r="U318" s="173"/>
    </row>
    <row r="319" spans="1:21" ht="16.95" customHeight="1" x14ac:dyDescent="0.3">
      <c r="A319" s="12" t="str">
        <f t="shared" si="44"/>
        <v>D6Y</v>
      </c>
      <c r="C319" s="93">
        <v>2.7750939363381148E-7</v>
      </c>
      <c r="D319" s="93">
        <v>-1.6209740218408243E-6</v>
      </c>
      <c r="E319" s="93">
        <v>-3.5776627557321149E-6</v>
      </c>
      <c r="F319" s="93">
        <v>-1.1206298083762038E-6</v>
      </c>
      <c r="G319" s="93">
        <v>3.357147120504654E-7</v>
      </c>
      <c r="H319" s="93">
        <v>-1.33993388359336E-6</v>
      </c>
      <c r="I319" s="93">
        <v>7.7720803617621644E-6</v>
      </c>
      <c r="K319" s="17">
        <f t="shared" si="45"/>
        <v>-7000</v>
      </c>
      <c r="P319" s="215"/>
      <c r="Q319" s="172"/>
      <c r="R319" s="172"/>
      <c r="S319" s="172"/>
      <c r="T319" s="172"/>
      <c r="U319" s="173"/>
    </row>
    <row r="320" spans="1:21" ht="16.95" customHeight="1" x14ac:dyDescent="0.3">
      <c r="P320" s="215"/>
      <c r="Q320" s="172"/>
      <c r="R320" s="172"/>
      <c r="S320" s="172"/>
      <c r="T320" s="172"/>
      <c r="U320" s="173"/>
    </row>
    <row r="321" spans="1:21" ht="16.95" customHeight="1" x14ac:dyDescent="0.3">
      <c r="C321" s="218" t="s">
        <v>265</v>
      </c>
      <c r="D321" s="173"/>
      <c r="P321" s="215"/>
      <c r="Q321" s="172"/>
      <c r="R321" s="172"/>
      <c r="S321" s="172"/>
      <c r="T321" s="172"/>
      <c r="U321" s="173"/>
    </row>
    <row r="322" spans="1:21" ht="16.95" customHeight="1" x14ac:dyDescent="0.3">
      <c r="A322" s="99" t="s">
        <v>249</v>
      </c>
      <c r="C322" s="99" t="s">
        <v>266</v>
      </c>
      <c r="P322" s="215"/>
      <c r="Q322" s="172"/>
      <c r="R322" s="172"/>
      <c r="S322" s="172"/>
      <c r="T322" s="172"/>
      <c r="U322" s="173"/>
    </row>
    <row r="323" spans="1:21" ht="16.95" customHeight="1" x14ac:dyDescent="0.3">
      <c r="A323" s="12" t="str">
        <f t="shared" ref="A323:A329" si="46">A313</f>
        <v>D2X</v>
      </c>
      <c r="C323" s="94">
        <f t="array" ref="C323:C329">MMULT(C313:I319, K313:K319)</f>
        <v>2.8083028311649841E-2</v>
      </c>
      <c r="D323" s="12" t="s">
        <v>267</v>
      </c>
      <c r="P323" s="215"/>
      <c r="Q323" s="172"/>
      <c r="R323" s="172"/>
      <c r="S323" s="172"/>
      <c r="T323" s="172"/>
      <c r="U323" s="173"/>
    </row>
    <row r="324" spans="1:21" ht="16.95" customHeight="1" x14ac:dyDescent="0.3">
      <c r="A324" s="12" t="str">
        <f t="shared" si="46"/>
        <v>D3X</v>
      </c>
      <c r="C324" s="94">
        <v>6.5344800158603417E-2</v>
      </c>
      <c r="D324" s="12" t="s">
        <v>267</v>
      </c>
      <c r="P324" s="215"/>
      <c r="Q324" s="172"/>
      <c r="R324" s="172"/>
      <c r="S324" s="172"/>
      <c r="T324" s="172"/>
      <c r="U324" s="173"/>
    </row>
    <row r="325" spans="1:21" ht="16.95" customHeight="1" x14ac:dyDescent="0.3">
      <c r="A325" s="12" t="str">
        <f t="shared" si="46"/>
        <v>D4X</v>
      </c>
      <c r="C325" s="94">
        <v>7.9943249919004075E-2</v>
      </c>
      <c r="D325" s="12" t="s">
        <v>267</v>
      </c>
      <c r="P325" s="215"/>
      <c r="Q325" s="172"/>
      <c r="R325" s="172"/>
      <c r="S325" s="172"/>
      <c r="T325" s="172"/>
      <c r="U325" s="173"/>
    </row>
    <row r="326" spans="1:21" ht="16.95" customHeight="1" x14ac:dyDescent="0.3">
      <c r="A326" s="12" t="str">
        <f t="shared" si="46"/>
        <v>D5X</v>
      </c>
      <c r="B326" s="13" t="s">
        <v>220</v>
      </c>
      <c r="C326" s="94">
        <v>6.7097467388033849E-2</v>
      </c>
      <c r="D326" s="12" t="s">
        <v>267</v>
      </c>
      <c r="P326" s="215"/>
      <c r="Q326" s="172"/>
      <c r="R326" s="172"/>
      <c r="S326" s="172"/>
      <c r="T326" s="172"/>
      <c r="U326" s="173"/>
    </row>
    <row r="327" spans="1:21" ht="16.95" customHeight="1" x14ac:dyDescent="0.3">
      <c r="A327" s="12" t="str">
        <f t="shared" si="46"/>
        <v>D5Y</v>
      </c>
      <c r="C327" s="94">
        <v>-6.234888769703531E-2</v>
      </c>
      <c r="D327" s="12" t="s">
        <v>267</v>
      </c>
      <c r="P327" s="215"/>
      <c r="Q327" s="172"/>
      <c r="R327" s="172"/>
      <c r="S327" s="172"/>
      <c r="T327" s="172"/>
      <c r="U327" s="173"/>
    </row>
    <row r="328" spans="1:21" ht="16.95" customHeight="1" x14ac:dyDescent="0.3">
      <c r="A328" s="12" t="str">
        <f t="shared" si="46"/>
        <v>D6X</v>
      </c>
      <c r="C328" s="94">
        <v>6.1677761162936925E-2</v>
      </c>
      <c r="D328" s="12" t="s">
        <v>267</v>
      </c>
      <c r="P328" s="215"/>
      <c r="Q328" s="172"/>
      <c r="R328" s="172"/>
      <c r="S328" s="172"/>
      <c r="T328" s="172"/>
      <c r="U328" s="173"/>
    </row>
    <row r="329" spans="1:21" ht="16.95" customHeight="1" x14ac:dyDescent="0.3">
      <c r="A329" s="12" t="str">
        <f t="shared" si="46"/>
        <v>D6Y</v>
      </c>
      <c r="C329" s="94">
        <v>-5.9556140037628921E-2</v>
      </c>
      <c r="D329" s="12" t="s">
        <v>267</v>
      </c>
      <c r="P329" s="215"/>
      <c r="Q329" s="172"/>
      <c r="R329" s="172"/>
      <c r="S329" s="172"/>
      <c r="T329" s="172"/>
      <c r="U329" s="173"/>
    </row>
    <row r="332" spans="1:21" ht="19.95" customHeight="1" x14ac:dyDescent="0.35">
      <c r="A332" s="11" t="s">
        <v>268</v>
      </c>
      <c r="P332" s="216" t="s">
        <v>269</v>
      </c>
      <c r="Q332" s="172"/>
      <c r="R332" s="172"/>
      <c r="S332" s="172"/>
      <c r="T332" s="172"/>
      <c r="U332" s="173"/>
    </row>
    <row r="333" spans="1:21" ht="16.95" customHeight="1" x14ac:dyDescent="0.3">
      <c r="A333" s="99" t="s">
        <v>247</v>
      </c>
      <c r="K333" s="99" t="s">
        <v>249</v>
      </c>
      <c r="P333" s="215" t="s">
        <v>389</v>
      </c>
      <c r="Q333" s="172"/>
      <c r="R333" s="172"/>
      <c r="S333" s="172"/>
      <c r="T333" s="172"/>
      <c r="U333" s="173"/>
    </row>
    <row r="334" spans="1:21" ht="16.95" customHeight="1" x14ac:dyDescent="0.3">
      <c r="A334" s="18" t="str">
        <f>INDEX(B$257:B$268, MATCH(L334, C$257:C$268, 0))</f>
        <v>C1X</v>
      </c>
      <c r="C334" s="9">
        <f t="shared" ref="C334:I338" si="47">INDEX($B$242:$M$253, MATCH($L334, $N$242:$N$253, 0), MATCH(C$302, $B$241:$M$241, 0))</f>
        <v>-84000</v>
      </c>
      <c r="D334" s="9">
        <f t="shared" si="47"/>
        <v>0</v>
      </c>
      <c r="E334" s="9">
        <f t="shared" si="47"/>
        <v>0</v>
      </c>
      <c r="F334" s="9">
        <f t="shared" si="47"/>
        <v>-29698.484809834987</v>
      </c>
      <c r="G334" s="9">
        <f t="shared" si="47"/>
        <v>-29698.484809834987</v>
      </c>
      <c r="H334" s="9">
        <f t="shared" si="47"/>
        <v>0</v>
      </c>
      <c r="I334" s="9">
        <f t="shared" si="47"/>
        <v>0</v>
      </c>
      <c r="K334" s="95">
        <f t="shared" ref="K334:K340" si="48">C323</f>
        <v>2.8083028311649841E-2</v>
      </c>
      <c r="L334" s="14" t="str">
        <f>INDEX(C$271:C$282, MATCH(1, G$271:G$282, 0))</f>
        <v>U1X</v>
      </c>
      <c r="P334" s="215" t="s">
        <v>390</v>
      </c>
      <c r="Q334" s="172"/>
      <c r="R334" s="172"/>
      <c r="S334" s="172"/>
      <c r="T334" s="172"/>
      <c r="U334" s="173"/>
    </row>
    <row r="335" spans="1:21" ht="16.95" customHeight="1" x14ac:dyDescent="0.3">
      <c r="A335" s="18" t="str">
        <f>INDEX(B$257:B$268, MATCH(L335, C$257:C$268, 0))</f>
        <v>C1Y</v>
      </c>
      <c r="C335" s="9">
        <f t="shared" si="47"/>
        <v>0</v>
      </c>
      <c r="D335" s="9">
        <f t="shared" si="47"/>
        <v>0</v>
      </c>
      <c r="E335" s="9">
        <f t="shared" si="47"/>
        <v>0</v>
      </c>
      <c r="F335" s="9">
        <f t="shared" si="47"/>
        <v>-29698.484809834987</v>
      </c>
      <c r="G335" s="9">
        <f t="shared" si="47"/>
        <v>-29698.484809834987</v>
      </c>
      <c r="H335" s="9">
        <f t="shared" si="47"/>
        <v>0</v>
      </c>
      <c r="I335" s="9">
        <f t="shared" si="47"/>
        <v>0</v>
      </c>
      <c r="K335" s="95">
        <f t="shared" si="48"/>
        <v>6.5344800158603417E-2</v>
      </c>
      <c r="L335" s="14" t="str">
        <f>INDEX(C$271:C$282, MATCH(2, G$271:G$282, 0))</f>
        <v>U1Y</v>
      </c>
      <c r="P335" s="215" t="s">
        <v>391</v>
      </c>
      <c r="Q335" s="172"/>
      <c r="R335" s="172"/>
      <c r="S335" s="172"/>
      <c r="T335" s="172"/>
      <c r="U335" s="173"/>
    </row>
    <row r="336" spans="1:21" ht="16.95" customHeight="1" x14ac:dyDescent="0.3">
      <c r="A336" s="18" t="str">
        <f>INDEX(B$257:B$268, MATCH(L336, C$257:C$268, 0))</f>
        <v>C2Y</v>
      </c>
      <c r="B336" s="13" t="s">
        <v>220</v>
      </c>
      <c r="C336" s="9">
        <f t="shared" si="47"/>
        <v>29698.484809834987</v>
      </c>
      <c r="D336" s="9">
        <f t="shared" si="47"/>
        <v>0</v>
      </c>
      <c r="E336" s="9">
        <f t="shared" si="47"/>
        <v>0</v>
      </c>
      <c r="F336" s="9">
        <f t="shared" si="47"/>
        <v>0</v>
      </c>
      <c r="G336" s="9">
        <f t="shared" si="47"/>
        <v>-84000</v>
      </c>
      <c r="H336" s="9">
        <f t="shared" si="47"/>
        <v>-29698.484809834987</v>
      </c>
      <c r="I336" s="9">
        <f t="shared" si="47"/>
        <v>-29698.484809834987</v>
      </c>
      <c r="K336" s="95">
        <f t="shared" si="48"/>
        <v>7.9943249919004075E-2</v>
      </c>
      <c r="L336" s="14" t="str">
        <f>INDEX(C$271:C$282, MATCH(3, G$271:G$282, 0))</f>
        <v>U2Y</v>
      </c>
      <c r="P336" s="215" t="s">
        <v>392</v>
      </c>
      <c r="Q336" s="172"/>
      <c r="R336" s="172"/>
      <c r="S336" s="172"/>
      <c r="T336" s="172"/>
      <c r="U336" s="173"/>
    </row>
    <row r="337" spans="1:21" ht="16.95" customHeight="1" x14ac:dyDescent="0.3">
      <c r="A337" s="18" t="str">
        <f>INDEX(B$257:B$268, MATCH(L337, C$257:C$268, 0))</f>
        <v>C3Y</v>
      </c>
      <c r="C337" s="9">
        <f t="shared" si="47"/>
        <v>0</v>
      </c>
      <c r="D337" s="9">
        <f t="shared" si="47"/>
        <v>-29698.484809834987</v>
      </c>
      <c r="E337" s="9">
        <f t="shared" si="47"/>
        <v>0</v>
      </c>
      <c r="F337" s="9">
        <f t="shared" si="47"/>
        <v>29698.484809834987</v>
      </c>
      <c r="G337" s="9">
        <f t="shared" si="47"/>
        <v>-29698.484809834987</v>
      </c>
      <c r="H337" s="9">
        <f t="shared" si="47"/>
        <v>0</v>
      </c>
      <c r="I337" s="9">
        <f t="shared" si="47"/>
        <v>-84000</v>
      </c>
      <c r="K337" s="95">
        <f t="shared" si="48"/>
        <v>6.7097467388033849E-2</v>
      </c>
      <c r="L337" s="14" t="str">
        <f>INDEX(C$271:C$282, MATCH(4, G$271:G$282, 0))</f>
        <v>U3Y</v>
      </c>
      <c r="P337" s="215" t="s">
        <v>393</v>
      </c>
      <c r="Q337" s="172"/>
      <c r="R337" s="172"/>
      <c r="S337" s="172"/>
      <c r="T337" s="172"/>
      <c r="U337" s="173"/>
    </row>
    <row r="338" spans="1:21" ht="16.95" customHeight="1" x14ac:dyDescent="0.3">
      <c r="A338" s="18" t="str">
        <f>INDEX(B$257:B$268, MATCH(L338, C$257:C$268, 0))</f>
        <v>C4Y</v>
      </c>
      <c r="C338" s="9">
        <f t="shared" si="47"/>
        <v>0</v>
      </c>
      <c r="D338" s="9">
        <f t="shared" si="47"/>
        <v>0</v>
      </c>
      <c r="E338" s="9">
        <f t="shared" si="47"/>
        <v>-29698.484809834987</v>
      </c>
      <c r="F338" s="9">
        <f t="shared" si="47"/>
        <v>0</v>
      </c>
      <c r="G338" s="9">
        <f t="shared" si="47"/>
        <v>0</v>
      </c>
      <c r="H338" s="9">
        <f t="shared" si="47"/>
        <v>29698.484809834987</v>
      </c>
      <c r="I338" s="9">
        <f t="shared" si="47"/>
        <v>-29698.484809834987</v>
      </c>
      <c r="K338" s="95">
        <f t="shared" si="48"/>
        <v>-6.234888769703531E-2</v>
      </c>
      <c r="L338" s="14" t="str">
        <f>INDEX(C$271:C$282, MATCH(5, G$271:G$282, 0))</f>
        <v>U4Y</v>
      </c>
      <c r="P338" s="215" t="s">
        <v>394</v>
      </c>
      <c r="Q338" s="172"/>
      <c r="R338" s="172"/>
      <c r="S338" s="172"/>
      <c r="T338" s="172"/>
      <c r="U338" s="173"/>
    </row>
    <row r="339" spans="1:21" ht="16.95" customHeight="1" x14ac:dyDescent="0.3">
      <c r="K339" s="95">
        <f t="shared" si="48"/>
        <v>6.1677761162936925E-2</v>
      </c>
      <c r="P339" s="215"/>
      <c r="Q339" s="172"/>
      <c r="R339" s="172"/>
      <c r="S339" s="172"/>
      <c r="T339" s="172"/>
      <c r="U339" s="173"/>
    </row>
    <row r="340" spans="1:21" ht="16.95" customHeight="1" x14ac:dyDescent="0.3">
      <c r="K340" s="95">
        <f t="shared" si="48"/>
        <v>-5.9556140037628921E-2</v>
      </c>
      <c r="P340" s="215"/>
      <c r="Q340" s="172"/>
      <c r="R340" s="172"/>
      <c r="S340" s="172"/>
      <c r="T340" s="172"/>
      <c r="U340" s="173"/>
    </row>
    <row r="341" spans="1:21" ht="16.95" customHeight="1" x14ac:dyDescent="0.3">
      <c r="P341" s="215"/>
      <c r="Q341" s="172"/>
      <c r="R341" s="172"/>
      <c r="S341" s="172"/>
      <c r="T341" s="172"/>
      <c r="U341" s="173"/>
    </row>
    <row r="342" spans="1:21" ht="16.95" customHeight="1" x14ac:dyDescent="0.3">
      <c r="A342" s="12" t="str">
        <f>A334</f>
        <v>C1X</v>
      </c>
      <c r="C342" s="17">
        <f t="array" ref="C342:C346">MMULT(C334:I338, K334:K340)</f>
        <v>-2499.9999999999982</v>
      </c>
      <c r="D342" s="12" t="s">
        <v>273</v>
      </c>
      <c r="P342" s="215"/>
      <c r="Q342" s="172"/>
      <c r="R342" s="172"/>
      <c r="S342" s="172"/>
      <c r="T342" s="172"/>
      <c r="U342" s="173"/>
    </row>
    <row r="343" spans="1:21" ht="16.95" customHeight="1" x14ac:dyDescent="0.3">
      <c r="A343" s="12" t="str">
        <f>A335</f>
        <v>C1Y</v>
      </c>
      <c r="C343" s="17">
        <v>-141.02562182141105</v>
      </c>
      <c r="D343" s="12" t="s">
        <v>273</v>
      </c>
      <c r="P343" s="215"/>
      <c r="Q343" s="172"/>
      <c r="R343" s="172"/>
      <c r="S343" s="172"/>
      <c r="T343" s="172"/>
      <c r="U343" s="173"/>
    </row>
    <row r="344" spans="1:21" ht="16.95" customHeight="1" x14ac:dyDescent="0.3">
      <c r="A344" s="12" t="str">
        <f>A336</f>
        <v>C2Y</v>
      </c>
      <c r="B344" s="13" t="s">
        <v>220</v>
      </c>
      <c r="C344" s="17">
        <v>6008.3210235164797</v>
      </c>
      <c r="D344" s="12" t="s">
        <v>273</v>
      </c>
      <c r="P344" s="215"/>
      <c r="Q344" s="172"/>
      <c r="R344" s="172"/>
      <c r="S344" s="172"/>
      <c r="T344" s="172"/>
      <c r="U344" s="173"/>
    </row>
    <row r="345" spans="1:21" ht="16.95" customHeight="1" x14ac:dyDescent="0.3">
      <c r="A345" s="12" t="str">
        <f>A337</f>
        <v>C3Y</v>
      </c>
      <c r="C345" s="17">
        <v>6906.4348184312757</v>
      </c>
      <c r="D345" s="12" t="s">
        <v>273</v>
      </c>
      <c r="P345" s="215"/>
      <c r="Q345" s="172"/>
      <c r="R345" s="172"/>
      <c r="S345" s="172"/>
      <c r="T345" s="172"/>
      <c r="U345" s="173"/>
    </row>
    <row r="346" spans="1:21" ht="16.95" customHeight="1" x14ac:dyDescent="0.3">
      <c r="A346" s="12" t="str">
        <f>A338</f>
        <v>C4Y</v>
      </c>
      <c r="C346" s="17">
        <v>1226.269779873656</v>
      </c>
      <c r="D346" s="12" t="s">
        <v>273</v>
      </c>
      <c r="P346" s="215"/>
      <c r="Q346" s="172"/>
      <c r="R346" s="172"/>
      <c r="S346" s="172"/>
      <c r="T346" s="172"/>
      <c r="U346" s="173"/>
    </row>
    <row r="349" spans="1:21" ht="19.95" customHeight="1" x14ac:dyDescent="0.35">
      <c r="A349" s="11" t="s">
        <v>274</v>
      </c>
    </row>
    <row r="351" spans="1:21" ht="19.05" customHeight="1" x14ac:dyDescent="0.3">
      <c r="A351" s="12" t="s">
        <v>228</v>
      </c>
      <c r="B351" s="12" t="s">
        <v>178</v>
      </c>
      <c r="D351" s="94">
        <f t="shared" ref="D351:D362" si="49">IFERROR(INDEX(C$323:C$329, MATCH(A351, A$323:A$329, 0)), 0)</f>
        <v>0</v>
      </c>
    </row>
    <row r="352" spans="1:21" ht="19.05" customHeight="1" x14ac:dyDescent="0.3">
      <c r="A352" s="12" t="s">
        <v>229</v>
      </c>
      <c r="B352" s="12" t="s">
        <v>179</v>
      </c>
      <c r="D352" s="94">
        <f t="shared" si="49"/>
        <v>0</v>
      </c>
    </row>
    <row r="353" spans="1:21" ht="19.05" customHeight="1" x14ac:dyDescent="0.3">
      <c r="A353" s="12" t="s">
        <v>230</v>
      </c>
      <c r="B353" s="12" t="s">
        <v>180</v>
      </c>
      <c r="D353" s="94">
        <f t="shared" si="49"/>
        <v>2.8083028311649841E-2</v>
      </c>
    </row>
    <row r="354" spans="1:21" ht="19.05" customHeight="1" x14ac:dyDescent="0.3">
      <c r="A354" s="12" t="s">
        <v>231</v>
      </c>
      <c r="B354" s="12" t="s">
        <v>181</v>
      </c>
      <c r="D354" s="94">
        <f t="shared" si="49"/>
        <v>0</v>
      </c>
    </row>
    <row r="355" spans="1:21" ht="19.05" customHeight="1" x14ac:dyDescent="0.3">
      <c r="A355" s="12" t="s">
        <v>232</v>
      </c>
      <c r="B355" s="12" t="s">
        <v>182</v>
      </c>
      <c r="D355" s="94">
        <f t="shared" si="49"/>
        <v>6.5344800158603417E-2</v>
      </c>
    </row>
    <row r="356" spans="1:21" ht="19.05" customHeight="1" x14ac:dyDescent="0.3">
      <c r="A356" s="12" t="s">
        <v>234</v>
      </c>
      <c r="B356" s="12" t="s">
        <v>183</v>
      </c>
      <c r="D356" s="94">
        <f t="shared" si="49"/>
        <v>0</v>
      </c>
    </row>
    <row r="357" spans="1:21" ht="19.05" customHeight="1" x14ac:dyDescent="0.3">
      <c r="A357" s="12" t="s">
        <v>235</v>
      </c>
      <c r="B357" s="12" t="s">
        <v>184</v>
      </c>
      <c r="D357" s="94">
        <f t="shared" si="49"/>
        <v>7.9943249919004075E-2</v>
      </c>
    </row>
    <row r="358" spans="1:21" ht="19.05" customHeight="1" x14ac:dyDescent="0.3">
      <c r="A358" s="12" t="s">
        <v>236</v>
      </c>
      <c r="B358" s="12" t="s">
        <v>185</v>
      </c>
      <c r="D358" s="94">
        <f t="shared" si="49"/>
        <v>0</v>
      </c>
    </row>
    <row r="359" spans="1:21" ht="19.05" customHeight="1" x14ac:dyDescent="0.3">
      <c r="A359" s="12" t="s">
        <v>237</v>
      </c>
      <c r="B359" s="12" t="s">
        <v>186</v>
      </c>
      <c r="D359" s="94">
        <f t="shared" si="49"/>
        <v>6.7097467388033849E-2</v>
      </c>
    </row>
    <row r="360" spans="1:21" ht="19.05" customHeight="1" x14ac:dyDescent="0.3">
      <c r="A360" s="12" t="s">
        <v>238</v>
      </c>
      <c r="B360" s="12" t="s">
        <v>187</v>
      </c>
      <c r="D360" s="94">
        <f t="shared" si="49"/>
        <v>-6.234888769703531E-2</v>
      </c>
    </row>
    <row r="361" spans="1:21" ht="19.05" customHeight="1" x14ac:dyDescent="0.3">
      <c r="A361" s="12" t="s">
        <v>239</v>
      </c>
      <c r="B361" s="12" t="s">
        <v>188</v>
      </c>
      <c r="D361" s="94">
        <f t="shared" si="49"/>
        <v>6.1677761162936925E-2</v>
      </c>
    </row>
    <row r="362" spans="1:21" ht="19.05" customHeight="1" x14ac:dyDescent="0.3">
      <c r="A362" s="12" t="s">
        <v>240</v>
      </c>
      <c r="B362" s="12" t="s">
        <v>189</v>
      </c>
      <c r="D362" s="94">
        <f t="shared" si="49"/>
        <v>-5.9556140037628921E-2</v>
      </c>
    </row>
    <row r="365" spans="1:21" ht="19.95" customHeight="1" x14ac:dyDescent="0.35">
      <c r="A365" s="11" t="s">
        <v>275</v>
      </c>
      <c r="P365" s="216" t="s">
        <v>276</v>
      </c>
      <c r="Q365" s="172"/>
      <c r="R365" s="172"/>
      <c r="S365" s="172"/>
      <c r="T365" s="172"/>
      <c r="U365" s="173"/>
    </row>
    <row r="366" spans="1:21" ht="16.95" customHeight="1" x14ac:dyDescent="0.3">
      <c r="P366" s="215" t="s">
        <v>395</v>
      </c>
      <c r="Q366" s="172"/>
      <c r="R366" s="172"/>
      <c r="S366" s="172"/>
      <c r="T366" s="172"/>
      <c r="U366" s="173"/>
    </row>
    <row r="367" spans="1:21" ht="16.95" customHeight="1" x14ac:dyDescent="0.3">
      <c r="A367" s="19" t="s">
        <v>278</v>
      </c>
      <c r="C367" s="19" t="s">
        <v>279</v>
      </c>
      <c r="D367" s="19" t="s">
        <v>280</v>
      </c>
      <c r="E367" s="19" t="s">
        <v>279</v>
      </c>
      <c r="F367" s="19" t="s">
        <v>280</v>
      </c>
      <c r="G367" s="19" t="s">
        <v>249</v>
      </c>
      <c r="P367" s="215" t="s">
        <v>396</v>
      </c>
      <c r="Q367" s="172"/>
      <c r="R367" s="172"/>
      <c r="S367" s="172"/>
      <c r="T367" s="172"/>
      <c r="U367" s="173"/>
    </row>
    <row r="368" spans="1:21" ht="16.95" customHeight="1" x14ac:dyDescent="0.3">
      <c r="C368" s="19" t="s">
        <v>282</v>
      </c>
      <c r="D368" s="19" t="s">
        <v>282</v>
      </c>
      <c r="E368" s="19" t="s">
        <v>283</v>
      </c>
      <c r="F368" s="19" t="s">
        <v>283</v>
      </c>
      <c r="P368" s="215" t="s">
        <v>397</v>
      </c>
      <c r="Q368" s="172"/>
      <c r="R368" s="172"/>
      <c r="S368" s="172"/>
      <c r="T368" s="172"/>
      <c r="U368" s="173"/>
    </row>
    <row r="369" spans="1:21" ht="16.95" customHeight="1" x14ac:dyDescent="0.3">
      <c r="A369" s="17">
        <f>N6</f>
        <v>84000</v>
      </c>
      <c r="C369" s="92">
        <f>-J6</f>
        <v>-1</v>
      </c>
      <c r="D369" s="92">
        <f>-K6</f>
        <v>0</v>
      </c>
      <c r="E369" s="92">
        <f>J6</f>
        <v>1</v>
      </c>
      <c r="F369" s="92">
        <f>K6</f>
        <v>0</v>
      </c>
      <c r="G369" s="96">
        <f>IFERROR(VLOOKUP(H369, A$351:D$362, 4, FALSE), 0)</f>
        <v>0</v>
      </c>
      <c r="H369" s="12" t="str">
        <f>"D" &amp; C19 &amp; "X"</f>
        <v>D1X</v>
      </c>
      <c r="P369" s="215" t="s">
        <v>398</v>
      </c>
      <c r="Q369" s="172"/>
      <c r="R369" s="172"/>
      <c r="S369" s="172"/>
      <c r="T369" s="172"/>
      <c r="U369" s="173"/>
    </row>
    <row r="370" spans="1:21" ht="16.95" customHeight="1" x14ac:dyDescent="0.3">
      <c r="A370" s="99" t="s">
        <v>285</v>
      </c>
      <c r="B370" s="97">
        <f>(MMULT(C369:F369, G369:G372)*A369)</f>
        <v>2358.9743781785864</v>
      </c>
      <c r="G370" s="96">
        <f>IFERROR(VLOOKUP(H370, A$351:D$362, 4, FALSE), 0)</f>
        <v>0</v>
      </c>
      <c r="H370" s="12" t="str">
        <f>"D" &amp; D19 &amp; "Y"</f>
        <v>D1Y</v>
      </c>
      <c r="P370" s="215" t="s">
        <v>399</v>
      </c>
      <c r="Q370" s="172"/>
      <c r="R370" s="172"/>
      <c r="S370" s="172"/>
      <c r="T370" s="172"/>
      <c r="U370" s="173"/>
    </row>
    <row r="371" spans="1:21" ht="16.95" customHeight="1" x14ac:dyDescent="0.3">
      <c r="G371" s="96">
        <f>IFERROR(VLOOKUP(H371, A$351:D$362, 4, FALSE), 0)</f>
        <v>2.8083028311649841E-2</v>
      </c>
      <c r="H371" s="12" t="str">
        <f>"D" &amp; E19 &amp; "X"</f>
        <v>D2X</v>
      </c>
      <c r="P371" s="215" t="s">
        <v>400</v>
      </c>
      <c r="Q371" s="172"/>
      <c r="R371" s="172"/>
      <c r="S371" s="172"/>
      <c r="T371" s="172"/>
      <c r="U371" s="173"/>
    </row>
    <row r="372" spans="1:21" ht="16.95" customHeight="1" x14ac:dyDescent="0.3">
      <c r="G372" s="96">
        <f>IFERROR(VLOOKUP(H372, A$351:D$362, 4, FALSE), 0)</f>
        <v>0</v>
      </c>
      <c r="H372" s="12" t="str">
        <f>"D" &amp; F19 &amp; "Y"</f>
        <v>D2Y</v>
      </c>
      <c r="P372" s="215" t="s">
        <v>401</v>
      </c>
      <c r="Q372" s="172"/>
      <c r="R372" s="172"/>
      <c r="S372" s="172"/>
      <c r="T372" s="172"/>
      <c r="U372" s="173"/>
    </row>
    <row r="373" spans="1:21" ht="16.95" customHeight="1" x14ac:dyDescent="0.3">
      <c r="B373" s="99" t="s">
        <v>273</v>
      </c>
      <c r="C373" s="178" t="str">
        <f>IF(B370&gt;0.001,"BARRA A TRACCIÓN (+)",IF(B370&lt;-0.001,"BARRA A COMPRESIÓN (-)","BARRA DE FUERZA NULA"))</f>
        <v>BARRA A TRACCIÓN (+)</v>
      </c>
      <c r="D373" s="172"/>
      <c r="E373" s="172"/>
      <c r="F373" s="173"/>
      <c r="P373" s="215" t="s">
        <v>402</v>
      </c>
      <c r="Q373" s="172"/>
      <c r="R373" s="172"/>
      <c r="S373" s="172"/>
      <c r="T373" s="172"/>
      <c r="U373" s="173"/>
    </row>
    <row r="374" spans="1:21" ht="16.95" customHeight="1" x14ac:dyDescent="0.3">
      <c r="P374" s="215" t="s">
        <v>403</v>
      </c>
      <c r="Q374" s="172"/>
      <c r="R374" s="172"/>
      <c r="S374" s="172"/>
      <c r="T374" s="172"/>
      <c r="U374" s="173"/>
    </row>
    <row r="375" spans="1:21" ht="16.95" customHeight="1" x14ac:dyDescent="0.3">
      <c r="A375" s="19" t="s">
        <v>278</v>
      </c>
      <c r="C375" s="19" t="s">
        <v>279</v>
      </c>
      <c r="D375" s="19" t="s">
        <v>280</v>
      </c>
      <c r="E375" s="19" t="s">
        <v>279</v>
      </c>
      <c r="F375" s="19" t="s">
        <v>280</v>
      </c>
      <c r="G375" s="19" t="s">
        <v>249</v>
      </c>
      <c r="P375" s="215"/>
      <c r="Q375" s="172"/>
      <c r="R375" s="172"/>
      <c r="S375" s="172"/>
      <c r="T375" s="172"/>
      <c r="U375" s="173"/>
    </row>
    <row r="376" spans="1:21" ht="16.95" customHeight="1" x14ac:dyDescent="0.3">
      <c r="C376" s="19" t="s">
        <v>282</v>
      </c>
      <c r="D376" s="19" t="s">
        <v>282</v>
      </c>
      <c r="E376" s="19" t="s">
        <v>283</v>
      </c>
      <c r="F376" s="19" t="s">
        <v>283</v>
      </c>
      <c r="P376" s="215"/>
      <c r="Q376" s="172"/>
      <c r="R376" s="172"/>
      <c r="S376" s="172"/>
      <c r="T376" s="172"/>
      <c r="U376" s="173"/>
    </row>
    <row r="377" spans="1:21" ht="16.95" customHeight="1" x14ac:dyDescent="0.3">
      <c r="A377" s="17">
        <f>N7</f>
        <v>84000</v>
      </c>
      <c r="C377" s="92">
        <f>-J7</f>
        <v>-1</v>
      </c>
      <c r="D377" s="92">
        <f>-K7</f>
        <v>0</v>
      </c>
      <c r="E377" s="92">
        <f>J7</f>
        <v>1</v>
      </c>
      <c r="F377" s="92">
        <f>K7</f>
        <v>0</v>
      </c>
      <c r="G377" s="96">
        <f>IFERROR(VLOOKUP(H377, A$351:D$362, 4, FALSE), 0)</f>
        <v>2.8083028311649841E-2</v>
      </c>
      <c r="H377" s="12" t="str">
        <f>"D" &amp; C20 &amp; "X"</f>
        <v>D2X</v>
      </c>
      <c r="P377" s="215"/>
      <c r="Q377" s="172"/>
      <c r="R377" s="172"/>
      <c r="S377" s="172"/>
      <c r="T377" s="172"/>
      <c r="U377" s="173"/>
    </row>
    <row r="378" spans="1:21" ht="16.95" customHeight="1" x14ac:dyDescent="0.3">
      <c r="A378" s="99" t="s">
        <v>286</v>
      </c>
      <c r="B378" s="97">
        <f>(MMULT(C377:F377, G377:G380)*A377)</f>
        <v>3129.9888351441004</v>
      </c>
      <c r="G378" s="96">
        <f>IFERROR(VLOOKUP(H378, A$351:D$362, 4, FALSE), 0)</f>
        <v>0</v>
      </c>
      <c r="H378" s="12" t="str">
        <f>"D" &amp; D20 &amp; "Y"</f>
        <v>D2Y</v>
      </c>
      <c r="P378" s="215"/>
      <c r="Q378" s="172"/>
      <c r="R378" s="172"/>
      <c r="S378" s="172"/>
      <c r="T378" s="172"/>
      <c r="U378" s="173"/>
    </row>
    <row r="379" spans="1:21" ht="16.95" customHeight="1" x14ac:dyDescent="0.3">
      <c r="G379" s="96">
        <f>IFERROR(VLOOKUP(H379, A$351:D$362, 4, FALSE), 0)</f>
        <v>6.5344800158603417E-2</v>
      </c>
      <c r="H379" s="12" t="str">
        <f>"D" &amp; E20 &amp; "X"</f>
        <v>D3X</v>
      </c>
      <c r="P379" s="215"/>
      <c r="Q379" s="172"/>
      <c r="R379" s="172"/>
      <c r="S379" s="172"/>
      <c r="T379" s="172"/>
      <c r="U379" s="173"/>
    </row>
    <row r="380" spans="1:21" ht="16.95" customHeight="1" x14ac:dyDescent="0.3">
      <c r="G380" s="96">
        <f>IFERROR(VLOOKUP(H380, A$351:D$362, 4, FALSE), 0)</f>
        <v>0</v>
      </c>
      <c r="H380" s="12" t="str">
        <f>"D" &amp; F20 &amp; "Y"</f>
        <v>D3Y</v>
      </c>
      <c r="P380" s="215"/>
      <c r="Q380" s="172"/>
      <c r="R380" s="172"/>
      <c r="S380" s="172"/>
      <c r="T380" s="172"/>
      <c r="U380" s="173"/>
    </row>
    <row r="381" spans="1:21" ht="16.95" customHeight="1" x14ac:dyDescent="0.3">
      <c r="B381" s="99" t="s">
        <v>273</v>
      </c>
      <c r="C381" s="178" t="str">
        <f>IF(B378&gt;0.001,"BARRA A TRACCIÓN (+)",IF(B378&lt;-0.001,"BARRA A COMPRESIÓN (-)","BARRA DE FUERZA NULA"))</f>
        <v>BARRA A TRACCIÓN (+)</v>
      </c>
      <c r="D381" s="172"/>
      <c r="E381" s="172"/>
      <c r="F381" s="173"/>
      <c r="P381" s="215"/>
      <c r="Q381" s="172"/>
      <c r="R381" s="172"/>
      <c r="S381" s="172"/>
      <c r="T381" s="172"/>
      <c r="U381" s="173"/>
    </row>
    <row r="382" spans="1:21" ht="16.95" customHeight="1" x14ac:dyDescent="0.3">
      <c r="P382" s="215"/>
      <c r="Q382" s="172"/>
      <c r="R382" s="172"/>
      <c r="S382" s="172"/>
      <c r="T382" s="172"/>
      <c r="U382" s="173"/>
    </row>
    <row r="383" spans="1:21" ht="16.95" customHeight="1" x14ac:dyDescent="0.3">
      <c r="A383" s="19" t="s">
        <v>278</v>
      </c>
      <c r="C383" s="19" t="s">
        <v>279</v>
      </c>
      <c r="D383" s="19" t="s">
        <v>280</v>
      </c>
      <c r="E383" s="19" t="s">
        <v>279</v>
      </c>
      <c r="F383" s="19" t="s">
        <v>280</v>
      </c>
      <c r="G383" s="19" t="s">
        <v>249</v>
      </c>
      <c r="P383" s="215"/>
      <c r="Q383" s="172"/>
      <c r="R383" s="172"/>
      <c r="S383" s="172"/>
      <c r="T383" s="172"/>
      <c r="U383" s="173"/>
    </row>
    <row r="384" spans="1:21" ht="16.95" customHeight="1" x14ac:dyDescent="0.3">
      <c r="C384" s="19" t="s">
        <v>282</v>
      </c>
      <c r="D384" s="19" t="s">
        <v>282</v>
      </c>
      <c r="E384" s="19" t="s">
        <v>283</v>
      </c>
      <c r="F384" s="19" t="s">
        <v>283</v>
      </c>
      <c r="P384" s="215"/>
      <c r="Q384" s="172"/>
      <c r="R384" s="172"/>
      <c r="S384" s="172"/>
      <c r="T384" s="172"/>
      <c r="U384" s="173"/>
    </row>
    <row r="385" spans="1:21" ht="16.95" customHeight="1" x14ac:dyDescent="0.3">
      <c r="A385" s="17">
        <f>N8</f>
        <v>84000</v>
      </c>
      <c r="C385" s="92">
        <f>-J8</f>
        <v>-1</v>
      </c>
      <c r="D385" s="92">
        <f>-K8</f>
        <v>0</v>
      </c>
      <c r="E385" s="92">
        <f>J8</f>
        <v>1</v>
      </c>
      <c r="F385" s="92">
        <f>K8</f>
        <v>0</v>
      </c>
      <c r="G385" s="96">
        <f>IFERROR(VLOOKUP(H385, A$351:D$362, 4, FALSE), 0)</f>
        <v>6.5344800158603417E-2</v>
      </c>
      <c r="H385" s="12" t="str">
        <f>"D" &amp; C21 &amp; "X"</f>
        <v>D3X</v>
      </c>
      <c r="P385" s="215"/>
      <c r="Q385" s="172"/>
      <c r="R385" s="172"/>
      <c r="S385" s="172"/>
      <c r="T385" s="172"/>
      <c r="U385" s="173"/>
    </row>
    <row r="386" spans="1:21" ht="16.95" customHeight="1" x14ac:dyDescent="0.3">
      <c r="A386" s="99" t="s">
        <v>287</v>
      </c>
      <c r="B386" s="97">
        <f>(MMULT(C385:F385, G385:G388)*A385)</f>
        <v>1226.2697798736554</v>
      </c>
      <c r="G386" s="96">
        <f>IFERROR(VLOOKUP(H386, A$351:D$362, 4, FALSE), 0)</f>
        <v>0</v>
      </c>
      <c r="H386" s="12" t="str">
        <f>"D" &amp; D21 &amp; "Y"</f>
        <v>D3Y</v>
      </c>
      <c r="P386" s="215"/>
      <c r="Q386" s="172"/>
      <c r="R386" s="172"/>
      <c r="S386" s="172"/>
      <c r="T386" s="172"/>
      <c r="U386" s="173"/>
    </row>
    <row r="387" spans="1:21" ht="16.95" customHeight="1" x14ac:dyDescent="0.3">
      <c r="G387" s="96">
        <f>IFERROR(VLOOKUP(H387, A$351:D$362, 4, FALSE), 0)</f>
        <v>7.9943249919004075E-2</v>
      </c>
      <c r="H387" s="12" t="str">
        <f>"D" &amp; E21 &amp; "X"</f>
        <v>D4X</v>
      </c>
      <c r="P387" s="215"/>
      <c r="Q387" s="172"/>
      <c r="R387" s="172"/>
      <c r="S387" s="172"/>
      <c r="T387" s="172"/>
      <c r="U387" s="173"/>
    </row>
    <row r="388" spans="1:21" ht="16.95" customHeight="1" x14ac:dyDescent="0.3">
      <c r="G388" s="96">
        <f>IFERROR(VLOOKUP(H388, A$351:D$362, 4, FALSE), 0)</f>
        <v>0</v>
      </c>
      <c r="H388" s="12" t="str">
        <f>"D" &amp; F21 &amp; "Y"</f>
        <v>D4Y</v>
      </c>
      <c r="P388" s="215"/>
      <c r="Q388" s="172"/>
      <c r="R388" s="172"/>
      <c r="S388" s="172"/>
      <c r="T388" s="172"/>
      <c r="U388" s="173"/>
    </row>
    <row r="389" spans="1:21" ht="16.95" customHeight="1" x14ac:dyDescent="0.3">
      <c r="B389" s="99" t="s">
        <v>273</v>
      </c>
      <c r="C389" s="178" t="str">
        <f>IF(B386&gt;0.001,"BARRA A TRACCIÓN (+)",IF(B386&lt;-0.001,"BARRA A COMPRESIÓN (-)","BARRA DE FUERZA NULA"))</f>
        <v>BARRA A TRACCIÓN (+)</v>
      </c>
      <c r="D389" s="172"/>
      <c r="E389" s="172"/>
      <c r="F389" s="173"/>
      <c r="P389" s="215"/>
      <c r="Q389" s="172"/>
      <c r="R389" s="172"/>
      <c r="S389" s="172"/>
      <c r="T389" s="172"/>
      <c r="U389" s="173"/>
    </row>
    <row r="390" spans="1:21" ht="16.95" customHeight="1" x14ac:dyDescent="0.3">
      <c r="P390" s="215"/>
      <c r="Q390" s="172"/>
      <c r="R390" s="172"/>
      <c r="S390" s="172"/>
      <c r="T390" s="172"/>
      <c r="U390" s="173"/>
    </row>
    <row r="391" spans="1:21" ht="18" customHeight="1" x14ac:dyDescent="0.3">
      <c r="A391" s="19" t="s">
        <v>278</v>
      </c>
      <c r="C391" s="19" t="s">
        <v>279</v>
      </c>
      <c r="D391" s="19" t="s">
        <v>280</v>
      </c>
      <c r="E391" s="19" t="s">
        <v>279</v>
      </c>
      <c r="F391" s="19" t="s">
        <v>280</v>
      </c>
      <c r="G391" s="19" t="s">
        <v>249</v>
      </c>
    </row>
    <row r="392" spans="1:21" ht="16.05" customHeight="1" x14ac:dyDescent="0.3">
      <c r="C392" s="19" t="s">
        <v>282</v>
      </c>
      <c r="D392" s="19" t="s">
        <v>282</v>
      </c>
      <c r="E392" s="19" t="s">
        <v>283</v>
      </c>
      <c r="F392" s="19" t="s">
        <v>283</v>
      </c>
    </row>
    <row r="393" spans="1:21" ht="19.95" customHeight="1" x14ac:dyDescent="0.3">
      <c r="A393" s="17">
        <f>N9</f>
        <v>84000</v>
      </c>
      <c r="C393" s="92">
        <f>-J9</f>
        <v>-1</v>
      </c>
      <c r="D393" s="92">
        <f>-K9</f>
        <v>0</v>
      </c>
      <c r="E393" s="92">
        <f>J9</f>
        <v>1</v>
      </c>
      <c r="F393" s="92">
        <f>K9</f>
        <v>0</v>
      </c>
      <c r="G393" s="96">
        <f>IFERROR(VLOOKUP(H393, A$351:D$362, 4, FALSE), 0)</f>
        <v>6.7097467388033849E-2</v>
      </c>
      <c r="H393" s="12" t="str">
        <f>"D" &amp; C22 &amp; "X"</f>
        <v>D5X</v>
      </c>
    </row>
    <row r="394" spans="1:21" ht="19.95" customHeight="1" x14ac:dyDescent="0.3">
      <c r="A394" s="99" t="s">
        <v>288</v>
      </c>
      <c r="B394" s="97">
        <f>(MMULT(C393:F393, G393:G396)*A393)</f>
        <v>-455.25532290814158</v>
      </c>
      <c r="G394" s="96">
        <f>IFERROR(VLOOKUP(H394, A$351:D$362, 4, FALSE), 0)</f>
        <v>-6.234888769703531E-2</v>
      </c>
      <c r="H394" s="12" t="str">
        <f>"D" &amp; D22 &amp; "Y"</f>
        <v>D5Y</v>
      </c>
    </row>
    <row r="395" spans="1:21" ht="19.95" customHeight="1" x14ac:dyDescent="0.3">
      <c r="G395" s="96">
        <f>IFERROR(VLOOKUP(H395, A$351:D$362, 4, FALSE), 0)</f>
        <v>6.1677761162936925E-2</v>
      </c>
      <c r="H395" s="12" t="str">
        <f>"D" &amp; E22 &amp; "X"</f>
        <v>D6X</v>
      </c>
    </row>
    <row r="396" spans="1:21" ht="19.95" customHeight="1" x14ac:dyDescent="0.3">
      <c r="G396" s="96">
        <f>IFERROR(VLOOKUP(H396, A$351:D$362, 4, FALSE), 0)</f>
        <v>-5.9556140037628921E-2</v>
      </c>
      <c r="H396" s="12" t="str">
        <f>"D" &amp; F22 &amp; "Y"</f>
        <v>D6Y</v>
      </c>
    </row>
    <row r="397" spans="1:21" ht="19.95" customHeight="1" x14ac:dyDescent="0.3">
      <c r="B397" s="99" t="s">
        <v>273</v>
      </c>
      <c r="C397" s="178" t="str">
        <f>IF(B394&gt;0.001,"BARRA A TRACCIÓN (+)",IF(B394&lt;-0.001,"BARRA A COMPRESIÓN (-)","BARRA DE FUERZA NULA"))</f>
        <v>BARRA A COMPRESIÓN (-)</v>
      </c>
      <c r="D397" s="172"/>
      <c r="E397" s="172"/>
      <c r="F397" s="173"/>
    </row>
    <row r="399" spans="1:21" ht="18" customHeight="1" x14ac:dyDescent="0.3">
      <c r="A399" s="19" t="s">
        <v>278</v>
      </c>
      <c r="C399" s="19" t="s">
        <v>279</v>
      </c>
      <c r="D399" s="19" t="s">
        <v>280</v>
      </c>
      <c r="E399" s="19" t="s">
        <v>279</v>
      </c>
      <c r="F399" s="19" t="s">
        <v>280</v>
      </c>
      <c r="G399" s="19" t="s">
        <v>249</v>
      </c>
    </row>
    <row r="400" spans="1:21" ht="16.05" customHeight="1" x14ac:dyDescent="0.3">
      <c r="C400" s="19" t="s">
        <v>282</v>
      </c>
      <c r="D400" s="19" t="s">
        <v>282</v>
      </c>
      <c r="E400" s="19" t="s">
        <v>283</v>
      </c>
      <c r="F400" s="19" t="s">
        <v>283</v>
      </c>
    </row>
    <row r="401" spans="1:8" ht="19.95" customHeight="1" x14ac:dyDescent="0.3">
      <c r="A401" s="17">
        <f>N10</f>
        <v>59396.969619669988</v>
      </c>
      <c r="C401" s="92">
        <f>-J10</f>
        <v>-0.70710678118654746</v>
      </c>
      <c r="D401" s="92">
        <f>-K10</f>
        <v>-0.70710678118654746</v>
      </c>
      <c r="E401" s="92">
        <f>J10</f>
        <v>0.70710678118654746</v>
      </c>
      <c r="F401" s="92">
        <f>K10</f>
        <v>0.70710678118654746</v>
      </c>
      <c r="G401" s="96">
        <f>IFERROR(VLOOKUP(H401, A$351:D$362, 4, FALSE), 0)</f>
        <v>0</v>
      </c>
      <c r="H401" s="12" t="str">
        <f>"D" &amp; C23 &amp; "X"</f>
        <v>D1X</v>
      </c>
    </row>
    <row r="402" spans="1:8" ht="19.95" customHeight="1" x14ac:dyDescent="0.3">
      <c r="A402" s="99" t="s">
        <v>289</v>
      </c>
      <c r="B402" s="97">
        <f>(MMULT(C401:F401, G401:G404)*A401)</f>
        <v>199.44034702193881</v>
      </c>
      <c r="G402" s="96">
        <f>IFERROR(VLOOKUP(H402, A$351:D$362, 4, FALSE), 0)</f>
        <v>0</v>
      </c>
      <c r="H402" s="12" t="str">
        <f>"D" &amp; D23 &amp; "Y"</f>
        <v>D1Y</v>
      </c>
    </row>
    <row r="403" spans="1:8" ht="19.95" customHeight="1" x14ac:dyDescent="0.3">
      <c r="G403" s="96">
        <f>IFERROR(VLOOKUP(H403, A$351:D$362, 4, FALSE), 0)</f>
        <v>6.7097467388033849E-2</v>
      </c>
      <c r="H403" s="12" t="str">
        <f>"D" &amp; E23 &amp; "X"</f>
        <v>D5X</v>
      </c>
    </row>
    <row r="404" spans="1:8" ht="19.95" customHeight="1" x14ac:dyDescent="0.3">
      <c r="G404" s="96">
        <f>IFERROR(VLOOKUP(H404, A$351:D$362, 4, FALSE), 0)</f>
        <v>-6.234888769703531E-2</v>
      </c>
      <c r="H404" s="12" t="str">
        <f>"D" &amp; F23 &amp; "Y"</f>
        <v>D5Y</v>
      </c>
    </row>
    <row r="405" spans="1:8" ht="19.95" customHeight="1" x14ac:dyDescent="0.3">
      <c r="B405" s="99" t="s">
        <v>273</v>
      </c>
      <c r="C405" s="178" t="str">
        <f>IF(B402&gt;0.001,"BARRA A TRACCIÓN (+)",IF(B402&lt;-0.001,"BARRA A COMPRESIÓN (-)","BARRA DE FUERZA NULA"))</f>
        <v>BARRA A TRACCIÓN (+)</v>
      </c>
      <c r="D405" s="172"/>
      <c r="E405" s="172"/>
      <c r="F405" s="173"/>
    </row>
    <row r="407" spans="1:8" ht="18" customHeight="1" x14ac:dyDescent="0.3">
      <c r="A407" s="19" t="s">
        <v>278</v>
      </c>
      <c r="C407" s="19" t="s">
        <v>279</v>
      </c>
      <c r="D407" s="19" t="s">
        <v>280</v>
      </c>
      <c r="E407" s="19" t="s">
        <v>279</v>
      </c>
      <c r="F407" s="19" t="s">
        <v>280</v>
      </c>
      <c r="G407" s="19" t="s">
        <v>249</v>
      </c>
    </row>
    <row r="408" spans="1:8" ht="16.05" customHeight="1" x14ac:dyDescent="0.3">
      <c r="C408" s="19" t="s">
        <v>282</v>
      </c>
      <c r="D408" s="19" t="s">
        <v>282</v>
      </c>
      <c r="E408" s="19" t="s">
        <v>283</v>
      </c>
      <c r="F408" s="19" t="s">
        <v>283</v>
      </c>
    </row>
    <row r="409" spans="1:8" ht="19.95" customHeight="1" x14ac:dyDescent="0.3">
      <c r="A409" s="17">
        <f>N11</f>
        <v>84000</v>
      </c>
      <c r="C409" s="92">
        <f>-J11</f>
        <v>0</v>
      </c>
      <c r="D409" s="92">
        <f>-K11</f>
        <v>1</v>
      </c>
      <c r="E409" s="92">
        <f>J11</f>
        <v>0</v>
      </c>
      <c r="F409" s="92">
        <f>K11</f>
        <v>-1</v>
      </c>
      <c r="G409" s="96">
        <f>IFERROR(VLOOKUP(H409, A$351:D$362, 4, FALSE), 0)</f>
        <v>6.7097467388033849E-2</v>
      </c>
      <c r="H409" s="12" t="str">
        <f>"D" &amp; C24 &amp; "X"</f>
        <v>D5X</v>
      </c>
    </row>
    <row r="410" spans="1:8" ht="19.95" customHeight="1" x14ac:dyDescent="0.3">
      <c r="A410" s="99" t="s">
        <v>290</v>
      </c>
      <c r="B410" s="97">
        <f>(MMULT(C409:F409, G409:G412)*A409)</f>
        <v>-5237.3065665509657</v>
      </c>
      <c r="G410" s="96">
        <f>IFERROR(VLOOKUP(H410, A$351:D$362, 4, FALSE), 0)</f>
        <v>-6.234888769703531E-2</v>
      </c>
      <c r="H410" s="12" t="str">
        <f>"D" &amp; D24 &amp; "Y"</f>
        <v>D5Y</v>
      </c>
    </row>
    <row r="411" spans="1:8" ht="19.95" customHeight="1" x14ac:dyDescent="0.3">
      <c r="G411" s="96">
        <f>IFERROR(VLOOKUP(H411, A$351:D$362, 4, FALSE), 0)</f>
        <v>2.8083028311649841E-2</v>
      </c>
      <c r="H411" s="12" t="str">
        <f>"D" &amp; E24 &amp; "X"</f>
        <v>D2X</v>
      </c>
    </row>
    <row r="412" spans="1:8" ht="19.95" customHeight="1" x14ac:dyDescent="0.3">
      <c r="G412" s="96">
        <f>IFERROR(VLOOKUP(H412, A$351:D$362, 4, FALSE), 0)</f>
        <v>0</v>
      </c>
      <c r="H412" s="12" t="str">
        <f>"D" &amp; F24 &amp; "Y"</f>
        <v>D2Y</v>
      </c>
    </row>
    <row r="413" spans="1:8" ht="19.95" customHeight="1" x14ac:dyDescent="0.3">
      <c r="B413" s="99" t="s">
        <v>273</v>
      </c>
      <c r="C413" s="178" t="str">
        <f>IF(B410&gt;0.001,"BARRA A TRACCIÓN (+)",IF(B410&lt;-0.001,"BARRA A COMPRESIÓN (-)","BARRA DE FUERZA NULA"))</f>
        <v>BARRA A COMPRESIÓN (-)</v>
      </c>
      <c r="D413" s="172"/>
      <c r="E413" s="172"/>
      <c r="F413" s="173"/>
    </row>
    <row r="415" spans="1:8" ht="18" customHeight="1" x14ac:dyDescent="0.3">
      <c r="A415" s="19" t="s">
        <v>278</v>
      </c>
      <c r="C415" s="19" t="s">
        <v>279</v>
      </c>
      <c r="D415" s="19" t="s">
        <v>280</v>
      </c>
      <c r="E415" s="19" t="s">
        <v>279</v>
      </c>
      <c r="F415" s="19" t="s">
        <v>280</v>
      </c>
      <c r="G415" s="19" t="s">
        <v>249</v>
      </c>
    </row>
    <row r="416" spans="1:8" ht="16.05" customHeight="1" x14ac:dyDescent="0.3">
      <c r="C416" s="19" t="s">
        <v>282</v>
      </c>
      <c r="D416" s="19" t="s">
        <v>282</v>
      </c>
      <c r="E416" s="19" t="s">
        <v>283</v>
      </c>
      <c r="F416" s="19" t="s">
        <v>283</v>
      </c>
    </row>
    <row r="417" spans="1:8" ht="19.95" customHeight="1" x14ac:dyDescent="0.3">
      <c r="A417" s="17">
        <f>N12</f>
        <v>59396.969619669988</v>
      </c>
      <c r="C417" s="92">
        <f>-J12</f>
        <v>-0.70710678118654746</v>
      </c>
      <c r="D417" s="92">
        <f>-K12</f>
        <v>-0.70710678118654746</v>
      </c>
      <c r="E417" s="92">
        <f>J12</f>
        <v>0.70710678118654746</v>
      </c>
      <c r="F417" s="92">
        <f>K12</f>
        <v>0.70710678118654746</v>
      </c>
      <c r="G417" s="96">
        <f>IFERROR(VLOOKUP(H417, A$351:D$362, 4, FALSE), 0)</f>
        <v>2.8083028311649841E-2</v>
      </c>
      <c r="H417" s="12" t="str">
        <f>"D" &amp; C25 &amp; "X"</f>
        <v>D2X</v>
      </c>
    </row>
    <row r="418" spans="1:8" ht="19.95" customHeight="1" x14ac:dyDescent="0.3">
      <c r="A418" s="99" t="s">
        <v>291</v>
      </c>
      <c r="B418" s="97">
        <f>(MMULT(C417:F417, G417:G420)*A417)</f>
        <v>-1090.3791018263571</v>
      </c>
      <c r="G418" s="96">
        <f>IFERROR(VLOOKUP(H418, A$351:D$362, 4, FALSE), 0)</f>
        <v>0</v>
      </c>
      <c r="H418" s="12" t="str">
        <f>"D" &amp; D25 &amp; "Y"</f>
        <v>D2Y</v>
      </c>
    </row>
    <row r="419" spans="1:8" ht="19.95" customHeight="1" x14ac:dyDescent="0.3">
      <c r="G419" s="96">
        <f>IFERROR(VLOOKUP(H419, A$351:D$362, 4, FALSE), 0)</f>
        <v>6.1677761162936925E-2</v>
      </c>
      <c r="H419" s="12" t="str">
        <f>"D" &amp; E25 &amp; "X"</f>
        <v>D6X</v>
      </c>
    </row>
    <row r="420" spans="1:8" ht="19.95" customHeight="1" x14ac:dyDescent="0.3">
      <c r="G420" s="96">
        <f>IFERROR(VLOOKUP(H420, A$351:D$362, 4, FALSE), 0)</f>
        <v>-5.9556140037628921E-2</v>
      </c>
      <c r="H420" s="12" t="str">
        <f>"D" &amp; F25 &amp; "Y"</f>
        <v>D6Y</v>
      </c>
    </row>
    <row r="421" spans="1:8" ht="19.95" customHeight="1" x14ac:dyDescent="0.3">
      <c r="B421" s="99" t="s">
        <v>273</v>
      </c>
      <c r="C421" s="178" t="str">
        <f>IF(B418&gt;0.001,"BARRA A TRACCIÓN (+)",IF(B418&lt;-0.001,"BARRA A COMPRESIÓN (-)","BARRA DE FUERZA NULA"))</f>
        <v>BARRA A COMPRESIÓN (-)</v>
      </c>
      <c r="D421" s="172"/>
      <c r="E421" s="172"/>
      <c r="F421" s="173"/>
    </row>
    <row r="423" spans="1:8" ht="18" customHeight="1" x14ac:dyDescent="0.3">
      <c r="A423" s="19" t="s">
        <v>278</v>
      </c>
      <c r="C423" s="19" t="s">
        <v>279</v>
      </c>
      <c r="D423" s="19" t="s">
        <v>280</v>
      </c>
      <c r="E423" s="19" t="s">
        <v>279</v>
      </c>
      <c r="F423" s="19" t="s">
        <v>280</v>
      </c>
      <c r="G423" s="19" t="s">
        <v>249</v>
      </c>
    </row>
    <row r="424" spans="1:8" ht="16.05" customHeight="1" x14ac:dyDescent="0.3">
      <c r="C424" s="19" t="s">
        <v>282</v>
      </c>
      <c r="D424" s="19" t="s">
        <v>282</v>
      </c>
      <c r="E424" s="19" t="s">
        <v>283</v>
      </c>
      <c r="F424" s="19" t="s">
        <v>283</v>
      </c>
    </row>
    <row r="425" spans="1:8" ht="19.95" customHeight="1" x14ac:dyDescent="0.3">
      <c r="A425" s="17">
        <f>N13</f>
        <v>84000</v>
      </c>
      <c r="C425" s="92">
        <f>-J13</f>
        <v>0</v>
      </c>
      <c r="D425" s="92">
        <f>-K13</f>
        <v>1</v>
      </c>
      <c r="E425" s="92">
        <f>J13</f>
        <v>0</v>
      </c>
      <c r="F425" s="92">
        <f>K13</f>
        <v>-1</v>
      </c>
      <c r="G425" s="96">
        <f>IFERROR(VLOOKUP(H425, A$351:D$362, 4, FALSE), 0)</f>
        <v>6.1677761162936925E-2</v>
      </c>
      <c r="H425" s="12" t="str">
        <f>"D" &amp; C26 &amp; "X"</f>
        <v>D6X</v>
      </c>
    </row>
    <row r="426" spans="1:8" ht="19.95" customHeight="1" x14ac:dyDescent="0.3">
      <c r="A426" s="99" t="s">
        <v>292</v>
      </c>
      <c r="B426" s="97">
        <f>(MMULT(C425:F425, G425:G428)*A425)</f>
        <v>-5002.7157631608297</v>
      </c>
      <c r="G426" s="96">
        <f>IFERROR(VLOOKUP(H426, A$351:D$362, 4, FALSE), 0)</f>
        <v>-5.9556140037628921E-2</v>
      </c>
      <c r="H426" s="12" t="str">
        <f>"D" &amp; D26 &amp; "Y"</f>
        <v>D6Y</v>
      </c>
    </row>
    <row r="427" spans="1:8" ht="19.95" customHeight="1" x14ac:dyDescent="0.3">
      <c r="G427" s="96">
        <f>IFERROR(VLOOKUP(H427, A$351:D$362, 4, FALSE), 0)</f>
        <v>6.5344800158603417E-2</v>
      </c>
      <c r="H427" s="12" t="str">
        <f>"D" &amp; E26 &amp; "X"</f>
        <v>D3X</v>
      </c>
    </row>
    <row r="428" spans="1:8" ht="19.95" customHeight="1" x14ac:dyDescent="0.3">
      <c r="G428" s="96">
        <f>IFERROR(VLOOKUP(H428, A$351:D$362, 4, FALSE), 0)</f>
        <v>0</v>
      </c>
      <c r="H428" s="12" t="str">
        <f>"D" &amp; F26 &amp; "Y"</f>
        <v>D3Y</v>
      </c>
    </row>
    <row r="429" spans="1:8" ht="19.95" customHeight="1" x14ac:dyDescent="0.3">
      <c r="B429" s="99" t="s">
        <v>273</v>
      </c>
      <c r="C429" s="178" t="str">
        <f>IF(B426&gt;0.001,"BARRA A TRACCIÓN (+)",IF(B426&lt;-0.001,"BARRA A COMPRESIÓN (-)","BARRA DE FUERZA NULA"))</f>
        <v>BARRA A COMPRESIÓN (-)</v>
      </c>
      <c r="D429" s="172"/>
      <c r="E429" s="172"/>
      <c r="F429" s="173"/>
    </row>
    <row r="431" spans="1:8" ht="18" customHeight="1" x14ac:dyDescent="0.3">
      <c r="A431" s="19" t="s">
        <v>278</v>
      </c>
      <c r="C431" s="19" t="s">
        <v>279</v>
      </c>
      <c r="D431" s="19" t="s">
        <v>280</v>
      </c>
      <c r="E431" s="19" t="s">
        <v>279</v>
      </c>
      <c r="F431" s="19" t="s">
        <v>280</v>
      </c>
      <c r="G431" s="19" t="s">
        <v>249</v>
      </c>
    </row>
    <row r="432" spans="1:8" ht="16.05" customHeight="1" x14ac:dyDescent="0.3">
      <c r="C432" s="19" t="s">
        <v>282</v>
      </c>
      <c r="D432" s="19" t="s">
        <v>282</v>
      </c>
      <c r="E432" s="19" t="s">
        <v>283</v>
      </c>
      <c r="F432" s="19" t="s">
        <v>283</v>
      </c>
    </row>
    <row r="433" spans="1:8" ht="19.95" customHeight="1" x14ac:dyDescent="0.3">
      <c r="A433" s="17">
        <f>N14</f>
        <v>59396.969619669988</v>
      </c>
      <c r="C433" s="92">
        <f>-J14</f>
        <v>-0.70710678118654746</v>
      </c>
      <c r="D433" s="92">
        <f>-K14</f>
        <v>0.70710678118654746</v>
      </c>
      <c r="E433" s="92">
        <f>J14</f>
        <v>0.70710678118654746</v>
      </c>
      <c r="F433" s="92">
        <f>K14</f>
        <v>-0.70710678118654746</v>
      </c>
      <c r="G433" s="96">
        <f>IFERROR(VLOOKUP(H433, A$351:D$362, 4, FALSE), 0)</f>
        <v>6.1677761162936925E-2</v>
      </c>
      <c r="H433" s="12" t="str">
        <f>"D" &amp; C27 &amp; "X"</f>
        <v>D6X</v>
      </c>
    </row>
    <row r="434" spans="1:8" ht="19.95" customHeight="1" x14ac:dyDescent="0.3">
      <c r="A434" s="99" t="s">
        <v>530</v>
      </c>
      <c r="B434" s="97">
        <f>(MMULT(C433:F433, G433:G436)*A433)</f>
        <v>-1734.2073538255934</v>
      </c>
      <c r="G434" s="96">
        <f>IFERROR(VLOOKUP(H434, A$351:D$362, 4, FALSE), 0)</f>
        <v>-5.9556140037628921E-2</v>
      </c>
      <c r="H434" s="12" t="str">
        <f>"D" &amp; D27 &amp; "Y"</f>
        <v>D6Y</v>
      </c>
    </row>
    <row r="435" spans="1:8" ht="19.95" customHeight="1" x14ac:dyDescent="0.3">
      <c r="G435" s="96">
        <f>IFERROR(VLOOKUP(H435, A$351:D$362, 4, FALSE), 0)</f>
        <v>7.9943249919004075E-2</v>
      </c>
      <c r="H435" s="12" t="str">
        <f>"D" &amp; E27 &amp; "X"</f>
        <v>D4X</v>
      </c>
    </row>
    <row r="436" spans="1:8" ht="19.95" customHeight="1" x14ac:dyDescent="0.3">
      <c r="G436" s="96">
        <f>IFERROR(VLOOKUP(H436, A$351:D$362, 4, FALSE), 0)</f>
        <v>0</v>
      </c>
      <c r="H436" s="12" t="str">
        <f>"D" &amp; F27 &amp; "Y"</f>
        <v>D4Y</v>
      </c>
    </row>
    <row r="437" spans="1:8" ht="19.95" customHeight="1" x14ac:dyDescent="0.3">
      <c r="B437" s="99" t="s">
        <v>273</v>
      </c>
      <c r="C437" s="178" t="str">
        <f>IF(B434&gt;0.001,"BARRA A TRACCIÓN (+)",IF(B434&lt;-0.001,"BARRA A COMPRESIÓN (-)","BARRA DE FUERZA NULA"))</f>
        <v>BARRA A COMPRESIÓN (-)</v>
      </c>
      <c r="D437" s="172"/>
      <c r="E437" s="172"/>
      <c r="F437" s="173"/>
    </row>
    <row r="439" spans="1:8" ht="18" customHeight="1" x14ac:dyDescent="0.3">
      <c r="A439" s="19" t="s">
        <v>278</v>
      </c>
      <c r="C439" s="19" t="s">
        <v>279</v>
      </c>
      <c r="D439" s="19" t="s">
        <v>280</v>
      </c>
      <c r="E439" s="19" t="s">
        <v>279</v>
      </c>
      <c r="F439" s="19" t="s">
        <v>280</v>
      </c>
      <c r="G439" s="19" t="s">
        <v>249</v>
      </c>
    </row>
    <row r="440" spans="1:8" ht="16.05" customHeight="1" x14ac:dyDescent="0.3">
      <c r="C440" s="19" t="s">
        <v>282</v>
      </c>
      <c r="D440" s="19" t="s">
        <v>282</v>
      </c>
      <c r="E440" s="19" t="s">
        <v>283</v>
      </c>
      <c r="F440" s="19" t="s">
        <v>283</v>
      </c>
    </row>
    <row r="441" spans="1:8" ht="19.95" customHeight="1" x14ac:dyDescent="0.3">
      <c r="A441" s="17">
        <f>N15</f>
        <v>59396.969619669988</v>
      </c>
      <c r="C441" s="92">
        <f>-J15</f>
        <v>-0.70710678118654746</v>
      </c>
      <c r="D441" s="92">
        <f>-K15</f>
        <v>0.70710678118654746</v>
      </c>
      <c r="E441" s="92">
        <f>J15</f>
        <v>0.70710678118654746</v>
      </c>
      <c r="F441" s="92">
        <f>K15</f>
        <v>-0.70710678118654746</v>
      </c>
      <c r="G441" s="96">
        <f>IFERROR(VLOOKUP(H441, A$351:D$362, 4, FALSE), 0)</f>
        <v>6.7097467388033849E-2</v>
      </c>
      <c r="H441" s="12" t="str">
        <f>"D" &amp; C28 &amp; "X"</f>
        <v>D5X</v>
      </c>
    </row>
    <row r="442" spans="1:8" ht="19.95" customHeight="1" x14ac:dyDescent="0.3">
      <c r="A442" s="99" t="s">
        <v>589</v>
      </c>
      <c r="B442" s="97">
        <f>(MMULT(C441:F441, G441:G444)*A441)</f>
        <v>-2692.2653069115609</v>
      </c>
      <c r="G442" s="96">
        <f>IFERROR(VLOOKUP(H442, A$351:D$362, 4, FALSE), 0)</f>
        <v>-6.234888769703531E-2</v>
      </c>
      <c r="H442" s="12" t="str">
        <f>"D" &amp; D28 &amp; "Y"</f>
        <v>D5Y</v>
      </c>
    </row>
    <row r="443" spans="1:8" ht="19.95" customHeight="1" x14ac:dyDescent="0.3">
      <c r="G443" s="96">
        <f>IFERROR(VLOOKUP(H443, A$351:D$362, 4, FALSE), 0)</f>
        <v>6.5344800158603417E-2</v>
      </c>
      <c r="H443" s="12" t="str">
        <f>"D" &amp; E28 &amp; "X"</f>
        <v>D3X</v>
      </c>
    </row>
    <row r="444" spans="1:8" ht="19.95" customHeight="1" x14ac:dyDescent="0.3">
      <c r="G444" s="96">
        <f>IFERROR(VLOOKUP(H444, A$351:D$362, 4, FALSE), 0)</f>
        <v>0</v>
      </c>
      <c r="H444" s="12" t="str">
        <f>"D" &amp; F28 &amp; "Y"</f>
        <v>D3Y</v>
      </c>
    </row>
    <row r="445" spans="1:8" ht="19.95" customHeight="1" x14ac:dyDescent="0.3">
      <c r="B445" s="99" t="s">
        <v>273</v>
      </c>
      <c r="C445" s="178" t="str">
        <f>IF(B442&gt;0.001,"BARRA A TRACCIÓN (+)",IF(B442&lt;-0.001,"BARRA A COMPRESIÓN (-)","BARRA DE FUERZA NULA"))</f>
        <v>BARRA A COMPRESIÓN (-)</v>
      </c>
      <c r="D445" s="172"/>
      <c r="E445" s="172"/>
      <c r="F445" s="173"/>
    </row>
    <row r="448" spans="1:8" ht="22.05" customHeight="1" x14ac:dyDescent="0.3">
      <c r="B448" s="217" t="s">
        <v>404</v>
      </c>
      <c r="C448" s="175"/>
      <c r="D448" s="175"/>
      <c r="E448" s="175"/>
      <c r="F448" s="175"/>
      <c r="G448" s="175"/>
      <c r="H448" s="175"/>
    </row>
    <row r="449" spans="2:8" ht="24" customHeight="1" x14ac:dyDescent="0.3">
      <c r="B449" s="87" t="s">
        <v>294</v>
      </c>
      <c r="C449" s="87" t="s">
        <v>295</v>
      </c>
      <c r="D449" s="87" t="s">
        <v>296</v>
      </c>
      <c r="E449" s="87" t="s">
        <v>297</v>
      </c>
      <c r="F449" s="87" t="s">
        <v>298</v>
      </c>
      <c r="G449" s="87" t="s">
        <v>299</v>
      </c>
      <c r="H449" s="87" t="s">
        <v>300</v>
      </c>
    </row>
    <row r="450" spans="2:8" ht="19.95" customHeight="1" x14ac:dyDescent="0.3">
      <c r="B450" s="85">
        <v>1</v>
      </c>
      <c r="C450" s="86">
        <f t="shared" ref="C450:C459" si="50">C19</f>
        <v>1</v>
      </c>
      <c r="D450" s="86">
        <f t="shared" ref="D450:D459" si="51">E19</f>
        <v>2</v>
      </c>
      <c r="E450" s="9">
        <f t="shared" ref="E450:E459" si="52">I6</f>
        <v>300</v>
      </c>
      <c r="F450" s="9">
        <f t="shared" ref="F450:F459" si="53">L6</f>
        <v>12</v>
      </c>
      <c r="G450" s="97">
        <f>B370</f>
        <v>2358.9743781785864</v>
      </c>
      <c r="H450" s="84" t="str">
        <f>C373</f>
        <v>BARRA A TRACCIÓN (+)</v>
      </c>
    </row>
    <row r="451" spans="2:8" ht="19.95" customHeight="1" x14ac:dyDescent="0.3">
      <c r="B451" s="25">
        <v>2</v>
      </c>
      <c r="C451" s="86">
        <f t="shared" si="50"/>
        <v>2</v>
      </c>
      <c r="D451" s="86">
        <f t="shared" si="51"/>
        <v>3</v>
      </c>
      <c r="E451" s="9">
        <f t="shared" si="52"/>
        <v>300</v>
      </c>
      <c r="F451" s="9">
        <f t="shared" si="53"/>
        <v>12</v>
      </c>
      <c r="G451" s="97">
        <f>B378</f>
        <v>3129.9888351441004</v>
      </c>
      <c r="H451" s="84" t="str">
        <f>C381</f>
        <v>BARRA A TRACCIÓN (+)</v>
      </c>
    </row>
    <row r="452" spans="2:8" ht="19.95" customHeight="1" x14ac:dyDescent="0.3">
      <c r="B452" s="26">
        <v>3</v>
      </c>
      <c r="C452" s="86">
        <f t="shared" si="50"/>
        <v>3</v>
      </c>
      <c r="D452" s="86">
        <f t="shared" si="51"/>
        <v>4</v>
      </c>
      <c r="E452" s="9">
        <f t="shared" si="52"/>
        <v>300</v>
      </c>
      <c r="F452" s="9">
        <f t="shared" si="53"/>
        <v>12</v>
      </c>
      <c r="G452" s="97">
        <f>B386</f>
        <v>1226.2697798736554</v>
      </c>
      <c r="H452" s="84" t="str">
        <f>C389</f>
        <v>BARRA A TRACCIÓN (+)</v>
      </c>
    </row>
    <row r="453" spans="2:8" ht="19.95" customHeight="1" x14ac:dyDescent="0.3">
      <c r="B453" s="43">
        <v>4</v>
      </c>
      <c r="C453" s="86">
        <f t="shared" si="50"/>
        <v>5</v>
      </c>
      <c r="D453" s="86">
        <f t="shared" si="51"/>
        <v>6</v>
      </c>
      <c r="E453" s="9">
        <f t="shared" si="52"/>
        <v>300</v>
      </c>
      <c r="F453" s="9">
        <f t="shared" si="53"/>
        <v>12</v>
      </c>
      <c r="G453" s="97">
        <f>B394</f>
        <v>-455.25532290814158</v>
      </c>
      <c r="H453" s="84" t="str">
        <f>C397</f>
        <v>BARRA A COMPRESIÓN (-)</v>
      </c>
    </row>
    <row r="454" spans="2:8" ht="19.95" customHeight="1" x14ac:dyDescent="0.3">
      <c r="B454" s="44">
        <v>5</v>
      </c>
      <c r="C454" s="86">
        <f t="shared" si="50"/>
        <v>1</v>
      </c>
      <c r="D454" s="86">
        <f t="shared" si="51"/>
        <v>5</v>
      </c>
      <c r="E454" s="9">
        <f t="shared" si="52"/>
        <v>424.26406871192853</v>
      </c>
      <c r="F454" s="9">
        <f t="shared" si="53"/>
        <v>12</v>
      </c>
      <c r="G454" s="97">
        <f>B402</f>
        <v>199.44034702193881</v>
      </c>
      <c r="H454" s="84" t="str">
        <f>C405</f>
        <v>BARRA A TRACCIÓN (+)</v>
      </c>
    </row>
    <row r="455" spans="2:8" ht="19.95" customHeight="1" x14ac:dyDescent="0.3">
      <c r="B455" s="51">
        <v>6</v>
      </c>
      <c r="C455" s="86">
        <f t="shared" si="50"/>
        <v>5</v>
      </c>
      <c r="D455" s="86">
        <f t="shared" si="51"/>
        <v>2</v>
      </c>
      <c r="E455" s="9">
        <f t="shared" si="52"/>
        <v>300</v>
      </c>
      <c r="F455" s="9">
        <f t="shared" si="53"/>
        <v>12</v>
      </c>
      <c r="G455" s="97">
        <f>B410</f>
        <v>-5237.3065665509657</v>
      </c>
      <c r="H455" s="84" t="str">
        <f>C413</f>
        <v>BARRA A COMPRESIÓN (-)</v>
      </c>
    </row>
    <row r="456" spans="2:8" ht="19.95" customHeight="1" x14ac:dyDescent="0.3">
      <c r="B456" s="52">
        <v>7</v>
      </c>
      <c r="C456" s="86">
        <f t="shared" si="50"/>
        <v>2</v>
      </c>
      <c r="D456" s="86">
        <f t="shared" si="51"/>
        <v>6</v>
      </c>
      <c r="E456" s="9">
        <f t="shared" si="52"/>
        <v>424.26406871192853</v>
      </c>
      <c r="F456" s="9">
        <f t="shared" si="53"/>
        <v>12</v>
      </c>
      <c r="G456" s="97">
        <f>B418</f>
        <v>-1090.3791018263571</v>
      </c>
      <c r="H456" s="84" t="str">
        <f>C421</f>
        <v>BARRA A COMPRESIÓN (-)</v>
      </c>
    </row>
    <row r="457" spans="2:8" ht="19.95" customHeight="1" x14ac:dyDescent="0.3">
      <c r="B457" s="59">
        <v>8</v>
      </c>
      <c r="C457" s="86">
        <f t="shared" si="50"/>
        <v>6</v>
      </c>
      <c r="D457" s="86">
        <f t="shared" si="51"/>
        <v>3</v>
      </c>
      <c r="E457" s="9">
        <f t="shared" si="52"/>
        <v>300</v>
      </c>
      <c r="F457" s="9">
        <f t="shared" si="53"/>
        <v>12</v>
      </c>
      <c r="G457" s="97">
        <f>B426</f>
        <v>-5002.7157631608297</v>
      </c>
      <c r="H457" s="84" t="str">
        <f>C429</f>
        <v>BARRA A COMPRESIÓN (-)</v>
      </c>
    </row>
    <row r="458" spans="2:8" ht="19.95" customHeight="1" x14ac:dyDescent="0.3">
      <c r="B458" s="60">
        <v>9</v>
      </c>
      <c r="C458" s="86">
        <f t="shared" si="50"/>
        <v>6</v>
      </c>
      <c r="D458" s="86">
        <f t="shared" si="51"/>
        <v>4</v>
      </c>
      <c r="E458" s="9">
        <f t="shared" si="52"/>
        <v>424.26406871192853</v>
      </c>
      <c r="F458" s="9">
        <f t="shared" si="53"/>
        <v>12</v>
      </c>
      <c r="G458" s="97">
        <f>B434</f>
        <v>-1734.2073538255934</v>
      </c>
      <c r="H458" s="84" t="str">
        <f>C437</f>
        <v>BARRA A COMPRESIÓN (-)</v>
      </c>
    </row>
    <row r="459" spans="2:8" ht="19.95" customHeight="1" x14ac:dyDescent="0.3">
      <c r="B459" s="67">
        <v>10</v>
      </c>
      <c r="C459" s="86">
        <f t="shared" si="50"/>
        <v>5</v>
      </c>
      <c r="D459" s="86">
        <f t="shared" si="51"/>
        <v>3</v>
      </c>
      <c r="E459" s="9">
        <f t="shared" si="52"/>
        <v>424.26406871192853</v>
      </c>
      <c r="F459" s="9">
        <f t="shared" si="53"/>
        <v>12</v>
      </c>
      <c r="G459" s="97">
        <f>B442</f>
        <v>-2692.2653069115609</v>
      </c>
      <c r="H459" s="84" t="str">
        <f>C445</f>
        <v>BARRA A COMPRESIÓN (-)</v>
      </c>
    </row>
  </sheetData>
  <mergeCells count="145">
    <mergeCell ref="C429:F429"/>
    <mergeCell ref="P316:U316"/>
    <mergeCell ref="P272:U272"/>
    <mergeCell ref="P381:U381"/>
    <mergeCell ref="P308:U308"/>
    <mergeCell ref="P390:U390"/>
    <mergeCell ref="P370:U370"/>
    <mergeCell ref="C437:F437"/>
    <mergeCell ref="P371:U371"/>
    <mergeCell ref="P292:U292"/>
    <mergeCell ref="C413:F413"/>
    <mergeCell ref="P374:U374"/>
    <mergeCell ref="P307:U307"/>
    <mergeCell ref="P336:U336"/>
    <mergeCell ref="P367:U367"/>
    <mergeCell ref="P317:U317"/>
    <mergeCell ref="P377:U377"/>
    <mergeCell ref="P326:U326"/>
    <mergeCell ref="P385:U385"/>
    <mergeCell ref="P346:U346"/>
    <mergeCell ref="P338:U338"/>
    <mergeCell ref="P379:U379"/>
    <mergeCell ref="P388:U388"/>
    <mergeCell ref="P366:U366"/>
    <mergeCell ref="C421:F421"/>
    <mergeCell ref="P342:U342"/>
    <mergeCell ref="P294:U294"/>
    <mergeCell ref="P264:U264"/>
    <mergeCell ref="P335:U335"/>
    <mergeCell ref="P344:U344"/>
    <mergeCell ref="P319:U319"/>
    <mergeCell ref="P334:U334"/>
    <mergeCell ref="C17:D17"/>
    <mergeCell ref="P368:U368"/>
    <mergeCell ref="P318:U318"/>
    <mergeCell ref="P256:U256"/>
    <mergeCell ref="P383:U383"/>
    <mergeCell ref="C405:F405"/>
    <mergeCell ref="P387:U387"/>
    <mergeCell ref="P285:U285"/>
    <mergeCell ref="P373:U373"/>
    <mergeCell ref="P322:U322"/>
    <mergeCell ref="P306:U306"/>
    <mergeCell ref="C373:F373"/>
    <mergeCell ref="P333:U333"/>
    <mergeCell ref="B1:N1"/>
    <mergeCell ref="P265:U265"/>
    <mergeCell ref="P305:U305"/>
    <mergeCell ref="P311:U311"/>
    <mergeCell ref="P262:U262"/>
    <mergeCell ref="P320:U320"/>
    <mergeCell ref="P314:U314"/>
    <mergeCell ref="P329:U329"/>
    <mergeCell ref="P257:U257"/>
    <mergeCell ref="P282:U282"/>
    <mergeCell ref="P297:U297"/>
    <mergeCell ref="P291:U291"/>
    <mergeCell ref="B17:B18"/>
    <mergeCell ref="P263:U263"/>
    <mergeCell ref="C4:D4"/>
    <mergeCell ref="P293:U293"/>
    <mergeCell ref="E4:F4"/>
    <mergeCell ref="E3:H3"/>
    <mergeCell ref="P268:U268"/>
    <mergeCell ref="P277:U277"/>
    <mergeCell ref="C321:D321"/>
    <mergeCell ref="P266:U266"/>
    <mergeCell ref="P288:U288"/>
    <mergeCell ref="C311:I311"/>
    <mergeCell ref="B448:H448"/>
    <mergeCell ref="C312:I312"/>
    <mergeCell ref="C284:D284"/>
    <mergeCell ref="P273:U273"/>
    <mergeCell ref="P287:U287"/>
    <mergeCell ref="P281:U281"/>
    <mergeCell ref="P296:U296"/>
    <mergeCell ref="P328:U328"/>
    <mergeCell ref="P384:U384"/>
    <mergeCell ref="P337:U337"/>
    <mergeCell ref="P312:U312"/>
    <mergeCell ref="P321:U321"/>
    <mergeCell ref="P386:U386"/>
    <mergeCell ref="P339:U339"/>
    <mergeCell ref="C397:F397"/>
    <mergeCell ref="P376:U376"/>
    <mergeCell ref="P323:U323"/>
    <mergeCell ref="P298:U298"/>
    <mergeCell ref="P313:U313"/>
    <mergeCell ref="P382:U382"/>
    <mergeCell ref="P309:U309"/>
    <mergeCell ref="C445:F445"/>
    <mergeCell ref="P372:U372"/>
    <mergeCell ref="C381:F381"/>
    <mergeCell ref="C389:F389"/>
    <mergeCell ref="P378:U378"/>
    <mergeCell ref="P365:U365"/>
    <mergeCell ref="B2:N2"/>
    <mergeCell ref="P275:U275"/>
    <mergeCell ref="P315:U315"/>
    <mergeCell ref="P284:U284"/>
    <mergeCell ref="P302:U302"/>
    <mergeCell ref="B4:B5"/>
    <mergeCell ref="N4:N5"/>
    <mergeCell ref="P286:U286"/>
    <mergeCell ref="P380:U380"/>
    <mergeCell ref="P261:U261"/>
    <mergeCell ref="P276:U276"/>
    <mergeCell ref="P389:U389"/>
    <mergeCell ref="P332:U332"/>
    <mergeCell ref="P270:U270"/>
    <mergeCell ref="P341:U341"/>
    <mergeCell ref="P325:U325"/>
    <mergeCell ref="P278:U278"/>
    <mergeCell ref="E17:F17"/>
    <mergeCell ref="P375:U375"/>
    <mergeCell ref="P327:U327"/>
    <mergeCell ref="P340:U340"/>
    <mergeCell ref="B3:D3"/>
    <mergeCell ref="P280:U280"/>
    <mergeCell ref="M4:M5"/>
    <mergeCell ref="P274:U274"/>
    <mergeCell ref="P345:U345"/>
    <mergeCell ref="K4:K5"/>
    <mergeCell ref="P301:U301"/>
    <mergeCell ref="P295:U295"/>
    <mergeCell ref="P258:U258"/>
    <mergeCell ref="P267:U267"/>
    <mergeCell ref="P260:U260"/>
    <mergeCell ref="P269:U269"/>
    <mergeCell ref="P259:U259"/>
    <mergeCell ref="P324:U324"/>
    <mergeCell ref="P289:U289"/>
    <mergeCell ref="P304:U304"/>
    <mergeCell ref="P310:U310"/>
    <mergeCell ref="J4:J5"/>
    <mergeCell ref="L4:L5"/>
    <mergeCell ref="P279:U279"/>
    <mergeCell ref="H4:H5"/>
    <mergeCell ref="G4:G5"/>
    <mergeCell ref="I4:I5"/>
    <mergeCell ref="P303:U303"/>
    <mergeCell ref="P369:U369"/>
    <mergeCell ref="P343:U343"/>
    <mergeCell ref="P290:U290"/>
    <mergeCell ref="P271:U271"/>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708</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HYPERLINK("#'AUTOMATIZADA_66'!A1",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12</v>
      </c>
      <c r="E6" s="173"/>
      <c r="F6" s="206">
        <f>SUM(F14:G23)</f>
        <v>3</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350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350</v>
      </c>
      <c r="AB8" s="20">
        <f>IF(F29="","",F29)</f>
        <v>0</v>
      </c>
      <c r="AC8" t="s">
        <v>316</v>
      </c>
    </row>
    <row r="9" spans="2:29" x14ac:dyDescent="0.3">
      <c r="AA9" s="20">
        <f>IF(G29="","",G29)</f>
        <v>700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280</v>
      </c>
      <c r="AC11" t="s">
        <v>324</v>
      </c>
    </row>
    <row r="12" spans="2:29" x14ac:dyDescent="0.3">
      <c r="AA12" s="20">
        <f>IF(G30="","",G30)</f>
        <v>350</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439</v>
      </c>
      <c r="K14" s="172"/>
      <c r="L14" s="172"/>
      <c r="M14" s="172"/>
      <c r="N14" s="172"/>
      <c r="O14" s="173"/>
      <c r="AA14" s="20">
        <f>IF(E31="","",E31)</f>
        <v>350</v>
      </c>
      <c r="AB14" s="20">
        <f>IF(F31="","",F31)</f>
        <v>280</v>
      </c>
      <c r="AC14" t="s">
        <v>328</v>
      </c>
    </row>
    <row r="15" spans="2:29" ht="19.05" customHeight="1" x14ac:dyDescent="0.3">
      <c r="B15" s="89">
        <v>2</v>
      </c>
      <c r="C15" s="21">
        <v>350</v>
      </c>
      <c r="D15" s="21">
        <v>0</v>
      </c>
      <c r="E15" s="21" t="s">
        <v>326</v>
      </c>
      <c r="F15" s="88">
        <f t="shared" si="0"/>
        <v>0</v>
      </c>
      <c r="G15" s="88">
        <f t="shared" si="1"/>
        <v>0</v>
      </c>
      <c r="H15" s="22">
        <v>0</v>
      </c>
      <c r="I15" s="22">
        <v>-8000</v>
      </c>
      <c r="J15" s="205" t="s">
        <v>626</v>
      </c>
      <c r="K15" s="172"/>
      <c r="L15" s="172"/>
      <c r="M15" s="172"/>
      <c r="N15" s="172"/>
      <c r="O15" s="173"/>
      <c r="AA15" s="20">
        <f>IF(G31="","",G31)</f>
        <v>700</v>
      </c>
      <c r="AB15" s="20">
        <f>IF(H31="","",H31)</f>
        <v>280</v>
      </c>
      <c r="AC15" t="s">
        <v>331</v>
      </c>
    </row>
    <row r="16" spans="2:29" ht="19.05" customHeight="1" x14ac:dyDescent="0.3">
      <c r="B16" s="89">
        <v>3</v>
      </c>
      <c r="C16" s="21">
        <v>700</v>
      </c>
      <c r="D16" s="21">
        <v>0</v>
      </c>
      <c r="E16" s="21" t="s">
        <v>329</v>
      </c>
      <c r="F16" s="88">
        <f t="shared" si="0"/>
        <v>0</v>
      </c>
      <c r="G16" s="88">
        <f t="shared" si="1"/>
        <v>1</v>
      </c>
      <c r="H16" s="22">
        <v>0</v>
      </c>
      <c r="I16" s="22">
        <v>0</v>
      </c>
      <c r="J16" s="205" t="s">
        <v>407</v>
      </c>
      <c r="K16" s="172"/>
      <c r="L16" s="172"/>
      <c r="M16" s="172"/>
      <c r="N16" s="172"/>
      <c r="O16" s="173"/>
    </row>
    <row r="17" spans="2:29" ht="19.05" customHeight="1" x14ac:dyDescent="0.3">
      <c r="B17" s="89">
        <v>4</v>
      </c>
      <c r="C17" s="21">
        <v>0</v>
      </c>
      <c r="D17" s="21">
        <v>280</v>
      </c>
      <c r="E17" s="21" t="s">
        <v>326</v>
      </c>
      <c r="F17" s="88">
        <f t="shared" si="0"/>
        <v>0</v>
      </c>
      <c r="G17" s="88">
        <f t="shared" si="1"/>
        <v>0</v>
      </c>
      <c r="H17" s="22">
        <v>3000</v>
      </c>
      <c r="I17" s="22">
        <v>0</v>
      </c>
      <c r="J17" s="205" t="s">
        <v>627</v>
      </c>
      <c r="K17" s="172"/>
      <c r="L17" s="172"/>
      <c r="M17" s="172"/>
      <c r="N17" s="172"/>
      <c r="O17" s="173"/>
      <c r="AA17" s="20">
        <f>IF(E32="","",E32)</f>
        <v>0</v>
      </c>
      <c r="AB17" s="20">
        <f>IF(F32="","",F32)</f>
        <v>0</v>
      </c>
      <c r="AC17" t="s">
        <v>334</v>
      </c>
    </row>
    <row r="18" spans="2:29" ht="19.05" customHeight="1" x14ac:dyDescent="0.3">
      <c r="B18" s="89">
        <v>5</v>
      </c>
      <c r="C18" s="21">
        <v>350</v>
      </c>
      <c r="D18" s="21">
        <v>280</v>
      </c>
      <c r="E18" s="21" t="s">
        <v>326</v>
      </c>
      <c r="F18" s="88">
        <f t="shared" si="0"/>
        <v>0</v>
      </c>
      <c r="G18" s="88">
        <f t="shared" si="1"/>
        <v>0</v>
      </c>
      <c r="H18" s="22">
        <v>0</v>
      </c>
      <c r="I18" s="22">
        <v>-6000</v>
      </c>
      <c r="J18" s="205" t="s">
        <v>628</v>
      </c>
      <c r="K18" s="172"/>
      <c r="L18" s="172"/>
      <c r="M18" s="172"/>
      <c r="N18" s="172"/>
      <c r="O18" s="173"/>
      <c r="AA18" s="20">
        <f>IF(G32="","",G32)</f>
        <v>0</v>
      </c>
      <c r="AB18" s="20">
        <f>IF(H32="","",H32)</f>
        <v>280</v>
      </c>
      <c r="AC18" t="s">
        <v>335</v>
      </c>
    </row>
    <row r="19" spans="2:29" ht="19.05" customHeight="1" x14ac:dyDescent="0.3">
      <c r="B19" s="89">
        <v>6</v>
      </c>
      <c r="C19" s="21">
        <v>700</v>
      </c>
      <c r="D19" s="21">
        <v>280</v>
      </c>
      <c r="E19" s="21" t="s">
        <v>326</v>
      </c>
      <c r="F19" s="88">
        <f t="shared" si="0"/>
        <v>0</v>
      </c>
      <c r="G19" s="88">
        <f t="shared" si="1"/>
        <v>0</v>
      </c>
      <c r="H19" s="22">
        <v>0</v>
      </c>
      <c r="I19" s="22">
        <v>0</v>
      </c>
      <c r="J19" s="205" t="s">
        <v>632</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280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700</v>
      </c>
      <c r="AB23" s="20">
        <f>IF(F34="","",F34)</f>
        <v>0</v>
      </c>
      <c r="AC23" t="s">
        <v>338</v>
      </c>
    </row>
    <row r="24" spans="2:29" x14ac:dyDescent="0.3">
      <c r="AA24" s="20">
        <f>IF(G34="","",G34)</f>
        <v>700</v>
      </c>
      <c r="AB24" s="20">
        <f>IF(H34="","",H34)</f>
        <v>280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350</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280</v>
      </c>
      <c r="AC29" t="s">
        <v>353</v>
      </c>
    </row>
    <row r="30" spans="2:29" ht="19.05" customHeight="1" x14ac:dyDescent="0.3">
      <c r="B30" s="89">
        <v>3</v>
      </c>
      <c r="C30" s="23">
        <v>4</v>
      </c>
      <c r="D30" s="23">
        <v>5</v>
      </c>
      <c r="E30" s="5">
        <f t="shared" si="2"/>
        <v>0</v>
      </c>
      <c r="F30" s="5">
        <f t="shared" si="3"/>
        <v>280</v>
      </c>
      <c r="G30" s="5">
        <f t="shared" si="4"/>
        <v>350</v>
      </c>
      <c r="H30" s="5">
        <f t="shared" si="5"/>
        <v>280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280</v>
      </c>
      <c r="G31" s="5">
        <f t="shared" si="4"/>
        <v>700</v>
      </c>
      <c r="H31" s="5">
        <f t="shared" si="5"/>
        <v>280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280</v>
      </c>
      <c r="I32" s="9">
        <f t="shared" si="6"/>
        <v>0</v>
      </c>
      <c r="J32" s="9">
        <f t="shared" si="7"/>
        <v>280</v>
      </c>
      <c r="K32" s="9">
        <f t="shared" si="8"/>
        <v>280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280</v>
      </c>
      <c r="I33" s="9">
        <f t="shared" si="6"/>
        <v>0</v>
      </c>
      <c r="J33" s="9">
        <f t="shared" si="7"/>
        <v>280</v>
      </c>
      <c r="K33" s="9">
        <f t="shared" si="8"/>
        <v>280</v>
      </c>
      <c r="L33" s="92">
        <f t="shared" si="9"/>
        <v>0</v>
      </c>
      <c r="M33" s="92">
        <f t="shared" si="10"/>
        <v>1</v>
      </c>
      <c r="N33" s="22">
        <v>12</v>
      </c>
      <c r="O33" s="24">
        <v>2100000</v>
      </c>
      <c r="AA33" s="20">
        <f>IF(G37="","",G37)</f>
        <v>700</v>
      </c>
      <c r="AB33" s="20">
        <f>IF(H37="","",H37)</f>
        <v>280</v>
      </c>
      <c r="AC33" t="s">
        <v>356</v>
      </c>
    </row>
    <row r="34" spans="2:29" ht="19.05" customHeight="1" x14ac:dyDescent="0.3">
      <c r="B34" s="89">
        <v>7</v>
      </c>
      <c r="C34" s="23">
        <v>3</v>
      </c>
      <c r="D34" s="23">
        <v>6</v>
      </c>
      <c r="E34" s="5">
        <f t="shared" si="2"/>
        <v>700</v>
      </c>
      <c r="F34" s="5">
        <f t="shared" si="3"/>
        <v>0</v>
      </c>
      <c r="G34" s="5">
        <f t="shared" si="4"/>
        <v>700</v>
      </c>
      <c r="H34" s="5">
        <f t="shared" si="5"/>
        <v>280</v>
      </c>
      <c r="I34" s="9">
        <f t="shared" si="6"/>
        <v>0</v>
      </c>
      <c r="J34" s="9">
        <f t="shared" si="7"/>
        <v>280</v>
      </c>
      <c r="K34" s="9">
        <f t="shared" si="8"/>
        <v>280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280</v>
      </c>
      <c r="I35" s="9">
        <f t="shared" si="6"/>
        <v>350</v>
      </c>
      <c r="J35" s="9">
        <f t="shared" si="7"/>
        <v>280</v>
      </c>
      <c r="K35" s="9">
        <f t="shared" si="8"/>
        <v>448.2186966202994</v>
      </c>
      <c r="L35" s="92">
        <f t="shared" si="9"/>
        <v>0.78086880944303039</v>
      </c>
      <c r="M35" s="92">
        <f t="shared" si="10"/>
        <v>0.62469504755442429</v>
      </c>
      <c r="N35" s="22">
        <v>12</v>
      </c>
      <c r="O35" s="24">
        <v>2100000</v>
      </c>
      <c r="AA35" s="20">
        <f>IF(E38="","",E38)</f>
        <v>350</v>
      </c>
      <c r="AB35" s="20">
        <f>IF(F38="","",F38)</f>
        <v>280</v>
      </c>
      <c r="AC35" t="s">
        <v>357</v>
      </c>
    </row>
    <row r="36" spans="2:29" ht="19.05" customHeight="1" x14ac:dyDescent="0.3">
      <c r="B36" s="89">
        <v>9</v>
      </c>
      <c r="C36" s="23">
        <v>4</v>
      </c>
      <c r="D36" s="23">
        <v>2</v>
      </c>
      <c r="E36" s="5">
        <f t="shared" si="2"/>
        <v>0</v>
      </c>
      <c r="F36" s="5">
        <f t="shared" si="3"/>
        <v>280</v>
      </c>
      <c r="G36" s="5">
        <f t="shared" si="4"/>
        <v>350</v>
      </c>
      <c r="H36" s="5">
        <f t="shared" si="5"/>
        <v>0</v>
      </c>
      <c r="I36" s="9">
        <f t="shared" si="6"/>
        <v>350</v>
      </c>
      <c r="J36" s="9">
        <f t="shared" si="7"/>
        <v>-280</v>
      </c>
      <c r="K36" s="9">
        <f t="shared" si="8"/>
        <v>448.2186966202994</v>
      </c>
      <c r="L36" s="92">
        <f t="shared" si="9"/>
        <v>0.78086880944303039</v>
      </c>
      <c r="M36" s="92">
        <f t="shared" si="10"/>
        <v>-0.62469504755442429</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280</v>
      </c>
      <c r="I37" s="9">
        <f t="shared" si="6"/>
        <v>350</v>
      </c>
      <c r="J37" s="9">
        <f t="shared" si="7"/>
        <v>280</v>
      </c>
      <c r="K37" s="9">
        <f t="shared" si="8"/>
        <v>448.2186966202994</v>
      </c>
      <c r="L37" s="92">
        <f t="shared" si="9"/>
        <v>0.78086880944303039</v>
      </c>
      <c r="M37" s="92">
        <f t="shared" si="10"/>
        <v>0.62469504755442429</v>
      </c>
      <c r="N37" s="22">
        <v>12</v>
      </c>
      <c r="O37" s="24">
        <v>2100000</v>
      </c>
    </row>
    <row r="38" spans="2:29" ht="19.05" customHeight="1" x14ac:dyDescent="0.3">
      <c r="B38" s="89">
        <v>11</v>
      </c>
      <c r="C38" s="23">
        <v>5</v>
      </c>
      <c r="D38" s="23">
        <v>3</v>
      </c>
      <c r="E38" s="5">
        <f t="shared" si="2"/>
        <v>350</v>
      </c>
      <c r="F38" s="5">
        <f t="shared" si="3"/>
        <v>280</v>
      </c>
      <c r="G38" s="5">
        <f t="shared" si="4"/>
        <v>700</v>
      </c>
      <c r="H38" s="5">
        <f t="shared" si="5"/>
        <v>0</v>
      </c>
      <c r="I38" s="9">
        <f t="shared" si="6"/>
        <v>350</v>
      </c>
      <c r="J38" s="9">
        <f t="shared" si="7"/>
        <v>-280</v>
      </c>
      <c r="K38" s="9">
        <f t="shared" si="8"/>
        <v>448.2186966202994</v>
      </c>
      <c r="L38" s="92">
        <f t="shared" si="9"/>
        <v>0.78086880944303039</v>
      </c>
      <c r="M38" s="92">
        <f t="shared" si="10"/>
        <v>-0.62469504755442429</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700</v>
      </c>
      <c r="H39" s="5">
        <f t="shared" si="5"/>
        <v>280</v>
      </c>
      <c r="I39" s="9">
        <f t="shared" si="6"/>
        <v>700</v>
      </c>
      <c r="J39" s="9">
        <f t="shared" si="7"/>
        <v>280</v>
      </c>
      <c r="K39" s="9">
        <f t="shared" si="8"/>
        <v>753.92307299883055</v>
      </c>
      <c r="L39" s="92">
        <f t="shared" si="9"/>
        <v>0.9284766908852593</v>
      </c>
      <c r="M39" s="92">
        <f t="shared" si="10"/>
        <v>0.37139067635410372</v>
      </c>
      <c r="N39" s="22">
        <v>12</v>
      </c>
      <c r="O39" s="24">
        <v>2100000</v>
      </c>
      <c r="AA39" s="20">
        <f>IF(G39="","",G39)</f>
        <v>700</v>
      </c>
      <c r="AB39" s="20">
        <f>IF(H39="","",H39)</f>
        <v>280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500-000000000000}">
      <formula1>"Fijo (articulado),Rodillo Y (despl. X libre),Rodillo X (despl. Y libre),Libre (0 reac.)"</formula1>
    </dataValidation>
  </dataValidations>
  <pageMargins left="0.75" right="0.75" top="1" bottom="1" header="0.5" footer="0.5"/>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U52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709</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HYPERLINK("#'GRAFICA_66'!A1",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GRAFICA_66!E28</f>
        <v>0</v>
      </c>
      <c r="D6" s="22">
        <f>GRAFICA_66!F28</f>
        <v>0</v>
      </c>
      <c r="E6" s="22">
        <f>GRAFICA_66!G28</f>
        <v>350</v>
      </c>
      <c r="F6" s="22">
        <f>GRAFICA_66!H28</f>
        <v>0</v>
      </c>
      <c r="G6" s="9">
        <f t="shared" ref="G6:G17" si="0">E6-C6</f>
        <v>350</v>
      </c>
      <c r="H6" s="9">
        <f t="shared" ref="H6:H17" si="1">F6-D6</f>
        <v>0</v>
      </c>
      <c r="I6" s="9">
        <f t="shared" ref="I6:I17" si="2">SQRT(G6*G6+H6*H6)</f>
        <v>350</v>
      </c>
      <c r="J6" s="92">
        <f t="shared" ref="J6:J17" si="3">G6/I6</f>
        <v>1</v>
      </c>
      <c r="K6" s="92">
        <f t="shared" ref="K6:K17" si="4">H6/I6</f>
        <v>0</v>
      </c>
      <c r="L6" s="22">
        <f>GRAFICA_66!N28</f>
        <v>12</v>
      </c>
      <c r="M6" s="22">
        <f>GRAFICA_66!O28</f>
        <v>2100000</v>
      </c>
      <c r="N6" s="6">
        <f t="shared" ref="N6:N17" si="5">L6*M6/I6</f>
        <v>72000</v>
      </c>
    </row>
    <row r="7" spans="2:14" ht="19.05" customHeight="1" x14ac:dyDescent="0.3">
      <c r="B7" s="25">
        <v>2</v>
      </c>
      <c r="C7" s="22">
        <f>GRAFICA_66!E29</f>
        <v>350</v>
      </c>
      <c r="D7" s="22">
        <f>GRAFICA_66!F29</f>
        <v>0</v>
      </c>
      <c r="E7" s="22">
        <f>GRAFICA_66!G29</f>
        <v>700</v>
      </c>
      <c r="F7" s="22">
        <f>GRAFICA_66!H29</f>
        <v>0</v>
      </c>
      <c r="G7" s="9">
        <f t="shared" si="0"/>
        <v>350</v>
      </c>
      <c r="H7" s="9">
        <f t="shared" si="1"/>
        <v>0</v>
      </c>
      <c r="I7" s="9">
        <f t="shared" si="2"/>
        <v>350</v>
      </c>
      <c r="J7" s="92">
        <f t="shared" si="3"/>
        <v>1</v>
      </c>
      <c r="K7" s="92">
        <f t="shared" si="4"/>
        <v>0</v>
      </c>
      <c r="L7" s="22">
        <f>GRAFICA_66!N29</f>
        <v>12</v>
      </c>
      <c r="M7" s="22">
        <f>GRAFICA_66!O29</f>
        <v>2100000</v>
      </c>
      <c r="N7" s="6">
        <f t="shared" si="5"/>
        <v>72000</v>
      </c>
    </row>
    <row r="8" spans="2:14" ht="19.05" customHeight="1" x14ac:dyDescent="0.3">
      <c r="B8" s="26">
        <v>3</v>
      </c>
      <c r="C8" s="22">
        <f>GRAFICA_66!E30</f>
        <v>0</v>
      </c>
      <c r="D8" s="22">
        <f>GRAFICA_66!F30</f>
        <v>280</v>
      </c>
      <c r="E8" s="22">
        <f>GRAFICA_66!G30</f>
        <v>350</v>
      </c>
      <c r="F8" s="22">
        <f>GRAFICA_66!H30</f>
        <v>280</v>
      </c>
      <c r="G8" s="9">
        <f t="shared" si="0"/>
        <v>350</v>
      </c>
      <c r="H8" s="9">
        <f t="shared" si="1"/>
        <v>0</v>
      </c>
      <c r="I8" s="9">
        <f t="shared" si="2"/>
        <v>350</v>
      </c>
      <c r="J8" s="92">
        <f t="shared" si="3"/>
        <v>1</v>
      </c>
      <c r="K8" s="92">
        <f t="shared" si="4"/>
        <v>0</v>
      </c>
      <c r="L8" s="22">
        <f>GRAFICA_66!N30</f>
        <v>12</v>
      </c>
      <c r="M8" s="22">
        <f>GRAFICA_66!O30</f>
        <v>2100000</v>
      </c>
      <c r="N8" s="6">
        <f t="shared" si="5"/>
        <v>72000</v>
      </c>
    </row>
    <row r="9" spans="2:14" ht="19.05" customHeight="1" x14ac:dyDescent="0.3">
      <c r="B9" s="43">
        <v>4</v>
      </c>
      <c r="C9" s="22">
        <f>GRAFICA_66!E31</f>
        <v>350</v>
      </c>
      <c r="D9" s="22">
        <f>GRAFICA_66!F31</f>
        <v>280</v>
      </c>
      <c r="E9" s="22">
        <f>GRAFICA_66!G31</f>
        <v>700</v>
      </c>
      <c r="F9" s="22">
        <f>GRAFICA_66!H31</f>
        <v>280</v>
      </c>
      <c r="G9" s="9">
        <f t="shared" si="0"/>
        <v>350</v>
      </c>
      <c r="H9" s="9">
        <f t="shared" si="1"/>
        <v>0</v>
      </c>
      <c r="I9" s="9">
        <f t="shared" si="2"/>
        <v>350</v>
      </c>
      <c r="J9" s="92">
        <f t="shared" si="3"/>
        <v>1</v>
      </c>
      <c r="K9" s="92">
        <f t="shared" si="4"/>
        <v>0</v>
      </c>
      <c r="L9" s="22">
        <f>GRAFICA_66!N31</f>
        <v>12</v>
      </c>
      <c r="M9" s="22">
        <f>GRAFICA_66!O31</f>
        <v>2100000</v>
      </c>
      <c r="N9" s="6">
        <f t="shared" si="5"/>
        <v>72000</v>
      </c>
    </row>
    <row r="10" spans="2:14" ht="19.05" customHeight="1" x14ac:dyDescent="0.3">
      <c r="B10" s="44">
        <v>5</v>
      </c>
      <c r="C10" s="22">
        <f>GRAFICA_66!E32</f>
        <v>0</v>
      </c>
      <c r="D10" s="22">
        <f>GRAFICA_66!F32</f>
        <v>0</v>
      </c>
      <c r="E10" s="22">
        <f>GRAFICA_66!G32</f>
        <v>0</v>
      </c>
      <c r="F10" s="22">
        <f>GRAFICA_66!H32</f>
        <v>280</v>
      </c>
      <c r="G10" s="9">
        <f t="shared" si="0"/>
        <v>0</v>
      </c>
      <c r="H10" s="9">
        <f t="shared" si="1"/>
        <v>280</v>
      </c>
      <c r="I10" s="9">
        <f t="shared" si="2"/>
        <v>280</v>
      </c>
      <c r="J10" s="92">
        <f t="shared" si="3"/>
        <v>0</v>
      </c>
      <c r="K10" s="92">
        <f t="shared" si="4"/>
        <v>1</v>
      </c>
      <c r="L10" s="22">
        <f>GRAFICA_66!N32</f>
        <v>12</v>
      </c>
      <c r="M10" s="22">
        <f>GRAFICA_66!O32</f>
        <v>2100000</v>
      </c>
      <c r="N10" s="6">
        <f t="shared" si="5"/>
        <v>90000</v>
      </c>
    </row>
    <row r="11" spans="2:14" ht="19.05" customHeight="1" x14ac:dyDescent="0.3">
      <c r="B11" s="51">
        <v>6</v>
      </c>
      <c r="C11" s="22">
        <f>GRAFICA_66!E33</f>
        <v>350</v>
      </c>
      <c r="D11" s="22">
        <f>GRAFICA_66!F33</f>
        <v>0</v>
      </c>
      <c r="E11" s="22">
        <f>GRAFICA_66!G33</f>
        <v>350</v>
      </c>
      <c r="F11" s="22">
        <f>GRAFICA_66!H33</f>
        <v>280</v>
      </c>
      <c r="G11" s="9">
        <f t="shared" si="0"/>
        <v>0</v>
      </c>
      <c r="H11" s="9">
        <f t="shared" si="1"/>
        <v>280</v>
      </c>
      <c r="I11" s="9">
        <f t="shared" si="2"/>
        <v>280</v>
      </c>
      <c r="J11" s="92">
        <f t="shared" si="3"/>
        <v>0</v>
      </c>
      <c r="K11" s="92">
        <f t="shared" si="4"/>
        <v>1</v>
      </c>
      <c r="L11" s="22">
        <f>GRAFICA_66!N33</f>
        <v>12</v>
      </c>
      <c r="M11" s="22">
        <f>GRAFICA_66!O33</f>
        <v>2100000</v>
      </c>
      <c r="N11" s="6">
        <f t="shared" si="5"/>
        <v>90000</v>
      </c>
    </row>
    <row r="12" spans="2:14" ht="19.05" customHeight="1" x14ac:dyDescent="0.3">
      <c r="B12" s="52">
        <v>7</v>
      </c>
      <c r="C12" s="22">
        <f>GRAFICA_66!E34</f>
        <v>700</v>
      </c>
      <c r="D12" s="22">
        <f>GRAFICA_66!F34</f>
        <v>0</v>
      </c>
      <c r="E12" s="22">
        <f>GRAFICA_66!G34</f>
        <v>700</v>
      </c>
      <c r="F12" s="22">
        <f>GRAFICA_66!H34</f>
        <v>280</v>
      </c>
      <c r="G12" s="9">
        <f t="shared" si="0"/>
        <v>0</v>
      </c>
      <c r="H12" s="9">
        <f t="shared" si="1"/>
        <v>280</v>
      </c>
      <c r="I12" s="9">
        <f t="shared" si="2"/>
        <v>280</v>
      </c>
      <c r="J12" s="92">
        <f t="shared" si="3"/>
        <v>0</v>
      </c>
      <c r="K12" s="92">
        <f t="shared" si="4"/>
        <v>1</v>
      </c>
      <c r="L12" s="22">
        <f>GRAFICA_66!N34</f>
        <v>12</v>
      </c>
      <c r="M12" s="22">
        <f>GRAFICA_66!O34</f>
        <v>2100000</v>
      </c>
      <c r="N12" s="6">
        <f t="shared" si="5"/>
        <v>90000</v>
      </c>
    </row>
    <row r="13" spans="2:14" ht="19.05" customHeight="1" x14ac:dyDescent="0.3">
      <c r="B13" s="59">
        <v>8</v>
      </c>
      <c r="C13" s="22">
        <f>GRAFICA_66!E35</f>
        <v>0</v>
      </c>
      <c r="D13" s="22">
        <f>GRAFICA_66!F35</f>
        <v>0</v>
      </c>
      <c r="E13" s="22">
        <f>GRAFICA_66!G35</f>
        <v>350</v>
      </c>
      <c r="F13" s="22">
        <f>GRAFICA_66!H35</f>
        <v>280</v>
      </c>
      <c r="G13" s="9">
        <f t="shared" si="0"/>
        <v>350</v>
      </c>
      <c r="H13" s="9">
        <f t="shared" si="1"/>
        <v>280</v>
      </c>
      <c r="I13" s="9">
        <f t="shared" si="2"/>
        <v>448.2186966202994</v>
      </c>
      <c r="J13" s="92">
        <f t="shared" si="3"/>
        <v>0.78086880944303039</v>
      </c>
      <c r="K13" s="92">
        <f t="shared" si="4"/>
        <v>0.62469504755442429</v>
      </c>
      <c r="L13" s="22">
        <f>GRAFICA_66!N35</f>
        <v>12</v>
      </c>
      <c r="M13" s="22">
        <f>GRAFICA_66!O35</f>
        <v>2100000</v>
      </c>
      <c r="N13" s="6">
        <f t="shared" si="5"/>
        <v>56222.554279898184</v>
      </c>
    </row>
    <row r="14" spans="2:14" ht="19.05" customHeight="1" x14ac:dyDescent="0.3">
      <c r="B14" s="60">
        <v>9</v>
      </c>
      <c r="C14" s="22">
        <f>GRAFICA_66!E36</f>
        <v>0</v>
      </c>
      <c r="D14" s="22">
        <f>GRAFICA_66!F36</f>
        <v>280</v>
      </c>
      <c r="E14" s="22">
        <f>GRAFICA_66!G36</f>
        <v>350</v>
      </c>
      <c r="F14" s="22">
        <f>GRAFICA_66!H36</f>
        <v>0</v>
      </c>
      <c r="G14" s="9">
        <f t="shared" si="0"/>
        <v>350</v>
      </c>
      <c r="H14" s="9">
        <f t="shared" si="1"/>
        <v>-280</v>
      </c>
      <c r="I14" s="9">
        <f t="shared" si="2"/>
        <v>448.2186966202994</v>
      </c>
      <c r="J14" s="92">
        <f t="shared" si="3"/>
        <v>0.78086880944303039</v>
      </c>
      <c r="K14" s="92">
        <f t="shared" si="4"/>
        <v>-0.62469504755442429</v>
      </c>
      <c r="L14" s="22">
        <f>GRAFICA_66!N36</f>
        <v>12</v>
      </c>
      <c r="M14" s="22">
        <f>GRAFICA_66!O36</f>
        <v>2100000</v>
      </c>
      <c r="N14" s="6">
        <f t="shared" si="5"/>
        <v>56222.554279898184</v>
      </c>
    </row>
    <row r="15" spans="2:14" ht="19.05" customHeight="1" x14ac:dyDescent="0.3">
      <c r="B15" s="67">
        <v>10</v>
      </c>
      <c r="C15" s="22">
        <f>GRAFICA_66!E37</f>
        <v>350</v>
      </c>
      <c r="D15" s="22">
        <f>GRAFICA_66!F37</f>
        <v>0</v>
      </c>
      <c r="E15" s="22">
        <f>GRAFICA_66!G37</f>
        <v>700</v>
      </c>
      <c r="F15" s="22">
        <f>GRAFICA_66!H37</f>
        <v>280</v>
      </c>
      <c r="G15" s="9">
        <f t="shared" si="0"/>
        <v>350</v>
      </c>
      <c r="H15" s="9">
        <f t="shared" si="1"/>
        <v>280</v>
      </c>
      <c r="I15" s="9">
        <f t="shared" si="2"/>
        <v>448.2186966202994</v>
      </c>
      <c r="J15" s="92">
        <f t="shared" si="3"/>
        <v>0.78086880944303039</v>
      </c>
      <c r="K15" s="92">
        <f t="shared" si="4"/>
        <v>0.62469504755442429</v>
      </c>
      <c r="L15" s="22">
        <f>GRAFICA_66!N37</f>
        <v>12</v>
      </c>
      <c r="M15" s="22">
        <f>GRAFICA_66!O37</f>
        <v>2100000</v>
      </c>
      <c r="N15" s="6">
        <f t="shared" si="5"/>
        <v>56222.554279898184</v>
      </c>
    </row>
    <row r="16" spans="2:14" ht="19.05" customHeight="1" x14ac:dyDescent="0.3">
      <c r="B16" s="68">
        <v>11</v>
      </c>
      <c r="C16" s="22">
        <f>GRAFICA_66!E38</f>
        <v>350</v>
      </c>
      <c r="D16" s="22">
        <f>GRAFICA_66!F38</f>
        <v>280</v>
      </c>
      <c r="E16" s="22">
        <f>GRAFICA_66!G38</f>
        <v>700</v>
      </c>
      <c r="F16" s="22">
        <f>GRAFICA_66!H38</f>
        <v>0</v>
      </c>
      <c r="G16" s="9">
        <f t="shared" si="0"/>
        <v>350</v>
      </c>
      <c r="H16" s="9">
        <f t="shared" si="1"/>
        <v>-280</v>
      </c>
      <c r="I16" s="9">
        <f t="shared" si="2"/>
        <v>448.2186966202994</v>
      </c>
      <c r="J16" s="92">
        <f t="shared" si="3"/>
        <v>0.78086880944303039</v>
      </c>
      <c r="K16" s="92">
        <f t="shared" si="4"/>
        <v>-0.62469504755442429</v>
      </c>
      <c r="L16" s="22">
        <f>GRAFICA_66!N38</f>
        <v>12</v>
      </c>
      <c r="M16" s="22">
        <f>GRAFICA_66!O38</f>
        <v>2100000</v>
      </c>
      <c r="N16" s="6">
        <f t="shared" si="5"/>
        <v>56222.554279898184</v>
      </c>
    </row>
    <row r="17" spans="2:14" ht="19.05" customHeight="1" x14ac:dyDescent="0.3">
      <c r="B17" s="10">
        <v>12</v>
      </c>
      <c r="C17" s="22">
        <f>GRAFICA_66!E39</f>
        <v>0</v>
      </c>
      <c r="D17" s="22">
        <f>GRAFICA_66!F39</f>
        <v>0</v>
      </c>
      <c r="E17" s="22">
        <f>GRAFICA_66!G39</f>
        <v>700</v>
      </c>
      <c r="F17" s="22">
        <f>GRAFICA_66!H39</f>
        <v>280</v>
      </c>
      <c r="G17" s="9">
        <f t="shared" si="0"/>
        <v>700</v>
      </c>
      <c r="H17" s="9">
        <f t="shared" si="1"/>
        <v>280</v>
      </c>
      <c r="I17" s="9">
        <f t="shared" si="2"/>
        <v>753.92307299883055</v>
      </c>
      <c r="J17" s="92">
        <f t="shared" si="3"/>
        <v>0.9284766908852593</v>
      </c>
      <c r="K17" s="92">
        <f t="shared" si="4"/>
        <v>0.37139067635410372</v>
      </c>
      <c r="L17" s="22">
        <f>GRAFICA_66!N39</f>
        <v>12</v>
      </c>
      <c r="M17" s="22">
        <f>GRAFICA_66!O39</f>
        <v>2100000</v>
      </c>
      <c r="N17" s="6">
        <f t="shared" si="5"/>
        <v>33425.160871869339</v>
      </c>
    </row>
    <row r="19" spans="2:14" ht="18" customHeight="1" x14ac:dyDescent="0.3">
      <c r="B19" s="202" t="s">
        <v>145</v>
      </c>
      <c r="C19" s="202" t="s">
        <v>369</v>
      </c>
      <c r="D19" s="173"/>
      <c r="E19" s="202" t="s">
        <v>370</v>
      </c>
      <c r="F19" s="173"/>
    </row>
    <row r="20" spans="2:14" ht="18" customHeight="1" x14ac:dyDescent="0.3">
      <c r="B20" s="203"/>
      <c r="C20" s="81" t="s">
        <v>157</v>
      </c>
      <c r="D20" s="81" t="s">
        <v>158</v>
      </c>
      <c r="E20" s="81" t="s">
        <v>157</v>
      </c>
      <c r="F20" s="81" t="s">
        <v>158</v>
      </c>
    </row>
    <row r="21" spans="2:14" ht="19.05" customHeight="1" x14ac:dyDescent="0.3">
      <c r="B21" s="85">
        <v>1</v>
      </c>
      <c r="C21" s="23">
        <f>GRAFICA_66!C28</f>
        <v>1</v>
      </c>
      <c r="D21" s="23">
        <f>GRAFICA_66!C28</f>
        <v>1</v>
      </c>
      <c r="E21" s="23">
        <f>GRAFICA_66!D28</f>
        <v>2</v>
      </c>
      <c r="F21" s="23">
        <f>GRAFICA_66!D28</f>
        <v>2</v>
      </c>
    </row>
    <row r="22" spans="2:14" ht="19.05" customHeight="1" x14ac:dyDescent="0.3">
      <c r="B22" s="25">
        <v>2</v>
      </c>
      <c r="C22" s="23">
        <f>GRAFICA_66!C29</f>
        <v>2</v>
      </c>
      <c r="D22" s="23">
        <f>GRAFICA_66!C29</f>
        <v>2</v>
      </c>
      <c r="E22" s="23">
        <f>GRAFICA_66!D29</f>
        <v>3</v>
      </c>
      <c r="F22" s="23">
        <f>GRAFICA_66!D29</f>
        <v>3</v>
      </c>
    </row>
    <row r="23" spans="2:14" ht="19.05" customHeight="1" x14ac:dyDescent="0.3">
      <c r="B23" s="26">
        <v>3</v>
      </c>
      <c r="C23" s="23">
        <f>GRAFICA_66!C30</f>
        <v>4</v>
      </c>
      <c r="D23" s="23">
        <f>GRAFICA_66!C30</f>
        <v>4</v>
      </c>
      <c r="E23" s="23">
        <f>GRAFICA_66!D30</f>
        <v>5</v>
      </c>
      <c r="F23" s="23">
        <f>GRAFICA_66!D30</f>
        <v>5</v>
      </c>
    </row>
    <row r="24" spans="2:14" ht="19.05" customHeight="1" x14ac:dyDescent="0.3">
      <c r="B24" s="43">
        <v>4</v>
      </c>
      <c r="C24" s="23">
        <f>GRAFICA_66!C31</f>
        <v>5</v>
      </c>
      <c r="D24" s="23">
        <f>GRAFICA_66!C31</f>
        <v>5</v>
      </c>
      <c r="E24" s="23">
        <f>GRAFICA_66!D31</f>
        <v>6</v>
      </c>
      <c r="F24" s="23">
        <f>GRAFICA_66!D31</f>
        <v>6</v>
      </c>
    </row>
    <row r="25" spans="2:14" ht="19.05" customHeight="1" x14ac:dyDescent="0.3">
      <c r="B25" s="44">
        <v>5</v>
      </c>
      <c r="C25" s="23">
        <f>GRAFICA_66!C32</f>
        <v>1</v>
      </c>
      <c r="D25" s="23">
        <f>GRAFICA_66!C32</f>
        <v>1</v>
      </c>
      <c r="E25" s="23">
        <f>GRAFICA_66!D32</f>
        <v>4</v>
      </c>
      <c r="F25" s="23">
        <f>GRAFICA_66!D32</f>
        <v>4</v>
      </c>
    </row>
    <row r="26" spans="2:14" ht="19.05" customHeight="1" x14ac:dyDescent="0.3">
      <c r="B26" s="51">
        <v>6</v>
      </c>
      <c r="C26" s="23">
        <f>GRAFICA_66!C33</f>
        <v>2</v>
      </c>
      <c r="D26" s="23">
        <f>GRAFICA_66!C33</f>
        <v>2</v>
      </c>
      <c r="E26" s="23">
        <f>GRAFICA_66!D33</f>
        <v>5</v>
      </c>
      <c r="F26" s="23">
        <f>GRAFICA_66!D33</f>
        <v>5</v>
      </c>
    </row>
    <row r="27" spans="2:14" ht="19.05" customHeight="1" x14ac:dyDescent="0.3">
      <c r="B27" s="52">
        <v>7</v>
      </c>
      <c r="C27" s="23">
        <f>GRAFICA_66!C34</f>
        <v>3</v>
      </c>
      <c r="D27" s="23">
        <f>GRAFICA_66!C34</f>
        <v>3</v>
      </c>
      <c r="E27" s="23">
        <f>GRAFICA_66!D34</f>
        <v>6</v>
      </c>
      <c r="F27" s="23">
        <f>GRAFICA_66!D34</f>
        <v>6</v>
      </c>
    </row>
    <row r="28" spans="2:14" ht="19.05" customHeight="1" x14ac:dyDescent="0.3">
      <c r="B28" s="59">
        <v>8</v>
      </c>
      <c r="C28" s="23">
        <f>GRAFICA_66!C35</f>
        <v>1</v>
      </c>
      <c r="D28" s="23">
        <f>GRAFICA_66!C35</f>
        <v>1</v>
      </c>
      <c r="E28" s="23">
        <f>GRAFICA_66!D35</f>
        <v>5</v>
      </c>
      <c r="F28" s="23">
        <f>GRAFICA_66!D35</f>
        <v>5</v>
      </c>
    </row>
    <row r="29" spans="2:14" ht="19.05" customHeight="1" x14ac:dyDescent="0.3">
      <c r="B29" s="60">
        <v>9</v>
      </c>
      <c r="C29" s="23">
        <f>GRAFICA_66!C36</f>
        <v>4</v>
      </c>
      <c r="D29" s="23">
        <f>GRAFICA_66!C36</f>
        <v>4</v>
      </c>
      <c r="E29" s="23">
        <f>GRAFICA_66!D36</f>
        <v>2</v>
      </c>
      <c r="F29" s="23">
        <f>GRAFICA_66!D36</f>
        <v>2</v>
      </c>
    </row>
    <row r="30" spans="2:14" ht="19.05" customHeight="1" x14ac:dyDescent="0.3">
      <c r="B30" s="67">
        <v>10</v>
      </c>
      <c r="C30" s="23">
        <f>GRAFICA_66!C37</f>
        <v>2</v>
      </c>
      <c r="D30" s="23">
        <f>GRAFICA_66!C37</f>
        <v>2</v>
      </c>
      <c r="E30" s="23">
        <f>GRAFICA_66!D37</f>
        <v>6</v>
      </c>
      <c r="F30" s="23">
        <f>GRAFICA_66!D37</f>
        <v>6</v>
      </c>
    </row>
    <row r="31" spans="2:14" ht="19.05" customHeight="1" x14ac:dyDescent="0.3">
      <c r="B31" s="68">
        <v>11</v>
      </c>
      <c r="C31" s="23">
        <f>GRAFICA_66!C38</f>
        <v>5</v>
      </c>
      <c r="D31" s="23">
        <f>GRAFICA_66!C38</f>
        <v>5</v>
      </c>
      <c r="E31" s="23">
        <f>GRAFICA_66!D38</f>
        <v>3</v>
      </c>
      <c r="F31" s="23">
        <f>GRAFICA_66!D38</f>
        <v>3</v>
      </c>
    </row>
    <row r="32" spans="2:14" ht="19.05" customHeight="1" x14ac:dyDescent="0.3">
      <c r="B32" s="10">
        <v>12</v>
      </c>
      <c r="C32" s="23">
        <f>GRAFICA_66!C39</f>
        <v>1</v>
      </c>
      <c r="D32" s="23">
        <f>GRAFICA_66!C39</f>
        <v>1</v>
      </c>
      <c r="E32" s="23">
        <f>GRAFICA_66!D39</f>
        <v>6</v>
      </c>
      <c r="F32" s="23">
        <f>GRAFICA_66!D39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72000</v>
      </c>
      <c r="C36" s="7">
        <f>J6*K6*N6</f>
        <v>0</v>
      </c>
      <c r="D36" s="7">
        <f>-B36</f>
        <v>-72000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-72000</v>
      </c>
      <c r="C38" s="7">
        <f>E36</f>
        <v>0</v>
      </c>
      <c r="D38" s="7">
        <f>B36</f>
        <v>72000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72000</v>
      </c>
      <c r="C57" s="30">
        <f>J7*K7*N7</f>
        <v>0</v>
      </c>
      <c r="D57" s="30">
        <f>-B57</f>
        <v>-72000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-72000</v>
      </c>
      <c r="C59" s="30">
        <f>E57</f>
        <v>0</v>
      </c>
      <c r="D59" s="30">
        <f>B57</f>
        <v>72000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-72000</v>
      </c>
      <c r="E67" s="31">
        <f t="shared" si="7"/>
        <v>0</v>
      </c>
      <c r="F67" s="31">
        <f t="shared" si="7"/>
        <v>72000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72000</v>
      </c>
      <c r="C78" s="33">
        <f>J8*K8*N8</f>
        <v>0</v>
      </c>
      <c r="D78" s="33">
        <f>-B78</f>
        <v>-72000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-72000</v>
      </c>
      <c r="C80" s="33">
        <f>E78</f>
        <v>0</v>
      </c>
      <c r="D80" s="33">
        <f>B78</f>
        <v>72000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-72000</v>
      </c>
      <c r="I92" s="34">
        <f t="shared" si="8"/>
        <v>0</v>
      </c>
      <c r="J92" s="34">
        <f t="shared" si="8"/>
        <v>72000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72000</v>
      </c>
      <c r="C99" s="46">
        <f>J9*K9*N9</f>
        <v>0</v>
      </c>
      <c r="D99" s="46">
        <f>-B99</f>
        <v>-72000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-72000</v>
      </c>
      <c r="C101" s="46">
        <f>E99</f>
        <v>0</v>
      </c>
      <c r="D101" s="46">
        <f>B99</f>
        <v>72000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-72000</v>
      </c>
      <c r="K115" s="47">
        <f t="shared" si="9"/>
        <v>0</v>
      </c>
      <c r="L115" s="47">
        <f t="shared" si="9"/>
        <v>72000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90000</v>
      </c>
      <c r="D121" s="49">
        <f>-B121</f>
        <v>0</v>
      </c>
      <c r="E121" s="49">
        <f>-C121</f>
        <v>-90000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-90000</v>
      </c>
      <c r="D123" s="49">
        <f>B121</f>
        <v>0</v>
      </c>
      <c r="E123" s="49">
        <f>C121</f>
        <v>90000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90000</v>
      </c>
      <c r="D127" s="9">
        <f t="shared" si="10"/>
        <v>0</v>
      </c>
      <c r="E127" s="9">
        <f t="shared" si="10"/>
        <v>0</v>
      </c>
      <c r="F127" s="9">
        <f t="shared" si="10"/>
        <v>0</v>
      </c>
      <c r="G127" s="9">
        <f t="shared" si="10"/>
        <v>0</v>
      </c>
      <c r="H127" s="50">
        <f t="shared" si="10"/>
        <v>0</v>
      </c>
      <c r="I127" s="50">
        <f t="shared" si="10"/>
        <v>-90000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-90000</v>
      </c>
      <c r="D133" s="9">
        <f t="shared" si="10"/>
        <v>0</v>
      </c>
      <c r="E133" s="9">
        <f t="shared" si="10"/>
        <v>0</v>
      </c>
      <c r="F133" s="9">
        <f t="shared" si="10"/>
        <v>0</v>
      </c>
      <c r="G133" s="9">
        <f t="shared" si="10"/>
        <v>0</v>
      </c>
      <c r="H133" s="50">
        <f t="shared" si="10"/>
        <v>0</v>
      </c>
      <c r="I133" s="50">
        <f t="shared" si="10"/>
        <v>90000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90000</v>
      </c>
      <c r="D142" s="54">
        <f>-B142</f>
        <v>0</v>
      </c>
      <c r="E142" s="54">
        <f>-C142</f>
        <v>-90000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-90000</v>
      </c>
      <c r="D144" s="54">
        <f>B142</f>
        <v>0</v>
      </c>
      <c r="E144" s="54">
        <f>C142</f>
        <v>90000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90000</v>
      </c>
      <c r="F150" s="9">
        <f t="shared" si="11"/>
        <v>0</v>
      </c>
      <c r="G150" s="9">
        <f t="shared" si="11"/>
        <v>0</v>
      </c>
      <c r="H150" s="9">
        <f t="shared" si="11"/>
        <v>0</v>
      </c>
      <c r="I150" s="9">
        <f t="shared" si="11"/>
        <v>0</v>
      </c>
      <c r="J150" s="55">
        <f t="shared" si="11"/>
        <v>0</v>
      </c>
      <c r="K150" s="55">
        <f t="shared" si="11"/>
        <v>-90000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-90000</v>
      </c>
      <c r="F156" s="9">
        <f t="shared" si="11"/>
        <v>0</v>
      </c>
      <c r="G156" s="9">
        <f t="shared" si="11"/>
        <v>0</v>
      </c>
      <c r="H156" s="9">
        <f t="shared" si="11"/>
        <v>0</v>
      </c>
      <c r="I156" s="9">
        <f t="shared" si="11"/>
        <v>0</v>
      </c>
      <c r="J156" s="55">
        <f t="shared" si="11"/>
        <v>0</v>
      </c>
      <c r="K156" s="55">
        <f t="shared" si="11"/>
        <v>90000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90000</v>
      </c>
      <c r="D163" s="57">
        <f>-B163</f>
        <v>0</v>
      </c>
      <c r="E163" s="57">
        <f>-C163</f>
        <v>-90000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-90000</v>
      </c>
      <c r="D165" s="57">
        <f>B163</f>
        <v>0</v>
      </c>
      <c r="E165" s="57">
        <f>C163</f>
        <v>90000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90000</v>
      </c>
      <c r="H173" s="9">
        <f t="shared" si="12"/>
        <v>0</v>
      </c>
      <c r="I173" s="9">
        <f t="shared" si="12"/>
        <v>0</v>
      </c>
      <c r="J173" s="9">
        <f t="shared" si="12"/>
        <v>0</v>
      </c>
      <c r="K173" s="9">
        <f t="shared" si="12"/>
        <v>0</v>
      </c>
      <c r="L173" s="58">
        <f t="shared" si="12"/>
        <v>0</v>
      </c>
      <c r="M173" s="58">
        <f t="shared" si="12"/>
        <v>-90000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-90000</v>
      </c>
      <c r="H179" s="9">
        <f t="shared" si="12"/>
        <v>0</v>
      </c>
      <c r="I179" s="9">
        <f t="shared" si="12"/>
        <v>0</v>
      </c>
      <c r="J179" s="9">
        <f t="shared" si="12"/>
        <v>0</v>
      </c>
      <c r="K179" s="9">
        <f t="shared" si="12"/>
        <v>0</v>
      </c>
      <c r="L179" s="58">
        <f t="shared" si="12"/>
        <v>0</v>
      </c>
      <c r="M179" s="58">
        <f t="shared" si="12"/>
        <v>90000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34282.045292620853</v>
      </c>
      <c r="C183" s="62">
        <f>J13*K13*N13</f>
        <v>27425.636234096677</v>
      </c>
      <c r="D183" s="62">
        <f>-B183</f>
        <v>-34282.045292620853</v>
      </c>
      <c r="E183" s="62">
        <f>-C183</f>
        <v>-27425.636234096677</v>
      </c>
      <c r="F183" s="61" t="str">
        <f>B182</f>
        <v>U1X</v>
      </c>
    </row>
    <row r="184" spans="1:14" ht="16.8" customHeight="1" x14ac:dyDescent="0.3">
      <c r="A184" s="28" t="s">
        <v>203</v>
      </c>
      <c r="B184" s="62">
        <f>C183</f>
        <v>27425.636234096677</v>
      </c>
      <c r="C184" s="62">
        <f>K13*K13*N13</f>
        <v>21940.508987277342</v>
      </c>
      <c r="D184" s="62">
        <f>-B184</f>
        <v>-27425.636234096677</v>
      </c>
      <c r="E184" s="62">
        <f>-C184</f>
        <v>-21940.508987277342</v>
      </c>
      <c r="F184" s="61" t="str">
        <f>C182</f>
        <v>U1Y</v>
      </c>
    </row>
    <row r="185" spans="1:14" x14ac:dyDescent="0.3">
      <c r="B185" s="62">
        <f>D183</f>
        <v>-34282.045292620853</v>
      </c>
      <c r="C185" s="62">
        <f>E183</f>
        <v>-27425.636234096677</v>
      </c>
      <c r="D185" s="62">
        <f>B183</f>
        <v>34282.045292620853</v>
      </c>
      <c r="E185" s="62">
        <f>C183</f>
        <v>27425.636234096677</v>
      </c>
      <c r="F185" s="61" t="str">
        <f>D182</f>
        <v>U5X</v>
      </c>
    </row>
    <row r="186" spans="1:14" x14ac:dyDescent="0.3">
      <c r="B186" s="62">
        <f>D184</f>
        <v>-27425.636234096677</v>
      </c>
      <c r="C186" s="62">
        <f>E184</f>
        <v>-21940.508987277342</v>
      </c>
      <c r="D186" s="62">
        <f>B184</f>
        <v>27425.636234096677</v>
      </c>
      <c r="E186" s="62">
        <f>C184</f>
        <v>21940.508987277342</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34282.045292620853</v>
      </c>
      <c r="C189" s="63">
        <f t="shared" si="13"/>
        <v>27425.636234096677</v>
      </c>
      <c r="D189" s="9">
        <f t="shared" si="13"/>
        <v>0</v>
      </c>
      <c r="E189" s="9">
        <f t="shared" si="13"/>
        <v>0</v>
      </c>
      <c r="F189" s="9">
        <f t="shared" si="13"/>
        <v>0</v>
      </c>
      <c r="G189" s="9">
        <f t="shared" si="13"/>
        <v>0</v>
      </c>
      <c r="H189" s="9">
        <f t="shared" si="13"/>
        <v>0</v>
      </c>
      <c r="I189" s="9">
        <f t="shared" si="13"/>
        <v>0</v>
      </c>
      <c r="J189" s="63">
        <f t="shared" si="13"/>
        <v>-34282.045292620853</v>
      </c>
      <c r="K189" s="63">
        <f t="shared" si="13"/>
        <v>-27425.636234096677</v>
      </c>
      <c r="L189" s="9">
        <f t="shared" si="13"/>
        <v>0</v>
      </c>
      <c r="M189" s="9">
        <f t="shared" si="13"/>
        <v>0</v>
      </c>
      <c r="N189" s="61" t="s">
        <v>178</v>
      </c>
    </row>
    <row r="190" spans="1:14" ht="19.05" customHeight="1" x14ac:dyDescent="0.3">
      <c r="B190" s="63">
        <f t="shared" si="13"/>
        <v>27425.636234096677</v>
      </c>
      <c r="C190" s="63">
        <f t="shared" si="13"/>
        <v>21940.508987277342</v>
      </c>
      <c r="D190" s="9">
        <f t="shared" si="13"/>
        <v>0</v>
      </c>
      <c r="E190" s="9">
        <f t="shared" si="13"/>
        <v>0</v>
      </c>
      <c r="F190" s="9">
        <f t="shared" si="13"/>
        <v>0</v>
      </c>
      <c r="G190" s="9">
        <f t="shared" si="13"/>
        <v>0</v>
      </c>
      <c r="H190" s="9">
        <f t="shared" si="13"/>
        <v>0</v>
      </c>
      <c r="I190" s="9">
        <f t="shared" si="13"/>
        <v>0</v>
      </c>
      <c r="J190" s="63">
        <f t="shared" si="13"/>
        <v>-27425.636234096677</v>
      </c>
      <c r="K190" s="63">
        <f t="shared" si="13"/>
        <v>-21940.508987277342</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-34282.045292620853</v>
      </c>
      <c r="C197" s="63">
        <f t="shared" si="13"/>
        <v>-27425.636234096677</v>
      </c>
      <c r="D197" s="9">
        <f t="shared" si="13"/>
        <v>0</v>
      </c>
      <c r="E197" s="9">
        <f t="shared" si="13"/>
        <v>0</v>
      </c>
      <c r="F197" s="9">
        <f t="shared" si="13"/>
        <v>0</v>
      </c>
      <c r="G197" s="9">
        <f t="shared" si="13"/>
        <v>0</v>
      </c>
      <c r="H197" s="9">
        <f t="shared" si="13"/>
        <v>0</v>
      </c>
      <c r="I197" s="9">
        <f t="shared" si="13"/>
        <v>0</v>
      </c>
      <c r="J197" s="63">
        <f t="shared" si="13"/>
        <v>34282.045292620853</v>
      </c>
      <c r="K197" s="63">
        <f t="shared" si="13"/>
        <v>27425.636234096677</v>
      </c>
      <c r="L197" s="9">
        <f t="shared" si="13"/>
        <v>0</v>
      </c>
      <c r="M197" s="9">
        <f t="shared" si="13"/>
        <v>0</v>
      </c>
      <c r="N197" s="61" t="s">
        <v>186</v>
      </c>
    </row>
    <row r="198" spans="1:14" ht="19.05" customHeight="1" x14ac:dyDescent="0.3">
      <c r="B198" s="63">
        <f t="shared" si="13"/>
        <v>-27425.636234096677</v>
      </c>
      <c r="C198" s="63">
        <f t="shared" si="13"/>
        <v>-21940.508987277342</v>
      </c>
      <c r="D198" s="9">
        <f t="shared" si="13"/>
        <v>0</v>
      </c>
      <c r="E198" s="9">
        <f t="shared" si="13"/>
        <v>0</v>
      </c>
      <c r="F198" s="9">
        <f t="shared" si="13"/>
        <v>0</v>
      </c>
      <c r="G198" s="9">
        <f t="shared" si="13"/>
        <v>0</v>
      </c>
      <c r="H198" s="9">
        <f t="shared" si="13"/>
        <v>0</v>
      </c>
      <c r="I198" s="9">
        <f t="shared" si="13"/>
        <v>0</v>
      </c>
      <c r="J198" s="63">
        <f t="shared" si="13"/>
        <v>27425.636234096677</v>
      </c>
      <c r="K198" s="63">
        <f t="shared" si="13"/>
        <v>21940.508987277342</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34282.045292620853</v>
      </c>
      <c r="C204" s="65">
        <f>J14*K14*N14</f>
        <v>-27425.636234096677</v>
      </c>
      <c r="D204" s="65">
        <f>-B204</f>
        <v>-34282.045292620853</v>
      </c>
      <c r="E204" s="65">
        <f>-C204</f>
        <v>27425.636234096677</v>
      </c>
      <c r="F204" s="64" t="str">
        <f>B203</f>
        <v>U4X</v>
      </c>
    </row>
    <row r="205" spans="1:14" ht="16.8" customHeight="1" x14ac:dyDescent="0.3">
      <c r="A205" s="28" t="s">
        <v>528</v>
      </c>
      <c r="B205" s="65">
        <f>C204</f>
        <v>-27425.636234096677</v>
      </c>
      <c r="C205" s="65">
        <f>K14*K14*N14</f>
        <v>21940.508987277342</v>
      </c>
      <c r="D205" s="65">
        <f>-B205</f>
        <v>27425.636234096677</v>
      </c>
      <c r="E205" s="65">
        <f>-C205</f>
        <v>-21940.508987277342</v>
      </c>
      <c r="F205" s="64" t="str">
        <f>C203</f>
        <v>U4Y</v>
      </c>
    </row>
    <row r="206" spans="1:14" x14ac:dyDescent="0.3">
      <c r="B206" s="65">
        <f>D204</f>
        <v>-34282.045292620853</v>
      </c>
      <c r="C206" s="65">
        <f>E204</f>
        <v>27425.636234096677</v>
      </c>
      <c r="D206" s="65">
        <f>B204</f>
        <v>34282.045292620853</v>
      </c>
      <c r="E206" s="65">
        <f>C204</f>
        <v>-27425.636234096677</v>
      </c>
      <c r="F206" s="64" t="str">
        <f>D203</f>
        <v>U2X</v>
      </c>
    </row>
    <row r="207" spans="1:14" x14ac:dyDescent="0.3">
      <c r="B207" s="65">
        <f>D205</f>
        <v>27425.636234096677</v>
      </c>
      <c r="C207" s="65">
        <f>E205</f>
        <v>-21940.508987277342</v>
      </c>
      <c r="D207" s="65">
        <f>B205</f>
        <v>-27425.636234096677</v>
      </c>
      <c r="E207" s="65">
        <f>C205</f>
        <v>21940.508987277342</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34282.045292620853</v>
      </c>
      <c r="E212" s="66">
        <f t="shared" si="14"/>
        <v>-27425.636234096677</v>
      </c>
      <c r="F212" s="9">
        <f t="shared" si="14"/>
        <v>0</v>
      </c>
      <c r="G212" s="9">
        <f t="shared" si="14"/>
        <v>0</v>
      </c>
      <c r="H212" s="66">
        <f t="shared" si="14"/>
        <v>-34282.045292620853</v>
      </c>
      <c r="I212" s="66">
        <f t="shared" si="14"/>
        <v>27425.636234096677</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-27425.636234096677</v>
      </c>
      <c r="E213" s="66">
        <f t="shared" si="14"/>
        <v>21940.508987277342</v>
      </c>
      <c r="F213" s="9">
        <f t="shared" si="14"/>
        <v>0</v>
      </c>
      <c r="G213" s="9">
        <f t="shared" si="14"/>
        <v>0</v>
      </c>
      <c r="H213" s="66">
        <f t="shared" si="14"/>
        <v>27425.636234096677</v>
      </c>
      <c r="I213" s="66">
        <f t="shared" si="14"/>
        <v>-21940.508987277342</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-34282.045292620853</v>
      </c>
      <c r="E216" s="66">
        <f t="shared" si="14"/>
        <v>27425.636234096677</v>
      </c>
      <c r="F216" s="9">
        <f t="shared" si="14"/>
        <v>0</v>
      </c>
      <c r="G216" s="9">
        <f t="shared" si="14"/>
        <v>0</v>
      </c>
      <c r="H216" s="66">
        <f t="shared" si="14"/>
        <v>34282.045292620853</v>
      </c>
      <c r="I216" s="66">
        <f t="shared" si="14"/>
        <v>-27425.636234096677</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27425.636234096677</v>
      </c>
      <c r="E217" s="66">
        <f t="shared" si="14"/>
        <v>-21940.508987277342</v>
      </c>
      <c r="F217" s="9">
        <f t="shared" si="14"/>
        <v>0</v>
      </c>
      <c r="G217" s="9">
        <f t="shared" si="14"/>
        <v>0</v>
      </c>
      <c r="H217" s="66">
        <f t="shared" si="14"/>
        <v>-27425.636234096677</v>
      </c>
      <c r="I217" s="66">
        <f t="shared" si="14"/>
        <v>21940.508987277342</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34282.045292620853</v>
      </c>
      <c r="C225" s="70">
        <f>J15*K15*N15</f>
        <v>27425.636234096677</v>
      </c>
      <c r="D225" s="70">
        <f>-B225</f>
        <v>-34282.045292620853</v>
      </c>
      <c r="E225" s="70">
        <f>-C225</f>
        <v>-27425.636234096677</v>
      </c>
      <c r="F225" s="69" t="str">
        <f>B224</f>
        <v>U2X</v>
      </c>
    </row>
    <row r="226" spans="1:14" ht="16.8" customHeight="1" x14ac:dyDescent="0.3">
      <c r="A226" s="28" t="s">
        <v>581</v>
      </c>
      <c r="B226" s="70">
        <f>C225</f>
        <v>27425.636234096677</v>
      </c>
      <c r="C226" s="70">
        <f>K15*K15*N15</f>
        <v>21940.508987277342</v>
      </c>
      <c r="D226" s="70">
        <f>-B226</f>
        <v>-27425.636234096677</v>
      </c>
      <c r="E226" s="70">
        <f>-C226</f>
        <v>-21940.508987277342</v>
      </c>
      <c r="F226" s="69" t="str">
        <f>C224</f>
        <v>U2Y</v>
      </c>
    </row>
    <row r="227" spans="1:14" x14ac:dyDescent="0.3">
      <c r="B227" s="70">
        <f>D225</f>
        <v>-34282.045292620853</v>
      </c>
      <c r="C227" s="70">
        <f>E225</f>
        <v>-27425.636234096677</v>
      </c>
      <c r="D227" s="70">
        <f>B225</f>
        <v>34282.045292620853</v>
      </c>
      <c r="E227" s="70">
        <f>C225</f>
        <v>27425.636234096677</v>
      </c>
      <c r="F227" s="69" t="str">
        <f>D224</f>
        <v>U6X</v>
      </c>
    </row>
    <row r="228" spans="1:14" x14ac:dyDescent="0.3">
      <c r="B228" s="70">
        <f>D226</f>
        <v>-27425.636234096677</v>
      </c>
      <c r="C228" s="70">
        <f>E226</f>
        <v>-21940.508987277342</v>
      </c>
      <c r="D228" s="70">
        <f>B226</f>
        <v>27425.636234096677</v>
      </c>
      <c r="E228" s="70">
        <f>C226</f>
        <v>21940.508987277342</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34282.045292620853</v>
      </c>
      <c r="E233" s="71">
        <f t="shared" si="15"/>
        <v>27425.636234096677</v>
      </c>
      <c r="F233" s="9">
        <f t="shared" si="15"/>
        <v>0</v>
      </c>
      <c r="G233" s="9">
        <f t="shared" si="15"/>
        <v>0</v>
      </c>
      <c r="H233" s="9">
        <f t="shared" si="15"/>
        <v>0</v>
      </c>
      <c r="I233" s="9">
        <f t="shared" si="15"/>
        <v>0</v>
      </c>
      <c r="J233" s="9">
        <f t="shared" si="15"/>
        <v>0</v>
      </c>
      <c r="K233" s="9">
        <f t="shared" si="15"/>
        <v>0</v>
      </c>
      <c r="L233" s="71">
        <f t="shared" si="15"/>
        <v>-34282.045292620853</v>
      </c>
      <c r="M233" s="71">
        <f t="shared" si="15"/>
        <v>-27425.636234096677</v>
      </c>
      <c r="N233" s="69" t="s">
        <v>180</v>
      </c>
    </row>
    <row r="234" spans="1:14" ht="19.05" customHeight="1" x14ac:dyDescent="0.3">
      <c r="B234" s="9">
        <f t="shared" si="15"/>
        <v>0</v>
      </c>
      <c r="C234" s="9">
        <f t="shared" si="15"/>
        <v>0</v>
      </c>
      <c r="D234" s="71">
        <f t="shared" si="15"/>
        <v>27425.636234096677</v>
      </c>
      <c r="E234" s="71">
        <f t="shared" si="15"/>
        <v>21940.508987277342</v>
      </c>
      <c r="F234" s="9">
        <f t="shared" si="15"/>
        <v>0</v>
      </c>
      <c r="G234" s="9">
        <f t="shared" si="15"/>
        <v>0</v>
      </c>
      <c r="H234" s="9">
        <f t="shared" si="15"/>
        <v>0</v>
      </c>
      <c r="I234" s="9">
        <f t="shared" si="15"/>
        <v>0</v>
      </c>
      <c r="J234" s="9">
        <f t="shared" si="15"/>
        <v>0</v>
      </c>
      <c r="K234" s="9">
        <f t="shared" si="15"/>
        <v>0</v>
      </c>
      <c r="L234" s="71">
        <f t="shared" si="15"/>
        <v>-27425.636234096677</v>
      </c>
      <c r="M234" s="71">
        <f t="shared" si="15"/>
        <v>-21940.508987277342</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-34282.045292620853</v>
      </c>
      <c r="E241" s="71">
        <f t="shared" si="15"/>
        <v>-27425.636234096677</v>
      </c>
      <c r="F241" s="9">
        <f t="shared" si="15"/>
        <v>0</v>
      </c>
      <c r="G241" s="9">
        <f t="shared" si="15"/>
        <v>0</v>
      </c>
      <c r="H241" s="9">
        <f t="shared" si="15"/>
        <v>0</v>
      </c>
      <c r="I241" s="9">
        <f t="shared" si="15"/>
        <v>0</v>
      </c>
      <c r="J241" s="9">
        <f t="shared" si="15"/>
        <v>0</v>
      </c>
      <c r="K241" s="9">
        <f t="shared" si="15"/>
        <v>0</v>
      </c>
      <c r="L241" s="71">
        <f t="shared" si="15"/>
        <v>34282.045292620853</v>
      </c>
      <c r="M241" s="71">
        <f t="shared" si="15"/>
        <v>27425.636234096677</v>
      </c>
      <c r="N241" s="69" t="s">
        <v>188</v>
      </c>
    </row>
    <row r="242" spans="1:14" ht="19.05" customHeight="1" x14ac:dyDescent="0.3">
      <c r="B242" s="9">
        <f t="shared" si="15"/>
        <v>0</v>
      </c>
      <c r="C242" s="9">
        <f t="shared" si="15"/>
        <v>0</v>
      </c>
      <c r="D242" s="71">
        <f t="shared" si="15"/>
        <v>-27425.636234096677</v>
      </c>
      <c r="E242" s="71">
        <f t="shared" si="15"/>
        <v>-21940.508987277342</v>
      </c>
      <c r="F242" s="9">
        <f t="shared" si="15"/>
        <v>0</v>
      </c>
      <c r="G242" s="9">
        <f t="shared" si="15"/>
        <v>0</v>
      </c>
      <c r="H242" s="9">
        <f t="shared" si="15"/>
        <v>0</v>
      </c>
      <c r="I242" s="9">
        <f t="shared" si="15"/>
        <v>0</v>
      </c>
      <c r="J242" s="9">
        <f t="shared" si="15"/>
        <v>0</v>
      </c>
      <c r="K242" s="9">
        <f t="shared" si="15"/>
        <v>0</v>
      </c>
      <c r="L242" s="71">
        <f t="shared" si="15"/>
        <v>27425.636234096677</v>
      </c>
      <c r="M242" s="71">
        <f t="shared" si="15"/>
        <v>21940.508987277342</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34282.045292620853</v>
      </c>
      <c r="C246" s="73">
        <f>J16*K16*N16</f>
        <v>-27425.636234096677</v>
      </c>
      <c r="D246" s="73">
        <f>-B246</f>
        <v>-34282.045292620853</v>
      </c>
      <c r="E246" s="73">
        <f>-C246</f>
        <v>27425.636234096677</v>
      </c>
      <c r="F246" s="72" t="str">
        <f>B245</f>
        <v>U5X</v>
      </c>
    </row>
    <row r="247" spans="1:14" ht="16.8" customHeight="1" x14ac:dyDescent="0.3">
      <c r="A247" s="28" t="s">
        <v>583</v>
      </c>
      <c r="B247" s="73">
        <f>C246</f>
        <v>-27425.636234096677</v>
      </c>
      <c r="C247" s="73">
        <f>K16*K16*N16</f>
        <v>21940.508987277342</v>
      </c>
      <c r="D247" s="73">
        <f>-B247</f>
        <v>27425.636234096677</v>
      </c>
      <c r="E247" s="73">
        <f>-C247</f>
        <v>-21940.508987277342</v>
      </c>
      <c r="F247" s="72" t="str">
        <f>C245</f>
        <v>U5Y</v>
      </c>
    </row>
    <row r="248" spans="1:14" x14ac:dyDescent="0.3">
      <c r="B248" s="73">
        <f>D246</f>
        <v>-34282.045292620853</v>
      </c>
      <c r="C248" s="73">
        <f>E246</f>
        <v>27425.636234096677</v>
      </c>
      <c r="D248" s="73">
        <f>B246</f>
        <v>34282.045292620853</v>
      </c>
      <c r="E248" s="73">
        <f>C246</f>
        <v>-27425.636234096677</v>
      </c>
      <c r="F248" s="72" t="str">
        <f>D245</f>
        <v>U3X</v>
      </c>
    </row>
    <row r="249" spans="1:14" x14ac:dyDescent="0.3">
      <c r="B249" s="73">
        <f>D247</f>
        <v>27425.636234096677</v>
      </c>
      <c r="C249" s="73">
        <f>E247</f>
        <v>-21940.508987277342</v>
      </c>
      <c r="D249" s="73">
        <f>B247</f>
        <v>-27425.636234096677</v>
      </c>
      <c r="E249" s="73">
        <f>C247</f>
        <v>21940.508987277342</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34282.045292620853</v>
      </c>
      <c r="G256" s="74">
        <f t="shared" si="16"/>
        <v>-27425.636234096677</v>
      </c>
      <c r="H256" s="9">
        <f t="shared" si="16"/>
        <v>0</v>
      </c>
      <c r="I256" s="9">
        <f t="shared" si="16"/>
        <v>0</v>
      </c>
      <c r="J256" s="74">
        <f t="shared" si="16"/>
        <v>-34282.045292620853</v>
      </c>
      <c r="K256" s="74">
        <f t="shared" si="16"/>
        <v>27425.636234096677</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-27425.636234096677</v>
      </c>
      <c r="G257" s="74">
        <f t="shared" si="16"/>
        <v>21940.508987277342</v>
      </c>
      <c r="H257" s="9">
        <f t="shared" si="16"/>
        <v>0</v>
      </c>
      <c r="I257" s="9">
        <f t="shared" si="16"/>
        <v>0</v>
      </c>
      <c r="J257" s="74">
        <f t="shared" si="16"/>
        <v>27425.636234096677</v>
      </c>
      <c r="K257" s="74">
        <f t="shared" si="16"/>
        <v>-21940.508987277342</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-34282.045292620853</v>
      </c>
      <c r="G260" s="74">
        <f t="shared" si="16"/>
        <v>27425.636234096677</v>
      </c>
      <c r="H260" s="9">
        <f t="shared" si="16"/>
        <v>0</v>
      </c>
      <c r="I260" s="9">
        <f t="shared" si="16"/>
        <v>0</v>
      </c>
      <c r="J260" s="74">
        <f t="shared" si="16"/>
        <v>34282.045292620853</v>
      </c>
      <c r="K260" s="74">
        <f t="shared" si="16"/>
        <v>-27425.636234096677</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27425.636234096677</v>
      </c>
      <c r="G261" s="74">
        <f t="shared" si="16"/>
        <v>-21940.508987277342</v>
      </c>
      <c r="H261" s="9">
        <f t="shared" si="16"/>
        <v>0</v>
      </c>
      <c r="I261" s="9">
        <f t="shared" si="16"/>
        <v>0</v>
      </c>
      <c r="J261" s="74">
        <f t="shared" si="16"/>
        <v>-27425.636234096677</v>
      </c>
      <c r="K261" s="74">
        <f t="shared" si="16"/>
        <v>21940.508987277342</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28814.793855059772</v>
      </c>
      <c r="C267" s="76">
        <f>J17*K17*N17</f>
        <v>11525.917542023908</v>
      </c>
      <c r="D267" s="76">
        <f>-B267</f>
        <v>-28814.793855059772</v>
      </c>
      <c r="E267" s="76">
        <f>-C267</f>
        <v>-11525.917542023908</v>
      </c>
      <c r="F267" s="89" t="str">
        <f>B266</f>
        <v>U1X</v>
      </c>
    </row>
    <row r="268" spans="1:14" ht="16.8" customHeight="1" x14ac:dyDescent="0.3">
      <c r="A268" s="28" t="s">
        <v>603</v>
      </c>
      <c r="B268" s="76">
        <f>C267</f>
        <v>11525.917542023908</v>
      </c>
      <c r="C268" s="76">
        <f>K17*K17*N17</f>
        <v>4610.3670168095641</v>
      </c>
      <c r="D268" s="76">
        <f>-B268</f>
        <v>-11525.917542023908</v>
      </c>
      <c r="E268" s="76">
        <f>-C268</f>
        <v>-4610.3670168095641</v>
      </c>
      <c r="F268" s="89" t="str">
        <f>C266</f>
        <v>U1Y</v>
      </c>
    </row>
    <row r="269" spans="1:14" x14ac:dyDescent="0.3">
      <c r="B269" s="76">
        <f>D267</f>
        <v>-28814.793855059772</v>
      </c>
      <c r="C269" s="76">
        <f>E267</f>
        <v>-11525.917542023908</v>
      </c>
      <c r="D269" s="76">
        <f>B267</f>
        <v>28814.793855059772</v>
      </c>
      <c r="E269" s="76">
        <f>C267</f>
        <v>11525.917542023908</v>
      </c>
      <c r="F269" s="89" t="str">
        <f>D266</f>
        <v>U6X</v>
      </c>
    </row>
    <row r="270" spans="1:14" x14ac:dyDescent="0.3">
      <c r="B270" s="76">
        <f>D268</f>
        <v>-11525.917542023908</v>
      </c>
      <c r="C270" s="76">
        <f>E268</f>
        <v>-4610.3670168095641</v>
      </c>
      <c r="D270" s="76">
        <f>B268</f>
        <v>11525.917542023908</v>
      </c>
      <c r="E270" s="76">
        <f>C268</f>
        <v>4610.3670168095641</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28814.793855059772</v>
      </c>
      <c r="C273" s="77">
        <f t="shared" si="17"/>
        <v>11525.917542023908</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-28814.793855059772</v>
      </c>
      <c r="M273" s="77">
        <f t="shared" si="17"/>
        <v>-11525.917542023908</v>
      </c>
      <c r="N273" s="89" t="s">
        <v>178</v>
      </c>
    </row>
    <row r="274" spans="1:14" ht="19.05" customHeight="1" x14ac:dyDescent="0.3">
      <c r="B274" s="77">
        <f t="shared" si="17"/>
        <v>11525.917542023908</v>
      </c>
      <c r="C274" s="77">
        <f t="shared" si="17"/>
        <v>4610.3670168095641</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-11525.917542023908</v>
      </c>
      <c r="M274" s="77">
        <f t="shared" si="17"/>
        <v>-4610.3670168095641</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-28814.793855059772</v>
      </c>
      <c r="C283" s="77">
        <f t="shared" si="17"/>
        <v>-11525.917542023908</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28814.793855059772</v>
      </c>
      <c r="M283" s="77">
        <f t="shared" si="17"/>
        <v>11525.917542023908</v>
      </c>
      <c r="N283" s="89" t="s">
        <v>188</v>
      </c>
    </row>
    <row r="284" spans="1:14" ht="19.05" customHeight="1" x14ac:dyDescent="0.3">
      <c r="B284" s="77">
        <f t="shared" si="17"/>
        <v>-11525.917542023908</v>
      </c>
      <c r="C284" s="77">
        <f t="shared" si="17"/>
        <v>-4610.3670168095641</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11525.917542023908</v>
      </c>
      <c r="M284" s="77">
        <f t="shared" si="17"/>
        <v>4610.3670168095641</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135096.83914768061</v>
      </c>
      <c r="C288" s="36">
        <f t="shared" si="18"/>
        <v>38951.553776120585</v>
      </c>
      <c r="D288" s="9">
        <f t="shared" si="18"/>
        <v>-72000</v>
      </c>
      <c r="E288" s="9">
        <f t="shared" si="18"/>
        <v>0</v>
      </c>
      <c r="F288" s="9">
        <f t="shared" si="18"/>
        <v>0</v>
      </c>
      <c r="G288" s="9">
        <f t="shared" si="18"/>
        <v>0</v>
      </c>
      <c r="H288" s="9">
        <f t="shared" si="18"/>
        <v>0</v>
      </c>
      <c r="I288" s="9">
        <f t="shared" si="18"/>
        <v>0</v>
      </c>
      <c r="J288" s="9">
        <f t="shared" si="18"/>
        <v>-34282.045292620853</v>
      </c>
      <c r="K288" s="9">
        <f t="shared" si="18"/>
        <v>-27425.636234096677</v>
      </c>
      <c r="L288" s="9">
        <f t="shared" si="18"/>
        <v>-28814.793855059772</v>
      </c>
      <c r="M288" s="9">
        <f t="shared" si="18"/>
        <v>-11525.917542023908</v>
      </c>
      <c r="N288" s="89" t="s">
        <v>178</v>
      </c>
    </row>
    <row r="289" spans="1:21" ht="19.95" customHeight="1" x14ac:dyDescent="0.3">
      <c r="B289" s="36">
        <f t="shared" ref="B289:M289" si="19">B43+B64+B85+B106+B127+B148+B169+B190+B211+B232+B253+B274</f>
        <v>38951.553776120585</v>
      </c>
      <c r="C289" s="35">
        <f t="shared" si="19"/>
        <v>116550.87600408691</v>
      </c>
      <c r="D289" s="9">
        <f t="shared" si="19"/>
        <v>0</v>
      </c>
      <c r="E289" s="9">
        <f t="shared" si="19"/>
        <v>0</v>
      </c>
      <c r="F289" s="9">
        <f t="shared" si="19"/>
        <v>0</v>
      </c>
      <c r="G289" s="9">
        <f t="shared" si="19"/>
        <v>0</v>
      </c>
      <c r="H289" s="9">
        <f t="shared" si="19"/>
        <v>0</v>
      </c>
      <c r="I289" s="9">
        <f t="shared" si="19"/>
        <v>-90000</v>
      </c>
      <c r="J289" s="9">
        <f t="shared" si="19"/>
        <v>-27425.636234096677</v>
      </c>
      <c r="K289" s="9">
        <f t="shared" si="19"/>
        <v>-21940.508987277342</v>
      </c>
      <c r="L289" s="9">
        <f t="shared" si="19"/>
        <v>-11525.917542023908</v>
      </c>
      <c r="M289" s="9">
        <f t="shared" si="19"/>
        <v>-4610.3670168095641</v>
      </c>
      <c r="N289" s="89" t="s">
        <v>179</v>
      </c>
    </row>
    <row r="290" spans="1:21" ht="19.95" customHeight="1" x14ac:dyDescent="0.3">
      <c r="B290" s="9">
        <f t="shared" ref="B290:M290" si="20">B44+B65+B86+B107+B128+B149+B170+B191+B212+B233+B254+B275</f>
        <v>-72000</v>
      </c>
      <c r="C290" s="9">
        <f t="shared" si="20"/>
        <v>0</v>
      </c>
      <c r="D290" s="35">
        <f t="shared" si="20"/>
        <v>212564.09058524168</v>
      </c>
      <c r="E290" s="36">
        <f t="shared" si="20"/>
        <v>0</v>
      </c>
      <c r="F290" s="9">
        <f t="shared" si="20"/>
        <v>-72000</v>
      </c>
      <c r="G290" s="9">
        <f t="shared" si="20"/>
        <v>0</v>
      </c>
      <c r="H290" s="9">
        <f t="shared" si="20"/>
        <v>-34282.045292620853</v>
      </c>
      <c r="I290" s="9">
        <f t="shared" si="20"/>
        <v>27425.636234096677</v>
      </c>
      <c r="J290" s="9">
        <f t="shared" si="20"/>
        <v>0</v>
      </c>
      <c r="K290" s="9">
        <f t="shared" si="20"/>
        <v>0</v>
      </c>
      <c r="L290" s="9">
        <f t="shared" si="20"/>
        <v>-34282.045292620853</v>
      </c>
      <c r="M290" s="9">
        <f t="shared" si="20"/>
        <v>-27425.636234096677</v>
      </c>
      <c r="N290" s="89" t="s">
        <v>180</v>
      </c>
    </row>
    <row r="291" spans="1:21" ht="19.95" customHeight="1" x14ac:dyDescent="0.3">
      <c r="B291" s="9">
        <f t="shared" ref="B291:M291" si="21">B45+B66+B87+B108+B129+B150+B171+B192+B213+B234+B255+B276</f>
        <v>0</v>
      </c>
      <c r="C291" s="9">
        <f t="shared" si="21"/>
        <v>0</v>
      </c>
      <c r="D291" s="36">
        <f t="shared" si="21"/>
        <v>0</v>
      </c>
      <c r="E291" s="35">
        <f t="shared" si="21"/>
        <v>133881.01797455468</v>
      </c>
      <c r="F291" s="9">
        <f t="shared" si="21"/>
        <v>0</v>
      </c>
      <c r="G291" s="9">
        <f t="shared" si="21"/>
        <v>0</v>
      </c>
      <c r="H291" s="9">
        <f t="shared" si="21"/>
        <v>27425.636234096677</v>
      </c>
      <c r="I291" s="9">
        <f t="shared" si="21"/>
        <v>-21940.508987277342</v>
      </c>
      <c r="J291" s="9">
        <f t="shared" si="21"/>
        <v>0</v>
      </c>
      <c r="K291" s="9">
        <f t="shared" si="21"/>
        <v>-90000</v>
      </c>
      <c r="L291" s="9">
        <f t="shared" si="21"/>
        <v>-27425.636234096677</v>
      </c>
      <c r="M291" s="9">
        <f t="shared" si="21"/>
        <v>-21940.508987277342</v>
      </c>
      <c r="N291" s="89" t="s">
        <v>181</v>
      </c>
    </row>
    <row r="292" spans="1:21" ht="19.95" customHeight="1" x14ac:dyDescent="0.3">
      <c r="B292" s="9">
        <f t="shared" ref="B292:M292" si="22">B46+B67+B88+B109+B130+B151+B172+B193+B214+B235+B256+B277</f>
        <v>0</v>
      </c>
      <c r="C292" s="9">
        <f t="shared" si="22"/>
        <v>0</v>
      </c>
      <c r="D292" s="9">
        <f t="shared" si="22"/>
        <v>-72000</v>
      </c>
      <c r="E292" s="9">
        <f t="shared" si="22"/>
        <v>0</v>
      </c>
      <c r="F292" s="35">
        <f t="shared" si="22"/>
        <v>106282.04529262085</v>
      </c>
      <c r="G292" s="36">
        <f t="shared" si="22"/>
        <v>-27425.636234096677</v>
      </c>
      <c r="H292" s="9">
        <f t="shared" si="22"/>
        <v>0</v>
      </c>
      <c r="I292" s="9">
        <f t="shared" si="22"/>
        <v>0</v>
      </c>
      <c r="J292" s="9">
        <f t="shared" si="22"/>
        <v>-34282.045292620853</v>
      </c>
      <c r="K292" s="9">
        <f t="shared" si="22"/>
        <v>27425.636234096677</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-27425.636234096677</v>
      </c>
      <c r="G293" s="35">
        <f t="shared" si="23"/>
        <v>111940.50898727734</v>
      </c>
      <c r="H293" s="9">
        <f t="shared" si="23"/>
        <v>0</v>
      </c>
      <c r="I293" s="9">
        <f t="shared" si="23"/>
        <v>0</v>
      </c>
      <c r="J293" s="9">
        <f t="shared" si="23"/>
        <v>27425.636234096677</v>
      </c>
      <c r="K293" s="9">
        <f t="shared" si="23"/>
        <v>-21940.508987277342</v>
      </c>
      <c r="L293" s="9">
        <f t="shared" si="23"/>
        <v>0</v>
      </c>
      <c r="M293" s="9">
        <f t="shared" si="23"/>
        <v>-90000</v>
      </c>
      <c r="N293" s="89" t="s">
        <v>183</v>
      </c>
    </row>
    <row r="294" spans="1:21" ht="19.95" customHeight="1" x14ac:dyDescent="0.3">
      <c r="B294" s="9">
        <f t="shared" ref="B294:M294" si="24">B48+B69+B90+B111+B132+B153+B174+B195+B216+B237+B258+B279</f>
        <v>0</v>
      </c>
      <c r="C294" s="9">
        <f t="shared" si="24"/>
        <v>0</v>
      </c>
      <c r="D294" s="9">
        <f t="shared" si="24"/>
        <v>-34282.045292620853</v>
      </c>
      <c r="E294" s="9">
        <f t="shared" si="24"/>
        <v>27425.636234096677</v>
      </c>
      <c r="F294" s="9">
        <f t="shared" si="24"/>
        <v>0</v>
      </c>
      <c r="G294" s="9">
        <f t="shared" si="24"/>
        <v>0</v>
      </c>
      <c r="H294" s="35">
        <f t="shared" si="24"/>
        <v>106282.04529262085</v>
      </c>
      <c r="I294" s="36">
        <f t="shared" si="24"/>
        <v>-27425.636234096677</v>
      </c>
      <c r="J294" s="9">
        <f t="shared" si="24"/>
        <v>-72000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-90000</v>
      </c>
      <c r="D295" s="9">
        <f t="shared" si="25"/>
        <v>27425.636234096677</v>
      </c>
      <c r="E295" s="9">
        <f t="shared" si="25"/>
        <v>-21940.508987277342</v>
      </c>
      <c r="F295" s="9">
        <f t="shared" si="25"/>
        <v>0</v>
      </c>
      <c r="G295" s="9">
        <f t="shared" si="25"/>
        <v>0</v>
      </c>
      <c r="H295" s="36">
        <f t="shared" si="25"/>
        <v>-27425.636234096677</v>
      </c>
      <c r="I295" s="35">
        <f t="shared" si="25"/>
        <v>111940.50898727734</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-34282.045292620853</v>
      </c>
      <c r="C296" s="9">
        <f t="shared" si="26"/>
        <v>-27425.636234096677</v>
      </c>
      <c r="D296" s="9">
        <f t="shared" si="26"/>
        <v>0</v>
      </c>
      <c r="E296" s="9">
        <f t="shared" si="26"/>
        <v>0</v>
      </c>
      <c r="F296" s="9">
        <f t="shared" si="26"/>
        <v>-34282.045292620853</v>
      </c>
      <c r="G296" s="9">
        <f t="shared" si="26"/>
        <v>27425.636234096677</v>
      </c>
      <c r="H296" s="9">
        <f t="shared" si="26"/>
        <v>-72000</v>
      </c>
      <c r="I296" s="9">
        <f t="shared" si="26"/>
        <v>0</v>
      </c>
      <c r="J296" s="35">
        <f t="shared" si="26"/>
        <v>212564.09058524168</v>
      </c>
      <c r="K296" s="36">
        <f t="shared" si="26"/>
        <v>0</v>
      </c>
      <c r="L296" s="9">
        <f t="shared" si="26"/>
        <v>-72000</v>
      </c>
      <c r="M296" s="9">
        <f t="shared" si="26"/>
        <v>0</v>
      </c>
      <c r="N296" s="89" t="s">
        <v>186</v>
      </c>
    </row>
    <row r="297" spans="1:21" ht="19.95" customHeight="1" x14ac:dyDescent="0.3">
      <c r="B297" s="9">
        <f t="shared" ref="B297:M297" si="27">B51+B72+B93+B114+B135+B156+B177+B198+B219+B240+B261+B282</f>
        <v>-27425.636234096677</v>
      </c>
      <c r="C297" s="9">
        <f t="shared" si="27"/>
        <v>-21940.508987277342</v>
      </c>
      <c r="D297" s="9">
        <f t="shared" si="27"/>
        <v>0</v>
      </c>
      <c r="E297" s="9">
        <f t="shared" si="27"/>
        <v>-90000</v>
      </c>
      <c r="F297" s="9">
        <f t="shared" si="27"/>
        <v>27425.636234096677</v>
      </c>
      <c r="G297" s="9">
        <f t="shared" si="27"/>
        <v>-21940.508987277342</v>
      </c>
      <c r="H297" s="9">
        <f t="shared" si="27"/>
        <v>0</v>
      </c>
      <c r="I297" s="9">
        <f t="shared" si="27"/>
        <v>0</v>
      </c>
      <c r="J297" s="36">
        <f t="shared" si="27"/>
        <v>0</v>
      </c>
      <c r="K297" s="35">
        <f t="shared" si="27"/>
        <v>133881.01797455468</v>
      </c>
      <c r="L297" s="9">
        <f t="shared" si="27"/>
        <v>0</v>
      </c>
      <c r="M297" s="9">
        <f t="shared" si="27"/>
        <v>0</v>
      </c>
      <c r="N297" s="89" t="s">
        <v>187</v>
      </c>
    </row>
    <row r="298" spans="1:21" ht="19.95" customHeight="1" x14ac:dyDescent="0.3">
      <c r="B298" s="9">
        <f t="shared" ref="B298:M298" si="28">B52+B73+B94+B115+B136+B157+B178+B199+B220+B241+B262+B283</f>
        <v>-28814.793855059772</v>
      </c>
      <c r="C298" s="9">
        <f t="shared" si="28"/>
        <v>-11525.917542023908</v>
      </c>
      <c r="D298" s="9">
        <f t="shared" si="28"/>
        <v>-34282.045292620853</v>
      </c>
      <c r="E298" s="9">
        <f t="shared" si="28"/>
        <v>-27425.636234096677</v>
      </c>
      <c r="F298" s="9">
        <f t="shared" si="28"/>
        <v>0</v>
      </c>
      <c r="G298" s="9">
        <f t="shared" si="28"/>
        <v>0</v>
      </c>
      <c r="H298" s="9">
        <f t="shared" si="28"/>
        <v>0</v>
      </c>
      <c r="I298" s="9">
        <f t="shared" si="28"/>
        <v>0</v>
      </c>
      <c r="J298" s="9">
        <f t="shared" si="28"/>
        <v>-72000</v>
      </c>
      <c r="K298" s="9">
        <f t="shared" si="28"/>
        <v>0</v>
      </c>
      <c r="L298" s="35">
        <f t="shared" si="28"/>
        <v>135096.83914768061</v>
      </c>
      <c r="M298" s="36">
        <f t="shared" si="28"/>
        <v>38951.553776120585</v>
      </c>
      <c r="N298" s="89" t="s">
        <v>188</v>
      </c>
    </row>
    <row r="299" spans="1:21" ht="19.95" customHeight="1" x14ac:dyDescent="0.3">
      <c r="B299" s="9">
        <f t="shared" ref="B299:M299" si="29">B53+B74+B95+B116+B137+B158+B179+B200+B221+B242+B263+B284</f>
        <v>-11525.917542023908</v>
      </c>
      <c r="C299" s="9">
        <f t="shared" si="29"/>
        <v>-4610.3670168095641</v>
      </c>
      <c r="D299" s="9">
        <f t="shared" si="29"/>
        <v>-27425.636234096677</v>
      </c>
      <c r="E299" s="9">
        <f t="shared" si="29"/>
        <v>-21940.508987277342</v>
      </c>
      <c r="F299" s="9">
        <f t="shared" si="29"/>
        <v>0</v>
      </c>
      <c r="G299" s="9">
        <f t="shared" si="29"/>
        <v>-90000</v>
      </c>
      <c r="H299" s="9">
        <f t="shared" si="29"/>
        <v>0</v>
      </c>
      <c r="I299" s="9">
        <f t="shared" si="29"/>
        <v>0</v>
      </c>
      <c r="J299" s="9">
        <f t="shared" si="29"/>
        <v>0</v>
      </c>
      <c r="K299" s="9">
        <f t="shared" si="29"/>
        <v>0</v>
      </c>
      <c r="L299" s="36">
        <f t="shared" si="29"/>
        <v>38951.553776120585</v>
      </c>
      <c r="M299" s="35">
        <f t="shared" si="29"/>
        <v>116550.87600408691</v>
      </c>
      <c r="N299" s="89" t="s">
        <v>189</v>
      </c>
    </row>
    <row r="302" spans="1:21" ht="19.95" customHeight="1" x14ac:dyDescent="0.35">
      <c r="A302" s="11" t="s">
        <v>206</v>
      </c>
      <c r="P302" s="216" t="s">
        <v>207</v>
      </c>
      <c r="Q302" s="172"/>
      <c r="R302" s="172"/>
      <c r="S302" s="172"/>
      <c r="T302" s="172"/>
      <c r="U302" s="173"/>
    </row>
    <row r="303" spans="1:21" ht="16.95" customHeight="1" x14ac:dyDescent="0.3">
      <c r="B303" s="12" t="s">
        <v>208</v>
      </c>
      <c r="C303" s="12" t="s">
        <v>178</v>
      </c>
      <c r="E303" s="37" t="str">
        <f>IF(GRAFICA_66!F14=1, B303, GRAFICA_66!H14)</f>
        <v>C1X</v>
      </c>
      <c r="P303" s="215" t="s">
        <v>376</v>
      </c>
      <c r="Q303" s="172"/>
      <c r="R303" s="172"/>
      <c r="S303" s="172"/>
      <c r="T303" s="172"/>
      <c r="U303" s="173"/>
    </row>
    <row r="304" spans="1:21" ht="16.95" customHeight="1" x14ac:dyDescent="0.3">
      <c r="B304" s="12" t="s">
        <v>210</v>
      </c>
      <c r="C304" s="12" t="s">
        <v>179</v>
      </c>
      <c r="E304" s="37" t="str">
        <f>IF(GRAFICA_66!G14=1, B304, GRAFICA_66!I14)</f>
        <v>C1Y</v>
      </c>
      <c r="P304" s="215" t="s">
        <v>211</v>
      </c>
      <c r="Q304" s="172"/>
      <c r="R304" s="172"/>
      <c r="S304" s="172"/>
      <c r="T304" s="172"/>
      <c r="U304" s="173"/>
    </row>
    <row r="305" spans="1:21" ht="16.95" customHeight="1" x14ac:dyDescent="0.3">
      <c r="B305" s="12" t="s">
        <v>212</v>
      </c>
      <c r="C305" s="12" t="s">
        <v>180</v>
      </c>
      <c r="E305" s="37">
        <f>IF(GRAFICA_66!F15=1, B305, GRAFICA_66!H15)</f>
        <v>0</v>
      </c>
      <c r="P305" s="215" t="s">
        <v>377</v>
      </c>
      <c r="Q305" s="172"/>
      <c r="R305" s="172"/>
      <c r="S305" s="172"/>
      <c r="T305" s="172"/>
      <c r="U305" s="173"/>
    </row>
    <row r="306" spans="1:21" ht="16.95" customHeight="1" x14ac:dyDescent="0.3">
      <c r="B306" s="12" t="s">
        <v>214</v>
      </c>
      <c r="C306" s="12" t="s">
        <v>181</v>
      </c>
      <c r="E306" s="37">
        <f>IF(GRAFICA_66!G15=1, B306, GRAFICA_66!I15)</f>
        <v>-8000</v>
      </c>
      <c r="P306" s="215" t="s">
        <v>215</v>
      </c>
      <c r="Q306" s="172"/>
      <c r="R306" s="172"/>
      <c r="S306" s="172"/>
      <c r="T306" s="172"/>
      <c r="U306" s="173"/>
    </row>
    <row r="307" spans="1:21" ht="16.95" customHeight="1" x14ac:dyDescent="0.3">
      <c r="B307" s="12" t="s">
        <v>216</v>
      </c>
      <c r="C307" s="12" t="s">
        <v>182</v>
      </c>
      <c r="E307" s="37">
        <f>IF(GRAFICA_66!F16=1, B307, GRAFICA_66!H16)</f>
        <v>0</v>
      </c>
      <c r="P307" s="215" t="s">
        <v>378</v>
      </c>
      <c r="Q307" s="172"/>
      <c r="R307" s="172"/>
      <c r="S307" s="172"/>
      <c r="T307" s="172"/>
      <c r="U307" s="173"/>
    </row>
    <row r="308" spans="1:21" ht="16.95" customHeight="1" x14ac:dyDescent="0.3">
      <c r="A308" s="38" t="s">
        <v>218</v>
      </c>
      <c r="B308" s="12" t="s">
        <v>219</v>
      </c>
      <c r="C308" s="12" t="s">
        <v>183</v>
      </c>
      <c r="D308" s="13" t="s">
        <v>220</v>
      </c>
      <c r="E308" s="37" t="str">
        <f>IF(GRAFICA_66!G16=1, B308, GRAFICA_66!I16)</f>
        <v>C3Y</v>
      </c>
      <c r="P308" s="215" t="s">
        <v>379</v>
      </c>
      <c r="Q308" s="172"/>
      <c r="R308" s="172"/>
      <c r="S308" s="172"/>
      <c r="T308" s="172"/>
      <c r="U308" s="173"/>
    </row>
    <row r="309" spans="1:21" ht="16.95" customHeight="1" x14ac:dyDescent="0.3">
      <c r="B309" s="12" t="s">
        <v>221</v>
      </c>
      <c r="C309" s="12" t="s">
        <v>184</v>
      </c>
      <c r="E309" s="37">
        <f>IF(GRAFICA_66!F17=1, B309, GRAFICA_66!H17)</f>
        <v>3000</v>
      </c>
      <c r="P309" s="215"/>
      <c r="Q309" s="172"/>
      <c r="R309" s="172"/>
      <c r="S309" s="172"/>
      <c r="T309" s="172"/>
      <c r="U309" s="173"/>
    </row>
    <row r="310" spans="1:21" ht="16.95" customHeight="1" x14ac:dyDescent="0.3">
      <c r="B310" s="12" t="s">
        <v>222</v>
      </c>
      <c r="C310" s="12" t="s">
        <v>185</v>
      </c>
      <c r="E310" s="37">
        <f>IF(GRAFICA_66!G17=1, B310, GRAFICA_66!I17)</f>
        <v>0</v>
      </c>
      <c r="P310" s="215"/>
      <c r="Q310" s="172"/>
      <c r="R310" s="172"/>
      <c r="S310" s="172"/>
      <c r="T310" s="172"/>
      <c r="U310" s="173"/>
    </row>
    <row r="311" spans="1:21" ht="16.95" customHeight="1" x14ac:dyDescent="0.3">
      <c r="B311" s="12" t="s">
        <v>223</v>
      </c>
      <c r="C311" s="12" t="s">
        <v>186</v>
      </c>
      <c r="E311" s="37">
        <f>IF(GRAFICA_66!F18=1, B311, GRAFICA_66!H18)</f>
        <v>0</v>
      </c>
      <c r="P311" s="215"/>
      <c r="Q311" s="172"/>
      <c r="R311" s="172"/>
      <c r="S311" s="172"/>
      <c r="T311" s="172"/>
      <c r="U311" s="173"/>
    </row>
    <row r="312" spans="1:21" ht="16.95" customHeight="1" x14ac:dyDescent="0.3">
      <c r="B312" s="12" t="s">
        <v>224</v>
      </c>
      <c r="C312" s="12" t="s">
        <v>187</v>
      </c>
      <c r="E312" s="37">
        <f>IF(GRAFICA_66!G18=1, B312, GRAFICA_66!I18)</f>
        <v>-6000</v>
      </c>
      <c r="P312" s="215"/>
      <c r="Q312" s="172"/>
      <c r="R312" s="172"/>
      <c r="S312" s="172"/>
      <c r="T312" s="172"/>
      <c r="U312" s="173"/>
    </row>
    <row r="313" spans="1:21" ht="16.95" customHeight="1" x14ac:dyDescent="0.3">
      <c r="B313" s="12" t="s">
        <v>225</v>
      </c>
      <c r="C313" s="12" t="s">
        <v>188</v>
      </c>
      <c r="E313" s="37">
        <f>IF(GRAFICA_66!F19=1, B313, GRAFICA_66!H19)</f>
        <v>0</v>
      </c>
      <c r="P313" s="215"/>
      <c r="Q313" s="172"/>
      <c r="R313" s="172"/>
      <c r="S313" s="172"/>
      <c r="T313" s="172"/>
      <c r="U313" s="173"/>
    </row>
    <row r="314" spans="1:21" ht="16.95" customHeight="1" x14ac:dyDescent="0.3">
      <c r="B314" s="12" t="s">
        <v>226</v>
      </c>
      <c r="C314" s="12" t="s">
        <v>189</v>
      </c>
      <c r="E314" s="37">
        <f>IF(GRAFICA_66!G19=1, B314, GRAFICA_66!I19)</f>
        <v>0</v>
      </c>
      <c r="P314" s="215"/>
      <c r="Q314" s="172"/>
      <c r="R314" s="172"/>
      <c r="S314" s="172"/>
      <c r="T314" s="172"/>
      <c r="U314" s="173"/>
    </row>
    <row r="315" spans="1:21" ht="16.95" customHeight="1" x14ac:dyDescent="0.3">
      <c r="P315" s="215"/>
      <c r="Q315" s="172"/>
      <c r="R315" s="172"/>
      <c r="S315" s="172"/>
      <c r="T315" s="172"/>
      <c r="U315" s="173"/>
    </row>
    <row r="316" spans="1:21" ht="16.95" customHeight="1" x14ac:dyDescent="0.35">
      <c r="A316" s="11" t="s">
        <v>227</v>
      </c>
      <c r="P316" s="215"/>
      <c r="Q316" s="172"/>
      <c r="R316" s="172"/>
      <c r="S316" s="172"/>
      <c r="T316" s="172"/>
      <c r="U316" s="173"/>
    </row>
    <row r="317" spans="1:21" ht="16.95" customHeight="1" x14ac:dyDescent="0.3">
      <c r="B317" s="12" t="s">
        <v>228</v>
      </c>
      <c r="C317" s="12" t="s">
        <v>178</v>
      </c>
      <c r="E317" s="39">
        <f>IF(GRAFICA_66!F14=1, 0, B317)</f>
        <v>0</v>
      </c>
      <c r="F317" s="14" t="str">
        <f>IF(E317&lt;&gt;0, COUNTIF(E$317:E317, "&lt;&gt;0"), "")</f>
        <v/>
      </c>
      <c r="G317" s="14">
        <f>IF(E317=0, COUNTIF(E$317:E317, 0), "")</f>
        <v>1</v>
      </c>
      <c r="P317" s="215"/>
      <c r="Q317" s="172"/>
      <c r="R317" s="172"/>
      <c r="S317" s="172"/>
      <c r="T317" s="172"/>
      <c r="U317" s="173"/>
    </row>
    <row r="318" spans="1:21" ht="16.95" customHeight="1" x14ac:dyDescent="0.3">
      <c r="B318" s="12" t="s">
        <v>229</v>
      </c>
      <c r="C318" s="12" t="s">
        <v>179</v>
      </c>
      <c r="E318" s="39">
        <f>IF(GRAFICA_66!G14=1, 0, B318)</f>
        <v>0</v>
      </c>
      <c r="F318" s="14" t="str">
        <f>IF(E318&lt;&gt;0, COUNTIF(E$317:E318, "&lt;&gt;0"), "")</f>
        <v/>
      </c>
      <c r="G318" s="14">
        <f>IF(E318=0, COUNTIF(E$317:E318, 0), "")</f>
        <v>2</v>
      </c>
      <c r="P318" s="215"/>
      <c r="Q318" s="172"/>
      <c r="R318" s="172"/>
      <c r="S318" s="172"/>
      <c r="T318" s="172"/>
      <c r="U318" s="173"/>
    </row>
    <row r="319" spans="1:21" ht="16.95" customHeight="1" x14ac:dyDescent="0.3">
      <c r="B319" s="12" t="s">
        <v>230</v>
      </c>
      <c r="C319" s="12" t="s">
        <v>180</v>
      </c>
      <c r="E319" s="39" t="str">
        <f>IF(GRAFICA_66!F15=1, 0, B319)</f>
        <v>D2X</v>
      </c>
      <c r="F319" s="14">
        <f>IF(E319&lt;&gt;0, COUNTIF(E$317:E319, "&lt;&gt;0"), "")</f>
        <v>1</v>
      </c>
      <c r="G319" s="14" t="str">
        <f>IF(E319=0, COUNTIF(E$317:E319, 0), "")</f>
        <v/>
      </c>
      <c r="P319" s="215"/>
      <c r="Q319" s="172"/>
      <c r="R319" s="172"/>
      <c r="S319" s="172"/>
      <c r="T319" s="172"/>
      <c r="U319" s="173"/>
    </row>
    <row r="320" spans="1:21" ht="16.95" customHeight="1" x14ac:dyDescent="0.3">
      <c r="B320" s="12" t="s">
        <v>231</v>
      </c>
      <c r="C320" s="12" t="s">
        <v>181</v>
      </c>
      <c r="E320" s="39" t="str">
        <f>IF(GRAFICA_66!G15=1, 0, B320)</f>
        <v>D2Y</v>
      </c>
      <c r="F320" s="14">
        <f>IF(E320&lt;&gt;0, COUNTIF(E$317:E320, "&lt;&gt;0"), "")</f>
        <v>2</v>
      </c>
      <c r="G320" s="14" t="str">
        <f>IF(E320=0, COUNTIF(E$317:E320, 0), "")</f>
        <v/>
      </c>
      <c r="P320" s="215"/>
      <c r="Q320" s="172"/>
      <c r="R320" s="172"/>
      <c r="S320" s="172"/>
      <c r="T320" s="172"/>
      <c r="U320" s="173"/>
    </row>
    <row r="321" spans="1:21" ht="16.95" customHeight="1" x14ac:dyDescent="0.3">
      <c r="B321" s="12" t="s">
        <v>232</v>
      </c>
      <c r="C321" s="12" t="s">
        <v>182</v>
      </c>
      <c r="E321" s="39" t="str">
        <f>IF(GRAFICA_66!F16=1, 0, B321)</f>
        <v>D3X</v>
      </c>
      <c r="F321" s="14">
        <f>IF(E321&lt;&gt;0, COUNTIF(E$317:E321, "&lt;&gt;0"), "")</f>
        <v>3</v>
      </c>
      <c r="G321" s="14" t="str">
        <f>IF(E321=0, COUNTIF(E$317:E321, 0), "")</f>
        <v/>
      </c>
      <c r="P321" s="215"/>
      <c r="Q321" s="172"/>
      <c r="R321" s="172"/>
      <c r="S321" s="172"/>
      <c r="T321" s="172"/>
      <c r="U321" s="173"/>
    </row>
    <row r="322" spans="1:21" ht="16.95" customHeight="1" x14ac:dyDescent="0.3">
      <c r="A322" s="38" t="s">
        <v>233</v>
      </c>
      <c r="B322" s="12" t="s">
        <v>234</v>
      </c>
      <c r="C322" s="12" t="s">
        <v>183</v>
      </c>
      <c r="D322" s="13" t="s">
        <v>220</v>
      </c>
      <c r="E322" s="39">
        <f>IF(GRAFICA_66!G16=1, 0, B322)</f>
        <v>0</v>
      </c>
      <c r="F322" s="14" t="str">
        <f>IF(E322&lt;&gt;0, COUNTIF(E$317:E322, "&lt;&gt;0"), "")</f>
        <v/>
      </c>
      <c r="G322" s="14">
        <f>IF(E322=0, COUNTIF(E$317:E322, 0), "")</f>
        <v>3</v>
      </c>
      <c r="P322" s="215"/>
      <c r="Q322" s="172"/>
      <c r="R322" s="172"/>
      <c r="S322" s="172"/>
      <c r="T322" s="172"/>
      <c r="U322" s="173"/>
    </row>
    <row r="323" spans="1:21" ht="16.95" customHeight="1" x14ac:dyDescent="0.3">
      <c r="B323" s="12" t="s">
        <v>235</v>
      </c>
      <c r="C323" s="12" t="s">
        <v>184</v>
      </c>
      <c r="E323" s="39" t="str">
        <f>IF(GRAFICA_66!F17=1, 0, B323)</f>
        <v>D4X</v>
      </c>
      <c r="F323" s="14">
        <f>IF(E323&lt;&gt;0, COUNTIF(E$317:E323, "&lt;&gt;0"), "")</f>
        <v>4</v>
      </c>
      <c r="G323" s="14" t="str">
        <f>IF(E323=0, COUNTIF(E$317:E323, 0), "")</f>
        <v/>
      </c>
      <c r="P323" s="215"/>
      <c r="Q323" s="172"/>
      <c r="R323" s="172"/>
      <c r="S323" s="172"/>
      <c r="T323" s="172"/>
      <c r="U323" s="173"/>
    </row>
    <row r="324" spans="1:21" ht="16.95" customHeight="1" x14ac:dyDescent="0.3">
      <c r="B324" s="12" t="s">
        <v>236</v>
      </c>
      <c r="C324" s="12" t="s">
        <v>185</v>
      </c>
      <c r="E324" s="39" t="str">
        <f>IF(GRAFICA_66!G17=1, 0, B324)</f>
        <v>D4Y</v>
      </c>
      <c r="F324" s="14">
        <f>IF(E324&lt;&gt;0, COUNTIF(E$317:E324, "&lt;&gt;0"), "")</f>
        <v>5</v>
      </c>
      <c r="G324" s="14" t="str">
        <f>IF(E324=0, COUNTIF(E$317:E324, 0), "")</f>
        <v/>
      </c>
      <c r="P324" s="215"/>
      <c r="Q324" s="172"/>
      <c r="R324" s="172"/>
      <c r="S324" s="172"/>
      <c r="T324" s="172"/>
      <c r="U324" s="173"/>
    </row>
    <row r="325" spans="1:21" ht="16.95" customHeight="1" x14ac:dyDescent="0.3">
      <c r="B325" s="12" t="s">
        <v>237</v>
      </c>
      <c r="C325" s="12" t="s">
        <v>186</v>
      </c>
      <c r="E325" s="39" t="str">
        <f>IF(GRAFICA_66!F18=1, 0, B325)</f>
        <v>D5X</v>
      </c>
      <c r="F325" s="14">
        <f>IF(E325&lt;&gt;0, COUNTIF(E$317:E325, "&lt;&gt;0"), "")</f>
        <v>6</v>
      </c>
      <c r="G325" s="14" t="str">
        <f>IF(E325=0, COUNTIF(E$317:E325, 0), "")</f>
        <v/>
      </c>
      <c r="P325" s="215"/>
      <c r="Q325" s="172"/>
      <c r="R325" s="172"/>
      <c r="S325" s="172"/>
      <c r="T325" s="172"/>
      <c r="U325" s="173"/>
    </row>
    <row r="326" spans="1:21" ht="16.95" customHeight="1" x14ac:dyDescent="0.3">
      <c r="B326" s="12" t="s">
        <v>238</v>
      </c>
      <c r="C326" s="12" t="s">
        <v>187</v>
      </c>
      <c r="E326" s="39" t="str">
        <f>IF(GRAFICA_66!G18=1, 0, B326)</f>
        <v>D5Y</v>
      </c>
      <c r="F326" s="14">
        <f>IF(E326&lt;&gt;0, COUNTIF(E$317:E326, "&lt;&gt;0"), "")</f>
        <v>7</v>
      </c>
      <c r="G326" s="14" t="str">
        <f>IF(E326=0, COUNTIF(E$317:E326, 0), "")</f>
        <v/>
      </c>
      <c r="P326" s="215"/>
      <c r="Q326" s="172"/>
      <c r="R326" s="172"/>
      <c r="S326" s="172"/>
      <c r="T326" s="172"/>
      <c r="U326" s="173"/>
    </row>
    <row r="327" spans="1:21" ht="16.95" customHeight="1" x14ac:dyDescent="0.3">
      <c r="B327" s="12" t="s">
        <v>239</v>
      </c>
      <c r="C327" s="12" t="s">
        <v>188</v>
      </c>
      <c r="E327" s="39" t="str">
        <f>IF(GRAFICA_66!F19=1, 0, B327)</f>
        <v>D6X</v>
      </c>
      <c r="F327" s="14">
        <f>IF(E327&lt;&gt;0, COUNTIF(E$317:E327, "&lt;&gt;0"), "")</f>
        <v>8</v>
      </c>
      <c r="G327" s="14" t="str">
        <f>IF(E327=0, COUNTIF(E$317:E327, 0), "")</f>
        <v/>
      </c>
      <c r="P327" s="215"/>
      <c r="Q327" s="172"/>
      <c r="R327" s="172"/>
      <c r="S327" s="172"/>
      <c r="T327" s="172"/>
      <c r="U327" s="173"/>
    </row>
    <row r="328" spans="1:21" ht="16.95" customHeight="1" x14ac:dyDescent="0.3">
      <c r="B328" s="12" t="s">
        <v>240</v>
      </c>
      <c r="C328" s="12" t="s">
        <v>189</v>
      </c>
      <c r="E328" s="39" t="str">
        <f>IF(GRAFICA_66!G19=1, 0, B328)</f>
        <v>D6Y</v>
      </c>
      <c r="F328" s="14">
        <f>IF(E328&lt;&gt;0, COUNTIF(E$317:E328, "&lt;&gt;0"), "")</f>
        <v>9</v>
      </c>
      <c r="G328" s="14" t="str">
        <f>IF(E328=0, COUNTIF(E$317:E328, 0), "")</f>
        <v/>
      </c>
      <c r="P328" s="215"/>
      <c r="Q328" s="172"/>
      <c r="R328" s="172"/>
      <c r="S328" s="172"/>
      <c r="T328" s="172"/>
      <c r="U328" s="173"/>
    </row>
    <row r="330" spans="1:21" ht="19.95" customHeight="1" x14ac:dyDescent="0.35">
      <c r="A330" s="15" t="s">
        <v>241</v>
      </c>
      <c r="C330" s="218" t="s">
        <v>242</v>
      </c>
      <c r="D330" s="173"/>
      <c r="E330" s="40" t="s">
        <v>243</v>
      </c>
      <c r="P330" s="216" t="s">
        <v>244</v>
      </c>
      <c r="Q330" s="172"/>
      <c r="R330" s="172"/>
      <c r="S330" s="172"/>
      <c r="T330" s="172"/>
      <c r="U330" s="173"/>
    </row>
    <row r="331" spans="1:21" ht="16.95" customHeight="1" x14ac:dyDescent="0.3">
      <c r="E331" s="40" t="s">
        <v>245</v>
      </c>
      <c r="P331" s="215" t="s">
        <v>246</v>
      </c>
      <c r="Q331" s="172"/>
      <c r="R331" s="172"/>
      <c r="S331" s="172"/>
      <c r="T331" s="172"/>
      <c r="U331" s="173"/>
    </row>
    <row r="332" spans="1:21" ht="16.95" customHeight="1" x14ac:dyDescent="0.3">
      <c r="A332" s="99" t="s">
        <v>247</v>
      </c>
      <c r="C332" s="99" t="s">
        <v>248</v>
      </c>
      <c r="P332" s="215" t="s">
        <v>250</v>
      </c>
      <c r="Q332" s="172"/>
      <c r="R332" s="172"/>
      <c r="S332" s="172"/>
      <c r="T332" s="172"/>
      <c r="U332" s="173"/>
    </row>
    <row r="333" spans="1:21" ht="16.95" customHeight="1" x14ac:dyDescent="0.3">
      <c r="A333" s="12" t="str">
        <f t="shared" ref="A333:A344" si="30">E303</f>
        <v>C1X</v>
      </c>
      <c r="C333" s="9">
        <f t="shared" ref="C333:N333" si="31">B288</f>
        <v>135096.83914768061</v>
      </c>
      <c r="D333" s="9">
        <f t="shared" si="31"/>
        <v>38951.553776120585</v>
      </c>
      <c r="E333" s="9">
        <f t="shared" si="31"/>
        <v>-72000</v>
      </c>
      <c r="F333" s="9">
        <f t="shared" si="31"/>
        <v>0</v>
      </c>
      <c r="G333" s="9">
        <f t="shared" si="31"/>
        <v>0</v>
      </c>
      <c r="H333" s="9">
        <f t="shared" si="31"/>
        <v>0</v>
      </c>
      <c r="I333" s="9">
        <f t="shared" si="31"/>
        <v>0</v>
      </c>
      <c r="J333" s="9">
        <f t="shared" si="31"/>
        <v>0</v>
      </c>
      <c r="K333" s="9">
        <f t="shared" si="31"/>
        <v>-34282.045292620853</v>
      </c>
      <c r="L333" s="9">
        <f t="shared" si="31"/>
        <v>-27425.636234096677</v>
      </c>
      <c r="M333" s="9">
        <f t="shared" si="31"/>
        <v>-28814.793855059772</v>
      </c>
      <c r="N333" s="9">
        <f t="shared" si="31"/>
        <v>-11525.917542023908</v>
      </c>
      <c r="O333" s="13" t="s">
        <v>251</v>
      </c>
      <c r="P333" s="219" t="s">
        <v>380</v>
      </c>
      <c r="Q333" s="172"/>
      <c r="R333" s="172"/>
      <c r="S333" s="172"/>
      <c r="T333" s="172"/>
      <c r="U333" s="173"/>
    </row>
    <row r="334" spans="1:21" ht="16.95" customHeight="1" x14ac:dyDescent="0.3">
      <c r="A334" s="12" t="str">
        <f t="shared" si="30"/>
        <v>C1Y</v>
      </c>
      <c r="C334" s="9">
        <f t="shared" ref="C334:N334" si="32">B289</f>
        <v>38951.553776120585</v>
      </c>
      <c r="D334" s="9">
        <f t="shared" si="32"/>
        <v>116550.87600408691</v>
      </c>
      <c r="E334" s="9">
        <f t="shared" si="32"/>
        <v>0</v>
      </c>
      <c r="F334" s="9">
        <f t="shared" si="32"/>
        <v>0</v>
      </c>
      <c r="G334" s="9">
        <f t="shared" si="32"/>
        <v>0</v>
      </c>
      <c r="H334" s="9">
        <f t="shared" si="32"/>
        <v>0</v>
      </c>
      <c r="I334" s="9">
        <f t="shared" si="32"/>
        <v>0</v>
      </c>
      <c r="J334" s="9">
        <f t="shared" si="32"/>
        <v>-90000</v>
      </c>
      <c r="K334" s="9">
        <f t="shared" si="32"/>
        <v>-27425.636234096677</v>
      </c>
      <c r="L334" s="9">
        <f t="shared" si="32"/>
        <v>-21940.508987277342</v>
      </c>
      <c r="M334" s="9">
        <f t="shared" si="32"/>
        <v>-11525.917542023908</v>
      </c>
      <c r="N334" s="9">
        <f t="shared" si="32"/>
        <v>-4610.3670168095641</v>
      </c>
      <c r="O334" s="13" t="s">
        <v>251</v>
      </c>
      <c r="P334" s="219" t="s">
        <v>253</v>
      </c>
      <c r="Q334" s="172"/>
      <c r="R334" s="172"/>
      <c r="S334" s="172"/>
      <c r="T334" s="172"/>
      <c r="U334" s="173"/>
    </row>
    <row r="335" spans="1:21" ht="16.95" customHeight="1" x14ac:dyDescent="0.3">
      <c r="A335" s="41">
        <f t="shared" si="30"/>
        <v>0</v>
      </c>
      <c r="C335" s="9">
        <f t="shared" ref="C335:N335" si="33">B290</f>
        <v>-72000</v>
      </c>
      <c r="D335" s="9">
        <f t="shared" si="33"/>
        <v>0</v>
      </c>
      <c r="E335" s="41">
        <f t="shared" si="33"/>
        <v>212564.09058524168</v>
      </c>
      <c r="F335" s="41">
        <f t="shared" si="33"/>
        <v>0</v>
      </c>
      <c r="G335" s="41">
        <f t="shared" si="33"/>
        <v>-72000</v>
      </c>
      <c r="H335" s="9">
        <f t="shared" si="33"/>
        <v>0</v>
      </c>
      <c r="I335" s="41">
        <f t="shared" si="33"/>
        <v>-34282.045292620853</v>
      </c>
      <c r="J335" s="41">
        <f t="shared" si="33"/>
        <v>27425.636234096677</v>
      </c>
      <c r="K335" s="41">
        <f t="shared" si="33"/>
        <v>0</v>
      </c>
      <c r="L335" s="41">
        <f t="shared" si="33"/>
        <v>0</v>
      </c>
      <c r="M335" s="41">
        <f t="shared" si="33"/>
        <v>-34282.045292620853</v>
      </c>
      <c r="N335" s="41">
        <f t="shared" si="33"/>
        <v>-27425.636234096677</v>
      </c>
      <c r="O335" s="13" t="s">
        <v>251</v>
      </c>
      <c r="P335" s="215" t="s">
        <v>254</v>
      </c>
      <c r="Q335" s="172"/>
      <c r="R335" s="172"/>
      <c r="S335" s="172"/>
      <c r="T335" s="172"/>
      <c r="U335" s="173"/>
    </row>
    <row r="336" spans="1:21" ht="16.95" customHeight="1" x14ac:dyDescent="0.3">
      <c r="A336" s="41">
        <f t="shared" si="30"/>
        <v>-8000</v>
      </c>
      <c r="C336" s="9">
        <f t="shared" ref="C336:N336" si="34">B291</f>
        <v>0</v>
      </c>
      <c r="D336" s="9">
        <f t="shared" si="34"/>
        <v>0</v>
      </c>
      <c r="E336" s="41">
        <f t="shared" si="34"/>
        <v>0</v>
      </c>
      <c r="F336" s="41">
        <f t="shared" si="34"/>
        <v>133881.01797455468</v>
      </c>
      <c r="G336" s="41">
        <f t="shared" si="34"/>
        <v>0</v>
      </c>
      <c r="H336" s="9">
        <f t="shared" si="34"/>
        <v>0</v>
      </c>
      <c r="I336" s="41">
        <f t="shared" si="34"/>
        <v>27425.636234096677</v>
      </c>
      <c r="J336" s="41">
        <f t="shared" si="34"/>
        <v>-21940.508987277342</v>
      </c>
      <c r="K336" s="41">
        <f t="shared" si="34"/>
        <v>0</v>
      </c>
      <c r="L336" s="41">
        <f t="shared" si="34"/>
        <v>-90000</v>
      </c>
      <c r="M336" s="41">
        <f t="shared" si="34"/>
        <v>-27425.636234096677</v>
      </c>
      <c r="N336" s="41">
        <f t="shared" si="34"/>
        <v>-21940.508987277342</v>
      </c>
      <c r="O336" s="13" t="s">
        <v>251</v>
      </c>
      <c r="P336" s="215" t="s">
        <v>381</v>
      </c>
      <c r="Q336" s="172"/>
      <c r="R336" s="172"/>
      <c r="S336" s="172"/>
      <c r="T336" s="172"/>
      <c r="U336" s="173"/>
    </row>
    <row r="337" spans="1:21" ht="16.95" customHeight="1" x14ac:dyDescent="0.3">
      <c r="A337" s="41">
        <f t="shared" si="30"/>
        <v>0</v>
      </c>
      <c r="C337" s="9">
        <f t="shared" ref="C337:N337" si="35">B292</f>
        <v>0</v>
      </c>
      <c r="D337" s="9">
        <f t="shared" si="35"/>
        <v>0</v>
      </c>
      <c r="E337" s="41">
        <f t="shared" si="35"/>
        <v>-72000</v>
      </c>
      <c r="F337" s="41">
        <f t="shared" si="35"/>
        <v>0</v>
      </c>
      <c r="G337" s="41">
        <f t="shared" si="35"/>
        <v>106282.04529262085</v>
      </c>
      <c r="H337" s="9">
        <f t="shared" si="35"/>
        <v>-27425.636234096677</v>
      </c>
      <c r="I337" s="41">
        <f t="shared" si="35"/>
        <v>0</v>
      </c>
      <c r="J337" s="41">
        <f t="shared" si="35"/>
        <v>0</v>
      </c>
      <c r="K337" s="41">
        <f t="shared" si="35"/>
        <v>-34282.045292620853</v>
      </c>
      <c r="L337" s="41">
        <f t="shared" si="35"/>
        <v>27425.636234096677</v>
      </c>
      <c r="M337" s="41">
        <f t="shared" si="35"/>
        <v>0</v>
      </c>
      <c r="N337" s="41">
        <f t="shared" si="35"/>
        <v>0</v>
      </c>
      <c r="O337" s="13" t="s">
        <v>251</v>
      </c>
      <c r="P337" s="215" t="s">
        <v>382</v>
      </c>
      <c r="Q337" s="172"/>
      <c r="R337" s="172"/>
      <c r="S337" s="172"/>
      <c r="T337" s="172"/>
      <c r="U337" s="173"/>
    </row>
    <row r="338" spans="1:21" ht="16.95" customHeight="1" x14ac:dyDescent="0.3">
      <c r="A338" s="12" t="str">
        <f t="shared" si="30"/>
        <v>C3Y</v>
      </c>
      <c r="C338" s="9">
        <f t="shared" ref="C338:N338" si="36">B293</f>
        <v>0</v>
      </c>
      <c r="D338" s="9">
        <f t="shared" si="36"/>
        <v>0</v>
      </c>
      <c r="E338" s="9">
        <f t="shared" si="36"/>
        <v>0</v>
      </c>
      <c r="F338" s="9">
        <f t="shared" si="36"/>
        <v>0</v>
      </c>
      <c r="G338" s="9">
        <f t="shared" si="36"/>
        <v>-27425.636234096677</v>
      </c>
      <c r="H338" s="9">
        <f t="shared" si="36"/>
        <v>111940.50898727734</v>
      </c>
      <c r="I338" s="9">
        <f t="shared" si="36"/>
        <v>0</v>
      </c>
      <c r="J338" s="9">
        <f t="shared" si="36"/>
        <v>0</v>
      </c>
      <c r="K338" s="9">
        <f t="shared" si="36"/>
        <v>27425.636234096677</v>
      </c>
      <c r="L338" s="9">
        <f t="shared" si="36"/>
        <v>-21940.508987277342</v>
      </c>
      <c r="M338" s="9">
        <f t="shared" si="36"/>
        <v>0</v>
      </c>
      <c r="N338" s="9">
        <f t="shared" si="36"/>
        <v>-90000</v>
      </c>
      <c r="O338" s="13" t="s">
        <v>251</v>
      </c>
      <c r="P338" s="219">
        <f t="shared" ref="P338:P344" si="37">E322</f>
        <v>0</v>
      </c>
      <c r="Q338" s="172"/>
      <c r="R338" s="172"/>
      <c r="S338" s="172"/>
      <c r="T338" s="172"/>
      <c r="U338" s="173"/>
    </row>
    <row r="339" spans="1:21" ht="16.95" customHeight="1" x14ac:dyDescent="0.3">
      <c r="A339" s="41">
        <f t="shared" si="30"/>
        <v>3000</v>
      </c>
      <c r="B339" s="13" t="s">
        <v>220</v>
      </c>
      <c r="C339" s="9">
        <f t="shared" ref="C339:N339" si="38">B294</f>
        <v>0</v>
      </c>
      <c r="D339" s="9">
        <f t="shared" si="38"/>
        <v>0</v>
      </c>
      <c r="E339" s="41">
        <f t="shared" si="38"/>
        <v>-34282.045292620853</v>
      </c>
      <c r="F339" s="41">
        <f t="shared" si="38"/>
        <v>27425.636234096677</v>
      </c>
      <c r="G339" s="41">
        <f t="shared" si="38"/>
        <v>0</v>
      </c>
      <c r="H339" s="9">
        <f t="shared" si="38"/>
        <v>0</v>
      </c>
      <c r="I339" s="41">
        <f t="shared" si="38"/>
        <v>106282.04529262085</v>
      </c>
      <c r="J339" s="41">
        <f t="shared" si="38"/>
        <v>-27425.636234096677</v>
      </c>
      <c r="K339" s="41">
        <f t="shared" si="38"/>
        <v>-72000</v>
      </c>
      <c r="L339" s="41">
        <f t="shared" si="38"/>
        <v>0</v>
      </c>
      <c r="M339" s="41">
        <f t="shared" si="38"/>
        <v>0</v>
      </c>
      <c r="N339" s="41">
        <f t="shared" si="38"/>
        <v>0</v>
      </c>
      <c r="O339" s="13" t="s">
        <v>251</v>
      </c>
      <c r="P339" s="215" t="str">
        <f t="shared" si="37"/>
        <v>D4X</v>
      </c>
      <c r="Q339" s="172"/>
      <c r="R339" s="172"/>
      <c r="S339" s="172"/>
      <c r="T339" s="172"/>
      <c r="U339" s="173"/>
    </row>
    <row r="340" spans="1:21" ht="16.95" customHeight="1" x14ac:dyDescent="0.3">
      <c r="A340" s="41">
        <f t="shared" si="30"/>
        <v>0</v>
      </c>
      <c r="C340" s="9">
        <f t="shared" ref="C340:N340" si="39">B295</f>
        <v>0</v>
      </c>
      <c r="D340" s="9">
        <f t="shared" si="39"/>
        <v>-90000</v>
      </c>
      <c r="E340" s="41">
        <f t="shared" si="39"/>
        <v>27425.636234096677</v>
      </c>
      <c r="F340" s="41">
        <f t="shared" si="39"/>
        <v>-21940.508987277342</v>
      </c>
      <c r="G340" s="41">
        <f t="shared" si="39"/>
        <v>0</v>
      </c>
      <c r="H340" s="9">
        <f t="shared" si="39"/>
        <v>0</v>
      </c>
      <c r="I340" s="41">
        <f t="shared" si="39"/>
        <v>-27425.636234096677</v>
      </c>
      <c r="J340" s="41">
        <f t="shared" si="39"/>
        <v>111940.50898727734</v>
      </c>
      <c r="K340" s="41">
        <f t="shared" si="39"/>
        <v>0</v>
      </c>
      <c r="L340" s="41">
        <f t="shared" si="39"/>
        <v>0</v>
      </c>
      <c r="M340" s="41">
        <f t="shared" si="39"/>
        <v>0</v>
      </c>
      <c r="N340" s="41">
        <f t="shared" si="39"/>
        <v>0</v>
      </c>
      <c r="O340" s="13" t="s">
        <v>251</v>
      </c>
      <c r="P340" s="215" t="str">
        <f t="shared" si="37"/>
        <v>D4Y</v>
      </c>
      <c r="Q340" s="172"/>
      <c r="R340" s="172"/>
      <c r="S340" s="172"/>
      <c r="T340" s="172"/>
      <c r="U340" s="173"/>
    </row>
    <row r="341" spans="1:21" ht="16.95" customHeight="1" x14ac:dyDescent="0.3">
      <c r="A341" s="41">
        <f t="shared" si="30"/>
        <v>0</v>
      </c>
      <c r="C341" s="9">
        <f t="shared" ref="C341:N341" si="40">B296</f>
        <v>-34282.045292620853</v>
      </c>
      <c r="D341" s="9">
        <f t="shared" si="40"/>
        <v>-27425.636234096677</v>
      </c>
      <c r="E341" s="41">
        <f t="shared" si="40"/>
        <v>0</v>
      </c>
      <c r="F341" s="41">
        <f t="shared" si="40"/>
        <v>0</v>
      </c>
      <c r="G341" s="41">
        <f t="shared" si="40"/>
        <v>-34282.045292620853</v>
      </c>
      <c r="H341" s="9">
        <f t="shared" si="40"/>
        <v>27425.636234096677</v>
      </c>
      <c r="I341" s="41">
        <f t="shared" si="40"/>
        <v>-72000</v>
      </c>
      <c r="J341" s="41">
        <f t="shared" si="40"/>
        <v>0</v>
      </c>
      <c r="K341" s="41">
        <f t="shared" si="40"/>
        <v>212564.09058524168</v>
      </c>
      <c r="L341" s="41">
        <f t="shared" si="40"/>
        <v>0</v>
      </c>
      <c r="M341" s="41">
        <f t="shared" si="40"/>
        <v>-72000</v>
      </c>
      <c r="N341" s="41">
        <f t="shared" si="40"/>
        <v>0</v>
      </c>
      <c r="O341" s="13" t="s">
        <v>251</v>
      </c>
      <c r="P341" s="215" t="str">
        <f t="shared" si="37"/>
        <v>D5X</v>
      </c>
      <c r="Q341" s="172"/>
      <c r="R341" s="172"/>
      <c r="S341" s="172"/>
      <c r="T341" s="172"/>
      <c r="U341" s="173"/>
    </row>
    <row r="342" spans="1:21" ht="16.95" customHeight="1" x14ac:dyDescent="0.3">
      <c r="A342" s="41">
        <f t="shared" si="30"/>
        <v>-6000</v>
      </c>
      <c r="C342" s="9">
        <f t="shared" ref="C342:N342" si="41">B297</f>
        <v>-27425.636234096677</v>
      </c>
      <c r="D342" s="9">
        <f t="shared" si="41"/>
        <v>-21940.508987277342</v>
      </c>
      <c r="E342" s="41">
        <f t="shared" si="41"/>
        <v>0</v>
      </c>
      <c r="F342" s="41">
        <f t="shared" si="41"/>
        <v>-90000</v>
      </c>
      <c r="G342" s="41">
        <f t="shared" si="41"/>
        <v>27425.636234096677</v>
      </c>
      <c r="H342" s="9">
        <f t="shared" si="41"/>
        <v>-21940.508987277342</v>
      </c>
      <c r="I342" s="41">
        <f t="shared" si="41"/>
        <v>0</v>
      </c>
      <c r="J342" s="41">
        <f t="shared" si="41"/>
        <v>0</v>
      </c>
      <c r="K342" s="41">
        <f t="shared" si="41"/>
        <v>0</v>
      </c>
      <c r="L342" s="41">
        <f t="shared" si="41"/>
        <v>133881.01797455468</v>
      </c>
      <c r="M342" s="41">
        <f t="shared" si="41"/>
        <v>0</v>
      </c>
      <c r="N342" s="41">
        <f t="shared" si="41"/>
        <v>0</v>
      </c>
      <c r="O342" s="13" t="s">
        <v>251</v>
      </c>
      <c r="P342" s="215" t="str">
        <f t="shared" si="37"/>
        <v>D5Y</v>
      </c>
      <c r="Q342" s="172"/>
      <c r="R342" s="172"/>
      <c r="S342" s="172"/>
      <c r="T342" s="172"/>
      <c r="U342" s="173"/>
    </row>
    <row r="343" spans="1:21" ht="16.95" customHeight="1" x14ac:dyDescent="0.3">
      <c r="A343" s="41">
        <f t="shared" si="30"/>
        <v>0</v>
      </c>
      <c r="C343" s="9">
        <f t="shared" ref="C343:N343" si="42">B298</f>
        <v>-28814.793855059772</v>
      </c>
      <c r="D343" s="9">
        <f t="shared" si="42"/>
        <v>-11525.917542023908</v>
      </c>
      <c r="E343" s="41">
        <f t="shared" si="42"/>
        <v>-34282.045292620853</v>
      </c>
      <c r="F343" s="41">
        <f t="shared" si="42"/>
        <v>-27425.636234096677</v>
      </c>
      <c r="G343" s="41">
        <f t="shared" si="42"/>
        <v>0</v>
      </c>
      <c r="H343" s="9">
        <f t="shared" si="42"/>
        <v>0</v>
      </c>
      <c r="I343" s="41">
        <f t="shared" si="42"/>
        <v>0</v>
      </c>
      <c r="J343" s="41">
        <f t="shared" si="42"/>
        <v>0</v>
      </c>
      <c r="K343" s="41">
        <f t="shared" si="42"/>
        <v>-72000</v>
      </c>
      <c r="L343" s="41">
        <f t="shared" si="42"/>
        <v>0</v>
      </c>
      <c r="M343" s="41">
        <f t="shared" si="42"/>
        <v>135096.83914768061</v>
      </c>
      <c r="N343" s="41">
        <f t="shared" si="42"/>
        <v>38951.553776120585</v>
      </c>
      <c r="O343" s="13" t="s">
        <v>251</v>
      </c>
      <c r="P343" s="215" t="str">
        <f t="shared" si="37"/>
        <v>D6X</v>
      </c>
      <c r="Q343" s="172"/>
      <c r="R343" s="172"/>
      <c r="S343" s="172"/>
      <c r="T343" s="172"/>
      <c r="U343" s="173"/>
    </row>
    <row r="344" spans="1:21" ht="16.95" customHeight="1" x14ac:dyDescent="0.3">
      <c r="A344" s="41">
        <f t="shared" si="30"/>
        <v>0</v>
      </c>
      <c r="C344" s="9">
        <f t="shared" ref="C344:N344" si="43">B299</f>
        <v>-11525.917542023908</v>
      </c>
      <c r="D344" s="9">
        <f t="shared" si="43"/>
        <v>-4610.3670168095641</v>
      </c>
      <c r="E344" s="41">
        <f t="shared" si="43"/>
        <v>-27425.636234096677</v>
      </c>
      <c r="F344" s="41">
        <f t="shared" si="43"/>
        <v>-21940.508987277342</v>
      </c>
      <c r="G344" s="41">
        <f t="shared" si="43"/>
        <v>0</v>
      </c>
      <c r="H344" s="9">
        <f t="shared" si="43"/>
        <v>-90000</v>
      </c>
      <c r="I344" s="41">
        <f t="shared" si="43"/>
        <v>0</v>
      </c>
      <c r="J344" s="41">
        <f t="shared" si="43"/>
        <v>0</v>
      </c>
      <c r="K344" s="41">
        <f t="shared" si="43"/>
        <v>0</v>
      </c>
      <c r="L344" s="41">
        <f t="shared" si="43"/>
        <v>0</v>
      </c>
      <c r="M344" s="41">
        <f t="shared" si="43"/>
        <v>38951.553776120585</v>
      </c>
      <c r="N344" s="41">
        <f t="shared" si="43"/>
        <v>116550.87600408691</v>
      </c>
      <c r="O344" s="13" t="s">
        <v>251</v>
      </c>
      <c r="P344" s="215" t="str">
        <f t="shared" si="37"/>
        <v>D6Y</v>
      </c>
      <c r="Q344" s="172"/>
      <c r="R344" s="172"/>
      <c r="S344" s="172"/>
      <c r="T344" s="172"/>
      <c r="U344" s="173"/>
    </row>
    <row r="347" spans="1:21" ht="19.95" customHeight="1" x14ac:dyDescent="0.35">
      <c r="A347" s="15" t="s">
        <v>257</v>
      </c>
      <c r="P347" s="216" t="s">
        <v>258</v>
      </c>
      <c r="Q347" s="172"/>
      <c r="R347" s="172"/>
      <c r="S347" s="172"/>
      <c r="T347" s="172"/>
      <c r="U347" s="173"/>
    </row>
    <row r="348" spans="1:21" ht="16.95" customHeight="1" x14ac:dyDescent="0.3">
      <c r="C348" s="38" t="str">
        <f>INDEX(C$317:C$328, MATCH(1, F$317:F$328, 0))</f>
        <v>U2X</v>
      </c>
      <c r="D348" s="38" t="str">
        <f>INDEX(C$317:C$328, MATCH(2, F$317:F$328, 0))</f>
        <v>U2Y</v>
      </c>
      <c r="E348" s="38" t="str">
        <f>INDEX(C$317:C$328, MATCH(3, F$317:F$328, 0))</f>
        <v>U3X</v>
      </c>
      <c r="F348" s="38" t="str">
        <f>INDEX(C$317:C$328, MATCH(4, F$317:F$328, 0))</f>
        <v>U4X</v>
      </c>
      <c r="G348" s="38" t="str">
        <f>INDEX(C$317:C$328, MATCH(5, F$317:F$328, 0))</f>
        <v>U4Y</v>
      </c>
      <c r="H348" s="38" t="str">
        <f>INDEX(C$317:C$328, MATCH(6, F$317:F$328, 0))</f>
        <v>U5X</v>
      </c>
      <c r="I348" s="38" t="str">
        <f>INDEX(C$317:C$328, MATCH(7, F$317:F$328, 0))</f>
        <v>U5Y</v>
      </c>
      <c r="J348" s="38" t="str">
        <f>INDEX(C$317:C$328, MATCH(8, F$317:F$328, 0))</f>
        <v>U6X</v>
      </c>
      <c r="K348" s="38" t="str">
        <f>INDEX(C$317:C$328, MATCH(9, F$317:F$328, 0))</f>
        <v>U6Y</v>
      </c>
      <c r="P348" s="215" t="s">
        <v>383</v>
      </c>
      <c r="Q348" s="172"/>
      <c r="R348" s="172"/>
      <c r="S348" s="172"/>
      <c r="T348" s="172"/>
      <c r="U348" s="173"/>
    </row>
    <row r="349" spans="1:21" ht="16.95" customHeight="1" x14ac:dyDescent="0.3">
      <c r="A349" s="41">
        <f t="shared" ref="A349:A357" si="44">INDEX(E$303:E$314, MATCH(N349, C$303:C$314, 0))</f>
        <v>0</v>
      </c>
      <c r="C349" s="41">
        <f t="shared" ref="C349:K357" si="45">INDEX($B$288:$M$299, MATCH($N349, $N$288:$N$299, 0), MATCH(C$348, $B$287:$M$287, 0))</f>
        <v>212564.09058524168</v>
      </c>
      <c r="D349" s="41">
        <f t="shared" si="45"/>
        <v>0</v>
      </c>
      <c r="E349" s="41">
        <f t="shared" si="45"/>
        <v>-72000</v>
      </c>
      <c r="F349" s="41">
        <f t="shared" si="45"/>
        <v>-34282.045292620853</v>
      </c>
      <c r="G349" s="41">
        <f t="shared" si="45"/>
        <v>27425.636234096677</v>
      </c>
      <c r="H349" s="41">
        <f t="shared" si="45"/>
        <v>0</v>
      </c>
      <c r="I349" s="41">
        <f t="shared" si="45"/>
        <v>0</v>
      </c>
      <c r="J349" s="41">
        <f t="shared" si="45"/>
        <v>-34282.045292620853</v>
      </c>
      <c r="K349" s="41">
        <f t="shared" si="45"/>
        <v>-27425.636234096677</v>
      </c>
      <c r="L349" s="13" t="s">
        <v>251</v>
      </c>
      <c r="M349" s="38" t="str">
        <f>INDEX(B$317:B$328, MATCH(1, F$317:F$328, 0))</f>
        <v>D2X</v>
      </c>
      <c r="N349" s="14" t="str">
        <f>INDEX(C$317:C$328, MATCH(1, F$317:F$328, 0))</f>
        <v>U2X</v>
      </c>
      <c r="P349" s="215" t="s">
        <v>384</v>
      </c>
      <c r="Q349" s="172"/>
      <c r="R349" s="172"/>
      <c r="S349" s="172"/>
      <c r="T349" s="172"/>
      <c r="U349" s="173"/>
    </row>
    <row r="350" spans="1:21" ht="16.95" customHeight="1" x14ac:dyDescent="0.3">
      <c r="A350" s="41">
        <f t="shared" si="44"/>
        <v>-8000</v>
      </c>
      <c r="C350" s="41">
        <f t="shared" si="45"/>
        <v>0</v>
      </c>
      <c r="D350" s="41">
        <f t="shared" si="45"/>
        <v>133881.01797455468</v>
      </c>
      <c r="E350" s="41">
        <f t="shared" si="45"/>
        <v>0</v>
      </c>
      <c r="F350" s="41">
        <f t="shared" si="45"/>
        <v>27425.636234096677</v>
      </c>
      <c r="G350" s="41">
        <f t="shared" si="45"/>
        <v>-21940.508987277342</v>
      </c>
      <c r="H350" s="41">
        <f t="shared" si="45"/>
        <v>0</v>
      </c>
      <c r="I350" s="41">
        <f t="shared" si="45"/>
        <v>-90000</v>
      </c>
      <c r="J350" s="41">
        <f t="shared" si="45"/>
        <v>-27425.636234096677</v>
      </c>
      <c r="K350" s="41">
        <f t="shared" si="45"/>
        <v>-21940.508987277342</v>
      </c>
      <c r="L350" s="13" t="s">
        <v>251</v>
      </c>
      <c r="M350" s="38" t="str">
        <f>INDEX(B$317:B$328, MATCH(2, F$317:F$328, 0))</f>
        <v>D2Y</v>
      </c>
      <c r="N350" s="14" t="str">
        <f>INDEX(C$317:C$328, MATCH(2, F$317:F$328, 0))</f>
        <v>U2Y</v>
      </c>
      <c r="P350" s="215" t="s">
        <v>385</v>
      </c>
      <c r="Q350" s="172"/>
      <c r="R350" s="172"/>
      <c r="S350" s="172"/>
      <c r="T350" s="172"/>
      <c r="U350" s="173"/>
    </row>
    <row r="351" spans="1:21" ht="16.95" customHeight="1" x14ac:dyDescent="0.3">
      <c r="A351" s="41">
        <f t="shared" si="44"/>
        <v>0</v>
      </c>
      <c r="C351" s="41">
        <f t="shared" si="45"/>
        <v>-72000</v>
      </c>
      <c r="D351" s="41">
        <f t="shared" si="45"/>
        <v>0</v>
      </c>
      <c r="E351" s="41">
        <f t="shared" si="45"/>
        <v>106282.04529262085</v>
      </c>
      <c r="F351" s="41">
        <f t="shared" si="45"/>
        <v>0</v>
      </c>
      <c r="G351" s="41">
        <f t="shared" si="45"/>
        <v>0</v>
      </c>
      <c r="H351" s="41">
        <f t="shared" si="45"/>
        <v>-34282.045292620853</v>
      </c>
      <c r="I351" s="41">
        <f t="shared" si="45"/>
        <v>27425.636234096677</v>
      </c>
      <c r="J351" s="41">
        <f t="shared" si="45"/>
        <v>0</v>
      </c>
      <c r="K351" s="41">
        <f t="shared" si="45"/>
        <v>0</v>
      </c>
      <c r="L351" s="13" t="s">
        <v>251</v>
      </c>
      <c r="M351" s="38" t="str">
        <f>INDEX(B$317:B$328, MATCH(3, F$317:F$328, 0))</f>
        <v>D3X</v>
      </c>
      <c r="N351" s="14" t="str">
        <f>INDEX(C$317:C$328, MATCH(3, F$317:F$328, 0))</f>
        <v>U3X</v>
      </c>
      <c r="P351" s="215" t="s">
        <v>386</v>
      </c>
      <c r="Q351" s="172"/>
      <c r="R351" s="172"/>
      <c r="S351" s="172"/>
      <c r="T351" s="172"/>
      <c r="U351" s="173"/>
    </row>
    <row r="352" spans="1:21" ht="16.95" customHeight="1" x14ac:dyDescent="0.3">
      <c r="A352" s="41">
        <f t="shared" si="44"/>
        <v>3000</v>
      </c>
      <c r="C352" s="41">
        <f t="shared" si="45"/>
        <v>-34282.045292620853</v>
      </c>
      <c r="D352" s="41">
        <f t="shared" si="45"/>
        <v>27425.636234096677</v>
      </c>
      <c r="E352" s="41">
        <f t="shared" si="45"/>
        <v>0</v>
      </c>
      <c r="F352" s="41">
        <f t="shared" si="45"/>
        <v>106282.04529262085</v>
      </c>
      <c r="G352" s="41">
        <f t="shared" si="45"/>
        <v>-27425.636234096677</v>
      </c>
      <c r="H352" s="41">
        <f t="shared" si="45"/>
        <v>-72000</v>
      </c>
      <c r="I352" s="41">
        <f t="shared" si="45"/>
        <v>0</v>
      </c>
      <c r="J352" s="41">
        <f t="shared" si="45"/>
        <v>0</v>
      </c>
      <c r="K352" s="41">
        <f t="shared" si="45"/>
        <v>0</v>
      </c>
      <c r="L352" s="13" t="s">
        <v>251</v>
      </c>
      <c r="M352" s="38" t="str">
        <f>INDEX(B$317:B$328, MATCH(4, F$317:F$328, 0))</f>
        <v>D4X</v>
      </c>
      <c r="N352" s="14" t="str">
        <f>INDEX(C$317:C$328, MATCH(4, F$317:F$328, 0))</f>
        <v>U4X</v>
      </c>
      <c r="P352" s="215" t="s">
        <v>387</v>
      </c>
      <c r="Q352" s="172"/>
      <c r="R352" s="172"/>
      <c r="S352" s="172"/>
      <c r="T352" s="172"/>
      <c r="U352" s="173"/>
    </row>
    <row r="353" spans="1:21" ht="16.95" customHeight="1" x14ac:dyDescent="0.3">
      <c r="A353" s="41">
        <f t="shared" si="44"/>
        <v>0</v>
      </c>
      <c r="B353" s="13" t="s">
        <v>220</v>
      </c>
      <c r="C353" s="41">
        <f t="shared" si="45"/>
        <v>27425.636234096677</v>
      </c>
      <c r="D353" s="41">
        <f t="shared" si="45"/>
        <v>-21940.508987277342</v>
      </c>
      <c r="E353" s="41">
        <f t="shared" si="45"/>
        <v>0</v>
      </c>
      <c r="F353" s="41">
        <f t="shared" si="45"/>
        <v>-27425.636234096677</v>
      </c>
      <c r="G353" s="41">
        <f t="shared" si="45"/>
        <v>111940.50898727734</v>
      </c>
      <c r="H353" s="41">
        <f t="shared" si="45"/>
        <v>0</v>
      </c>
      <c r="I353" s="41">
        <f t="shared" si="45"/>
        <v>0</v>
      </c>
      <c r="J353" s="41">
        <f t="shared" si="45"/>
        <v>0</v>
      </c>
      <c r="K353" s="41">
        <f t="shared" si="45"/>
        <v>0</v>
      </c>
      <c r="L353" s="13" t="s">
        <v>251</v>
      </c>
      <c r="M353" s="38" t="str">
        <f>INDEX(B$317:B$328, MATCH(5, F$317:F$328, 0))</f>
        <v>D4Y</v>
      </c>
      <c r="N353" s="14" t="str">
        <f>INDEX(C$317:C$328, MATCH(5, F$317:F$328, 0))</f>
        <v>U4Y</v>
      </c>
      <c r="P353" s="215" t="s">
        <v>388</v>
      </c>
      <c r="Q353" s="172"/>
      <c r="R353" s="172"/>
      <c r="S353" s="172"/>
      <c r="T353" s="172"/>
      <c r="U353" s="173"/>
    </row>
    <row r="354" spans="1:21" ht="16.95" customHeight="1" x14ac:dyDescent="0.3">
      <c r="A354" s="41">
        <f t="shared" si="44"/>
        <v>0</v>
      </c>
      <c r="C354" s="41">
        <f t="shared" si="45"/>
        <v>0</v>
      </c>
      <c r="D354" s="41">
        <f t="shared" si="45"/>
        <v>0</v>
      </c>
      <c r="E354" s="41">
        <f t="shared" si="45"/>
        <v>-34282.045292620853</v>
      </c>
      <c r="F354" s="41">
        <f t="shared" si="45"/>
        <v>-72000</v>
      </c>
      <c r="G354" s="41">
        <f t="shared" si="45"/>
        <v>0</v>
      </c>
      <c r="H354" s="41">
        <f t="shared" si="45"/>
        <v>212564.09058524168</v>
      </c>
      <c r="I354" s="41">
        <f t="shared" si="45"/>
        <v>0</v>
      </c>
      <c r="J354" s="41">
        <f t="shared" si="45"/>
        <v>-72000</v>
      </c>
      <c r="K354" s="41">
        <f t="shared" si="45"/>
        <v>0</v>
      </c>
      <c r="L354" s="13" t="s">
        <v>251</v>
      </c>
      <c r="M354" s="38" t="str">
        <f>INDEX(B$317:B$328, MATCH(6, F$317:F$328, 0))</f>
        <v>D5X</v>
      </c>
      <c r="N354" s="14" t="str">
        <f>INDEX(C$317:C$328, MATCH(6, F$317:F$328, 0))</f>
        <v>U5X</v>
      </c>
      <c r="P354" s="215"/>
      <c r="Q354" s="172"/>
      <c r="R354" s="172"/>
      <c r="S354" s="172"/>
      <c r="T354" s="172"/>
      <c r="U354" s="173"/>
    </row>
    <row r="355" spans="1:21" ht="16.95" customHeight="1" x14ac:dyDescent="0.3">
      <c r="A355" s="41">
        <f t="shared" si="44"/>
        <v>-6000</v>
      </c>
      <c r="C355" s="41">
        <f t="shared" si="45"/>
        <v>0</v>
      </c>
      <c r="D355" s="41">
        <f t="shared" si="45"/>
        <v>-90000</v>
      </c>
      <c r="E355" s="41">
        <f t="shared" si="45"/>
        <v>27425.636234096677</v>
      </c>
      <c r="F355" s="41">
        <f t="shared" si="45"/>
        <v>0</v>
      </c>
      <c r="G355" s="41">
        <f t="shared" si="45"/>
        <v>0</v>
      </c>
      <c r="H355" s="41">
        <f t="shared" si="45"/>
        <v>0</v>
      </c>
      <c r="I355" s="41">
        <f t="shared" si="45"/>
        <v>133881.01797455468</v>
      </c>
      <c r="J355" s="41">
        <f t="shared" si="45"/>
        <v>0</v>
      </c>
      <c r="K355" s="41">
        <f t="shared" si="45"/>
        <v>0</v>
      </c>
      <c r="L355" s="13" t="s">
        <v>251</v>
      </c>
      <c r="M355" s="38" t="str">
        <f>INDEX(B$317:B$328, MATCH(7, F$317:F$328, 0))</f>
        <v>D5Y</v>
      </c>
      <c r="N355" s="14" t="str">
        <f>INDEX(C$317:C$328, MATCH(7, F$317:F$328, 0))</f>
        <v>U5Y</v>
      </c>
      <c r="P355" s="215"/>
      <c r="Q355" s="172"/>
      <c r="R355" s="172"/>
      <c r="S355" s="172"/>
      <c r="T355" s="172"/>
      <c r="U355" s="173"/>
    </row>
    <row r="356" spans="1:21" ht="16.95" customHeight="1" x14ac:dyDescent="0.3">
      <c r="A356" s="41">
        <f t="shared" si="44"/>
        <v>0</v>
      </c>
      <c r="C356" s="41">
        <f t="shared" si="45"/>
        <v>-34282.045292620853</v>
      </c>
      <c r="D356" s="41">
        <f t="shared" si="45"/>
        <v>-27425.636234096677</v>
      </c>
      <c r="E356" s="41">
        <f t="shared" si="45"/>
        <v>0</v>
      </c>
      <c r="F356" s="41">
        <f t="shared" si="45"/>
        <v>0</v>
      </c>
      <c r="G356" s="41">
        <f t="shared" si="45"/>
        <v>0</v>
      </c>
      <c r="H356" s="41">
        <f t="shared" si="45"/>
        <v>-72000</v>
      </c>
      <c r="I356" s="41">
        <f t="shared" si="45"/>
        <v>0</v>
      </c>
      <c r="J356" s="41">
        <f t="shared" si="45"/>
        <v>135096.83914768061</v>
      </c>
      <c r="K356" s="41">
        <f t="shared" si="45"/>
        <v>38951.553776120585</v>
      </c>
      <c r="L356" s="13" t="s">
        <v>251</v>
      </c>
      <c r="M356" s="38" t="str">
        <f>INDEX(B$317:B$328, MATCH(8, F$317:F$328, 0))</f>
        <v>D6X</v>
      </c>
      <c r="N356" s="14" t="str">
        <f>INDEX(C$317:C$328, MATCH(8, F$317:F$328, 0))</f>
        <v>U6X</v>
      </c>
      <c r="P356" s="215"/>
      <c r="Q356" s="172"/>
      <c r="R356" s="172"/>
      <c r="S356" s="172"/>
      <c r="T356" s="172"/>
      <c r="U356" s="173"/>
    </row>
    <row r="357" spans="1:21" ht="16.95" customHeight="1" x14ac:dyDescent="0.3">
      <c r="A357" s="41">
        <f t="shared" si="44"/>
        <v>0</v>
      </c>
      <c r="C357" s="41">
        <f t="shared" si="45"/>
        <v>-27425.636234096677</v>
      </c>
      <c r="D357" s="41">
        <f t="shared" si="45"/>
        <v>-21940.508987277342</v>
      </c>
      <c r="E357" s="41">
        <f t="shared" si="45"/>
        <v>0</v>
      </c>
      <c r="F357" s="41">
        <f t="shared" si="45"/>
        <v>0</v>
      </c>
      <c r="G357" s="41">
        <f t="shared" si="45"/>
        <v>0</v>
      </c>
      <c r="H357" s="41">
        <f t="shared" si="45"/>
        <v>0</v>
      </c>
      <c r="I357" s="41">
        <f t="shared" si="45"/>
        <v>0</v>
      </c>
      <c r="J357" s="41">
        <f t="shared" si="45"/>
        <v>38951.553776120585</v>
      </c>
      <c r="K357" s="41">
        <f t="shared" si="45"/>
        <v>116550.87600408691</v>
      </c>
      <c r="L357" s="13" t="s">
        <v>251</v>
      </c>
      <c r="M357" s="38" t="str">
        <f>INDEX(B$317:B$328, MATCH(9, F$317:F$328, 0))</f>
        <v>D6Y</v>
      </c>
      <c r="N357" s="14" t="str">
        <f>INDEX(C$317:C$328, MATCH(9, F$317:F$328, 0))</f>
        <v>U6Y</v>
      </c>
      <c r="P357" s="215"/>
      <c r="Q357" s="172"/>
      <c r="R357" s="172"/>
      <c r="S357" s="172"/>
      <c r="T357" s="172"/>
      <c r="U357" s="173"/>
    </row>
    <row r="358" spans="1:21" ht="16.95" customHeight="1" x14ac:dyDescent="0.3">
      <c r="P358" s="215"/>
      <c r="Q358" s="172"/>
      <c r="R358" s="172"/>
      <c r="S358" s="172"/>
      <c r="T358" s="172"/>
      <c r="U358" s="173"/>
    </row>
    <row r="359" spans="1:21" ht="16.95" customHeight="1" x14ac:dyDescent="0.3">
      <c r="C359" s="218" t="s">
        <v>263</v>
      </c>
      <c r="D359" s="172"/>
      <c r="E359" s="172"/>
      <c r="F359" s="172"/>
      <c r="G359" s="172"/>
      <c r="H359" s="172"/>
      <c r="I359" s="172"/>
      <c r="J359" s="172"/>
      <c r="K359" s="173"/>
      <c r="P359" s="215"/>
      <c r="Q359" s="172"/>
      <c r="R359" s="172"/>
      <c r="S359" s="172"/>
      <c r="T359" s="172"/>
      <c r="U359" s="173"/>
    </row>
    <row r="360" spans="1:21" ht="16.95" customHeight="1" x14ac:dyDescent="0.3">
      <c r="A360" s="99" t="s">
        <v>249</v>
      </c>
      <c r="C360" s="193" t="s">
        <v>264</v>
      </c>
      <c r="D360" s="175"/>
      <c r="E360" s="175"/>
      <c r="F360" s="175"/>
      <c r="G360" s="175"/>
      <c r="H360" s="175"/>
      <c r="I360" s="175"/>
      <c r="J360" s="175"/>
      <c r="K360" s="175"/>
      <c r="M360" s="99" t="s">
        <v>247</v>
      </c>
      <c r="P360" s="215"/>
      <c r="Q360" s="172"/>
      <c r="R360" s="172"/>
      <c r="S360" s="172"/>
      <c r="T360" s="172"/>
      <c r="U360" s="173"/>
    </row>
    <row r="361" spans="1:21" ht="16.95" customHeight="1" x14ac:dyDescent="0.3">
      <c r="A361" s="12" t="str">
        <f t="shared" ref="A361:A369" si="46">M349</f>
        <v>D2X</v>
      </c>
      <c r="C361" s="93">
        <f t="array" ref="C361:K369">MINVERSE(C349:K357)</f>
        <v>1.069194808237506E-5</v>
      </c>
      <c r="D361" s="93">
        <v>-4.3181657427865133E-6</v>
      </c>
      <c r="E361" s="93">
        <v>1.0610770460214659E-5</v>
      </c>
      <c r="F361" s="93">
        <v>8.5294101315003835E-6</v>
      </c>
      <c r="G361" s="93">
        <v>-1.3761928980400406E-6</v>
      </c>
      <c r="H361" s="93">
        <v>6.3791087283128228E-6</v>
      </c>
      <c r="I361" s="93">
        <v>-5.0764631008803976E-6</v>
      </c>
      <c r="J361" s="93">
        <v>5.2512917028261474E-6</v>
      </c>
      <c r="K361" s="93">
        <v>-5.1953678182657645E-8</v>
      </c>
      <c r="M361" s="17">
        <f t="shared" ref="M361:M369" si="47">A349</f>
        <v>0</v>
      </c>
      <c r="P361" s="215"/>
      <c r="Q361" s="172"/>
      <c r="R361" s="172"/>
      <c r="S361" s="172"/>
      <c r="T361" s="172"/>
      <c r="U361" s="173"/>
    </row>
    <row r="362" spans="1:21" ht="16.95" customHeight="1" x14ac:dyDescent="0.3">
      <c r="A362" s="12" t="str">
        <f t="shared" si="46"/>
        <v>D2Y</v>
      </c>
      <c r="C362" s="93">
        <v>-4.3181657427865133E-6</v>
      </c>
      <c r="D362" s="93">
        <v>2.083896682291045E-5</v>
      </c>
      <c r="E362" s="93">
        <v>-8.4169256612385478E-6</v>
      </c>
      <c r="F362" s="93">
        <v>-9.0206592389901235E-6</v>
      </c>
      <c r="G362" s="93">
        <v>2.9323492077462574E-6</v>
      </c>
      <c r="H362" s="93">
        <v>-4.4388636018865982E-6</v>
      </c>
      <c r="I362" s="93">
        <v>1.5732973854865914E-5</v>
      </c>
      <c r="J362" s="93">
        <v>-7.6473789117551513E-8</v>
      </c>
      <c r="K362" s="93">
        <v>2.9323492077462561E-6</v>
      </c>
      <c r="M362" s="17">
        <f t="shared" si="47"/>
        <v>-8000</v>
      </c>
      <c r="P362" s="215"/>
      <c r="Q362" s="172"/>
      <c r="R362" s="172"/>
      <c r="S362" s="172"/>
      <c r="T362" s="172"/>
      <c r="U362" s="173"/>
    </row>
    <row r="363" spans="1:21" ht="16.95" customHeight="1" x14ac:dyDescent="0.3">
      <c r="A363" s="12" t="str">
        <f t="shared" si="46"/>
        <v>D3X</v>
      </c>
      <c r="C363" s="93">
        <v>1.0610770460214659E-5</v>
      </c>
      <c r="D363" s="93">
        <v>-8.4169256612385461E-6</v>
      </c>
      <c r="E363" s="93">
        <v>2.2448678424896098E-5</v>
      </c>
      <c r="F363" s="93">
        <v>1.1986687857463185E-5</v>
      </c>
      <c r="G363" s="93">
        <v>-1.312627791492771E-6</v>
      </c>
      <c r="H363" s="93">
        <v>9.9357069332557379E-6</v>
      </c>
      <c r="I363" s="93">
        <v>-1.0256813241365344E-5</v>
      </c>
      <c r="J363" s="93">
        <v>6.6575885045814977E-6</v>
      </c>
      <c r="K363" s="93">
        <v>-1.3126277914927691E-6</v>
      </c>
      <c r="M363" s="17">
        <f t="shared" si="47"/>
        <v>0</v>
      </c>
      <c r="P363" s="215"/>
      <c r="Q363" s="172"/>
      <c r="R363" s="172"/>
      <c r="S363" s="172"/>
      <c r="T363" s="172"/>
      <c r="U363" s="173"/>
    </row>
    <row r="364" spans="1:21" ht="16.95" customHeight="1" x14ac:dyDescent="0.3">
      <c r="A364" s="12" t="str">
        <f t="shared" si="46"/>
        <v>D4X</v>
      </c>
      <c r="C364" s="93">
        <v>8.5294101315003818E-6</v>
      </c>
      <c r="D364" s="93">
        <v>-9.0206592389901235E-6</v>
      </c>
      <c r="E364" s="93">
        <v>1.1986687857463187E-5</v>
      </c>
      <c r="F364" s="93">
        <v>2.3393439779706126E-5</v>
      </c>
      <c r="G364" s="93">
        <v>1.8736525043327006E-6</v>
      </c>
      <c r="H364" s="93">
        <v>1.2432132928837087E-5</v>
      </c>
      <c r="I364" s="93">
        <v>-8.519518969868767E-6</v>
      </c>
      <c r="J364" s="93">
        <v>7.6023498593915272E-6</v>
      </c>
      <c r="K364" s="93">
        <v>-2.2317866998282514E-6</v>
      </c>
      <c r="M364" s="17">
        <f t="shared" si="47"/>
        <v>3000</v>
      </c>
      <c r="P364" s="215"/>
      <c r="Q364" s="172"/>
      <c r="R364" s="172"/>
      <c r="S364" s="172"/>
      <c r="T364" s="172"/>
      <c r="U364" s="173"/>
    </row>
    <row r="365" spans="1:21" ht="16.95" customHeight="1" x14ac:dyDescent="0.3">
      <c r="A365" s="12" t="str">
        <f t="shared" si="46"/>
        <v>D4Y</v>
      </c>
      <c r="B365" s="13" t="s">
        <v>220</v>
      </c>
      <c r="C365" s="93">
        <v>-1.3761928980400406E-6</v>
      </c>
      <c r="D365" s="93">
        <v>2.9323492077462578E-6</v>
      </c>
      <c r="E365" s="93">
        <v>-1.3126277914927706E-6</v>
      </c>
      <c r="F365" s="93">
        <v>1.8736525043327014E-6</v>
      </c>
      <c r="G365" s="93">
        <v>1.0304279678592641E-5</v>
      </c>
      <c r="H365" s="93">
        <v>6.1297839102259096E-7</v>
      </c>
      <c r="I365" s="93">
        <v>2.2401314656451927E-6</v>
      </c>
      <c r="J365" s="93">
        <v>5.610247128399333E-7</v>
      </c>
      <c r="K365" s="93">
        <v>4.06816681902534E-8</v>
      </c>
      <c r="M365" s="17">
        <f t="shared" si="47"/>
        <v>0</v>
      </c>
      <c r="P365" s="215"/>
      <c r="Q365" s="172"/>
      <c r="R365" s="172"/>
      <c r="S365" s="172"/>
      <c r="T365" s="172"/>
      <c r="U365" s="173"/>
    </row>
    <row r="366" spans="1:21" ht="16.95" customHeight="1" x14ac:dyDescent="0.3">
      <c r="A366" s="12" t="str">
        <f t="shared" si="46"/>
        <v>D5X</v>
      </c>
      <c r="C366" s="93">
        <v>6.3791087283128211E-6</v>
      </c>
      <c r="D366" s="93">
        <v>-4.4388636018865991E-6</v>
      </c>
      <c r="E366" s="93">
        <v>9.9357069332557363E-6</v>
      </c>
      <c r="F366" s="93">
        <v>1.2432132928837087E-5</v>
      </c>
      <c r="G366" s="93">
        <v>6.1297839102259033E-7</v>
      </c>
      <c r="H366" s="93">
        <v>1.3389911664809891E-5</v>
      </c>
      <c r="I366" s="93">
        <v>-5.0193135547981568E-6</v>
      </c>
      <c r="J366" s="93">
        <v>8.478950973203927E-6</v>
      </c>
      <c r="K366" s="93">
        <v>-2.1682215932809813E-6</v>
      </c>
      <c r="M366" s="17">
        <f t="shared" si="47"/>
        <v>0</v>
      </c>
      <c r="P366" s="215"/>
      <c r="Q366" s="172"/>
      <c r="R366" s="172"/>
      <c r="S366" s="172"/>
      <c r="T366" s="172"/>
      <c r="U366" s="173"/>
    </row>
    <row r="367" spans="1:21" ht="16.95" customHeight="1" x14ac:dyDescent="0.3">
      <c r="A367" s="12" t="str">
        <f t="shared" si="46"/>
        <v>D5Y</v>
      </c>
      <c r="C367" s="93">
        <v>-5.0764631008803976E-6</v>
      </c>
      <c r="D367" s="93">
        <v>1.5732973854865918E-5</v>
      </c>
      <c r="E367" s="93">
        <v>-1.0256813241365344E-5</v>
      </c>
      <c r="F367" s="93">
        <v>-8.519518969868767E-6</v>
      </c>
      <c r="G367" s="93">
        <v>2.2401314656451935E-6</v>
      </c>
      <c r="H367" s="93">
        <v>-5.0193135547981568E-6</v>
      </c>
      <c r="I367" s="93">
        <v>2.0146749080809388E-5</v>
      </c>
      <c r="J367" s="93">
        <v>-1.4152211001229935E-6</v>
      </c>
      <c r="K367" s="93">
        <v>2.2401314656451918E-6</v>
      </c>
      <c r="M367" s="17">
        <f t="shared" si="47"/>
        <v>-6000</v>
      </c>
      <c r="P367" s="215"/>
      <c r="Q367" s="172"/>
      <c r="R367" s="172"/>
      <c r="S367" s="172"/>
      <c r="T367" s="172"/>
      <c r="U367" s="173"/>
    </row>
    <row r="368" spans="1:21" ht="16.95" customHeight="1" x14ac:dyDescent="0.3">
      <c r="A368" s="12" t="str">
        <f t="shared" si="46"/>
        <v>D6X</v>
      </c>
      <c r="C368" s="93">
        <v>5.2512917028261466E-6</v>
      </c>
      <c r="D368" s="93">
        <v>-7.6473789117552109E-8</v>
      </c>
      <c r="E368" s="93">
        <v>6.6575885045814977E-6</v>
      </c>
      <c r="F368" s="93">
        <v>7.6023498593915289E-6</v>
      </c>
      <c r="G368" s="93">
        <v>5.610247128399333E-7</v>
      </c>
      <c r="H368" s="93">
        <v>8.4789509732039287E-6</v>
      </c>
      <c r="I368" s="93">
        <v>-1.4152211001229937E-6</v>
      </c>
      <c r="J368" s="93">
        <v>1.4259938363973025E-5</v>
      </c>
      <c r="K368" s="93">
        <v>-3.5444144913210196E-6</v>
      </c>
      <c r="M368" s="17">
        <f t="shared" si="47"/>
        <v>0</v>
      </c>
      <c r="P368" s="215"/>
      <c r="Q368" s="172"/>
      <c r="R368" s="172"/>
      <c r="S368" s="172"/>
      <c r="T368" s="172"/>
      <c r="U368" s="173"/>
    </row>
    <row r="369" spans="1:21" ht="16.95" customHeight="1" x14ac:dyDescent="0.3">
      <c r="A369" s="12" t="str">
        <f t="shared" si="46"/>
        <v>D6Y</v>
      </c>
      <c r="C369" s="93">
        <v>-5.1953678182657526E-8</v>
      </c>
      <c r="D369" s="93">
        <v>2.9323492077462561E-6</v>
      </c>
      <c r="E369" s="93">
        <v>-1.3126277914927691E-6</v>
      </c>
      <c r="F369" s="93">
        <v>-2.2317866998282514E-6</v>
      </c>
      <c r="G369" s="93">
        <v>4.0681668190253493E-8</v>
      </c>
      <c r="H369" s="93">
        <v>-2.1682215932809813E-6</v>
      </c>
      <c r="I369" s="93">
        <v>2.2401314656451923E-6</v>
      </c>
      <c r="J369" s="93">
        <v>-3.5444144913210196E-6</v>
      </c>
      <c r="K369" s="93">
        <v>1.0304279678592639E-5</v>
      </c>
      <c r="M369" s="17">
        <f t="shared" si="47"/>
        <v>0</v>
      </c>
      <c r="P369" s="215"/>
      <c r="Q369" s="172"/>
      <c r="R369" s="172"/>
      <c r="S369" s="172"/>
      <c r="T369" s="172"/>
      <c r="U369" s="173"/>
    </row>
    <row r="370" spans="1:21" ht="16.95" customHeight="1" x14ac:dyDescent="0.3">
      <c r="P370" s="215"/>
      <c r="Q370" s="172"/>
      <c r="R370" s="172"/>
      <c r="S370" s="172"/>
      <c r="T370" s="172"/>
      <c r="U370" s="173"/>
    </row>
    <row r="371" spans="1:21" ht="16.95" customHeight="1" x14ac:dyDescent="0.3">
      <c r="C371" s="218" t="s">
        <v>265</v>
      </c>
      <c r="D371" s="173"/>
      <c r="P371" s="215"/>
      <c r="Q371" s="172"/>
      <c r="R371" s="172"/>
      <c r="S371" s="172"/>
      <c r="T371" s="172"/>
      <c r="U371" s="173"/>
    </row>
    <row r="372" spans="1:21" ht="16.95" customHeight="1" x14ac:dyDescent="0.3">
      <c r="A372" s="99" t="s">
        <v>249</v>
      </c>
      <c r="C372" s="99" t="s">
        <v>266</v>
      </c>
      <c r="P372" s="215"/>
      <c r="Q372" s="172"/>
      <c r="R372" s="172"/>
      <c r="S372" s="172"/>
      <c r="T372" s="172"/>
      <c r="U372" s="173"/>
    </row>
    <row r="373" spans="1:21" ht="16.95" customHeight="1" x14ac:dyDescent="0.3">
      <c r="A373" s="12" t="str">
        <f t="shared" ref="A373:A381" si="48">A361</f>
        <v>D2X</v>
      </c>
      <c r="C373" s="94">
        <f t="array" ref="C373:C381">MMULT(C361:K369, M361:M369)</f>
        <v>9.0592334942075636E-2</v>
      </c>
      <c r="D373" s="12" t="s">
        <v>267</v>
      </c>
      <c r="P373" s="215"/>
      <c r="Q373" s="172"/>
      <c r="R373" s="172"/>
      <c r="S373" s="172"/>
      <c r="T373" s="172"/>
      <c r="U373" s="173"/>
    </row>
    <row r="374" spans="1:21" ht="16.95" customHeight="1" x14ac:dyDescent="0.3">
      <c r="A374" s="12" t="str">
        <f t="shared" si="48"/>
        <v>D2Y</v>
      </c>
      <c r="C374" s="94">
        <v>-0.28817155542944944</v>
      </c>
      <c r="D374" s="12" t="s">
        <v>267</v>
      </c>
      <c r="P374" s="215"/>
      <c r="Q374" s="172"/>
      <c r="R374" s="172"/>
      <c r="S374" s="172"/>
      <c r="T374" s="172"/>
      <c r="U374" s="173"/>
    </row>
    <row r="375" spans="1:21" ht="16.95" customHeight="1" x14ac:dyDescent="0.3">
      <c r="A375" s="12" t="str">
        <f t="shared" si="48"/>
        <v>D3X</v>
      </c>
      <c r="C375" s="94">
        <v>0.16483634831048999</v>
      </c>
      <c r="D375" s="12" t="s">
        <v>267</v>
      </c>
      <c r="P375" s="215"/>
      <c r="Q375" s="172"/>
      <c r="R375" s="172"/>
      <c r="S375" s="172"/>
      <c r="T375" s="172"/>
      <c r="U375" s="173"/>
    </row>
    <row r="376" spans="1:21" ht="16.95" customHeight="1" x14ac:dyDescent="0.3">
      <c r="A376" s="12" t="str">
        <f t="shared" si="48"/>
        <v>D4X</v>
      </c>
      <c r="C376" s="94">
        <v>0.19346270707025195</v>
      </c>
      <c r="D376" s="12" t="s">
        <v>267</v>
      </c>
      <c r="P376" s="215"/>
      <c r="Q376" s="172"/>
      <c r="R376" s="172"/>
      <c r="S376" s="172"/>
      <c r="T376" s="172"/>
      <c r="U376" s="173"/>
    </row>
    <row r="377" spans="1:21" ht="16.95" customHeight="1" x14ac:dyDescent="0.3">
      <c r="A377" s="12" t="str">
        <f t="shared" si="48"/>
        <v>D4Y</v>
      </c>
      <c r="B377" s="13" t="s">
        <v>220</v>
      </c>
      <c r="C377" s="94">
        <v>-3.1278624942843114E-2</v>
      </c>
      <c r="D377" s="12" t="s">
        <v>267</v>
      </c>
      <c r="P377" s="215"/>
      <c r="Q377" s="172"/>
      <c r="R377" s="172"/>
      <c r="S377" s="172"/>
      <c r="T377" s="172"/>
      <c r="U377" s="173"/>
    </row>
    <row r="378" spans="1:21" ht="16.95" customHeight="1" x14ac:dyDescent="0.3">
      <c r="A378" s="12" t="str">
        <f t="shared" si="48"/>
        <v>D5X</v>
      </c>
      <c r="C378" s="94">
        <v>0.102923188930393</v>
      </c>
      <c r="D378" s="12" t="s">
        <v>267</v>
      </c>
      <c r="P378" s="215"/>
      <c r="Q378" s="172"/>
      <c r="R378" s="172"/>
      <c r="S378" s="172"/>
      <c r="T378" s="172"/>
      <c r="U378" s="173"/>
    </row>
    <row r="379" spans="1:21" ht="16.95" customHeight="1" x14ac:dyDescent="0.3">
      <c r="A379" s="12" t="str">
        <f t="shared" si="48"/>
        <v>D5Y</v>
      </c>
      <c r="C379" s="94">
        <v>-0.27230284223338996</v>
      </c>
      <c r="D379" s="12" t="s">
        <v>267</v>
      </c>
      <c r="P379" s="215"/>
      <c r="Q379" s="172"/>
      <c r="R379" s="172"/>
      <c r="S379" s="172"/>
      <c r="T379" s="172"/>
      <c r="U379" s="173"/>
    </row>
    <row r="380" spans="1:21" ht="16.95" customHeight="1" x14ac:dyDescent="0.3">
      <c r="A380" s="12" t="str">
        <f t="shared" si="48"/>
        <v>D6X</v>
      </c>
      <c r="C380" s="94">
        <v>3.1910166491852965E-2</v>
      </c>
      <c r="D380" s="12" t="s">
        <v>267</v>
      </c>
      <c r="P380" s="215"/>
      <c r="Q380" s="172"/>
      <c r="R380" s="172"/>
      <c r="S380" s="172"/>
      <c r="T380" s="172"/>
      <c r="U380" s="173"/>
    </row>
    <row r="381" spans="1:21" ht="16.95" customHeight="1" x14ac:dyDescent="0.3">
      <c r="A381" s="12" t="str">
        <f t="shared" si="48"/>
        <v>D6Y</v>
      </c>
      <c r="C381" s="94">
        <v>-4.3594942555325956E-2</v>
      </c>
      <c r="D381" s="12" t="s">
        <v>267</v>
      </c>
      <c r="P381" s="215"/>
      <c r="Q381" s="172"/>
      <c r="R381" s="172"/>
      <c r="S381" s="172"/>
      <c r="T381" s="172"/>
      <c r="U381" s="173"/>
    </row>
    <row r="384" spans="1:21" ht="19.95" customHeight="1" x14ac:dyDescent="0.35">
      <c r="A384" s="11" t="s">
        <v>268</v>
      </c>
      <c r="P384" s="216" t="s">
        <v>269</v>
      </c>
      <c r="Q384" s="172"/>
      <c r="R384" s="172"/>
      <c r="S384" s="172"/>
      <c r="T384" s="172"/>
      <c r="U384" s="173"/>
    </row>
    <row r="385" spans="1:21" ht="16.95" customHeight="1" x14ac:dyDescent="0.3">
      <c r="A385" s="99" t="s">
        <v>247</v>
      </c>
      <c r="M385" s="99" t="s">
        <v>249</v>
      </c>
      <c r="P385" s="215" t="s">
        <v>389</v>
      </c>
      <c r="Q385" s="172"/>
      <c r="R385" s="172"/>
      <c r="S385" s="172"/>
      <c r="T385" s="172"/>
      <c r="U385" s="173"/>
    </row>
    <row r="386" spans="1:21" ht="16.95" customHeight="1" x14ac:dyDescent="0.3">
      <c r="A386" s="18" t="str">
        <f>INDEX(B$303:B$314, MATCH(N386, C$303:C$314, 0))</f>
        <v>C1X</v>
      </c>
      <c r="C386" s="9">
        <f t="shared" ref="C386:K388" si="49">INDEX($B$288:$M$299, MATCH($N386, $N$288:$N$299, 0), MATCH(C$348, $B$287:$M$287, 0))</f>
        <v>-72000</v>
      </c>
      <c r="D386" s="9">
        <f t="shared" si="49"/>
        <v>0</v>
      </c>
      <c r="E386" s="9">
        <f t="shared" si="49"/>
        <v>0</v>
      </c>
      <c r="F386" s="9">
        <f t="shared" si="49"/>
        <v>0</v>
      </c>
      <c r="G386" s="9">
        <f t="shared" si="49"/>
        <v>0</v>
      </c>
      <c r="H386" s="9">
        <f t="shared" si="49"/>
        <v>-34282.045292620853</v>
      </c>
      <c r="I386" s="9">
        <f t="shared" si="49"/>
        <v>-27425.636234096677</v>
      </c>
      <c r="J386" s="9">
        <f t="shared" si="49"/>
        <v>-28814.793855059772</v>
      </c>
      <c r="K386" s="9">
        <f t="shared" si="49"/>
        <v>-11525.917542023908</v>
      </c>
      <c r="M386" s="95">
        <f t="shared" ref="M386:M394" si="50">C373</f>
        <v>9.0592334942075636E-2</v>
      </c>
      <c r="N386" s="14" t="str">
        <f>INDEX(C$317:C$328, MATCH(1, G$317:G$328, 0))</f>
        <v>U1X</v>
      </c>
      <c r="P386" s="215" t="s">
        <v>390</v>
      </c>
      <c r="Q386" s="172"/>
      <c r="R386" s="172"/>
      <c r="S386" s="172"/>
      <c r="T386" s="172"/>
      <c r="U386" s="173"/>
    </row>
    <row r="387" spans="1:21" ht="16.95" customHeight="1" x14ac:dyDescent="0.3">
      <c r="A387" s="18" t="str">
        <f>INDEX(B$303:B$314, MATCH(N387, C$303:C$314, 0))</f>
        <v>C1Y</v>
      </c>
      <c r="B387" s="13" t="s">
        <v>220</v>
      </c>
      <c r="C387" s="9">
        <f t="shared" si="49"/>
        <v>0</v>
      </c>
      <c r="D387" s="9">
        <f t="shared" si="49"/>
        <v>0</v>
      </c>
      <c r="E387" s="9">
        <f t="shared" si="49"/>
        <v>0</v>
      </c>
      <c r="F387" s="9">
        <f t="shared" si="49"/>
        <v>0</v>
      </c>
      <c r="G387" s="9">
        <f t="shared" si="49"/>
        <v>-90000</v>
      </c>
      <c r="H387" s="9">
        <f t="shared" si="49"/>
        <v>-27425.636234096677</v>
      </c>
      <c r="I387" s="9">
        <f t="shared" si="49"/>
        <v>-21940.508987277342</v>
      </c>
      <c r="J387" s="9">
        <f t="shared" si="49"/>
        <v>-11525.917542023908</v>
      </c>
      <c r="K387" s="9">
        <f t="shared" si="49"/>
        <v>-4610.3670168095641</v>
      </c>
      <c r="M387" s="95">
        <f t="shared" si="50"/>
        <v>-0.28817155542944944</v>
      </c>
      <c r="N387" s="14" t="str">
        <f>INDEX(C$317:C$328, MATCH(2, G$317:G$328, 0))</f>
        <v>U1Y</v>
      </c>
      <c r="P387" s="215" t="s">
        <v>391</v>
      </c>
      <c r="Q387" s="172"/>
      <c r="R387" s="172"/>
      <c r="S387" s="172"/>
      <c r="T387" s="172"/>
      <c r="U387" s="173"/>
    </row>
    <row r="388" spans="1:21" ht="16.95" customHeight="1" x14ac:dyDescent="0.3">
      <c r="A388" s="18" t="str">
        <f>INDEX(B$303:B$314, MATCH(N388, C$303:C$314, 0))</f>
        <v>C3Y</v>
      </c>
      <c r="C388" s="9">
        <f t="shared" si="49"/>
        <v>0</v>
      </c>
      <c r="D388" s="9">
        <f t="shared" si="49"/>
        <v>0</v>
      </c>
      <c r="E388" s="9">
        <f t="shared" si="49"/>
        <v>-27425.636234096677</v>
      </c>
      <c r="F388" s="9">
        <f t="shared" si="49"/>
        <v>0</v>
      </c>
      <c r="G388" s="9">
        <f t="shared" si="49"/>
        <v>0</v>
      </c>
      <c r="H388" s="9">
        <f t="shared" si="49"/>
        <v>27425.636234096677</v>
      </c>
      <c r="I388" s="9">
        <f t="shared" si="49"/>
        <v>-21940.508987277342</v>
      </c>
      <c r="J388" s="9">
        <f t="shared" si="49"/>
        <v>0</v>
      </c>
      <c r="K388" s="9">
        <f t="shared" si="49"/>
        <v>-90000</v>
      </c>
      <c r="M388" s="95">
        <f t="shared" si="50"/>
        <v>0.16483634831048999</v>
      </c>
      <c r="N388" s="14" t="str">
        <f>INDEX(C$317:C$328, MATCH(3, G$317:G$328, 0))</f>
        <v>U3Y</v>
      </c>
      <c r="P388" s="215" t="s">
        <v>392</v>
      </c>
      <c r="Q388" s="172"/>
      <c r="R388" s="172"/>
      <c r="S388" s="172"/>
      <c r="T388" s="172"/>
      <c r="U388" s="173"/>
    </row>
    <row r="389" spans="1:21" ht="16.95" customHeight="1" x14ac:dyDescent="0.3">
      <c r="M389" s="95">
        <f t="shared" si="50"/>
        <v>0.19346270707025195</v>
      </c>
      <c r="P389" s="215" t="s">
        <v>393</v>
      </c>
      <c r="Q389" s="172"/>
      <c r="R389" s="172"/>
      <c r="S389" s="172"/>
      <c r="T389" s="172"/>
      <c r="U389" s="173"/>
    </row>
    <row r="390" spans="1:21" ht="16.95" customHeight="1" x14ac:dyDescent="0.3">
      <c r="M390" s="95">
        <f t="shared" si="50"/>
        <v>-3.1278624942843114E-2</v>
      </c>
      <c r="P390" s="215" t="s">
        <v>394</v>
      </c>
      <c r="Q390" s="172"/>
      <c r="R390" s="172"/>
      <c r="S390" s="172"/>
      <c r="T390" s="172"/>
      <c r="U390" s="173"/>
    </row>
    <row r="391" spans="1:21" ht="16.95" customHeight="1" x14ac:dyDescent="0.3">
      <c r="M391" s="95">
        <f t="shared" si="50"/>
        <v>0.102923188930393</v>
      </c>
      <c r="P391" s="215"/>
      <c r="Q391" s="172"/>
      <c r="R391" s="172"/>
      <c r="S391" s="172"/>
      <c r="T391" s="172"/>
      <c r="U391" s="173"/>
    </row>
    <row r="392" spans="1:21" ht="16.95" customHeight="1" x14ac:dyDescent="0.3">
      <c r="M392" s="95">
        <f t="shared" si="50"/>
        <v>-0.27230284223338996</v>
      </c>
      <c r="P392" s="215"/>
      <c r="Q392" s="172"/>
      <c r="R392" s="172"/>
      <c r="S392" s="172"/>
      <c r="T392" s="172"/>
      <c r="U392" s="173"/>
    </row>
    <row r="393" spans="1:21" ht="16.95" customHeight="1" x14ac:dyDescent="0.3">
      <c r="M393" s="95">
        <f t="shared" si="50"/>
        <v>3.1910166491852965E-2</v>
      </c>
      <c r="P393" s="215"/>
      <c r="Q393" s="172"/>
      <c r="R393" s="172"/>
      <c r="S393" s="172"/>
      <c r="T393" s="172"/>
      <c r="U393" s="173"/>
    </row>
    <row r="394" spans="1:21" ht="16.95" customHeight="1" x14ac:dyDescent="0.3">
      <c r="M394" s="95">
        <f t="shared" si="50"/>
        <v>-4.3594942555325956E-2</v>
      </c>
      <c r="P394" s="215"/>
      <c r="Q394" s="172"/>
      <c r="R394" s="172"/>
      <c r="S394" s="172"/>
      <c r="T394" s="172"/>
      <c r="U394" s="173"/>
    </row>
    <row r="395" spans="1:21" ht="16.95" customHeight="1" x14ac:dyDescent="0.3">
      <c r="P395" s="215"/>
      <c r="Q395" s="172"/>
      <c r="R395" s="172"/>
      <c r="S395" s="172"/>
      <c r="T395" s="172"/>
      <c r="U395" s="173"/>
    </row>
    <row r="396" spans="1:21" ht="16.95" customHeight="1" x14ac:dyDescent="0.3">
      <c r="A396" s="12" t="str">
        <f>A386</f>
        <v>C1X</v>
      </c>
      <c r="C396" s="17">
        <f t="array" ref="C396:C398">MMULT(C386:K388, M386:M394)</f>
        <v>-3000.0000000000036</v>
      </c>
      <c r="D396" s="12" t="s">
        <v>273</v>
      </c>
      <c r="P396" s="215"/>
      <c r="Q396" s="172"/>
      <c r="R396" s="172"/>
      <c r="S396" s="172"/>
      <c r="T396" s="172"/>
      <c r="U396" s="173"/>
    </row>
    <row r="397" spans="1:21" ht="16.95" customHeight="1" x14ac:dyDescent="0.3">
      <c r="A397" s="12" t="str">
        <f>A387</f>
        <v>C1Y</v>
      </c>
      <c r="B397" s="13" t="s">
        <v>220</v>
      </c>
      <c r="C397" s="17">
        <v>5800.0000000000045</v>
      </c>
      <c r="D397" s="12" t="s">
        <v>273</v>
      </c>
      <c r="P397" s="215"/>
      <c r="Q397" s="172"/>
      <c r="R397" s="172"/>
      <c r="S397" s="172"/>
      <c r="T397" s="172"/>
      <c r="U397" s="173"/>
    </row>
    <row r="398" spans="1:21" ht="16.95" customHeight="1" x14ac:dyDescent="0.3">
      <c r="A398" s="12" t="str">
        <f>A388</f>
        <v>C3Y</v>
      </c>
      <c r="C398" s="17">
        <v>8200.0000000000036</v>
      </c>
      <c r="D398" s="12" t="s">
        <v>273</v>
      </c>
      <c r="P398" s="215"/>
      <c r="Q398" s="172"/>
      <c r="R398" s="172"/>
      <c r="S398" s="172"/>
      <c r="T398" s="172"/>
      <c r="U398" s="173"/>
    </row>
    <row r="401" spans="1:4" ht="19.95" customHeight="1" x14ac:dyDescent="0.35">
      <c r="A401" s="11" t="s">
        <v>274</v>
      </c>
    </row>
    <row r="403" spans="1:4" ht="19.05" customHeight="1" x14ac:dyDescent="0.3">
      <c r="A403" s="12" t="s">
        <v>228</v>
      </c>
      <c r="B403" s="12" t="s">
        <v>178</v>
      </c>
      <c r="D403" s="94">
        <f t="shared" ref="D403:D414" si="51">IFERROR(INDEX(C$373:C$381, MATCH(A403, A$373:A$381, 0)), 0)</f>
        <v>0</v>
      </c>
    </row>
    <row r="404" spans="1:4" ht="19.05" customHeight="1" x14ac:dyDescent="0.3">
      <c r="A404" s="12" t="s">
        <v>229</v>
      </c>
      <c r="B404" s="12" t="s">
        <v>179</v>
      </c>
      <c r="D404" s="94">
        <f t="shared" si="51"/>
        <v>0</v>
      </c>
    </row>
    <row r="405" spans="1:4" ht="19.05" customHeight="1" x14ac:dyDescent="0.3">
      <c r="A405" s="12" t="s">
        <v>230</v>
      </c>
      <c r="B405" s="12" t="s">
        <v>180</v>
      </c>
      <c r="D405" s="94">
        <f t="shared" si="51"/>
        <v>9.0592334942075636E-2</v>
      </c>
    </row>
    <row r="406" spans="1:4" ht="19.05" customHeight="1" x14ac:dyDescent="0.3">
      <c r="A406" s="12" t="s">
        <v>231</v>
      </c>
      <c r="B406" s="12" t="s">
        <v>181</v>
      </c>
      <c r="D406" s="94">
        <f t="shared" si="51"/>
        <v>-0.28817155542944944</v>
      </c>
    </row>
    <row r="407" spans="1:4" ht="19.05" customHeight="1" x14ac:dyDescent="0.3">
      <c r="A407" s="12" t="s">
        <v>232</v>
      </c>
      <c r="B407" s="12" t="s">
        <v>182</v>
      </c>
      <c r="D407" s="94">
        <f t="shared" si="51"/>
        <v>0.16483634831048999</v>
      </c>
    </row>
    <row r="408" spans="1:4" ht="19.05" customHeight="1" x14ac:dyDescent="0.3">
      <c r="A408" s="12" t="s">
        <v>234</v>
      </c>
      <c r="B408" s="12" t="s">
        <v>183</v>
      </c>
      <c r="D408" s="94">
        <f t="shared" si="51"/>
        <v>0</v>
      </c>
    </row>
    <row r="409" spans="1:4" ht="19.05" customHeight="1" x14ac:dyDescent="0.3">
      <c r="A409" s="12" t="s">
        <v>235</v>
      </c>
      <c r="B409" s="12" t="s">
        <v>184</v>
      </c>
      <c r="D409" s="94">
        <f t="shared" si="51"/>
        <v>0.19346270707025195</v>
      </c>
    </row>
    <row r="410" spans="1:4" ht="19.05" customHeight="1" x14ac:dyDescent="0.3">
      <c r="A410" s="12" t="s">
        <v>236</v>
      </c>
      <c r="B410" s="12" t="s">
        <v>185</v>
      </c>
      <c r="D410" s="94">
        <f t="shared" si="51"/>
        <v>-3.1278624942843114E-2</v>
      </c>
    </row>
    <row r="411" spans="1:4" ht="19.05" customHeight="1" x14ac:dyDescent="0.3">
      <c r="A411" s="12" t="s">
        <v>237</v>
      </c>
      <c r="B411" s="12" t="s">
        <v>186</v>
      </c>
      <c r="D411" s="94">
        <f t="shared" si="51"/>
        <v>0.102923188930393</v>
      </c>
    </row>
    <row r="412" spans="1:4" ht="19.05" customHeight="1" x14ac:dyDescent="0.3">
      <c r="A412" s="12" t="s">
        <v>238</v>
      </c>
      <c r="B412" s="12" t="s">
        <v>187</v>
      </c>
      <c r="D412" s="94">
        <f t="shared" si="51"/>
        <v>-0.27230284223338996</v>
      </c>
    </row>
    <row r="413" spans="1:4" ht="19.05" customHeight="1" x14ac:dyDescent="0.3">
      <c r="A413" s="12" t="s">
        <v>239</v>
      </c>
      <c r="B413" s="12" t="s">
        <v>188</v>
      </c>
      <c r="D413" s="94">
        <f t="shared" si="51"/>
        <v>3.1910166491852965E-2</v>
      </c>
    </row>
    <row r="414" spans="1:4" ht="19.05" customHeight="1" x14ac:dyDescent="0.3">
      <c r="A414" s="12" t="s">
        <v>240</v>
      </c>
      <c r="B414" s="12" t="s">
        <v>189</v>
      </c>
      <c r="D414" s="94">
        <f t="shared" si="51"/>
        <v>-4.3594942555325956E-2</v>
      </c>
    </row>
    <row r="417" spans="1:21" ht="19.95" customHeight="1" x14ac:dyDescent="0.35">
      <c r="A417" s="11" t="s">
        <v>275</v>
      </c>
      <c r="P417" s="216" t="s">
        <v>276</v>
      </c>
      <c r="Q417" s="172"/>
      <c r="R417" s="172"/>
      <c r="S417" s="172"/>
      <c r="T417" s="172"/>
      <c r="U417" s="173"/>
    </row>
    <row r="418" spans="1:21" ht="16.95" customHeight="1" x14ac:dyDescent="0.3">
      <c r="P418" s="215" t="s">
        <v>395</v>
      </c>
      <c r="Q418" s="172"/>
      <c r="R418" s="172"/>
      <c r="S418" s="172"/>
      <c r="T418" s="172"/>
      <c r="U418" s="173"/>
    </row>
    <row r="419" spans="1:21" ht="16.95" customHeight="1" x14ac:dyDescent="0.3">
      <c r="A419" s="19" t="s">
        <v>278</v>
      </c>
      <c r="C419" s="19" t="s">
        <v>279</v>
      </c>
      <c r="D419" s="19" t="s">
        <v>280</v>
      </c>
      <c r="E419" s="19" t="s">
        <v>279</v>
      </c>
      <c r="F419" s="19" t="s">
        <v>280</v>
      </c>
      <c r="G419" s="19" t="s">
        <v>249</v>
      </c>
      <c r="P419" s="215" t="s">
        <v>396</v>
      </c>
      <c r="Q419" s="172"/>
      <c r="R419" s="172"/>
      <c r="S419" s="172"/>
      <c r="T419" s="172"/>
      <c r="U419" s="173"/>
    </row>
    <row r="420" spans="1:21" ht="16.95" customHeight="1" x14ac:dyDescent="0.3">
      <c r="C420" s="19" t="s">
        <v>282</v>
      </c>
      <c r="D420" s="19" t="s">
        <v>282</v>
      </c>
      <c r="E420" s="19" t="s">
        <v>283</v>
      </c>
      <c r="F420" s="19" t="s">
        <v>283</v>
      </c>
      <c r="P420" s="215" t="s">
        <v>397</v>
      </c>
      <c r="Q420" s="172"/>
      <c r="R420" s="172"/>
      <c r="S420" s="172"/>
      <c r="T420" s="172"/>
      <c r="U420" s="173"/>
    </row>
    <row r="421" spans="1:21" ht="16.95" customHeight="1" x14ac:dyDescent="0.3">
      <c r="A421" s="17">
        <f>N6</f>
        <v>72000</v>
      </c>
      <c r="C421" s="92">
        <f>-J6</f>
        <v>-1</v>
      </c>
      <c r="D421" s="92">
        <f>-K6</f>
        <v>0</v>
      </c>
      <c r="E421" s="92">
        <f>J6</f>
        <v>1</v>
      </c>
      <c r="F421" s="92">
        <f>K6</f>
        <v>0</v>
      </c>
      <c r="G421" s="96">
        <f>IFERROR(VLOOKUP(H421, A$403:D$414, 4, FALSE), 0)</f>
        <v>0</v>
      </c>
      <c r="H421" s="12" t="str">
        <f>"D" &amp; C21 &amp; "X"</f>
        <v>D1X</v>
      </c>
      <c r="P421" s="215" t="s">
        <v>398</v>
      </c>
      <c r="Q421" s="172"/>
      <c r="R421" s="172"/>
      <c r="S421" s="172"/>
      <c r="T421" s="172"/>
      <c r="U421" s="173"/>
    </row>
    <row r="422" spans="1:21" ht="16.95" customHeight="1" x14ac:dyDescent="0.3">
      <c r="A422" s="99" t="s">
        <v>285</v>
      </c>
      <c r="B422" s="97">
        <f>(MMULT(C421:F421, G421:G424)*A421)</f>
        <v>6522.6481158294455</v>
      </c>
      <c r="G422" s="96">
        <f>IFERROR(VLOOKUP(H422, A$403:D$414, 4, FALSE), 0)</f>
        <v>0</v>
      </c>
      <c r="H422" s="12" t="str">
        <f>"D" &amp; D21 &amp; "Y"</f>
        <v>D1Y</v>
      </c>
      <c r="P422" s="215" t="s">
        <v>399</v>
      </c>
      <c r="Q422" s="172"/>
      <c r="R422" s="172"/>
      <c r="S422" s="172"/>
      <c r="T422" s="172"/>
      <c r="U422" s="173"/>
    </row>
    <row r="423" spans="1:21" ht="16.95" customHeight="1" x14ac:dyDescent="0.3">
      <c r="G423" s="96">
        <f>IFERROR(VLOOKUP(H423, A$403:D$414, 4, FALSE), 0)</f>
        <v>9.0592334942075636E-2</v>
      </c>
      <c r="H423" s="12" t="str">
        <f>"D" &amp; E21 &amp; "X"</f>
        <v>D2X</v>
      </c>
      <c r="P423" s="215" t="s">
        <v>400</v>
      </c>
      <c r="Q423" s="172"/>
      <c r="R423" s="172"/>
      <c r="S423" s="172"/>
      <c r="T423" s="172"/>
      <c r="U423" s="173"/>
    </row>
    <row r="424" spans="1:21" ht="16.95" customHeight="1" x14ac:dyDescent="0.3">
      <c r="G424" s="96">
        <f>IFERROR(VLOOKUP(H424, A$403:D$414, 4, FALSE), 0)</f>
        <v>-0.28817155542944944</v>
      </c>
      <c r="H424" s="12" t="str">
        <f>"D" &amp; F21 &amp; "Y"</f>
        <v>D2Y</v>
      </c>
      <c r="P424" s="215" t="s">
        <v>401</v>
      </c>
      <c r="Q424" s="172"/>
      <c r="R424" s="172"/>
      <c r="S424" s="172"/>
      <c r="T424" s="172"/>
      <c r="U424" s="173"/>
    </row>
    <row r="425" spans="1:21" ht="16.95" customHeight="1" x14ac:dyDescent="0.3">
      <c r="B425" s="99" t="s">
        <v>273</v>
      </c>
      <c r="C425" s="178" t="str">
        <f>IF(B422&gt;0.001,"BARRA A TRACCIÓN (+)",IF(B422&lt;-0.001,"BARRA A COMPRESIÓN (-)","BARRA DE FUERZA NULA"))</f>
        <v>BARRA A TRACCIÓN (+)</v>
      </c>
      <c r="D425" s="172"/>
      <c r="E425" s="172"/>
      <c r="F425" s="173"/>
      <c r="P425" s="215" t="s">
        <v>402</v>
      </c>
      <c r="Q425" s="172"/>
      <c r="R425" s="172"/>
      <c r="S425" s="172"/>
      <c r="T425" s="172"/>
      <c r="U425" s="173"/>
    </row>
    <row r="426" spans="1:21" ht="16.95" customHeight="1" x14ac:dyDescent="0.3">
      <c r="P426" s="215" t="s">
        <v>403</v>
      </c>
      <c r="Q426" s="172"/>
      <c r="R426" s="172"/>
      <c r="S426" s="172"/>
      <c r="T426" s="172"/>
      <c r="U426" s="173"/>
    </row>
    <row r="427" spans="1:21" ht="16.95" customHeight="1" x14ac:dyDescent="0.3">
      <c r="A427" s="19" t="s">
        <v>278</v>
      </c>
      <c r="C427" s="19" t="s">
        <v>279</v>
      </c>
      <c r="D427" s="19" t="s">
        <v>280</v>
      </c>
      <c r="E427" s="19" t="s">
        <v>279</v>
      </c>
      <c r="F427" s="19" t="s">
        <v>280</v>
      </c>
      <c r="G427" s="19" t="s">
        <v>249</v>
      </c>
      <c r="P427" s="215"/>
      <c r="Q427" s="172"/>
      <c r="R427" s="172"/>
      <c r="S427" s="172"/>
      <c r="T427" s="172"/>
      <c r="U427" s="173"/>
    </row>
    <row r="428" spans="1:21" ht="16.95" customHeight="1" x14ac:dyDescent="0.3">
      <c r="C428" s="19" t="s">
        <v>282</v>
      </c>
      <c r="D428" s="19" t="s">
        <v>282</v>
      </c>
      <c r="E428" s="19" t="s">
        <v>283</v>
      </c>
      <c r="F428" s="19" t="s">
        <v>283</v>
      </c>
      <c r="P428" s="215"/>
      <c r="Q428" s="172"/>
      <c r="R428" s="172"/>
      <c r="S428" s="172"/>
      <c r="T428" s="172"/>
      <c r="U428" s="173"/>
    </row>
    <row r="429" spans="1:21" ht="16.95" customHeight="1" x14ac:dyDescent="0.3">
      <c r="A429" s="17">
        <f>N7</f>
        <v>72000</v>
      </c>
      <c r="C429" s="92">
        <f>-J7</f>
        <v>-1</v>
      </c>
      <c r="D429" s="92">
        <f>-K7</f>
        <v>0</v>
      </c>
      <c r="E429" s="92">
        <f>J7</f>
        <v>1</v>
      </c>
      <c r="F429" s="92">
        <f>K7</f>
        <v>0</v>
      </c>
      <c r="G429" s="96">
        <f>IFERROR(VLOOKUP(H429, A$403:D$414, 4, FALSE), 0)</f>
        <v>9.0592334942075636E-2</v>
      </c>
      <c r="H429" s="12" t="str">
        <f>"D" &amp; C22 &amp; "X"</f>
        <v>D2X</v>
      </c>
      <c r="P429" s="215"/>
      <c r="Q429" s="172"/>
      <c r="R429" s="172"/>
      <c r="S429" s="172"/>
      <c r="T429" s="172"/>
      <c r="U429" s="173"/>
    </row>
    <row r="430" spans="1:21" ht="16.95" customHeight="1" x14ac:dyDescent="0.3">
      <c r="A430" s="99" t="s">
        <v>286</v>
      </c>
      <c r="B430" s="97">
        <f>(MMULT(C429:F429, G429:G432)*A429)</f>
        <v>5345.5689625258337</v>
      </c>
      <c r="G430" s="96">
        <f>IFERROR(VLOOKUP(H430, A$403:D$414, 4, FALSE), 0)</f>
        <v>-0.28817155542944944</v>
      </c>
      <c r="H430" s="12" t="str">
        <f>"D" &amp; D22 &amp; "Y"</f>
        <v>D2Y</v>
      </c>
      <c r="P430" s="215"/>
      <c r="Q430" s="172"/>
      <c r="R430" s="172"/>
      <c r="S430" s="172"/>
      <c r="T430" s="172"/>
      <c r="U430" s="173"/>
    </row>
    <row r="431" spans="1:21" ht="16.95" customHeight="1" x14ac:dyDescent="0.3">
      <c r="G431" s="96">
        <f>IFERROR(VLOOKUP(H431, A$403:D$414, 4, FALSE), 0)</f>
        <v>0.16483634831048999</v>
      </c>
      <c r="H431" s="12" t="str">
        <f>"D" &amp; E22 &amp; "X"</f>
        <v>D3X</v>
      </c>
      <c r="P431" s="215"/>
      <c r="Q431" s="172"/>
      <c r="R431" s="172"/>
      <c r="S431" s="172"/>
      <c r="T431" s="172"/>
      <c r="U431" s="173"/>
    </row>
    <row r="432" spans="1:21" ht="16.95" customHeight="1" x14ac:dyDescent="0.3">
      <c r="G432" s="96">
        <f>IFERROR(VLOOKUP(H432, A$403:D$414, 4, FALSE), 0)</f>
        <v>0</v>
      </c>
      <c r="H432" s="12" t="str">
        <f>"D" &amp; F22 &amp; "Y"</f>
        <v>D3Y</v>
      </c>
      <c r="P432" s="215"/>
      <c r="Q432" s="172"/>
      <c r="R432" s="172"/>
      <c r="S432" s="172"/>
      <c r="T432" s="172"/>
      <c r="U432" s="173"/>
    </row>
    <row r="433" spans="1:21" ht="16.95" customHeight="1" x14ac:dyDescent="0.3">
      <c r="B433" s="99" t="s">
        <v>273</v>
      </c>
      <c r="C433" s="178" t="str">
        <f>IF(B430&gt;0.001,"BARRA A TRACCIÓN (+)",IF(B430&lt;-0.001,"BARRA A COMPRESIÓN (-)","BARRA DE FUERZA NULA"))</f>
        <v>BARRA A TRACCIÓN (+)</v>
      </c>
      <c r="D433" s="172"/>
      <c r="E433" s="172"/>
      <c r="F433" s="173"/>
      <c r="P433" s="215"/>
      <c r="Q433" s="172"/>
      <c r="R433" s="172"/>
      <c r="S433" s="172"/>
      <c r="T433" s="172"/>
      <c r="U433" s="173"/>
    </row>
    <row r="434" spans="1:21" ht="16.95" customHeight="1" x14ac:dyDescent="0.3">
      <c r="P434" s="215"/>
      <c r="Q434" s="172"/>
      <c r="R434" s="172"/>
      <c r="S434" s="172"/>
      <c r="T434" s="172"/>
      <c r="U434" s="173"/>
    </row>
    <row r="435" spans="1:21" ht="16.95" customHeight="1" x14ac:dyDescent="0.3">
      <c r="A435" s="19" t="s">
        <v>278</v>
      </c>
      <c r="C435" s="19" t="s">
        <v>279</v>
      </c>
      <c r="D435" s="19" t="s">
        <v>280</v>
      </c>
      <c r="E435" s="19" t="s">
        <v>279</v>
      </c>
      <c r="F435" s="19" t="s">
        <v>280</v>
      </c>
      <c r="G435" s="19" t="s">
        <v>249</v>
      </c>
      <c r="P435" s="215"/>
      <c r="Q435" s="172"/>
      <c r="R435" s="172"/>
      <c r="S435" s="172"/>
      <c r="T435" s="172"/>
      <c r="U435" s="173"/>
    </row>
    <row r="436" spans="1:21" ht="16.95" customHeight="1" x14ac:dyDescent="0.3">
      <c r="C436" s="19" t="s">
        <v>282</v>
      </c>
      <c r="D436" s="19" t="s">
        <v>282</v>
      </c>
      <c r="E436" s="19" t="s">
        <v>283</v>
      </c>
      <c r="F436" s="19" t="s">
        <v>283</v>
      </c>
      <c r="P436" s="215"/>
      <c r="Q436" s="172"/>
      <c r="R436" s="172"/>
      <c r="S436" s="172"/>
      <c r="T436" s="172"/>
      <c r="U436" s="173"/>
    </row>
    <row r="437" spans="1:21" ht="16.95" customHeight="1" x14ac:dyDescent="0.3">
      <c r="A437" s="17">
        <f>N8</f>
        <v>72000</v>
      </c>
      <c r="C437" s="92">
        <f>-J8</f>
        <v>-1</v>
      </c>
      <c r="D437" s="92">
        <f>-K8</f>
        <v>0</v>
      </c>
      <c r="E437" s="92">
        <f>J8</f>
        <v>1</v>
      </c>
      <c r="F437" s="92">
        <f>K8</f>
        <v>0</v>
      </c>
      <c r="G437" s="96">
        <f>IFERROR(VLOOKUP(H437, A$403:D$414, 4, FALSE), 0)</f>
        <v>0.19346270707025195</v>
      </c>
      <c r="H437" s="12" t="str">
        <f>"D" &amp; C23 &amp; "X"</f>
        <v>D4X</v>
      </c>
      <c r="P437" s="215"/>
      <c r="Q437" s="172"/>
      <c r="R437" s="172"/>
      <c r="S437" s="172"/>
      <c r="T437" s="172"/>
      <c r="U437" s="173"/>
    </row>
    <row r="438" spans="1:21" ht="16.95" customHeight="1" x14ac:dyDescent="0.3">
      <c r="A438" s="99" t="s">
        <v>287</v>
      </c>
      <c r="B438" s="97">
        <f>(MMULT(C437:F437, G437:G440)*A437)</f>
        <v>-6518.8453060698448</v>
      </c>
      <c r="G438" s="96">
        <f>IFERROR(VLOOKUP(H438, A$403:D$414, 4, FALSE), 0)</f>
        <v>-3.1278624942843114E-2</v>
      </c>
      <c r="H438" s="12" t="str">
        <f>"D" &amp; D23 &amp; "Y"</f>
        <v>D4Y</v>
      </c>
      <c r="P438" s="215"/>
      <c r="Q438" s="172"/>
      <c r="R438" s="172"/>
      <c r="S438" s="172"/>
      <c r="T438" s="172"/>
      <c r="U438" s="173"/>
    </row>
    <row r="439" spans="1:21" ht="16.95" customHeight="1" x14ac:dyDescent="0.3">
      <c r="G439" s="96">
        <f>IFERROR(VLOOKUP(H439, A$403:D$414, 4, FALSE), 0)</f>
        <v>0.102923188930393</v>
      </c>
      <c r="H439" s="12" t="str">
        <f>"D" &amp; E23 &amp; "X"</f>
        <v>D5X</v>
      </c>
      <c r="P439" s="215"/>
      <c r="Q439" s="172"/>
      <c r="R439" s="172"/>
      <c r="S439" s="172"/>
      <c r="T439" s="172"/>
      <c r="U439" s="173"/>
    </row>
    <row r="440" spans="1:21" ht="16.95" customHeight="1" x14ac:dyDescent="0.3">
      <c r="G440" s="96">
        <f>IFERROR(VLOOKUP(H440, A$403:D$414, 4, FALSE), 0)</f>
        <v>-0.27230284223338996</v>
      </c>
      <c r="H440" s="12" t="str">
        <f>"D" &amp; F23 &amp; "Y"</f>
        <v>D5Y</v>
      </c>
      <c r="P440" s="215"/>
      <c r="Q440" s="172"/>
      <c r="R440" s="172"/>
      <c r="S440" s="172"/>
      <c r="T440" s="172"/>
      <c r="U440" s="173"/>
    </row>
    <row r="441" spans="1:21" ht="16.95" customHeight="1" x14ac:dyDescent="0.3">
      <c r="B441" s="99" t="s">
        <v>273</v>
      </c>
      <c r="C441" s="178" t="str">
        <f>IF(B438&gt;0.001,"BARRA A TRACCIÓN (+)",IF(B438&lt;-0.001,"BARRA A COMPRESIÓN (-)","BARRA DE FUERZA NULA"))</f>
        <v>BARRA A COMPRESIÓN (-)</v>
      </c>
      <c r="D441" s="172"/>
      <c r="E441" s="172"/>
      <c r="F441" s="173"/>
      <c r="P441" s="215"/>
      <c r="Q441" s="172"/>
      <c r="R441" s="172"/>
      <c r="S441" s="172"/>
      <c r="T441" s="172"/>
      <c r="U441" s="173"/>
    </row>
    <row r="442" spans="1:21" ht="16.95" customHeight="1" x14ac:dyDescent="0.3">
      <c r="P442" s="215"/>
      <c r="Q442" s="172"/>
      <c r="R442" s="172"/>
      <c r="S442" s="172"/>
      <c r="T442" s="172"/>
      <c r="U442" s="173"/>
    </row>
    <row r="443" spans="1:21" ht="18" customHeight="1" x14ac:dyDescent="0.3">
      <c r="A443" s="19" t="s">
        <v>278</v>
      </c>
      <c r="C443" s="19" t="s">
        <v>279</v>
      </c>
      <c r="D443" s="19" t="s">
        <v>280</v>
      </c>
      <c r="E443" s="19" t="s">
        <v>279</v>
      </c>
      <c r="F443" s="19" t="s">
        <v>280</v>
      </c>
      <c r="G443" s="19" t="s">
        <v>249</v>
      </c>
    </row>
    <row r="444" spans="1:21" ht="16.05" customHeight="1" x14ac:dyDescent="0.3">
      <c r="C444" s="19" t="s">
        <v>282</v>
      </c>
      <c r="D444" s="19" t="s">
        <v>282</v>
      </c>
      <c r="E444" s="19" t="s">
        <v>283</v>
      </c>
      <c r="F444" s="19" t="s">
        <v>283</v>
      </c>
    </row>
    <row r="445" spans="1:21" ht="19.95" customHeight="1" x14ac:dyDescent="0.3">
      <c r="A445" s="17">
        <f>N9</f>
        <v>72000</v>
      </c>
      <c r="C445" s="92">
        <f>-J9</f>
        <v>-1</v>
      </c>
      <c r="D445" s="92">
        <f>-K9</f>
        <v>0</v>
      </c>
      <c r="E445" s="92">
        <f>J9</f>
        <v>1</v>
      </c>
      <c r="F445" s="92">
        <f>K9</f>
        <v>0</v>
      </c>
      <c r="G445" s="96">
        <f>IFERROR(VLOOKUP(H445, A$403:D$414, 4, FALSE), 0)</f>
        <v>0.102923188930393</v>
      </c>
      <c r="H445" s="12" t="str">
        <f>"D" &amp; C24 &amp; "X"</f>
        <v>D5X</v>
      </c>
    </row>
    <row r="446" spans="1:21" ht="19.95" customHeight="1" x14ac:dyDescent="0.3">
      <c r="A446" s="99" t="s">
        <v>288</v>
      </c>
      <c r="B446" s="97">
        <f>(MMULT(C445:F445, G445:G448)*A445)</f>
        <v>-5112.9376155748823</v>
      </c>
      <c r="G446" s="96">
        <f>IFERROR(VLOOKUP(H446, A$403:D$414, 4, FALSE), 0)</f>
        <v>-0.27230284223338996</v>
      </c>
      <c r="H446" s="12" t="str">
        <f>"D" &amp; D24 &amp; "Y"</f>
        <v>D5Y</v>
      </c>
    </row>
    <row r="447" spans="1:21" ht="19.95" customHeight="1" x14ac:dyDescent="0.3">
      <c r="G447" s="96">
        <f>IFERROR(VLOOKUP(H447, A$403:D$414, 4, FALSE), 0)</f>
        <v>3.1910166491852965E-2</v>
      </c>
      <c r="H447" s="12" t="str">
        <f>"D" &amp; E24 &amp; "X"</f>
        <v>D6X</v>
      </c>
    </row>
    <row r="448" spans="1:21" ht="19.95" customHeight="1" x14ac:dyDescent="0.3">
      <c r="G448" s="96">
        <f>IFERROR(VLOOKUP(H448, A$403:D$414, 4, FALSE), 0)</f>
        <v>-4.3594942555325956E-2</v>
      </c>
      <c r="H448" s="12" t="str">
        <f>"D" &amp; F24 &amp; "Y"</f>
        <v>D6Y</v>
      </c>
    </row>
    <row r="449" spans="1:8" ht="19.95" customHeight="1" x14ac:dyDescent="0.3">
      <c r="B449" s="99" t="s">
        <v>273</v>
      </c>
      <c r="C449" s="178" t="str">
        <f>IF(B446&gt;0.001,"BARRA A TRACCIÓN (+)",IF(B446&lt;-0.001,"BARRA A COMPRESIÓN (-)","BARRA DE FUERZA NULA"))</f>
        <v>BARRA A COMPRESIÓN (-)</v>
      </c>
      <c r="D449" s="172"/>
      <c r="E449" s="172"/>
      <c r="F449" s="173"/>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N10</f>
        <v>90000</v>
      </c>
      <c r="C453" s="92">
        <f>-J10</f>
        <v>0</v>
      </c>
      <c r="D453" s="92">
        <f>-K10</f>
        <v>-1</v>
      </c>
      <c r="E453" s="92">
        <f>J10</f>
        <v>0</v>
      </c>
      <c r="F453" s="92">
        <f>K10</f>
        <v>1</v>
      </c>
      <c r="G453" s="96">
        <f>IFERROR(VLOOKUP(H453, A$403:D$414, 4, FALSE), 0)</f>
        <v>0</v>
      </c>
      <c r="H453" s="12" t="str">
        <f>"D" &amp; C25 &amp; "X"</f>
        <v>D1X</v>
      </c>
    </row>
    <row r="454" spans="1:8" ht="19.95" customHeight="1" x14ac:dyDescent="0.3">
      <c r="A454" s="99" t="s">
        <v>289</v>
      </c>
      <c r="B454" s="97">
        <f>(MMULT(C453:F453, G453:G456)*A453)</f>
        <v>-2815.0762448558803</v>
      </c>
      <c r="G454" s="96">
        <f>IFERROR(VLOOKUP(H454, A$403:D$414, 4, FALSE), 0)</f>
        <v>0</v>
      </c>
      <c r="H454" s="12" t="str">
        <f>"D" &amp; D25 &amp; "Y"</f>
        <v>D1Y</v>
      </c>
    </row>
    <row r="455" spans="1:8" ht="19.95" customHeight="1" x14ac:dyDescent="0.3">
      <c r="G455" s="96">
        <f>IFERROR(VLOOKUP(H455, A$403:D$414, 4, FALSE), 0)</f>
        <v>0.19346270707025195</v>
      </c>
      <c r="H455" s="12" t="str">
        <f>"D" &amp; E25 &amp; "X"</f>
        <v>D4X</v>
      </c>
    </row>
    <row r="456" spans="1:8" ht="19.95" customHeight="1" x14ac:dyDescent="0.3">
      <c r="G456" s="96">
        <f>IFERROR(VLOOKUP(H456, A$403:D$414, 4, FALSE), 0)</f>
        <v>-3.1278624942843114E-2</v>
      </c>
      <c r="H456" s="12" t="str">
        <f>"D" &amp; F25 &amp; "Y"</f>
        <v>D4Y</v>
      </c>
    </row>
    <row r="457" spans="1:8" ht="19.95" customHeight="1" x14ac:dyDescent="0.3">
      <c r="B457" s="99" t="s">
        <v>273</v>
      </c>
      <c r="C457" s="178" t="str">
        <f>IF(B454&gt;0.001,"BARRA A TRACCIÓN (+)",IF(B454&lt;-0.001,"BARRA A COMPRESIÓN (-)","BARRA DE FUERZA NULA"))</f>
        <v>BARRA A COMPRESIÓN (-)</v>
      </c>
      <c r="D457" s="172"/>
      <c r="E457" s="172"/>
      <c r="F457" s="173"/>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N11</f>
        <v>90000</v>
      </c>
      <c r="C461" s="92">
        <f>-J11</f>
        <v>0</v>
      </c>
      <c r="D461" s="92">
        <f>-K11</f>
        <v>-1</v>
      </c>
      <c r="E461" s="92">
        <f>J11</f>
        <v>0</v>
      </c>
      <c r="F461" s="92">
        <f>K11</f>
        <v>1</v>
      </c>
      <c r="G461" s="96">
        <f>IFERROR(VLOOKUP(H461, A$403:D$414, 4, FALSE), 0)</f>
        <v>9.0592334942075636E-2</v>
      </c>
      <c r="H461" s="12" t="str">
        <f>"D" &amp; C26 &amp; "X"</f>
        <v>D2X</v>
      </c>
    </row>
    <row r="462" spans="1:8" ht="19.95" customHeight="1" x14ac:dyDescent="0.3">
      <c r="A462" s="99" t="s">
        <v>290</v>
      </c>
      <c r="B462" s="97">
        <f>(MMULT(C461:F461, G461:G464)*A461)</f>
        <v>1428.1841876453532</v>
      </c>
      <c r="G462" s="96">
        <f>IFERROR(VLOOKUP(H462, A$403:D$414, 4, FALSE), 0)</f>
        <v>-0.28817155542944944</v>
      </c>
      <c r="H462" s="12" t="str">
        <f>"D" &amp; D26 &amp; "Y"</f>
        <v>D2Y</v>
      </c>
    </row>
    <row r="463" spans="1:8" ht="19.95" customHeight="1" x14ac:dyDescent="0.3">
      <c r="G463" s="96">
        <f>IFERROR(VLOOKUP(H463, A$403:D$414, 4, FALSE), 0)</f>
        <v>0.102923188930393</v>
      </c>
      <c r="H463" s="12" t="str">
        <f>"D" &amp; E26 &amp; "X"</f>
        <v>D5X</v>
      </c>
    </row>
    <row r="464" spans="1:8" ht="19.95" customHeight="1" x14ac:dyDescent="0.3">
      <c r="G464" s="96">
        <f>IFERROR(VLOOKUP(H464, A$403:D$414, 4, FALSE), 0)</f>
        <v>-0.27230284223338996</v>
      </c>
      <c r="H464" s="12" t="str">
        <f>"D" &amp; F26 &amp; "Y"</f>
        <v>D5Y</v>
      </c>
    </row>
    <row r="465" spans="1:8" ht="19.95" customHeight="1" x14ac:dyDescent="0.3">
      <c r="B465" s="99" t="s">
        <v>273</v>
      </c>
      <c r="C465" s="178" t="str">
        <f>IF(B462&gt;0.001,"BARRA A TRACCIÓN (+)",IF(B462&lt;-0.001,"BARRA A COMPRESIÓN (-)","BARRA DE FUERZA NULA"))</f>
        <v>BARRA A TRACCIÓN (+)</v>
      </c>
      <c r="D465" s="172"/>
      <c r="E465" s="172"/>
      <c r="F465" s="173"/>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N12</f>
        <v>90000</v>
      </c>
      <c r="C469" s="92">
        <f>-J12</f>
        <v>0</v>
      </c>
      <c r="D469" s="92">
        <f>-K12</f>
        <v>-1</v>
      </c>
      <c r="E469" s="92">
        <f>J12</f>
        <v>0</v>
      </c>
      <c r="F469" s="92">
        <f>K12</f>
        <v>1</v>
      </c>
      <c r="G469" s="96">
        <f>IFERROR(VLOOKUP(H469, A$403:D$414, 4, FALSE), 0)</f>
        <v>0.16483634831048999</v>
      </c>
      <c r="H469" s="12" t="str">
        <f>"D" &amp; C27 &amp; "X"</f>
        <v>D3X</v>
      </c>
    </row>
    <row r="470" spans="1:8" ht="19.95" customHeight="1" x14ac:dyDescent="0.3">
      <c r="A470" s="99" t="s">
        <v>291</v>
      </c>
      <c r="B470" s="97">
        <f>(MMULT(C469:F469, G469:G472)*A469)</f>
        <v>-3923.5448299793361</v>
      </c>
      <c r="G470" s="96">
        <f>IFERROR(VLOOKUP(H470, A$403:D$414, 4, FALSE), 0)</f>
        <v>0</v>
      </c>
      <c r="H470" s="12" t="str">
        <f>"D" &amp; D27 &amp; "Y"</f>
        <v>D3Y</v>
      </c>
    </row>
    <row r="471" spans="1:8" ht="19.95" customHeight="1" x14ac:dyDescent="0.3">
      <c r="G471" s="96">
        <f>IFERROR(VLOOKUP(H471, A$403:D$414, 4, FALSE), 0)</f>
        <v>3.1910166491852965E-2</v>
      </c>
      <c r="H471" s="12" t="str">
        <f>"D" &amp; E27 &amp; "X"</f>
        <v>D6X</v>
      </c>
    </row>
    <row r="472" spans="1:8" ht="19.95" customHeight="1" x14ac:dyDescent="0.3">
      <c r="G472" s="96">
        <f>IFERROR(VLOOKUP(H472, A$403:D$414, 4, FALSE), 0)</f>
        <v>-4.3594942555325956E-2</v>
      </c>
      <c r="H472" s="12" t="str">
        <f>"D" &amp; F27 &amp; "Y"</f>
        <v>D6Y</v>
      </c>
    </row>
    <row r="473" spans="1:8" ht="19.95" customHeight="1" x14ac:dyDescent="0.3">
      <c r="B473" s="99" t="s">
        <v>273</v>
      </c>
      <c r="C473" s="178" t="str">
        <f>IF(B470&gt;0.001,"BARRA A TRACCIÓN (+)",IF(B470&lt;-0.001,"BARRA A COMPRESIÓN (-)","BARRA DE FUERZA NULA"))</f>
        <v>BARRA A COMPRESIÓN (-)</v>
      </c>
      <c r="D473" s="172"/>
      <c r="E473" s="172"/>
      <c r="F473" s="173"/>
    </row>
    <row r="475" spans="1:8" ht="18" customHeight="1" x14ac:dyDescent="0.3">
      <c r="A475" s="19" t="s">
        <v>278</v>
      </c>
      <c r="C475" s="19" t="s">
        <v>279</v>
      </c>
      <c r="D475" s="19" t="s">
        <v>280</v>
      </c>
      <c r="E475" s="19" t="s">
        <v>279</v>
      </c>
      <c r="F475" s="19" t="s">
        <v>280</v>
      </c>
      <c r="G475" s="19" t="s">
        <v>249</v>
      </c>
    </row>
    <row r="476" spans="1:8" ht="16.05" customHeight="1" x14ac:dyDescent="0.3">
      <c r="C476" s="19" t="s">
        <v>282</v>
      </c>
      <c r="D476" s="19" t="s">
        <v>282</v>
      </c>
      <c r="E476" s="19" t="s">
        <v>283</v>
      </c>
      <c r="F476" s="19" t="s">
        <v>283</v>
      </c>
    </row>
    <row r="477" spans="1:8" ht="19.95" customHeight="1" x14ac:dyDescent="0.3">
      <c r="A477" s="17">
        <f>N13</f>
        <v>56222.554279898184</v>
      </c>
      <c r="C477" s="92">
        <f>-J13</f>
        <v>-0.78086880944303039</v>
      </c>
      <c r="D477" s="92">
        <f>-K13</f>
        <v>-0.62469504755442429</v>
      </c>
      <c r="E477" s="92">
        <f>J13</f>
        <v>0.78086880944303039</v>
      </c>
      <c r="F477" s="92">
        <f>K13</f>
        <v>0.62469504755442429</v>
      </c>
      <c r="G477" s="96">
        <f>IFERROR(VLOOKUP(H477, A$403:D$414, 4, FALSE), 0)</f>
        <v>0</v>
      </c>
      <c r="H477" s="12" t="str">
        <f>"D" &amp; C28 &amp; "X"</f>
        <v>D1X</v>
      </c>
    </row>
    <row r="478" spans="1:8" ht="19.95" customHeight="1" x14ac:dyDescent="0.3">
      <c r="A478" s="99" t="s">
        <v>292</v>
      </c>
      <c r="B478" s="97">
        <f>(MMULT(C477:F477, G477:G480)*A477)</f>
        <v>-5045.2281156432718</v>
      </c>
      <c r="G478" s="96">
        <f>IFERROR(VLOOKUP(H478, A$403:D$414, 4, FALSE), 0)</f>
        <v>0</v>
      </c>
      <c r="H478" s="12" t="str">
        <f>"D" &amp; D28 &amp; "Y"</f>
        <v>D1Y</v>
      </c>
    </row>
    <row r="479" spans="1:8" ht="19.95" customHeight="1" x14ac:dyDescent="0.3">
      <c r="G479" s="96">
        <f>IFERROR(VLOOKUP(H479, A$403:D$414, 4, FALSE), 0)</f>
        <v>0.102923188930393</v>
      </c>
      <c r="H479" s="12" t="str">
        <f>"D" &amp; E28 &amp; "X"</f>
        <v>D5X</v>
      </c>
    </row>
    <row r="480" spans="1:8" ht="19.95" customHeight="1" x14ac:dyDescent="0.3">
      <c r="G480" s="96">
        <f>IFERROR(VLOOKUP(H480, A$403:D$414, 4, FALSE), 0)</f>
        <v>-0.27230284223338996</v>
      </c>
      <c r="H480" s="12" t="str">
        <f>"D" &amp; F28 &amp; "Y"</f>
        <v>D5Y</v>
      </c>
    </row>
    <row r="481" spans="1:8" ht="19.95" customHeight="1" x14ac:dyDescent="0.3">
      <c r="B481" s="99" t="s">
        <v>273</v>
      </c>
      <c r="C481" s="178" t="str">
        <f>IF(B478&gt;0.001,"BARRA A TRACCIÓN (+)",IF(B478&lt;-0.001,"BARRA A COMPRESIÓN (-)","BARRA DE FUERZA NULA"))</f>
        <v>BARRA A COMPRESIÓN (-)</v>
      </c>
      <c r="D481" s="172"/>
      <c r="E481" s="172"/>
      <c r="F481" s="173"/>
    </row>
    <row r="483" spans="1:8" ht="18" customHeight="1" x14ac:dyDescent="0.3">
      <c r="A483" s="19" t="s">
        <v>278</v>
      </c>
      <c r="C483" s="19" t="s">
        <v>279</v>
      </c>
      <c r="D483" s="19" t="s">
        <v>280</v>
      </c>
      <c r="E483" s="19" t="s">
        <v>279</v>
      </c>
      <c r="F483" s="19" t="s">
        <v>280</v>
      </c>
      <c r="G483" s="19" t="s">
        <v>249</v>
      </c>
    </row>
    <row r="484" spans="1:8" ht="16.05" customHeight="1" x14ac:dyDescent="0.3">
      <c r="C484" s="19" t="s">
        <v>282</v>
      </c>
      <c r="D484" s="19" t="s">
        <v>282</v>
      </c>
      <c r="E484" s="19" t="s">
        <v>283</v>
      </c>
      <c r="F484" s="19" t="s">
        <v>283</v>
      </c>
    </row>
    <row r="485" spans="1:8" ht="19.95" customHeight="1" x14ac:dyDescent="0.3">
      <c r="A485" s="17">
        <f>N14</f>
        <v>56222.554279898184</v>
      </c>
      <c r="C485" s="92">
        <f>-J14</f>
        <v>-0.78086880944303039</v>
      </c>
      <c r="D485" s="92">
        <f>-K14</f>
        <v>0.62469504755442429</v>
      </c>
      <c r="E485" s="92">
        <f>J14</f>
        <v>0.78086880944303039</v>
      </c>
      <c r="F485" s="92">
        <f>K14</f>
        <v>-0.62469504755442429</v>
      </c>
      <c r="G485" s="96">
        <f>IFERROR(VLOOKUP(H485, A$403:D$414, 4, FALSE), 0)</f>
        <v>0.19346270707025195</v>
      </c>
      <c r="H485" s="12" t="str">
        <f>"D" &amp; C29 &amp; "X"</f>
        <v>D4X</v>
      </c>
    </row>
    <row r="486" spans="1:8" ht="19.95" customHeight="1" x14ac:dyDescent="0.3">
      <c r="A486" s="99" t="s">
        <v>530</v>
      </c>
      <c r="B486" s="97">
        <f>(MMULT(C485:F485, G485:G488)*A485)</f>
        <v>4506.32073341453</v>
      </c>
      <c r="G486" s="96">
        <f>IFERROR(VLOOKUP(H486, A$403:D$414, 4, FALSE), 0)</f>
        <v>-3.1278624942843114E-2</v>
      </c>
      <c r="H486" s="12" t="str">
        <f>"D" &amp; D29 &amp; "Y"</f>
        <v>D4Y</v>
      </c>
    </row>
    <row r="487" spans="1:8" ht="19.95" customHeight="1" x14ac:dyDescent="0.3">
      <c r="G487" s="96">
        <f>IFERROR(VLOOKUP(H487, A$403:D$414, 4, FALSE), 0)</f>
        <v>9.0592334942075636E-2</v>
      </c>
      <c r="H487" s="12" t="str">
        <f>"D" &amp; E29 &amp; "X"</f>
        <v>D2X</v>
      </c>
    </row>
    <row r="488" spans="1:8" ht="19.95" customHeight="1" x14ac:dyDescent="0.3">
      <c r="G488" s="96">
        <f>IFERROR(VLOOKUP(H488, A$403:D$414, 4, FALSE), 0)</f>
        <v>-0.28817155542944944</v>
      </c>
      <c r="H488" s="12" t="str">
        <f>"D" &amp; F29 &amp; "Y"</f>
        <v>D2Y</v>
      </c>
    </row>
    <row r="489" spans="1:8" ht="19.95" customHeight="1" x14ac:dyDescent="0.3">
      <c r="B489" s="99" t="s">
        <v>273</v>
      </c>
      <c r="C489" s="178" t="str">
        <f>IF(B486&gt;0.001,"BARRA A TRACCIÓN (+)",IF(B486&lt;-0.001,"BARRA A COMPRESIÓN (-)","BARRA DE FUERZA NULA"))</f>
        <v>BARRA A TRACCIÓN (+)</v>
      </c>
      <c r="D489" s="172"/>
      <c r="E489" s="172"/>
      <c r="F489" s="173"/>
    </row>
    <row r="491" spans="1:8" ht="18" customHeight="1" x14ac:dyDescent="0.3">
      <c r="A491" s="19" t="s">
        <v>278</v>
      </c>
      <c r="C491" s="19" t="s">
        <v>279</v>
      </c>
      <c r="D491" s="19" t="s">
        <v>280</v>
      </c>
      <c r="E491" s="19" t="s">
        <v>279</v>
      </c>
      <c r="F491" s="19" t="s">
        <v>280</v>
      </c>
      <c r="G491" s="19" t="s">
        <v>249</v>
      </c>
    </row>
    <row r="492" spans="1:8" ht="16.05" customHeight="1" x14ac:dyDescent="0.3">
      <c r="C492" s="19" t="s">
        <v>282</v>
      </c>
      <c r="D492" s="19" t="s">
        <v>282</v>
      </c>
      <c r="E492" s="19" t="s">
        <v>283</v>
      </c>
      <c r="F492" s="19" t="s">
        <v>283</v>
      </c>
    </row>
    <row r="493" spans="1:8" ht="19.95" customHeight="1" x14ac:dyDescent="0.3">
      <c r="A493" s="17">
        <f>N15</f>
        <v>56222.554279898184</v>
      </c>
      <c r="C493" s="92">
        <f>-J15</f>
        <v>-0.78086880944303039</v>
      </c>
      <c r="D493" s="92">
        <f>-K15</f>
        <v>-0.62469504755442429</v>
      </c>
      <c r="E493" s="92">
        <f>J15</f>
        <v>0.78086880944303039</v>
      </c>
      <c r="F493" s="92">
        <f>K15</f>
        <v>0.62469504755442429</v>
      </c>
      <c r="G493" s="96">
        <f>IFERROR(VLOOKUP(H493, A$403:D$414, 4, FALSE), 0)</f>
        <v>9.0592334942075636E-2</v>
      </c>
      <c r="H493" s="12" t="str">
        <f>"D" &amp; C30 &amp; "X"</f>
        <v>D2X</v>
      </c>
    </row>
    <row r="494" spans="1:8" ht="19.95" customHeight="1" x14ac:dyDescent="0.3">
      <c r="A494" s="99" t="s">
        <v>589</v>
      </c>
      <c r="B494" s="97">
        <f>(MMULT(C493:F493, G493:G496)*A493)</f>
        <v>6013.7175445935854</v>
      </c>
      <c r="G494" s="96">
        <f>IFERROR(VLOOKUP(H494, A$403:D$414, 4, FALSE), 0)</f>
        <v>-0.28817155542944944</v>
      </c>
      <c r="H494" s="12" t="str">
        <f>"D" &amp; D30 &amp; "Y"</f>
        <v>D2Y</v>
      </c>
    </row>
    <row r="495" spans="1:8" ht="19.95" customHeight="1" x14ac:dyDescent="0.3">
      <c r="G495" s="96">
        <f>IFERROR(VLOOKUP(H495, A$403:D$414, 4, FALSE), 0)</f>
        <v>3.1910166491852965E-2</v>
      </c>
      <c r="H495" s="12" t="str">
        <f>"D" &amp; E30 &amp; "X"</f>
        <v>D6X</v>
      </c>
    </row>
    <row r="496" spans="1:8" ht="19.95" customHeight="1" x14ac:dyDescent="0.3">
      <c r="G496" s="96">
        <f>IFERROR(VLOOKUP(H496, A$403:D$414, 4, FALSE), 0)</f>
        <v>-4.3594942555325956E-2</v>
      </c>
      <c r="H496" s="12" t="str">
        <f>"D" &amp; F30 &amp; "Y"</f>
        <v>D6Y</v>
      </c>
    </row>
    <row r="497" spans="1:8" ht="19.95" customHeight="1" x14ac:dyDescent="0.3">
      <c r="B497" s="99" t="s">
        <v>273</v>
      </c>
      <c r="C497" s="178" t="str">
        <f>IF(B494&gt;0.001,"BARRA A TRACCIÓN (+)",IF(B494&lt;-0.001,"BARRA A COMPRESIÓN (-)","BARRA DE FUERZA NULA"))</f>
        <v>BARRA A TRACCIÓN (+)</v>
      </c>
      <c r="D497" s="172"/>
      <c r="E497" s="172"/>
      <c r="F497" s="173"/>
    </row>
    <row r="499" spans="1:8" ht="18" customHeight="1" x14ac:dyDescent="0.3">
      <c r="A499" s="19" t="s">
        <v>278</v>
      </c>
      <c r="C499" s="19" t="s">
        <v>279</v>
      </c>
      <c r="D499" s="19" t="s">
        <v>280</v>
      </c>
      <c r="E499" s="19" t="s">
        <v>279</v>
      </c>
      <c r="F499" s="19" t="s">
        <v>280</v>
      </c>
      <c r="G499" s="19" t="s">
        <v>249</v>
      </c>
    </row>
    <row r="500" spans="1:8" ht="16.05" customHeight="1" x14ac:dyDescent="0.3">
      <c r="C500" s="19" t="s">
        <v>282</v>
      </c>
      <c r="D500" s="19" t="s">
        <v>282</v>
      </c>
      <c r="E500" s="19" t="s">
        <v>283</v>
      </c>
      <c r="F500" s="19" t="s">
        <v>283</v>
      </c>
    </row>
    <row r="501" spans="1:8" ht="19.95" customHeight="1" x14ac:dyDescent="0.3">
      <c r="A501" s="17">
        <f>N16</f>
        <v>56222.554279898184</v>
      </c>
      <c r="C501" s="92">
        <f>-J16</f>
        <v>-0.78086880944303039</v>
      </c>
      <c r="D501" s="92">
        <f>-K16</f>
        <v>0.62469504755442429</v>
      </c>
      <c r="E501" s="92">
        <f>J16</f>
        <v>0.78086880944303039</v>
      </c>
      <c r="F501" s="92">
        <f>K16</f>
        <v>-0.62469504755442429</v>
      </c>
      <c r="G501" s="96">
        <f>IFERROR(VLOOKUP(H501, A$403:D$414, 4, FALSE), 0)</f>
        <v>0.102923188930393</v>
      </c>
      <c r="H501" s="12" t="str">
        <f>"D" &amp; C31 &amp; "X"</f>
        <v>D5X</v>
      </c>
    </row>
    <row r="502" spans="1:8" ht="19.95" customHeight="1" x14ac:dyDescent="0.3">
      <c r="A502" s="99" t="s">
        <v>590</v>
      </c>
      <c r="B502" s="97">
        <f>(MMULT(C501:F501, G501:G504)*A501)</f>
        <v>-6845.6684373635835</v>
      </c>
      <c r="G502" s="96">
        <f>IFERROR(VLOOKUP(H502, A$403:D$414, 4, FALSE), 0)</f>
        <v>-0.27230284223338996</v>
      </c>
      <c r="H502" s="12" t="str">
        <f>"D" &amp; D31 &amp; "Y"</f>
        <v>D5Y</v>
      </c>
    </row>
    <row r="503" spans="1:8" ht="19.95" customHeight="1" x14ac:dyDescent="0.3">
      <c r="G503" s="96">
        <f>IFERROR(VLOOKUP(H503, A$403:D$414, 4, FALSE), 0)</f>
        <v>0.16483634831048999</v>
      </c>
      <c r="H503" s="12" t="str">
        <f>"D" &amp; E31 &amp; "X"</f>
        <v>D3X</v>
      </c>
    </row>
    <row r="504" spans="1:8" ht="19.95" customHeight="1" x14ac:dyDescent="0.3">
      <c r="G504" s="96">
        <f>IFERROR(VLOOKUP(H504, A$403:D$414, 4, FALSE), 0)</f>
        <v>0</v>
      </c>
      <c r="H504" s="12" t="str">
        <f>"D" &amp; F31 &amp; "Y"</f>
        <v>D3Y</v>
      </c>
    </row>
    <row r="505" spans="1:8" ht="19.95" customHeight="1" x14ac:dyDescent="0.3">
      <c r="B505" s="99" t="s">
        <v>273</v>
      </c>
      <c r="C505" s="178" t="str">
        <f>IF(B502&gt;0.001,"BARRA A TRACCIÓN (+)",IF(B502&lt;-0.001,"BARRA A COMPRESIÓN (-)","BARRA DE FUERZA NULA"))</f>
        <v>BARRA A COMPRESIÓN (-)</v>
      </c>
      <c r="D505" s="172"/>
      <c r="E505" s="172"/>
      <c r="F505" s="173"/>
    </row>
    <row r="507" spans="1:8" ht="18" customHeight="1" x14ac:dyDescent="0.3">
      <c r="A507" s="19" t="s">
        <v>278</v>
      </c>
      <c r="C507" s="19" t="s">
        <v>279</v>
      </c>
      <c r="D507" s="19" t="s">
        <v>280</v>
      </c>
      <c r="E507" s="19" t="s">
        <v>279</v>
      </c>
      <c r="F507" s="19" t="s">
        <v>280</v>
      </c>
      <c r="G507" s="19" t="s">
        <v>249</v>
      </c>
    </row>
    <row r="508" spans="1:8" ht="16.05" customHeight="1" x14ac:dyDescent="0.3">
      <c r="C508" s="19" t="s">
        <v>282</v>
      </c>
      <c r="D508" s="19" t="s">
        <v>282</v>
      </c>
      <c r="E508" s="19" t="s">
        <v>283</v>
      </c>
      <c r="F508" s="19" t="s">
        <v>283</v>
      </c>
    </row>
    <row r="509" spans="1:8" ht="19.95" customHeight="1" x14ac:dyDescent="0.3">
      <c r="A509" s="17">
        <f>N17</f>
        <v>33425.160871869339</v>
      </c>
      <c r="C509" s="92">
        <f>-J17</f>
        <v>-0.9284766908852593</v>
      </c>
      <c r="D509" s="92">
        <f>-K17</f>
        <v>-0.37139067635410372</v>
      </c>
      <c r="E509" s="92">
        <f>J17</f>
        <v>0.9284766908852593</v>
      </c>
      <c r="F509" s="92">
        <f>K17</f>
        <v>0.37139067635410372</v>
      </c>
      <c r="G509" s="96">
        <f>IFERROR(VLOOKUP(H509, A$403:D$414, 4, FALSE), 0)</f>
        <v>0</v>
      </c>
      <c r="H509" s="12" t="str">
        <f>"D" &amp; C32 &amp; "X"</f>
        <v>D1X</v>
      </c>
    </row>
    <row r="510" spans="1:8" ht="19.95" customHeight="1" x14ac:dyDescent="0.3">
      <c r="A510" s="99" t="s">
        <v>611</v>
      </c>
      <c r="B510" s="97">
        <f>(MMULT(C509:F509, G509:G512)*A509)</f>
        <v>449.13691457759739</v>
      </c>
      <c r="G510" s="96">
        <f>IFERROR(VLOOKUP(H510, A$403:D$414, 4, FALSE), 0)</f>
        <v>0</v>
      </c>
      <c r="H510" s="12" t="str">
        <f>"D" &amp; D32 &amp; "Y"</f>
        <v>D1Y</v>
      </c>
    </row>
    <row r="511" spans="1:8" ht="19.95" customHeight="1" x14ac:dyDescent="0.3">
      <c r="G511" s="96">
        <f>IFERROR(VLOOKUP(H511, A$403:D$414, 4, FALSE), 0)</f>
        <v>3.1910166491852965E-2</v>
      </c>
      <c r="H511" s="12" t="str">
        <f>"D" &amp; E32 &amp; "X"</f>
        <v>D6X</v>
      </c>
    </row>
    <row r="512" spans="1:8" ht="19.95" customHeight="1" x14ac:dyDescent="0.3">
      <c r="G512" s="96">
        <f>IFERROR(VLOOKUP(H512, A$403:D$414, 4, FALSE), 0)</f>
        <v>-4.3594942555325956E-2</v>
      </c>
      <c r="H512" s="12" t="str">
        <f>"D" &amp; F32 &amp; "Y"</f>
        <v>D6Y</v>
      </c>
    </row>
    <row r="513" spans="2:8" ht="19.95" customHeight="1" x14ac:dyDescent="0.3">
      <c r="B513" s="99" t="s">
        <v>273</v>
      </c>
      <c r="C513" s="178" t="str">
        <f>IF(B510&gt;0.001,"BARRA A TRACCIÓN (+)",IF(B510&lt;-0.001,"BARRA A COMPRESIÓN (-)","BARRA DE FUERZA NULA"))</f>
        <v>BARRA A TRACCIÓN (+)</v>
      </c>
      <c r="D513" s="172"/>
      <c r="E513" s="172"/>
      <c r="F513" s="173"/>
    </row>
    <row r="516" spans="2:8" ht="22.05" customHeight="1" x14ac:dyDescent="0.3">
      <c r="B516" s="217" t="s">
        <v>404</v>
      </c>
      <c r="C516" s="175"/>
      <c r="D516" s="175"/>
      <c r="E516" s="175"/>
      <c r="F516" s="175"/>
      <c r="G516" s="175"/>
      <c r="H516" s="175"/>
    </row>
    <row r="517" spans="2:8" ht="24" customHeight="1" x14ac:dyDescent="0.3">
      <c r="B517" s="87" t="s">
        <v>294</v>
      </c>
      <c r="C517" s="87" t="s">
        <v>295</v>
      </c>
      <c r="D517" s="87" t="s">
        <v>296</v>
      </c>
      <c r="E517" s="87" t="s">
        <v>297</v>
      </c>
      <c r="F517" s="87" t="s">
        <v>298</v>
      </c>
      <c r="G517" s="87" t="s">
        <v>299</v>
      </c>
      <c r="H517" s="87" t="s">
        <v>300</v>
      </c>
    </row>
    <row r="518" spans="2:8" ht="19.95" customHeight="1" x14ac:dyDescent="0.3">
      <c r="B518" s="85">
        <v>1</v>
      </c>
      <c r="C518" s="86">
        <f t="shared" ref="C518:C529" si="52">C21</f>
        <v>1</v>
      </c>
      <c r="D518" s="86">
        <f t="shared" ref="D518:D529" si="53">E21</f>
        <v>2</v>
      </c>
      <c r="E518" s="9">
        <f t="shared" ref="E518:E529" si="54">I6</f>
        <v>350</v>
      </c>
      <c r="F518" s="9">
        <f t="shared" ref="F518:F529" si="55">L6</f>
        <v>12</v>
      </c>
      <c r="G518" s="97">
        <f>B422</f>
        <v>6522.6481158294455</v>
      </c>
      <c r="H518" s="84" t="str">
        <f>C425</f>
        <v>BARRA A TRACCIÓN (+)</v>
      </c>
    </row>
    <row r="519" spans="2:8" ht="19.95" customHeight="1" x14ac:dyDescent="0.3">
      <c r="B519" s="25">
        <v>2</v>
      </c>
      <c r="C519" s="86">
        <f t="shared" si="52"/>
        <v>2</v>
      </c>
      <c r="D519" s="86">
        <f t="shared" si="53"/>
        <v>3</v>
      </c>
      <c r="E519" s="9">
        <f t="shared" si="54"/>
        <v>350</v>
      </c>
      <c r="F519" s="9">
        <f t="shared" si="55"/>
        <v>12</v>
      </c>
      <c r="G519" s="97">
        <f>B430</f>
        <v>5345.5689625258337</v>
      </c>
      <c r="H519" s="84" t="str">
        <f>C433</f>
        <v>BARRA A TRACCIÓN (+)</v>
      </c>
    </row>
    <row r="520" spans="2:8" ht="19.95" customHeight="1" x14ac:dyDescent="0.3">
      <c r="B520" s="26">
        <v>3</v>
      </c>
      <c r="C520" s="86">
        <f t="shared" si="52"/>
        <v>4</v>
      </c>
      <c r="D520" s="86">
        <f t="shared" si="53"/>
        <v>5</v>
      </c>
      <c r="E520" s="9">
        <f t="shared" si="54"/>
        <v>350</v>
      </c>
      <c r="F520" s="9">
        <f t="shared" si="55"/>
        <v>12</v>
      </c>
      <c r="G520" s="97">
        <f>B438</f>
        <v>-6518.8453060698448</v>
      </c>
      <c r="H520" s="84" t="str">
        <f>C441</f>
        <v>BARRA A COMPRESIÓN (-)</v>
      </c>
    </row>
    <row r="521" spans="2:8" ht="19.95" customHeight="1" x14ac:dyDescent="0.3">
      <c r="B521" s="43">
        <v>4</v>
      </c>
      <c r="C521" s="86">
        <f t="shared" si="52"/>
        <v>5</v>
      </c>
      <c r="D521" s="86">
        <f t="shared" si="53"/>
        <v>6</v>
      </c>
      <c r="E521" s="9">
        <f t="shared" si="54"/>
        <v>350</v>
      </c>
      <c r="F521" s="9">
        <f t="shared" si="55"/>
        <v>12</v>
      </c>
      <c r="G521" s="97">
        <f>B446</f>
        <v>-5112.9376155748823</v>
      </c>
      <c r="H521" s="84" t="str">
        <f>C449</f>
        <v>BARRA A COMPRESIÓN (-)</v>
      </c>
    </row>
    <row r="522" spans="2:8" ht="19.95" customHeight="1" x14ac:dyDescent="0.3">
      <c r="B522" s="44">
        <v>5</v>
      </c>
      <c r="C522" s="86">
        <f t="shared" si="52"/>
        <v>1</v>
      </c>
      <c r="D522" s="86">
        <f t="shared" si="53"/>
        <v>4</v>
      </c>
      <c r="E522" s="9">
        <f t="shared" si="54"/>
        <v>280</v>
      </c>
      <c r="F522" s="9">
        <f t="shared" si="55"/>
        <v>12</v>
      </c>
      <c r="G522" s="97">
        <f>B454</f>
        <v>-2815.0762448558803</v>
      </c>
      <c r="H522" s="84" t="str">
        <f>C457</f>
        <v>BARRA A COMPRESIÓN (-)</v>
      </c>
    </row>
    <row r="523" spans="2:8" ht="19.95" customHeight="1" x14ac:dyDescent="0.3">
      <c r="B523" s="51">
        <v>6</v>
      </c>
      <c r="C523" s="86">
        <f t="shared" si="52"/>
        <v>2</v>
      </c>
      <c r="D523" s="86">
        <f t="shared" si="53"/>
        <v>5</v>
      </c>
      <c r="E523" s="9">
        <f t="shared" si="54"/>
        <v>280</v>
      </c>
      <c r="F523" s="9">
        <f t="shared" si="55"/>
        <v>12</v>
      </c>
      <c r="G523" s="97">
        <f>B462</f>
        <v>1428.1841876453532</v>
      </c>
      <c r="H523" s="84" t="str">
        <f>C465</f>
        <v>BARRA A TRACCIÓN (+)</v>
      </c>
    </row>
    <row r="524" spans="2:8" ht="19.95" customHeight="1" x14ac:dyDescent="0.3">
      <c r="B524" s="52">
        <v>7</v>
      </c>
      <c r="C524" s="86">
        <f t="shared" si="52"/>
        <v>3</v>
      </c>
      <c r="D524" s="86">
        <f t="shared" si="53"/>
        <v>6</v>
      </c>
      <c r="E524" s="9">
        <f t="shared" si="54"/>
        <v>280</v>
      </c>
      <c r="F524" s="9">
        <f t="shared" si="55"/>
        <v>12</v>
      </c>
      <c r="G524" s="97">
        <f>B470</f>
        <v>-3923.5448299793361</v>
      </c>
      <c r="H524" s="84" t="str">
        <f>C473</f>
        <v>BARRA A COMPRESIÓN (-)</v>
      </c>
    </row>
    <row r="525" spans="2:8" ht="19.95" customHeight="1" x14ac:dyDescent="0.3">
      <c r="B525" s="59">
        <v>8</v>
      </c>
      <c r="C525" s="86">
        <f t="shared" si="52"/>
        <v>1</v>
      </c>
      <c r="D525" s="86">
        <f t="shared" si="53"/>
        <v>5</v>
      </c>
      <c r="E525" s="9">
        <f t="shared" si="54"/>
        <v>448.2186966202994</v>
      </c>
      <c r="F525" s="9">
        <f t="shared" si="55"/>
        <v>12</v>
      </c>
      <c r="G525" s="97">
        <f>B478</f>
        <v>-5045.2281156432718</v>
      </c>
      <c r="H525" s="84" t="str">
        <f>C481</f>
        <v>BARRA A COMPRESIÓN (-)</v>
      </c>
    </row>
    <row r="526" spans="2:8" ht="19.95" customHeight="1" x14ac:dyDescent="0.3">
      <c r="B526" s="60">
        <v>9</v>
      </c>
      <c r="C526" s="86">
        <f t="shared" si="52"/>
        <v>4</v>
      </c>
      <c r="D526" s="86">
        <f t="shared" si="53"/>
        <v>2</v>
      </c>
      <c r="E526" s="9">
        <f t="shared" si="54"/>
        <v>448.2186966202994</v>
      </c>
      <c r="F526" s="9">
        <f t="shared" si="55"/>
        <v>12</v>
      </c>
      <c r="G526" s="97">
        <f>B486</f>
        <v>4506.32073341453</v>
      </c>
      <c r="H526" s="84" t="str">
        <f>C489</f>
        <v>BARRA A TRACCIÓN (+)</v>
      </c>
    </row>
    <row r="527" spans="2:8" ht="19.95" customHeight="1" x14ac:dyDescent="0.3">
      <c r="B527" s="67">
        <v>10</v>
      </c>
      <c r="C527" s="86">
        <f t="shared" si="52"/>
        <v>2</v>
      </c>
      <c r="D527" s="86">
        <f t="shared" si="53"/>
        <v>6</v>
      </c>
      <c r="E527" s="9">
        <f t="shared" si="54"/>
        <v>448.2186966202994</v>
      </c>
      <c r="F527" s="9">
        <f t="shared" si="55"/>
        <v>12</v>
      </c>
      <c r="G527" s="97">
        <f>B494</f>
        <v>6013.7175445935854</v>
      </c>
      <c r="H527" s="84" t="str">
        <f>C497</f>
        <v>BARRA A TRACCIÓN (+)</v>
      </c>
    </row>
    <row r="528" spans="2:8" ht="19.95" customHeight="1" x14ac:dyDescent="0.3">
      <c r="B528" s="68">
        <v>11</v>
      </c>
      <c r="C528" s="86">
        <f t="shared" si="52"/>
        <v>5</v>
      </c>
      <c r="D528" s="86">
        <f t="shared" si="53"/>
        <v>3</v>
      </c>
      <c r="E528" s="9">
        <f t="shared" si="54"/>
        <v>448.2186966202994</v>
      </c>
      <c r="F528" s="9">
        <f t="shared" si="55"/>
        <v>12</v>
      </c>
      <c r="G528" s="97">
        <f>B502</f>
        <v>-6845.6684373635835</v>
      </c>
      <c r="H528" s="84" t="str">
        <f>C505</f>
        <v>BARRA A COMPRESIÓN (-)</v>
      </c>
    </row>
    <row r="529" spans="2:8" ht="19.95" customHeight="1" x14ac:dyDescent="0.3">
      <c r="B529" s="10">
        <v>12</v>
      </c>
      <c r="C529" s="86">
        <f t="shared" si="52"/>
        <v>1</v>
      </c>
      <c r="D529" s="86">
        <f t="shared" si="53"/>
        <v>6</v>
      </c>
      <c r="E529" s="9">
        <f t="shared" si="54"/>
        <v>753.92307299883055</v>
      </c>
      <c r="F529" s="9">
        <f t="shared" si="55"/>
        <v>12</v>
      </c>
      <c r="G529" s="97">
        <f>B510</f>
        <v>449.13691457759739</v>
      </c>
      <c r="H529" s="84" t="str">
        <f>C513</f>
        <v>BARRA A TRACCIÓN (+)</v>
      </c>
    </row>
  </sheetData>
  <mergeCells count="153">
    <mergeCell ref="C371:D371"/>
    <mergeCell ref="P374:U374"/>
    <mergeCell ref="C513:F513"/>
    <mergeCell ref="P434:U434"/>
    <mergeCell ref="P316:U316"/>
    <mergeCell ref="P381:U381"/>
    <mergeCell ref="P390:U390"/>
    <mergeCell ref="C457:F457"/>
    <mergeCell ref="C497:F497"/>
    <mergeCell ref="P437:U437"/>
    <mergeCell ref="P438:U438"/>
    <mergeCell ref="C473:F473"/>
    <mergeCell ref="C481:F481"/>
    <mergeCell ref="C465:F465"/>
    <mergeCell ref="P436:U436"/>
    <mergeCell ref="P358:U358"/>
    <mergeCell ref="P424:U424"/>
    <mergeCell ref="P394:U394"/>
    <mergeCell ref="P369:U369"/>
    <mergeCell ref="P343:U343"/>
    <mergeCell ref="P396:U396"/>
    <mergeCell ref="P348:U348"/>
    <mergeCell ref="C330:D330"/>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417:U417"/>
    <mergeCell ref="I4:I5"/>
    <mergeCell ref="P303:U303"/>
    <mergeCell ref="B1:N1"/>
    <mergeCell ref="P305:U305"/>
    <mergeCell ref="C19:D19"/>
    <mergeCell ref="P311:U311"/>
    <mergeCell ref="P439:U439"/>
    <mergeCell ref="P320:U320"/>
    <mergeCell ref="P433:U433"/>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37:U337"/>
    <mergeCell ref="P312:U312"/>
    <mergeCell ref="P321:U321"/>
    <mergeCell ref="P392:U392"/>
    <mergeCell ref="P386:U386"/>
    <mergeCell ref="P339:U339"/>
    <mergeCell ref="P307:U307"/>
    <mergeCell ref="K4:K5"/>
    <mergeCell ref="P351:U351"/>
    <mergeCell ref="P326:U326"/>
    <mergeCell ref="P324:U324"/>
    <mergeCell ref="P333:U333"/>
    <mergeCell ref="P388:U388"/>
    <mergeCell ref="P431:U431"/>
    <mergeCell ref="P327:U327"/>
    <mergeCell ref="P440:U440"/>
    <mergeCell ref="P336:U336"/>
    <mergeCell ref="B516:H516"/>
    <mergeCell ref="C449:F449"/>
    <mergeCell ref="P376:U376"/>
    <mergeCell ref="P323:U323"/>
    <mergeCell ref="P354:U354"/>
    <mergeCell ref="P363:U363"/>
    <mergeCell ref="C505:F505"/>
    <mergeCell ref="P426:U426"/>
    <mergeCell ref="P347:U347"/>
    <mergeCell ref="P378:U378"/>
    <mergeCell ref="P418:U418"/>
    <mergeCell ref="C441:F441"/>
    <mergeCell ref="P365:U365"/>
    <mergeCell ref="P367:U367"/>
    <mergeCell ref="P430:U430"/>
    <mergeCell ref="P377:U377"/>
    <mergeCell ref="P361:U361"/>
    <mergeCell ref="P429:U429"/>
    <mergeCell ref="P423:U423"/>
    <mergeCell ref="P425:U425"/>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G4:G5"/>
    <mergeCell ref="E19:F19"/>
    <mergeCell ref="B3:D3"/>
    <mergeCell ref="P393:U393"/>
    <mergeCell ref="M4:M5"/>
    <mergeCell ref="P370:U370"/>
    <mergeCell ref="P304:U304"/>
    <mergeCell ref="C359:K359"/>
    <mergeCell ref="P350:U350"/>
    <mergeCell ref="P325:U325"/>
    <mergeCell ref="P352:U352"/>
    <mergeCell ref="P375:U375"/>
    <mergeCell ref="P313:U313"/>
    <mergeCell ref="P317:U317"/>
    <mergeCell ref="P310:U310"/>
    <mergeCell ref="P366:U366"/>
    <mergeCell ref="P340:U340"/>
    <mergeCell ref="B19:B20"/>
    <mergeCell ref="P308:U308"/>
    <mergeCell ref="P371:U371"/>
    <mergeCell ref="P331:U331"/>
    <mergeCell ref="H4:H5"/>
    <mergeCell ref="P360:U360"/>
    <mergeCell ref="P391:U391"/>
    <mergeCell ref="P328:U328"/>
    <mergeCell ref="P384:U384"/>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710</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HYPERLINK("#'AUTOMATIZADA_67'!A1",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4</v>
      </c>
      <c r="C6" s="173"/>
      <c r="D6" s="206">
        <f>COUNT(C28:C42)</f>
        <v>6</v>
      </c>
      <c r="E6" s="173"/>
      <c r="F6" s="206">
        <f>SUM(F14:G23)</f>
        <v>4</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0</v>
      </c>
      <c r="AB6" s="20">
        <f>IF(H28="","",H28)</f>
        <v>350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350</v>
      </c>
      <c r="AC8" t="s">
        <v>316</v>
      </c>
    </row>
    <row r="9" spans="2:29" x14ac:dyDescent="0.3">
      <c r="AA9" s="20">
        <f>IF(G29="","",G29)</f>
        <v>350</v>
      </c>
      <c r="AB9" s="20">
        <f>IF(H29="","",H29)</f>
        <v>350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350</v>
      </c>
      <c r="AB11" s="20">
        <f>IF(F30="","",F30)</f>
        <v>350</v>
      </c>
      <c r="AC11" t="s">
        <v>324</v>
      </c>
    </row>
    <row r="12" spans="2:29" x14ac:dyDescent="0.3">
      <c r="AA12" s="20">
        <f>IF(G30="","",G30)</f>
        <v>350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711</v>
      </c>
      <c r="K14" s="172"/>
      <c r="L14" s="172"/>
      <c r="M14" s="172"/>
      <c r="N14" s="172"/>
      <c r="O14" s="173"/>
      <c r="AA14" s="20">
        <f>IF(E31="","",E31)</f>
        <v>350</v>
      </c>
      <c r="AB14" s="20">
        <f>IF(F31="","",F31)</f>
        <v>0</v>
      </c>
      <c r="AC14" t="s">
        <v>328</v>
      </c>
    </row>
    <row r="15" spans="2:29" ht="19.05" customHeight="1" x14ac:dyDescent="0.3">
      <c r="B15" s="89">
        <v>2</v>
      </c>
      <c r="C15" s="21">
        <v>0</v>
      </c>
      <c r="D15" s="21">
        <v>350</v>
      </c>
      <c r="E15" s="21" t="s">
        <v>332</v>
      </c>
      <c r="F15" s="88">
        <f t="shared" si="0"/>
        <v>1</v>
      </c>
      <c r="G15" s="88">
        <f t="shared" si="1"/>
        <v>1</v>
      </c>
      <c r="H15" s="22">
        <v>0</v>
      </c>
      <c r="I15" s="22">
        <v>0</v>
      </c>
      <c r="J15" s="205" t="s">
        <v>712</v>
      </c>
      <c r="K15" s="172"/>
      <c r="L15" s="172"/>
      <c r="M15" s="172"/>
      <c r="N15" s="172"/>
      <c r="O15" s="173"/>
      <c r="AA15" s="20">
        <f>IF(G31="","",G31)</f>
        <v>0</v>
      </c>
      <c r="AB15" s="20">
        <f>IF(H31="","",H31)</f>
        <v>0</v>
      </c>
      <c r="AC15" t="s">
        <v>331</v>
      </c>
    </row>
    <row r="16" spans="2:29" ht="19.05" customHeight="1" x14ac:dyDescent="0.3">
      <c r="B16" s="89">
        <v>3</v>
      </c>
      <c r="C16" s="21">
        <v>350</v>
      </c>
      <c r="D16" s="21">
        <v>350</v>
      </c>
      <c r="E16" s="21" t="s">
        <v>326</v>
      </c>
      <c r="F16" s="88">
        <f t="shared" si="0"/>
        <v>0</v>
      </c>
      <c r="G16" s="88">
        <f t="shared" si="1"/>
        <v>0</v>
      </c>
      <c r="H16" s="22">
        <v>0</v>
      </c>
      <c r="I16" s="22">
        <v>-5000</v>
      </c>
      <c r="J16" s="205" t="s">
        <v>713</v>
      </c>
      <c r="K16" s="172"/>
      <c r="L16" s="172"/>
      <c r="M16" s="172"/>
      <c r="N16" s="172"/>
      <c r="O16" s="173"/>
    </row>
    <row r="17" spans="2:29" ht="19.05" customHeight="1" x14ac:dyDescent="0.3">
      <c r="B17" s="89">
        <v>4</v>
      </c>
      <c r="C17" s="21">
        <v>350</v>
      </c>
      <c r="D17" s="21">
        <v>0</v>
      </c>
      <c r="E17" s="21" t="s">
        <v>326</v>
      </c>
      <c r="F17" s="88">
        <f t="shared" si="0"/>
        <v>0</v>
      </c>
      <c r="G17" s="88">
        <f t="shared" si="1"/>
        <v>0</v>
      </c>
      <c r="H17" s="22">
        <v>2500</v>
      </c>
      <c r="I17" s="22">
        <v>-5000</v>
      </c>
      <c r="J17" s="205" t="s">
        <v>714</v>
      </c>
      <c r="K17" s="172"/>
      <c r="L17" s="172"/>
      <c r="M17" s="172"/>
      <c r="N17" s="172"/>
      <c r="O17" s="173"/>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205"/>
      <c r="K18" s="172"/>
      <c r="L18" s="172"/>
      <c r="M18" s="172"/>
      <c r="N18" s="172"/>
      <c r="O18" s="173"/>
      <c r="AA18" s="20">
        <f>IF(G32="","",G32)</f>
        <v>350</v>
      </c>
      <c r="AB18" s="20">
        <f>IF(H32="","",H32)</f>
        <v>350</v>
      </c>
      <c r="AC18" t="s">
        <v>335</v>
      </c>
    </row>
    <row r="19" spans="2:29" ht="19.05" customHeight="1" x14ac:dyDescent="0.3">
      <c r="B19" s="89">
        <v>6</v>
      </c>
      <c r="C19" s="21"/>
      <c r="D19" s="21"/>
      <c r="E19" s="21"/>
      <c r="F19" s="88" t="str">
        <f t="shared" si="0"/>
        <v/>
      </c>
      <c r="G19" s="88" t="str">
        <f t="shared" si="1"/>
        <v/>
      </c>
      <c r="H19" s="22"/>
      <c r="I19" s="22"/>
      <c r="J19" s="205"/>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0</v>
      </c>
      <c r="AB20" s="20">
        <f>IF(F33="","",F33)</f>
        <v>350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350</v>
      </c>
      <c r="AB21" s="20">
        <f>IF(H33="","",H33)</f>
        <v>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t="str">
        <f>IF(E34="","",E34)</f>
        <v/>
      </c>
      <c r="AB23" s="20" t="str">
        <f>IF(F34="","",F34)</f>
        <v/>
      </c>
      <c r="AC23" t="s">
        <v>338</v>
      </c>
    </row>
    <row r="24" spans="2:29" x14ac:dyDescent="0.3">
      <c r="AA24" s="20" t="str">
        <f>IF(G34="","",G34)</f>
        <v/>
      </c>
      <c r="AB24" s="20" t="str">
        <f>IF(H34="","",H34)</f>
        <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t="str">
        <f>IF(E35="","",E35)</f>
        <v/>
      </c>
      <c r="AB26" s="20" t="str">
        <f>IF(F35="","",F35)</f>
        <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350</v>
      </c>
      <c r="G29" s="5">
        <f t="shared" si="4"/>
        <v>350</v>
      </c>
      <c r="H29" s="5">
        <f t="shared" si="5"/>
        <v>350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350</v>
      </c>
      <c r="G30" s="5">
        <f t="shared" si="4"/>
        <v>350</v>
      </c>
      <c r="H30" s="5">
        <f t="shared" si="5"/>
        <v>0</v>
      </c>
      <c r="I30" s="9">
        <f t="shared" si="6"/>
        <v>0</v>
      </c>
      <c r="J30" s="9">
        <f t="shared" si="7"/>
        <v>-350</v>
      </c>
      <c r="K30" s="9">
        <f t="shared" si="8"/>
        <v>350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350</v>
      </c>
      <c r="F31" s="5">
        <f t="shared" si="3"/>
        <v>0</v>
      </c>
      <c r="G31" s="5">
        <f t="shared" si="4"/>
        <v>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350</v>
      </c>
      <c r="H32" s="5">
        <f t="shared" si="5"/>
        <v>350</v>
      </c>
      <c r="I32" s="9">
        <f t="shared" si="6"/>
        <v>350</v>
      </c>
      <c r="J32" s="9">
        <f t="shared" si="7"/>
        <v>350</v>
      </c>
      <c r="K32" s="9">
        <f t="shared" si="8"/>
        <v>494.97474683058329</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2</v>
      </c>
      <c r="D33" s="23">
        <v>4</v>
      </c>
      <c r="E33" s="5">
        <f t="shared" si="2"/>
        <v>0</v>
      </c>
      <c r="F33" s="5">
        <f t="shared" si="3"/>
        <v>350</v>
      </c>
      <c r="G33" s="5">
        <f t="shared" si="4"/>
        <v>350</v>
      </c>
      <c r="H33" s="5">
        <f t="shared" si="5"/>
        <v>0</v>
      </c>
      <c r="I33" s="9">
        <f t="shared" si="6"/>
        <v>350</v>
      </c>
      <c r="J33" s="9">
        <f t="shared" si="7"/>
        <v>-350</v>
      </c>
      <c r="K33" s="9">
        <f t="shared" si="8"/>
        <v>494.97474683058329</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700-000000000000}">
      <formula1>"Fijo (articulado),Rodillo Y (despl. X libre),Rodillo X (despl. Y libre),Libre (0 reac.)"</formula1>
    </dataValidation>
  </dataValidations>
  <pageMargins left="0.75" right="0.75" top="1" bottom="1" header="0.5" footer="0.5"/>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4" t="s">
        <v>715</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HYPERLINK("#'GRAFICA_67'!A1",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GRAFICA_67!E28</f>
        <v>0</v>
      </c>
      <c r="D6" s="22">
        <f>GRAFICA_67!F28</f>
        <v>0</v>
      </c>
      <c r="E6" s="22">
        <f>GRAFICA_67!G28</f>
        <v>0</v>
      </c>
      <c r="F6" s="22">
        <f>GRAFICA_67!H28</f>
        <v>350</v>
      </c>
      <c r="G6" s="9">
        <f t="shared" ref="G6:H11" si="0">E6-C6</f>
        <v>0</v>
      </c>
      <c r="H6" s="9">
        <f t="shared" si="0"/>
        <v>350</v>
      </c>
      <c r="I6" s="9">
        <f t="shared" ref="I6:I11" si="1">SQRT(G6*G6+H6*H6)</f>
        <v>350</v>
      </c>
      <c r="J6" s="92">
        <f t="shared" ref="J6:J11" si="2">G6/I6</f>
        <v>0</v>
      </c>
      <c r="K6" s="92">
        <f t="shared" ref="K6:K11" si="3">H6/I6</f>
        <v>1</v>
      </c>
      <c r="L6" s="22">
        <f>GRAFICA_67!N28</f>
        <v>12</v>
      </c>
      <c r="M6" s="22">
        <f>GRAFICA_67!O28</f>
        <v>2100000</v>
      </c>
      <c r="N6" s="6">
        <f t="shared" ref="N6:N11" si="4">L6*M6/I6</f>
        <v>72000</v>
      </c>
    </row>
    <row r="7" spans="2:14" ht="19.05" customHeight="1" x14ac:dyDescent="0.3">
      <c r="B7" s="25">
        <v>2</v>
      </c>
      <c r="C7" s="22">
        <f>GRAFICA_67!E29</f>
        <v>0</v>
      </c>
      <c r="D7" s="22">
        <f>GRAFICA_67!F29</f>
        <v>350</v>
      </c>
      <c r="E7" s="22">
        <f>GRAFICA_67!G29</f>
        <v>350</v>
      </c>
      <c r="F7" s="22">
        <f>GRAFICA_67!H29</f>
        <v>350</v>
      </c>
      <c r="G7" s="9">
        <f t="shared" si="0"/>
        <v>350</v>
      </c>
      <c r="H7" s="9">
        <f t="shared" si="0"/>
        <v>0</v>
      </c>
      <c r="I7" s="9">
        <f t="shared" si="1"/>
        <v>350</v>
      </c>
      <c r="J7" s="92">
        <f t="shared" si="2"/>
        <v>1</v>
      </c>
      <c r="K7" s="92">
        <f t="shared" si="3"/>
        <v>0</v>
      </c>
      <c r="L7" s="22">
        <f>GRAFICA_67!N29</f>
        <v>12</v>
      </c>
      <c r="M7" s="22">
        <f>GRAFICA_67!O29</f>
        <v>2100000</v>
      </c>
      <c r="N7" s="6">
        <f t="shared" si="4"/>
        <v>72000</v>
      </c>
    </row>
    <row r="8" spans="2:14" ht="19.05" customHeight="1" x14ac:dyDescent="0.3">
      <c r="B8" s="26">
        <v>3</v>
      </c>
      <c r="C8" s="22">
        <f>GRAFICA_67!E30</f>
        <v>350</v>
      </c>
      <c r="D8" s="22">
        <f>GRAFICA_67!F30</f>
        <v>350</v>
      </c>
      <c r="E8" s="22">
        <f>GRAFICA_67!G30</f>
        <v>350</v>
      </c>
      <c r="F8" s="22">
        <f>GRAFICA_67!H30</f>
        <v>0</v>
      </c>
      <c r="G8" s="9">
        <f t="shared" si="0"/>
        <v>0</v>
      </c>
      <c r="H8" s="9">
        <f t="shared" si="0"/>
        <v>-350</v>
      </c>
      <c r="I8" s="9">
        <f t="shared" si="1"/>
        <v>350</v>
      </c>
      <c r="J8" s="92">
        <f t="shared" si="2"/>
        <v>0</v>
      </c>
      <c r="K8" s="92">
        <f t="shared" si="3"/>
        <v>-1</v>
      </c>
      <c r="L8" s="22">
        <f>GRAFICA_67!N30</f>
        <v>12</v>
      </c>
      <c r="M8" s="22">
        <f>GRAFICA_67!O30</f>
        <v>2100000</v>
      </c>
      <c r="N8" s="6">
        <f t="shared" si="4"/>
        <v>72000</v>
      </c>
    </row>
    <row r="9" spans="2:14" ht="19.05" customHeight="1" x14ac:dyDescent="0.3">
      <c r="B9" s="43">
        <v>4</v>
      </c>
      <c r="C9" s="22">
        <f>GRAFICA_67!E31</f>
        <v>350</v>
      </c>
      <c r="D9" s="22">
        <f>GRAFICA_67!F31</f>
        <v>0</v>
      </c>
      <c r="E9" s="22">
        <f>GRAFICA_67!G31</f>
        <v>0</v>
      </c>
      <c r="F9" s="22">
        <f>GRAFICA_67!H31</f>
        <v>0</v>
      </c>
      <c r="G9" s="9">
        <f t="shared" si="0"/>
        <v>-350</v>
      </c>
      <c r="H9" s="9">
        <f t="shared" si="0"/>
        <v>0</v>
      </c>
      <c r="I9" s="9">
        <f t="shared" si="1"/>
        <v>350</v>
      </c>
      <c r="J9" s="92">
        <f t="shared" si="2"/>
        <v>-1</v>
      </c>
      <c r="K9" s="92">
        <f t="shared" si="3"/>
        <v>0</v>
      </c>
      <c r="L9" s="22">
        <f>GRAFICA_67!N31</f>
        <v>12</v>
      </c>
      <c r="M9" s="22">
        <f>GRAFICA_67!O31</f>
        <v>2100000</v>
      </c>
      <c r="N9" s="6">
        <f t="shared" si="4"/>
        <v>72000</v>
      </c>
    </row>
    <row r="10" spans="2:14" ht="19.05" customHeight="1" x14ac:dyDescent="0.3">
      <c r="B10" s="44">
        <v>5</v>
      </c>
      <c r="C10" s="22">
        <f>GRAFICA_67!E32</f>
        <v>0</v>
      </c>
      <c r="D10" s="22">
        <f>GRAFICA_67!F32</f>
        <v>0</v>
      </c>
      <c r="E10" s="22">
        <f>GRAFICA_67!G32</f>
        <v>350</v>
      </c>
      <c r="F10" s="22">
        <f>GRAFICA_67!H32</f>
        <v>350</v>
      </c>
      <c r="G10" s="9">
        <f t="shared" si="0"/>
        <v>350</v>
      </c>
      <c r="H10" s="9">
        <f t="shared" si="0"/>
        <v>350</v>
      </c>
      <c r="I10" s="9">
        <f t="shared" si="1"/>
        <v>494.97474683058329</v>
      </c>
      <c r="J10" s="92">
        <f t="shared" si="2"/>
        <v>0.70710678118654746</v>
      </c>
      <c r="K10" s="92">
        <f t="shared" si="3"/>
        <v>0.70710678118654746</v>
      </c>
      <c r="L10" s="22">
        <f>GRAFICA_67!N32</f>
        <v>12</v>
      </c>
      <c r="M10" s="22">
        <f>GRAFICA_67!O32</f>
        <v>2100000</v>
      </c>
      <c r="N10" s="6">
        <f t="shared" si="4"/>
        <v>50911.688245431418</v>
      </c>
    </row>
    <row r="11" spans="2:14" ht="19.05" customHeight="1" x14ac:dyDescent="0.3">
      <c r="B11" s="51">
        <v>6</v>
      </c>
      <c r="C11" s="22">
        <f>GRAFICA_67!E33</f>
        <v>0</v>
      </c>
      <c r="D11" s="22">
        <f>GRAFICA_67!F33</f>
        <v>350</v>
      </c>
      <c r="E11" s="22">
        <f>GRAFICA_67!G33</f>
        <v>350</v>
      </c>
      <c r="F11" s="22">
        <f>GRAFICA_67!H33</f>
        <v>0</v>
      </c>
      <c r="G11" s="9">
        <f t="shared" si="0"/>
        <v>350</v>
      </c>
      <c r="H11" s="9">
        <f t="shared" si="0"/>
        <v>-350</v>
      </c>
      <c r="I11" s="9">
        <f t="shared" si="1"/>
        <v>494.97474683058329</v>
      </c>
      <c r="J11" s="92">
        <f t="shared" si="2"/>
        <v>0.70710678118654746</v>
      </c>
      <c r="K11" s="92">
        <f t="shared" si="3"/>
        <v>-0.70710678118654746</v>
      </c>
      <c r="L11" s="22">
        <f>GRAFICA_67!N33</f>
        <v>12</v>
      </c>
      <c r="M11" s="22">
        <f>GRAFICA_67!O33</f>
        <v>2100000</v>
      </c>
      <c r="N11" s="6">
        <f t="shared" si="4"/>
        <v>50911.688245431418</v>
      </c>
    </row>
    <row r="13" spans="2:14" ht="18" customHeight="1" x14ac:dyDescent="0.3">
      <c r="B13" s="202" t="s">
        <v>145</v>
      </c>
      <c r="C13" s="202" t="s">
        <v>369</v>
      </c>
      <c r="D13" s="173"/>
      <c r="E13" s="202" t="s">
        <v>370</v>
      </c>
      <c r="F13" s="173"/>
    </row>
    <row r="14" spans="2:14" ht="18" customHeight="1" x14ac:dyDescent="0.3">
      <c r="B14" s="203"/>
      <c r="C14" s="81" t="s">
        <v>157</v>
      </c>
      <c r="D14" s="81" t="s">
        <v>158</v>
      </c>
      <c r="E14" s="81" t="s">
        <v>157</v>
      </c>
      <c r="F14" s="81" t="s">
        <v>158</v>
      </c>
    </row>
    <row r="15" spans="2:14" ht="19.05" customHeight="1" x14ac:dyDescent="0.3">
      <c r="B15" s="85">
        <v>1</v>
      </c>
      <c r="C15" s="23">
        <f>GRAFICA_67!C28</f>
        <v>1</v>
      </c>
      <c r="D15" s="23">
        <f>GRAFICA_67!C28</f>
        <v>1</v>
      </c>
      <c r="E15" s="23">
        <f>GRAFICA_67!D28</f>
        <v>2</v>
      </c>
      <c r="F15" s="23">
        <f>GRAFICA_67!D28</f>
        <v>2</v>
      </c>
    </row>
    <row r="16" spans="2:14" ht="19.05" customHeight="1" x14ac:dyDescent="0.3">
      <c r="B16" s="25">
        <v>2</v>
      </c>
      <c r="C16" s="23">
        <f>GRAFICA_67!C29</f>
        <v>2</v>
      </c>
      <c r="D16" s="23">
        <f>GRAFICA_67!C29</f>
        <v>2</v>
      </c>
      <c r="E16" s="23">
        <f>GRAFICA_67!D29</f>
        <v>3</v>
      </c>
      <c r="F16" s="23">
        <f>GRAFICA_67!D29</f>
        <v>3</v>
      </c>
    </row>
    <row r="17" spans="1:10" ht="19.05" customHeight="1" x14ac:dyDescent="0.3">
      <c r="B17" s="26">
        <v>3</v>
      </c>
      <c r="C17" s="23">
        <f>GRAFICA_67!C30</f>
        <v>3</v>
      </c>
      <c r="D17" s="23">
        <f>GRAFICA_67!C30</f>
        <v>3</v>
      </c>
      <c r="E17" s="23">
        <f>GRAFICA_67!D30</f>
        <v>4</v>
      </c>
      <c r="F17" s="23">
        <f>GRAFICA_67!D30</f>
        <v>4</v>
      </c>
    </row>
    <row r="18" spans="1:10" ht="19.05" customHeight="1" x14ac:dyDescent="0.3">
      <c r="B18" s="43">
        <v>4</v>
      </c>
      <c r="C18" s="23">
        <f>GRAFICA_67!C31</f>
        <v>4</v>
      </c>
      <c r="D18" s="23">
        <f>GRAFICA_67!C31</f>
        <v>4</v>
      </c>
      <c r="E18" s="23">
        <f>GRAFICA_67!D31</f>
        <v>1</v>
      </c>
      <c r="F18" s="23">
        <f>GRAFICA_67!D31</f>
        <v>1</v>
      </c>
    </row>
    <row r="19" spans="1:10" ht="19.05" customHeight="1" x14ac:dyDescent="0.3">
      <c r="B19" s="44">
        <v>5</v>
      </c>
      <c r="C19" s="23">
        <f>GRAFICA_67!C32</f>
        <v>1</v>
      </c>
      <c r="D19" s="23">
        <f>GRAFICA_67!C32</f>
        <v>1</v>
      </c>
      <c r="E19" s="23">
        <f>GRAFICA_67!D32</f>
        <v>3</v>
      </c>
      <c r="F19" s="23">
        <f>GRAFICA_67!D32</f>
        <v>3</v>
      </c>
    </row>
    <row r="20" spans="1:10" ht="19.05" customHeight="1" x14ac:dyDescent="0.3">
      <c r="B20" s="51">
        <v>6</v>
      </c>
      <c r="C20" s="23">
        <f>GRAFICA_67!C33</f>
        <v>2</v>
      </c>
      <c r="D20" s="23">
        <f>GRAFICA_67!C33</f>
        <v>2</v>
      </c>
      <c r="E20" s="23">
        <f>GRAFICA_67!D33</f>
        <v>4</v>
      </c>
      <c r="F20" s="23">
        <f>GRAFICA_67!D33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0</v>
      </c>
      <c r="C24" s="7">
        <f>J6*K6*N6</f>
        <v>0</v>
      </c>
      <c r="D24" s="7">
        <f>-B24</f>
        <v>0</v>
      </c>
      <c r="E24" s="7">
        <f>-C24</f>
        <v>0</v>
      </c>
      <c r="F24" s="27" t="str">
        <f>B23</f>
        <v>U1X</v>
      </c>
    </row>
    <row r="25" spans="1:10" ht="16.8" customHeight="1" x14ac:dyDescent="0.3">
      <c r="A25" s="28" t="s">
        <v>177</v>
      </c>
      <c r="B25" s="7">
        <f>C24</f>
        <v>0</v>
      </c>
      <c r="C25" s="7">
        <f>K6*K6*N6</f>
        <v>72000</v>
      </c>
      <c r="D25" s="7">
        <f>-B25</f>
        <v>0</v>
      </c>
      <c r="E25" s="7">
        <f>-C25</f>
        <v>-72000</v>
      </c>
      <c r="F25" s="27" t="str">
        <f>C23</f>
        <v>U1Y</v>
      </c>
    </row>
    <row r="26" spans="1:10" x14ac:dyDescent="0.3">
      <c r="B26" s="7">
        <f>D24</f>
        <v>0</v>
      </c>
      <c r="C26" s="7">
        <f>E24</f>
        <v>0</v>
      </c>
      <c r="D26" s="7">
        <f>B24</f>
        <v>0</v>
      </c>
      <c r="E26" s="7">
        <f>C24</f>
        <v>0</v>
      </c>
      <c r="F26" s="27" t="str">
        <f>D23</f>
        <v>U2X</v>
      </c>
    </row>
    <row r="27" spans="1:10" x14ac:dyDescent="0.3">
      <c r="B27" s="7">
        <f>D25</f>
        <v>0</v>
      </c>
      <c r="C27" s="7">
        <f>E25</f>
        <v>-72000</v>
      </c>
      <c r="D27" s="7">
        <f>B25</f>
        <v>0</v>
      </c>
      <c r="E27" s="7">
        <f>C25</f>
        <v>72000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0</v>
      </c>
      <c r="C30" s="8">
        <f t="shared" si="5"/>
        <v>0</v>
      </c>
      <c r="D30" s="8">
        <f t="shared" si="5"/>
        <v>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72000</v>
      </c>
      <c r="D31" s="8">
        <f t="shared" si="5"/>
        <v>0</v>
      </c>
      <c r="E31" s="8">
        <f t="shared" si="5"/>
        <v>-72000</v>
      </c>
      <c r="F31" s="9">
        <f t="shared" si="5"/>
        <v>0</v>
      </c>
      <c r="G31" s="9">
        <f t="shared" si="5"/>
        <v>0</v>
      </c>
      <c r="H31" s="9">
        <f t="shared" si="5"/>
        <v>0</v>
      </c>
      <c r="I31" s="9">
        <f t="shared" si="5"/>
        <v>0</v>
      </c>
      <c r="J31" s="27" t="s">
        <v>179</v>
      </c>
    </row>
    <row r="32" spans="1:10" ht="19.05" customHeight="1" x14ac:dyDescent="0.3">
      <c r="B32" s="8">
        <f t="shared" si="5"/>
        <v>0</v>
      </c>
      <c r="C32" s="8">
        <f t="shared" si="5"/>
        <v>0</v>
      </c>
      <c r="D32" s="8">
        <f t="shared" si="5"/>
        <v>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-72000</v>
      </c>
      <c r="D33" s="8">
        <f t="shared" si="5"/>
        <v>0</v>
      </c>
      <c r="E33" s="8">
        <f t="shared" si="5"/>
        <v>72000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72000</v>
      </c>
      <c r="C41" s="30">
        <f>J7*K7*N7</f>
        <v>0</v>
      </c>
      <c r="D41" s="30">
        <f>-B41</f>
        <v>-72000</v>
      </c>
      <c r="E41" s="30">
        <f>-C41</f>
        <v>0</v>
      </c>
      <c r="F41" s="29" t="str">
        <f>B40</f>
        <v>U2X</v>
      </c>
    </row>
    <row r="42" spans="1:10" ht="16.8" customHeight="1" x14ac:dyDescent="0.3">
      <c r="A42" s="28" t="s">
        <v>191</v>
      </c>
      <c r="B42" s="30">
        <f>C41</f>
        <v>0</v>
      </c>
      <c r="C42" s="30">
        <f>K7*K7*N7</f>
        <v>0</v>
      </c>
      <c r="D42" s="30">
        <f>-B42</f>
        <v>0</v>
      </c>
      <c r="E42" s="30">
        <f>-C42</f>
        <v>0</v>
      </c>
      <c r="F42" s="29" t="str">
        <f>C40</f>
        <v>U2Y</v>
      </c>
    </row>
    <row r="43" spans="1:10" x14ac:dyDescent="0.3">
      <c r="B43" s="30">
        <f>D41</f>
        <v>-72000</v>
      </c>
      <c r="C43" s="30">
        <f>E41</f>
        <v>0</v>
      </c>
      <c r="D43" s="30">
        <f>B41</f>
        <v>72000</v>
      </c>
      <c r="E43" s="30">
        <f>C41</f>
        <v>0</v>
      </c>
      <c r="F43" s="29" t="str">
        <f>D40</f>
        <v>U3X</v>
      </c>
    </row>
    <row r="44" spans="1:10" x14ac:dyDescent="0.3">
      <c r="B44" s="30">
        <f>D42</f>
        <v>0</v>
      </c>
      <c r="C44" s="30">
        <f>E42</f>
        <v>0</v>
      </c>
      <c r="D44" s="30">
        <f>B42</f>
        <v>0</v>
      </c>
      <c r="E44" s="30">
        <f>C42</f>
        <v>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72000</v>
      </c>
      <c r="E49" s="31">
        <f t="shared" si="6"/>
        <v>0</v>
      </c>
      <c r="F49" s="31">
        <f t="shared" si="6"/>
        <v>-72000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0</v>
      </c>
      <c r="F50" s="31">
        <f t="shared" si="6"/>
        <v>0</v>
      </c>
      <c r="G50" s="31">
        <f t="shared" si="6"/>
        <v>0</v>
      </c>
      <c r="H50" s="9">
        <f t="shared" si="6"/>
        <v>0</v>
      </c>
      <c r="I50" s="9">
        <f t="shared" si="6"/>
        <v>0</v>
      </c>
      <c r="J50" s="29" t="s">
        <v>181</v>
      </c>
    </row>
    <row r="51" spans="1:10" ht="19.05" customHeight="1" x14ac:dyDescent="0.3">
      <c r="B51" s="9">
        <f t="shared" si="6"/>
        <v>0</v>
      </c>
      <c r="C51" s="9">
        <f t="shared" si="6"/>
        <v>0</v>
      </c>
      <c r="D51" s="31">
        <f t="shared" si="6"/>
        <v>-72000</v>
      </c>
      <c r="E51" s="31">
        <f t="shared" si="6"/>
        <v>0</v>
      </c>
      <c r="F51" s="31">
        <f t="shared" si="6"/>
        <v>72000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0</v>
      </c>
      <c r="F52" s="31">
        <f t="shared" si="6"/>
        <v>0</v>
      </c>
      <c r="G52" s="31">
        <f t="shared" si="6"/>
        <v>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0</v>
      </c>
      <c r="C58" s="33">
        <f>J8*K8*N8</f>
        <v>0</v>
      </c>
      <c r="D58" s="33">
        <f>-B58</f>
        <v>0</v>
      </c>
      <c r="E58" s="33">
        <f>-C58</f>
        <v>0</v>
      </c>
      <c r="F58" s="32" t="str">
        <f>B57</f>
        <v>U3X</v>
      </c>
    </row>
    <row r="59" spans="1:10" ht="16.8" customHeight="1" x14ac:dyDescent="0.3">
      <c r="A59" s="28" t="s">
        <v>193</v>
      </c>
      <c r="B59" s="33">
        <f>C58</f>
        <v>0</v>
      </c>
      <c r="C59" s="33">
        <f>K8*K8*N8</f>
        <v>72000</v>
      </c>
      <c r="D59" s="33">
        <f>-B59</f>
        <v>0</v>
      </c>
      <c r="E59" s="33">
        <f>-C59</f>
        <v>-72000</v>
      </c>
      <c r="F59" s="32" t="str">
        <f>C57</f>
        <v>U3Y</v>
      </c>
    </row>
    <row r="60" spans="1:10" x14ac:dyDescent="0.3">
      <c r="B60" s="33">
        <f>D58</f>
        <v>0</v>
      </c>
      <c r="C60" s="33">
        <f>E58</f>
        <v>0</v>
      </c>
      <c r="D60" s="33">
        <f>B58</f>
        <v>0</v>
      </c>
      <c r="E60" s="33">
        <f>C58</f>
        <v>0</v>
      </c>
      <c r="F60" s="32" t="str">
        <f>D57</f>
        <v>U4X</v>
      </c>
    </row>
    <row r="61" spans="1:10" x14ac:dyDescent="0.3">
      <c r="B61" s="33">
        <f>D59</f>
        <v>0</v>
      </c>
      <c r="C61" s="33">
        <f>E59</f>
        <v>-72000</v>
      </c>
      <c r="D61" s="33">
        <f>B59</f>
        <v>0</v>
      </c>
      <c r="E61" s="33">
        <f>C59</f>
        <v>72000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0</v>
      </c>
      <c r="G68" s="34">
        <f t="shared" si="7"/>
        <v>0</v>
      </c>
      <c r="H68" s="34">
        <f t="shared" si="7"/>
        <v>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72000</v>
      </c>
      <c r="H69" s="34">
        <f t="shared" si="7"/>
        <v>0</v>
      </c>
      <c r="I69" s="34">
        <f t="shared" si="7"/>
        <v>-72000</v>
      </c>
      <c r="J69" s="32" t="s">
        <v>183</v>
      </c>
    </row>
    <row r="70" spans="1:10" ht="19.05" customHeight="1" x14ac:dyDescent="0.3">
      <c r="B70" s="9">
        <f t="shared" si="7"/>
        <v>0</v>
      </c>
      <c r="C70" s="9">
        <f t="shared" si="7"/>
        <v>0</v>
      </c>
      <c r="D70" s="9">
        <f t="shared" si="7"/>
        <v>0</v>
      </c>
      <c r="E70" s="9">
        <f t="shared" si="7"/>
        <v>0</v>
      </c>
      <c r="F70" s="34">
        <f t="shared" si="7"/>
        <v>0</v>
      </c>
      <c r="G70" s="34">
        <f t="shared" si="7"/>
        <v>0</v>
      </c>
      <c r="H70" s="34">
        <f t="shared" si="7"/>
        <v>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-72000</v>
      </c>
      <c r="H71" s="34">
        <f t="shared" si="7"/>
        <v>0</v>
      </c>
      <c r="I71" s="34">
        <f t="shared" si="7"/>
        <v>72000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72000</v>
      </c>
      <c r="C75" s="46">
        <f>J9*K9*N9</f>
        <v>0</v>
      </c>
      <c r="D75" s="46">
        <f>-B75</f>
        <v>-72000</v>
      </c>
      <c r="E75" s="46">
        <f>-C75</f>
        <v>0</v>
      </c>
      <c r="F75" s="45" t="str">
        <f>B74</f>
        <v>U4X</v>
      </c>
    </row>
    <row r="76" spans="1:10" ht="16.8" customHeight="1" x14ac:dyDescent="0.3">
      <c r="A76" s="28" t="s">
        <v>195</v>
      </c>
      <c r="B76" s="46">
        <f>C75</f>
        <v>0</v>
      </c>
      <c r="C76" s="46">
        <f>K9*K9*N9</f>
        <v>0</v>
      </c>
      <c r="D76" s="46">
        <f>-B76</f>
        <v>0</v>
      </c>
      <c r="E76" s="46">
        <f>-C76</f>
        <v>0</v>
      </c>
      <c r="F76" s="45" t="str">
        <f>C74</f>
        <v>U4Y</v>
      </c>
    </row>
    <row r="77" spans="1:10" x14ac:dyDescent="0.3">
      <c r="B77" s="46">
        <f>D75</f>
        <v>-72000</v>
      </c>
      <c r="C77" s="46">
        <f>E75</f>
        <v>0</v>
      </c>
      <c r="D77" s="46">
        <f>B75</f>
        <v>72000</v>
      </c>
      <c r="E77" s="46">
        <f>C75</f>
        <v>0</v>
      </c>
      <c r="F77" s="45" t="str">
        <f>D74</f>
        <v>U1X</v>
      </c>
    </row>
    <row r="78" spans="1:10" x14ac:dyDescent="0.3">
      <c r="B78" s="46">
        <f>D76</f>
        <v>0</v>
      </c>
      <c r="C78" s="46">
        <f>E76</f>
        <v>0</v>
      </c>
      <c r="D78" s="46">
        <f>B76</f>
        <v>0</v>
      </c>
      <c r="E78" s="46">
        <f>C76</f>
        <v>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72000</v>
      </c>
      <c r="C81" s="47">
        <f t="shared" si="8"/>
        <v>0</v>
      </c>
      <c r="D81" s="9">
        <f t="shared" si="8"/>
        <v>0</v>
      </c>
      <c r="E81" s="9">
        <f t="shared" si="8"/>
        <v>0</v>
      </c>
      <c r="F81" s="9">
        <f t="shared" si="8"/>
        <v>0</v>
      </c>
      <c r="G81" s="9">
        <f t="shared" si="8"/>
        <v>0</v>
      </c>
      <c r="H81" s="47">
        <f t="shared" si="8"/>
        <v>-72000</v>
      </c>
      <c r="I81" s="47">
        <f t="shared" si="8"/>
        <v>0</v>
      </c>
      <c r="J81" s="45" t="s">
        <v>178</v>
      </c>
    </row>
    <row r="82" spans="1:10" ht="19.05" customHeight="1" x14ac:dyDescent="0.3">
      <c r="B82" s="47">
        <f t="shared" si="8"/>
        <v>0</v>
      </c>
      <c r="C82" s="47">
        <f t="shared" si="8"/>
        <v>0</v>
      </c>
      <c r="D82" s="9">
        <f t="shared" si="8"/>
        <v>0</v>
      </c>
      <c r="E82" s="9">
        <f t="shared" si="8"/>
        <v>0</v>
      </c>
      <c r="F82" s="9">
        <f t="shared" si="8"/>
        <v>0</v>
      </c>
      <c r="G82" s="9">
        <f t="shared" si="8"/>
        <v>0</v>
      </c>
      <c r="H82" s="47">
        <f t="shared" si="8"/>
        <v>0</v>
      </c>
      <c r="I82" s="47">
        <f t="shared" si="8"/>
        <v>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-72000</v>
      </c>
      <c r="C87" s="47">
        <f t="shared" si="8"/>
        <v>0</v>
      </c>
      <c r="D87" s="9">
        <f t="shared" si="8"/>
        <v>0</v>
      </c>
      <c r="E87" s="9">
        <f t="shared" si="8"/>
        <v>0</v>
      </c>
      <c r="F87" s="9">
        <f t="shared" si="8"/>
        <v>0</v>
      </c>
      <c r="G87" s="9">
        <f t="shared" si="8"/>
        <v>0</v>
      </c>
      <c r="H87" s="47">
        <f t="shared" si="8"/>
        <v>72000</v>
      </c>
      <c r="I87" s="47">
        <f t="shared" si="8"/>
        <v>0</v>
      </c>
      <c r="J87" s="45" t="s">
        <v>184</v>
      </c>
    </row>
    <row r="88" spans="1:10" ht="19.05" customHeight="1" x14ac:dyDescent="0.3">
      <c r="B88" s="47">
        <f t="shared" si="8"/>
        <v>0</v>
      </c>
      <c r="C88" s="47">
        <f t="shared" si="8"/>
        <v>0</v>
      </c>
      <c r="D88" s="9">
        <f t="shared" si="8"/>
        <v>0</v>
      </c>
      <c r="E88" s="9">
        <f t="shared" si="8"/>
        <v>0</v>
      </c>
      <c r="F88" s="9">
        <f t="shared" si="8"/>
        <v>0</v>
      </c>
      <c r="G88" s="9">
        <f t="shared" si="8"/>
        <v>0</v>
      </c>
      <c r="H88" s="47">
        <f t="shared" si="8"/>
        <v>0</v>
      </c>
      <c r="I88" s="47">
        <f t="shared" si="8"/>
        <v>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25455.844122715702</v>
      </c>
      <c r="C92" s="49">
        <f>J10*K10*N10</f>
        <v>25455.844122715702</v>
      </c>
      <c r="D92" s="49">
        <f>-B92</f>
        <v>-25455.844122715702</v>
      </c>
      <c r="E92" s="49">
        <f>-C92</f>
        <v>-25455.844122715702</v>
      </c>
      <c r="F92" s="48" t="str">
        <f>B91</f>
        <v>U1X</v>
      </c>
    </row>
    <row r="93" spans="1:10" ht="16.8" customHeight="1" x14ac:dyDescent="0.3">
      <c r="A93" s="28" t="s">
        <v>197</v>
      </c>
      <c r="B93" s="49">
        <f>C92</f>
        <v>25455.844122715702</v>
      </c>
      <c r="C93" s="49">
        <f>K10*K10*N10</f>
        <v>25455.844122715702</v>
      </c>
      <c r="D93" s="49">
        <f>-B93</f>
        <v>-25455.844122715702</v>
      </c>
      <c r="E93" s="49">
        <f>-C93</f>
        <v>-25455.844122715702</v>
      </c>
      <c r="F93" s="48" t="str">
        <f>C91</f>
        <v>U1Y</v>
      </c>
    </row>
    <row r="94" spans="1:10" x14ac:dyDescent="0.3">
      <c r="B94" s="49">
        <f>D92</f>
        <v>-25455.844122715702</v>
      </c>
      <c r="C94" s="49">
        <f>E92</f>
        <v>-25455.844122715702</v>
      </c>
      <c r="D94" s="49">
        <f>B92</f>
        <v>25455.844122715702</v>
      </c>
      <c r="E94" s="49">
        <f>C92</f>
        <v>25455.844122715702</v>
      </c>
      <c r="F94" s="48" t="str">
        <f>D91</f>
        <v>U3X</v>
      </c>
    </row>
    <row r="95" spans="1:10" x14ac:dyDescent="0.3">
      <c r="B95" s="49">
        <f>D93</f>
        <v>-25455.844122715702</v>
      </c>
      <c r="C95" s="49">
        <f>E93</f>
        <v>-25455.844122715702</v>
      </c>
      <c r="D95" s="49">
        <f>B93</f>
        <v>25455.844122715702</v>
      </c>
      <c r="E95" s="49">
        <f>C93</f>
        <v>25455.844122715702</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25455.844122715702</v>
      </c>
      <c r="C98" s="50">
        <f t="shared" si="9"/>
        <v>25455.844122715702</v>
      </c>
      <c r="D98" s="9">
        <f t="shared" si="9"/>
        <v>0</v>
      </c>
      <c r="E98" s="9">
        <f t="shared" si="9"/>
        <v>0</v>
      </c>
      <c r="F98" s="50">
        <f t="shared" si="9"/>
        <v>-25455.844122715702</v>
      </c>
      <c r="G98" s="50">
        <f t="shared" si="9"/>
        <v>-25455.844122715702</v>
      </c>
      <c r="H98" s="9">
        <f t="shared" si="9"/>
        <v>0</v>
      </c>
      <c r="I98" s="9">
        <f t="shared" si="9"/>
        <v>0</v>
      </c>
      <c r="J98" s="48" t="s">
        <v>178</v>
      </c>
    </row>
    <row r="99" spans="1:10" ht="19.05" customHeight="1" x14ac:dyDescent="0.3">
      <c r="B99" s="50">
        <f t="shared" si="9"/>
        <v>25455.844122715702</v>
      </c>
      <c r="C99" s="50">
        <f t="shared" si="9"/>
        <v>25455.844122715702</v>
      </c>
      <c r="D99" s="9">
        <f t="shared" si="9"/>
        <v>0</v>
      </c>
      <c r="E99" s="9">
        <f t="shared" si="9"/>
        <v>0</v>
      </c>
      <c r="F99" s="50">
        <f t="shared" si="9"/>
        <v>-25455.844122715702</v>
      </c>
      <c r="G99" s="50">
        <f t="shared" si="9"/>
        <v>-25455.844122715702</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-25455.844122715702</v>
      </c>
      <c r="C102" s="50">
        <f t="shared" si="9"/>
        <v>-25455.844122715702</v>
      </c>
      <c r="D102" s="9">
        <f t="shared" si="9"/>
        <v>0</v>
      </c>
      <c r="E102" s="9">
        <f t="shared" si="9"/>
        <v>0</v>
      </c>
      <c r="F102" s="50">
        <f t="shared" si="9"/>
        <v>25455.844122715702</v>
      </c>
      <c r="G102" s="50">
        <f t="shared" si="9"/>
        <v>25455.844122715702</v>
      </c>
      <c r="H102" s="9">
        <f t="shared" si="9"/>
        <v>0</v>
      </c>
      <c r="I102" s="9">
        <f t="shared" si="9"/>
        <v>0</v>
      </c>
      <c r="J102" s="48" t="s">
        <v>182</v>
      </c>
    </row>
    <row r="103" spans="1:10" ht="19.05" customHeight="1" x14ac:dyDescent="0.3">
      <c r="B103" s="50">
        <f t="shared" si="9"/>
        <v>-25455.844122715702</v>
      </c>
      <c r="C103" s="50">
        <f t="shared" si="9"/>
        <v>-25455.844122715702</v>
      </c>
      <c r="D103" s="9">
        <f t="shared" si="9"/>
        <v>0</v>
      </c>
      <c r="E103" s="9">
        <f t="shared" si="9"/>
        <v>0</v>
      </c>
      <c r="F103" s="50">
        <f t="shared" si="9"/>
        <v>25455.844122715702</v>
      </c>
      <c r="G103" s="50">
        <f t="shared" si="9"/>
        <v>25455.844122715702</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25455.844122715702</v>
      </c>
      <c r="C109" s="54">
        <f>J11*K11*N11</f>
        <v>-25455.844122715702</v>
      </c>
      <c r="D109" s="54">
        <f>-B109</f>
        <v>-25455.844122715702</v>
      </c>
      <c r="E109" s="54">
        <f>-C109</f>
        <v>25455.844122715702</v>
      </c>
      <c r="F109" s="53" t="str">
        <f>B108</f>
        <v>U2X</v>
      </c>
    </row>
    <row r="110" spans="1:10" ht="16.8" customHeight="1" x14ac:dyDescent="0.3">
      <c r="A110" s="28" t="s">
        <v>199</v>
      </c>
      <c r="B110" s="54">
        <f>C109</f>
        <v>-25455.844122715702</v>
      </c>
      <c r="C110" s="54">
        <f>K11*K11*N11</f>
        <v>25455.844122715702</v>
      </c>
      <c r="D110" s="54">
        <f>-B110</f>
        <v>25455.844122715702</v>
      </c>
      <c r="E110" s="54">
        <f>-C110</f>
        <v>-25455.844122715702</v>
      </c>
      <c r="F110" s="53" t="str">
        <f>C108</f>
        <v>U2Y</v>
      </c>
    </row>
    <row r="111" spans="1:10" x14ac:dyDescent="0.3">
      <c r="B111" s="54">
        <f>D109</f>
        <v>-25455.844122715702</v>
      </c>
      <c r="C111" s="54">
        <f>E109</f>
        <v>25455.844122715702</v>
      </c>
      <c r="D111" s="54">
        <f>B109</f>
        <v>25455.844122715702</v>
      </c>
      <c r="E111" s="54">
        <f>C109</f>
        <v>-25455.844122715702</v>
      </c>
      <c r="F111" s="53" t="str">
        <f>D108</f>
        <v>U4X</v>
      </c>
    </row>
    <row r="112" spans="1:10" x14ac:dyDescent="0.3">
      <c r="B112" s="54">
        <f>D110</f>
        <v>25455.844122715702</v>
      </c>
      <c r="C112" s="54">
        <f>E110</f>
        <v>-25455.844122715702</v>
      </c>
      <c r="D112" s="54">
        <f>B110</f>
        <v>-25455.844122715702</v>
      </c>
      <c r="E112" s="54">
        <f>C110</f>
        <v>25455.844122715702</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25455.844122715702</v>
      </c>
      <c r="E117" s="55">
        <f t="shared" si="10"/>
        <v>-25455.844122715702</v>
      </c>
      <c r="F117" s="9">
        <f t="shared" si="10"/>
        <v>0</v>
      </c>
      <c r="G117" s="9">
        <f t="shared" si="10"/>
        <v>0</v>
      </c>
      <c r="H117" s="55">
        <f t="shared" si="10"/>
        <v>-25455.844122715702</v>
      </c>
      <c r="I117" s="55">
        <f t="shared" si="10"/>
        <v>25455.844122715702</v>
      </c>
      <c r="J117" s="53" t="s">
        <v>180</v>
      </c>
    </row>
    <row r="118" spans="1:10" ht="19.05" customHeight="1" x14ac:dyDescent="0.3">
      <c r="A118" s="28" t="s">
        <v>200</v>
      </c>
      <c r="B118" s="9">
        <f t="shared" si="10"/>
        <v>0</v>
      </c>
      <c r="C118" s="9">
        <f t="shared" si="10"/>
        <v>0</v>
      </c>
      <c r="D118" s="55">
        <f t="shared" si="10"/>
        <v>-25455.844122715702</v>
      </c>
      <c r="E118" s="55">
        <f t="shared" si="10"/>
        <v>25455.844122715702</v>
      </c>
      <c r="F118" s="9">
        <f t="shared" si="10"/>
        <v>0</v>
      </c>
      <c r="G118" s="9">
        <f t="shared" si="10"/>
        <v>0</v>
      </c>
      <c r="H118" s="55">
        <f t="shared" si="10"/>
        <v>25455.844122715702</v>
      </c>
      <c r="I118" s="55">
        <f t="shared" si="10"/>
        <v>-25455.844122715702</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-25455.844122715702</v>
      </c>
      <c r="E121" s="55">
        <f t="shared" si="10"/>
        <v>25455.844122715702</v>
      </c>
      <c r="F121" s="9">
        <f t="shared" si="10"/>
        <v>0</v>
      </c>
      <c r="G121" s="9">
        <f t="shared" si="10"/>
        <v>0</v>
      </c>
      <c r="H121" s="55">
        <f t="shared" si="10"/>
        <v>25455.844122715702</v>
      </c>
      <c r="I121" s="55">
        <f t="shared" si="10"/>
        <v>-25455.844122715702</v>
      </c>
      <c r="J121" s="53" t="s">
        <v>184</v>
      </c>
    </row>
    <row r="122" spans="1:10" ht="19.05" customHeight="1" x14ac:dyDescent="0.3">
      <c r="B122" s="9">
        <f t="shared" si="10"/>
        <v>0</v>
      </c>
      <c r="C122" s="9">
        <f t="shared" si="10"/>
        <v>0</v>
      </c>
      <c r="D122" s="55">
        <f t="shared" si="10"/>
        <v>25455.844122715702</v>
      </c>
      <c r="E122" s="55">
        <f t="shared" si="10"/>
        <v>-25455.844122715702</v>
      </c>
      <c r="F122" s="9">
        <f t="shared" si="10"/>
        <v>0</v>
      </c>
      <c r="G122" s="9">
        <f t="shared" si="10"/>
        <v>0</v>
      </c>
      <c r="H122" s="55">
        <f t="shared" si="10"/>
        <v>-25455.844122715702</v>
      </c>
      <c r="I122" s="55">
        <f t="shared" si="10"/>
        <v>25455.844122715702</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97455.844122715702</v>
      </c>
      <c r="C126" s="36">
        <f t="shared" si="11"/>
        <v>25455.844122715702</v>
      </c>
      <c r="D126" s="9">
        <f t="shared" si="11"/>
        <v>0</v>
      </c>
      <c r="E126" s="9">
        <f t="shared" si="11"/>
        <v>0</v>
      </c>
      <c r="F126" s="9">
        <f t="shared" si="11"/>
        <v>-25455.844122715702</v>
      </c>
      <c r="G126" s="9">
        <f t="shared" si="11"/>
        <v>-25455.844122715702</v>
      </c>
      <c r="H126" s="9">
        <f t="shared" si="11"/>
        <v>-72000</v>
      </c>
      <c r="I126" s="9">
        <f t="shared" si="11"/>
        <v>0</v>
      </c>
      <c r="J126" s="89" t="s">
        <v>178</v>
      </c>
    </row>
    <row r="127" spans="1:10" ht="19.95" customHeight="1" x14ac:dyDescent="0.3">
      <c r="B127" s="36">
        <f t="shared" si="11"/>
        <v>25455.844122715702</v>
      </c>
      <c r="C127" s="35">
        <f t="shared" si="11"/>
        <v>97455.844122715702</v>
      </c>
      <c r="D127" s="9">
        <f t="shared" si="11"/>
        <v>0</v>
      </c>
      <c r="E127" s="9">
        <f t="shared" si="11"/>
        <v>-72000</v>
      </c>
      <c r="F127" s="9">
        <f t="shared" si="11"/>
        <v>-25455.844122715702</v>
      </c>
      <c r="G127" s="9">
        <f t="shared" si="11"/>
        <v>-25455.844122715702</v>
      </c>
      <c r="H127" s="9">
        <f t="shared" si="11"/>
        <v>0</v>
      </c>
      <c r="I127" s="9">
        <f t="shared" si="11"/>
        <v>0</v>
      </c>
      <c r="J127" s="89" t="s">
        <v>179</v>
      </c>
    </row>
    <row r="128" spans="1:10" ht="19.95" customHeight="1" x14ac:dyDescent="0.3">
      <c r="B128" s="9">
        <f t="shared" si="11"/>
        <v>0</v>
      </c>
      <c r="C128" s="9">
        <f t="shared" si="11"/>
        <v>0</v>
      </c>
      <c r="D128" s="35">
        <f t="shared" si="11"/>
        <v>97455.844122715702</v>
      </c>
      <c r="E128" s="36">
        <f t="shared" si="11"/>
        <v>-25455.844122715702</v>
      </c>
      <c r="F128" s="9">
        <f t="shared" si="11"/>
        <v>-72000</v>
      </c>
      <c r="G128" s="9">
        <f t="shared" si="11"/>
        <v>0</v>
      </c>
      <c r="H128" s="9">
        <f t="shared" si="11"/>
        <v>-25455.844122715702</v>
      </c>
      <c r="I128" s="9">
        <f t="shared" si="11"/>
        <v>25455.844122715702</v>
      </c>
      <c r="J128" s="89" t="s">
        <v>180</v>
      </c>
    </row>
    <row r="129" spans="1:17" ht="19.95" customHeight="1" x14ac:dyDescent="0.3">
      <c r="A129" s="28" t="s">
        <v>205</v>
      </c>
      <c r="B129" s="9">
        <f t="shared" si="11"/>
        <v>0</v>
      </c>
      <c r="C129" s="9">
        <f t="shared" si="11"/>
        <v>-72000</v>
      </c>
      <c r="D129" s="36">
        <f t="shared" si="11"/>
        <v>-25455.844122715702</v>
      </c>
      <c r="E129" s="35">
        <f t="shared" si="11"/>
        <v>97455.844122715702</v>
      </c>
      <c r="F129" s="9">
        <f t="shared" si="11"/>
        <v>0</v>
      </c>
      <c r="G129" s="9">
        <f t="shared" si="11"/>
        <v>0</v>
      </c>
      <c r="H129" s="9">
        <f t="shared" si="11"/>
        <v>25455.844122715702</v>
      </c>
      <c r="I129" s="9">
        <f t="shared" si="11"/>
        <v>-25455.844122715702</v>
      </c>
      <c r="J129" s="89" t="s">
        <v>181</v>
      </c>
    </row>
    <row r="130" spans="1:17" ht="19.95" customHeight="1" x14ac:dyDescent="0.3">
      <c r="B130" s="9">
        <f t="shared" si="11"/>
        <v>-25455.844122715702</v>
      </c>
      <c r="C130" s="9">
        <f t="shared" si="11"/>
        <v>-25455.844122715702</v>
      </c>
      <c r="D130" s="9">
        <f t="shared" si="11"/>
        <v>-72000</v>
      </c>
      <c r="E130" s="9">
        <f t="shared" si="11"/>
        <v>0</v>
      </c>
      <c r="F130" s="35">
        <f t="shared" si="11"/>
        <v>97455.844122715702</v>
      </c>
      <c r="G130" s="36">
        <f t="shared" si="11"/>
        <v>25455.844122715702</v>
      </c>
      <c r="H130" s="9">
        <f t="shared" si="11"/>
        <v>0</v>
      </c>
      <c r="I130" s="9">
        <f t="shared" si="11"/>
        <v>0</v>
      </c>
      <c r="J130" s="89" t="s">
        <v>182</v>
      </c>
    </row>
    <row r="131" spans="1:17" ht="19.95" customHeight="1" x14ac:dyDescent="0.3">
      <c r="B131" s="9">
        <f t="shared" si="11"/>
        <v>-25455.844122715702</v>
      </c>
      <c r="C131" s="9">
        <f t="shared" si="11"/>
        <v>-25455.844122715702</v>
      </c>
      <c r="D131" s="9">
        <f t="shared" si="11"/>
        <v>0</v>
      </c>
      <c r="E131" s="9">
        <f t="shared" si="11"/>
        <v>0</v>
      </c>
      <c r="F131" s="36">
        <f t="shared" si="11"/>
        <v>25455.844122715702</v>
      </c>
      <c r="G131" s="35">
        <f t="shared" si="11"/>
        <v>97455.844122715702</v>
      </c>
      <c r="H131" s="9">
        <f t="shared" si="11"/>
        <v>0</v>
      </c>
      <c r="I131" s="9">
        <f t="shared" si="11"/>
        <v>-72000</v>
      </c>
      <c r="J131" s="89" t="s">
        <v>183</v>
      </c>
    </row>
    <row r="132" spans="1:17" ht="19.95" customHeight="1" x14ac:dyDescent="0.3">
      <c r="B132" s="9">
        <f t="shared" si="11"/>
        <v>-72000</v>
      </c>
      <c r="C132" s="9">
        <f t="shared" si="11"/>
        <v>0</v>
      </c>
      <c r="D132" s="9">
        <f t="shared" si="11"/>
        <v>-25455.844122715702</v>
      </c>
      <c r="E132" s="9">
        <f t="shared" si="11"/>
        <v>25455.844122715702</v>
      </c>
      <c r="F132" s="9">
        <f t="shared" si="11"/>
        <v>0</v>
      </c>
      <c r="G132" s="9">
        <f t="shared" si="11"/>
        <v>0</v>
      </c>
      <c r="H132" s="35">
        <f t="shared" si="11"/>
        <v>97455.844122715702</v>
      </c>
      <c r="I132" s="36">
        <f t="shared" si="11"/>
        <v>-25455.844122715702</v>
      </c>
      <c r="J132" s="89" t="s">
        <v>184</v>
      </c>
    </row>
    <row r="133" spans="1:17" ht="19.95" customHeight="1" x14ac:dyDescent="0.3">
      <c r="B133" s="9">
        <f t="shared" si="11"/>
        <v>0</v>
      </c>
      <c r="C133" s="9">
        <f t="shared" si="11"/>
        <v>0</v>
      </c>
      <c r="D133" s="9">
        <f t="shared" si="11"/>
        <v>25455.844122715702</v>
      </c>
      <c r="E133" s="9">
        <f t="shared" si="11"/>
        <v>-25455.844122715702</v>
      </c>
      <c r="F133" s="9">
        <f t="shared" si="11"/>
        <v>0</v>
      </c>
      <c r="G133" s="9">
        <f t="shared" si="11"/>
        <v>-72000</v>
      </c>
      <c r="H133" s="36">
        <f t="shared" si="11"/>
        <v>-25455.844122715702</v>
      </c>
      <c r="I133" s="35">
        <f t="shared" si="11"/>
        <v>97455.844122715702</v>
      </c>
      <c r="J133" s="89" t="s">
        <v>185</v>
      </c>
    </row>
    <row r="136" spans="1:17" ht="19.95" customHeight="1" x14ac:dyDescent="0.35">
      <c r="A136" s="11" t="s">
        <v>206</v>
      </c>
      <c r="L136" s="216" t="s">
        <v>207</v>
      </c>
      <c r="M136" s="172"/>
      <c r="N136" s="172"/>
      <c r="O136" s="172"/>
      <c r="P136" s="172"/>
      <c r="Q136" s="173"/>
    </row>
    <row r="137" spans="1:17" ht="16.95" customHeight="1" x14ac:dyDescent="0.3">
      <c r="B137" s="12" t="s">
        <v>208</v>
      </c>
      <c r="C137" s="12" t="s">
        <v>178</v>
      </c>
      <c r="E137" s="37" t="str">
        <f>IF(GRAFICA_67!F14=1, B137, GRAFICA_67!H14)</f>
        <v>C1X</v>
      </c>
      <c r="L137" s="215" t="s">
        <v>376</v>
      </c>
      <c r="M137" s="172"/>
      <c r="N137" s="172"/>
      <c r="O137" s="172"/>
      <c r="P137" s="172"/>
      <c r="Q137" s="173"/>
    </row>
    <row r="138" spans="1:17" ht="16.95" customHeight="1" x14ac:dyDescent="0.3">
      <c r="B138" s="12" t="s">
        <v>210</v>
      </c>
      <c r="C138" s="12" t="s">
        <v>179</v>
      </c>
      <c r="E138" s="37" t="str">
        <f>IF(GRAFICA_67!G14=1, B138, GRAFICA_67!I14)</f>
        <v>C1Y</v>
      </c>
      <c r="L138" s="215" t="s">
        <v>211</v>
      </c>
      <c r="M138" s="172"/>
      <c r="N138" s="172"/>
      <c r="O138" s="172"/>
      <c r="P138" s="172"/>
      <c r="Q138" s="173"/>
    </row>
    <row r="139" spans="1:17" ht="16.95" customHeight="1" x14ac:dyDescent="0.3">
      <c r="B139" s="12" t="s">
        <v>212</v>
      </c>
      <c r="C139" s="12" t="s">
        <v>180</v>
      </c>
      <c r="E139" s="37" t="str">
        <f>IF(GRAFICA_67!F15=1, B139, GRAFICA_67!H15)</f>
        <v>C2X</v>
      </c>
      <c r="L139" s="215" t="s">
        <v>377</v>
      </c>
      <c r="M139" s="172"/>
      <c r="N139" s="172"/>
      <c r="O139" s="172"/>
      <c r="P139" s="172"/>
      <c r="Q139" s="173"/>
    </row>
    <row r="140" spans="1:17" ht="16.95" customHeight="1" x14ac:dyDescent="0.3">
      <c r="A140" s="38" t="s">
        <v>218</v>
      </c>
      <c r="B140" s="12" t="s">
        <v>214</v>
      </c>
      <c r="C140" s="12" t="s">
        <v>181</v>
      </c>
      <c r="D140" s="13" t="s">
        <v>220</v>
      </c>
      <c r="E140" s="37" t="str">
        <f>IF(GRAFICA_67!G15=1, B140, GRAFICA_67!I15)</f>
        <v>C2Y</v>
      </c>
      <c r="L140" s="215" t="s">
        <v>215</v>
      </c>
      <c r="M140" s="172"/>
      <c r="N140" s="172"/>
      <c r="O140" s="172"/>
      <c r="P140" s="172"/>
      <c r="Q140" s="173"/>
    </row>
    <row r="141" spans="1:17" ht="16.95" customHeight="1" x14ac:dyDescent="0.3">
      <c r="B141" s="12" t="s">
        <v>216</v>
      </c>
      <c r="C141" s="12" t="s">
        <v>182</v>
      </c>
      <c r="E141" s="37">
        <f>IF(GRAFICA_67!F16=1, B141, GRAFICA_67!H16)</f>
        <v>0</v>
      </c>
      <c r="L141" s="215" t="s">
        <v>378</v>
      </c>
      <c r="M141" s="172"/>
      <c r="N141" s="172"/>
      <c r="O141" s="172"/>
      <c r="P141" s="172"/>
      <c r="Q141" s="173"/>
    </row>
    <row r="142" spans="1:17" ht="16.95" customHeight="1" x14ac:dyDescent="0.3">
      <c r="B142" s="12" t="s">
        <v>219</v>
      </c>
      <c r="C142" s="12" t="s">
        <v>183</v>
      </c>
      <c r="E142" s="37">
        <f>IF(GRAFICA_67!G16=1, B142, GRAFICA_67!I16)</f>
        <v>-5000</v>
      </c>
      <c r="L142" s="215" t="s">
        <v>379</v>
      </c>
      <c r="M142" s="172"/>
      <c r="N142" s="172"/>
      <c r="O142" s="172"/>
      <c r="P142" s="172"/>
      <c r="Q142" s="173"/>
    </row>
    <row r="143" spans="1:17" ht="16.95" customHeight="1" x14ac:dyDescent="0.3">
      <c r="B143" s="12" t="s">
        <v>221</v>
      </c>
      <c r="C143" s="12" t="s">
        <v>184</v>
      </c>
      <c r="E143" s="37">
        <f>IF(GRAFICA_67!F17=1, B143, GRAFICA_67!H17)</f>
        <v>2500</v>
      </c>
      <c r="L143" s="215"/>
      <c r="M143" s="172"/>
      <c r="N143" s="172"/>
      <c r="O143" s="172"/>
      <c r="P143" s="172"/>
      <c r="Q143" s="173"/>
    </row>
    <row r="144" spans="1:17" ht="16.95" customHeight="1" x14ac:dyDescent="0.3">
      <c r="B144" s="12" t="s">
        <v>222</v>
      </c>
      <c r="C144" s="12" t="s">
        <v>185</v>
      </c>
      <c r="E144" s="37">
        <f>IF(GRAFICA_67!G17=1, B144, GRAFICA_67!I17)</f>
        <v>-5000</v>
      </c>
      <c r="L144" s="215"/>
      <c r="M144" s="172"/>
      <c r="N144" s="172"/>
      <c r="O144" s="172"/>
      <c r="P144" s="172"/>
      <c r="Q144" s="173"/>
    </row>
    <row r="145" spans="1:17" ht="16.95" customHeight="1" x14ac:dyDescent="0.3">
      <c r="L145" s="215"/>
      <c r="M145" s="172"/>
      <c r="N145" s="172"/>
      <c r="O145" s="172"/>
      <c r="P145" s="172"/>
      <c r="Q145" s="173"/>
    </row>
    <row r="146" spans="1:17" ht="16.95" customHeight="1" x14ac:dyDescent="0.35">
      <c r="A146" s="11" t="s">
        <v>227</v>
      </c>
      <c r="L146" s="215"/>
      <c r="M146" s="172"/>
      <c r="N146" s="172"/>
      <c r="O146" s="172"/>
      <c r="P146" s="172"/>
      <c r="Q146" s="173"/>
    </row>
    <row r="147" spans="1:17" ht="16.95" customHeight="1" x14ac:dyDescent="0.3">
      <c r="B147" s="12" t="s">
        <v>228</v>
      </c>
      <c r="C147" s="12" t="s">
        <v>178</v>
      </c>
      <c r="E147" s="39">
        <f>IF(GRAFICA_67!F14=1, 0, B147)</f>
        <v>0</v>
      </c>
      <c r="F147" s="14" t="str">
        <f>IF(E147&lt;&gt;0, COUNTIF(E$147:E147, "&lt;&gt;0"), "")</f>
        <v/>
      </c>
      <c r="G147" s="14">
        <f>IF(E147=0, COUNTIF(E$147:E147, 0), "")</f>
        <v>1</v>
      </c>
      <c r="L147" s="215"/>
      <c r="M147" s="172"/>
      <c r="N147" s="172"/>
      <c r="O147" s="172"/>
      <c r="P147" s="172"/>
      <c r="Q147" s="173"/>
    </row>
    <row r="148" spans="1:17" ht="16.95" customHeight="1" x14ac:dyDescent="0.3">
      <c r="B148" s="12" t="s">
        <v>229</v>
      </c>
      <c r="C148" s="12" t="s">
        <v>179</v>
      </c>
      <c r="E148" s="39">
        <f>IF(GRAFICA_67!G14=1, 0, B148)</f>
        <v>0</v>
      </c>
      <c r="F148" s="14" t="str">
        <f>IF(E148&lt;&gt;0, COUNTIF(E$147:E148, "&lt;&gt;0"), "")</f>
        <v/>
      </c>
      <c r="G148" s="14">
        <f>IF(E148=0, COUNTIF(E$147:E148, 0), "")</f>
        <v>2</v>
      </c>
      <c r="L148" s="215"/>
      <c r="M148" s="172"/>
      <c r="N148" s="172"/>
      <c r="O148" s="172"/>
      <c r="P148" s="172"/>
      <c r="Q148" s="173"/>
    </row>
    <row r="149" spans="1:17" ht="16.95" customHeight="1" x14ac:dyDescent="0.3">
      <c r="B149" s="12" t="s">
        <v>230</v>
      </c>
      <c r="C149" s="12" t="s">
        <v>180</v>
      </c>
      <c r="E149" s="39">
        <f>IF(GRAFICA_67!F15=1, 0, B149)</f>
        <v>0</v>
      </c>
      <c r="F149" s="14" t="str">
        <f>IF(E149&lt;&gt;0, COUNTIF(E$147:E149, "&lt;&gt;0"), "")</f>
        <v/>
      </c>
      <c r="G149" s="14">
        <f>IF(E149=0, COUNTIF(E$147:E149, 0), "")</f>
        <v>3</v>
      </c>
      <c r="L149" s="215"/>
      <c r="M149" s="172"/>
      <c r="N149" s="172"/>
      <c r="O149" s="172"/>
      <c r="P149" s="172"/>
      <c r="Q149" s="173"/>
    </row>
    <row r="150" spans="1:17" ht="16.95" customHeight="1" x14ac:dyDescent="0.3">
      <c r="A150" s="38" t="s">
        <v>233</v>
      </c>
      <c r="B150" s="12" t="s">
        <v>231</v>
      </c>
      <c r="C150" s="12" t="s">
        <v>181</v>
      </c>
      <c r="D150" s="13" t="s">
        <v>220</v>
      </c>
      <c r="E150" s="39">
        <f>IF(GRAFICA_67!G15=1, 0, B150)</f>
        <v>0</v>
      </c>
      <c r="F150" s="14" t="str">
        <f>IF(E150&lt;&gt;0, COUNTIF(E$147:E150, "&lt;&gt;0"), "")</f>
        <v/>
      </c>
      <c r="G150" s="14">
        <f>IF(E150=0, COUNTIF(E$147:E150, 0), "")</f>
        <v>4</v>
      </c>
      <c r="L150" s="215"/>
      <c r="M150" s="172"/>
      <c r="N150" s="172"/>
      <c r="O150" s="172"/>
      <c r="P150" s="172"/>
      <c r="Q150" s="173"/>
    </row>
    <row r="151" spans="1:17" ht="16.95" customHeight="1" x14ac:dyDescent="0.3">
      <c r="B151" s="12" t="s">
        <v>232</v>
      </c>
      <c r="C151" s="12" t="s">
        <v>182</v>
      </c>
      <c r="E151" s="39" t="str">
        <f>IF(GRAFICA_67!F16=1, 0, B151)</f>
        <v>D3X</v>
      </c>
      <c r="F151" s="14">
        <f>IF(E151&lt;&gt;0, COUNTIF(E$147:E151, "&lt;&gt;0"), "")</f>
        <v>1</v>
      </c>
      <c r="G151" s="14" t="str">
        <f>IF(E151=0, COUNTIF(E$147:E151, 0), "")</f>
        <v/>
      </c>
      <c r="L151" s="215"/>
      <c r="M151" s="172"/>
      <c r="N151" s="172"/>
      <c r="O151" s="172"/>
      <c r="P151" s="172"/>
      <c r="Q151" s="173"/>
    </row>
    <row r="152" spans="1:17" ht="16.95" customHeight="1" x14ac:dyDescent="0.3">
      <c r="B152" s="12" t="s">
        <v>234</v>
      </c>
      <c r="C152" s="12" t="s">
        <v>183</v>
      </c>
      <c r="E152" s="39" t="str">
        <f>IF(GRAFICA_67!G16=1, 0, B152)</f>
        <v>D3Y</v>
      </c>
      <c r="F152" s="14">
        <f>IF(E152&lt;&gt;0, COUNTIF(E$147:E152, "&lt;&gt;0"), "")</f>
        <v>2</v>
      </c>
      <c r="G152" s="14" t="str">
        <f>IF(E152=0, COUNTIF(E$147:E152, 0), "")</f>
        <v/>
      </c>
      <c r="L152" s="215"/>
      <c r="M152" s="172"/>
      <c r="N152" s="172"/>
      <c r="O152" s="172"/>
      <c r="P152" s="172"/>
      <c r="Q152" s="173"/>
    </row>
    <row r="153" spans="1:17" ht="16.95" customHeight="1" x14ac:dyDescent="0.3">
      <c r="B153" s="12" t="s">
        <v>235</v>
      </c>
      <c r="C153" s="12" t="s">
        <v>184</v>
      </c>
      <c r="E153" s="39" t="str">
        <f>IF(GRAFICA_67!F17=1, 0, B153)</f>
        <v>D4X</v>
      </c>
      <c r="F153" s="14">
        <f>IF(E153&lt;&gt;0, COUNTIF(E$147:E153, "&lt;&gt;0"), "")</f>
        <v>3</v>
      </c>
      <c r="G153" s="14" t="str">
        <f>IF(E153=0, COUNTIF(E$147:E153, 0), "")</f>
        <v/>
      </c>
      <c r="L153" s="215"/>
      <c r="M153" s="172"/>
      <c r="N153" s="172"/>
      <c r="O153" s="172"/>
      <c r="P153" s="172"/>
      <c r="Q153" s="173"/>
    </row>
    <row r="154" spans="1:17" ht="16.95" customHeight="1" x14ac:dyDescent="0.3">
      <c r="B154" s="12" t="s">
        <v>236</v>
      </c>
      <c r="C154" s="12" t="s">
        <v>185</v>
      </c>
      <c r="E154" s="39" t="str">
        <f>IF(GRAFICA_67!G17=1, 0, B154)</f>
        <v>D4Y</v>
      </c>
      <c r="F154" s="14">
        <f>IF(E154&lt;&gt;0, COUNTIF(E$147:E154, "&lt;&gt;0"), "")</f>
        <v>4</v>
      </c>
      <c r="G154" s="14" t="str">
        <f>IF(E154=0, COUNTIF(E$147:E154, 0), "")</f>
        <v/>
      </c>
      <c r="L154" s="215"/>
      <c r="M154" s="172"/>
      <c r="N154" s="172"/>
      <c r="O154" s="172"/>
      <c r="P154" s="172"/>
      <c r="Q154" s="173"/>
    </row>
    <row r="156" spans="1:17" ht="19.95" customHeight="1" x14ac:dyDescent="0.35">
      <c r="A156" s="15" t="s">
        <v>241</v>
      </c>
      <c r="C156" s="218" t="s">
        <v>242</v>
      </c>
      <c r="D156" s="173"/>
      <c r="E156" s="40" t="s">
        <v>243</v>
      </c>
      <c r="L156" s="216" t="s">
        <v>244</v>
      </c>
      <c r="M156" s="172"/>
      <c r="N156" s="172"/>
      <c r="O156" s="172"/>
      <c r="P156" s="172"/>
      <c r="Q156" s="173"/>
    </row>
    <row r="157" spans="1:17" ht="16.95" customHeight="1" x14ac:dyDescent="0.3">
      <c r="E157" s="40" t="s">
        <v>245</v>
      </c>
      <c r="L157" s="215" t="s">
        <v>246</v>
      </c>
      <c r="M157" s="172"/>
      <c r="N157" s="172"/>
      <c r="O157" s="172"/>
      <c r="P157" s="172"/>
      <c r="Q157" s="173"/>
    </row>
    <row r="158" spans="1:17" ht="16.95" customHeight="1" x14ac:dyDescent="0.3">
      <c r="A158" s="99" t="s">
        <v>247</v>
      </c>
      <c r="C158" s="99" t="s">
        <v>248</v>
      </c>
      <c r="L158" s="215" t="s">
        <v>250</v>
      </c>
      <c r="M158" s="172"/>
      <c r="N158" s="172"/>
      <c r="O158" s="172"/>
      <c r="P158" s="172"/>
      <c r="Q158" s="173"/>
    </row>
    <row r="159" spans="1:17" ht="16.95" customHeight="1" x14ac:dyDescent="0.3">
      <c r="A159" s="12" t="str">
        <f t="shared" ref="A159:A166" si="12">E137</f>
        <v>C1X</v>
      </c>
      <c r="C159" s="9">
        <f t="shared" ref="C159:J166" si="13">B126</f>
        <v>97455.844122715702</v>
      </c>
      <c r="D159" s="9">
        <f t="shared" si="13"/>
        <v>25455.844122715702</v>
      </c>
      <c r="E159" s="9">
        <f t="shared" si="13"/>
        <v>0</v>
      </c>
      <c r="F159" s="9">
        <f t="shared" si="13"/>
        <v>0</v>
      </c>
      <c r="G159" s="9">
        <f t="shared" si="13"/>
        <v>-25455.844122715702</v>
      </c>
      <c r="H159" s="9">
        <f t="shared" si="13"/>
        <v>-25455.844122715702</v>
      </c>
      <c r="I159" s="9">
        <f t="shared" si="13"/>
        <v>-72000</v>
      </c>
      <c r="J159" s="9">
        <f t="shared" si="13"/>
        <v>0</v>
      </c>
      <c r="K159" s="13" t="s">
        <v>251</v>
      </c>
      <c r="L159" s="219" t="s">
        <v>380</v>
      </c>
      <c r="M159" s="172"/>
      <c r="N159" s="172"/>
      <c r="O159" s="172"/>
      <c r="P159" s="172"/>
      <c r="Q159" s="173"/>
    </row>
    <row r="160" spans="1:17" ht="16.95" customHeight="1" x14ac:dyDescent="0.3">
      <c r="A160" s="12" t="str">
        <f t="shared" si="12"/>
        <v>C1Y</v>
      </c>
      <c r="C160" s="9">
        <f t="shared" si="13"/>
        <v>25455.844122715702</v>
      </c>
      <c r="D160" s="9">
        <f t="shared" si="13"/>
        <v>97455.844122715702</v>
      </c>
      <c r="E160" s="9">
        <f t="shared" si="13"/>
        <v>0</v>
      </c>
      <c r="F160" s="9">
        <f t="shared" si="13"/>
        <v>-72000</v>
      </c>
      <c r="G160" s="9">
        <f t="shared" si="13"/>
        <v>-25455.844122715702</v>
      </c>
      <c r="H160" s="9">
        <f t="shared" si="13"/>
        <v>-25455.844122715702</v>
      </c>
      <c r="I160" s="9">
        <f t="shared" si="13"/>
        <v>0</v>
      </c>
      <c r="J160" s="9">
        <f t="shared" si="13"/>
        <v>0</v>
      </c>
      <c r="K160" s="13" t="s">
        <v>251</v>
      </c>
      <c r="L160" s="219" t="s">
        <v>253</v>
      </c>
      <c r="M160" s="172"/>
      <c r="N160" s="172"/>
      <c r="O160" s="172"/>
      <c r="P160" s="172"/>
      <c r="Q160" s="173"/>
    </row>
    <row r="161" spans="1:17" ht="16.95" customHeight="1" x14ac:dyDescent="0.3">
      <c r="A161" s="12" t="str">
        <f t="shared" si="12"/>
        <v>C2X</v>
      </c>
      <c r="C161" s="9">
        <f t="shared" si="13"/>
        <v>0</v>
      </c>
      <c r="D161" s="9">
        <f t="shared" si="13"/>
        <v>0</v>
      </c>
      <c r="E161" s="9">
        <f t="shared" si="13"/>
        <v>97455.844122715702</v>
      </c>
      <c r="F161" s="9">
        <f t="shared" si="13"/>
        <v>-25455.844122715702</v>
      </c>
      <c r="G161" s="9">
        <f t="shared" si="13"/>
        <v>-72000</v>
      </c>
      <c r="H161" s="9">
        <f t="shared" si="13"/>
        <v>0</v>
      </c>
      <c r="I161" s="9">
        <f t="shared" si="13"/>
        <v>-25455.844122715702</v>
      </c>
      <c r="J161" s="9">
        <f t="shared" si="13"/>
        <v>25455.844122715702</v>
      </c>
      <c r="K161" s="13" t="s">
        <v>251</v>
      </c>
      <c r="L161" s="219" t="s">
        <v>254</v>
      </c>
      <c r="M161" s="172"/>
      <c r="N161" s="172"/>
      <c r="O161" s="172"/>
      <c r="P161" s="172"/>
      <c r="Q161" s="173"/>
    </row>
    <row r="162" spans="1:17" ht="16.95" customHeight="1" x14ac:dyDescent="0.3">
      <c r="A162" s="12" t="str">
        <f t="shared" si="12"/>
        <v>C2Y</v>
      </c>
      <c r="C162" s="9">
        <f t="shared" si="13"/>
        <v>0</v>
      </c>
      <c r="D162" s="9">
        <f t="shared" si="13"/>
        <v>-72000</v>
      </c>
      <c r="E162" s="9">
        <f t="shared" si="13"/>
        <v>-25455.844122715702</v>
      </c>
      <c r="F162" s="9">
        <f t="shared" si="13"/>
        <v>97455.844122715702</v>
      </c>
      <c r="G162" s="9">
        <f t="shared" si="13"/>
        <v>0</v>
      </c>
      <c r="H162" s="9">
        <f t="shared" si="13"/>
        <v>0</v>
      </c>
      <c r="I162" s="9">
        <f t="shared" si="13"/>
        <v>25455.844122715702</v>
      </c>
      <c r="J162" s="9">
        <f t="shared" si="13"/>
        <v>-25455.844122715702</v>
      </c>
      <c r="K162" s="13" t="s">
        <v>251</v>
      </c>
      <c r="L162" s="219" t="s">
        <v>381</v>
      </c>
      <c r="M162" s="172"/>
      <c r="N162" s="172"/>
      <c r="O162" s="172"/>
      <c r="P162" s="172"/>
      <c r="Q162" s="173"/>
    </row>
    <row r="163" spans="1:17" ht="16.95" customHeight="1" x14ac:dyDescent="0.3">
      <c r="A163" s="41">
        <f t="shared" si="12"/>
        <v>0</v>
      </c>
      <c r="B163" s="13" t="s">
        <v>220</v>
      </c>
      <c r="C163" s="9">
        <f t="shared" si="13"/>
        <v>-25455.844122715702</v>
      </c>
      <c r="D163" s="9">
        <f t="shared" si="13"/>
        <v>-25455.844122715702</v>
      </c>
      <c r="E163" s="9">
        <f t="shared" si="13"/>
        <v>-72000</v>
      </c>
      <c r="F163" s="9">
        <f t="shared" si="13"/>
        <v>0</v>
      </c>
      <c r="G163" s="41">
        <f t="shared" si="13"/>
        <v>97455.844122715702</v>
      </c>
      <c r="H163" s="41">
        <f t="shared" si="13"/>
        <v>25455.844122715702</v>
      </c>
      <c r="I163" s="41">
        <f t="shared" si="13"/>
        <v>0</v>
      </c>
      <c r="J163" s="41">
        <f t="shared" si="13"/>
        <v>0</v>
      </c>
      <c r="K163" s="13" t="s">
        <v>251</v>
      </c>
      <c r="L163" s="215" t="s">
        <v>382</v>
      </c>
      <c r="M163" s="172"/>
      <c r="N163" s="172"/>
      <c r="O163" s="172"/>
      <c r="P163" s="172"/>
      <c r="Q163" s="173"/>
    </row>
    <row r="164" spans="1:17" ht="16.95" customHeight="1" x14ac:dyDescent="0.3">
      <c r="A164" s="41">
        <f t="shared" si="12"/>
        <v>-5000</v>
      </c>
      <c r="C164" s="9">
        <f t="shared" si="13"/>
        <v>-25455.844122715702</v>
      </c>
      <c r="D164" s="9">
        <f t="shared" si="13"/>
        <v>-25455.844122715702</v>
      </c>
      <c r="E164" s="9">
        <f t="shared" si="13"/>
        <v>0</v>
      </c>
      <c r="F164" s="9">
        <f t="shared" si="13"/>
        <v>0</v>
      </c>
      <c r="G164" s="41">
        <f t="shared" si="13"/>
        <v>25455.844122715702</v>
      </c>
      <c r="H164" s="41">
        <f t="shared" si="13"/>
        <v>97455.844122715702</v>
      </c>
      <c r="I164" s="41">
        <f t="shared" si="13"/>
        <v>0</v>
      </c>
      <c r="J164" s="41">
        <f t="shared" si="13"/>
        <v>-72000</v>
      </c>
      <c r="K164" s="13" t="s">
        <v>251</v>
      </c>
      <c r="L164" s="215" t="str">
        <f>E152</f>
        <v>D3Y</v>
      </c>
      <c r="M164" s="172"/>
      <c r="N164" s="172"/>
      <c r="O164" s="172"/>
      <c r="P164" s="172"/>
      <c r="Q164" s="173"/>
    </row>
    <row r="165" spans="1:17" ht="16.95" customHeight="1" x14ac:dyDescent="0.3">
      <c r="A165" s="41">
        <f t="shared" si="12"/>
        <v>2500</v>
      </c>
      <c r="C165" s="9">
        <f t="shared" si="13"/>
        <v>-72000</v>
      </c>
      <c r="D165" s="9">
        <f t="shared" si="13"/>
        <v>0</v>
      </c>
      <c r="E165" s="9">
        <f t="shared" si="13"/>
        <v>-25455.844122715702</v>
      </c>
      <c r="F165" s="9">
        <f t="shared" si="13"/>
        <v>25455.844122715702</v>
      </c>
      <c r="G165" s="41">
        <f t="shared" si="13"/>
        <v>0</v>
      </c>
      <c r="H165" s="41">
        <f t="shared" si="13"/>
        <v>0</v>
      </c>
      <c r="I165" s="41">
        <f t="shared" si="13"/>
        <v>97455.844122715702</v>
      </c>
      <c r="J165" s="41">
        <f t="shared" si="13"/>
        <v>-25455.844122715702</v>
      </c>
      <c r="K165" s="13" t="s">
        <v>251</v>
      </c>
      <c r="L165" s="215" t="str">
        <f>E153</f>
        <v>D4X</v>
      </c>
      <c r="M165" s="172"/>
      <c r="N165" s="172"/>
      <c r="O165" s="172"/>
      <c r="P165" s="172"/>
      <c r="Q165" s="173"/>
    </row>
    <row r="166" spans="1:17" ht="16.95" customHeight="1" x14ac:dyDescent="0.3">
      <c r="A166" s="41">
        <f t="shared" si="12"/>
        <v>-5000</v>
      </c>
      <c r="C166" s="9">
        <f t="shared" si="13"/>
        <v>0</v>
      </c>
      <c r="D166" s="9">
        <f t="shared" si="13"/>
        <v>0</v>
      </c>
      <c r="E166" s="9">
        <f t="shared" si="13"/>
        <v>25455.844122715702</v>
      </c>
      <c r="F166" s="9">
        <f t="shared" si="13"/>
        <v>-25455.844122715702</v>
      </c>
      <c r="G166" s="41">
        <f t="shared" si="13"/>
        <v>0</v>
      </c>
      <c r="H166" s="41">
        <f t="shared" si="13"/>
        <v>-72000</v>
      </c>
      <c r="I166" s="41">
        <f t="shared" si="13"/>
        <v>-25455.844122715702</v>
      </c>
      <c r="J166" s="41">
        <f t="shared" si="13"/>
        <v>97455.844122715702</v>
      </c>
      <c r="K166" s="13" t="s">
        <v>251</v>
      </c>
      <c r="L166" s="215" t="str">
        <f>E154</f>
        <v>D4Y</v>
      </c>
      <c r="M166" s="172"/>
      <c r="N166" s="172"/>
      <c r="O166" s="172"/>
      <c r="P166" s="172"/>
      <c r="Q166" s="173"/>
    </row>
    <row r="169" spans="1:17" ht="19.95" customHeight="1" x14ac:dyDescent="0.35">
      <c r="A169" s="15" t="s">
        <v>257</v>
      </c>
      <c r="L169" s="216" t="s">
        <v>258</v>
      </c>
      <c r="M169" s="172"/>
      <c r="N169" s="172"/>
      <c r="O169" s="172"/>
      <c r="P169" s="172"/>
      <c r="Q169" s="173"/>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215" t="s">
        <v>383</v>
      </c>
      <c r="M170" s="172"/>
      <c r="N170" s="172"/>
      <c r="O170" s="172"/>
      <c r="P170" s="172"/>
      <c r="Q170" s="173"/>
    </row>
    <row r="171" spans="1:17" ht="16.95" customHeight="1" x14ac:dyDescent="0.3">
      <c r="A171" s="41">
        <f>INDEX(E$137:E$144, MATCH(I171, C$137:C$144, 0))</f>
        <v>0</v>
      </c>
      <c r="C171" s="41">
        <f t="shared" ref="C171:F174" si="14">INDEX($B$126:$I$133, MATCH($I171, $J$126:$J$133, 0), MATCH(C$170, $B$125:$I$125, 0))</f>
        <v>97455.844122715702</v>
      </c>
      <c r="D171" s="41">
        <f t="shared" si="14"/>
        <v>25455.844122715702</v>
      </c>
      <c r="E171" s="41">
        <f t="shared" si="14"/>
        <v>0</v>
      </c>
      <c r="F171" s="41">
        <f t="shared" si="14"/>
        <v>0</v>
      </c>
      <c r="G171" s="13" t="s">
        <v>251</v>
      </c>
      <c r="H171" s="38" t="str">
        <f>INDEX(B$147:B$154, MATCH(1, F$147:F$154, 0))</f>
        <v>D3X</v>
      </c>
      <c r="I171" s="14" t="str">
        <f>INDEX(C$147:C$154, MATCH(1, F$147:F$154, 0))</f>
        <v>U3X</v>
      </c>
      <c r="L171" s="215" t="s">
        <v>384</v>
      </c>
      <c r="M171" s="172"/>
      <c r="N171" s="172"/>
      <c r="O171" s="172"/>
      <c r="P171" s="172"/>
      <c r="Q171" s="173"/>
    </row>
    <row r="172" spans="1:17" ht="16.95" customHeight="1" x14ac:dyDescent="0.3">
      <c r="A172" s="41">
        <f>INDEX(E$137:E$144, MATCH(I172, C$137:C$144, 0))</f>
        <v>-5000</v>
      </c>
      <c r="C172" s="41">
        <f t="shared" si="14"/>
        <v>25455.844122715702</v>
      </c>
      <c r="D172" s="41">
        <f t="shared" si="14"/>
        <v>97455.844122715702</v>
      </c>
      <c r="E172" s="41">
        <f t="shared" si="14"/>
        <v>0</v>
      </c>
      <c r="F172" s="41">
        <f t="shared" si="14"/>
        <v>-72000</v>
      </c>
      <c r="G172" s="13" t="s">
        <v>251</v>
      </c>
      <c r="H172" s="38" t="str">
        <f>INDEX(B$147:B$154, MATCH(2, F$147:F$154, 0))</f>
        <v>D3Y</v>
      </c>
      <c r="I172" s="14" t="str">
        <f>INDEX(C$147:C$154, MATCH(2, F$147:F$154, 0))</f>
        <v>U3Y</v>
      </c>
      <c r="L172" s="215" t="s">
        <v>385</v>
      </c>
      <c r="M172" s="172"/>
      <c r="N172" s="172"/>
      <c r="O172" s="172"/>
      <c r="P172" s="172"/>
      <c r="Q172" s="173"/>
    </row>
    <row r="173" spans="1:17" ht="16.95" customHeight="1" x14ac:dyDescent="0.3">
      <c r="A173" s="41">
        <f>INDEX(E$137:E$144, MATCH(I173, C$137:C$144, 0))</f>
        <v>2500</v>
      </c>
      <c r="B173" s="13" t="s">
        <v>220</v>
      </c>
      <c r="C173" s="41">
        <f t="shared" si="14"/>
        <v>0</v>
      </c>
      <c r="D173" s="41">
        <f t="shared" si="14"/>
        <v>0</v>
      </c>
      <c r="E173" s="41">
        <f t="shared" si="14"/>
        <v>97455.844122715702</v>
      </c>
      <c r="F173" s="41">
        <f t="shared" si="14"/>
        <v>-25455.844122715702</v>
      </c>
      <c r="G173" s="13" t="s">
        <v>251</v>
      </c>
      <c r="H173" s="38" t="str">
        <f>INDEX(B$147:B$154, MATCH(3, F$147:F$154, 0))</f>
        <v>D4X</v>
      </c>
      <c r="I173" s="14" t="str">
        <f>INDEX(C$147:C$154, MATCH(3, F$147:F$154, 0))</f>
        <v>U4X</v>
      </c>
      <c r="L173" s="215" t="s">
        <v>386</v>
      </c>
      <c r="M173" s="172"/>
      <c r="N173" s="172"/>
      <c r="O173" s="172"/>
      <c r="P173" s="172"/>
      <c r="Q173" s="173"/>
    </row>
    <row r="174" spans="1:17" ht="16.95" customHeight="1" x14ac:dyDescent="0.3">
      <c r="A174" s="41">
        <f>INDEX(E$137:E$144, MATCH(I174, C$137:C$144, 0))</f>
        <v>-5000</v>
      </c>
      <c r="C174" s="41">
        <f t="shared" si="14"/>
        <v>0</v>
      </c>
      <c r="D174" s="41">
        <f t="shared" si="14"/>
        <v>-72000</v>
      </c>
      <c r="E174" s="41">
        <f t="shared" si="14"/>
        <v>-25455.844122715702</v>
      </c>
      <c r="F174" s="41">
        <f t="shared" si="14"/>
        <v>97455.844122715702</v>
      </c>
      <c r="G174" s="13" t="s">
        <v>251</v>
      </c>
      <c r="H174" s="38" t="str">
        <f>INDEX(B$147:B$154, MATCH(4, F$147:F$154, 0))</f>
        <v>D4Y</v>
      </c>
      <c r="I174" s="14" t="str">
        <f>INDEX(C$147:C$154, MATCH(4, F$147:F$154, 0))</f>
        <v>U4Y</v>
      </c>
      <c r="L174" s="215" t="s">
        <v>387</v>
      </c>
      <c r="M174" s="172"/>
      <c r="N174" s="172"/>
      <c r="O174" s="172"/>
      <c r="P174" s="172"/>
      <c r="Q174" s="173"/>
    </row>
    <row r="175" spans="1:17" ht="16.95" customHeight="1" x14ac:dyDescent="0.3">
      <c r="L175" s="215" t="s">
        <v>388</v>
      </c>
      <c r="M175" s="172"/>
      <c r="N175" s="172"/>
      <c r="O175" s="172"/>
      <c r="P175" s="172"/>
      <c r="Q175" s="173"/>
    </row>
    <row r="176" spans="1:17" ht="16.95" customHeight="1" x14ac:dyDescent="0.3">
      <c r="C176" s="218" t="s">
        <v>263</v>
      </c>
      <c r="D176" s="172"/>
      <c r="E176" s="172"/>
      <c r="F176" s="173"/>
      <c r="L176" s="215"/>
      <c r="M176" s="172"/>
      <c r="N176" s="172"/>
      <c r="O176" s="172"/>
      <c r="P176" s="172"/>
      <c r="Q176" s="173"/>
    </row>
    <row r="177" spans="1:17" ht="16.95" customHeight="1" x14ac:dyDescent="0.3">
      <c r="A177" s="99" t="s">
        <v>249</v>
      </c>
      <c r="C177" s="193" t="s">
        <v>264</v>
      </c>
      <c r="D177" s="175"/>
      <c r="E177" s="175"/>
      <c r="F177" s="175"/>
      <c r="H177" s="99" t="s">
        <v>247</v>
      </c>
      <c r="L177" s="215"/>
      <c r="M177" s="172"/>
      <c r="N177" s="172"/>
      <c r="O177" s="172"/>
      <c r="P177" s="172"/>
      <c r="Q177" s="173"/>
    </row>
    <row r="178" spans="1:17" ht="16.95" customHeight="1" x14ac:dyDescent="0.3">
      <c r="A178" s="12" t="str">
        <f>H171</f>
        <v>D3X</v>
      </c>
      <c r="C178" s="93">
        <f t="array" ref="C178:F181">MINVERSE(C171:F174)</f>
        <v>1.2284508303446632E-5</v>
      </c>
      <c r="D178" s="93">
        <v>-7.7466347371655752E-6</v>
      </c>
      <c r="E178" s="93">
        <v>-1.6043805854422582E-6</v>
      </c>
      <c r="F178" s="93">
        <v>-6.142254151723316E-6</v>
      </c>
      <c r="H178" s="17">
        <f>A171</f>
        <v>0</v>
      </c>
      <c r="L178" s="215"/>
      <c r="M178" s="172"/>
      <c r="N178" s="172"/>
      <c r="O178" s="172"/>
      <c r="P178" s="172"/>
      <c r="Q178" s="173"/>
    </row>
    <row r="179" spans="1:17" ht="16.95" customHeight="1" x14ac:dyDescent="0.3">
      <c r="A179" s="12" t="str">
        <f>H172</f>
        <v>D3Y</v>
      </c>
      <c r="C179" s="93">
        <v>-7.7466347371655752E-6</v>
      </c>
      <c r="D179" s="93">
        <v>2.9657426553265766E-5</v>
      </c>
      <c r="E179" s="93">
        <v>6.1422541517233152E-6</v>
      </c>
      <c r="F179" s="93">
        <v>2.3515172401542452E-5</v>
      </c>
      <c r="H179" s="17">
        <f>A172</f>
        <v>-5000</v>
      </c>
      <c r="L179" s="215"/>
      <c r="M179" s="172"/>
      <c r="N179" s="172"/>
      <c r="O179" s="172"/>
      <c r="P179" s="172"/>
      <c r="Q179" s="173"/>
    </row>
    <row r="180" spans="1:17" ht="16.95" customHeight="1" x14ac:dyDescent="0.3">
      <c r="A180" s="12" t="str">
        <f>H173</f>
        <v>D4X</v>
      </c>
      <c r="B180" s="13" t="s">
        <v>220</v>
      </c>
      <c r="C180" s="93">
        <v>-1.6043805854422584E-6</v>
      </c>
      <c r="D180" s="93">
        <v>6.142254151723316E-6</v>
      </c>
      <c r="E180" s="93">
        <v>1.228450830344663E-5</v>
      </c>
      <c r="F180" s="93">
        <v>7.7466347371655752E-6</v>
      </c>
      <c r="H180" s="17">
        <f>A173</f>
        <v>2500</v>
      </c>
      <c r="L180" s="215"/>
      <c r="M180" s="172"/>
      <c r="N180" s="172"/>
      <c r="O180" s="172"/>
      <c r="P180" s="172"/>
      <c r="Q180" s="173"/>
    </row>
    <row r="181" spans="1:17" ht="16.95" customHeight="1" x14ac:dyDescent="0.3">
      <c r="A181" s="12" t="str">
        <f>H174</f>
        <v>D4Y</v>
      </c>
      <c r="C181" s="93">
        <v>-6.142254151723316E-6</v>
      </c>
      <c r="D181" s="93">
        <v>2.3515172401542452E-5</v>
      </c>
      <c r="E181" s="93">
        <v>7.7466347371655735E-6</v>
      </c>
      <c r="F181" s="93">
        <v>2.9657426553265766E-5</v>
      </c>
      <c r="H181" s="17">
        <f>A174</f>
        <v>-5000</v>
      </c>
      <c r="L181" s="215"/>
      <c r="M181" s="172"/>
      <c r="N181" s="172"/>
      <c r="O181" s="172"/>
      <c r="P181" s="172"/>
      <c r="Q181" s="173"/>
    </row>
    <row r="182" spans="1:17" ht="16.95" customHeight="1" x14ac:dyDescent="0.3">
      <c r="L182" s="215"/>
      <c r="M182" s="172"/>
      <c r="N182" s="172"/>
      <c r="O182" s="172"/>
      <c r="P182" s="172"/>
      <c r="Q182" s="173"/>
    </row>
    <row r="183" spans="1:17" ht="16.95" customHeight="1" x14ac:dyDescent="0.3">
      <c r="C183" s="218" t="s">
        <v>265</v>
      </c>
      <c r="D183" s="173"/>
      <c r="L183" s="215"/>
      <c r="M183" s="172"/>
      <c r="N183" s="172"/>
      <c r="O183" s="172"/>
      <c r="P183" s="172"/>
      <c r="Q183" s="173"/>
    </row>
    <row r="184" spans="1:17" ht="16.95" customHeight="1" x14ac:dyDescent="0.3">
      <c r="A184" s="99" t="s">
        <v>249</v>
      </c>
      <c r="C184" s="99" t="s">
        <v>266</v>
      </c>
      <c r="L184" s="215"/>
      <c r="M184" s="172"/>
      <c r="N184" s="172"/>
      <c r="O184" s="172"/>
      <c r="P184" s="172"/>
      <c r="Q184" s="173"/>
    </row>
    <row r="185" spans="1:17" ht="16.95" customHeight="1" x14ac:dyDescent="0.3">
      <c r="A185" s="12" t="str">
        <f>A178</f>
        <v>D3X</v>
      </c>
      <c r="C185" s="94">
        <f t="array" ref="C185:C188">MMULT(C178:F181, H178:H181)</f>
        <v>6.5433492980838809E-2</v>
      </c>
      <c r="D185" s="12" t="s">
        <v>267</v>
      </c>
      <c r="L185" s="215"/>
      <c r="M185" s="172"/>
      <c r="N185" s="172"/>
      <c r="O185" s="172"/>
      <c r="P185" s="172"/>
      <c r="Q185" s="173"/>
    </row>
    <row r="186" spans="1:17" ht="16.95" customHeight="1" x14ac:dyDescent="0.3">
      <c r="A186" s="12" t="str">
        <f>A179</f>
        <v>D3Y</v>
      </c>
      <c r="C186" s="94">
        <v>-0.25050735939473279</v>
      </c>
      <c r="D186" s="12" t="s">
        <v>267</v>
      </c>
      <c r="L186" s="215"/>
      <c r="M186" s="172"/>
      <c r="N186" s="172"/>
      <c r="O186" s="172"/>
      <c r="P186" s="172"/>
      <c r="Q186" s="173"/>
    </row>
    <row r="187" spans="1:17" ht="16.95" customHeight="1" x14ac:dyDescent="0.3">
      <c r="A187" s="12" t="str">
        <f>A180</f>
        <v>D4X</v>
      </c>
      <c r="B187" s="13" t="s">
        <v>220</v>
      </c>
      <c r="C187" s="94">
        <v>-3.8733173685827883E-2</v>
      </c>
      <c r="D187" s="12" t="s">
        <v>267</v>
      </c>
      <c r="L187" s="215"/>
      <c r="M187" s="172"/>
      <c r="N187" s="172"/>
      <c r="O187" s="172"/>
      <c r="P187" s="172"/>
      <c r="Q187" s="173"/>
    </row>
    <row r="188" spans="1:17" ht="16.95" customHeight="1" x14ac:dyDescent="0.3">
      <c r="A188" s="12" t="str">
        <f>A181</f>
        <v>D4Y</v>
      </c>
      <c r="C188" s="94">
        <v>-0.24649640793112715</v>
      </c>
      <c r="D188" s="12" t="s">
        <v>267</v>
      </c>
      <c r="L188" s="215"/>
      <c r="M188" s="172"/>
      <c r="N188" s="172"/>
      <c r="O188" s="172"/>
      <c r="P188" s="172"/>
      <c r="Q188" s="173"/>
    </row>
    <row r="191" spans="1:17" ht="19.95" customHeight="1" x14ac:dyDescent="0.35">
      <c r="A191" s="11" t="s">
        <v>268</v>
      </c>
      <c r="L191" s="216" t="s">
        <v>269</v>
      </c>
      <c r="M191" s="172"/>
      <c r="N191" s="172"/>
      <c r="O191" s="172"/>
      <c r="P191" s="172"/>
      <c r="Q191" s="173"/>
    </row>
    <row r="192" spans="1:17" ht="16.95" customHeight="1" x14ac:dyDescent="0.3">
      <c r="A192" s="99" t="s">
        <v>247</v>
      </c>
      <c r="H192" s="99" t="s">
        <v>249</v>
      </c>
      <c r="L192" s="215" t="s">
        <v>389</v>
      </c>
      <c r="M192" s="172"/>
      <c r="N192" s="172"/>
      <c r="O192" s="172"/>
      <c r="P192" s="172"/>
      <c r="Q192" s="173"/>
    </row>
    <row r="193" spans="1:17" ht="16.95" customHeight="1" x14ac:dyDescent="0.3">
      <c r="A193" s="18" t="str">
        <f>INDEX(B$137:B$144, MATCH(I193, C$137:C$144, 0))</f>
        <v>C1X</v>
      </c>
      <c r="C193" s="9">
        <f t="shared" ref="C193:F196" si="15">INDEX($B$126:$I$133, MATCH($I193, $J$126:$J$133, 0), MATCH(C$170, $B$125:$I$125, 0))</f>
        <v>-25455.844122715702</v>
      </c>
      <c r="D193" s="9">
        <f t="shared" si="15"/>
        <v>-25455.844122715702</v>
      </c>
      <c r="E193" s="9">
        <f t="shared" si="15"/>
        <v>-72000</v>
      </c>
      <c r="F193" s="9">
        <f t="shared" si="15"/>
        <v>0</v>
      </c>
      <c r="H193" s="95">
        <f>C185</f>
        <v>6.5433492980838809E-2</v>
      </c>
      <c r="I193" s="14" t="str">
        <f>INDEX(C$147:C$154, MATCH(1, G$147:G$154, 0))</f>
        <v>U1X</v>
      </c>
      <c r="L193" s="215" t="s">
        <v>390</v>
      </c>
      <c r="M193" s="172"/>
      <c r="N193" s="172"/>
      <c r="O193" s="172"/>
      <c r="P193" s="172"/>
      <c r="Q193" s="173"/>
    </row>
    <row r="194" spans="1:17" ht="16.95" customHeight="1" x14ac:dyDescent="0.3">
      <c r="A194" s="18" t="str">
        <f>INDEX(B$137:B$144, MATCH(I194, C$137:C$144, 0))</f>
        <v>C1Y</v>
      </c>
      <c r="C194" s="9">
        <f t="shared" si="15"/>
        <v>-25455.844122715702</v>
      </c>
      <c r="D194" s="9">
        <f t="shared" si="15"/>
        <v>-25455.844122715702</v>
      </c>
      <c r="E194" s="9">
        <f t="shared" si="15"/>
        <v>0</v>
      </c>
      <c r="F194" s="9">
        <f t="shared" si="15"/>
        <v>0</v>
      </c>
      <c r="H194" s="95">
        <f>C186</f>
        <v>-0.25050735939473279</v>
      </c>
      <c r="I194" s="14" t="str">
        <f>INDEX(C$147:C$154, MATCH(2, G$147:G$154, 0))</f>
        <v>U1Y</v>
      </c>
      <c r="L194" s="215" t="s">
        <v>391</v>
      </c>
      <c r="M194" s="172"/>
      <c r="N194" s="172"/>
      <c r="O194" s="172"/>
      <c r="P194" s="172"/>
      <c r="Q194" s="173"/>
    </row>
    <row r="195" spans="1:17" ht="16.95" customHeight="1" x14ac:dyDescent="0.3">
      <c r="A195" s="18" t="str">
        <f>INDEX(B$137:B$144, MATCH(I195, C$137:C$144, 0))</f>
        <v>C2X</v>
      </c>
      <c r="B195" s="13" t="s">
        <v>220</v>
      </c>
      <c r="C195" s="9">
        <f t="shared" si="15"/>
        <v>-72000</v>
      </c>
      <c r="D195" s="9">
        <f t="shared" si="15"/>
        <v>0</v>
      </c>
      <c r="E195" s="9">
        <f t="shared" si="15"/>
        <v>-25455.844122715702</v>
      </c>
      <c r="F195" s="9">
        <f t="shared" si="15"/>
        <v>25455.844122715702</v>
      </c>
      <c r="H195" s="95">
        <f>C187</f>
        <v>-3.8733173685827883E-2</v>
      </c>
      <c r="I195" s="14" t="str">
        <f>INDEX(C$147:C$154, MATCH(3, G$147:G$154, 0))</f>
        <v>U2X</v>
      </c>
      <c r="L195" s="215" t="s">
        <v>392</v>
      </c>
      <c r="M195" s="172"/>
      <c r="N195" s="172"/>
      <c r="O195" s="172"/>
      <c r="P195" s="172"/>
      <c r="Q195" s="173"/>
    </row>
    <row r="196" spans="1:17" ht="16.95" customHeight="1" x14ac:dyDescent="0.3">
      <c r="A196" s="18" t="str">
        <f>INDEX(B$137:B$144, MATCH(I196, C$137:C$144, 0))</f>
        <v>C2Y</v>
      </c>
      <c r="C196" s="9">
        <f t="shared" si="15"/>
        <v>0</v>
      </c>
      <c r="D196" s="9">
        <f t="shared" si="15"/>
        <v>0</v>
      </c>
      <c r="E196" s="9">
        <f t="shared" si="15"/>
        <v>25455.844122715702</v>
      </c>
      <c r="F196" s="9">
        <f t="shared" si="15"/>
        <v>-25455.844122715702</v>
      </c>
      <c r="H196" s="95">
        <f>C188</f>
        <v>-0.24649640793112715</v>
      </c>
      <c r="I196" s="14" t="str">
        <f>INDEX(C$147:C$154, MATCH(4, G$147:G$154, 0))</f>
        <v>U2Y</v>
      </c>
      <c r="L196" s="215" t="s">
        <v>393</v>
      </c>
      <c r="M196" s="172"/>
      <c r="N196" s="172"/>
      <c r="O196" s="172"/>
      <c r="P196" s="172"/>
      <c r="Q196" s="173"/>
    </row>
    <row r="197" spans="1:17" ht="16.95" customHeight="1" x14ac:dyDescent="0.3">
      <c r="L197" s="215" t="s">
        <v>394</v>
      </c>
      <c r="M197" s="172"/>
      <c r="N197" s="172"/>
      <c r="O197" s="172"/>
      <c r="P197" s="172"/>
      <c r="Q197" s="173"/>
    </row>
    <row r="198" spans="1:17" ht="16.95" customHeight="1" x14ac:dyDescent="0.3">
      <c r="A198" s="12" t="str">
        <f>A193</f>
        <v>C1X</v>
      </c>
      <c r="C198" s="17">
        <f t="array" ref="C198:C201">MMULT(C193:F196, H193:H196)</f>
        <v>7500.0000000000018</v>
      </c>
      <c r="D198" s="12" t="s">
        <v>273</v>
      </c>
      <c r="L198" s="215"/>
      <c r="M198" s="172"/>
      <c r="N198" s="172"/>
      <c r="O198" s="172"/>
      <c r="P198" s="172"/>
      <c r="Q198" s="173"/>
    </row>
    <row r="199" spans="1:17" ht="16.95" customHeight="1" x14ac:dyDescent="0.3">
      <c r="A199" s="12" t="str">
        <f>A194</f>
        <v>C1Y</v>
      </c>
      <c r="C199" s="17">
        <v>4711.2114946203938</v>
      </c>
      <c r="D199" s="12" t="s">
        <v>273</v>
      </c>
      <c r="L199" s="215"/>
      <c r="M199" s="172"/>
      <c r="N199" s="172"/>
      <c r="O199" s="172"/>
      <c r="P199" s="172"/>
      <c r="Q199" s="173"/>
    </row>
    <row r="200" spans="1:17" ht="16.95" customHeight="1" x14ac:dyDescent="0.3">
      <c r="A200" s="12" t="str">
        <f>A195</f>
        <v>C2X</v>
      </c>
      <c r="B200" s="13" t="s">
        <v>220</v>
      </c>
      <c r="C200" s="17">
        <v>-10000.000000000002</v>
      </c>
      <c r="D200" s="12" t="s">
        <v>273</v>
      </c>
      <c r="L200" s="215"/>
      <c r="M200" s="172"/>
      <c r="N200" s="172"/>
      <c r="O200" s="172"/>
      <c r="P200" s="172"/>
      <c r="Q200" s="173"/>
    </row>
    <row r="201" spans="1:17" ht="16.95" customHeight="1" x14ac:dyDescent="0.3">
      <c r="A201" s="12" t="str">
        <f>A196</f>
        <v>C2Y</v>
      </c>
      <c r="C201" s="17">
        <v>5288.7885053796062</v>
      </c>
      <c r="D201" s="12" t="s">
        <v>273</v>
      </c>
      <c r="L201" s="215"/>
      <c r="M201" s="172"/>
      <c r="N201" s="172"/>
      <c r="O201" s="172"/>
      <c r="P201" s="172"/>
      <c r="Q201" s="173"/>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6.5433492980838809E-2</v>
      </c>
    </row>
    <row r="211" spans="1:17" ht="19.05" customHeight="1" x14ac:dyDescent="0.3">
      <c r="A211" s="12" t="s">
        <v>234</v>
      </c>
      <c r="B211" s="12" t="s">
        <v>183</v>
      </c>
      <c r="D211" s="94">
        <f t="shared" si="16"/>
        <v>-0.25050735939473279</v>
      </c>
    </row>
    <row r="212" spans="1:17" ht="19.05" customHeight="1" x14ac:dyDescent="0.3">
      <c r="A212" s="12" t="s">
        <v>235</v>
      </c>
      <c r="B212" s="12" t="s">
        <v>184</v>
      </c>
      <c r="D212" s="94">
        <f t="shared" si="16"/>
        <v>-3.8733173685827883E-2</v>
      </c>
    </row>
    <row r="213" spans="1:17" ht="19.05" customHeight="1" x14ac:dyDescent="0.3">
      <c r="A213" s="12" t="s">
        <v>236</v>
      </c>
      <c r="B213" s="12" t="s">
        <v>185</v>
      </c>
      <c r="D213" s="94">
        <f t="shared" si="16"/>
        <v>-0.24649640793112715</v>
      </c>
    </row>
    <row r="216" spans="1:17" ht="19.95" customHeight="1" x14ac:dyDescent="0.35">
      <c r="A216" s="11" t="s">
        <v>275</v>
      </c>
      <c r="L216" s="216" t="s">
        <v>276</v>
      </c>
      <c r="M216" s="172"/>
      <c r="N216" s="172"/>
      <c r="O216" s="172"/>
      <c r="P216" s="172"/>
      <c r="Q216" s="173"/>
    </row>
    <row r="217" spans="1:17" ht="16.95" customHeight="1" x14ac:dyDescent="0.3">
      <c r="L217" s="215" t="s">
        <v>395</v>
      </c>
      <c r="M217" s="172"/>
      <c r="N217" s="172"/>
      <c r="O217" s="172"/>
      <c r="P217" s="172"/>
      <c r="Q217" s="173"/>
    </row>
    <row r="218" spans="1:17" ht="16.95" customHeight="1" x14ac:dyDescent="0.3">
      <c r="A218" s="19" t="s">
        <v>278</v>
      </c>
      <c r="C218" s="19" t="s">
        <v>279</v>
      </c>
      <c r="D218" s="19" t="s">
        <v>280</v>
      </c>
      <c r="E218" s="19" t="s">
        <v>279</v>
      </c>
      <c r="F218" s="19" t="s">
        <v>280</v>
      </c>
      <c r="G218" s="19" t="s">
        <v>249</v>
      </c>
      <c r="L218" s="215" t="s">
        <v>396</v>
      </c>
      <c r="M218" s="172"/>
      <c r="N218" s="172"/>
      <c r="O218" s="172"/>
      <c r="P218" s="172"/>
      <c r="Q218" s="173"/>
    </row>
    <row r="219" spans="1:17" ht="16.95" customHeight="1" x14ac:dyDescent="0.3">
      <c r="C219" s="19" t="s">
        <v>282</v>
      </c>
      <c r="D219" s="19" t="s">
        <v>282</v>
      </c>
      <c r="E219" s="19" t="s">
        <v>283</v>
      </c>
      <c r="F219" s="19" t="s">
        <v>283</v>
      </c>
      <c r="L219" s="215" t="s">
        <v>397</v>
      </c>
      <c r="M219" s="172"/>
      <c r="N219" s="172"/>
      <c r="O219" s="172"/>
      <c r="P219" s="172"/>
      <c r="Q219" s="173"/>
    </row>
    <row r="220" spans="1:17" ht="16.95" customHeight="1" x14ac:dyDescent="0.3">
      <c r="A220" s="17">
        <f>N6</f>
        <v>72000</v>
      </c>
      <c r="C220" s="92">
        <f>-J6</f>
        <v>0</v>
      </c>
      <c r="D220" s="92">
        <f>-K6</f>
        <v>-1</v>
      </c>
      <c r="E220" s="92">
        <f>J6</f>
        <v>0</v>
      </c>
      <c r="F220" s="92">
        <f>K6</f>
        <v>1</v>
      </c>
      <c r="G220" s="96">
        <f>IFERROR(VLOOKUP(H220, A$206:D$213, 4, FALSE), 0)</f>
        <v>0</v>
      </c>
      <c r="H220" s="12" t="str">
        <f>"D" &amp; C15 &amp; "X"</f>
        <v>D1X</v>
      </c>
      <c r="L220" s="215" t="s">
        <v>398</v>
      </c>
      <c r="M220" s="172"/>
      <c r="N220" s="172"/>
      <c r="O220" s="172"/>
      <c r="P220" s="172"/>
      <c r="Q220" s="173"/>
    </row>
    <row r="221" spans="1:17" ht="16.95" customHeight="1" x14ac:dyDescent="0.3">
      <c r="A221" s="99" t="s">
        <v>285</v>
      </c>
      <c r="B221" s="97">
        <f>(MMULT(C220:F220, G220:G223)*A220)</f>
        <v>0</v>
      </c>
      <c r="G221" s="96">
        <f>IFERROR(VLOOKUP(H221, A$206:D$213, 4, FALSE), 0)</f>
        <v>0</v>
      </c>
      <c r="H221" s="12" t="str">
        <f>"D" &amp; D15 &amp; "Y"</f>
        <v>D1Y</v>
      </c>
      <c r="L221" s="215" t="s">
        <v>399</v>
      </c>
      <c r="M221" s="172"/>
      <c r="N221" s="172"/>
      <c r="O221" s="172"/>
      <c r="P221" s="172"/>
      <c r="Q221" s="173"/>
    </row>
    <row r="222" spans="1:17" ht="16.95" customHeight="1" x14ac:dyDescent="0.3">
      <c r="G222" s="96">
        <f>IFERROR(VLOOKUP(H222, A$206:D$213, 4, FALSE), 0)</f>
        <v>0</v>
      </c>
      <c r="H222" s="12" t="str">
        <f>"D" &amp; E15 &amp; "X"</f>
        <v>D2X</v>
      </c>
      <c r="L222" s="215" t="s">
        <v>400</v>
      </c>
      <c r="M222" s="172"/>
      <c r="N222" s="172"/>
      <c r="O222" s="172"/>
      <c r="P222" s="172"/>
      <c r="Q222" s="173"/>
    </row>
    <row r="223" spans="1:17" ht="16.95" customHeight="1" x14ac:dyDescent="0.3">
      <c r="G223" s="96">
        <f>IFERROR(VLOOKUP(H223, A$206:D$213, 4, FALSE), 0)</f>
        <v>0</v>
      </c>
      <c r="H223" s="12" t="str">
        <f>"D" &amp; F15 &amp; "Y"</f>
        <v>D2Y</v>
      </c>
      <c r="L223" s="215" t="s">
        <v>401</v>
      </c>
      <c r="M223" s="172"/>
      <c r="N223" s="172"/>
      <c r="O223" s="172"/>
      <c r="P223" s="172"/>
      <c r="Q223" s="173"/>
    </row>
    <row r="224" spans="1:17" ht="16.95" customHeight="1" x14ac:dyDescent="0.3">
      <c r="B224" s="99" t="s">
        <v>273</v>
      </c>
      <c r="C224" s="178" t="str">
        <f>IF(B221&gt;0.001,"BARRA A TRACCIÓN (+)",IF(B221&lt;-0.001,"BARRA A COMPRESIÓN (-)","BARRA DE FUERZA NULA"))</f>
        <v>BARRA DE FUERZA NULA</v>
      </c>
      <c r="D224" s="172"/>
      <c r="E224" s="172"/>
      <c r="F224" s="173"/>
      <c r="L224" s="215" t="s">
        <v>402</v>
      </c>
      <c r="M224" s="172"/>
      <c r="N224" s="172"/>
      <c r="O224" s="172"/>
      <c r="P224" s="172"/>
      <c r="Q224" s="173"/>
    </row>
    <row r="225" spans="1:17" ht="16.95" customHeight="1" x14ac:dyDescent="0.3">
      <c r="L225" s="215" t="s">
        <v>403</v>
      </c>
      <c r="M225" s="172"/>
      <c r="N225" s="172"/>
      <c r="O225" s="172"/>
      <c r="P225" s="172"/>
      <c r="Q225" s="173"/>
    </row>
    <row r="226" spans="1:17" ht="16.95" customHeight="1" x14ac:dyDescent="0.3">
      <c r="A226" s="19" t="s">
        <v>278</v>
      </c>
      <c r="C226" s="19" t="s">
        <v>279</v>
      </c>
      <c r="D226" s="19" t="s">
        <v>280</v>
      </c>
      <c r="E226" s="19" t="s">
        <v>279</v>
      </c>
      <c r="F226" s="19" t="s">
        <v>280</v>
      </c>
      <c r="G226" s="19" t="s">
        <v>249</v>
      </c>
      <c r="L226" s="215"/>
      <c r="M226" s="172"/>
      <c r="N226" s="172"/>
      <c r="O226" s="172"/>
      <c r="P226" s="172"/>
      <c r="Q226" s="173"/>
    </row>
    <row r="227" spans="1:17" ht="16.95" customHeight="1" x14ac:dyDescent="0.3">
      <c r="C227" s="19" t="s">
        <v>282</v>
      </c>
      <c r="D227" s="19" t="s">
        <v>282</v>
      </c>
      <c r="E227" s="19" t="s">
        <v>283</v>
      </c>
      <c r="F227" s="19" t="s">
        <v>283</v>
      </c>
      <c r="L227" s="215"/>
      <c r="M227" s="172"/>
      <c r="N227" s="172"/>
      <c r="O227" s="172"/>
      <c r="P227" s="172"/>
      <c r="Q227" s="173"/>
    </row>
    <row r="228" spans="1:17" ht="16.95" customHeight="1" x14ac:dyDescent="0.3">
      <c r="A228" s="17">
        <f>N7</f>
        <v>72000</v>
      </c>
      <c r="C228" s="92">
        <f>-J7</f>
        <v>-1</v>
      </c>
      <c r="D228" s="92">
        <f>-K7</f>
        <v>0</v>
      </c>
      <c r="E228" s="92">
        <f>J7</f>
        <v>1</v>
      </c>
      <c r="F228" s="92">
        <f>K7</f>
        <v>0</v>
      </c>
      <c r="G228" s="96">
        <f>IFERROR(VLOOKUP(H228, A$206:D$213, 4, FALSE), 0)</f>
        <v>0</v>
      </c>
      <c r="H228" s="12" t="str">
        <f>"D" &amp; C16 &amp; "X"</f>
        <v>D2X</v>
      </c>
      <c r="L228" s="215"/>
      <c r="M228" s="172"/>
      <c r="N228" s="172"/>
      <c r="O228" s="172"/>
      <c r="P228" s="172"/>
      <c r="Q228" s="173"/>
    </row>
    <row r="229" spans="1:17" ht="16.95" customHeight="1" x14ac:dyDescent="0.3">
      <c r="A229" s="99" t="s">
        <v>286</v>
      </c>
      <c r="B229" s="97">
        <f>(MMULT(C228:F228, G228:G231)*A228)</f>
        <v>4711.2114946203947</v>
      </c>
      <c r="G229" s="96">
        <f>IFERROR(VLOOKUP(H229, A$206:D$213, 4, FALSE), 0)</f>
        <v>0</v>
      </c>
      <c r="H229" s="12" t="str">
        <f>"D" &amp; D16 &amp; "Y"</f>
        <v>D2Y</v>
      </c>
      <c r="L229" s="215"/>
      <c r="M229" s="172"/>
      <c r="N229" s="172"/>
      <c r="O229" s="172"/>
      <c r="P229" s="172"/>
      <c r="Q229" s="173"/>
    </row>
    <row r="230" spans="1:17" ht="16.95" customHeight="1" x14ac:dyDescent="0.3">
      <c r="G230" s="96">
        <f>IFERROR(VLOOKUP(H230, A$206:D$213, 4, FALSE), 0)</f>
        <v>6.5433492980838809E-2</v>
      </c>
      <c r="H230" s="12" t="str">
        <f>"D" &amp; E16 &amp; "X"</f>
        <v>D3X</v>
      </c>
      <c r="L230" s="215"/>
      <c r="M230" s="172"/>
      <c r="N230" s="172"/>
      <c r="O230" s="172"/>
      <c r="P230" s="172"/>
      <c r="Q230" s="173"/>
    </row>
    <row r="231" spans="1:17" ht="16.95" customHeight="1" x14ac:dyDescent="0.3">
      <c r="G231" s="96">
        <f>IFERROR(VLOOKUP(H231, A$206:D$213, 4, FALSE), 0)</f>
        <v>-0.25050735939473279</v>
      </c>
      <c r="H231" s="12" t="str">
        <f>"D" &amp; F16 &amp; "Y"</f>
        <v>D3Y</v>
      </c>
      <c r="L231" s="215"/>
      <c r="M231" s="172"/>
      <c r="N231" s="172"/>
      <c r="O231" s="172"/>
      <c r="P231" s="172"/>
      <c r="Q231" s="173"/>
    </row>
    <row r="232" spans="1:17" ht="16.95" customHeight="1" x14ac:dyDescent="0.3">
      <c r="B232" s="99" t="s">
        <v>273</v>
      </c>
      <c r="C232" s="178" t="str">
        <f>IF(B229&gt;0.001,"BARRA A TRACCIÓN (+)",IF(B229&lt;-0.001,"BARRA A COMPRESIÓN (-)","BARRA DE FUERZA NULA"))</f>
        <v>BARRA A TRACCIÓN (+)</v>
      </c>
      <c r="D232" s="172"/>
      <c r="E232" s="172"/>
      <c r="F232" s="173"/>
      <c r="L232" s="215"/>
      <c r="M232" s="172"/>
      <c r="N232" s="172"/>
      <c r="O232" s="172"/>
      <c r="P232" s="172"/>
      <c r="Q232" s="173"/>
    </row>
    <row r="233" spans="1:17" ht="16.95" customHeight="1" x14ac:dyDescent="0.3">
      <c r="L233" s="215"/>
      <c r="M233" s="172"/>
      <c r="N233" s="172"/>
      <c r="O233" s="172"/>
      <c r="P233" s="172"/>
      <c r="Q233" s="173"/>
    </row>
    <row r="234" spans="1:17" ht="16.95" customHeight="1" x14ac:dyDescent="0.3">
      <c r="A234" s="19" t="s">
        <v>278</v>
      </c>
      <c r="C234" s="19" t="s">
        <v>279</v>
      </c>
      <c r="D234" s="19" t="s">
        <v>280</v>
      </c>
      <c r="E234" s="19" t="s">
        <v>279</v>
      </c>
      <c r="F234" s="19" t="s">
        <v>280</v>
      </c>
      <c r="G234" s="19" t="s">
        <v>249</v>
      </c>
      <c r="L234" s="215"/>
      <c r="M234" s="172"/>
      <c r="N234" s="172"/>
      <c r="O234" s="172"/>
      <c r="P234" s="172"/>
      <c r="Q234" s="173"/>
    </row>
    <row r="235" spans="1:17" ht="16.95" customHeight="1" x14ac:dyDescent="0.3">
      <c r="C235" s="19" t="s">
        <v>282</v>
      </c>
      <c r="D235" s="19" t="s">
        <v>282</v>
      </c>
      <c r="E235" s="19" t="s">
        <v>283</v>
      </c>
      <c r="F235" s="19" t="s">
        <v>283</v>
      </c>
      <c r="L235" s="215"/>
      <c r="M235" s="172"/>
      <c r="N235" s="172"/>
      <c r="O235" s="172"/>
      <c r="P235" s="172"/>
      <c r="Q235" s="173"/>
    </row>
    <row r="236" spans="1:17" ht="16.95" customHeight="1" x14ac:dyDescent="0.3">
      <c r="A236" s="17">
        <f>N8</f>
        <v>72000</v>
      </c>
      <c r="C236" s="92">
        <f>-J8</f>
        <v>0</v>
      </c>
      <c r="D236" s="92">
        <f>-K8</f>
        <v>1</v>
      </c>
      <c r="E236" s="92">
        <f>J8</f>
        <v>0</v>
      </c>
      <c r="F236" s="92">
        <f>K8</f>
        <v>-1</v>
      </c>
      <c r="G236" s="96">
        <f>IFERROR(VLOOKUP(H236, A$206:D$213, 4, FALSE), 0)</f>
        <v>6.5433492980838809E-2</v>
      </c>
      <c r="H236" s="12" t="str">
        <f>"D" &amp; C17 &amp; "X"</f>
        <v>D3X</v>
      </c>
      <c r="L236" s="215"/>
      <c r="M236" s="172"/>
      <c r="N236" s="172"/>
      <c r="O236" s="172"/>
      <c r="P236" s="172"/>
      <c r="Q236" s="173"/>
    </row>
    <row r="237" spans="1:17" ht="16.95" customHeight="1" x14ac:dyDescent="0.3">
      <c r="A237" s="99" t="s">
        <v>287</v>
      </c>
      <c r="B237" s="97">
        <f>(MMULT(C236:F236, G236:G239)*A236)</f>
        <v>-288.78850537960597</v>
      </c>
      <c r="G237" s="96">
        <f>IFERROR(VLOOKUP(H237, A$206:D$213, 4, FALSE), 0)</f>
        <v>-0.25050735939473279</v>
      </c>
      <c r="H237" s="12" t="str">
        <f>"D" &amp; D17 &amp; "Y"</f>
        <v>D3Y</v>
      </c>
      <c r="L237" s="215"/>
      <c r="M237" s="172"/>
      <c r="N237" s="172"/>
      <c r="O237" s="172"/>
      <c r="P237" s="172"/>
      <c r="Q237" s="173"/>
    </row>
    <row r="238" spans="1:17" ht="16.95" customHeight="1" x14ac:dyDescent="0.3">
      <c r="G238" s="96">
        <f>IFERROR(VLOOKUP(H238, A$206:D$213, 4, FALSE), 0)</f>
        <v>-3.8733173685827883E-2</v>
      </c>
      <c r="H238" s="12" t="str">
        <f>"D" &amp; E17 &amp; "X"</f>
        <v>D4X</v>
      </c>
      <c r="L238" s="215"/>
      <c r="M238" s="172"/>
      <c r="N238" s="172"/>
      <c r="O238" s="172"/>
      <c r="P238" s="172"/>
      <c r="Q238" s="173"/>
    </row>
    <row r="239" spans="1:17" ht="16.95" customHeight="1" x14ac:dyDescent="0.3">
      <c r="G239" s="96">
        <f>IFERROR(VLOOKUP(H239, A$206:D$213, 4, FALSE), 0)</f>
        <v>-0.24649640793112715</v>
      </c>
      <c r="H239" s="12" t="str">
        <f>"D" &amp; F17 &amp; "Y"</f>
        <v>D4Y</v>
      </c>
      <c r="L239" s="215"/>
      <c r="M239" s="172"/>
      <c r="N239" s="172"/>
      <c r="O239" s="172"/>
      <c r="P239" s="172"/>
      <c r="Q239" s="173"/>
    </row>
    <row r="240" spans="1:17" ht="16.95" customHeight="1" x14ac:dyDescent="0.3">
      <c r="B240" s="99" t="s">
        <v>273</v>
      </c>
      <c r="C240" s="178" t="str">
        <f>IF(B237&gt;0.001,"BARRA A TRACCIÓN (+)",IF(B237&lt;-0.001,"BARRA A COMPRESIÓN (-)","BARRA DE FUERZA NULA"))</f>
        <v>BARRA A COMPRESIÓN (-)</v>
      </c>
      <c r="D240" s="172"/>
      <c r="E240" s="172"/>
      <c r="F240" s="173"/>
      <c r="L240" s="215"/>
      <c r="M240" s="172"/>
      <c r="N240" s="172"/>
      <c r="O240" s="172"/>
      <c r="P240" s="172"/>
      <c r="Q240" s="173"/>
    </row>
    <row r="241" spans="1:17" ht="16.95" customHeight="1" x14ac:dyDescent="0.3">
      <c r="L241" s="215"/>
      <c r="M241" s="172"/>
      <c r="N241" s="172"/>
      <c r="O241" s="172"/>
      <c r="P241" s="172"/>
      <c r="Q241" s="173"/>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72000</v>
      </c>
      <c r="C244" s="92">
        <f>-J9</f>
        <v>1</v>
      </c>
      <c r="D244" s="92">
        <f>-K9</f>
        <v>0</v>
      </c>
      <c r="E244" s="92">
        <f>J9</f>
        <v>-1</v>
      </c>
      <c r="F244" s="92">
        <f>K9</f>
        <v>0</v>
      </c>
      <c r="G244" s="96">
        <f>IFERROR(VLOOKUP(H244, A$206:D$213, 4, FALSE), 0)</f>
        <v>-3.8733173685827883E-2</v>
      </c>
      <c r="H244" s="12" t="str">
        <f>"D" &amp; C18 &amp; "X"</f>
        <v>D4X</v>
      </c>
    </row>
    <row r="245" spans="1:17" ht="19.95" customHeight="1" x14ac:dyDescent="0.3">
      <c r="A245" s="99" t="s">
        <v>288</v>
      </c>
      <c r="B245" s="97">
        <f>(MMULT(C244:F244, G244:G247)*A244)</f>
        <v>-2788.7885053796076</v>
      </c>
      <c r="G245" s="96">
        <f>IFERROR(VLOOKUP(H245, A$206:D$213, 4, FALSE), 0)</f>
        <v>-0.24649640793112715</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78" t="str">
        <f>IF(B245&gt;0.001,"BARRA A TRACCIÓN (+)",IF(B245&lt;-0.001,"BARRA A COMPRESIÓN (-)","BARRA DE FUERZA NULA"))</f>
        <v>BARRA A COMPRESIÓN (-)</v>
      </c>
      <c r="D248" s="172"/>
      <c r="E248" s="172"/>
      <c r="F248" s="173"/>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50911.688245431418</v>
      </c>
      <c r="C252" s="92">
        <f>-J10</f>
        <v>-0.70710678118654746</v>
      </c>
      <c r="D252" s="92">
        <f>-K10</f>
        <v>-0.70710678118654746</v>
      </c>
      <c r="E252" s="92">
        <f>J10</f>
        <v>0.70710678118654746</v>
      </c>
      <c r="F252" s="92">
        <f>K10</f>
        <v>0.70710678118654746</v>
      </c>
      <c r="G252" s="96">
        <f>IFERROR(VLOOKUP(H252, A$206:D$213, 4, FALSE), 0)</f>
        <v>0</v>
      </c>
      <c r="H252" s="12" t="str">
        <f>"D" &amp; C19 &amp; "X"</f>
        <v>D1X</v>
      </c>
    </row>
    <row r="253" spans="1:17" ht="19.95" customHeight="1" x14ac:dyDescent="0.3">
      <c r="A253" s="99" t="s">
        <v>289</v>
      </c>
      <c r="B253" s="97">
        <f>(MMULT(C252:F252, G252:G255)*A252)</f>
        <v>-6662.6591909001818</v>
      </c>
      <c r="G253" s="96">
        <f>IFERROR(VLOOKUP(H253, A$206:D$213, 4, FALSE), 0)</f>
        <v>0</v>
      </c>
      <c r="H253" s="12" t="str">
        <f>"D" &amp; D19 &amp; "Y"</f>
        <v>D1Y</v>
      </c>
    </row>
    <row r="254" spans="1:17" ht="19.95" customHeight="1" x14ac:dyDescent="0.3">
      <c r="G254" s="96">
        <f>IFERROR(VLOOKUP(H254, A$206:D$213, 4, FALSE), 0)</f>
        <v>6.5433492980838809E-2</v>
      </c>
      <c r="H254" s="12" t="str">
        <f>"D" &amp; E19 &amp; "X"</f>
        <v>D3X</v>
      </c>
    </row>
    <row r="255" spans="1:17" ht="19.95" customHeight="1" x14ac:dyDescent="0.3">
      <c r="G255" s="96">
        <f>IFERROR(VLOOKUP(H255, A$206:D$213, 4, FALSE), 0)</f>
        <v>-0.25050735939473279</v>
      </c>
      <c r="H255" s="12" t="str">
        <f>"D" &amp; F19 &amp; "Y"</f>
        <v>D3Y</v>
      </c>
    </row>
    <row r="256" spans="1:17" ht="19.95" customHeight="1" x14ac:dyDescent="0.3">
      <c r="B256" s="99" t="s">
        <v>273</v>
      </c>
      <c r="C256" s="178" t="str">
        <f>IF(B253&gt;0.001,"BARRA A TRACCIÓN (+)",IF(B253&lt;-0.001,"BARRA A COMPRESIÓN (-)","BARRA DE FUERZA NULA"))</f>
        <v>BARRA A COMPRESIÓN (-)</v>
      </c>
      <c r="D256" s="172"/>
      <c r="E256" s="172"/>
      <c r="F256" s="173"/>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50911.688245431418</v>
      </c>
      <c r="C260" s="92">
        <f>-J11</f>
        <v>-0.70710678118654746</v>
      </c>
      <c r="D260" s="92">
        <f>-K11</f>
        <v>0.70710678118654746</v>
      </c>
      <c r="E260" s="92">
        <f>J11</f>
        <v>0.70710678118654746</v>
      </c>
      <c r="F260" s="92">
        <f>K11</f>
        <v>-0.70710678118654746</v>
      </c>
      <c r="G260" s="96">
        <f>IFERROR(VLOOKUP(H260, A$206:D$213, 4, FALSE), 0)</f>
        <v>0</v>
      </c>
      <c r="H260" s="12" t="str">
        <f>"D" &amp; C20 &amp; "X"</f>
        <v>D2X</v>
      </c>
    </row>
    <row r="261" spans="1:8" ht="19.95" customHeight="1" x14ac:dyDescent="0.3">
      <c r="A261" s="99" t="s">
        <v>290</v>
      </c>
      <c r="B261" s="97">
        <f>(MMULT(C260:F260, G260:G263)*A260)</f>
        <v>7479.476432830772</v>
      </c>
      <c r="G261" s="96">
        <f>IFERROR(VLOOKUP(H261, A$206:D$213, 4, FALSE), 0)</f>
        <v>0</v>
      </c>
      <c r="H261" s="12" t="str">
        <f>"D" &amp; D20 &amp; "Y"</f>
        <v>D2Y</v>
      </c>
    </row>
    <row r="262" spans="1:8" ht="19.95" customHeight="1" x14ac:dyDescent="0.3">
      <c r="G262" s="96">
        <f>IFERROR(VLOOKUP(H262, A$206:D$213, 4, FALSE), 0)</f>
        <v>-3.8733173685827883E-2</v>
      </c>
      <c r="H262" s="12" t="str">
        <f>"D" &amp; E20 &amp; "X"</f>
        <v>D4X</v>
      </c>
    </row>
    <row r="263" spans="1:8" ht="19.95" customHeight="1" x14ac:dyDescent="0.3">
      <c r="G263" s="96">
        <f>IFERROR(VLOOKUP(H263, A$206:D$213, 4, FALSE), 0)</f>
        <v>-0.24649640793112715</v>
      </c>
      <c r="H263" s="12" t="str">
        <f>"D" &amp; F20 &amp; "Y"</f>
        <v>D4Y</v>
      </c>
    </row>
    <row r="264" spans="1:8" ht="19.95" customHeight="1" x14ac:dyDescent="0.3">
      <c r="B264" s="99" t="s">
        <v>273</v>
      </c>
      <c r="C264" s="178" t="str">
        <f>IF(B261&gt;0.001,"BARRA A TRACCIÓN (+)",IF(B261&lt;-0.001,"BARRA A COMPRESIÓN (-)","BARRA DE FUERZA NULA"))</f>
        <v>BARRA A TRACCIÓN (+)</v>
      </c>
      <c r="D264" s="172"/>
      <c r="E264" s="172"/>
      <c r="F264" s="173"/>
    </row>
    <row r="267" spans="1:8" ht="22.05" customHeight="1" x14ac:dyDescent="0.3">
      <c r="B267" s="217" t="s">
        <v>404</v>
      </c>
      <c r="C267" s="175"/>
      <c r="D267" s="175"/>
      <c r="E267" s="175"/>
      <c r="F267" s="175"/>
      <c r="G267" s="175"/>
      <c r="H267" s="175"/>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350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350</v>
      </c>
      <c r="F270" s="9">
        <f t="shared" si="20"/>
        <v>12</v>
      </c>
      <c r="G270" s="97">
        <f>B229</f>
        <v>4711.2114946203947</v>
      </c>
      <c r="H270" s="84" t="str">
        <f>C232</f>
        <v>BARRA A TRACCIÓN (+)</v>
      </c>
    </row>
    <row r="271" spans="1:8" ht="19.95" customHeight="1" x14ac:dyDescent="0.3">
      <c r="B271" s="26">
        <v>3</v>
      </c>
      <c r="C271" s="86">
        <f t="shared" si="17"/>
        <v>3</v>
      </c>
      <c r="D271" s="86">
        <f t="shared" si="18"/>
        <v>4</v>
      </c>
      <c r="E271" s="9">
        <f t="shared" si="19"/>
        <v>350</v>
      </c>
      <c r="F271" s="9">
        <f t="shared" si="20"/>
        <v>12</v>
      </c>
      <c r="G271" s="97">
        <f>B237</f>
        <v>-288.78850537960597</v>
      </c>
      <c r="H271" s="84" t="str">
        <f>C240</f>
        <v>BARRA A COMPRESIÓN (-)</v>
      </c>
    </row>
    <row r="272" spans="1:8" ht="19.95" customHeight="1" x14ac:dyDescent="0.3">
      <c r="B272" s="43">
        <v>4</v>
      </c>
      <c r="C272" s="86">
        <f t="shared" si="17"/>
        <v>4</v>
      </c>
      <c r="D272" s="86">
        <f t="shared" si="18"/>
        <v>1</v>
      </c>
      <c r="E272" s="9">
        <f t="shared" si="19"/>
        <v>350</v>
      </c>
      <c r="F272" s="9">
        <f t="shared" si="20"/>
        <v>12</v>
      </c>
      <c r="G272" s="97">
        <f>B245</f>
        <v>-2788.7885053796076</v>
      </c>
      <c r="H272" s="84" t="str">
        <f>C248</f>
        <v>BARRA A COMPRESIÓN (-)</v>
      </c>
    </row>
    <row r="273" spans="2:8" ht="19.95" customHeight="1" x14ac:dyDescent="0.3">
      <c r="B273" s="44">
        <v>5</v>
      </c>
      <c r="C273" s="86">
        <f t="shared" si="17"/>
        <v>1</v>
      </c>
      <c r="D273" s="86">
        <f t="shared" si="18"/>
        <v>3</v>
      </c>
      <c r="E273" s="9">
        <f t="shared" si="19"/>
        <v>494.97474683058329</v>
      </c>
      <c r="F273" s="9">
        <f t="shared" si="20"/>
        <v>12</v>
      </c>
      <c r="G273" s="97">
        <f>B253</f>
        <v>-6662.6591909001818</v>
      </c>
      <c r="H273" s="84" t="str">
        <f>C256</f>
        <v>BARRA A COMPRESIÓN (-)</v>
      </c>
    </row>
    <row r="274" spans="2:8" ht="19.95" customHeight="1" x14ac:dyDescent="0.3">
      <c r="B274" s="51">
        <v>6</v>
      </c>
      <c r="C274" s="86">
        <f t="shared" si="17"/>
        <v>2</v>
      </c>
      <c r="D274" s="86">
        <f t="shared" si="18"/>
        <v>4</v>
      </c>
      <c r="E274" s="9">
        <f t="shared" si="19"/>
        <v>494.97474683058329</v>
      </c>
      <c r="F274" s="9">
        <f t="shared" si="20"/>
        <v>12</v>
      </c>
      <c r="G274" s="97">
        <f>B261</f>
        <v>7479.476432830772</v>
      </c>
      <c r="H274" s="84" t="str">
        <f>C264</f>
        <v>BARRA A TRACCIÓN (+)</v>
      </c>
    </row>
  </sheetData>
  <mergeCells count="116">
    <mergeCell ref="K4:K5"/>
    <mergeCell ref="L142:Q142"/>
    <mergeCell ref="C224:F224"/>
    <mergeCell ref="L234:Q234"/>
    <mergeCell ref="L172:Q172"/>
    <mergeCell ref="L162:Q162"/>
    <mergeCell ref="L156:Q156"/>
    <mergeCell ref="L171:Q171"/>
    <mergeCell ref="L153:Q153"/>
    <mergeCell ref="L238:Q238"/>
    <mergeCell ref="L170:Q170"/>
    <mergeCell ref="E13:F13"/>
    <mergeCell ref="L149:Q149"/>
    <mergeCell ref="L176:Q176"/>
    <mergeCell ref="L158:Q158"/>
    <mergeCell ref="L191:Q191"/>
    <mergeCell ref="L226:Q226"/>
    <mergeCell ref="L164:Q164"/>
    <mergeCell ref="L178:Q178"/>
    <mergeCell ref="L236:Q236"/>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B13:B14"/>
    <mergeCell ref="J4:J5"/>
    <mergeCell ref="L4:L5"/>
    <mergeCell ref="L220:Q220"/>
    <mergeCell ref="L143:Q143"/>
    <mergeCell ref="L139:Q139"/>
    <mergeCell ref="L222:Q222"/>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716</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HYPERLINK("#'AUTOMATIZADA_68'!A1",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10</v>
      </c>
      <c r="E6" s="173"/>
      <c r="F6" s="206">
        <f>SUM(F14:G23)</f>
        <v>4</v>
      </c>
      <c r="G6" s="173"/>
      <c r="H6" s="206">
        <f>D6+F6-2*B6</f>
        <v>2</v>
      </c>
      <c r="I6" s="173"/>
      <c r="J6" s="220" t="str">
        <f>IF(H6=0,"✅ ISOSTÁTICA (Estable y Determinada)",IF(H6&gt;0,"🔷 HIPERESTÁTICA (Grado " &amp; H6 &amp; " - Resoluble por Rigidez)","⚠️ HIPOSTÁTICA (Mecanismo Inestable)"))</f>
        <v>🔷 HIPERESTÁTICA (Grado 2 -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100</v>
      </c>
      <c r="AB9" s="20">
        <f>IF(H29="","",H29)</f>
        <v>300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400</v>
      </c>
      <c r="AB11" s="20">
        <f>IF(F30="","",F30)</f>
        <v>0</v>
      </c>
      <c r="AC11" t="s">
        <v>324</v>
      </c>
    </row>
    <row r="12" spans="2:29" x14ac:dyDescent="0.3">
      <c r="AA12" s="20">
        <f>IF(G30="","",G30)</f>
        <v>300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456</v>
      </c>
      <c r="K14" s="172"/>
      <c r="L14" s="172"/>
      <c r="M14" s="172"/>
      <c r="N14" s="172"/>
      <c r="O14" s="173"/>
      <c r="AA14" s="20">
        <f>IF(E31="","",E31)</f>
        <v>100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205" t="s">
        <v>717</v>
      </c>
      <c r="K15" s="172"/>
      <c r="L15" s="172"/>
      <c r="M15" s="172"/>
      <c r="N15" s="172"/>
      <c r="O15" s="173"/>
      <c r="AA15" s="20">
        <f>IF(G31="","",G31)</f>
        <v>300</v>
      </c>
      <c r="AB15" s="20">
        <f>IF(H31="","",H31)</f>
        <v>300</v>
      </c>
      <c r="AC15" t="s">
        <v>331</v>
      </c>
    </row>
    <row r="16" spans="2:29" ht="19.05" customHeight="1" x14ac:dyDescent="0.3">
      <c r="B16" s="89">
        <v>3</v>
      </c>
      <c r="C16" s="21">
        <v>100</v>
      </c>
      <c r="D16" s="21">
        <v>300</v>
      </c>
      <c r="E16" s="21" t="s">
        <v>326</v>
      </c>
      <c r="F16" s="88">
        <f t="shared" si="0"/>
        <v>0</v>
      </c>
      <c r="G16" s="88">
        <f t="shared" si="1"/>
        <v>0</v>
      </c>
      <c r="H16" s="22">
        <v>2000</v>
      </c>
      <c r="I16" s="22">
        <v>-2000</v>
      </c>
      <c r="J16" s="205" t="s">
        <v>718</v>
      </c>
      <c r="K16" s="172"/>
      <c r="L16" s="172"/>
      <c r="M16" s="172"/>
      <c r="N16" s="172"/>
      <c r="O16" s="173"/>
    </row>
    <row r="17" spans="2:29" ht="19.05" customHeight="1" x14ac:dyDescent="0.3">
      <c r="B17" s="89">
        <v>4</v>
      </c>
      <c r="C17" s="21">
        <v>300</v>
      </c>
      <c r="D17" s="21">
        <v>300</v>
      </c>
      <c r="E17" s="21" t="s">
        <v>326</v>
      </c>
      <c r="F17" s="88">
        <f t="shared" si="0"/>
        <v>0</v>
      </c>
      <c r="G17" s="88">
        <f t="shared" si="1"/>
        <v>0</v>
      </c>
      <c r="H17" s="22">
        <v>2000</v>
      </c>
      <c r="I17" s="22">
        <v>-2000</v>
      </c>
      <c r="J17" s="205" t="s">
        <v>719</v>
      </c>
      <c r="K17" s="172"/>
      <c r="L17" s="172"/>
      <c r="M17" s="172"/>
      <c r="N17" s="172"/>
      <c r="O17" s="173"/>
      <c r="AA17" s="20">
        <f>IF(E32="","",E32)</f>
        <v>0</v>
      </c>
      <c r="AB17" s="20">
        <f>IF(F32="","",F32)</f>
        <v>0</v>
      </c>
      <c r="AC17" t="s">
        <v>334</v>
      </c>
    </row>
    <row r="18" spans="2:29" ht="19.05" customHeight="1" x14ac:dyDescent="0.3">
      <c r="B18" s="89">
        <v>5</v>
      </c>
      <c r="C18" s="21">
        <v>150</v>
      </c>
      <c r="D18" s="21">
        <v>600</v>
      </c>
      <c r="E18" s="21" t="s">
        <v>326</v>
      </c>
      <c r="F18" s="88">
        <f t="shared" si="0"/>
        <v>0</v>
      </c>
      <c r="G18" s="88">
        <f t="shared" si="1"/>
        <v>0</v>
      </c>
      <c r="H18" s="22">
        <v>3000</v>
      </c>
      <c r="I18" s="22">
        <v>-1500</v>
      </c>
      <c r="J18" s="205" t="s">
        <v>720</v>
      </c>
      <c r="K18" s="172"/>
      <c r="L18" s="172"/>
      <c r="M18" s="172"/>
      <c r="N18" s="172"/>
      <c r="O18" s="173"/>
      <c r="AA18" s="20">
        <f>IF(G32="","",G32)</f>
        <v>300</v>
      </c>
      <c r="AB18" s="20">
        <f>IF(H32="","",H32)</f>
        <v>300</v>
      </c>
      <c r="AC18" t="s">
        <v>335</v>
      </c>
    </row>
    <row r="19" spans="2:29" ht="19.05" customHeight="1" x14ac:dyDescent="0.3">
      <c r="B19" s="89">
        <v>6</v>
      </c>
      <c r="C19" s="21">
        <v>250</v>
      </c>
      <c r="D19" s="21">
        <v>600</v>
      </c>
      <c r="E19" s="21" t="s">
        <v>326</v>
      </c>
      <c r="F19" s="88">
        <f t="shared" si="0"/>
        <v>0</v>
      </c>
      <c r="G19" s="88">
        <f t="shared" si="1"/>
        <v>0</v>
      </c>
      <c r="H19" s="22">
        <v>3000</v>
      </c>
      <c r="I19" s="22">
        <v>-1500</v>
      </c>
      <c r="J19" s="205" t="s">
        <v>721</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100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100</v>
      </c>
      <c r="AB23" s="20">
        <f>IF(F34="","",F34)</f>
        <v>300</v>
      </c>
      <c r="AC23" t="s">
        <v>338</v>
      </c>
    </row>
    <row r="24" spans="2:29" x14ac:dyDescent="0.3">
      <c r="AA24" s="20">
        <f>IF(G34="","",G34)</f>
        <v>150</v>
      </c>
      <c r="AB24" s="20">
        <f>IF(H34="","",H34)</f>
        <v>600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300</v>
      </c>
      <c r="AB26" s="20">
        <f>IF(F35="","",F35)</f>
        <v>300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250</v>
      </c>
      <c r="AB27" s="20">
        <f>IF(H35="","",H35)</f>
        <v>600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100</v>
      </c>
      <c r="H29" s="5">
        <f t="shared" si="5"/>
        <v>300</v>
      </c>
      <c r="I29" s="9">
        <f t="shared" si="6"/>
        <v>100</v>
      </c>
      <c r="J29" s="9">
        <f t="shared" si="7"/>
        <v>300</v>
      </c>
      <c r="K29" s="9">
        <f t="shared" si="8"/>
        <v>316.22776601683796</v>
      </c>
      <c r="L29" s="92">
        <f t="shared" si="9"/>
        <v>0.31622776601683789</v>
      </c>
      <c r="M29" s="92">
        <f t="shared" si="10"/>
        <v>0.94868329805051377</v>
      </c>
      <c r="N29" s="22">
        <v>12</v>
      </c>
      <c r="O29" s="24">
        <v>2100000</v>
      </c>
      <c r="AA29" s="20">
        <f>IF(E36="","",E36)</f>
        <v>150</v>
      </c>
      <c r="AB29" s="20">
        <f>IF(F36="","",F36)</f>
        <v>600</v>
      </c>
      <c r="AC29" t="s">
        <v>353</v>
      </c>
    </row>
    <row r="30" spans="2:29" ht="19.05" customHeight="1" x14ac:dyDescent="0.3">
      <c r="B30" s="89">
        <v>3</v>
      </c>
      <c r="C30" s="23">
        <v>2</v>
      </c>
      <c r="D30" s="23">
        <v>4</v>
      </c>
      <c r="E30" s="5">
        <f t="shared" si="2"/>
        <v>400</v>
      </c>
      <c r="F30" s="5">
        <f t="shared" si="3"/>
        <v>0</v>
      </c>
      <c r="G30" s="5">
        <f t="shared" si="4"/>
        <v>300</v>
      </c>
      <c r="H30" s="5">
        <f t="shared" si="5"/>
        <v>300</v>
      </c>
      <c r="I30" s="9">
        <f t="shared" si="6"/>
        <v>-100</v>
      </c>
      <c r="J30" s="9">
        <f t="shared" si="7"/>
        <v>300</v>
      </c>
      <c r="K30" s="9">
        <f t="shared" si="8"/>
        <v>316.22776601683796</v>
      </c>
      <c r="L30" s="92">
        <f t="shared" si="9"/>
        <v>-0.31622776601683789</v>
      </c>
      <c r="M30" s="92">
        <f t="shared" si="10"/>
        <v>0.94868329805051377</v>
      </c>
      <c r="N30" s="22">
        <v>12</v>
      </c>
      <c r="O30" s="24">
        <v>2100000</v>
      </c>
      <c r="AA30" s="20">
        <f>IF(G36="","",G36)</f>
        <v>250</v>
      </c>
      <c r="AB30" s="20">
        <f>IF(H36="","",H36)</f>
        <v>600</v>
      </c>
      <c r="AC30" t="s">
        <v>354</v>
      </c>
    </row>
    <row r="31" spans="2:29" ht="19.05" customHeight="1" x14ac:dyDescent="0.3">
      <c r="B31" s="89">
        <v>4</v>
      </c>
      <c r="C31" s="23">
        <v>3</v>
      </c>
      <c r="D31" s="23">
        <v>4</v>
      </c>
      <c r="E31" s="5">
        <f t="shared" si="2"/>
        <v>100</v>
      </c>
      <c r="F31" s="5">
        <f t="shared" si="3"/>
        <v>300</v>
      </c>
      <c r="G31" s="5">
        <f t="shared" si="4"/>
        <v>300</v>
      </c>
      <c r="H31" s="5">
        <f t="shared" si="5"/>
        <v>300</v>
      </c>
      <c r="I31" s="9">
        <f t="shared" si="6"/>
        <v>200</v>
      </c>
      <c r="J31" s="9">
        <f t="shared" si="7"/>
        <v>0</v>
      </c>
      <c r="K31" s="9">
        <f t="shared" si="8"/>
        <v>200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100</v>
      </c>
      <c r="AB32" s="20">
        <f>IF(F37="","",F37)</f>
        <v>300</v>
      </c>
      <c r="AC32" t="s">
        <v>355</v>
      </c>
    </row>
    <row r="33" spans="2:29" ht="19.05" customHeight="1" x14ac:dyDescent="0.3">
      <c r="B33" s="89">
        <v>6</v>
      </c>
      <c r="C33" s="23">
        <v>2</v>
      </c>
      <c r="D33" s="23">
        <v>3</v>
      </c>
      <c r="E33" s="5">
        <f t="shared" si="2"/>
        <v>400</v>
      </c>
      <c r="F33" s="5">
        <f t="shared" si="3"/>
        <v>0</v>
      </c>
      <c r="G33" s="5">
        <f t="shared" si="4"/>
        <v>100</v>
      </c>
      <c r="H33" s="5">
        <f t="shared" si="5"/>
        <v>300</v>
      </c>
      <c r="I33" s="9">
        <f t="shared" si="6"/>
        <v>-300</v>
      </c>
      <c r="J33" s="9">
        <f t="shared" si="7"/>
        <v>300</v>
      </c>
      <c r="K33" s="9">
        <f t="shared" si="8"/>
        <v>424.26406871192853</v>
      </c>
      <c r="L33" s="92">
        <f t="shared" si="9"/>
        <v>-0.70710678118654746</v>
      </c>
      <c r="M33" s="92">
        <f t="shared" si="10"/>
        <v>0.70710678118654746</v>
      </c>
      <c r="N33" s="22">
        <v>12</v>
      </c>
      <c r="O33" s="24">
        <v>2100000</v>
      </c>
      <c r="AA33" s="20">
        <f>IF(G37="","",G37)</f>
        <v>250</v>
      </c>
      <c r="AB33" s="20">
        <f>IF(H37="","",H37)</f>
        <v>600</v>
      </c>
      <c r="AC33" t="s">
        <v>356</v>
      </c>
    </row>
    <row r="34" spans="2:29" ht="19.05" customHeight="1" x14ac:dyDescent="0.3">
      <c r="B34" s="89">
        <v>7</v>
      </c>
      <c r="C34" s="23">
        <v>3</v>
      </c>
      <c r="D34" s="23">
        <v>5</v>
      </c>
      <c r="E34" s="5">
        <f t="shared" si="2"/>
        <v>100</v>
      </c>
      <c r="F34" s="5">
        <f t="shared" si="3"/>
        <v>300</v>
      </c>
      <c r="G34" s="5">
        <f t="shared" si="4"/>
        <v>150</v>
      </c>
      <c r="H34" s="5">
        <f t="shared" si="5"/>
        <v>600</v>
      </c>
      <c r="I34" s="9">
        <f t="shared" si="6"/>
        <v>50</v>
      </c>
      <c r="J34" s="9">
        <f t="shared" si="7"/>
        <v>300</v>
      </c>
      <c r="K34" s="9">
        <f t="shared" si="8"/>
        <v>304.13812651491099</v>
      </c>
      <c r="L34" s="92">
        <f t="shared" si="9"/>
        <v>0.16439898730535729</v>
      </c>
      <c r="M34" s="92">
        <f t="shared" si="10"/>
        <v>0.98639392383214375</v>
      </c>
      <c r="N34" s="22">
        <v>12</v>
      </c>
      <c r="O34" s="24">
        <v>2100000</v>
      </c>
    </row>
    <row r="35" spans="2:29" ht="19.05" customHeight="1" x14ac:dyDescent="0.3">
      <c r="B35" s="89">
        <v>8</v>
      </c>
      <c r="C35" s="23">
        <v>4</v>
      </c>
      <c r="D35" s="23">
        <v>6</v>
      </c>
      <c r="E35" s="5">
        <f t="shared" si="2"/>
        <v>300</v>
      </c>
      <c r="F35" s="5">
        <f t="shared" si="3"/>
        <v>300</v>
      </c>
      <c r="G35" s="5">
        <f t="shared" si="4"/>
        <v>250</v>
      </c>
      <c r="H35" s="5">
        <f t="shared" si="5"/>
        <v>600</v>
      </c>
      <c r="I35" s="9">
        <f t="shared" si="6"/>
        <v>-50</v>
      </c>
      <c r="J35" s="9">
        <f t="shared" si="7"/>
        <v>300</v>
      </c>
      <c r="K35" s="9">
        <f t="shared" si="8"/>
        <v>304.13812651491099</v>
      </c>
      <c r="L35" s="92">
        <f t="shared" si="9"/>
        <v>-0.16439898730535729</v>
      </c>
      <c r="M35" s="92">
        <f t="shared" si="10"/>
        <v>0.98639392383214375</v>
      </c>
      <c r="N35" s="22">
        <v>12</v>
      </c>
      <c r="O35" s="24">
        <v>2100000</v>
      </c>
      <c r="AA35" s="20" t="str">
        <f>IF(E38="","",E38)</f>
        <v/>
      </c>
      <c r="AB35" s="20" t="str">
        <f>IF(F38="","",F38)</f>
        <v/>
      </c>
      <c r="AC35" t="s">
        <v>357</v>
      </c>
    </row>
    <row r="36" spans="2:29" ht="19.05" customHeight="1" x14ac:dyDescent="0.3">
      <c r="B36" s="89">
        <v>9</v>
      </c>
      <c r="C36" s="23">
        <v>5</v>
      </c>
      <c r="D36" s="23">
        <v>6</v>
      </c>
      <c r="E36" s="5">
        <f t="shared" si="2"/>
        <v>150</v>
      </c>
      <c r="F36" s="5">
        <f t="shared" si="3"/>
        <v>600</v>
      </c>
      <c r="G36" s="5">
        <f t="shared" si="4"/>
        <v>250</v>
      </c>
      <c r="H36" s="5">
        <f t="shared" si="5"/>
        <v>600</v>
      </c>
      <c r="I36" s="9">
        <f t="shared" si="6"/>
        <v>100</v>
      </c>
      <c r="J36" s="9">
        <f t="shared" si="7"/>
        <v>0</v>
      </c>
      <c r="K36" s="9">
        <f t="shared" si="8"/>
        <v>100</v>
      </c>
      <c r="L36" s="92">
        <f t="shared" si="9"/>
        <v>1</v>
      </c>
      <c r="M36" s="92">
        <f t="shared" si="10"/>
        <v>0</v>
      </c>
      <c r="N36" s="22">
        <v>12</v>
      </c>
      <c r="O36" s="24">
        <v>2100000</v>
      </c>
      <c r="AA36" s="20" t="str">
        <f>IF(G38="","",G38)</f>
        <v/>
      </c>
      <c r="AB36" s="20" t="str">
        <f>IF(H38="","",H38)</f>
        <v/>
      </c>
      <c r="AC36" t="s">
        <v>358</v>
      </c>
    </row>
    <row r="37" spans="2:29" ht="19.05" customHeight="1" x14ac:dyDescent="0.3">
      <c r="B37" s="89">
        <v>10</v>
      </c>
      <c r="C37" s="23">
        <v>3</v>
      </c>
      <c r="D37" s="23">
        <v>6</v>
      </c>
      <c r="E37" s="5">
        <f t="shared" si="2"/>
        <v>100</v>
      </c>
      <c r="F37" s="5">
        <f t="shared" si="3"/>
        <v>300</v>
      </c>
      <c r="G37" s="5">
        <f t="shared" si="4"/>
        <v>250</v>
      </c>
      <c r="H37" s="5">
        <f t="shared" si="5"/>
        <v>600</v>
      </c>
      <c r="I37" s="9">
        <f t="shared" si="6"/>
        <v>150</v>
      </c>
      <c r="J37" s="9">
        <f t="shared" si="7"/>
        <v>300</v>
      </c>
      <c r="K37" s="9">
        <f t="shared" si="8"/>
        <v>335.41019662496848</v>
      </c>
      <c r="L37" s="92">
        <f t="shared" si="9"/>
        <v>0.44721359549995793</v>
      </c>
      <c r="M37" s="92">
        <f t="shared" si="10"/>
        <v>0.89442719099991586</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900-000000000000}">
      <formula1>"Fijo (articulado),Rodillo Y (despl. X libre),Rodillo X (despl. Y libre),Libre (0 reac.)"</formula1>
    </dataValidation>
  </dataValidations>
  <pageMargins left="0.75" right="0.75" top="1" bottom="1" header="0.5" footer="0.5"/>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U462"/>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722</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HYPERLINK("#'GRAFICA_68'!A1",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GRAFICA_68!E28</f>
        <v>0</v>
      </c>
      <c r="D6" s="22">
        <f>GRAFICA_68!F28</f>
        <v>0</v>
      </c>
      <c r="E6" s="22">
        <f>GRAFICA_68!G28</f>
        <v>400</v>
      </c>
      <c r="F6" s="22">
        <f>GRAFICA_68!H28</f>
        <v>0</v>
      </c>
      <c r="G6" s="9">
        <f t="shared" ref="G6:G15" si="0">E6-C6</f>
        <v>400</v>
      </c>
      <c r="H6" s="9">
        <f t="shared" ref="H6:H15" si="1">F6-D6</f>
        <v>0</v>
      </c>
      <c r="I6" s="9">
        <f t="shared" ref="I6:I15" si="2">SQRT(G6*G6+H6*H6)</f>
        <v>400</v>
      </c>
      <c r="J6" s="92">
        <f t="shared" ref="J6:J15" si="3">G6/I6</f>
        <v>1</v>
      </c>
      <c r="K6" s="92">
        <f t="shared" ref="K6:K15" si="4">H6/I6</f>
        <v>0</v>
      </c>
      <c r="L6" s="22">
        <f>GRAFICA_68!N28</f>
        <v>12</v>
      </c>
      <c r="M6" s="22">
        <f>GRAFICA_68!O28</f>
        <v>2100000</v>
      </c>
      <c r="N6" s="6">
        <f t="shared" ref="N6:N15" si="5">L6*M6/I6</f>
        <v>63000</v>
      </c>
    </row>
    <row r="7" spans="2:14" ht="19.05" customHeight="1" x14ac:dyDescent="0.3">
      <c r="B7" s="25">
        <v>2</v>
      </c>
      <c r="C7" s="22">
        <f>GRAFICA_68!E29</f>
        <v>0</v>
      </c>
      <c r="D7" s="22">
        <f>GRAFICA_68!F29</f>
        <v>0</v>
      </c>
      <c r="E7" s="22">
        <f>GRAFICA_68!G29</f>
        <v>100</v>
      </c>
      <c r="F7" s="22">
        <f>GRAFICA_68!H29</f>
        <v>300</v>
      </c>
      <c r="G7" s="9">
        <f t="shared" si="0"/>
        <v>100</v>
      </c>
      <c r="H7" s="9">
        <f t="shared" si="1"/>
        <v>300</v>
      </c>
      <c r="I7" s="9">
        <f t="shared" si="2"/>
        <v>316.22776601683796</v>
      </c>
      <c r="J7" s="92">
        <f t="shared" si="3"/>
        <v>0.31622776601683789</v>
      </c>
      <c r="K7" s="92">
        <f t="shared" si="4"/>
        <v>0.94868329805051377</v>
      </c>
      <c r="L7" s="22">
        <f>GRAFICA_68!N29</f>
        <v>12</v>
      </c>
      <c r="M7" s="22">
        <f>GRAFICA_68!O29</f>
        <v>2100000</v>
      </c>
      <c r="N7" s="6">
        <f t="shared" si="5"/>
        <v>79689.397036243157</v>
      </c>
    </row>
    <row r="8" spans="2:14" ht="19.05" customHeight="1" x14ac:dyDescent="0.3">
      <c r="B8" s="26">
        <v>3</v>
      </c>
      <c r="C8" s="22">
        <f>GRAFICA_68!E30</f>
        <v>400</v>
      </c>
      <c r="D8" s="22">
        <f>GRAFICA_68!F30</f>
        <v>0</v>
      </c>
      <c r="E8" s="22">
        <f>GRAFICA_68!G30</f>
        <v>300</v>
      </c>
      <c r="F8" s="22">
        <f>GRAFICA_68!H30</f>
        <v>300</v>
      </c>
      <c r="G8" s="9">
        <f t="shared" si="0"/>
        <v>-100</v>
      </c>
      <c r="H8" s="9">
        <f t="shared" si="1"/>
        <v>300</v>
      </c>
      <c r="I8" s="9">
        <f t="shared" si="2"/>
        <v>316.22776601683796</v>
      </c>
      <c r="J8" s="92">
        <f t="shared" si="3"/>
        <v>-0.31622776601683789</v>
      </c>
      <c r="K8" s="92">
        <f t="shared" si="4"/>
        <v>0.94868329805051377</v>
      </c>
      <c r="L8" s="22">
        <f>GRAFICA_68!N30</f>
        <v>12</v>
      </c>
      <c r="M8" s="22">
        <f>GRAFICA_68!O30</f>
        <v>2100000</v>
      </c>
      <c r="N8" s="6">
        <f t="shared" si="5"/>
        <v>79689.397036243157</v>
      </c>
    </row>
    <row r="9" spans="2:14" ht="19.05" customHeight="1" x14ac:dyDescent="0.3">
      <c r="B9" s="43">
        <v>4</v>
      </c>
      <c r="C9" s="22">
        <f>GRAFICA_68!E31</f>
        <v>100</v>
      </c>
      <c r="D9" s="22">
        <f>GRAFICA_68!F31</f>
        <v>300</v>
      </c>
      <c r="E9" s="22">
        <f>GRAFICA_68!G31</f>
        <v>300</v>
      </c>
      <c r="F9" s="22">
        <f>GRAFICA_68!H31</f>
        <v>300</v>
      </c>
      <c r="G9" s="9">
        <f t="shared" si="0"/>
        <v>200</v>
      </c>
      <c r="H9" s="9">
        <f t="shared" si="1"/>
        <v>0</v>
      </c>
      <c r="I9" s="9">
        <f t="shared" si="2"/>
        <v>200</v>
      </c>
      <c r="J9" s="92">
        <f t="shared" si="3"/>
        <v>1</v>
      </c>
      <c r="K9" s="92">
        <f t="shared" si="4"/>
        <v>0</v>
      </c>
      <c r="L9" s="22">
        <f>GRAFICA_68!N31</f>
        <v>12</v>
      </c>
      <c r="M9" s="22">
        <f>GRAFICA_68!O31</f>
        <v>2100000</v>
      </c>
      <c r="N9" s="6">
        <f t="shared" si="5"/>
        <v>126000</v>
      </c>
    </row>
    <row r="10" spans="2:14" ht="19.05" customHeight="1" x14ac:dyDescent="0.3">
      <c r="B10" s="44">
        <v>5</v>
      </c>
      <c r="C10" s="22">
        <f>GRAFICA_68!E32</f>
        <v>0</v>
      </c>
      <c r="D10" s="22">
        <f>GRAFICA_68!F32</f>
        <v>0</v>
      </c>
      <c r="E10" s="22">
        <f>GRAFICA_68!G32</f>
        <v>300</v>
      </c>
      <c r="F10" s="22">
        <f>GRAFICA_68!H32</f>
        <v>300</v>
      </c>
      <c r="G10" s="9">
        <f t="shared" si="0"/>
        <v>300</v>
      </c>
      <c r="H10" s="9">
        <f t="shared" si="1"/>
        <v>300</v>
      </c>
      <c r="I10" s="9">
        <f t="shared" si="2"/>
        <v>424.26406871192853</v>
      </c>
      <c r="J10" s="92">
        <f t="shared" si="3"/>
        <v>0.70710678118654746</v>
      </c>
      <c r="K10" s="92">
        <f t="shared" si="4"/>
        <v>0.70710678118654746</v>
      </c>
      <c r="L10" s="22">
        <f>GRAFICA_68!N32</f>
        <v>12</v>
      </c>
      <c r="M10" s="22">
        <f>GRAFICA_68!O32</f>
        <v>2100000</v>
      </c>
      <c r="N10" s="6">
        <f t="shared" si="5"/>
        <v>59396.969619669988</v>
      </c>
    </row>
    <row r="11" spans="2:14" ht="19.05" customHeight="1" x14ac:dyDescent="0.3">
      <c r="B11" s="51">
        <v>6</v>
      </c>
      <c r="C11" s="22">
        <f>GRAFICA_68!E33</f>
        <v>400</v>
      </c>
      <c r="D11" s="22">
        <f>GRAFICA_68!F33</f>
        <v>0</v>
      </c>
      <c r="E11" s="22">
        <f>GRAFICA_68!G33</f>
        <v>100</v>
      </c>
      <c r="F11" s="22">
        <f>GRAFICA_68!H33</f>
        <v>300</v>
      </c>
      <c r="G11" s="9">
        <f t="shared" si="0"/>
        <v>-300</v>
      </c>
      <c r="H11" s="9">
        <f t="shared" si="1"/>
        <v>300</v>
      </c>
      <c r="I11" s="9">
        <f t="shared" si="2"/>
        <v>424.26406871192853</v>
      </c>
      <c r="J11" s="92">
        <f t="shared" si="3"/>
        <v>-0.70710678118654746</v>
      </c>
      <c r="K11" s="92">
        <f t="shared" si="4"/>
        <v>0.70710678118654746</v>
      </c>
      <c r="L11" s="22">
        <f>GRAFICA_68!N33</f>
        <v>12</v>
      </c>
      <c r="M11" s="22">
        <f>GRAFICA_68!O33</f>
        <v>2100000</v>
      </c>
      <c r="N11" s="6">
        <f t="shared" si="5"/>
        <v>59396.969619669988</v>
      </c>
    </row>
    <row r="12" spans="2:14" ht="19.05" customHeight="1" x14ac:dyDescent="0.3">
      <c r="B12" s="52">
        <v>7</v>
      </c>
      <c r="C12" s="22">
        <f>GRAFICA_68!E34</f>
        <v>100</v>
      </c>
      <c r="D12" s="22">
        <f>GRAFICA_68!F34</f>
        <v>300</v>
      </c>
      <c r="E12" s="22">
        <f>GRAFICA_68!G34</f>
        <v>150</v>
      </c>
      <c r="F12" s="22">
        <f>GRAFICA_68!H34</f>
        <v>600</v>
      </c>
      <c r="G12" s="9">
        <f t="shared" si="0"/>
        <v>50</v>
      </c>
      <c r="H12" s="9">
        <f t="shared" si="1"/>
        <v>300</v>
      </c>
      <c r="I12" s="9">
        <f t="shared" si="2"/>
        <v>304.13812651491099</v>
      </c>
      <c r="J12" s="92">
        <f t="shared" si="3"/>
        <v>0.16439898730535729</v>
      </c>
      <c r="K12" s="92">
        <f t="shared" si="4"/>
        <v>0.98639392383214375</v>
      </c>
      <c r="L12" s="22">
        <f>GRAFICA_68!N34</f>
        <v>12</v>
      </c>
      <c r="M12" s="22">
        <f>GRAFICA_68!O34</f>
        <v>2100000</v>
      </c>
      <c r="N12" s="6">
        <f t="shared" si="5"/>
        <v>82857.089601900065</v>
      </c>
    </row>
    <row r="13" spans="2:14" ht="19.05" customHeight="1" x14ac:dyDescent="0.3">
      <c r="B13" s="59">
        <v>8</v>
      </c>
      <c r="C13" s="22">
        <f>GRAFICA_68!E35</f>
        <v>300</v>
      </c>
      <c r="D13" s="22">
        <f>GRAFICA_68!F35</f>
        <v>300</v>
      </c>
      <c r="E13" s="22">
        <f>GRAFICA_68!G35</f>
        <v>250</v>
      </c>
      <c r="F13" s="22">
        <f>GRAFICA_68!H35</f>
        <v>600</v>
      </c>
      <c r="G13" s="9">
        <f t="shared" si="0"/>
        <v>-50</v>
      </c>
      <c r="H13" s="9">
        <f t="shared" si="1"/>
        <v>300</v>
      </c>
      <c r="I13" s="9">
        <f t="shared" si="2"/>
        <v>304.13812651491099</v>
      </c>
      <c r="J13" s="92">
        <f t="shared" si="3"/>
        <v>-0.16439898730535729</v>
      </c>
      <c r="K13" s="92">
        <f t="shared" si="4"/>
        <v>0.98639392383214375</v>
      </c>
      <c r="L13" s="22">
        <f>GRAFICA_68!N35</f>
        <v>12</v>
      </c>
      <c r="M13" s="22">
        <f>GRAFICA_68!O35</f>
        <v>2100000</v>
      </c>
      <c r="N13" s="6">
        <f t="shared" si="5"/>
        <v>82857.089601900065</v>
      </c>
    </row>
    <row r="14" spans="2:14" ht="19.05" customHeight="1" x14ac:dyDescent="0.3">
      <c r="B14" s="60">
        <v>9</v>
      </c>
      <c r="C14" s="22">
        <f>GRAFICA_68!E36</f>
        <v>150</v>
      </c>
      <c r="D14" s="22">
        <f>GRAFICA_68!F36</f>
        <v>600</v>
      </c>
      <c r="E14" s="22">
        <f>GRAFICA_68!G36</f>
        <v>250</v>
      </c>
      <c r="F14" s="22">
        <f>GRAFICA_68!H36</f>
        <v>600</v>
      </c>
      <c r="G14" s="9">
        <f t="shared" si="0"/>
        <v>100</v>
      </c>
      <c r="H14" s="9">
        <f t="shared" si="1"/>
        <v>0</v>
      </c>
      <c r="I14" s="9">
        <f t="shared" si="2"/>
        <v>100</v>
      </c>
      <c r="J14" s="92">
        <f t="shared" si="3"/>
        <v>1</v>
      </c>
      <c r="K14" s="92">
        <f t="shared" si="4"/>
        <v>0</v>
      </c>
      <c r="L14" s="22">
        <f>GRAFICA_68!N36</f>
        <v>12</v>
      </c>
      <c r="M14" s="22">
        <f>GRAFICA_68!O36</f>
        <v>2100000</v>
      </c>
      <c r="N14" s="6">
        <f t="shared" si="5"/>
        <v>252000</v>
      </c>
    </row>
    <row r="15" spans="2:14" ht="19.05" customHeight="1" x14ac:dyDescent="0.3">
      <c r="B15" s="67">
        <v>10</v>
      </c>
      <c r="C15" s="22">
        <f>GRAFICA_68!E37</f>
        <v>100</v>
      </c>
      <c r="D15" s="22">
        <f>GRAFICA_68!F37</f>
        <v>300</v>
      </c>
      <c r="E15" s="22">
        <f>GRAFICA_68!G37</f>
        <v>250</v>
      </c>
      <c r="F15" s="22">
        <f>GRAFICA_68!H37</f>
        <v>600</v>
      </c>
      <c r="G15" s="9">
        <f t="shared" si="0"/>
        <v>150</v>
      </c>
      <c r="H15" s="9">
        <f t="shared" si="1"/>
        <v>300</v>
      </c>
      <c r="I15" s="9">
        <f t="shared" si="2"/>
        <v>335.41019662496848</v>
      </c>
      <c r="J15" s="92">
        <f t="shared" si="3"/>
        <v>0.44721359549995793</v>
      </c>
      <c r="K15" s="92">
        <f t="shared" si="4"/>
        <v>0.89442719099991586</v>
      </c>
      <c r="L15" s="22">
        <f>GRAFICA_68!N37</f>
        <v>12</v>
      </c>
      <c r="M15" s="22">
        <f>GRAFICA_68!O37</f>
        <v>2100000</v>
      </c>
      <c r="N15" s="6">
        <f t="shared" si="5"/>
        <v>75131.884043992934</v>
      </c>
    </row>
    <row r="17" spans="2:6" ht="18" customHeight="1" x14ac:dyDescent="0.3">
      <c r="B17" s="202" t="s">
        <v>145</v>
      </c>
      <c r="C17" s="202" t="s">
        <v>369</v>
      </c>
      <c r="D17" s="173"/>
      <c r="E17" s="202" t="s">
        <v>370</v>
      </c>
      <c r="F17" s="173"/>
    </row>
    <row r="18" spans="2:6" ht="18" customHeight="1" x14ac:dyDescent="0.3">
      <c r="B18" s="203"/>
      <c r="C18" s="81" t="s">
        <v>157</v>
      </c>
      <c r="D18" s="81" t="s">
        <v>158</v>
      </c>
      <c r="E18" s="81" t="s">
        <v>157</v>
      </c>
      <c r="F18" s="81" t="s">
        <v>158</v>
      </c>
    </row>
    <row r="19" spans="2:6" ht="19.05" customHeight="1" x14ac:dyDescent="0.3">
      <c r="B19" s="85">
        <v>1</v>
      </c>
      <c r="C19" s="23">
        <f>GRAFICA_68!C28</f>
        <v>1</v>
      </c>
      <c r="D19" s="23">
        <f>GRAFICA_68!C28</f>
        <v>1</v>
      </c>
      <c r="E19" s="23">
        <f>GRAFICA_68!D28</f>
        <v>2</v>
      </c>
      <c r="F19" s="23">
        <f>GRAFICA_68!D28</f>
        <v>2</v>
      </c>
    </row>
    <row r="20" spans="2:6" ht="19.05" customHeight="1" x14ac:dyDescent="0.3">
      <c r="B20" s="25">
        <v>2</v>
      </c>
      <c r="C20" s="23">
        <f>GRAFICA_68!C29</f>
        <v>1</v>
      </c>
      <c r="D20" s="23">
        <f>GRAFICA_68!C29</f>
        <v>1</v>
      </c>
      <c r="E20" s="23">
        <f>GRAFICA_68!D29</f>
        <v>3</v>
      </c>
      <c r="F20" s="23">
        <f>GRAFICA_68!D29</f>
        <v>3</v>
      </c>
    </row>
    <row r="21" spans="2:6" ht="19.05" customHeight="1" x14ac:dyDescent="0.3">
      <c r="B21" s="26">
        <v>3</v>
      </c>
      <c r="C21" s="23">
        <f>GRAFICA_68!C30</f>
        <v>2</v>
      </c>
      <c r="D21" s="23">
        <f>GRAFICA_68!C30</f>
        <v>2</v>
      </c>
      <c r="E21" s="23">
        <f>GRAFICA_68!D30</f>
        <v>4</v>
      </c>
      <c r="F21" s="23">
        <f>GRAFICA_68!D30</f>
        <v>4</v>
      </c>
    </row>
    <row r="22" spans="2:6" ht="19.05" customHeight="1" x14ac:dyDescent="0.3">
      <c r="B22" s="43">
        <v>4</v>
      </c>
      <c r="C22" s="23">
        <f>GRAFICA_68!C31</f>
        <v>3</v>
      </c>
      <c r="D22" s="23">
        <f>GRAFICA_68!C31</f>
        <v>3</v>
      </c>
      <c r="E22" s="23">
        <f>GRAFICA_68!D31</f>
        <v>4</v>
      </c>
      <c r="F22" s="23">
        <f>GRAFICA_68!D31</f>
        <v>4</v>
      </c>
    </row>
    <row r="23" spans="2:6" ht="19.05" customHeight="1" x14ac:dyDescent="0.3">
      <c r="B23" s="44">
        <v>5</v>
      </c>
      <c r="C23" s="23">
        <f>GRAFICA_68!C32</f>
        <v>1</v>
      </c>
      <c r="D23" s="23">
        <f>GRAFICA_68!C32</f>
        <v>1</v>
      </c>
      <c r="E23" s="23">
        <f>GRAFICA_68!D32</f>
        <v>4</v>
      </c>
      <c r="F23" s="23">
        <f>GRAFICA_68!D32</f>
        <v>4</v>
      </c>
    </row>
    <row r="24" spans="2:6" ht="19.05" customHeight="1" x14ac:dyDescent="0.3">
      <c r="B24" s="51">
        <v>6</v>
      </c>
      <c r="C24" s="23">
        <f>GRAFICA_68!C33</f>
        <v>2</v>
      </c>
      <c r="D24" s="23">
        <f>GRAFICA_68!C33</f>
        <v>2</v>
      </c>
      <c r="E24" s="23">
        <f>GRAFICA_68!D33</f>
        <v>3</v>
      </c>
      <c r="F24" s="23">
        <f>GRAFICA_68!D33</f>
        <v>3</v>
      </c>
    </row>
    <row r="25" spans="2:6" ht="19.05" customHeight="1" x14ac:dyDescent="0.3">
      <c r="B25" s="52">
        <v>7</v>
      </c>
      <c r="C25" s="23">
        <f>GRAFICA_68!C34</f>
        <v>3</v>
      </c>
      <c r="D25" s="23">
        <f>GRAFICA_68!C34</f>
        <v>3</v>
      </c>
      <c r="E25" s="23">
        <f>GRAFICA_68!D34</f>
        <v>5</v>
      </c>
      <c r="F25" s="23">
        <f>GRAFICA_68!D34</f>
        <v>5</v>
      </c>
    </row>
    <row r="26" spans="2:6" ht="19.05" customHeight="1" x14ac:dyDescent="0.3">
      <c r="B26" s="59">
        <v>8</v>
      </c>
      <c r="C26" s="23">
        <f>GRAFICA_68!C35</f>
        <v>4</v>
      </c>
      <c r="D26" s="23">
        <f>GRAFICA_68!C35</f>
        <v>4</v>
      </c>
      <c r="E26" s="23">
        <f>GRAFICA_68!D35</f>
        <v>6</v>
      </c>
      <c r="F26" s="23">
        <f>GRAFICA_68!D35</f>
        <v>6</v>
      </c>
    </row>
    <row r="27" spans="2:6" ht="19.05" customHeight="1" x14ac:dyDescent="0.3">
      <c r="B27" s="60">
        <v>9</v>
      </c>
      <c r="C27" s="23">
        <f>GRAFICA_68!C36</f>
        <v>5</v>
      </c>
      <c r="D27" s="23">
        <f>GRAFICA_68!C36</f>
        <v>5</v>
      </c>
      <c r="E27" s="23">
        <f>GRAFICA_68!D36</f>
        <v>6</v>
      </c>
      <c r="F27" s="23">
        <f>GRAFICA_68!D36</f>
        <v>6</v>
      </c>
    </row>
    <row r="28" spans="2:6" ht="19.05" customHeight="1" x14ac:dyDescent="0.3">
      <c r="B28" s="67">
        <v>10</v>
      </c>
      <c r="C28" s="23">
        <f>GRAFICA_68!C37</f>
        <v>3</v>
      </c>
      <c r="D28" s="23">
        <f>GRAFICA_68!C37</f>
        <v>3</v>
      </c>
      <c r="E28" s="23">
        <f>GRAFICA_68!D37</f>
        <v>6</v>
      </c>
      <c r="F28" s="23">
        <f>GRAFICA_68!D37</f>
        <v>6</v>
      </c>
    </row>
    <row r="31" spans="2:6" ht="18" customHeight="1" x14ac:dyDescent="0.3">
      <c r="B31" s="27" t="str">
        <f>CONCATENATE("U",C19,C$18)</f>
        <v>U1X</v>
      </c>
      <c r="C31" s="27" t="str">
        <f>CONCATENATE("U",D19,D$18)</f>
        <v>U1Y</v>
      </c>
      <c r="D31" s="27" t="str">
        <f>CONCATENATE("U",E19,E$18)</f>
        <v>U2X</v>
      </c>
      <c r="E31" s="27" t="str">
        <f>CONCATENATE("U",F19,F$18)</f>
        <v>U2Y</v>
      </c>
    </row>
    <row r="32" spans="2:6" x14ac:dyDescent="0.3">
      <c r="B32" s="7">
        <f>J6*J6*N6</f>
        <v>63000</v>
      </c>
      <c r="C32" s="7">
        <f>J6*K6*N6</f>
        <v>0</v>
      </c>
      <c r="D32" s="7">
        <f>-B32</f>
        <v>-63000</v>
      </c>
      <c r="E32" s="7">
        <f>-C32</f>
        <v>0</v>
      </c>
      <c r="F32" s="27" t="str">
        <f>B31</f>
        <v>U1X</v>
      </c>
    </row>
    <row r="33" spans="1:14" ht="16.8" customHeight="1" x14ac:dyDescent="0.3">
      <c r="A33" s="28" t="s">
        <v>177</v>
      </c>
      <c r="B33" s="7">
        <f>C32</f>
        <v>0</v>
      </c>
      <c r="C33" s="7">
        <f>K6*K6*N6</f>
        <v>0</v>
      </c>
      <c r="D33" s="7">
        <f>-B33</f>
        <v>0</v>
      </c>
      <c r="E33" s="7">
        <f>-C33</f>
        <v>0</v>
      </c>
      <c r="F33" s="27" t="str">
        <f>C31</f>
        <v>U1Y</v>
      </c>
    </row>
    <row r="34" spans="1:14" x14ac:dyDescent="0.3">
      <c r="B34" s="7">
        <f>D32</f>
        <v>-63000</v>
      </c>
      <c r="C34" s="7">
        <f>E32</f>
        <v>0</v>
      </c>
      <c r="D34" s="7">
        <f>B32</f>
        <v>63000</v>
      </c>
      <c r="E34" s="7">
        <f>C32</f>
        <v>0</v>
      </c>
      <c r="F34" s="27" t="str">
        <f>D31</f>
        <v>U2X</v>
      </c>
    </row>
    <row r="35" spans="1:14" x14ac:dyDescent="0.3">
      <c r="B35" s="7">
        <f>D33</f>
        <v>0</v>
      </c>
      <c r="C35" s="7">
        <f>E33</f>
        <v>0</v>
      </c>
      <c r="D35" s="7">
        <f>B33</f>
        <v>0</v>
      </c>
      <c r="E35" s="7">
        <f>C33</f>
        <v>0</v>
      </c>
      <c r="F35" s="27" t="str">
        <f>E31</f>
        <v>U2Y</v>
      </c>
    </row>
    <row r="37" spans="1:14" ht="18" customHeight="1" x14ac:dyDescent="0.3">
      <c r="B37" s="27" t="s">
        <v>178</v>
      </c>
      <c r="C37" s="27" t="s">
        <v>179</v>
      </c>
      <c r="D37" s="27" t="s">
        <v>180</v>
      </c>
      <c r="E37" s="27" t="s">
        <v>181</v>
      </c>
      <c r="F37" s="27" t="s">
        <v>182</v>
      </c>
      <c r="G37" s="27" t="s">
        <v>183</v>
      </c>
      <c r="H37" s="27" t="s">
        <v>184</v>
      </c>
      <c r="I37" s="27" t="s">
        <v>185</v>
      </c>
      <c r="J37" s="27" t="s">
        <v>186</v>
      </c>
      <c r="K37" s="27" t="s">
        <v>187</v>
      </c>
      <c r="L37" s="27" t="s">
        <v>188</v>
      </c>
      <c r="M37" s="27" t="s">
        <v>189</v>
      </c>
    </row>
    <row r="38" spans="1:14" ht="19.05" customHeight="1" x14ac:dyDescent="0.3">
      <c r="B38" s="8">
        <f t="shared" ref="B38:M49" si="6">IFERROR(INDEX($B$32:$E$35, MATCH($N38, $B$31:$E$31, 0), MATCH(B$37, $B$31:$E$31, 0)), 0)</f>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178</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179</v>
      </c>
    </row>
    <row r="40" spans="1:14" ht="19.05" customHeight="1" x14ac:dyDescent="0.3">
      <c r="B40" s="8">
        <f t="shared" si="6"/>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180</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181</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182</v>
      </c>
    </row>
    <row r="43" spans="1:14" ht="19.05" customHeight="1" x14ac:dyDescent="0.3">
      <c r="A43" s="28" t="s">
        <v>190</v>
      </c>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183</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184</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185</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186</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187</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188</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189</v>
      </c>
    </row>
    <row r="52" spans="1:14" ht="18" customHeight="1" x14ac:dyDescent="0.3">
      <c r="B52" s="29" t="str">
        <f>CONCATENATE("U",C20,C$18)</f>
        <v>U1X</v>
      </c>
      <c r="C52" s="29" t="str">
        <f>CONCATENATE("U",D20,D$18)</f>
        <v>U1Y</v>
      </c>
      <c r="D52" s="29" t="str">
        <f>CONCATENATE("U",E20,E$18)</f>
        <v>U3X</v>
      </c>
      <c r="E52" s="29" t="str">
        <f>CONCATENATE("U",F20,F$18)</f>
        <v>U3Y</v>
      </c>
    </row>
    <row r="53" spans="1:14" x14ac:dyDescent="0.3">
      <c r="B53" s="30">
        <f>J7*J7*N7</f>
        <v>7968.9397036243126</v>
      </c>
      <c r="C53" s="30">
        <f>J7*K7*N7</f>
        <v>23906.819110872941</v>
      </c>
      <c r="D53" s="30">
        <f>-B53</f>
        <v>-7968.9397036243126</v>
      </c>
      <c r="E53" s="30">
        <f>-C53</f>
        <v>-23906.819110872941</v>
      </c>
      <c r="F53" s="29" t="str">
        <f>B52</f>
        <v>U1X</v>
      </c>
    </row>
    <row r="54" spans="1:14" ht="16.8" customHeight="1" x14ac:dyDescent="0.3">
      <c r="A54" s="28" t="s">
        <v>191</v>
      </c>
      <c r="B54" s="30">
        <f>C53</f>
        <v>23906.819110872941</v>
      </c>
      <c r="C54" s="30">
        <f>K7*K7*N7</f>
        <v>71720.45733261884</v>
      </c>
      <c r="D54" s="30">
        <f>-B54</f>
        <v>-23906.819110872941</v>
      </c>
      <c r="E54" s="30">
        <f>-C54</f>
        <v>-71720.45733261884</v>
      </c>
      <c r="F54" s="29" t="str">
        <f>C52</f>
        <v>U1Y</v>
      </c>
    </row>
    <row r="55" spans="1:14" x14ac:dyDescent="0.3">
      <c r="B55" s="30">
        <f>D53</f>
        <v>-7968.9397036243126</v>
      </c>
      <c r="C55" s="30">
        <f>E53</f>
        <v>-23906.819110872941</v>
      </c>
      <c r="D55" s="30">
        <f>B53</f>
        <v>7968.9397036243126</v>
      </c>
      <c r="E55" s="30">
        <f>C53</f>
        <v>23906.819110872941</v>
      </c>
      <c r="F55" s="29" t="str">
        <f>D52</f>
        <v>U3X</v>
      </c>
    </row>
    <row r="56" spans="1:14" x14ac:dyDescent="0.3">
      <c r="B56" s="30">
        <f>D54</f>
        <v>-23906.819110872941</v>
      </c>
      <c r="C56" s="30">
        <f>E54</f>
        <v>-71720.45733261884</v>
      </c>
      <c r="D56" s="30">
        <f>B54</f>
        <v>23906.819110872941</v>
      </c>
      <c r="E56" s="30">
        <f>C54</f>
        <v>71720.45733261884</v>
      </c>
      <c r="F56" s="29" t="str">
        <f>E52</f>
        <v>U3Y</v>
      </c>
    </row>
    <row r="58" spans="1:14" ht="18" customHeight="1" x14ac:dyDescent="0.3">
      <c r="B58" s="29" t="s">
        <v>178</v>
      </c>
      <c r="C58" s="29" t="s">
        <v>179</v>
      </c>
      <c r="D58" s="29" t="s">
        <v>180</v>
      </c>
      <c r="E58" s="29" t="s">
        <v>181</v>
      </c>
      <c r="F58" s="29" t="s">
        <v>182</v>
      </c>
      <c r="G58" s="29" t="s">
        <v>183</v>
      </c>
      <c r="H58" s="29" t="s">
        <v>184</v>
      </c>
      <c r="I58" s="29" t="s">
        <v>185</v>
      </c>
      <c r="J58" s="29" t="s">
        <v>186</v>
      </c>
      <c r="K58" s="29" t="s">
        <v>187</v>
      </c>
      <c r="L58" s="29" t="s">
        <v>188</v>
      </c>
      <c r="M58" s="29" t="s">
        <v>189</v>
      </c>
    </row>
    <row r="59" spans="1:14" ht="19.05" customHeight="1" x14ac:dyDescent="0.3">
      <c r="B59" s="31">
        <f t="shared" ref="B59:M70" si="7">IFERROR(INDEX($B$53:$E$56, MATCH($N59, $B$52:$E$52, 0), MATCH(B$58, $B$52:$E$52, 0)), 0)</f>
        <v>7968.9397036243126</v>
      </c>
      <c r="C59" s="31">
        <f t="shared" si="7"/>
        <v>23906.819110872941</v>
      </c>
      <c r="D59" s="9">
        <f t="shared" si="7"/>
        <v>0</v>
      </c>
      <c r="E59" s="9">
        <f t="shared" si="7"/>
        <v>0</v>
      </c>
      <c r="F59" s="31">
        <f t="shared" si="7"/>
        <v>-7968.9397036243126</v>
      </c>
      <c r="G59" s="31">
        <f t="shared" si="7"/>
        <v>-23906.819110872941</v>
      </c>
      <c r="H59" s="9">
        <f t="shared" si="7"/>
        <v>0</v>
      </c>
      <c r="I59" s="9">
        <f t="shared" si="7"/>
        <v>0</v>
      </c>
      <c r="J59" s="9">
        <f t="shared" si="7"/>
        <v>0</v>
      </c>
      <c r="K59" s="9">
        <f t="shared" si="7"/>
        <v>0</v>
      </c>
      <c r="L59" s="9">
        <f t="shared" si="7"/>
        <v>0</v>
      </c>
      <c r="M59" s="9">
        <f t="shared" si="7"/>
        <v>0</v>
      </c>
      <c r="N59" s="29" t="s">
        <v>178</v>
      </c>
    </row>
    <row r="60" spans="1:14" ht="19.05" customHeight="1" x14ac:dyDescent="0.3">
      <c r="B60" s="31">
        <f t="shared" si="7"/>
        <v>23906.819110872941</v>
      </c>
      <c r="C60" s="31">
        <f t="shared" si="7"/>
        <v>71720.45733261884</v>
      </c>
      <c r="D60" s="9">
        <f t="shared" si="7"/>
        <v>0</v>
      </c>
      <c r="E60" s="9">
        <f t="shared" si="7"/>
        <v>0</v>
      </c>
      <c r="F60" s="31">
        <f t="shared" si="7"/>
        <v>-23906.819110872941</v>
      </c>
      <c r="G60" s="31">
        <f t="shared" si="7"/>
        <v>-71720.45733261884</v>
      </c>
      <c r="H60" s="9">
        <f t="shared" si="7"/>
        <v>0</v>
      </c>
      <c r="I60" s="9">
        <f t="shared" si="7"/>
        <v>0</v>
      </c>
      <c r="J60" s="9">
        <f t="shared" si="7"/>
        <v>0</v>
      </c>
      <c r="K60" s="9">
        <f t="shared" si="7"/>
        <v>0</v>
      </c>
      <c r="L60" s="9">
        <f t="shared" si="7"/>
        <v>0</v>
      </c>
      <c r="M60" s="9">
        <f t="shared" si="7"/>
        <v>0</v>
      </c>
      <c r="N60" s="29" t="s">
        <v>179</v>
      </c>
    </row>
    <row r="61" spans="1:14"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180</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181</v>
      </c>
    </row>
    <row r="63" spans="1:14" ht="19.05" customHeight="1" x14ac:dyDescent="0.3">
      <c r="B63" s="31">
        <f t="shared" si="7"/>
        <v>-7968.9397036243126</v>
      </c>
      <c r="C63" s="31">
        <f t="shared" si="7"/>
        <v>-23906.819110872941</v>
      </c>
      <c r="D63" s="9">
        <f t="shared" si="7"/>
        <v>0</v>
      </c>
      <c r="E63" s="9">
        <f t="shared" si="7"/>
        <v>0</v>
      </c>
      <c r="F63" s="31">
        <f t="shared" si="7"/>
        <v>7968.9397036243126</v>
      </c>
      <c r="G63" s="31">
        <f t="shared" si="7"/>
        <v>23906.819110872941</v>
      </c>
      <c r="H63" s="9">
        <f t="shared" si="7"/>
        <v>0</v>
      </c>
      <c r="I63" s="9">
        <f t="shared" si="7"/>
        <v>0</v>
      </c>
      <c r="J63" s="9">
        <f t="shared" si="7"/>
        <v>0</v>
      </c>
      <c r="K63" s="9">
        <f t="shared" si="7"/>
        <v>0</v>
      </c>
      <c r="L63" s="9">
        <f t="shared" si="7"/>
        <v>0</v>
      </c>
      <c r="M63" s="9">
        <f t="shared" si="7"/>
        <v>0</v>
      </c>
      <c r="N63" s="29" t="s">
        <v>182</v>
      </c>
    </row>
    <row r="64" spans="1:14" ht="19.05" customHeight="1" x14ac:dyDescent="0.3">
      <c r="A64" s="28" t="s">
        <v>192</v>
      </c>
      <c r="B64" s="31">
        <f t="shared" si="7"/>
        <v>-23906.819110872941</v>
      </c>
      <c r="C64" s="31">
        <f t="shared" si="7"/>
        <v>-71720.45733261884</v>
      </c>
      <c r="D64" s="9">
        <f t="shared" si="7"/>
        <v>0</v>
      </c>
      <c r="E64" s="9">
        <f t="shared" si="7"/>
        <v>0</v>
      </c>
      <c r="F64" s="31">
        <f t="shared" si="7"/>
        <v>23906.819110872941</v>
      </c>
      <c r="G64" s="31">
        <f t="shared" si="7"/>
        <v>71720.45733261884</v>
      </c>
      <c r="H64" s="9">
        <f t="shared" si="7"/>
        <v>0</v>
      </c>
      <c r="I64" s="9">
        <f t="shared" si="7"/>
        <v>0</v>
      </c>
      <c r="J64" s="9">
        <f t="shared" si="7"/>
        <v>0</v>
      </c>
      <c r="K64" s="9">
        <f t="shared" si="7"/>
        <v>0</v>
      </c>
      <c r="L64" s="9">
        <f t="shared" si="7"/>
        <v>0</v>
      </c>
      <c r="M64" s="9">
        <f t="shared" si="7"/>
        <v>0</v>
      </c>
      <c r="N64" s="29" t="s">
        <v>183</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184</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185</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186</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187</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188</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189</v>
      </c>
    </row>
    <row r="73" spans="1:14" ht="18" customHeight="1" x14ac:dyDescent="0.3">
      <c r="B73" s="32" t="str">
        <f>CONCATENATE("U",C21,C$18)</f>
        <v>U2X</v>
      </c>
      <c r="C73" s="32" t="str">
        <f>CONCATENATE("U",D21,D$18)</f>
        <v>U2Y</v>
      </c>
      <c r="D73" s="32" t="str">
        <f>CONCATENATE("U",E21,E$18)</f>
        <v>U4X</v>
      </c>
      <c r="E73" s="32" t="str">
        <f>CONCATENATE("U",F21,F$18)</f>
        <v>U4Y</v>
      </c>
    </row>
    <row r="74" spans="1:14" x14ac:dyDescent="0.3">
      <c r="B74" s="33">
        <f>J8*J8*N8</f>
        <v>7968.9397036243126</v>
      </c>
      <c r="C74" s="33">
        <f>J8*K8*N8</f>
        <v>-23906.819110872941</v>
      </c>
      <c r="D74" s="33">
        <f>-B74</f>
        <v>-7968.9397036243126</v>
      </c>
      <c r="E74" s="33">
        <f>-C74</f>
        <v>23906.819110872941</v>
      </c>
      <c r="F74" s="32" t="str">
        <f>B73</f>
        <v>U2X</v>
      </c>
    </row>
    <row r="75" spans="1:14" ht="16.8" customHeight="1" x14ac:dyDescent="0.3">
      <c r="A75" s="28" t="s">
        <v>193</v>
      </c>
      <c r="B75" s="33">
        <f>C74</f>
        <v>-23906.819110872941</v>
      </c>
      <c r="C75" s="33">
        <f>K8*K8*N8</f>
        <v>71720.45733261884</v>
      </c>
      <c r="D75" s="33">
        <f>-B75</f>
        <v>23906.819110872941</v>
      </c>
      <c r="E75" s="33">
        <f>-C75</f>
        <v>-71720.45733261884</v>
      </c>
      <c r="F75" s="32" t="str">
        <f>C73</f>
        <v>U2Y</v>
      </c>
    </row>
    <row r="76" spans="1:14" x14ac:dyDescent="0.3">
      <c r="B76" s="33">
        <f>D74</f>
        <v>-7968.9397036243126</v>
      </c>
      <c r="C76" s="33">
        <f>E74</f>
        <v>23906.819110872941</v>
      </c>
      <c r="D76" s="33">
        <f>B74</f>
        <v>7968.9397036243126</v>
      </c>
      <c r="E76" s="33">
        <f>C74</f>
        <v>-23906.819110872941</v>
      </c>
      <c r="F76" s="32" t="str">
        <f>D73</f>
        <v>U4X</v>
      </c>
    </row>
    <row r="77" spans="1:14" x14ac:dyDescent="0.3">
      <c r="B77" s="33">
        <f>D75</f>
        <v>23906.819110872941</v>
      </c>
      <c r="C77" s="33">
        <f>E75</f>
        <v>-71720.45733261884</v>
      </c>
      <c r="D77" s="33">
        <f>B75</f>
        <v>-23906.819110872941</v>
      </c>
      <c r="E77" s="33">
        <f>C75</f>
        <v>71720.45733261884</v>
      </c>
      <c r="F77" s="32" t="str">
        <f>E73</f>
        <v>U4Y</v>
      </c>
    </row>
    <row r="79" spans="1:14" ht="18" customHeight="1" x14ac:dyDescent="0.3">
      <c r="B79" s="32" t="s">
        <v>178</v>
      </c>
      <c r="C79" s="32" t="s">
        <v>179</v>
      </c>
      <c r="D79" s="32" t="s">
        <v>180</v>
      </c>
      <c r="E79" s="32" t="s">
        <v>181</v>
      </c>
      <c r="F79" s="32" t="s">
        <v>182</v>
      </c>
      <c r="G79" s="32" t="s">
        <v>183</v>
      </c>
      <c r="H79" s="32" t="s">
        <v>184</v>
      </c>
      <c r="I79" s="32" t="s">
        <v>185</v>
      </c>
      <c r="J79" s="32" t="s">
        <v>186</v>
      </c>
      <c r="K79" s="32" t="s">
        <v>187</v>
      </c>
      <c r="L79" s="32" t="s">
        <v>188</v>
      </c>
      <c r="M79" s="32" t="s">
        <v>189</v>
      </c>
    </row>
    <row r="80" spans="1:14" ht="19.05" customHeight="1" x14ac:dyDescent="0.3">
      <c r="B80" s="9">
        <f t="shared" ref="B80:M91" si="8">IFERROR(INDEX($B$74:$E$77, MATCH($N80, $B$73:$E$73, 0), MATCH(B$79, $B$73:$E$73, 0)), 0)</f>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178</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179</v>
      </c>
    </row>
    <row r="82" spans="1:14" ht="19.05" customHeight="1" x14ac:dyDescent="0.3">
      <c r="B82" s="9">
        <f t="shared" si="8"/>
        <v>0</v>
      </c>
      <c r="C82" s="9">
        <f t="shared" si="8"/>
        <v>0</v>
      </c>
      <c r="D82" s="34">
        <f t="shared" si="8"/>
        <v>7968.9397036243126</v>
      </c>
      <c r="E82" s="34">
        <f t="shared" si="8"/>
        <v>-23906.819110872941</v>
      </c>
      <c r="F82" s="9">
        <f t="shared" si="8"/>
        <v>0</v>
      </c>
      <c r="G82" s="9">
        <f t="shared" si="8"/>
        <v>0</v>
      </c>
      <c r="H82" s="34">
        <f t="shared" si="8"/>
        <v>-7968.9397036243126</v>
      </c>
      <c r="I82" s="34">
        <f t="shared" si="8"/>
        <v>23906.819110872941</v>
      </c>
      <c r="J82" s="9">
        <f t="shared" si="8"/>
        <v>0</v>
      </c>
      <c r="K82" s="9">
        <f t="shared" si="8"/>
        <v>0</v>
      </c>
      <c r="L82" s="9">
        <f t="shared" si="8"/>
        <v>0</v>
      </c>
      <c r="M82" s="9">
        <f t="shared" si="8"/>
        <v>0</v>
      </c>
      <c r="N82" s="32" t="s">
        <v>180</v>
      </c>
    </row>
    <row r="83" spans="1:14" ht="19.05" customHeight="1" x14ac:dyDescent="0.3">
      <c r="B83" s="9">
        <f t="shared" si="8"/>
        <v>0</v>
      </c>
      <c r="C83" s="9">
        <f t="shared" si="8"/>
        <v>0</v>
      </c>
      <c r="D83" s="34">
        <f t="shared" si="8"/>
        <v>-23906.819110872941</v>
      </c>
      <c r="E83" s="34">
        <f t="shared" si="8"/>
        <v>71720.45733261884</v>
      </c>
      <c r="F83" s="9">
        <f t="shared" si="8"/>
        <v>0</v>
      </c>
      <c r="G83" s="9">
        <f t="shared" si="8"/>
        <v>0</v>
      </c>
      <c r="H83" s="34">
        <f t="shared" si="8"/>
        <v>23906.819110872941</v>
      </c>
      <c r="I83" s="34">
        <f t="shared" si="8"/>
        <v>-71720.45733261884</v>
      </c>
      <c r="J83" s="9">
        <f t="shared" si="8"/>
        <v>0</v>
      </c>
      <c r="K83" s="9">
        <f t="shared" si="8"/>
        <v>0</v>
      </c>
      <c r="L83" s="9">
        <f t="shared" si="8"/>
        <v>0</v>
      </c>
      <c r="M83" s="9">
        <f t="shared" si="8"/>
        <v>0</v>
      </c>
      <c r="N83" s="32" t="s">
        <v>181</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182</v>
      </c>
    </row>
    <row r="85" spans="1:14" ht="19.05" customHeight="1" x14ac:dyDescent="0.3">
      <c r="A85" s="28" t="s">
        <v>194</v>
      </c>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183</v>
      </c>
    </row>
    <row r="86" spans="1:14" ht="19.05" customHeight="1" x14ac:dyDescent="0.3">
      <c r="B86" s="9">
        <f t="shared" si="8"/>
        <v>0</v>
      </c>
      <c r="C86" s="9">
        <f t="shared" si="8"/>
        <v>0</v>
      </c>
      <c r="D86" s="34">
        <f t="shared" si="8"/>
        <v>-7968.9397036243126</v>
      </c>
      <c r="E86" s="34">
        <f t="shared" si="8"/>
        <v>23906.819110872941</v>
      </c>
      <c r="F86" s="9">
        <f t="shared" si="8"/>
        <v>0</v>
      </c>
      <c r="G86" s="9">
        <f t="shared" si="8"/>
        <v>0</v>
      </c>
      <c r="H86" s="34">
        <f t="shared" si="8"/>
        <v>7968.9397036243126</v>
      </c>
      <c r="I86" s="34">
        <f t="shared" si="8"/>
        <v>-23906.819110872941</v>
      </c>
      <c r="J86" s="9">
        <f t="shared" si="8"/>
        <v>0</v>
      </c>
      <c r="K86" s="9">
        <f t="shared" si="8"/>
        <v>0</v>
      </c>
      <c r="L86" s="9">
        <f t="shared" si="8"/>
        <v>0</v>
      </c>
      <c r="M86" s="9">
        <f t="shared" si="8"/>
        <v>0</v>
      </c>
      <c r="N86" s="32" t="s">
        <v>184</v>
      </c>
    </row>
    <row r="87" spans="1:14" ht="19.05" customHeight="1" x14ac:dyDescent="0.3">
      <c r="B87" s="9">
        <f t="shared" si="8"/>
        <v>0</v>
      </c>
      <c r="C87" s="9">
        <f t="shared" si="8"/>
        <v>0</v>
      </c>
      <c r="D87" s="34">
        <f t="shared" si="8"/>
        <v>23906.819110872941</v>
      </c>
      <c r="E87" s="34">
        <f t="shared" si="8"/>
        <v>-71720.45733261884</v>
      </c>
      <c r="F87" s="9">
        <f t="shared" si="8"/>
        <v>0</v>
      </c>
      <c r="G87" s="9">
        <f t="shared" si="8"/>
        <v>0</v>
      </c>
      <c r="H87" s="34">
        <f t="shared" si="8"/>
        <v>-23906.819110872941</v>
      </c>
      <c r="I87" s="34">
        <f t="shared" si="8"/>
        <v>71720.45733261884</v>
      </c>
      <c r="J87" s="9">
        <f t="shared" si="8"/>
        <v>0</v>
      </c>
      <c r="K87" s="9">
        <f t="shared" si="8"/>
        <v>0</v>
      </c>
      <c r="L87" s="9">
        <f t="shared" si="8"/>
        <v>0</v>
      </c>
      <c r="M87" s="9">
        <f t="shared" si="8"/>
        <v>0</v>
      </c>
      <c r="N87" s="32" t="s">
        <v>185</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186</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187</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188</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189</v>
      </c>
    </row>
    <row r="94" spans="1:14" ht="18" customHeight="1" x14ac:dyDescent="0.3">
      <c r="B94" s="45" t="str">
        <f>CONCATENATE("U",C22,C$18)</f>
        <v>U3X</v>
      </c>
      <c r="C94" s="45" t="str">
        <f>CONCATENATE("U",D22,D$18)</f>
        <v>U3Y</v>
      </c>
      <c r="D94" s="45" t="str">
        <f>CONCATENATE("U",E22,E$18)</f>
        <v>U4X</v>
      </c>
      <c r="E94" s="45" t="str">
        <f>CONCATENATE("U",F22,F$18)</f>
        <v>U4Y</v>
      </c>
    </row>
    <row r="95" spans="1:14" x14ac:dyDescent="0.3">
      <c r="B95" s="46">
        <f>J9*J9*N9</f>
        <v>126000</v>
      </c>
      <c r="C95" s="46">
        <f>J9*K9*N9</f>
        <v>0</v>
      </c>
      <c r="D95" s="46">
        <f>-B95</f>
        <v>-126000</v>
      </c>
      <c r="E95" s="46">
        <f>-C95</f>
        <v>0</v>
      </c>
      <c r="F95" s="45" t="str">
        <f>B94</f>
        <v>U3X</v>
      </c>
    </row>
    <row r="96" spans="1:14" ht="16.8" customHeight="1" x14ac:dyDescent="0.3">
      <c r="A96" s="28" t="s">
        <v>195</v>
      </c>
      <c r="B96" s="46">
        <f>C95</f>
        <v>0</v>
      </c>
      <c r="C96" s="46">
        <f>K9*K9*N9</f>
        <v>0</v>
      </c>
      <c r="D96" s="46">
        <f>-B96</f>
        <v>0</v>
      </c>
      <c r="E96" s="46">
        <f>-C96</f>
        <v>0</v>
      </c>
      <c r="F96" s="45" t="str">
        <f>C94</f>
        <v>U3Y</v>
      </c>
    </row>
    <row r="97" spans="1:14" x14ac:dyDescent="0.3">
      <c r="B97" s="46">
        <f>D95</f>
        <v>-126000</v>
      </c>
      <c r="C97" s="46">
        <f>E95</f>
        <v>0</v>
      </c>
      <c r="D97" s="46">
        <f>B95</f>
        <v>126000</v>
      </c>
      <c r="E97" s="46">
        <f>C95</f>
        <v>0</v>
      </c>
      <c r="F97" s="45" t="str">
        <f>D94</f>
        <v>U4X</v>
      </c>
    </row>
    <row r="98" spans="1:14" x14ac:dyDescent="0.3">
      <c r="B98" s="46">
        <f>D96</f>
        <v>0</v>
      </c>
      <c r="C98" s="46">
        <f>E96</f>
        <v>0</v>
      </c>
      <c r="D98" s="46">
        <f>B96</f>
        <v>0</v>
      </c>
      <c r="E98" s="46">
        <f>C96</f>
        <v>0</v>
      </c>
      <c r="F98" s="45" t="str">
        <f>E94</f>
        <v>U4Y</v>
      </c>
    </row>
    <row r="100" spans="1:14" ht="18" customHeight="1" x14ac:dyDescent="0.3">
      <c r="B100" s="45" t="s">
        <v>178</v>
      </c>
      <c r="C100" s="45" t="s">
        <v>179</v>
      </c>
      <c r="D100" s="45" t="s">
        <v>180</v>
      </c>
      <c r="E100" s="45" t="s">
        <v>181</v>
      </c>
      <c r="F100" s="45" t="s">
        <v>182</v>
      </c>
      <c r="G100" s="45" t="s">
        <v>183</v>
      </c>
      <c r="H100" s="45" t="s">
        <v>184</v>
      </c>
      <c r="I100" s="45" t="s">
        <v>185</v>
      </c>
      <c r="J100" s="45" t="s">
        <v>186</v>
      </c>
      <c r="K100" s="45" t="s">
        <v>187</v>
      </c>
      <c r="L100" s="45" t="s">
        <v>188</v>
      </c>
      <c r="M100" s="45" t="s">
        <v>189</v>
      </c>
    </row>
    <row r="101" spans="1:14" ht="19.05" customHeight="1" x14ac:dyDescent="0.3">
      <c r="B101" s="9">
        <f t="shared" ref="B101:M112" si="9">IFERROR(INDEX($B$95:$E$98, MATCH($N101, $B$94:$E$94, 0), MATCH(B$100, $B$94:$E$94, 0)), 0)</f>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178</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179</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180</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181</v>
      </c>
    </row>
    <row r="105" spans="1:14" ht="19.05" customHeight="1" x14ac:dyDescent="0.3">
      <c r="B105" s="9">
        <f t="shared" si="9"/>
        <v>0</v>
      </c>
      <c r="C105" s="9">
        <f t="shared" si="9"/>
        <v>0</v>
      </c>
      <c r="D105" s="9">
        <f t="shared" si="9"/>
        <v>0</v>
      </c>
      <c r="E105" s="9">
        <f t="shared" si="9"/>
        <v>0</v>
      </c>
      <c r="F105" s="47">
        <f t="shared" si="9"/>
        <v>126000</v>
      </c>
      <c r="G105" s="47">
        <f t="shared" si="9"/>
        <v>0</v>
      </c>
      <c r="H105" s="47">
        <f t="shared" si="9"/>
        <v>-126000</v>
      </c>
      <c r="I105" s="47">
        <f t="shared" si="9"/>
        <v>0</v>
      </c>
      <c r="J105" s="9">
        <f t="shared" si="9"/>
        <v>0</v>
      </c>
      <c r="K105" s="9">
        <f t="shared" si="9"/>
        <v>0</v>
      </c>
      <c r="L105" s="9">
        <f t="shared" si="9"/>
        <v>0</v>
      </c>
      <c r="M105" s="9">
        <f t="shared" si="9"/>
        <v>0</v>
      </c>
      <c r="N105" s="45" t="s">
        <v>182</v>
      </c>
    </row>
    <row r="106" spans="1:14" ht="19.05" customHeight="1" x14ac:dyDescent="0.3">
      <c r="A106" s="28" t="s">
        <v>196</v>
      </c>
      <c r="B106" s="9">
        <f t="shared" si="9"/>
        <v>0</v>
      </c>
      <c r="C106" s="9">
        <f t="shared" si="9"/>
        <v>0</v>
      </c>
      <c r="D106" s="9">
        <f t="shared" si="9"/>
        <v>0</v>
      </c>
      <c r="E106" s="9">
        <f t="shared" si="9"/>
        <v>0</v>
      </c>
      <c r="F106" s="47">
        <f t="shared" si="9"/>
        <v>0</v>
      </c>
      <c r="G106" s="47">
        <f t="shared" si="9"/>
        <v>0</v>
      </c>
      <c r="H106" s="47">
        <f t="shared" si="9"/>
        <v>0</v>
      </c>
      <c r="I106" s="47">
        <f t="shared" si="9"/>
        <v>0</v>
      </c>
      <c r="J106" s="9">
        <f t="shared" si="9"/>
        <v>0</v>
      </c>
      <c r="K106" s="9">
        <f t="shared" si="9"/>
        <v>0</v>
      </c>
      <c r="L106" s="9">
        <f t="shared" si="9"/>
        <v>0</v>
      </c>
      <c r="M106" s="9">
        <f t="shared" si="9"/>
        <v>0</v>
      </c>
      <c r="N106" s="45" t="s">
        <v>183</v>
      </c>
    </row>
    <row r="107" spans="1:14" ht="19.05" customHeight="1" x14ac:dyDescent="0.3">
      <c r="B107" s="9">
        <f t="shared" si="9"/>
        <v>0</v>
      </c>
      <c r="C107" s="9">
        <f t="shared" si="9"/>
        <v>0</v>
      </c>
      <c r="D107" s="9">
        <f t="shared" si="9"/>
        <v>0</v>
      </c>
      <c r="E107" s="9">
        <f t="shared" si="9"/>
        <v>0</v>
      </c>
      <c r="F107" s="47">
        <f t="shared" si="9"/>
        <v>-126000</v>
      </c>
      <c r="G107" s="47">
        <f t="shared" si="9"/>
        <v>0</v>
      </c>
      <c r="H107" s="47">
        <f t="shared" si="9"/>
        <v>126000</v>
      </c>
      <c r="I107" s="47">
        <f t="shared" si="9"/>
        <v>0</v>
      </c>
      <c r="J107" s="9">
        <f t="shared" si="9"/>
        <v>0</v>
      </c>
      <c r="K107" s="9">
        <f t="shared" si="9"/>
        <v>0</v>
      </c>
      <c r="L107" s="9">
        <f t="shared" si="9"/>
        <v>0</v>
      </c>
      <c r="M107" s="9">
        <f t="shared" si="9"/>
        <v>0</v>
      </c>
      <c r="N107" s="45" t="s">
        <v>184</v>
      </c>
    </row>
    <row r="108" spans="1:14" ht="19.05" customHeight="1" x14ac:dyDescent="0.3">
      <c r="B108" s="9">
        <f t="shared" si="9"/>
        <v>0</v>
      </c>
      <c r="C108" s="9">
        <f t="shared" si="9"/>
        <v>0</v>
      </c>
      <c r="D108" s="9">
        <f t="shared" si="9"/>
        <v>0</v>
      </c>
      <c r="E108" s="9">
        <f t="shared" si="9"/>
        <v>0</v>
      </c>
      <c r="F108" s="47">
        <f t="shared" si="9"/>
        <v>0</v>
      </c>
      <c r="G108" s="47">
        <f t="shared" si="9"/>
        <v>0</v>
      </c>
      <c r="H108" s="47">
        <f t="shared" si="9"/>
        <v>0</v>
      </c>
      <c r="I108" s="47">
        <f t="shared" si="9"/>
        <v>0</v>
      </c>
      <c r="J108" s="9">
        <f t="shared" si="9"/>
        <v>0</v>
      </c>
      <c r="K108" s="9">
        <f t="shared" si="9"/>
        <v>0</v>
      </c>
      <c r="L108" s="9">
        <f t="shared" si="9"/>
        <v>0</v>
      </c>
      <c r="M108" s="9">
        <f t="shared" si="9"/>
        <v>0</v>
      </c>
      <c r="N108" s="45" t="s">
        <v>185</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186</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187</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188</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189</v>
      </c>
    </row>
    <row r="115" spans="1:14" ht="18" customHeight="1" x14ac:dyDescent="0.3">
      <c r="B115" s="48" t="str">
        <f>CONCATENATE("U",C23,C$18)</f>
        <v>U1X</v>
      </c>
      <c r="C115" s="48" t="str">
        <f>CONCATENATE("U",D23,D$18)</f>
        <v>U1Y</v>
      </c>
      <c r="D115" s="48" t="str">
        <f>CONCATENATE("U",E23,E$18)</f>
        <v>U4X</v>
      </c>
      <c r="E115" s="48" t="str">
        <f>CONCATENATE("U",F23,F$18)</f>
        <v>U4Y</v>
      </c>
    </row>
    <row r="116" spans="1:14" x14ac:dyDescent="0.3">
      <c r="B116" s="49">
        <f>J10*J10*N10</f>
        <v>29698.484809834987</v>
      </c>
      <c r="C116" s="49">
        <f>J10*K10*N10</f>
        <v>29698.484809834987</v>
      </c>
      <c r="D116" s="49">
        <f>-B116</f>
        <v>-29698.484809834987</v>
      </c>
      <c r="E116" s="49">
        <f>-C116</f>
        <v>-29698.484809834987</v>
      </c>
      <c r="F116" s="48" t="str">
        <f>B115</f>
        <v>U1X</v>
      </c>
    </row>
    <row r="117" spans="1:14" ht="16.8" customHeight="1" x14ac:dyDescent="0.3">
      <c r="A117" s="28" t="s">
        <v>197</v>
      </c>
      <c r="B117" s="49">
        <f>C116</f>
        <v>29698.484809834987</v>
      </c>
      <c r="C117" s="49">
        <f>K10*K10*N10</f>
        <v>29698.484809834987</v>
      </c>
      <c r="D117" s="49">
        <f>-B117</f>
        <v>-29698.484809834987</v>
      </c>
      <c r="E117" s="49">
        <f>-C117</f>
        <v>-29698.484809834987</v>
      </c>
      <c r="F117" s="48" t="str">
        <f>C115</f>
        <v>U1Y</v>
      </c>
    </row>
    <row r="118" spans="1:14" x14ac:dyDescent="0.3">
      <c r="B118" s="49">
        <f>D116</f>
        <v>-29698.484809834987</v>
      </c>
      <c r="C118" s="49">
        <f>E116</f>
        <v>-29698.484809834987</v>
      </c>
      <c r="D118" s="49">
        <f>B116</f>
        <v>29698.484809834987</v>
      </c>
      <c r="E118" s="49">
        <f>C116</f>
        <v>29698.484809834987</v>
      </c>
      <c r="F118" s="48" t="str">
        <f>D115</f>
        <v>U4X</v>
      </c>
    </row>
    <row r="119" spans="1:14" x14ac:dyDescent="0.3">
      <c r="B119" s="49">
        <f>D117</f>
        <v>-29698.484809834987</v>
      </c>
      <c r="C119" s="49">
        <f>E117</f>
        <v>-29698.484809834987</v>
      </c>
      <c r="D119" s="49">
        <f>B117</f>
        <v>29698.484809834987</v>
      </c>
      <c r="E119" s="49">
        <f>C117</f>
        <v>29698.484809834987</v>
      </c>
      <c r="F119" s="48" t="str">
        <f>E115</f>
        <v>U4Y</v>
      </c>
    </row>
    <row r="121" spans="1:14" ht="18" customHeight="1" x14ac:dyDescent="0.3">
      <c r="B121" s="48" t="s">
        <v>178</v>
      </c>
      <c r="C121" s="48" t="s">
        <v>179</v>
      </c>
      <c r="D121" s="48" t="s">
        <v>180</v>
      </c>
      <c r="E121" s="48" t="s">
        <v>181</v>
      </c>
      <c r="F121" s="48" t="s">
        <v>182</v>
      </c>
      <c r="G121" s="48" t="s">
        <v>183</v>
      </c>
      <c r="H121" s="48" t="s">
        <v>184</v>
      </c>
      <c r="I121" s="48" t="s">
        <v>185</v>
      </c>
      <c r="J121" s="48" t="s">
        <v>186</v>
      </c>
      <c r="K121" s="48" t="s">
        <v>187</v>
      </c>
      <c r="L121" s="48" t="s">
        <v>188</v>
      </c>
      <c r="M121" s="48" t="s">
        <v>189</v>
      </c>
    </row>
    <row r="122" spans="1:14" ht="19.05" customHeight="1" x14ac:dyDescent="0.3">
      <c r="B122" s="50">
        <f t="shared" ref="B122:M133" si="10">IFERROR(INDEX($B$116:$E$119, MATCH($N122, $B$115:$E$115, 0), MATCH(B$121, $B$115:$E$115, 0)), 0)</f>
        <v>29698.484809834987</v>
      </c>
      <c r="C122" s="50">
        <f t="shared" si="10"/>
        <v>29698.484809834987</v>
      </c>
      <c r="D122" s="9">
        <f t="shared" si="10"/>
        <v>0</v>
      </c>
      <c r="E122" s="9">
        <f t="shared" si="10"/>
        <v>0</v>
      </c>
      <c r="F122" s="9">
        <f t="shared" si="10"/>
        <v>0</v>
      </c>
      <c r="G122" s="9">
        <f t="shared" si="10"/>
        <v>0</v>
      </c>
      <c r="H122" s="50">
        <f t="shared" si="10"/>
        <v>-29698.484809834987</v>
      </c>
      <c r="I122" s="50">
        <f t="shared" si="10"/>
        <v>-29698.484809834987</v>
      </c>
      <c r="J122" s="9">
        <f t="shared" si="10"/>
        <v>0</v>
      </c>
      <c r="K122" s="9">
        <f t="shared" si="10"/>
        <v>0</v>
      </c>
      <c r="L122" s="9">
        <f t="shared" si="10"/>
        <v>0</v>
      </c>
      <c r="M122" s="9">
        <f t="shared" si="10"/>
        <v>0</v>
      </c>
      <c r="N122" s="48" t="s">
        <v>178</v>
      </c>
    </row>
    <row r="123" spans="1:14" ht="19.05" customHeight="1" x14ac:dyDescent="0.3">
      <c r="B123" s="50">
        <f t="shared" si="10"/>
        <v>29698.484809834987</v>
      </c>
      <c r="C123" s="50">
        <f t="shared" si="10"/>
        <v>29698.484809834987</v>
      </c>
      <c r="D123" s="9">
        <f t="shared" si="10"/>
        <v>0</v>
      </c>
      <c r="E123" s="9">
        <f t="shared" si="10"/>
        <v>0</v>
      </c>
      <c r="F123" s="9">
        <f t="shared" si="10"/>
        <v>0</v>
      </c>
      <c r="G123" s="9">
        <f t="shared" si="10"/>
        <v>0</v>
      </c>
      <c r="H123" s="50">
        <f t="shared" si="10"/>
        <v>-29698.484809834987</v>
      </c>
      <c r="I123" s="50">
        <f t="shared" si="10"/>
        <v>-29698.484809834987</v>
      </c>
      <c r="J123" s="9">
        <f t="shared" si="10"/>
        <v>0</v>
      </c>
      <c r="K123" s="9">
        <f t="shared" si="10"/>
        <v>0</v>
      </c>
      <c r="L123" s="9">
        <f t="shared" si="10"/>
        <v>0</v>
      </c>
      <c r="M123" s="9">
        <f t="shared" si="10"/>
        <v>0</v>
      </c>
      <c r="N123" s="48" t="s">
        <v>179</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180</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181</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182</v>
      </c>
    </row>
    <row r="127" spans="1:14" ht="19.05" customHeight="1" x14ac:dyDescent="0.3">
      <c r="A127" s="28" t="s">
        <v>198</v>
      </c>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183</v>
      </c>
    </row>
    <row r="128" spans="1:14" ht="19.05" customHeight="1" x14ac:dyDescent="0.3">
      <c r="B128" s="50">
        <f t="shared" si="10"/>
        <v>-29698.484809834987</v>
      </c>
      <c r="C128" s="50">
        <f t="shared" si="10"/>
        <v>-29698.484809834987</v>
      </c>
      <c r="D128" s="9">
        <f t="shared" si="10"/>
        <v>0</v>
      </c>
      <c r="E128" s="9">
        <f t="shared" si="10"/>
        <v>0</v>
      </c>
      <c r="F128" s="9">
        <f t="shared" si="10"/>
        <v>0</v>
      </c>
      <c r="G128" s="9">
        <f t="shared" si="10"/>
        <v>0</v>
      </c>
      <c r="H128" s="50">
        <f t="shared" si="10"/>
        <v>29698.484809834987</v>
      </c>
      <c r="I128" s="50">
        <f t="shared" si="10"/>
        <v>29698.484809834987</v>
      </c>
      <c r="J128" s="9">
        <f t="shared" si="10"/>
        <v>0</v>
      </c>
      <c r="K128" s="9">
        <f t="shared" si="10"/>
        <v>0</v>
      </c>
      <c r="L128" s="9">
        <f t="shared" si="10"/>
        <v>0</v>
      </c>
      <c r="M128" s="9">
        <f t="shared" si="10"/>
        <v>0</v>
      </c>
      <c r="N128" s="48" t="s">
        <v>184</v>
      </c>
    </row>
    <row r="129" spans="1:14" ht="19.05" customHeight="1" x14ac:dyDescent="0.3">
      <c r="B129" s="50">
        <f t="shared" si="10"/>
        <v>-29698.484809834987</v>
      </c>
      <c r="C129" s="50">
        <f t="shared" si="10"/>
        <v>-29698.484809834987</v>
      </c>
      <c r="D129" s="9">
        <f t="shared" si="10"/>
        <v>0</v>
      </c>
      <c r="E129" s="9">
        <f t="shared" si="10"/>
        <v>0</v>
      </c>
      <c r="F129" s="9">
        <f t="shared" si="10"/>
        <v>0</v>
      </c>
      <c r="G129" s="9">
        <f t="shared" si="10"/>
        <v>0</v>
      </c>
      <c r="H129" s="50">
        <f t="shared" si="10"/>
        <v>29698.484809834987</v>
      </c>
      <c r="I129" s="50">
        <f t="shared" si="10"/>
        <v>29698.484809834987</v>
      </c>
      <c r="J129" s="9">
        <f t="shared" si="10"/>
        <v>0</v>
      </c>
      <c r="K129" s="9">
        <f t="shared" si="10"/>
        <v>0</v>
      </c>
      <c r="L129" s="9">
        <f t="shared" si="10"/>
        <v>0</v>
      </c>
      <c r="M129" s="9">
        <f t="shared" si="10"/>
        <v>0</v>
      </c>
      <c r="N129" s="48" t="s">
        <v>185</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186</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187</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188</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189</v>
      </c>
    </row>
    <row r="136" spans="1:14" ht="18" customHeight="1" x14ac:dyDescent="0.3">
      <c r="B136" s="53" t="str">
        <f>CONCATENATE("U",C24,C$18)</f>
        <v>U2X</v>
      </c>
      <c r="C136" s="53" t="str">
        <f>CONCATENATE("U",D24,D$18)</f>
        <v>U2Y</v>
      </c>
      <c r="D136" s="53" t="str">
        <f>CONCATENATE("U",E24,E$18)</f>
        <v>U3X</v>
      </c>
      <c r="E136" s="53" t="str">
        <f>CONCATENATE("U",F24,F$18)</f>
        <v>U3Y</v>
      </c>
    </row>
    <row r="137" spans="1:14" x14ac:dyDescent="0.3">
      <c r="B137" s="54">
        <f>J11*J11*N11</f>
        <v>29698.484809834987</v>
      </c>
      <c r="C137" s="54">
        <f>J11*K11*N11</f>
        <v>-29698.484809834987</v>
      </c>
      <c r="D137" s="54">
        <f>-B137</f>
        <v>-29698.484809834987</v>
      </c>
      <c r="E137" s="54">
        <f>-C137</f>
        <v>29698.484809834987</v>
      </c>
      <c r="F137" s="53" t="str">
        <f>B136</f>
        <v>U2X</v>
      </c>
    </row>
    <row r="138" spans="1:14" ht="16.8" customHeight="1" x14ac:dyDescent="0.3">
      <c r="A138" s="28" t="s">
        <v>199</v>
      </c>
      <c r="B138" s="54">
        <f>C137</f>
        <v>-29698.484809834987</v>
      </c>
      <c r="C138" s="54">
        <f>K11*K11*N11</f>
        <v>29698.484809834987</v>
      </c>
      <c r="D138" s="54">
        <f>-B138</f>
        <v>29698.484809834987</v>
      </c>
      <c r="E138" s="54">
        <f>-C138</f>
        <v>-29698.484809834987</v>
      </c>
      <c r="F138" s="53" t="str">
        <f>C136</f>
        <v>U2Y</v>
      </c>
    </row>
    <row r="139" spans="1:14" x14ac:dyDescent="0.3">
      <c r="B139" s="54">
        <f>D137</f>
        <v>-29698.484809834987</v>
      </c>
      <c r="C139" s="54">
        <f>E137</f>
        <v>29698.484809834987</v>
      </c>
      <c r="D139" s="54">
        <f>B137</f>
        <v>29698.484809834987</v>
      </c>
      <c r="E139" s="54">
        <f>C137</f>
        <v>-29698.484809834987</v>
      </c>
      <c r="F139" s="53" t="str">
        <f>D136</f>
        <v>U3X</v>
      </c>
    </row>
    <row r="140" spans="1:14" x14ac:dyDescent="0.3">
      <c r="B140" s="54">
        <f>D138</f>
        <v>29698.484809834987</v>
      </c>
      <c r="C140" s="54">
        <f>E138</f>
        <v>-29698.484809834987</v>
      </c>
      <c r="D140" s="54">
        <f>B138</f>
        <v>-29698.484809834987</v>
      </c>
      <c r="E140" s="54">
        <f>C138</f>
        <v>29698.484809834987</v>
      </c>
      <c r="F140" s="53" t="str">
        <f>E136</f>
        <v>U3Y</v>
      </c>
    </row>
    <row r="142" spans="1:14" ht="18" customHeight="1" x14ac:dyDescent="0.3">
      <c r="B142" s="53" t="s">
        <v>178</v>
      </c>
      <c r="C142" s="53" t="s">
        <v>179</v>
      </c>
      <c r="D142" s="53" t="s">
        <v>180</v>
      </c>
      <c r="E142" s="53" t="s">
        <v>181</v>
      </c>
      <c r="F142" s="53" t="s">
        <v>182</v>
      </c>
      <c r="G142" s="53" t="s">
        <v>183</v>
      </c>
      <c r="H142" s="53" t="s">
        <v>184</v>
      </c>
      <c r="I142" s="53" t="s">
        <v>185</v>
      </c>
      <c r="J142" s="53" t="s">
        <v>186</v>
      </c>
      <c r="K142" s="53" t="s">
        <v>187</v>
      </c>
      <c r="L142" s="53" t="s">
        <v>188</v>
      </c>
      <c r="M142" s="53" t="s">
        <v>189</v>
      </c>
    </row>
    <row r="143" spans="1:14" ht="19.05" customHeight="1" x14ac:dyDescent="0.3">
      <c r="B143" s="9">
        <f t="shared" ref="B143:M154" si="11">IFERROR(INDEX($B$137:$E$140, MATCH($N143, $B$136:$E$136, 0), MATCH(B$142, $B$136:$E$136, 0)), 0)</f>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178</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179</v>
      </c>
    </row>
    <row r="145" spans="1:14" ht="19.05" customHeight="1" x14ac:dyDescent="0.3">
      <c r="B145" s="9">
        <f t="shared" si="11"/>
        <v>0</v>
      </c>
      <c r="C145" s="9">
        <f t="shared" si="11"/>
        <v>0</v>
      </c>
      <c r="D145" s="55">
        <f t="shared" si="11"/>
        <v>29698.484809834987</v>
      </c>
      <c r="E145" s="55">
        <f t="shared" si="11"/>
        <v>-29698.484809834987</v>
      </c>
      <c r="F145" s="55">
        <f t="shared" si="11"/>
        <v>-29698.484809834987</v>
      </c>
      <c r="G145" s="55">
        <f t="shared" si="11"/>
        <v>29698.484809834987</v>
      </c>
      <c r="H145" s="9">
        <f t="shared" si="11"/>
        <v>0</v>
      </c>
      <c r="I145" s="9">
        <f t="shared" si="11"/>
        <v>0</v>
      </c>
      <c r="J145" s="9">
        <f t="shared" si="11"/>
        <v>0</v>
      </c>
      <c r="K145" s="9">
        <f t="shared" si="11"/>
        <v>0</v>
      </c>
      <c r="L145" s="9">
        <f t="shared" si="11"/>
        <v>0</v>
      </c>
      <c r="M145" s="9">
        <f t="shared" si="11"/>
        <v>0</v>
      </c>
      <c r="N145" s="53" t="s">
        <v>180</v>
      </c>
    </row>
    <row r="146" spans="1:14" ht="19.05" customHeight="1" x14ac:dyDescent="0.3">
      <c r="B146" s="9">
        <f t="shared" si="11"/>
        <v>0</v>
      </c>
      <c r="C146" s="9">
        <f t="shared" si="11"/>
        <v>0</v>
      </c>
      <c r="D146" s="55">
        <f t="shared" si="11"/>
        <v>-29698.484809834987</v>
      </c>
      <c r="E146" s="55">
        <f t="shared" si="11"/>
        <v>29698.484809834987</v>
      </c>
      <c r="F146" s="55">
        <f t="shared" si="11"/>
        <v>29698.484809834987</v>
      </c>
      <c r="G146" s="55">
        <f t="shared" si="11"/>
        <v>-29698.484809834987</v>
      </c>
      <c r="H146" s="9">
        <f t="shared" si="11"/>
        <v>0</v>
      </c>
      <c r="I146" s="9">
        <f t="shared" si="11"/>
        <v>0</v>
      </c>
      <c r="J146" s="9">
        <f t="shared" si="11"/>
        <v>0</v>
      </c>
      <c r="K146" s="9">
        <f t="shared" si="11"/>
        <v>0</v>
      </c>
      <c r="L146" s="9">
        <f t="shared" si="11"/>
        <v>0</v>
      </c>
      <c r="M146" s="9">
        <f t="shared" si="11"/>
        <v>0</v>
      </c>
      <c r="N146" s="53" t="s">
        <v>181</v>
      </c>
    </row>
    <row r="147" spans="1:14" ht="19.05" customHeight="1" x14ac:dyDescent="0.3">
      <c r="B147" s="9">
        <f t="shared" si="11"/>
        <v>0</v>
      </c>
      <c r="C147" s="9">
        <f t="shared" si="11"/>
        <v>0</v>
      </c>
      <c r="D147" s="55">
        <f t="shared" si="11"/>
        <v>-29698.484809834987</v>
      </c>
      <c r="E147" s="55">
        <f t="shared" si="11"/>
        <v>29698.484809834987</v>
      </c>
      <c r="F147" s="55">
        <f t="shared" si="11"/>
        <v>29698.484809834987</v>
      </c>
      <c r="G147" s="55">
        <f t="shared" si="11"/>
        <v>-29698.484809834987</v>
      </c>
      <c r="H147" s="9">
        <f t="shared" si="11"/>
        <v>0</v>
      </c>
      <c r="I147" s="9">
        <f t="shared" si="11"/>
        <v>0</v>
      </c>
      <c r="J147" s="9">
        <f t="shared" si="11"/>
        <v>0</v>
      </c>
      <c r="K147" s="9">
        <f t="shared" si="11"/>
        <v>0</v>
      </c>
      <c r="L147" s="9">
        <f t="shared" si="11"/>
        <v>0</v>
      </c>
      <c r="M147" s="9">
        <f t="shared" si="11"/>
        <v>0</v>
      </c>
      <c r="N147" s="53" t="s">
        <v>182</v>
      </c>
    </row>
    <row r="148" spans="1:14" ht="19.05" customHeight="1" x14ac:dyDescent="0.3">
      <c r="A148" s="28" t="s">
        <v>200</v>
      </c>
      <c r="B148" s="9">
        <f t="shared" si="11"/>
        <v>0</v>
      </c>
      <c r="C148" s="9">
        <f t="shared" si="11"/>
        <v>0</v>
      </c>
      <c r="D148" s="55">
        <f t="shared" si="11"/>
        <v>29698.484809834987</v>
      </c>
      <c r="E148" s="55">
        <f t="shared" si="11"/>
        <v>-29698.484809834987</v>
      </c>
      <c r="F148" s="55">
        <f t="shared" si="11"/>
        <v>-29698.484809834987</v>
      </c>
      <c r="G148" s="55">
        <f t="shared" si="11"/>
        <v>29698.484809834987</v>
      </c>
      <c r="H148" s="9">
        <f t="shared" si="11"/>
        <v>0</v>
      </c>
      <c r="I148" s="9">
        <f t="shared" si="11"/>
        <v>0</v>
      </c>
      <c r="J148" s="9">
        <f t="shared" si="11"/>
        <v>0</v>
      </c>
      <c r="K148" s="9">
        <f t="shared" si="11"/>
        <v>0</v>
      </c>
      <c r="L148" s="9">
        <f t="shared" si="11"/>
        <v>0</v>
      </c>
      <c r="M148" s="9">
        <f t="shared" si="11"/>
        <v>0</v>
      </c>
      <c r="N148" s="53" t="s">
        <v>183</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184</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185</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186</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187</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188</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189</v>
      </c>
    </row>
    <row r="157" spans="1:14" ht="18" customHeight="1" x14ac:dyDescent="0.3">
      <c r="B157" s="56" t="str">
        <f>CONCATENATE("U",C25,C$18)</f>
        <v>U3X</v>
      </c>
      <c r="C157" s="56" t="str">
        <f>CONCATENATE("U",D25,D$18)</f>
        <v>U3Y</v>
      </c>
      <c r="D157" s="56" t="str">
        <f>CONCATENATE("U",E25,E$18)</f>
        <v>U5X</v>
      </c>
      <c r="E157" s="56" t="str">
        <f>CONCATENATE("U",F25,F$18)</f>
        <v>U5Y</v>
      </c>
    </row>
    <row r="158" spans="1:14" x14ac:dyDescent="0.3">
      <c r="B158" s="57">
        <f>J12*J12*N12</f>
        <v>2239.3808000513532</v>
      </c>
      <c r="C158" s="57">
        <f>J12*K12*N12</f>
        <v>13436.28480030812</v>
      </c>
      <c r="D158" s="57">
        <f>-B158</f>
        <v>-2239.3808000513532</v>
      </c>
      <c r="E158" s="57">
        <f>-C158</f>
        <v>-13436.28480030812</v>
      </c>
      <c r="F158" s="56" t="str">
        <f>B157</f>
        <v>U3X</v>
      </c>
    </row>
    <row r="159" spans="1:14" ht="16.8" customHeight="1" x14ac:dyDescent="0.3">
      <c r="A159" s="28" t="s">
        <v>201</v>
      </c>
      <c r="B159" s="57">
        <f>C158</f>
        <v>13436.28480030812</v>
      </c>
      <c r="C159" s="57">
        <f>K12*K12*N12</f>
        <v>80617.708801848712</v>
      </c>
      <c r="D159" s="57">
        <f>-B159</f>
        <v>-13436.28480030812</v>
      </c>
      <c r="E159" s="57">
        <f>-C159</f>
        <v>-80617.708801848712</v>
      </c>
      <c r="F159" s="56" t="str">
        <f>C157</f>
        <v>U3Y</v>
      </c>
    </row>
    <row r="160" spans="1:14" x14ac:dyDescent="0.3">
      <c r="B160" s="57">
        <f>D158</f>
        <v>-2239.3808000513532</v>
      </c>
      <c r="C160" s="57">
        <f>E158</f>
        <v>-13436.28480030812</v>
      </c>
      <c r="D160" s="57">
        <f>B158</f>
        <v>2239.3808000513532</v>
      </c>
      <c r="E160" s="57">
        <f>C158</f>
        <v>13436.28480030812</v>
      </c>
      <c r="F160" s="56" t="str">
        <f>D157</f>
        <v>U5X</v>
      </c>
    </row>
    <row r="161" spans="1:14" x14ac:dyDescent="0.3">
      <c r="B161" s="57">
        <f>D159</f>
        <v>-13436.28480030812</v>
      </c>
      <c r="C161" s="57">
        <f>E159</f>
        <v>-80617.708801848712</v>
      </c>
      <c r="D161" s="57">
        <f>B159</f>
        <v>13436.28480030812</v>
      </c>
      <c r="E161" s="57">
        <f>C159</f>
        <v>80617.708801848712</v>
      </c>
      <c r="F161" s="56" t="str">
        <f>E157</f>
        <v>U5Y</v>
      </c>
    </row>
    <row r="163" spans="1:14" ht="18" customHeight="1" x14ac:dyDescent="0.3">
      <c r="B163" s="56" t="s">
        <v>178</v>
      </c>
      <c r="C163" s="56" t="s">
        <v>179</v>
      </c>
      <c r="D163" s="56" t="s">
        <v>180</v>
      </c>
      <c r="E163" s="56" t="s">
        <v>181</v>
      </c>
      <c r="F163" s="56" t="s">
        <v>182</v>
      </c>
      <c r="G163" s="56" t="s">
        <v>183</v>
      </c>
      <c r="H163" s="56" t="s">
        <v>184</v>
      </c>
      <c r="I163" s="56" t="s">
        <v>185</v>
      </c>
      <c r="J163" s="56" t="s">
        <v>186</v>
      </c>
      <c r="K163" s="56" t="s">
        <v>187</v>
      </c>
      <c r="L163" s="56" t="s">
        <v>188</v>
      </c>
      <c r="M163" s="56" t="s">
        <v>189</v>
      </c>
    </row>
    <row r="164" spans="1:14" ht="19.05" customHeight="1" x14ac:dyDescent="0.3">
      <c r="B164" s="9">
        <f t="shared" ref="B164:M175" si="12">IFERROR(INDEX($B$158:$E$161, MATCH($N164, $B$157:$E$157, 0), MATCH(B$163, $B$157:$E$157, 0)), 0)</f>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178</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179</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180</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181</v>
      </c>
    </row>
    <row r="168" spans="1:14" ht="19.05" customHeight="1" x14ac:dyDescent="0.3">
      <c r="B168" s="9">
        <f t="shared" si="12"/>
        <v>0</v>
      </c>
      <c r="C168" s="9">
        <f t="shared" si="12"/>
        <v>0</v>
      </c>
      <c r="D168" s="9">
        <f t="shared" si="12"/>
        <v>0</v>
      </c>
      <c r="E168" s="9">
        <f t="shared" si="12"/>
        <v>0</v>
      </c>
      <c r="F168" s="58">
        <f t="shared" si="12"/>
        <v>2239.3808000513532</v>
      </c>
      <c r="G168" s="58">
        <f t="shared" si="12"/>
        <v>13436.28480030812</v>
      </c>
      <c r="H168" s="9">
        <f t="shared" si="12"/>
        <v>0</v>
      </c>
      <c r="I168" s="9">
        <f t="shared" si="12"/>
        <v>0</v>
      </c>
      <c r="J168" s="58">
        <f t="shared" si="12"/>
        <v>-2239.3808000513532</v>
      </c>
      <c r="K168" s="58">
        <f t="shared" si="12"/>
        <v>-13436.28480030812</v>
      </c>
      <c r="L168" s="9">
        <f t="shared" si="12"/>
        <v>0</v>
      </c>
      <c r="M168" s="9">
        <f t="shared" si="12"/>
        <v>0</v>
      </c>
      <c r="N168" s="56" t="s">
        <v>182</v>
      </c>
    </row>
    <row r="169" spans="1:14" ht="19.05" customHeight="1" x14ac:dyDescent="0.3">
      <c r="A169" s="28" t="s">
        <v>202</v>
      </c>
      <c r="B169" s="9">
        <f t="shared" si="12"/>
        <v>0</v>
      </c>
      <c r="C169" s="9">
        <f t="shared" si="12"/>
        <v>0</v>
      </c>
      <c r="D169" s="9">
        <f t="shared" si="12"/>
        <v>0</v>
      </c>
      <c r="E169" s="9">
        <f t="shared" si="12"/>
        <v>0</v>
      </c>
      <c r="F169" s="58">
        <f t="shared" si="12"/>
        <v>13436.28480030812</v>
      </c>
      <c r="G169" s="58">
        <f t="shared" si="12"/>
        <v>80617.708801848712</v>
      </c>
      <c r="H169" s="9">
        <f t="shared" si="12"/>
        <v>0</v>
      </c>
      <c r="I169" s="9">
        <f t="shared" si="12"/>
        <v>0</v>
      </c>
      <c r="J169" s="58">
        <f t="shared" si="12"/>
        <v>-13436.28480030812</v>
      </c>
      <c r="K169" s="58">
        <f t="shared" si="12"/>
        <v>-80617.708801848712</v>
      </c>
      <c r="L169" s="9">
        <f t="shared" si="12"/>
        <v>0</v>
      </c>
      <c r="M169" s="9">
        <f t="shared" si="12"/>
        <v>0</v>
      </c>
      <c r="N169" s="56" t="s">
        <v>183</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184</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185</v>
      </c>
    </row>
    <row r="172" spans="1:14" ht="19.05" customHeight="1" x14ac:dyDescent="0.3">
      <c r="B172" s="9">
        <f t="shared" si="12"/>
        <v>0</v>
      </c>
      <c r="C172" s="9">
        <f t="shared" si="12"/>
        <v>0</v>
      </c>
      <c r="D172" s="9">
        <f t="shared" si="12"/>
        <v>0</v>
      </c>
      <c r="E172" s="9">
        <f t="shared" si="12"/>
        <v>0</v>
      </c>
      <c r="F172" s="58">
        <f t="shared" si="12"/>
        <v>-2239.3808000513532</v>
      </c>
      <c r="G172" s="58">
        <f t="shared" si="12"/>
        <v>-13436.28480030812</v>
      </c>
      <c r="H172" s="9">
        <f t="shared" si="12"/>
        <v>0</v>
      </c>
      <c r="I172" s="9">
        <f t="shared" si="12"/>
        <v>0</v>
      </c>
      <c r="J172" s="58">
        <f t="shared" si="12"/>
        <v>2239.3808000513532</v>
      </c>
      <c r="K172" s="58">
        <f t="shared" si="12"/>
        <v>13436.28480030812</v>
      </c>
      <c r="L172" s="9">
        <f t="shared" si="12"/>
        <v>0</v>
      </c>
      <c r="M172" s="9">
        <f t="shared" si="12"/>
        <v>0</v>
      </c>
      <c r="N172" s="56" t="s">
        <v>186</v>
      </c>
    </row>
    <row r="173" spans="1:14" ht="19.05" customHeight="1" x14ac:dyDescent="0.3">
      <c r="B173" s="9">
        <f t="shared" si="12"/>
        <v>0</v>
      </c>
      <c r="C173" s="9">
        <f t="shared" si="12"/>
        <v>0</v>
      </c>
      <c r="D173" s="9">
        <f t="shared" si="12"/>
        <v>0</v>
      </c>
      <c r="E173" s="9">
        <f t="shared" si="12"/>
        <v>0</v>
      </c>
      <c r="F173" s="58">
        <f t="shared" si="12"/>
        <v>-13436.28480030812</v>
      </c>
      <c r="G173" s="58">
        <f t="shared" si="12"/>
        <v>-80617.708801848712</v>
      </c>
      <c r="H173" s="9">
        <f t="shared" si="12"/>
        <v>0</v>
      </c>
      <c r="I173" s="9">
        <f t="shared" si="12"/>
        <v>0</v>
      </c>
      <c r="J173" s="58">
        <f t="shared" si="12"/>
        <v>13436.28480030812</v>
      </c>
      <c r="K173" s="58">
        <f t="shared" si="12"/>
        <v>80617.708801848712</v>
      </c>
      <c r="L173" s="9">
        <f t="shared" si="12"/>
        <v>0</v>
      </c>
      <c r="M173" s="9">
        <f t="shared" si="12"/>
        <v>0</v>
      </c>
      <c r="N173" s="56" t="s">
        <v>187</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188</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189</v>
      </c>
    </row>
    <row r="178" spans="1:14" ht="18" customHeight="1" x14ac:dyDescent="0.3">
      <c r="B178" s="61" t="str">
        <f>CONCATENATE("U",C26,C$18)</f>
        <v>U4X</v>
      </c>
      <c r="C178" s="61" t="str">
        <f>CONCATENATE("U",D26,D$18)</f>
        <v>U4Y</v>
      </c>
      <c r="D178" s="61" t="str">
        <f>CONCATENATE("U",E26,E$18)</f>
        <v>U6X</v>
      </c>
      <c r="E178" s="61" t="str">
        <f>CONCATENATE("U",F26,F$18)</f>
        <v>U6Y</v>
      </c>
    </row>
    <row r="179" spans="1:14" x14ac:dyDescent="0.3">
      <c r="B179" s="62">
        <f>J13*J13*N13</f>
        <v>2239.3808000513532</v>
      </c>
      <c r="C179" s="62">
        <f>J13*K13*N13</f>
        <v>-13436.28480030812</v>
      </c>
      <c r="D179" s="62">
        <f>-B179</f>
        <v>-2239.3808000513532</v>
      </c>
      <c r="E179" s="62">
        <f>-C179</f>
        <v>13436.28480030812</v>
      </c>
      <c r="F179" s="61" t="str">
        <f>B178</f>
        <v>U4X</v>
      </c>
    </row>
    <row r="180" spans="1:14" ht="16.8" customHeight="1" x14ac:dyDescent="0.3">
      <c r="A180" s="28" t="s">
        <v>203</v>
      </c>
      <c r="B180" s="62">
        <f>C179</f>
        <v>-13436.28480030812</v>
      </c>
      <c r="C180" s="62">
        <f>K13*K13*N13</f>
        <v>80617.708801848712</v>
      </c>
      <c r="D180" s="62">
        <f>-B180</f>
        <v>13436.28480030812</v>
      </c>
      <c r="E180" s="62">
        <f>-C180</f>
        <v>-80617.708801848712</v>
      </c>
      <c r="F180" s="61" t="str">
        <f>C178</f>
        <v>U4Y</v>
      </c>
    </row>
    <row r="181" spans="1:14" x14ac:dyDescent="0.3">
      <c r="B181" s="62">
        <f>D179</f>
        <v>-2239.3808000513532</v>
      </c>
      <c r="C181" s="62">
        <f>E179</f>
        <v>13436.28480030812</v>
      </c>
      <c r="D181" s="62">
        <f>B179</f>
        <v>2239.3808000513532</v>
      </c>
      <c r="E181" s="62">
        <f>C179</f>
        <v>-13436.28480030812</v>
      </c>
      <c r="F181" s="61" t="str">
        <f>D178</f>
        <v>U6X</v>
      </c>
    </row>
    <row r="182" spans="1:14" x14ac:dyDescent="0.3">
      <c r="B182" s="62">
        <f>D180</f>
        <v>13436.28480030812</v>
      </c>
      <c r="C182" s="62">
        <f>E180</f>
        <v>-80617.708801848712</v>
      </c>
      <c r="D182" s="62">
        <f>B180</f>
        <v>-13436.28480030812</v>
      </c>
      <c r="E182" s="62">
        <f>C180</f>
        <v>80617.708801848712</v>
      </c>
      <c r="F182" s="61" t="str">
        <f>E178</f>
        <v>U6Y</v>
      </c>
    </row>
    <row r="184" spans="1:14" ht="18" customHeight="1" x14ac:dyDescent="0.3">
      <c r="B184" s="61" t="s">
        <v>178</v>
      </c>
      <c r="C184" s="61" t="s">
        <v>179</v>
      </c>
      <c r="D184" s="61" t="s">
        <v>180</v>
      </c>
      <c r="E184" s="61" t="s">
        <v>181</v>
      </c>
      <c r="F184" s="61" t="s">
        <v>182</v>
      </c>
      <c r="G184" s="61" t="s">
        <v>183</v>
      </c>
      <c r="H184" s="61" t="s">
        <v>184</v>
      </c>
      <c r="I184" s="61" t="s">
        <v>185</v>
      </c>
      <c r="J184" s="61" t="s">
        <v>186</v>
      </c>
      <c r="K184" s="61" t="s">
        <v>187</v>
      </c>
      <c r="L184" s="61" t="s">
        <v>188</v>
      </c>
      <c r="M184" s="61" t="s">
        <v>189</v>
      </c>
    </row>
    <row r="185" spans="1:14" ht="19.05" customHeight="1" x14ac:dyDescent="0.3">
      <c r="B185" s="9">
        <f t="shared" ref="B185:M196" si="13">IFERROR(INDEX($B$179:$E$182, MATCH($N185, $B$178:$E$178, 0), MATCH(B$184, $B$178:$E$178, 0)), 0)</f>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178</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179</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180</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181</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182</v>
      </c>
    </row>
    <row r="190" spans="1:14" ht="19.05" customHeight="1" x14ac:dyDescent="0.3">
      <c r="A190" s="28" t="s">
        <v>204</v>
      </c>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183</v>
      </c>
    </row>
    <row r="191" spans="1:14" ht="19.05" customHeight="1" x14ac:dyDescent="0.3">
      <c r="B191" s="9">
        <f t="shared" si="13"/>
        <v>0</v>
      </c>
      <c r="C191" s="9">
        <f t="shared" si="13"/>
        <v>0</v>
      </c>
      <c r="D191" s="9">
        <f t="shared" si="13"/>
        <v>0</v>
      </c>
      <c r="E191" s="9">
        <f t="shared" si="13"/>
        <v>0</v>
      </c>
      <c r="F191" s="9">
        <f t="shared" si="13"/>
        <v>0</v>
      </c>
      <c r="G191" s="9">
        <f t="shared" si="13"/>
        <v>0</v>
      </c>
      <c r="H191" s="63">
        <f t="shared" si="13"/>
        <v>2239.3808000513532</v>
      </c>
      <c r="I191" s="63">
        <f t="shared" si="13"/>
        <v>-13436.28480030812</v>
      </c>
      <c r="J191" s="9">
        <f t="shared" si="13"/>
        <v>0</v>
      </c>
      <c r="K191" s="9">
        <f t="shared" si="13"/>
        <v>0</v>
      </c>
      <c r="L191" s="63">
        <f t="shared" si="13"/>
        <v>-2239.3808000513532</v>
      </c>
      <c r="M191" s="63">
        <f t="shared" si="13"/>
        <v>13436.28480030812</v>
      </c>
      <c r="N191" s="61" t="s">
        <v>184</v>
      </c>
    </row>
    <row r="192" spans="1:14" ht="19.05" customHeight="1" x14ac:dyDescent="0.3">
      <c r="B192" s="9">
        <f t="shared" si="13"/>
        <v>0</v>
      </c>
      <c r="C192" s="9">
        <f t="shared" si="13"/>
        <v>0</v>
      </c>
      <c r="D192" s="9">
        <f t="shared" si="13"/>
        <v>0</v>
      </c>
      <c r="E192" s="9">
        <f t="shared" si="13"/>
        <v>0</v>
      </c>
      <c r="F192" s="9">
        <f t="shared" si="13"/>
        <v>0</v>
      </c>
      <c r="G192" s="9">
        <f t="shared" si="13"/>
        <v>0</v>
      </c>
      <c r="H192" s="63">
        <f t="shared" si="13"/>
        <v>-13436.28480030812</v>
      </c>
      <c r="I192" s="63">
        <f t="shared" si="13"/>
        <v>80617.708801848712</v>
      </c>
      <c r="J192" s="9">
        <f t="shared" si="13"/>
        <v>0</v>
      </c>
      <c r="K192" s="9">
        <f t="shared" si="13"/>
        <v>0</v>
      </c>
      <c r="L192" s="63">
        <f t="shared" si="13"/>
        <v>13436.28480030812</v>
      </c>
      <c r="M192" s="63">
        <f t="shared" si="13"/>
        <v>-80617.708801848712</v>
      </c>
      <c r="N192" s="61" t="s">
        <v>185</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186</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187</v>
      </c>
    </row>
    <row r="195" spans="1:14" ht="19.05" customHeight="1" x14ac:dyDescent="0.3">
      <c r="B195" s="9">
        <f t="shared" si="13"/>
        <v>0</v>
      </c>
      <c r="C195" s="9">
        <f t="shared" si="13"/>
        <v>0</v>
      </c>
      <c r="D195" s="9">
        <f t="shared" si="13"/>
        <v>0</v>
      </c>
      <c r="E195" s="9">
        <f t="shared" si="13"/>
        <v>0</v>
      </c>
      <c r="F195" s="9">
        <f t="shared" si="13"/>
        <v>0</v>
      </c>
      <c r="G195" s="9">
        <f t="shared" si="13"/>
        <v>0</v>
      </c>
      <c r="H195" s="63">
        <f t="shared" si="13"/>
        <v>-2239.3808000513532</v>
      </c>
      <c r="I195" s="63">
        <f t="shared" si="13"/>
        <v>13436.28480030812</v>
      </c>
      <c r="J195" s="9">
        <f t="shared" si="13"/>
        <v>0</v>
      </c>
      <c r="K195" s="9">
        <f t="shared" si="13"/>
        <v>0</v>
      </c>
      <c r="L195" s="63">
        <f t="shared" si="13"/>
        <v>2239.3808000513532</v>
      </c>
      <c r="M195" s="63">
        <f t="shared" si="13"/>
        <v>-13436.28480030812</v>
      </c>
      <c r="N195" s="61" t="s">
        <v>188</v>
      </c>
    </row>
    <row r="196" spans="1:14" ht="19.05" customHeight="1" x14ac:dyDescent="0.3">
      <c r="B196" s="9">
        <f t="shared" si="13"/>
        <v>0</v>
      </c>
      <c r="C196" s="9">
        <f t="shared" si="13"/>
        <v>0</v>
      </c>
      <c r="D196" s="9">
        <f t="shared" si="13"/>
        <v>0</v>
      </c>
      <c r="E196" s="9">
        <f t="shared" si="13"/>
        <v>0</v>
      </c>
      <c r="F196" s="9">
        <f t="shared" si="13"/>
        <v>0</v>
      </c>
      <c r="G196" s="9">
        <f t="shared" si="13"/>
        <v>0</v>
      </c>
      <c r="H196" s="63">
        <f t="shared" si="13"/>
        <v>13436.28480030812</v>
      </c>
      <c r="I196" s="63">
        <f t="shared" si="13"/>
        <v>-80617.708801848712</v>
      </c>
      <c r="J196" s="9">
        <f t="shared" si="13"/>
        <v>0</v>
      </c>
      <c r="K196" s="9">
        <f t="shared" si="13"/>
        <v>0</v>
      </c>
      <c r="L196" s="63">
        <f t="shared" si="13"/>
        <v>-13436.28480030812</v>
      </c>
      <c r="M196" s="63">
        <f t="shared" si="13"/>
        <v>80617.708801848712</v>
      </c>
      <c r="N196" s="61" t="s">
        <v>189</v>
      </c>
    </row>
    <row r="199" spans="1:14" ht="18" customHeight="1" x14ac:dyDescent="0.3">
      <c r="B199" s="64" t="str">
        <f>CONCATENATE("U",C27,C$18)</f>
        <v>U5X</v>
      </c>
      <c r="C199" s="64" t="str">
        <f>CONCATENATE("U",D27,D$18)</f>
        <v>U5Y</v>
      </c>
      <c r="D199" s="64" t="str">
        <f>CONCATENATE("U",E27,E$18)</f>
        <v>U6X</v>
      </c>
      <c r="E199" s="64" t="str">
        <f>CONCATENATE("U",F27,F$18)</f>
        <v>U6Y</v>
      </c>
    </row>
    <row r="200" spans="1:14" x14ac:dyDescent="0.3">
      <c r="B200" s="65">
        <f>J14*J14*N14</f>
        <v>252000</v>
      </c>
      <c r="C200" s="65">
        <f>J14*K14*N14</f>
        <v>0</v>
      </c>
      <c r="D200" s="65">
        <f>-B200</f>
        <v>-252000</v>
      </c>
      <c r="E200" s="65">
        <f>-C200</f>
        <v>0</v>
      </c>
      <c r="F200" s="64" t="str">
        <f>B199</f>
        <v>U5X</v>
      </c>
    </row>
    <row r="201" spans="1:14" ht="16.8" customHeight="1" x14ac:dyDescent="0.3">
      <c r="A201" s="28" t="s">
        <v>528</v>
      </c>
      <c r="B201" s="65">
        <f>C200</f>
        <v>0</v>
      </c>
      <c r="C201" s="65">
        <f>K14*K14*N14</f>
        <v>0</v>
      </c>
      <c r="D201" s="65">
        <f>-B201</f>
        <v>0</v>
      </c>
      <c r="E201" s="65">
        <f>-C201</f>
        <v>0</v>
      </c>
      <c r="F201" s="64" t="str">
        <f>C199</f>
        <v>U5Y</v>
      </c>
    </row>
    <row r="202" spans="1:14" x14ac:dyDescent="0.3">
      <c r="B202" s="65">
        <f>D200</f>
        <v>-252000</v>
      </c>
      <c r="C202" s="65">
        <f>E200</f>
        <v>0</v>
      </c>
      <c r="D202" s="65">
        <f>B200</f>
        <v>252000</v>
      </c>
      <c r="E202" s="65">
        <f>C200</f>
        <v>0</v>
      </c>
      <c r="F202" s="64" t="str">
        <f>D199</f>
        <v>U6X</v>
      </c>
    </row>
    <row r="203" spans="1:14" x14ac:dyDescent="0.3">
      <c r="B203" s="65">
        <f>D201</f>
        <v>0</v>
      </c>
      <c r="C203" s="65">
        <f>E201</f>
        <v>0</v>
      </c>
      <c r="D203" s="65">
        <f>B201</f>
        <v>0</v>
      </c>
      <c r="E203" s="65">
        <f>C201</f>
        <v>0</v>
      </c>
      <c r="F203" s="64" t="str">
        <f>E199</f>
        <v>U6Y</v>
      </c>
    </row>
    <row r="205" spans="1:14" ht="18" customHeight="1" x14ac:dyDescent="0.3">
      <c r="B205" s="64" t="s">
        <v>178</v>
      </c>
      <c r="C205" s="64" t="s">
        <v>179</v>
      </c>
      <c r="D205" s="64" t="s">
        <v>180</v>
      </c>
      <c r="E205" s="64" t="s">
        <v>181</v>
      </c>
      <c r="F205" s="64" t="s">
        <v>182</v>
      </c>
      <c r="G205" s="64" t="s">
        <v>183</v>
      </c>
      <c r="H205" s="64" t="s">
        <v>184</v>
      </c>
      <c r="I205" s="64" t="s">
        <v>185</v>
      </c>
      <c r="J205" s="64" t="s">
        <v>186</v>
      </c>
      <c r="K205" s="64" t="s">
        <v>187</v>
      </c>
      <c r="L205" s="64" t="s">
        <v>188</v>
      </c>
      <c r="M205" s="64" t="s">
        <v>189</v>
      </c>
    </row>
    <row r="206" spans="1:14" ht="19.05" customHeight="1" x14ac:dyDescent="0.3">
      <c r="B206" s="9">
        <f t="shared" ref="B206:M217" si="14">IFERROR(INDEX($B$200:$E$203, MATCH($N206, $B$199:$E$199, 0), MATCH(B$205, $B$199:$E$199, 0)), 0)</f>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178</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179</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180</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181</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182</v>
      </c>
    </row>
    <row r="211" spans="1:14" ht="19.05" customHeight="1" x14ac:dyDescent="0.3">
      <c r="A211" s="28" t="s">
        <v>529</v>
      </c>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183</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184</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185</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66">
        <f t="shared" si="14"/>
        <v>252000</v>
      </c>
      <c r="K214" s="66">
        <f t="shared" si="14"/>
        <v>0</v>
      </c>
      <c r="L214" s="66">
        <f t="shared" si="14"/>
        <v>-252000</v>
      </c>
      <c r="M214" s="66">
        <f t="shared" si="14"/>
        <v>0</v>
      </c>
      <c r="N214" s="64" t="s">
        <v>186</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66">
        <f t="shared" si="14"/>
        <v>0</v>
      </c>
      <c r="K215" s="66">
        <f t="shared" si="14"/>
        <v>0</v>
      </c>
      <c r="L215" s="66">
        <f t="shared" si="14"/>
        <v>0</v>
      </c>
      <c r="M215" s="66">
        <f t="shared" si="14"/>
        <v>0</v>
      </c>
      <c r="N215" s="64" t="s">
        <v>187</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66">
        <f t="shared" si="14"/>
        <v>-252000</v>
      </c>
      <c r="K216" s="66">
        <f t="shared" si="14"/>
        <v>0</v>
      </c>
      <c r="L216" s="66">
        <f t="shared" si="14"/>
        <v>252000</v>
      </c>
      <c r="M216" s="66">
        <f t="shared" si="14"/>
        <v>0</v>
      </c>
      <c r="N216" s="64" t="s">
        <v>188</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66">
        <f t="shared" si="14"/>
        <v>0</v>
      </c>
      <c r="K217" s="66">
        <f t="shared" si="14"/>
        <v>0</v>
      </c>
      <c r="L217" s="66">
        <f t="shared" si="14"/>
        <v>0</v>
      </c>
      <c r="M217" s="66">
        <f t="shared" si="14"/>
        <v>0</v>
      </c>
      <c r="N217" s="64" t="s">
        <v>189</v>
      </c>
    </row>
    <row r="220" spans="1:14" ht="18" customHeight="1" x14ac:dyDescent="0.3">
      <c r="B220" s="69" t="str">
        <f>CONCATENATE("U",C28,C$18)</f>
        <v>U3X</v>
      </c>
      <c r="C220" s="69" t="str">
        <f>CONCATENATE("U",D28,D$18)</f>
        <v>U3Y</v>
      </c>
      <c r="D220" s="69" t="str">
        <f>CONCATENATE("U",E28,E$18)</f>
        <v>U6X</v>
      </c>
      <c r="E220" s="69" t="str">
        <f>CONCATENATE("U",F28,F$18)</f>
        <v>U6Y</v>
      </c>
    </row>
    <row r="221" spans="1:14" x14ac:dyDescent="0.3">
      <c r="B221" s="70">
        <f>J15*J15*N15</f>
        <v>15026.376808798586</v>
      </c>
      <c r="C221" s="70">
        <f>J15*K15*N15</f>
        <v>30052.753617597173</v>
      </c>
      <c r="D221" s="70">
        <f>-B221</f>
        <v>-15026.376808798586</v>
      </c>
      <c r="E221" s="70">
        <f>-C221</f>
        <v>-30052.753617597173</v>
      </c>
      <c r="F221" s="69" t="str">
        <f>B220</f>
        <v>U3X</v>
      </c>
    </row>
    <row r="222" spans="1:14" ht="16.8" customHeight="1" x14ac:dyDescent="0.3">
      <c r="A222" s="28" t="s">
        <v>581</v>
      </c>
      <c r="B222" s="70">
        <f>C221</f>
        <v>30052.753617597173</v>
      </c>
      <c r="C222" s="70">
        <f>K15*K15*N15</f>
        <v>60105.507235194345</v>
      </c>
      <c r="D222" s="70">
        <f>-B222</f>
        <v>-30052.753617597173</v>
      </c>
      <c r="E222" s="70">
        <f>-C222</f>
        <v>-60105.507235194345</v>
      </c>
      <c r="F222" s="69" t="str">
        <f>C220</f>
        <v>U3Y</v>
      </c>
    </row>
    <row r="223" spans="1:14" x14ac:dyDescent="0.3">
      <c r="B223" s="70">
        <f>D221</f>
        <v>-15026.376808798586</v>
      </c>
      <c r="C223" s="70">
        <f>E221</f>
        <v>-30052.753617597173</v>
      </c>
      <c r="D223" s="70">
        <f>B221</f>
        <v>15026.376808798586</v>
      </c>
      <c r="E223" s="70">
        <f>C221</f>
        <v>30052.753617597173</v>
      </c>
      <c r="F223" s="69" t="str">
        <f>D220</f>
        <v>U6X</v>
      </c>
    </row>
    <row r="224" spans="1:14" x14ac:dyDescent="0.3">
      <c r="B224" s="70">
        <f>D222</f>
        <v>-30052.753617597173</v>
      </c>
      <c r="C224" s="70">
        <f>E222</f>
        <v>-60105.507235194345</v>
      </c>
      <c r="D224" s="70">
        <f>B222</f>
        <v>30052.753617597173</v>
      </c>
      <c r="E224" s="70">
        <f>C222</f>
        <v>60105.507235194345</v>
      </c>
      <c r="F224" s="69" t="str">
        <f>E220</f>
        <v>U6Y</v>
      </c>
    </row>
    <row r="226" spans="1:14" ht="18" customHeight="1" x14ac:dyDescent="0.3">
      <c r="B226" s="69" t="s">
        <v>178</v>
      </c>
      <c r="C226" s="69" t="s">
        <v>179</v>
      </c>
      <c r="D226" s="69" t="s">
        <v>180</v>
      </c>
      <c r="E226" s="69" t="s">
        <v>181</v>
      </c>
      <c r="F226" s="69" t="s">
        <v>182</v>
      </c>
      <c r="G226" s="69" t="s">
        <v>183</v>
      </c>
      <c r="H226" s="69" t="s">
        <v>184</v>
      </c>
      <c r="I226" s="69" t="s">
        <v>185</v>
      </c>
      <c r="J226" s="69" t="s">
        <v>186</v>
      </c>
      <c r="K226" s="69" t="s">
        <v>187</v>
      </c>
      <c r="L226" s="69" t="s">
        <v>188</v>
      </c>
      <c r="M226" s="69" t="s">
        <v>189</v>
      </c>
    </row>
    <row r="227" spans="1:14" ht="19.05" customHeight="1" x14ac:dyDescent="0.3">
      <c r="B227" s="9">
        <f t="shared" ref="B227:M238" si="15">IFERROR(INDEX($B$221:$E$224, MATCH($N227, $B$220:$E$220, 0), MATCH(B$226, $B$220:$E$220, 0)), 0)</f>
        <v>0</v>
      </c>
      <c r="C227" s="9">
        <f t="shared" si="15"/>
        <v>0</v>
      </c>
      <c r="D227" s="9">
        <f t="shared" si="15"/>
        <v>0</v>
      </c>
      <c r="E227" s="9">
        <f t="shared" si="15"/>
        <v>0</v>
      </c>
      <c r="F227" s="9">
        <f t="shared" si="15"/>
        <v>0</v>
      </c>
      <c r="G227" s="9">
        <f t="shared" si="15"/>
        <v>0</v>
      </c>
      <c r="H227" s="9">
        <f t="shared" si="15"/>
        <v>0</v>
      </c>
      <c r="I227" s="9">
        <f t="shared" si="15"/>
        <v>0</v>
      </c>
      <c r="J227" s="9">
        <f t="shared" si="15"/>
        <v>0</v>
      </c>
      <c r="K227" s="9">
        <f t="shared" si="15"/>
        <v>0</v>
      </c>
      <c r="L227" s="9">
        <f t="shared" si="15"/>
        <v>0</v>
      </c>
      <c r="M227" s="9">
        <f t="shared" si="15"/>
        <v>0</v>
      </c>
      <c r="N227" s="69" t="s">
        <v>178</v>
      </c>
    </row>
    <row r="228" spans="1:14" ht="19.05" customHeight="1" x14ac:dyDescent="0.3">
      <c r="B228" s="9">
        <f t="shared" si="15"/>
        <v>0</v>
      </c>
      <c r="C228" s="9">
        <f t="shared" si="15"/>
        <v>0</v>
      </c>
      <c r="D228" s="9">
        <f t="shared" si="15"/>
        <v>0</v>
      </c>
      <c r="E228" s="9">
        <f t="shared" si="15"/>
        <v>0</v>
      </c>
      <c r="F228" s="9">
        <f t="shared" si="15"/>
        <v>0</v>
      </c>
      <c r="G228" s="9">
        <f t="shared" si="15"/>
        <v>0</v>
      </c>
      <c r="H228" s="9">
        <f t="shared" si="15"/>
        <v>0</v>
      </c>
      <c r="I228" s="9">
        <f t="shared" si="15"/>
        <v>0</v>
      </c>
      <c r="J228" s="9">
        <f t="shared" si="15"/>
        <v>0</v>
      </c>
      <c r="K228" s="9">
        <f t="shared" si="15"/>
        <v>0</v>
      </c>
      <c r="L228" s="9">
        <f t="shared" si="15"/>
        <v>0</v>
      </c>
      <c r="M228" s="9">
        <f t="shared" si="15"/>
        <v>0</v>
      </c>
      <c r="N228" s="69" t="s">
        <v>179</v>
      </c>
    </row>
    <row r="229" spans="1:14" ht="19.05" customHeight="1" x14ac:dyDescent="0.3">
      <c r="B229" s="9">
        <f t="shared" si="15"/>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180</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181</v>
      </c>
    </row>
    <row r="231" spans="1:14" ht="19.05" customHeight="1" x14ac:dyDescent="0.3">
      <c r="B231" s="9">
        <f t="shared" si="15"/>
        <v>0</v>
      </c>
      <c r="C231" s="9">
        <f t="shared" si="15"/>
        <v>0</v>
      </c>
      <c r="D231" s="9">
        <f t="shared" si="15"/>
        <v>0</v>
      </c>
      <c r="E231" s="9">
        <f t="shared" si="15"/>
        <v>0</v>
      </c>
      <c r="F231" s="71">
        <f t="shared" si="15"/>
        <v>15026.376808798586</v>
      </c>
      <c r="G231" s="71">
        <f t="shared" si="15"/>
        <v>30052.753617597173</v>
      </c>
      <c r="H231" s="9">
        <f t="shared" si="15"/>
        <v>0</v>
      </c>
      <c r="I231" s="9">
        <f t="shared" si="15"/>
        <v>0</v>
      </c>
      <c r="J231" s="9">
        <f t="shared" si="15"/>
        <v>0</v>
      </c>
      <c r="K231" s="9">
        <f t="shared" si="15"/>
        <v>0</v>
      </c>
      <c r="L231" s="71">
        <f t="shared" si="15"/>
        <v>-15026.376808798586</v>
      </c>
      <c r="M231" s="71">
        <f t="shared" si="15"/>
        <v>-30052.753617597173</v>
      </c>
      <c r="N231" s="69" t="s">
        <v>182</v>
      </c>
    </row>
    <row r="232" spans="1:14" ht="19.05" customHeight="1" x14ac:dyDescent="0.3">
      <c r="A232" s="28" t="s">
        <v>582</v>
      </c>
      <c r="B232" s="9">
        <f t="shared" si="15"/>
        <v>0</v>
      </c>
      <c r="C232" s="9">
        <f t="shared" si="15"/>
        <v>0</v>
      </c>
      <c r="D232" s="9">
        <f t="shared" si="15"/>
        <v>0</v>
      </c>
      <c r="E232" s="9">
        <f t="shared" si="15"/>
        <v>0</v>
      </c>
      <c r="F232" s="71">
        <f t="shared" si="15"/>
        <v>30052.753617597173</v>
      </c>
      <c r="G232" s="71">
        <f t="shared" si="15"/>
        <v>60105.507235194345</v>
      </c>
      <c r="H232" s="9">
        <f t="shared" si="15"/>
        <v>0</v>
      </c>
      <c r="I232" s="9">
        <f t="shared" si="15"/>
        <v>0</v>
      </c>
      <c r="J232" s="9">
        <f t="shared" si="15"/>
        <v>0</v>
      </c>
      <c r="K232" s="9">
        <f t="shared" si="15"/>
        <v>0</v>
      </c>
      <c r="L232" s="71">
        <f t="shared" si="15"/>
        <v>-30052.753617597173</v>
      </c>
      <c r="M232" s="71">
        <f t="shared" si="15"/>
        <v>-60105.507235194345</v>
      </c>
      <c r="N232" s="69" t="s">
        <v>183</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184</v>
      </c>
    </row>
    <row r="234" spans="1:14" ht="19.05" customHeight="1" x14ac:dyDescent="0.3">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185</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186</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187</v>
      </c>
    </row>
    <row r="237" spans="1:14" ht="19.05" customHeight="1" x14ac:dyDescent="0.3">
      <c r="B237" s="9">
        <f t="shared" si="15"/>
        <v>0</v>
      </c>
      <c r="C237" s="9">
        <f t="shared" si="15"/>
        <v>0</v>
      </c>
      <c r="D237" s="9">
        <f t="shared" si="15"/>
        <v>0</v>
      </c>
      <c r="E237" s="9">
        <f t="shared" si="15"/>
        <v>0</v>
      </c>
      <c r="F237" s="71">
        <f t="shared" si="15"/>
        <v>-15026.376808798586</v>
      </c>
      <c r="G237" s="71">
        <f t="shared" si="15"/>
        <v>-30052.753617597173</v>
      </c>
      <c r="H237" s="9">
        <f t="shared" si="15"/>
        <v>0</v>
      </c>
      <c r="I237" s="9">
        <f t="shared" si="15"/>
        <v>0</v>
      </c>
      <c r="J237" s="9">
        <f t="shared" si="15"/>
        <v>0</v>
      </c>
      <c r="K237" s="9">
        <f t="shared" si="15"/>
        <v>0</v>
      </c>
      <c r="L237" s="71">
        <f t="shared" si="15"/>
        <v>15026.376808798586</v>
      </c>
      <c r="M237" s="71">
        <f t="shared" si="15"/>
        <v>30052.753617597173</v>
      </c>
      <c r="N237" s="69" t="s">
        <v>188</v>
      </c>
    </row>
    <row r="238" spans="1:14" ht="19.05" customHeight="1" x14ac:dyDescent="0.3">
      <c r="B238" s="9">
        <f t="shared" si="15"/>
        <v>0</v>
      </c>
      <c r="C238" s="9">
        <f t="shared" si="15"/>
        <v>0</v>
      </c>
      <c r="D238" s="9">
        <f t="shared" si="15"/>
        <v>0</v>
      </c>
      <c r="E238" s="9">
        <f t="shared" si="15"/>
        <v>0</v>
      </c>
      <c r="F238" s="71">
        <f t="shared" si="15"/>
        <v>-30052.753617597173</v>
      </c>
      <c r="G238" s="71">
        <f t="shared" si="15"/>
        <v>-60105.507235194345</v>
      </c>
      <c r="H238" s="9">
        <f t="shared" si="15"/>
        <v>0</v>
      </c>
      <c r="I238" s="9">
        <f t="shared" si="15"/>
        <v>0</v>
      </c>
      <c r="J238" s="9">
        <f t="shared" si="15"/>
        <v>0</v>
      </c>
      <c r="K238" s="9">
        <f t="shared" si="15"/>
        <v>0</v>
      </c>
      <c r="L238" s="71">
        <f t="shared" si="15"/>
        <v>30052.753617597173</v>
      </c>
      <c r="M238" s="71">
        <f t="shared" si="15"/>
        <v>60105.507235194345</v>
      </c>
      <c r="N238" s="69" t="s">
        <v>189</v>
      </c>
    </row>
    <row r="241" spans="1:21" ht="19.95" customHeight="1" x14ac:dyDescent="0.3">
      <c r="B241" s="87" t="s">
        <v>178</v>
      </c>
      <c r="C241" s="87" t="s">
        <v>179</v>
      </c>
      <c r="D241" s="87" t="s">
        <v>180</v>
      </c>
      <c r="E241" s="87" t="s">
        <v>181</v>
      </c>
      <c r="F241" s="87" t="s">
        <v>182</v>
      </c>
      <c r="G241" s="87" t="s">
        <v>183</v>
      </c>
      <c r="H241" s="87" t="s">
        <v>184</v>
      </c>
      <c r="I241" s="87" t="s">
        <v>185</v>
      </c>
      <c r="J241" s="87" t="s">
        <v>186</v>
      </c>
      <c r="K241" s="87" t="s">
        <v>187</v>
      </c>
      <c r="L241" s="87" t="s">
        <v>188</v>
      </c>
      <c r="M241" s="87" t="s">
        <v>189</v>
      </c>
    </row>
    <row r="242" spans="1:21" ht="19.95" customHeight="1" x14ac:dyDescent="0.3">
      <c r="B242" s="35">
        <f t="shared" ref="B242:M242" si="16">B38+B59+B80+B101+B122+B143+B164+B185+B206+B227</f>
        <v>100667.42451345931</v>
      </c>
      <c r="C242" s="36">
        <f t="shared" si="16"/>
        <v>53605.303920707927</v>
      </c>
      <c r="D242" s="9">
        <f t="shared" si="16"/>
        <v>-63000</v>
      </c>
      <c r="E242" s="9">
        <f t="shared" si="16"/>
        <v>0</v>
      </c>
      <c r="F242" s="9">
        <f t="shared" si="16"/>
        <v>-7968.9397036243126</v>
      </c>
      <c r="G242" s="9">
        <f t="shared" si="16"/>
        <v>-23906.819110872941</v>
      </c>
      <c r="H242" s="9">
        <f t="shared" si="16"/>
        <v>-29698.484809834987</v>
      </c>
      <c r="I242" s="9">
        <f t="shared" si="16"/>
        <v>-29698.484809834987</v>
      </c>
      <c r="J242" s="9">
        <f t="shared" si="16"/>
        <v>0</v>
      </c>
      <c r="K242" s="9">
        <f t="shared" si="16"/>
        <v>0</v>
      </c>
      <c r="L242" s="9">
        <f t="shared" si="16"/>
        <v>0</v>
      </c>
      <c r="M242" s="9">
        <f t="shared" si="16"/>
        <v>0</v>
      </c>
      <c r="N242" s="89" t="s">
        <v>178</v>
      </c>
    </row>
    <row r="243" spans="1:21" ht="19.95" customHeight="1" x14ac:dyDescent="0.3">
      <c r="B243" s="36">
        <f t="shared" ref="B243:M243" si="17">B39+B60+B81+B102+B123+B144+B165+B186+B207+B228</f>
        <v>53605.303920707927</v>
      </c>
      <c r="C243" s="35">
        <f t="shared" si="17"/>
        <v>101418.94214245383</v>
      </c>
      <c r="D243" s="9">
        <f t="shared" si="17"/>
        <v>0</v>
      </c>
      <c r="E243" s="9">
        <f t="shared" si="17"/>
        <v>0</v>
      </c>
      <c r="F243" s="9">
        <f t="shared" si="17"/>
        <v>-23906.819110872941</v>
      </c>
      <c r="G243" s="9">
        <f t="shared" si="17"/>
        <v>-71720.45733261884</v>
      </c>
      <c r="H243" s="9">
        <f t="shared" si="17"/>
        <v>-29698.484809834987</v>
      </c>
      <c r="I243" s="9">
        <f t="shared" si="17"/>
        <v>-29698.484809834987</v>
      </c>
      <c r="J243" s="9">
        <f t="shared" si="17"/>
        <v>0</v>
      </c>
      <c r="K243" s="9">
        <f t="shared" si="17"/>
        <v>0</v>
      </c>
      <c r="L243" s="9">
        <f t="shared" si="17"/>
        <v>0</v>
      </c>
      <c r="M243" s="9">
        <f t="shared" si="17"/>
        <v>0</v>
      </c>
      <c r="N243" s="89" t="s">
        <v>179</v>
      </c>
    </row>
    <row r="244" spans="1:21" ht="19.95" customHeight="1" x14ac:dyDescent="0.3">
      <c r="B244" s="9">
        <f t="shared" ref="B244:M244" si="18">B40+B61+B82+B103+B124+B145+B166+B187+B208+B229</f>
        <v>-63000</v>
      </c>
      <c r="C244" s="9">
        <f t="shared" si="18"/>
        <v>0</v>
      </c>
      <c r="D244" s="35">
        <f t="shared" si="18"/>
        <v>100667.42451345931</v>
      </c>
      <c r="E244" s="36">
        <f t="shared" si="18"/>
        <v>-53605.303920707927</v>
      </c>
      <c r="F244" s="9">
        <f t="shared" si="18"/>
        <v>-29698.484809834987</v>
      </c>
      <c r="G244" s="9">
        <f t="shared" si="18"/>
        <v>29698.484809834987</v>
      </c>
      <c r="H244" s="9">
        <f t="shared" si="18"/>
        <v>-7968.9397036243126</v>
      </c>
      <c r="I244" s="9">
        <f t="shared" si="18"/>
        <v>23906.819110872941</v>
      </c>
      <c r="J244" s="9">
        <f t="shared" si="18"/>
        <v>0</v>
      </c>
      <c r="K244" s="9">
        <f t="shared" si="18"/>
        <v>0</v>
      </c>
      <c r="L244" s="9">
        <f t="shared" si="18"/>
        <v>0</v>
      </c>
      <c r="M244" s="9">
        <f t="shared" si="18"/>
        <v>0</v>
      </c>
      <c r="N244" s="89" t="s">
        <v>180</v>
      </c>
    </row>
    <row r="245" spans="1:21" ht="19.95" customHeight="1" x14ac:dyDescent="0.3">
      <c r="B245" s="9">
        <f t="shared" ref="B245:M245" si="19">B41+B62+B83+B104+B125+B146+B167+B188+B209+B230</f>
        <v>0</v>
      </c>
      <c r="C245" s="9">
        <f t="shared" si="19"/>
        <v>0</v>
      </c>
      <c r="D245" s="36">
        <f t="shared" si="19"/>
        <v>-53605.303920707927</v>
      </c>
      <c r="E245" s="35">
        <f t="shared" si="19"/>
        <v>101418.94214245383</v>
      </c>
      <c r="F245" s="9">
        <f t="shared" si="19"/>
        <v>29698.484809834987</v>
      </c>
      <c r="G245" s="9">
        <f t="shared" si="19"/>
        <v>-29698.484809834987</v>
      </c>
      <c r="H245" s="9">
        <f t="shared" si="19"/>
        <v>23906.819110872941</v>
      </c>
      <c r="I245" s="9">
        <f t="shared" si="19"/>
        <v>-71720.45733261884</v>
      </c>
      <c r="J245" s="9">
        <f t="shared" si="19"/>
        <v>0</v>
      </c>
      <c r="K245" s="9">
        <f t="shared" si="19"/>
        <v>0</v>
      </c>
      <c r="L245" s="9">
        <f t="shared" si="19"/>
        <v>0</v>
      </c>
      <c r="M245" s="9">
        <f t="shared" si="19"/>
        <v>0</v>
      </c>
      <c r="N245" s="89" t="s">
        <v>181</v>
      </c>
    </row>
    <row r="246" spans="1:21" ht="19.95" customHeight="1" x14ac:dyDescent="0.3">
      <c r="B246" s="9">
        <f t="shared" ref="B246:M246" si="20">B42+B63+B84+B105+B126+B147+B168+B189+B210+B231</f>
        <v>-7968.9397036243126</v>
      </c>
      <c r="C246" s="9">
        <f t="shared" si="20"/>
        <v>-23906.819110872941</v>
      </c>
      <c r="D246" s="9">
        <f t="shared" si="20"/>
        <v>-29698.484809834987</v>
      </c>
      <c r="E246" s="9">
        <f t="shared" si="20"/>
        <v>29698.484809834987</v>
      </c>
      <c r="F246" s="35">
        <f t="shared" si="20"/>
        <v>180933.18212230923</v>
      </c>
      <c r="G246" s="36">
        <f t="shared" si="20"/>
        <v>37697.372718943247</v>
      </c>
      <c r="H246" s="9">
        <f t="shared" si="20"/>
        <v>-126000</v>
      </c>
      <c r="I246" s="9">
        <f t="shared" si="20"/>
        <v>0</v>
      </c>
      <c r="J246" s="9">
        <f t="shared" si="20"/>
        <v>-2239.3808000513532</v>
      </c>
      <c r="K246" s="9">
        <f t="shared" si="20"/>
        <v>-13436.28480030812</v>
      </c>
      <c r="L246" s="9">
        <f t="shared" si="20"/>
        <v>-15026.376808798586</v>
      </c>
      <c r="M246" s="9">
        <f t="shared" si="20"/>
        <v>-30052.753617597173</v>
      </c>
      <c r="N246" s="89" t="s">
        <v>182</v>
      </c>
    </row>
    <row r="247" spans="1:21" ht="19.95" customHeight="1" x14ac:dyDescent="0.3">
      <c r="A247" s="28" t="s">
        <v>205</v>
      </c>
      <c r="B247" s="9">
        <f t="shared" ref="B247:M247" si="21">B43+B64+B85+B106+B127+B148+B169+B190+B211+B232</f>
        <v>-23906.819110872941</v>
      </c>
      <c r="C247" s="9">
        <f t="shared" si="21"/>
        <v>-71720.45733261884</v>
      </c>
      <c r="D247" s="9">
        <f t="shared" si="21"/>
        <v>29698.484809834987</v>
      </c>
      <c r="E247" s="9">
        <f t="shared" si="21"/>
        <v>-29698.484809834987</v>
      </c>
      <c r="F247" s="36">
        <f t="shared" si="21"/>
        <v>37697.372718943247</v>
      </c>
      <c r="G247" s="35">
        <f t="shared" si="21"/>
        <v>242142.15817949691</v>
      </c>
      <c r="H247" s="9">
        <f t="shared" si="21"/>
        <v>0</v>
      </c>
      <c r="I247" s="9">
        <f t="shared" si="21"/>
        <v>0</v>
      </c>
      <c r="J247" s="9">
        <f t="shared" si="21"/>
        <v>-13436.28480030812</v>
      </c>
      <c r="K247" s="9">
        <f t="shared" si="21"/>
        <v>-80617.708801848712</v>
      </c>
      <c r="L247" s="9">
        <f t="shared" si="21"/>
        <v>-30052.753617597173</v>
      </c>
      <c r="M247" s="9">
        <f t="shared" si="21"/>
        <v>-60105.507235194345</v>
      </c>
      <c r="N247" s="89" t="s">
        <v>183</v>
      </c>
    </row>
    <row r="248" spans="1:21" ht="19.95" customHeight="1" x14ac:dyDescent="0.3">
      <c r="B248" s="9">
        <f t="shared" ref="B248:M248" si="22">B44+B65+B86+B107+B128+B149+B170+B191+B212+B233</f>
        <v>-29698.484809834987</v>
      </c>
      <c r="C248" s="9">
        <f t="shared" si="22"/>
        <v>-29698.484809834987</v>
      </c>
      <c r="D248" s="9">
        <f t="shared" si="22"/>
        <v>-7968.9397036243126</v>
      </c>
      <c r="E248" s="9">
        <f t="shared" si="22"/>
        <v>23906.819110872941</v>
      </c>
      <c r="F248" s="9">
        <f t="shared" si="22"/>
        <v>-126000</v>
      </c>
      <c r="G248" s="9">
        <f t="shared" si="22"/>
        <v>0</v>
      </c>
      <c r="H248" s="35">
        <f t="shared" si="22"/>
        <v>165906.80531351065</v>
      </c>
      <c r="I248" s="36">
        <f t="shared" si="22"/>
        <v>-7644.6191013460739</v>
      </c>
      <c r="J248" s="9">
        <f t="shared" si="22"/>
        <v>0</v>
      </c>
      <c r="K248" s="9">
        <f t="shared" si="22"/>
        <v>0</v>
      </c>
      <c r="L248" s="9">
        <f t="shared" si="22"/>
        <v>-2239.3808000513532</v>
      </c>
      <c r="M248" s="9">
        <f t="shared" si="22"/>
        <v>13436.28480030812</v>
      </c>
      <c r="N248" s="89" t="s">
        <v>184</v>
      </c>
    </row>
    <row r="249" spans="1:21" ht="19.95" customHeight="1" x14ac:dyDescent="0.3">
      <c r="B249" s="9">
        <f t="shared" ref="B249:M249" si="23">B45+B66+B87+B108+B129+B150+B171+B192+B213+B234</f>
        <v>-29698.484809834987</v>
      </c>
      <c r="C249" s="9">
        <f t="shared" si="23"/>
        <v>-29698.484809834987</v>
      </c>
      <c r="D249" s="9">
        <f t="shared" si="23"/>
        <v>23906.819110872941</v>
      </c>
      <c r="E249" s="9">
        <f t="shared" si="23"/>
        <v>-71720.45733261884</v>
      </c>
      <c r="F249" s="9">
        <f t="shared" si="23"/>
        <v>0</v>
      </c>
      <c r="G249" s="9">
        <f t="shared" si="23"/>
        <v>0</v>
      </c>
      <c r="H249" s="36">
        <f t="shared" si="23"/>
        <v>-7644.6191013460739</v>
      </c>
      <c r="I249" s="35">
        <f t="shared" si="23"/>
        <v>182036.65094430256</v>
      </c>
      <c r="J249" s="9">
        <f t="shared" si="23"/>
        <v>0</v>
      </c>
      <c r="K249" s="9">
        <f t="shared" si="23"/>
        <v>0</v>
      </c>
      <c r="L249" s="9">
        <f t="shared" si="23"/>
        <v>13436.28480030812</v>
      </c>
      <c r="M249" s="9">
        <f t="shared" si="23"/>
        <v>-80617.708801848712</v>
      </c>
      <c r="N249" s="89" t="s">
        <v>185</v>
      </c>
    </row>
    <row r="250" spans="1:21" ht="19.95" customHeight="1" x14ac:dyDescent="0.3">
      <c r="B250" s="9">
        <f t="shared" ref="B250:M250" si="24">B46+B67+B88+B109+B130+B151+B172+B193+B214+B235</f>
        <v>0</v>
      </c>
      <c r="C250" s="9">
        <f t="shared" si="24"/>
        <v>0</v>
      </c>
      <c r="D250" s="9">
        <f t="shared" si="24"/>
        <v>0</v>
      </c>
      <c r="E250" s="9">
        <f t="shared" si="24"/>
        <v>0</v>
      </c>
      <c r="F250" s="9">
        <f t="shared" si="24"/>
        <v>-2239.3808000513532</v>
      </c>
      <c r="G250" s="9">
        <f t="shared" si="24"/>
        <v>-13436.28480030812</v>
      </c>
      <c r="H250" s="9">
        <f t="shared" si="24"/>
        <v>0</v>
      </c>
      <c r="I250" s="9">
        <f t="shared" si="24"/>
        <v>0</v>
      </c>
      <c r="J250" s="35">
        <f t="shared" si="24"/>
        <v>254239.38080005135</v>
      </c>
      <c r="K250" s="36">
        <f t="shared" si="24"/>
        <v>13436.28480030812</v>
      </c>
      <c r="L250" s="9">
        <f t="shared" si="24"/>
        <v>-252000</v>
      </c>
      <c r="M250" s="9">
        <f t="shared" si="24"/>
        <v>0</v>
      </c>
      <c r="N250" s="89" t="s">
        <v>186</v>
      </c>
    </row>
    <row r="251" spans="1:21" ht="19.95" customHeight="1" x14ac:dyDescent="0.3">
      <c r="B251" s="9">
        <f t="shared" ref="B251:M251" si="25">B47+B68+B89+B110+B131+B152+B173+B194+B215+B236</f>
        <v>0</v>
      </c>
      <c r="C251" s="9">
        <f t="shared" si="25"/>
        <v>0</v>
      </c>
      <c r="D251" s="9">
        <f t="shared" si="25"/>
        <v>0</v>
      </c>
      <c r="E251" s="9">
        <f t="shared" si="25"/>
        <v>0</v>
      </c>
      <c r="F251" s="9">
        <f t="shared" si="25"/>
        <v>-13436.28480030812</v>
      </c>
      <c r="G251" s="9">
        <f t="shared" si="25"/>
        <v>-80617.708801848712</v>
      </c>
      <c r="H251" s="9">
        <f t="shared" si="25"/>
        <v>0</v>
      </c>
      <c r="I251" s="9">
        <f t="shared" si="25"/>
        <v>0</v>
      </c>
      <c r="J251" s="36">
        <f t="shared" si="25"/>
        <v>13436.28480030812</v>
      </c>
      <c r="K251" s="35">
        <f t="shared" si="25"/>
        <v>80617.708801848712</v>
      </c>
      <c r="L251" s="9">
        <f t="shared" si="25"/>
        <v>0</v>
      </c>
      <c r="M251" s="9">
        <f t="shared" si="25"/>
        <v>0</v>
      </c>
      <c r="N251" s="89" t="s">
        <v>187</v>
      </c>
    </row>
    <row r="252" spans="1:21" ht="19.95" customHeight="1" x14ac:dyDescent="0.3">
      <c r="B252" s="9">
        <f t="shared" ref="B252:M252" si="26">B48+B69+B90+B111+B132+B153+B174+B195+B216+B237</f>
        <v>0</v>
      </c>
      <c r="C252" s="9">
        <f t="shared" si="26"/>
        <v>0</v>
      </c>
      <c r="D252" s="9">
        <f t="shared" si="26"/>
        <v>0</v>
      </c>
      <c r="E252" s="9">
        <f t="shared" si="26"/>
        <v>0</v>
      </c>
      <c r="F252" s="9">
        <f t="shared" si="26"/>
        <v>-15026.376808798586</v>
      </c>
      <c r="G252" s="9">
        <f t="shared" si="26"/>
        <v>-30052.753617597173</v>
      </c>
      <c r="H252" s="9">
        <f t="shared" si="26"/>
        <v>-2239.3808000513532</v>
      </c>
      <c r="I252" s="9">
        <f t="shared" si="26"/>
        <v>13436.28480030812</v>
      </c>
      <c r="J252" s="9">
        <f t="shared" si="26"/>
        <v>-252000</v>
      </c>
      <c r="K252" s="9">
        <f t="shared" si="26"/>
        <v>0</v>
      </c>
      <c r="L252" s="35">
        <f t="shared" si="26"/>
        <v>269265.75760884996</v>
      </c>
      <c r="M252" s="36">
        <f t="shared" si="26"/>
        <v>16616.468817289053</v>
      </c>
      <c r="N252" s="89" t="s">
        <v>188</v>
      </c>
    </row>
    <row r="253" spans="1:21" ht="19.95" customHeight="1" x14ac:dyDescent="0.3">
      <c r="B253" s="9">
        <f t="shared" ref="B253:M253" si="27">B49+B70+B91+B112+B133+B154+B175+B196+B217+B238</f>
        <v>0</v>
      </c>
      <c r="C253" s="9">
        <f t="shared" si="27"/>
        <v>0</v>
      </c>
      <c r="D253" s="9">
        <f t="shared" si="27"/>
        <v>0</v>
      </c>
      <c r="E253" s="9">
        <f t="shared" si="27"/>
        <v>0</v>
      </c>
      <c r="F253" s="9">
        <f t="shared" si="27"/>
        <v>-30052.753617597173</v>
      </c>
      <c r="G253" s="9">
        <f t="shared" si="27"/>
        <v>-60105.507235194345</v>
      </c>
      <c r="H253" s="9">
        <f t="shared" si="27"/>
        <v>13436.28480030812</v>
      </c>
      <c r="I253" s="9">
        <f t="shared" si="27"/>
        <v>-80617.708801848712</v>
      </c>
      <c r="J253" s="9">
        <f t="shared" si="27"/>
        <v>0</v>
      </c>
      <c r="K253" s="9">
        <f t="shared" si="27"/>
        <v>0</v>
      </c>
      <c r="L253" s="36">
        <f t="shared" si="27"/>
        <v>16616.468817289053</v>
      </c>
      <c r="M253" s="35">
        <f t="shared" si="27"/>
        <v>140723.21603704305</v>
      </c>
      <c r="N253" s="89" t="s">
        <v>189</v>
      </c>
    </row>
    <row r="256" spans="1:21" ht="19.95" customHeight="1" x14ac:dyDescent="0.35">
      <c r="A256" s="11" t="s">
        <v>206</v>
      </c>
      <c r="P256" s="216" t="s">
        <v>207</v>
      </c>
      <c r="Q256" s="172"/>
      <c r="R256" s="172"/>
      <c r="S256" s="172"/>
      <c r="T256" s="172"/>
      <c r="U256" s="173"/>
    </row>
    <row r="257" spans="1:21" ht="16.95" customHeight="1" x14ac:dyDescent="0.3">
      <c r="B257" s="12" t="s">
        <v>208</v>
      </c>
      <c r="C257" s="12" t="s">
        <v>178</v>
      </c>
      <c r="E257" s="37" t="str">
        <f>IF(GRAFICA_68!F14=1, B257, GRAFICA_68!H14)</f>
        <v>C1X</v>
      </c>
      <c r="P257" s="215" t="s">
        <v>376</v>
      </c>
      <c r="Q257" s="172"/>
      <c r="R257" s="172"/>
      <c r="S257" s="172"/>
      <c r="T257" s="172"/>
      <c r="U257" s="173"/>
    </row>
    <row r="258" spans="1:21" ht="16.95" customHeight="1" x14ac:dyDescent="0.3">
      <c r="B258" s="12" t="s">
        <v>210</v>
      </c>
      <c r="C258" s="12" t="s">
        <v>179</v>
      </c>
      <c r="E258" s="37" t="str">
        <f>IF(GRAFICA_68!G14=1, B258, GRAFICA_68!I14)</f>
        <v>C1Y</v>
      </c>
      <c r="P258" s="215" t="s">
        <v>211</v>
      </c>
      <c r="Q258" s="172"/>
      <c r="R258" s="172"/>
      <c r="S258" s="172"/>
      <c r="T258" s="172"/>
      <c r="U258" s="173"/>
    </row>
    <row r="259" spans="1:21" ht="16.95" customHeight="1" x14ac:dyDescent="0.3">
      <c r="B259" s="12" t="s">
        <v>212</v>
      </c>
      <c r="C259" s="12" t="s">
        <v>180</v>
      </c>
      <c r="E259" s="37" t="str">
        <f>IF(GRAFICA_68!F15=1, B259, GRAFICA_68!H15)</f>
        <v>C2X</v>
      </c>
      <c r="P259" s="215" t="s">
        <v>377</v>
      </c>
      <c r="Q259" s="172"/>
      <c r="R259" s="172"/>
      <c r="S259" s="172"/>
      <c r="T259" s="172"/>
      <c r="U259" s="173"/>
    </row>
    <row r="260" spans="1:21" ht="16.95" customHeight="1" x14ac:dyDescent="0.3">
      <c r="B260" s="12" t="s">
        <v>214</v>
      </c>
      <c r="C260" s="12" t="s">
        <v>181</v>
      </c>
      <c r="E260" s="37" t="str">
        <f>IF(GRAFICA_68!G15=1, B260, GRAFICA_68!I15)</f>
        <v>C2Y</v>
      </c>
      <c r="P260" s="215" t="s">
        <v>215</v>
      </c>
      <c r="Q260" s="172"/>
      <c r="R260" s="172"/>
      <c r="S260" s="172"/>
      <c r="T260" s="172"/>
      <c r="U260" s="173"/>
    </row>
    <row r="261" spans="1:21" ht="16.95" customHeight="1" x14ac:dyDescent="0.3">
      <c r="B261" s="12" t="s">
        <v>216</v>
      </c>
      <c r="C261" s="12" t="s">
        <v>182</v>
      </c>
      <c r="E261" s="37">
        <f>IF(GRAFICA_68!F16=1, B261, GRAFICA_68!H16)</f>
        <v>2000</v>
      </c>
      <c r="P261" s="215" t="s">
        <v>378</v>
      </c>
      <c r="Q261" s="172"/>
      <c r="R261" s="172"/>
      <c r="S261" s="172"/>
      <c r="T261" s="172"/>
      <c r="U261" s="173"/>
    </row>
    <row r="262" spans="1:21" ht="16.95" customHeight="1" x14ac:dyDescent="0.3">
      <c r="A262" s="38" t="s">
        <v>218</v>
      </c>
      <c r="B262" s="12" t="s">
        <v>219</v>
      </c>
      <c r="C262" s="12" t="s">
        <v>183</v>
      </c>
      <c r="D262" s="13" t="s">
        <v>220</v>
      </c>
      <c r="E262" s="37">
        <f>IF(GRAFICA_68!G16=1, B262, GRAFICA_68!I16)</f>
        <v>-2000</v>
      </c>
      <c r="P262" s="215" t="s">
        <v>379</v>
      </c>
      <c r="Q262" s="172"/>
      <c r="R262" s="172"/>
      <c r="S262" s="172"/>
      <c r="T262" s="172"/>
      <c r="U262" s="173"/>
    </row>
    <row r="263" spans="1:21" ht="16.95" customHeight="1" x14ac:dyDescent="0.3">
      <c r="B263" s="12" t="s">
        <v>221</v>
      </c>
      <c r="C263" s="12" t="s">
        <v>184</v>
      </c>
      <c r="E263" s="37">
        <f>IF(GRAFICA_68!F17=1, B263, GRAFICA_68!H17)</f>
        <v>2000</v>
      </c>
      <c r="P263" s="215"/>
      <c r="Q263" s="172"/>
      <c r="R263" s="172"/>
      <c r="S263" s="172"/>
      <c r="T263" s="172"/>
      <c r="U263" s="173"/>
    </row>
    <row r="264" spans="1:21" ht="16.95" customHeight="1" x14ac:dyDescent="0.3">
      <c r="B264" s="12" t="s">
        <v>222</v>
      </c>
      <c r="C264" s="12" t="s">
        <v>185</v>
      </c>
      <c r="E264" s="37">
        <f>IF(GRAFICA_68!G17=1, B264, GRAFICA_68!I17)</f>
        <v>-2000</v>
      </c>
      <c r="P264" s="215"/>
      <c r="Q264" s="172"/>
      <c r="R264" s="172"/>
      <c r="S264" s="172"/>
      <c r="T264" s="172"/>
      <c r="U264" s="173"/>
    </row>
    <row r="265" spans="1:21" ht="16.95" customHeight="1" x14ac:dyDescent="0.3">
      <c r="B265" s="12" t="s">
        <v>223</v>
      </c>
      <c r="C265" s="12" t="s">
        <v>186</v>
      </c>
      <c r="E265" s="37">
        <f>IF(GRAFICA_68!F18=1, B265, GRAFICA_68!H18)</f>
        <v>3000</v>
      </c>
      <c r="P265" s="215"/>
      <c r="Q265" s="172"/>
      <c r="R265" s="172"/>
      <c r="S265" s="172"/>
      <c r="T265" s="172"/>
      <c r="U265" s="173"/>
    </row>
    <row r="266" spans="1:21" ht="16.95" customHeight="1" x14ac:dyDescent="0.3">
      <c r="B266" s="12" t="s">
        <v>224</v>
      </c>
      <c r="C266" s="12" t="s">
        <v>187</v>
      </c>
      <c r="E266" s="37">
        <f>IF(GRAFICA_68!G18=1, B266, GRAFICA_68!I18)</f>
        <v>-1500</v>
      </c>
      <c r="P266" s="215"/>
      <c r="Q266" s="172"/>
      <c r="R266" s="172"/>
      <c r="S266" s="172"/>
      <c r="T266" s="172"/>
      <c r="U266" s="173"/>
    </row>
    <row r="267" spans="1:21" ht="16.95" customHeight="1" x14ac:dyDescent="0.3">
      <c r="B267" s="12" t="s">
        <v>225</v>
      </c>
      <c r="C267" s="12" t="s">
        <v>188</v>
      </c>
      <c r="E267" s="37">
        <f>IF(GRAFICA_68!F19=1, B267, GRAFICA_68!H19)</f>
        <v>3000</v>
      </c>
      <c r="P267" s="215"/>
      <c r="Q267" s="172"/>
      <c r="R267" s="172"/>
      <c r="S267" s="172"/>
      <c r="T267" s="172"/>
      <c r="U267" s="173"/>
    </row>
    <row r="268" spans="1:21" ht="16.95" customHeight="1" x14ac:dyDescent="0.3">
      <c r="B268" s="12" t="s">
        <v>226</v>
      </c>
      <c r="C268" s="12" t="s">
        <v>189</v>
      </c>
      <c r="E268" s="37">
        <f>IF(GRAFICA_68!G19=1, B268, GRAFICA_68!I19)</f>
        <v>-1500</v>
      </c>
      <c r="P268" s="215"/>
      <c r="Q268" s="172"/>
      <c r="R268" s="172"/>
      <c r="S268" s="172"/>
      <c r="T268" s="172"/>
      <c r="U268" s="173"/>
    </row>
    <row r="269" spans="1:21" ht="16.95" customHeight="1" x14ac:dyDescent="0.3">
      <c r="P269" s="215"/>
      <c r="Q269" s="172"/>
      <c r="R269" s="172"/>
      <c r="S269" s="172"/>
      <c r="T269" s="172"/>
      <c r="U269" s="173"/>
    </row>
    <row r="270" spans="1:21" ht="16.95" customHeight="1" x14ac:dyDescent="0.35">
      <c r="A270" s="11" t="s">
        <v>227</v>
      </c>
      <c r="P270" s="215"/>
      <c r="Q270" s="172"/>
      <c r="R270" s="172"/>
      <c r="S270" s="172"/>
      <c r="T270" s="172"/>
      <c r="U270" s="173"/>
    </row>
    <row r="271" spans="1:21" ht="16.95" customHeight="1" x14ac:dyDescent="0.3">
      <c r="B271" s="12" t="s">
        <v>228</v>
      </c>
      <c r="C271" s="12" t="s">
        <v>178</v>
      </c>
      <c r="E271" s="39">
        <f>IF(GRAFICA_68!F14=1, 0, B271)</f>
        <v>0</v>
      </c>
      <c r="F271" s="14" t="str">
        <f>IF(E271&lt;&gt;0, COUNTIF(E$271:E271, "&lt;&gt;0"), "")</f>
        <v/>
      </c>
      <c r="G271" s="14">
        <f>IF(E271=0, COUNTIF(E$271:E271, 0), "")</f>
        <v>1</v>
      </c>
      <c r="P271" s="215"/>
      <c r="Q271" s="172"/>
      <c r="R271" s="172"/>
      <c r="S271" s="172"/>
      <c r="T271" s="172"/>
      <c r="U271" s="173"/>
    </row>
    <row r="272" spans="1:21" ht="16.95" customHeight="1" x14ac:dyDescent="0.3">
      <c r="B272" s="12" t="s">
        <v>229</v>
      </c>
      <c r="C272" s="12" t="s">
        <v>179</v>
      </c>
      <c r="E272" s="39">
        <f>IF(GRAFICA_68!G14=1, 0, B272)</f>
        <v>0</v>
      </c>
      <c r="F272" s="14" t="str">
        <f>IF(E272&lt;&gt;0, COUNTIF(E$271:E272, "&lt;&gt;0"), "")</f>
        <v/>
      </c>
      <c r="G272" s="14">
        <f>IF(E272=0, COUNTIF(E$271:E272, 0), "")</f>
        <v>2</v>
      </c>
      <c r="P272" s="215"/>
      <c r="Q272" s="172"/>
      <c r="R272" s="172"/>
      <c r="S272" s="172"/>
      <c r="T272" s="172"/>
      <c r="U272" s="173"/>
    </row>
    <row r="273" spans="1:21" ht="16.95" customHeight="1" x14ac:dyDescent="0.3">
      <c r="B273" s="12" t="s">
        <v>230</v>
      </c>
      <c r="C273" s="12" t="s">
        <v>180</v>
      </c>
      <c r="E273" s="39">
        <f>IF(GRAFICA_68!F15=1, 0, B273)</f>
        <v>0</v>
      </c>
      <c r="F273" s="14" t="str">
        <f>IF(E273&lt;&gt;0, COUNTIF(E$271:E273, "&lt;&gt;0"), "")</f>
        <v/>
      </c>
      <c r="G273" s="14">
        <f>IF(E273=0, COUNTIF(E$271:E273, 0), "")</f>
        <v>3</v>
      </c>
      <c r="P273" s="215"/>
      <c r="Q273" s="172"/>
      <c r="R273" s="172"/>
      <c r="S273" s="172"/>
      <c r="T273" s="172"/>
      <c r="U273" s="173"/>
    </row>
    <row r="274" spans="1:21" ht="16.95" customHeight="1" x14ac:dyDescent="0.3">
      <c r="B274" s="12" t="s">
        <v>231</v>
      </c>
      <c r="C274" s="12" t="s">
        <v>181</v>
      </c>
      <c r="E274" s="39">
        <f>IF(GRAFICA_68!G15=1, 0, B274)</f>
        <v>0</v>
      </c>
      <c r="F274" s="14" t="str">
        <f>IF(E274&lt;&gt;0, COUNTIF(E$271:E274, "&lt;&gt;0"), "")</f>
        <v/>
      </c>
      <c r="G274" s="14">
        <f>IF(E274=0, COUNTIF(E$271:E274, 0), "")</f>
        <v>4</v>
      </c>
      <c r="P274" s="215"/>
      <c r="Q274" s="172"/>
      <c r="R274" s="172"/>
      <c r="S274" s="172"/>
      <c r="T274" s="172"/>
      <c r="U274" s="173"/>
    </row>
    <row r="275" spans="1:21" ht="16.95" customHeight="1" x14ac:dyDescent="0.3">
      <c r="B275" s="12" t="s">
        <v>232</v>
      </c>
      <c r="C275" s="12" t="s">
        <v>182</v>
      </c>
      <c r="E275" s="39" t="str">
        <f>IF(GRAFICA_68!F16=1, 0, B275)</f>
        <v>D3X</v>
      </c>
      <c r="F275" s="14">
        <f>IF(E275&lt;&gt;0, COUNTIF(E$271:E275, "&lt;&gt;0"), "")</f>
        <v>1</v>
      </c>
      <c r="G275" s="14" t="str">
        <f>IF(E275=0, COUNTIF(E$271:E275, 0), "")</f>
        <v/>
      </c>
      <c r="P275" s="215"/>
      <c r="Q275" s="172"/>
      <c r="R275" s="172"/>
      <c r="S275" s="172"/>
      <c r="T275" s="172"/>
      <c r="U275" s="173"/>
    </row>
    <row r="276" spans="1:21" ht="16.95" customHeight="1" x14ac:dyDescent="0.3">
      <c r="A276" s="38" t="s">
        <v>233</v>
      </c>
      <c r="B276" s="12" t="s">
        <v>234</v>
      </c>
      <c r="C276" s="12" t="s">
        <v>183</v>
      </c>
      <c r="D276" s="13" t="s">
        <v>220</v>
      </c>
      <c r="E276" s="39" t="str">
        <f>IF(GRAFICA_68!G16=1, 0, B276)</f>
        <v>D3Y</v>
      </c>
      <c r="F276" s="14">
        <f>IF(E276&lt;&gt;0, COUNTIF(E$271:E276, "&lt;&gt;0"), "")</f>
        <v>2</v>
      </c>
      <c r="G276" s="14" t="str">
        <f>IF(E276=0, COUNTIF(E$271:E276, 0), "")</f>
        <v/>
      </c>
      <c r="P276" s="215"/>
      <c r="Q276" s="172"/>
      <c r="R276" s="172"/>
      <c r="S276" s="172"/>
      <c r="T276" s="172"/>
      <c r="U276" s="173"/>
    </row>
    <row r="277" spans="1:21" ht="16.95" customHeight="1" x14ac:dyDescent="0.3">
      <c r="B277" s="12" t="s">
        <v>235</v>
      </c>
      <c r="C277" s="12" t="s">
        <v>184</v>
      </c>
      <c r="E277" s="39" t="str">
        <f>IF(GRAFICA_68!F17=1, 0, B277)</f>
        <v>D4X</v>
      </c>
      <c r="F277" s="14">
        <f>IF(E277&lt;&gt;0, COUNTIF(E$271:E277, "&lt;&gt;0"), "")</f>
        <v>3</v>
      </c>
      <c r="G277" s="14" t="str">
        <f>IF(E277=0, COUNTIF(E$271:E277, 0), "")</f>
        <v/>
      </c>
      <c r="P277" s="215"/>
      <c r="Q277" s="172"/>
      <c r="R277" s="172"/>
      <c r="S277" s="172"/>
      <c r="T277" s="172"/>
      <c r="U277" s="173"/>
    </row>
    <row r="278" spans="1:21" ht="16.95" customHeight="1" x14ac:dyDescent="0.3">
      <c r="B278" s="12" t="s">
        <v>236</v>
      </c>
      <c r="C278" s="12" t="s">
        <v>185</v>
      </c>
      <c r="E278" s="39" t="str">
        <f>IF(GRAFICA_68!G17=1, 0, B278)</f>
        <v>D4Y</v>
      </c>
      <c r="F278" s="14">
        <f>IF(E278&lt;&gt;0, COUNTIF(E$271:E278, "&lt;&gt;0"), "")</f>
        <v>4</v>
      </c>
      <c r="G278" s="14" t="str">
        <f>IF(E278=0, COUNTIF(E$271:E278, 0), "")</f>
        <v/>
      </c>
      <c r="P278" s="215"/>
      <c r="Q278" s="172"/>
      <c r="R278" s="172"/>
      <c r="S278" s="172"/>
      <c r="T278" s="172"/>
      <c r="U278" s="173"/>
    </row>
    <row r="279" spans="1:21" ht="16.95" customHeight="1" x14ac:dyDescent="0.3">
      <c r="B279" s="12" t="s">
        <v>237</v>
      </c>
      <c r="C279" s="12" t="s">
        <v>186</v>
      </c>
      <c r="E279" s="39" t="str">
        <f>IF(GRAFICA_68!F18=1, 0, B279)</f>
        <v>D5X</v>
      </c>
      <c r="F279" s="14">
        <f>IF(E279&lt;&gt;0, COUNTIF(E$271:E279, "&lt;&gt;0"), "")</f>
        <v>5</v>
      </c>
      <c r="G279" s="14" t="str">
        <f>IF(E279=0, COUNTIF(E$271:E279, 0), "")</f>
        <v/>
      </c>
      <c r="P279" s="215"/>
      <c r="Q279" s="172"/>
      <c r="R279" s="172"/>
      <c r="S279" s="172"/>
      <c r="T279" s="172"/>
      <c r="U279" s="173"/>
    </row>
    <row r="280" spans="1:21" ht="16.95" customHeight="1" x14ac:dyDescent="0.3">
      <c r="B280" s="12" t="s">
        <v>238</v>
      </c>
      <c r="C280" s="12" t="s">
        <v>187</v>
      </c>
      <c r="E280" s="39" t="str">
        <f>IF(GRAFICA_68!G18=1, 0, B280)</f>
        <v>D5Y</v>
      </c>
      <c r="F280" s="14">
        <f>IF(E280&lt;&gt;0, COUNTIF(E$271:E280, "&lt;&gt;0"), "")</f>
        <v>6</v>
      </c>
      <c r="G280" s="14" t="str">
        <f>IF(E280=0, COUNTIF(E$271:E280, 0), "")</f>
        <v/>
      </c>
      <c r="P280" s="215"/>
      <c r="Q280" s="172"/>
      <c r="R280" s="172"/>
      <c r="S280" s="172"/>
      <c r="T280" s="172"/>
      <c r="U280" s="173"/>
    </row>
    <row r="281" spans="1:21" ht="16.95" customHeight="1" x14ac:dyDescent="0.3">
      <c r="B281" s="12" t="s">
        <v>239</v>
      </c>
      <c r="C281" s="12" t="s">
        <v>188</v>
      </c>
      <c r="E281" s="39" t="str">
        <f>IF(GRAFICA_68!F19=1, 0, B281)</f>
        <v>D6X</v>
      </c>
      <c r="F281" s="14">
        <f>IF(E281&lt;&gt;0, COUNTIF(E$271:E281, "&lt;&gt;0"), "")</f>
        <v>7</v>
      </c>
      <c r="G281" s="14" t="str">
        <f>IF(E281=0, COUNTIF(E$271:E281, 0), "")</f>
        <v/>
      </c>
      <c r="P281" s="215"/>
      <c r="Q281" s="172"/>
      <c r="R281" s="172"/>
      <c r="S281" s="172"/>
      <c r="T281" s="172"/>
      <c r="U281" s="173"/>
    </row>
    <row r="282" spans="1:21" ht="16.95" customHeight="1" x14ac:dyDescent="0.3">
      <c r="B282" s="12" t="s">
        <v>240</v>
      </c>
      <c r="C282" s="12" t="s">
        <v>189</v>
      </c>
      <c r="E282" s="39" t="str">
        <f>IF(GRAFICA_68!G19=1, 0, B282)</f>
        <v>D6Y</v>
      </c>
      <c r="F282" s="14">
        <f>IF(E282&lt;&gt;0, COUNTIF(E$271:E282, "&lt;&gt;0"), "")</f>
        <v>8</v>
      </c>
      <c r="G282" s="14" t="str">
        <f>IF(E282=0, COUNTIF(E$271:E282, 0), "")</f>
        <v/>
      </c>
      <c r="P282" s="215"/>
      <c r="Q282" s="172"/>
      <c r="R282" s="172"/>
      <c r="S282" s="172"/>
      <c r="T282" s="172"/>
      <c r="U282" s="173"/>
    </row>
    <row r="284" spans="1:21" ht="19.95" customHeight="1" x14ac:dyDescent="0.35">
      <c r="A284" s="15" t="s">
        <v>241</v>
      </c>
      <c r="C284" s="218" t="s">
        <v>242</v>
      </c>
      <c r="D284" s="173"/>
      <c r="E284" s="40" t="s">
        <v>243</v>
      </c>
      <c r="P284" s="216" t="s">
        <v>244</v>
      </c>
      <c r="Q284" s="172"/>
      <c r="R284" s="172"/>
      <c r="S284" s="172"/>
      <c r="T284" s="172"/>
      <c r="U284" s="173"/>
    </row>
    <row r="285" spans="1:21" ht="16.95" customHeight="1" x14ac:dyDescent="0.3">
      <c r="E285" s="40" t="s">
        <v>245</v>
      </c>
      <c r="P285" s="215" t="s">
        <v>246</v>
      </c>
      <c r="Q285" s="172"/>
      <c r="R285" s="172"/>
      <c r="S285" s="172"/>
      <c r="T285" s="172"/>
      <c r="U285" s="173"/>
    </row>
    <row r="286" spans="1:21" ht="16.95" customHeight="1" x14ac:dyDescent="0.3">
      <c r="A286" s="99" t="s">
        <v>247</v>
      </c>
      <c r="C286" s="99" t="s">
        <v>248</v>
      </c>
      <c r="P286" s="215" t="s">
        <v>250</v>
      </c>
      <c r="Q286" s="172"/>
      <c r="R286" s="172"/>
      <c r="S286" s="172"/>
      <c r="T286" s="172"/>
      <c r="U286" s="173"/>
    </row>
    <row r="287" spans="1:21" ht="16.95" customHeight="1" x14ac:dyDescent="0.3">
      <c r="A287" s="12" t="str">
        <f t="shared" ref="A287:A298" si="28">E257</f>
        <v>C1X</v>
      </c>
      <c r="C287" s="9">
        <f t="shared" ref="C287:N287" si="29">B242</f>
        <v>100667.42451345931</v>
      </c>
      <c r="D287" s="9">
        <f t="shared" si="29"/>
        <v>53605.303920707927</v>
      </c>
      <c r="E287" s="9">
        <f t="shared" si="29"/>
        <v>-63000</v>
      </c>
      <c r="F287" s="9">
        <f t="shared" si="29"/>
        <v>0</v>
      </c>
      <c r="G287" s="9">
        <f t="shared" si="29"/>
        <v>-7968.9397036243126</v>
      </c>
      <c r="H287" s="9">
        <f t="shared" si="29"/>
        <v>-23906.819110872941</v>
      </c>
      <c r="I287" s="9">
        <f t="shared" si="29"/>
        <v>-29698.484809834987</v>
      </c>
      <c r="J287" s="9">
        <f t="shared" si="29"/>
        <v>-29698.484809834987</v>
      </c>
      <c r="K287" s="9">
        <f t="shared" si="29"/>
        <v>0</v>
      </c>
      <c r="L287" s="9">
        <f t="shared" si="29"/>
        <v>0</v>
      </c>
      <c r="M287" s="9">
        <f t="shared" si="29"/>
        <v>0</v>
      </c>
      <c r="N287" s="9">
        <f t="shared" si="29"/>
        <v>0</v>
      </c>
      <c r="O287" s="13" t="s">
        <v>251</v>
      </c>
      <c r="P287" s="219" t="s">
        <v>380</v>
      </c>
      <c r="Q287" s="172"/>
      <c r="R287" s="172"/>
      <c r="S287" s="172"/>
      <c r="T287" s="172"/>
      <c r="U287" s="173"/>
    </row>
    <row r="288" spans="1:21" ht="16.95" customHeight="1" x14ac:dyDescent="0.3">
      <c r="A288" s="12" t="str">
        <f t="shared" si="28"/>
        <v>C1Y</v>
      </c>
      <c r="C288" s="9">
        <f t="shared" ref="C288:N288" si="30">B243</f>
        <v>53605.303920707927</v>
      </c>
      <c r="D288" s="9">
        <f t="shared" si="30"/>
        <v>101418.94214245383</v>
      </c>
      <c r="E288" s="9">
        <f t="shared" si="30"/>
        <v>0</v>
      </c>
      <c r="F288" s="9">
        <f t="shared" si="30"/>
        <v>0</v>
      </c>
      <c r="G288" s="9">
        <f t="shared" si="30"/>
        <v>-23906.819110872941</v>
      </c>
      <c r="H288" s="9">
        <f t="shared" si="30"/>
        <v>-71720.45733261884</v>
      </c>
      <c r="I288" s="9">
        <f t="shared" si="30"/>
        <v>-29698.484809834987</v>
      </c>
      <c r="J288" s="9">
        <f t="shared" si="30"/>
        <v>-29698.484809834987</v>
      </c>
      <c r="K288" s="9">
        <f t="shared" si="30"/>
        <v>0</v>
      </c>
      <c r="L288" s="9">
        <f t="shared" si="30"/>
        <v>0</v>
      </c>
      <c r="M288" s="9">
        <f t="shared" si="30"/>
        <v>0</v>
      </c>
      <c r="N288" s="9">
        <f t="shared" si="30"/>
        <v>0</v>
      </c>
      <c r="O288" s="13" t="s">
        <v>251</v>
      </c>
      <c r="P288" s="219" t="s">
        <v>253</v>
      </c>
      <c r="Q288" s="172"/>
      <c r="R288" s="172"/>
      <c r="S288" s="172"/>
      <c r="T288" s="172"/>
      <c r="U288" s="173"/>
    </row>
    <row r="289" spans="1:21" ht="16.95" customHeight="1" x14ac:dyDescent="0.3">
      <c r="A289" s="12" t="str">
        <f t="shared" si="28"/>
        <v>C2X</v>
      </c>
      <c r="C289" s="9">
        <f t="shared" ref="C289:N289" si="31">B244</f>
        <v>-63000</v>
      </c>
      <c r="D289" s="9">
        <f t="shared" si="31"/>
        <v>0</v>
      </c>
      <c r="E289" s="9">
        <f t="shared" si="31"/>
        <v>100667.42451345931</v>
      </c>
      <c r="F289" s="9">
        <f t="shared" si="31"/>
        <v>-53605.303920707927</v>
      </c>
      <c r="G289" s="9">
        <f t="shared" si="31"/>
        <v>-29698.484809834987</v>
      </c>
      <c r="H289" s="9">
        <f t="shared" si="31"/>
        <v>29698.484809834987</v>
      </c>
      <c r="I289" s="9">
        <f t="shared" si="31"/>
        <v>-7968.9397036243126</v>
      </c>
      <c r="J289" s="9">
        <f t="shared" si="31"/>
        <v>23906.819110872941</v>
      </c>
      <c r="K289" s="9">
        <f t="shared" si="31"/>
        <v>0</v>
      </c>
      <c r="L289" s="9">
        <f t="shared" si="31"/>
        <v>0</v>
      </c>
      <c r="M289" s="9">
        <f t="shared" si="31"/>
        <v>0</v>
      </c>
      <c r="N289" s="9">
        <f t="shared" si="31"/>
        <v>0</v>
      </c>
      <c r="O289" s="13" t="s">
        <v>251</v>
      </c>
      <c r="P289" s="219" t="s">
        <v>254</v>
      </c>
      <c r="Q289" s="172"/>
      <c r="R289" s="172"/>
      <c r="S289" s="172"/>
      <c r="T289" s="172"/>
      <c r="U289" s="173"/>
    </row>
    <row r="290" spans="1:21" ht="16.95" customHeight="1" x14ac:dyDescent="0.3">
      <c r="A290" s="12" t="str">
        <f t="shared" si="28"/>
        <v>C2Y</v>
      </c>
      <c r="C290" s="9">
        <f t="shared" ref="C290:N290" si="32">B245</f>
        <v>0</v>
      </c>
      <c r="D290" s="9">
        <f t="shared" si="32"/>
        <v>0</v>
      </c>
      <c r="E290" s="9">
        <f t="shared" si="32"/>
        <v>-53605.303920707927</v>
      </c>
      <c r="F290" s="9">
        <f t="shared" si="32"/>
        <v>101418.94214245383</v>
      </c>
      <c r="G290" s="9">
        <f t="shared" si="32"/>
        <v>29698.484809834987</v>
      </c>
      <c r="H290" s="9">
        <f t="shared" si="32"/>
        <v>-29698.484809834987</v>
      </c>
      <c r="I290" s="9">
        <f t="shared" si="32"/>
        <v>23906.819110872941</v>
      </c>
      <c r="J290" s="9">
        <f t="shared" si="32"/>
        <v>-71720.45733261884</v>
      </c>
      <c r="K290" s="9">
        <f t="shared" si="32"/>
        <v>0</v>
      </c>
      <c r="L290" s="9">
        <f t="shared" si="32"/>
        <v>0</v>
      </c>
      <c r="M290" s="9">
        <f t="shared" si="32"/>
        <v>0</v>
      </c>
      <c r="N290" s="9">
        <f t="shared" si="32"/>
        <v>0</v>
      </c>
      <c r="O290" s="13" t="s">
        <v>251</v>
      </c>
      <c r="P290" s="219" t="s">
        <v>381</v>
      </c>
      <c r="Q290" s="172"/>
      <c r="R290" s="172"/>
      <c r="S290" s="172"/>
      <c r="T290" s="172"/>
      <c r="U290" s="173"/>
    </row>
    <row r="291" spans="1:21" ht="16.95" customHeight="1" x14ac:dyDescent="0.3">
      <c r="A291" s="41">
        <f t="shared" si="28"/>
        <v>2000</v>
      </c>
      <c r="C291" s="9">
        <f t="shared" ref="C291:N291" si="33">B246</f>
        <v>-7968.9397036243126</v>
      </c>
      <c r="D291" s="9">
        <f t="shared" si="33"/>
        <v>-23906.819110872941</v>
      </c>
      <c r="E291" s="9">
        <f t="shared" si="33"/>
        <v>-29698.484809834987</v>
      </c>
      <c r="F291" s="9">
        <f t="shared" si="33"/>
        <v>29698.484809834987</v>
      </c>
      <c r="G291" s="41">
        <f t="shared" si="33"/>
        <v>180933.18212230923</v>
      </c>
      <c r="H291" s="41">
        <f t="shared" si="33"/>
        <v>37697.372718943247</v>
      </c>
      <c r="I291" s="41">
        <f t="shared" si="33"/>
        <v>-126000</v>
      </c>
      <c r="J291" s="41">
        <f t="shared" si="33"/>
        <v>0</v>
      </c>
      <c r="K291" s="41">
        <f t="shared" si="33"/>
        <v>-2239.3808000513532</v>
      </c>
      <c r="L291" s="41">
        <f t="shared" si="33"/>
        <v>-13436.28480030812</v>
      </c>
      <c r="M291" s="41">
        <f t="shared" si="33"/>
        <v>-15026.376808798586</v>
      </c>
      <c r="N291" s="41">
        <f t="shared" si="33"/>
        <v>-30052.753617597173</v>
      </c>
      <c r="O291" s="13" t="s">
        <v>251</v>
      </c>
      <c r="P291" s="215" t="s">
        <v>382</v>
      </c>
      <c r="Q291" s="172"/>
      <c r="R291" s="172"/>
      <c r="S291" s="172"/>
      <c r="T291" s="172"/>
      <c r="U291" s="173"/>
    </row>
    <row r="292" spans="1:21" ht="16.95" customHeight="1" x14ac:dyDescent="0.3">
      <c r="A292" s="41">
        <f t="shared" si="28"/>
        <v>-2000</v>
      </c>
      <c r="C292" s="9">
        <f t="shared" ref="C292:N292" si="34">B247</f>
        <v>-23906.819110872941</v>
      </c>
      <c r="D292" s="9">
        <f t="shared" si="34"/>
        <v>-71720.45733261884</v>
      </c>
      <c r="E292" s="9">
        <f t="shared" si="34"/>
        <v>29698.484809834987</v>
      </c>
      <c r="F292" s="9">
        <f t="shared" si="34"/>
        <v>-29698.484809834987</v>
      </c>
      <c r="G292" s="41">
        <f t="shared" si="34"/>
        <v>37697.372718943247</v>
      </c>
      <c r="H292" s="41">
        <f t="shared" si="34"/>
        <v>242142.15817949691</v>
      </c>
      <c r="I292" s="41">
        <f t="shared" si="34"/>
        <v>0</v>
      </c>
      <c r="J292" s="41">
        <f t="shared" si="34"/>
        <v>0</v>
      </c>
      <c r="K292" s="41">
        <f t="shared" si="34"/>
        <v>-13436.28480030812</v>
      </c>
      <c r="L292" s="41">
        <f t="shared" si="34"/>
        <v>-80617.708801848712</v>
      </c>
      <c r="M292" s="41">
        <f t="shared" si="34"/>
        <v>-30052.753617597173</v>
      </c>
      <c r="N292" s="41">
        <f t="shared" si="34"/>
        <v>-60105.507235194345</v>
      </c>
      <c r="O292" s="13" t="s">
        <v>251</v>
      </c>
      <c r="P292" s="215" t="str">
        <f t="shared" ref="P292:P298" si="35">E276</f>
        <v>D3Y</v>
      </c>
      <c r="Q292" s="172"/>
      <c r="R292" s="172"/>
      <c r="S292" s="172"/>
      <c r="T292" s="172"/>
      <c r="U292" s="173"/>
    </row>
    <row r="293" spans="1:21" ht="16.95" customHeight="1" x14ac:dyDescent="0.3">
      <c r="A293" s="41">
        <f t="shared" si="28"/>
        <v>2000</v>
      </c>
      <c r="B293" s="13" t="s">
        <v>220</v>
      </c>
      <c r="C293" s="9">
        <f t="shared" ref="C293:N293" si="36">B248</f>
        <v>-29698.484809834987</v>
      </c>
      <c r="D293" s="9">
        <f t="shared" si="36"/>
        <v>-29698.484809834987</v>
      </c>
      <c r="E293" s="9">
        <f t="shared" si="36"/>
        <v>-7968.9397036243126</v>
      </c>
      <c r="F293" s="9">
        <f t="shared" si="36"/>
        <v>23906.819110872941</v>
      </c>
      <c r="G293" s="41">
        <f t="shared" si="36"/>
        <v>-126000</v>
      </c>
      <c r="H293" s="41">
        <f t="shared" si="36"/>
        <v>0</v>
      </c>
      <c r="I293" s="41">
        <f t="shared" si="36"/>
        <v>165906.80531351065</v>
      </c>
      <c r="J293" s="41">
        <f t="shared" si="36"/>
        <v>-7644.6191013460739</v>
      </c>
      <c r="K293" s="41">
        <f t="shared" si="36"/>
        <v>0</v>
      </c>
      <c r="L293" s="41">
        <f t="shared" si="36"/>
        <v>0</v>
      </c>
      <c r="M293" s="41">
        <f t="shared" si="36"/>
        <v>-2239.3808000513532</v>
      </c>
      <c r="N293" s="41">
        <f t="shared" si="36"/>
        <v>13436.28480030812</v>
      </c>
      <c r="O293" s="13" t="s">
        <v>251</v>
      </c>
      <c r="P293" s="215" t="str">
        <f t="shared" si="35"/>
        <v>D4X</v>
      </c>
      <c r="Q293" s="172"/>
      <c r="R293" s="172"/>
      <c r="S293" s="172"/>
      <c r="T293" s="172"/>
      <c r="U293" s="173"/>
    </row>
    <row r="294" spans="1:21" ht="16.95" customHeight="1" x14ac:dyDescent="0.3">
      <c r="A294" s="41">
        <f t="shared" si="28"/>
        <v>-2000</v>
      </c>
      <c r="C294" s="9">
        <f t="shared" ref="C294:N294" si="37">B249</f>
        <v>-29698.484809834987</v>
      </c>
      <c r="D294" s="9">
        <f t="shared" si="37"/>
        <v>-29698.484809834987</v>
      </c>
      <c r="E294" s="9">
        <f t="shared" si="37"/>
        <v>23906.819110872941</v>
      </c>
      <c r="F294" s="9">
        <f t="shared" si="37"/>
        <v>-71720.45733261884</v>
      </c>
      <c r="G294" s="41">
        <f t="shared" si="37"/>
        <v>0</v>
      </c>
      <c r="H294" s="41">
        <f t="shared" si="37"/>
        <v>0</v>
      </c>
      <c r="I294" s="41">
        <f t="shared" si="37"/>
        <v>-7644.6191013460739</v>
      </c>
      <c r="J294" s="41">
        <f t="shared" si="37"/>
        <v>182036.65094430256</v>
      </c>
      <c r="K294" s="41">
        <f t="shared" si="37"/>
        <v>0</v>
      </c>
      <c r="L294" s="41">
        <f t="shared" si="37"/>
        <v>0</v>
      </c>
      <c r="M294" s="41">
        <f t="shared" si="37"/>
        <v>13436.28480030812</v>
      </c>
      <c r="N294" s="41">
        <f t="shared" si="37"/>
        <v>-80617.708801848712</v>
      </c>
      <c r="O294" s="13" t="s">
        <v>251</v>
      </c>
      <c r="P294" s="215" t="str">
        <f t="shared" si="35"/>
        <v>D4Y</v>
      </c>
      <c r="Q294" s="172"/>
      <c r="R294" s="172"/>
      <c r="S294" s="172"/>
      <c r="T294" s="172"/>
      <c r="U294" s="173"/>
    </row>
    <row r="295" spans="1:21" ht="16.95" customHeight="1" x14ac:dyDescent="0.3">
      <c r="A295" s="41">
        <f t="shared" si="28"/>
        <v>3000</v>
      </c>
      <c r="C295" s="9">
        <f t="shared" ref="C295:N295" si="38">B250</f>
        <v>0</v>
      </c>
      <c r="D295" s="9">
        <f t="shared" si="38"/>
        <v>0</v>
      </c>
      <c r="E295" s="9">
        <f t="shared" si="38"/>
        <v>0</v>
      </c>
      <c r="F295" s="9">
        <f t="shared" si="38"/>
        <v>0</v>
      </c>
      <c r="G295" s="41">
        <f t="shared" si="38"/>
        <v>-2239.3808000513532</v>
      </c>
      <c r="H295" s="41">
        <f t="shared" si="38"/>
        <v>-13436.28480030812</v>
      </c>
      <c r="I295" s="41">
        <f t="shared" si="38"/>
        <v>0</v>
      </c>
      <c r="J295" s="41">
        <f t="shared" si="38"/>
        <v>0</v>
      </c>
      <c r="K295" s="41">
        <f t="shared" si="38"/>
        <v>254239.38080005135</v>
      </c>
      <c r="L295" s="41">
        <f t="shared" si="38"/>
        <v>13436.28480030812</v>
      </c>
      <c r="M295" s="41">
        <f t="shared" si="38"/>
        <v>-252000</v>
      </c>
      <c r="N295" s="41">
        <f t="shared" si="38"/>
        <v>0</v>
      </c>
      <c r="O295" s="13" t="s">
        <v>251</v>
      </c>
      <c r="P295" s="215" t="str">
        <f t="shared" si="35"/>
        <v>D5X</v>
      </c>
      <c r="Q295" s="172"/>
      <c r="R295" s="172"/>
      <c r="S295" s="172"/>
      <c r="T295" s="172"/>
      <c r="U295" s="173"/>
    </row>
    <row r="296" spans="1:21" ht="16.95" customHeight="1" x14ac:dyDescent="0.3">
      <c r="A296" s="41">
        <f t="shared" si="28"/>
        <v>-1500</v>
      </c>
      <c r="C296" s="9">
        <f t="shared" ref="C296:N296" si="39">B251</f>
        <v>0</v>
      </c>
      <c r="D296" s="9">
        <f t="shared" si="39"/>
        <v>0</v>
      </c>
      <c r="E296" s="9">
        <f t="shared" si="39"/>
        <v>0</v>
      </c>
      <c r="F296" s="9">
        <f t="shared" si="39"/>
        <v>0</v>
      </c>
      <c r="G296" s="41">
        <f t="shared" si="39"/>
        <v>-13436.28480030812</v>
      </c>
      <c r="H296" s="41">
        <f t="shared" si="39"/>
        <v>-80617.708801848712</v>
      </c>
      <c r="I296" s="41">
        <f t="shared" si="39"/>
        <v>0</v>
      </c>
      <c r="J296" s="41">
        <f t="shared" si="39"/>
        <v>0</v>
      </c>
      <c r="K296" s="41">
        <f t="shared" si="39"/>
        <v>13436.28480030812</v>
      </c>
      <c r="L296" s="41">
        <f t="shared" si="39"/>
        <v>80617.708801848712</v>
      </c>
      <c r="M296" s="41">
        <f t="shared" si="39"/>
        <v>0</v>
      </c>
      <c r="N296" s="41">
        <f t="shared" si="39"/>
        <v>0</v>
      </c>
      <c r="O296" s="13" t="s">
        <v>251</v>
      </c>
      <c r="P296" s="215" t="str">
        <f t="shared" si="35"/>
        <v>D5Y</v>
      </c>
      <c r="Q296" s="172"/>
      <c r="R296" s="172"/>
      <c r="S296" s="172"/>
      <c r="T296" s="172"/>
      <c r="U296" s="173"/>
    </row>
    <row r="297" spans="1:21" ht="16.95" customHeight="1" x14ac:dyDescent="0.3">
      <c r="A297" s="41">
        <f t="shared" si="28"/>
        <v>3000</v>
      </c>
      <c r="C297" s="9">
        <f t="shared" ref="C297:N297" si="40">B252</f>
        <v>0</v>
      </c>
      <c r="D297" s="9">
        <f t="shared" si="40"/>
        <v>0</v>
      </c>
      <c r="E297" s="9">
        <f t="shared" si="40"/>
        <v>0</v>
      </c>
      <c r="F297" s="9">
        <f t="shared" si="40"/>
        <v>0</v>
      </c>
      <c r="G297" s="41">
        <f t="shared" si="40"/>
        <v>-15026.376808798586</v>
      </c>
      <c r="H297" s="41">
        <f t="shared" si="40"/>
        <v>-30052.753617597173</v>
      </c>
      <c r="I297" s="41">
        <f t="shared" si="40"/>
        <v>-2239.3808000513532</v>
      </c>
      <c r="J297" s="41">
        <f t="shared" si="40"/>
        <v>13436.28480030812</v>
      </c>
      <c r="K297" s="41">
        <f t="shared" si="40"/>
        <v>-252000</v>
      </c>
      <c r="L297" s="41">
        <f t="shared" si="40"/>
        <v>0</v>
      </c>
      <c r="M297" s="41">
        <f t="shared" si="40"/>
        <v>269265.75760884996</v>
      </c>
      <c r="N297" s="41">
        <f t="shared" si="40"/>
        <v>16616.468817289053</v>
      </c>
      <c r="O297" s="13" t="s">
        <v>251</v>
      </c>
      <c r="P297" s="215" t="str">
        <f t="shared" si="35"/>
        <v>D6X</v>
      </c>
      <c r="Q297" s="172"/>
      <c r="R297" s="172"/>
      <c r="S297" s="172"/>
      <c r="T297" s="172"/>
      <c r="U297" s="173"/>
    </row>
    <row r="298" spans="1:21" ht="16.95" customHeight="1" x14ac:dyDescent="0.3">
      <c r="A298" s="41">
        <f t="shared" si="28"/>
        <v>-1500</v>
      </c>
      <c r="C298" s="9">
        <f t="shared" ref="C298:N298" si="41">B253</f>
        <v>0</v>
      </c>
      <c r="D298" s="9">
        <f t="shared" si="41"/>
        <v>0</v>
      </c>
      <c r="E298" s="9">
        <f t="shared" si="41"/>
        <v>0</v>
      </c>
      <c r="F298" s="9">
        <f t="shared" si="41"/>
        <v>0</v>
      </c>
      <c r="G298" s="41">
        <f t="shared" si="41"/>
        <v>-30052.753617597173</v>
      </c>
      <c r="H298" s="41">
        <f t="shared" si="41"/>
        <v>-60105.507235194345</v>
      </c>
      <c r="I298" s="41">
        <f t="shared" si="41"/>
        <v>13436.28480030812</v>
      </c>
      <c r="J298" s="41">
        <f t="shared" si="41"/>
        <v>-80617.708801848712</v>
      </c>
      <c r="K298" s="41">
        <f t="shared" si="41"/>
        <v>0</v>
      </c>
      <c r="L298" s="41">
        <f t="shared" si="41"/>
        <v>0</v>
      </c>
      <c r="M298" s="41">
        <f t="shared" si="41"/>
        <v>16616.468817289053</v>
      </c>
      <c r="N298" s="41">
        <f t="shared" si="41"/>
        <v>140723.21603704305</v>
      </c>
      <c r="O298" s="13" t="s">
        <v>251</v>
      </c>
      <c r="P298" s="215" t="str">
        <f t="shared" si="35"/>
        <v>D6Y</v>
      </c>
      <c r="Q298" s="172"/>
      <c r="R298" s="172"/>
      <c r="S298" s="172"/>
      <c r="T298" s="172"/>
      <c r="U298" s="173"/>
    </row>
    <row r="301" spans="1:21" ht="19.95" customHeight="1" x14ac:dyDescent="0.35">
      <c r="A301" s="15" t="s">
        <v>257</v>
      </c>
      <c r="P301" s="216" t="s">
        <v>258</v>
      </c>
      <c r="Q301" s="172"/>
      <c r="R301" s="172"/>
      <c r="S301" s="172"/>
      <c r="T301" s="172"/>
      <c r="U301" s="173"/>
    </row>
    <row r="302" spans="1:21" ht="16.95" customHeight="1" x14ac:dyDescent="0.3">
      <c r="C302" s="38" t="str">
        <f>INDEX(C$271:C$282, MATCH(1, F$271:F$282, 0))</f>
        <v>U3X</v>
      </c>
      <c r="D302" s="38" t="str">
        <f>INDEX(C$271:C$282, MATCH(2, F$271:F$282, 0))</f>
        <v>U3Y</v>
      </c>
      <c r="E302" s="38" t="str">
        <f>INDEX(C$271:C$282, MATCH(3, F$271:F$282, 0))</f>
        <v>U4X</v>
      </c>
      <c r="F302" s="38" t="str">
        <f>INDEX(C$271:C$282, MATCH(4, F$271:F$282, 0))</f>
        <v>U4Y</v>
      </c>
      <c r="G302" s="38" t="str">
        <f>INDEX(C$271:C$282, MATCH(5, F$271:F$282, 0))</f>
        <v>U5X</v>
      </c>
      <c r="H302" s="38" t="str">
        <f>INDEX(C$271:C$282, MATCH(6, F$271:F$282, 0))</f>
        <v>U5Y</v>
      </c>
      <c r="I302" s="38" t="str">
        <f>INDEX(C$271:C$282, MATCH(7, F$271:F$282, 0))</f>
        <v>U6X</v>
      </c>
      <c r="J302" s="38" t="str">
        <f>INDEX(C$271:C$282, MATCH(8, F$271:F$282, 0))</f>
        <v>U6Y</v>
      </c>
      <c r="P302" s="215" t="s">
        <v>383</v>
      </c>
      <c r="Q302" s="172"/>
      <c r="R302" s="172"/>
      <c r="S302" s="172"/>
      <c r="T302" s="172"/>
      <c r="U302" s="173"/>
    </row>
    <row r="303" spans="1:21" ht="16.95" customHeight="1" x14ac:dyDescent="0.3">
      <c r="A303" s="41">
        <f t="shared" ref="A303:A310" si="42">INDEX(E$257:E$268, MATCH(M303, C$257:C$268, 0))</f>
        <v>2000</v>
      </c>
      <c r="C303" s="41">
        <f t="shared" ref="C303:J310" si="43">INDEX($B$242:$M$253, MATCH($M303, $N$242:$N$253, 0), MATCH(C$302, $B$241:$M$241, 0))</f>
        <v>180933.18212230923</v>
      </c>
      <c r="D303" s="41">
        <f t="shared" si="43"/>
        <v>37697.372718943247</v>
      </c>
      <c r="E303" s="41">
        <f t="shared" si="43"/>
        <v>-126000</v>
      </c>
      <c r="F303" s="41">
        <f t="shared" si="43"/>
        <v>0</v>
      </c>
      <c r="G303" s="41">
        <f t="shared" si="43"/>
        <v>-2239.3808000513532</v>
      </c>
      <c r="H303" s="41">
        <f t="shared" si="43"/>
        <v>-13436.28480030812</v>
      </c>
      <c r="I303" s="41">
        <f t="shared" si="43"/>
        <v>-15026.376808798586</v>
      </c>
      <c r="J303" s="41">
        <f t="shared" si="43"/>
        <v>-30052.753617597173</v>
      </c>
      <c r="K303" s="13" t="s">
        <v>251</v>
      </c>
      <c r="L303" s="38" t="str">
        <f>INDEX(B$271:B$282, MATCH(1, F$271:F$282, 0))</f>
        <v>D3X</v>
      </c>
      <c r="M303" s="14" t="str">
        <f>INDEX(C$271:C$282, MATCH(1, F$271:F$282, 0))</f>
        <v>U3X</v>
      </c>
      <c r="P303" s="215" t="s">
        <v>384</v>
      </c>
      <c r="Q303" s="172"/>
      <c r="R303" s="172"/>
      <c r="S303" s="172"/>
      <c r="T303" s="172"/>
      <c r="U303" s="173"/>
    </row>
    <row r="304" spans="1:21" ht="16.95" customHeight="1" x14ac:dyDescent="0.3">
      <c r="A304" s="41">
        <f t="shared" si="42"/>
        <v>-2000</v>
      </c>
      <c r="C304" s="41">
        <f t="shared" si="43"/>
        <v>37697.372718943247</v>
      </c>
      <c r="D304" s="41">
        <f t="shared" si="43"/>
        <v>242142.15817949691</v>
      </c>
      <c r="E304" s="41">
        <f t="shared" si="43"/>
        <v>0</v>
      </c>
      <c r="F304" s="41">
        <f t="shared" si="43"/>
        <v>0</v>
      </c>
      <c r="G304" s="41">
        <f t="shared" si="43"/>
        <v>-13436.28480030812</v>
      </c>
      <c r="H304" s="41">
        <f t="shared" si="43"/>
        <v>-80617.708801848712</v>
      </c>
      <c r="I304" s="41">
        <f t="shared" si="43"/>
        <v>-30052.753617597173</v>
      </c>
      <c r="J304" s="41">
        <f t="shared" si="43"/>
        <v>-60105.507235194345</v>
      </c>
      <c r="K304" s="13" t="s">
        <v>251</v>
      </c>
      <c r="L304" s="38" t="str">
        <f>INDEX(B$271:B$282, MATCH(2, F$271:F$282, 0))</f>
        <v>D3Y</v>
      </c>
      <c r="M304" s="14" t="str">
        <f>INDEX(C$271:C$282, MATCH(2, F$271:F$282, 0))</f>
        <v>U3Y</v>
      </c>
      <c r="P304" s="215" t="s">
        <v>385</v>
      </c>
      <c r="Q304" s="172"/>
      <c r="R304" s="172"/>
      <c r="S304" s="172"/>
      <c r="T304" s="172"/>
      <c r="U304" s="173"/>
    </row>
    <row r="305" spans="1:21" ht="16.95" customHeight="1" x14ac:dyDescent="0.3">
      <c r="A305" s="41">
        <f t="shared" si="42"/>
        <v>2000</v>
      </c>
      <c r="C305" s="41">
        <f t="shared" si="43"/>
        <v>-126000</v>
      </c>
      <c r="D305" s="41">
        <f t="shared" si="43"/>
        <v>0</v>
      </c>
      <c r="E305" s="41">
        <f t="shared" si="43"/>
        <v>165906.80531351065</v>
      </c>
      <c r="F305" s="41">
        <f t="shared" si="43"/>
        <v>-7644.6191013460739</v>
      </c>
      <c r="G305" s="41">
        <f t="shared" si="43"/>
        <v>0</v>
      </c>
      <c r="H305" s="41">
        <f t="shared" si="43"/>
        <v>0</v>
      </c>
      <c r="I305" s="41">
        <f t="shared" si="43"/>
        <v>-2239.3808000513532</v>
      </c>
      <c r="J305" s="41">
        <f t="shared" si="43"/>
        <v>13436.28480030812</v>
      </c>
      <c r="K305" s="13" t="s">
        <v>251</v>
      </c>
      <c r="L305" s="38" t="str">
        <f>INDEX(B$271:B$282, MATCH(3, F$271:F$282, 0))</f>
        <v>D4X</v>
      </c>
      <c r="M305" s="14" t="str">
        <f>INDEX(C$271:C$282, MATCH(3, F$271:F$282, 0))</f>
        <v>U4X</v>
      </c>
      <c r="P305" s="215" t="s">
        <v>386</v>
      </c>
      <c r="Q305" s="172"/>
      <c r="R305" s="172"/>
      <c r="S305" s="172"/>
      <c r="T305" s="172"/>
      <c r="U305" s="173"/>
    </row>
    <row r="306" spans="1:21" ht="16.95" customHeight="1" x14ac:dyDescent="0.3">
      <c r="A306" s="41">
        <f t="shared" si="42"/>
        <v>-2000</v>
      </c>
      <c r="C306" s="41">
        <f t="shared" si="43"/>
        <v>0</v>
      </c>
      <c r="D306" s="41">
        <f t="shared" si="43"/>
        <v>0</v>
      </c>
      <c r="E306" s="41">
        <f t="shared" si="43"/>
        <v>-7644.6191013460739</v>
      </c>
      <c r="F306" s="41">
        <f t="shared" si="43"/>
        <v>182036.65094430256</v>
      </c>
      <c r="G306" s="41">
        <f t="shared" si="43"/>
        <v>0</v>
      </c>
      <c r="H306" s="41">
        <f t="shared" si="43"/>
        <v>0</v>
      </c>
      <c r="I306" s="41">
        <f t="shared" si="43"/>
        <v>13436.28480030812</v>
      </c>
      <c r="J306" s="41">
        <f t="shared" si="43"/>
        <v>-80617.708801848712</v>
      </c>
      <c r="K306" s="13" t="s">
        <v>251</v>
      </c>
      <c r="L306" s="38" t="str">
        <f>INDEX(B$271:B$282, MATCH(4, F$271:F$282, 0))</f>
        <v>D4Y</v>
      </c>
      <c r="M306" s="14" t="str">
        <f>INDEX(C$271:C$282, MATCH(4, F$271:F$282, 0))</f>
        <v>U4Y</v>
      </c>
      <c r="P306" s="215" t="s">
        <v>387</v>
      </c>
      <c r="Q306" s="172"/>
      <c r="R306" s="172"/>
      <c r="S306" s="172"/>
      <c r="T306" s="172"/>
      <c r="U306" s="173"/>
    </row>
    <row r="307" spans="1:21" ht="16.95" customHeight="1" x14ac:dyDescent="0.3">
      <c r="A307" s="41">
        <f t="shared" si="42"/>
        <v>3000</v>
      </c>
      <c r="B307" s="13" t="s">
        <v>220</v>
      </c>
      <c r="C307" s="41">
        <f t="shared" si="43"/>
        <v>-2239.3808000513532</v>
      </c>
      <c r="D307" s="41">
        <f t="shared" si="43"/>
        <v>-13436.28480030812</v>
      </c>
      <c r="E307" s="41">
        <f t="shared" si="43"/>
        <v>0</v>
      </c>
      <c r="F307" s="41">
        <f t="shared" si="43"/>
        <v>0</v>
      </c>
      <c r="G307" s="41">
        <f t="shared" si="43"/>
        <v>254239.38080005135</v>
      </c>
      <c r="H307" s="41">
        <f t="shared" si="43"/>
        <v>13436.28480030812</v>
      </c>
      <c r="I307" s="41">
        <f t="shared" si="43"/>
        <v>-252000</v>
      </c>
      <c r="J307" s="41">
        <f t="shared" si="43"/>
        <v>0</v>
      </c>
      <c r="K307" s="13" t="s">
        <v>251</v>
      </c>
      <c r="L307" s="38" t="str">
        <f>INDEX(B$271:B$282, MATCH(5, F$271:F$282, 0))</f>
        <v>D5X</v>
      </c>
      <c r="M307" s="14" t="str">
        <f>INDEX(C$271:C$282, MATCH(5, F$271:F$282, 0))</f>
        <v>U5X</v>
      </c>
      <c r="P307" s="215" t="s">
        <v>388</v>
      </c>
      <c r="Q307" s="172"/>
      <c r="R307" s="172"/>
      <c r="S307" s="172"/>
      <c r="T307" s="172"/>
      <c r="U307" s="173"/>
    </row>
    <row r="308" spans="1:21" ht="16.95" customHeight="1" x14ac:dyDescent="0.3">
      <c r="A308" s="41">
        <f t="shared" si="42"/>
        <v>-1500</v>
      </c>
      <c r="C308" s="41">
        <f t="shared" si="43"/>
        <v>-13436.28480030812</v>
      </c>
      <c r="D308" s="41">
        <f t="shared" si="43"/>
        <v>-80617.708801848712</v>
      </c>
      <c r="E308" s="41">
        <f t="shared" si="43"/>
        <v>0</v>
      </c>
      <c r="F308" s="41">
        <f t="shared" si="43"/>
        <v>0</v>
      </c>
      <c r="G308" s="41">
        <f t="shared" si="43"/>
        <v>13436.28480030812</v>
      </c>
      <c r="H308" s="41">
        <f t="shared" si="43"/>
        <v>80617.708801848712</v>
      </c>
      <c r="I308" s="41">
        <f t="shared" si="43"/>
        <v>0</v>
      </c>
      <c r="J308" s="41">
        <f t="shared" si="43"/>
        <v>0</v>
      </c>
      <c r="K308" s="13" t="s">
        <v>251</v>
      </c>
      <c r="L308" s="38" t="str">
        <f>INDEX(B$271:B$282, MATCH(6, F$271:F$282, 0))</f>
        <v>D5Y</v>
      </c>
      <c r="M308" s="14" t="str">
        <f>INDEX(C$271:C$282, MATCH(6, F$271:F$282, 0))</f>
        <v>U5Y</v>
      </c>
      <c r="P308" s="215"/>
      <c r="Q308" s="172"/>
      <c r="R308" s="172"/>
      <c r="S308" s="172"/>
      <c r="T308" s="172"/>
      <c r="U308" s="173"/>
    </row>
    <row r="309" spans="1:21" ht="16.95" customHeight="1" x14ac:dyDescent="0.3">
      <c r="A309" s="41">
        <f t="shared" si="42"/>
        <v>3000</v>
      </c>
      <c r="C309" s="41">
        <f t="shared" si="43"/>
        <v>-15026.376808798586</v>
      </c>
      <c r="D309" s="41">
        <f t="shared" si="43"/>
        <v>-30052.753617597173</v>
      </c>
      <c r="E309" s="41">
        <f t="shared" si="43"/>
        <v>-2239.3808000513532</v>
      </c>
      <c r="F309" s="41">
        <f t="shared" si="43"/>
        <v>13436.28480030812</v>
      </c>
      <c r="G309" s="41">
        <f t="shared" si="43"/>
        <v>-252000</v>
      </c>
      <c r="H309" s="41">
        <f t="shared" si="43"/>
        <v>0</v>
      </c>
      <c r="I309" s="41">
        <f t="shared" si="43"/>
        <v>269265.75760884996</v>
      </c>
      <c r="J309" s="41">
        <f t="shared" si="43"/>
        <v>16616.468817289053</v>
      </c>
      <c r="K309" s="13" t="s">
        <v>251</v>
      </c>
      <c r="L309" s="38" t="str">
        <f>INDEX(B$271:B$282, MATCH(7, F$271:F$282, 0))</f>
        <v>D6X</v>
      </c>
      <c r="M309" s="14" t="str">
        <f>INDEX(C$271:C$282, MATCH(7, F$271:F$282, 0))</f>
        <v>U6X</v>
      </c>
      <c r="P309" s="215"/>
      <c r="Q309" s="172"/>
      <c r="R309" s="172"/>
      <c r="S309" s="172"/>
      <c r="T309" s="172"/>
      <c r="U309" s="173"/>
    </row>
    <row r="310" spans="1:21" ht="16.95" customHeight="1" x14ac:dyDescent="0.3">
      <c r="A310" s="41">
        <f t="shared" si="42"/>
        <v>-1500</v>
      </c>
      <c r="C310" s="41">
        <f t="shared" si="43"/>
        <v>-30052.753617597173</v>
      </c>
      <c r="D310" s="41">
        <f t="shared" si="43"/>
        <v>-60105.507235194345</v>
      </c>
      <c r="E310" s="41">
        <f t="shared" si="43"/>
        <v>13436.28480030812</v>
      </c>
      <c r="F310" s="41">
        <f t="shared" si="43"/>
        <v>-80617.708801848712</v>
      </c>
      <c r="G310" s="41">
        <f t="shared" si="43"/>
        <v>0</v>
      </c>
      <c r="H310" s="41">
        <f t="shared" si="43"/>
        <v>0</v>
      </c>
      <c r="I310" s="41">
        <f t="shared" si="43"/>
        <v>16616.468817289053</v>
      </c>
      <c r="J310" s="41">
        <f t="shared" si="43"/>
        <v>140723.21603704305</v>
      </c>
      <c r="K310" s="13" t="s">
        <v>251</v>
      </c>
      <c r="L310" s="38" t="str">
        <f>INDEX(B$271:B$282, MATCH(8, F$271:F$282, 0))</f>
        <v>D6Y</v>
      </c>
      <c r="M310" s="14" t="str">
        <f>INDEX(C$271:C$282, MATCH(8, F$271:F$282, 0))</f>
        <v>U6Y</v>
      </c>
      <c r="P310" s="215"/>
      <c r="Q310" s="172"/>
      <c r="R310" s="172"/>
      <c r="S310" s="172"/>
      <c r="T310" s="172"/>
      <c r="U310" s="173"/>
    </row>
    <row r="311" spans="1:21" ht="16.95" customHeight="1" x14ac:dyDescent="0.3">
      <c r="P311" s="215"/>
      <c r="Q311" s="172"/>
      <c r="R311" s="172"/>
      <c r="S311" s="172"/>
      <c r="T311" s="172"/>
      <c r="U311" s="173"/>
    </row>
    <row r="312" spans="1:21" ht="16.95" customHeight="1" x14ac:dyDescent="0.3">
      <c r="C312" s="218" t="s">
        <v>263</v>
      </c>
      <c r="D312" s="172"/>
      <c r="E312" s="172"/>
      <c r="F312" s="172"/>
      <c r="G312" s="172"/>
      <c r="H312" s="172"/>
      <c r="I312" s="172"/>
      <c r="J312" s="173"/>
      <c r="P312" s="215"/>
      <c r="Q312" s="172"/>
      <c r="R312" s="172"/>
      <c r="S312" s="172"/>
      <c r="T312" s="172"/>
      <c r="U312" s="173"/>
    </row>
    <row r="313" spans="1:21" ht="16.95" customHeight="1" x14ac:dyDescent="0.3">
      <c r="A313" s="99" t="s">
        <v>249</v>
      </c>
      <c r="C313" s="193" t="s">
        <v>264</v>
      </c>
      <c r="D313" s="175"/>
      <c r="E313" s="175"/>
      <c r="F313" s="175"/>
      <c r="G313" s="175"/>
      <c r="H313" s="175"/>
      <c r="I313" s="175"/>
      <c r="J313" s="175"/>
      <c r="L313" s="99" t="s">
        <v>247</v>
      </c>
      <c r="P313" s="215"/>
      <c r="Q313" s="172"/>
      <c r="R313" s="172"/>
      <c r="S313" s="172"/>
      <c r="T313" s="172"/>
      <c r="U313" s="173"/>
    </row>
    <row r="314" spans="1:21" ht="16.95" customHeight="1" x14ac:dyDescent="0.3">
      <c r="A314" s="12" t="str">
        <f t="shared" ref="A314:A321" si="44">L303</f>
        <v>D3X</v>
      </c>
      <c r="C314" s="93">
        <f t="array" ref="C314:J321">MINVERSE(C303:J310)</f>
        <v>1.5119745967149087E-5</v>
      </c>
      <c r="D314" s="93">
        <v>8.6343351887813473E-7</v>
      </c>
      <c r="E314" s="93">
        <v>1.1663564789257404E-5</v>
      </c>
      <c r="F314" s="93">
        <v>-6.6606362372307172E-7</v>
      </c>
      <c r="G314" s="93">
        <v>1.6549946386577961E-5</v>
      </c>
      <c r="H314" s="93">
        <v>6.2506678230665573E-7</v>
      </c>
      <c r="I314" s="93">
        <v>1.6549946386577961E-5</v>
      </c>
      <c r="J314" s="93">
        <v>1.483333091636907E-7</v>
      </c>
      <c r="L314" s="17">
        <f t="shared" ref="L314:L321" si="45">A303</f>
        <v>2000</v>
      </c>
      <c r="P314" s="215"/>
      <c r="Q314" s="172"/>
      <c r="R314" s="172"/>
      <c r="S314" s="172"/>
      <c r="T314" s="172"/>
      <c r="U314" s="173"/>
    </row>
    <row r="315" spans="1:21" ht="16.95" customHeight="1" x14ac:dyDescent="0.3">
      <c r="A315" s="12" t="str">
        <f t="shared" si="44"/>
        <v>D3Y</v>
      </c>
      <c r="C315" s="93">
        <v>8.6343351887813557E-7</v>
      </c>
      <c r="D315" s="93">
        <v>9.9093985508445583E-6</v>
      </c>
      <c r="E315" s="93">
        <v>6.6606362372307289E-7</v>
      </c>
      <c r="F315" s="93">
        <v>-3.8036463025068697E-8</v>
      </c>
      <c r="G315" s="93">
        <v>1.5735243565893797E-5</v>
      </c>
      <c r="H315" s="93">
        <v>7.4307635430086157E-6</v>
      </c>
      <c r="I315" s="93">
        <v>1.5735243565893797E-5</v>
      </c>
      <c r="J315" s="93">
        <v>2.4734935273367219E-6</v>
      </c>
      <c r="L315" s="17">
        <f t="shared" si="45"/>
        <v>-2000</v>
      </c>
      <c r="P315" s="215"/>
      <c r="Q315" s="172"/>
      <c r="R315" s="172"/>
      <c r="S315" s="172"/>
      <c r="T315" s="172"/>
      <c r="U315" s="173"/>
    </row>
    <row r="316" spans="1:21" ht="16.95" customHeight="1" x14ac:dyDescent="0.3">
      <c r="A316" s="12" t="str">
        <f t="shared" si="44"/>
        <v>D4X</v>
      </c>
      <c r="C316" s="93">
        <v>1.1663564789257405E-5</v>
      </c>
      <c r="D316" s="93">
        <v>6.6606362372307183E-7</v>
      </c>
      <c r="E316" s="93">
        <v>1.5119745967149084E-5</v>
      </c>
      <c r="F316" s="93">
        <v>-8.6343351887813483E-7</v>
      </c>
      <c r="G316" s="93">
        <v>1.4821855797632124E-5</v>
      </c>
      <c r="H316" s="93">
        <v>1.3968178899395242E-7</v>
      </c>
      <c r="I316" s="93">
        <v>1.4821855797632124E-5</v>
      </c>
      <c r="J316" s="93">
        <v>-9.1308188046429276E-7</v>
      </c>
      <c r="L316" s="17">
        <f t="shared" si="45"/>
        <v>2000</v>
      </c>
      <c r="P316" s="215"/>
      <c r="Q316" s="172"/>
      <c r="R316" s="172"/>
      <c r="S316" s="172"/>
      <c r="T316" s="172"/>
      <c r="U316" s="173"/>
    </row>
    <row r="317" spans="1:21" ht="16.95" customHeight="1" x14ac:dyDescent="0.3">
      <c r="A317" s="12" t="str">
        <f t="shared" si="44"/>
        <v>D4Y</v>
      </c>
      <c r="C317" s="93">
        <v>-6.6606362372307204E-7</v>
      </c>
      <c r="D317" s="93">
        <v>-3.8036463025068512E-8</v>
      </c>
      <c r="E317" s="93">
        <v>-8.6343351887813473E-7</v>
      </c>
      <c r="F317" s="93">
        <v>9.90939855084456E-6</v>
      </c>
      <c r="G317" s="93">
        <v>-1.5636558618316274E-5</v>
      </c>
      <c r="H317" s="93">
        <v>2.4570460360737995E-6</v>
      </c>
      <c r="I317" s="93">
        <v>-1.5636558618316274E-5</v>
      </c>
      <c r="J317" s="93">
        <v>7.4472110342715372E-6</v>
      </c>
      <c r="L317" s="17">
        <f t="shared" si="45"/>
        <v>-2000</v>
      </c>
      <c r="P317" s="215"/>
      <c r="Q317" s="172"/>
      <c r="R317" s="172"/>
      <c r="S317" s="172"/>
      <c r="T317" s="172"/>
      <c r="U317" s="173"/>
    </row>
    <row r="318" spans="1:21" ht="16.95" customHeight="1" x14ac:dyDescent="0.3">
      <c r="A318" s="12" t="str">
        <f t="shared" si="44"/>
        <v>D5X</v>
      </c>
      <c r="B318" s="13" t="s">
        <v>220</v>
      </c>
      <c r="C318" s="93">
        <v>1.6549946386577971E-5</v>
      </c>
      <c r="D318" s="93">
        <v>1.57352435658938E-5</v>
      </c>
      <c r="E318" s="93">
        <v>1.4821855797632129E-5</v>
      </c>
      <c r="F318" s="93">
        <v>-1.5636558618316274E-5</v>
      </c>
      <c r="G318" s="93">
        <v>1.3248755541142855E-4</v>
      </c>
      <c r="H318" s="93">
        <v>-3.5876912715813041E-6</v>
      </c>
      <c r="I318" s="93">
        <v>1.285193014431746E-4</v>
      </c>
      <c r="J318" s="93">
        <v>-1.5293318142094409E-5</v>
      </c>
      <c r="L318" s="17">
        <f t="shared" si="45"/>
        <v>3000</v>
      </c>
      <c r="P318" s="215"/>
      <c r="Q318" s="172"/>
      <c r="R318" s="172"/>
      <c r="S318" s="172"/>
      <c r="T318" s="172"/>
      <c r="U318" s="173"/>
    </row>
    <row r="319" spans="1:21" ht="16.95" customHeight="1" x14ac:dyDescent="0.3">
      <c r="A319" s="12" t="str">
        <f t="shared" si="44"/>
        <v>D5Y</v>
      </c>
      <c r="C319" s="93">
        <v>6.2506678230665573E-7</v>
      </c>
      <c r="D319" s="93">
        <v>7.4307635430086157E-6</v>
      </c>
      <c r="E319" s="93">
        <v>1.396817889939525E-7</v>
      </c>
      <c r="F319" s="93">
        <v>2.4570460360737987E-6</v>
      </c>
      <c r="G319" s="93">
        <v>-3.5876912715813003E-6</v>
      </c>
      <c r="H319" s="93">
        <v>2.0537112417346763E-5</v>
      </c>
      <c r="I319" s="93">
        <v>-2.9263156102056392E-6</v>
      </c>
      <c r="J319" s="93">
        <v>5.0471021025464054E-6</v>
      </c>
      <c r="L319" s="17">
        <f t="shared" si="45"/>
        <v>-1500</v>
      </c>
      <c r="P319" s="215"/>
      <c r="Q319" s="172"/>
      <c r="R319" s="172"/>
      <c r="S319" s="172"/>
      <c r="T319" s="172"/>
      <c r="U319" s="173"/>
    </row>
    <row r="320" spans="1:21" ht="16.95" customHeight="1" x14ac:dyDescent="0.3">
      <c r="A320" s="12" t="str">
        <f t="shared" si="44"/>
        <v>D6X</v>
      </c>
      <c r="C320" s="93">
        <v>1.6549946386577968E-5</v>
      </c>
      <c r="D320" s="93">
        <v>1.57352435658938E-5</v>
      </c>
      <c r="E320" s="93">
        <v>1.4821855797632129E-5</v>
      </c>
      <c r="F320" s="93">
        <v>-1.5636558618316274E-5</v>
      </c>
      <c r="G320" s="93">
        <v>1.285193014431746E-4</v>
      </c>
      <c r="H320" s="93">
        <v>-2.9263156102056422E-6</v>
      </c>
      <c r="I320" s="93">
        <v>1.285193014431746E-4</v>
      </c>
      <c r="J320" s="93">
        <v>-1.5293318142094409E-5</v>
      </c>
      <c r="L320" s="17">
        <f t="shared" si="45"/>
        <v>3000</v>
      </c>
      <c r="P320" s="215"/>
      <c r="Q320" s="172"/>
      <c r="R320" s="172"/>
      <c r="S320" s="172"/>
      <c r="T320" s="172"/>
      <c r="U320" s="173"/>
    </row>
    <row r="321" spans="1:21" ht="16.95" customHeight="1" x14ac:dyDescent="0.3">
      <c r="A321" s="12" t="str">
        <f t="shared" si="44"/>
        <v>D6Y</v>
      </c>
      <c r="C321" s="93">
        <v>1.4833330916369144E-7</v>
      </c>
      <c r="D321" s="93">
        <v>2.4734935273367232E-6</v>
      </c>
      <c r="E321" s="93">
        <v>-9.1308188046429191E-7</v>
      </c>
      <c r="F321" s="93">
        <v>7.4472110342715372E-6</v>
      </c>
      <c r="G321" s="93">
        <v>-1.5293318142094402E-5</v>
      </c>
      <c r="H321" s="93">
        <v>5.0471021025464071E-6</v>
      </c>
      <c r="I321" s="93">
        <v>-1.5293318142094402E-5</v>
      </c>
      <c r="J321" s="93">
        <v>1.4353671889684134E-5</v>
      </c>
      <c r="L321" s="17">
        <f t="shared" si="45"/>
        <v>-1500</v>
      </c>
      <c r="P321" s="215"/>
      <c r="Q321" s="172"/>
      <c r="R321" s="172"/>
      <c r="S321" s="172"/>
      <c r="T321" s="172"/>
      <c r="U321" s="173"/>
    </row>
    <row r="322" spans="1:21" ht="16.95" customHeight="1" x14ac:dyDescent="0.3">
      <c r="P322" s="215"/>
      <c r="Q322" s="172"/>
      <c r="R322" s="172"/>
      <c r="S322" s="172"/>
      <c r="T322" s="172"/>
      <c r="U322" s="173"/>
    </row>
    <row r="323" spans="1:21" ht="16.95" customHeight="1" x14ac:dyDescent="0.3">
      <c r="C323" s="218" t="s">
        <v>265</v>
      </c>
      <c r="D323" s="173"/>
      <c r="P323" s="215"/>
      <c r="Q323" s="172"/>
      <c r="R323" s="172"/>
      <c r="S323" s="172"/>
      <c r="T323" s="172"/>
      <c r="U323" s="173"/>
    </row>
    <row r="324" spans="1:21" ht="16.95" customHeight="1" x14ac:dyDescent="0.3">
      <c r="A324" s="99" t="s">
        <v>249</v>
      </c>
      <c r="C324" s="99" t="s">
        <v>266</v>
      </c>
      <c r="P324" s="215"/>
      <c r="Q324" s="172"/>
      <c r="R324" s="172"/>
      <c r="S324" s="172"/>
      <c r="T324" s="172"/>
      <c r="U324" s="173"/>
    </row>
    <row r="325" spans="1:21" ht="16.95" customHeight="1" x14ac:dyDescent="0.3">
      <c r="A325" s="12" t="str">
        <f t="shared" ref="A325:A332" si="46">A314</f>
        <v>D3X</v>
      </c>
      <c r="C325" s="94">
        <f t="array" ref="C325:C332">MMULT(C314:J321, L314:L321)</f>
        <v>0.15131145990476511</v>
      </c>
      <c r="D325" s="12" t="s">
        <v>267</v>
      </c>
      <c r="P325" s="215"/>
      <c r="Q325" s="172"/>
      <c r="R325" s="172"/>
      <c r="S325" s="172"/>
      <c r="T325" s="172"/>
      <c r="U325" s="173"/>
    </row>
    <row r="326" spans="1:21" ht="16.95" customHeight="1" x14ac:dyDescent="0.3">
      <c r="A326" s="12" t="str">
        <f t="shared" si="46"/>
        <v>D3Y</v>
      </c>
      <c r="C326" s="94">
        <v>6.287134589940821E-2</v>
      </c>
      <c r="D326" s="12" t="s">
        <v>267</v>
      </c>
      <c r="P326" s="215"/>
      <c r="Q326" s="172"/>
      <c r="R326" s="172"/>
      <c r="S326" s="172"/>
      <c r="T326" s="172"/>
      <c r="U326" s="173"/>
    </row>
    <row r="327" spans="1:21" ht="16.95" customHeight="1" x14ac:dyDescent="0.3">
      <c r="A327" s="12" t="str">
        <f t="shared" si="46"/>
        <v>D4X</v>
      </c>
      <c r="C327" s="94">
        <v>0.14405259622612135</v>
      </c>
      <c r="D327" s="12" t="s">
        <v>267</v>
      </c>
      <c r="P327" s="215"/>
      <c r="Q327" s="172"/>
      <c r="R327" s="172"/>
      <c r="S327" s="172"/>
      <c r="T327" s="172"/>
      <c r="U327" s="173"/>
    </row>
    <row r="328" spans="1:21" ht="16.95" customHeight="1" x14ac:dyDescent="0.3">
      <c r="A328" s="12" t="str">
        <f t="shared" si="46"/>
        <v>D4Y</v>
      </c>
      <c r="C328" s="94">
        <v>-0.13147745577625705</v>
      </c>
      <c r="D328" s="12" t="s">
        <v>267</v>
      </c>
      <c r="P328" s="215"/>
      <c r="Q328" s="172"/>
      <c r="R328" s="172"/>
      <c r="S328" s="172"/>
      <c r="T328" s="172"/>
      <c r="U328" s="173"/>
    </row>
    <row r="329" spans="1:21" ht="16.95" customHeight="1" x14ac:dyDescent="0.3">
      <c r="A329" s="12" t="str">
        <f t="shared" si="46"/>
        <v>D5X</v>
      </c>
      <c r="B329" s="13" t="s">
        <v>220</v>
      </c>
      <c r="C329" s="94">
        <v>0.87388831915758813</v>
      </c>
      <c r="D329" s="12" t="s">
        <v>267</v>
      </c>
      <c r="P329" s="215"/>
      <c r="Q329" s="172"/>
      <c r="R329" s="172"/>
      <c r="S329" s="172"/>
      <c r="T329" s="172"/>
      <c r="U329" s="173"/>
    </row>
    <row r="330" spans="1:21" ht="16.95" customHeight="1" x14ac:dyDescent="0.3">
      <c r="A330" s="12" t="str">
        <f t="shared" si="46"/>
        <v>D5Y</v>
      </c>
      <c r="C330" s="94">
        <v>-7.6164464440764176E-2</v>
      </c>
      <c r="D330" s="12" t="s">
        <v>267</v>
      </c>
      <c r="P330" s="215"/>
      <c r="Q330" s="172"/>
      <c r="R330" s="172"/>
      <c r="S330" s="172"/>
      <c r="T330" s="172"/>
      <c r="U330" s="173"/>
    </row>
    <row r="331" spans="1:21" ht="16.95" customHeight="1" x14ac:dyDescent="0.3">
      <c r="A331" s="12" t="str">
        <f t="shared" si="46"/>
        <v>D6X</v>
      </c>
      <c r="C331" s="94">
        <v>0.86099149376076278</v>
      </c>
      <c r="D331" s="12" t="s">
        <v>267</v>
      </c>
      <c r="P331" s="215"/>
      <c r="Q331" s="172"/>
      <c r="R331" s="172"/>
      <c r="S331" s="172"/>
      <c r="T331" s="172"/>
      <c r="U331" s="173"/>
    </row>
    <row r="332" spans="1:21" ht="16.95" customHeight="1" x14ac:dyDescent="0.3">
      <c r="A332" s="12" t="str">
        <f t="shared" si="46"/>
        <v>D6Y</v>
      </c>
      <c r="C332" s="94">
        <v>-0.14223197610672994</v>
      </c>
      <c r="D332" s="12" t="s">
        <v>267</v>
      </c>
      <c r="P332" s="215"/>
      <c r="Q332" s="172"/>
      <c r="R332" s="172"/>
      <c r="S332" s="172"/>
      <c r="T332" s="172"/>
      <c r="U332" s="173"/>
    </row>
    <row r="335" spans="1:21" ht="19.95" customHeight="1" x14ac:dyDescent="0.35">
      <c r="A335" s="11" t="s">
        <v>268</v>
      </c>
      <c r="P335" s="216" t="s">
        <v>269</v>
      </c>
      <c r="Q335" s="172"/>
      <c r="R335" s="172"/>
      <c r="S335" s="172"/>
      <c r="T335" s="172"/>
      <c r="U335" s="173"/>
    </row>
    <row r="336" spans="1:21" ht="16.95" customHeight="1" x14ac:dyDescent="0.3">
      <c r="A336" s="99" t="s">
        <v>247</v>
      </c>
      <c r="L336" s="99" t="s">
        <v>249</v>
      </c>
      <c r="P336" s="215" t="s">
        <v>389</v>
      </c>
      <c r="Q336" s="172"/>
      <c r="R336" s="172"/>
      <c r="S336" s="172"/>
      <c r="T336" s="172"/>
      <c r="U336" s="173"/>
    </row>
    <row r="337" spans="1:21" ht="16.95" customHeight="1" x14ac:dyDescent="0.3">
      <c r="A337" s="18" t="str">
        <f>INDEX(B$257:B$268, MATCH(M337, C$257:C$268, 0))</f>
        <v>C1X</v>
      </c>
      <c r="C337" s="9">
        <f t="shared" ref="C337:J340" si="47">INDEX($B$242:$M$253, MATCH($M337, $N$242:$N$253, 0), MATCH(C$302, $B$241:$M$241, 0))</f>
        <v>-7968.9397036243126</v>
      </c>
      <c r="D337" s="9">
        <f t="shared" si="47"/>
        <v>-23906.819110872941</v>
      </c>
      <c r="E337" s="9">
        <f t="shared" si="47"/>
        <v>-29698.484809834987</v>
      </c>
      <c r="F337" s="9">
        <f t="shared" si="47"/>
        <v>-29698.484809834987</v>
      </c>
      <c r="G337" s="9">
        <f t="shared" si="47"/>
        <v>0</v>
      </c>
      <c r="H337" s="9">
        <f t="shared" si="47"/>
        <v>0</v>
      </c>
      <c r="I337" s="9">
        <f t="shared" si="47"/>
        <v>0</v>
      </c>
      <c r="J337" s="9">
        <f t="shared" si="47"/>
        <v>0</v>
      </c>
      <c r="L337" s="95">
        <f t="shared" ref="L337:L344" si="48">C325</f>
        <v>0.15131145990476511</v>
      </c>
      <c r="M337" s="14" t="str">
        <f>INDEX(C$271:C$282, MATCH(1, G$271:G$282, 0))</f>
        <v>U1X</v>
      </c>
      <c r="P337" s="215" t="s">
        <v>390</v>
      </c>
      <c r="Q337" s="172"/>
      <c r="R337" s="172"/>
      <c r="S337" s="172"/>
      <c r="T337" s="172"/>
      <c r="U337" s="173"/>
    </row>
    <row r="338" spans="1:21" ht="16.95" customHeight="1" x14ac:dyDescent="0.3">
      <c r="A338" s="18" t="str">
        <f>INDEX(B$257:B$268, MATCH(M338, C$257:C$268, 0))</f>
        <v>C1Y</v>
      </c>
      <c r="C338" s="9">
        <f t="shared" si="47"/>
        <v>-23906.819110872941</v>
      </c>
      <c r="D338" s="9">
        <f t="shared" si="47"/>
        <v>-71720.45733261884</v>
      </c>
      <c r="E338" s="9">
        <f t="shared" si="47"/>
        <v>-29698.484809834987</v>
      </c>
      <c r="F338" s="9">
        <f t="shared" si="47"/>
        <v>-29698.484809834987</v>
      </c>
      <c r="G338" s="9">
        <f t="shared" si="47"/>
        <v>0</v>
      </c>
      <c r="H338" s="9">
        <f t="shared" si="47"/>
        <v>0</v>
      </c>
      <c r="I338" s="9">
        <f t="shared" si="47"/>
        <v>0</v>
      </c>
      <c r="J338" s="9">
        <f t="shared" si="47"/>
        <v>0</v>
      </c>
      <c r="L338" s="95">
        <f t="shared" si="48"/>
        <v>6.287134589940821E-2</v>
      </c>
      <c r="M338" s="14" t="str">
        <f>INDEX(C$271:C$282, MATCH(2, G$271:G$282, 0))</f>
        <v>U1Y</v>
      </c>
      <c r="P338" s="215" t="s">
        <v>391</v>
      </c>
      <c r="Q338" s="172"/>
      <c r="R338" s="172"/>
      <c r="S338" s="172"/>
      <c r="T338" s="172"/>
      <c r="U338" s="173"/>
    </row>
    <row r="339" spans="1:21" ht="16.95" customHeight="1" x14ac:dyDescent="0.3">
      <c r="A339" s="18" t="str">
        <f>INDEX(B$257:B$268, MATCH(M339, C$257:C$268, 0))</f>
        <v>C2X</v>
      </c>
      <c r="B339" s="13" t="s">
        <v>220</v>
      </c>
      <c r="C339" s="9">
        <f t="shared" si="47"/>
        <v>-29698.484809834987</v>
      </c>
      <c r="D339" s="9">
        <f t="shared" si="47"/>
        <v>29698.484809834987</v>
      </c>
      <c r="E339" s="9">
        <f t="shared" si="47"/>
        <v>-7968.9397036243126</v>
      </c>
      <c r="F339" s="9">
        <f t="shared" si="47"/>
        <v>23906.819110872941</v>
      </c>
      <c r="G339" s="9">
        <f t="shared" si="47"/>
        <v>0</v>
      </c>
      <c r="H339" s="9">
        <f t="shared" si="47"/>
        <v>0</v>
      </c>
      <c r="I339" s="9">
        <f t="shared" si="47"/>
        <v>0</v>
      </c>
      <c r="J339" s="9">
        <f t="shared" si="47"/>
        <v>0</v>
      </c>
      <c r="L339" s="95">
        <f t="shared" si="48"/>
        <v>0.14405259622612135</v>
      </c>
      <c r="M339" s="14" t="str">
        <f>INDEX(C$271:C$282, MATCH(3, G$271:G$282, 0))</f>
        <v>U2X</v>
      </c>
      <c r="P339" s="215" t="s">
        <v>392</v>
      </c>
      <c r="Q339" s="172"/>
      <c r="R339" s="172"/>
      <c r="S339" s="172"/>
      <c r="T339" s="172"/>
      <c r="U339" s="173"/>
    </row>
    <row r="340" spans="1:21" ht="16.95" customHeight="1" x14ac:dyDescent="0.3">
      <c r="A340" s="18" t="str">
        <f>INDEX(B$257:B$268, MATCH(M340, C$257:C$268, 0))</f>
        <v>C2Y</v>
      </c>
      <c r="C340" s="9">
        <f t="shared" si="47"/>
        <v>29698.484809834987</v>
      </c>
      <c r="D340" s="9">
        <f t="shared" si="47"/>
        <v>-29698.484809834987</v>
      </c>
      <c r="E340" s="9">
        <f t="shared" si="47"/>
        <v>23906.819110872941</v>
      </c>
      <c r="F340" s="9">
        <f t="shared" si="47"/>
        <v>-71720.45733261884</v>
      </c>
      <c r="G340" s="9">
        <f t="shared" si="47"/>
        <v>0</v>
      </c>
      <c r="H340" s="9">
        <f t="shared" si="47"/>
        <v>0</v>
      </c>
      <c r="I340" s="9">
        <f t="shared" si="47"/>
        <v>0</v>
      </c>
      <c r="J340" s="9">
        <f t="shared" si="47"/>
        <v>0</v>
      </c>
      <c r="L340" s="95">
        <f t="shared" si="48"/>
        <v>-0.13147745577625705</v>
      </c>
      <c r="M340" s="14" t="str">
        <f>INDEX(C$271:C$282, MATCH(4, G$271:G$282, 0))</f>
        <v>U2Y</v>
      </c>
      <c r="P340" s="215" t="s">
        <v>393</v>
      </c>
      <c r="Q340" s="172"/>
      <c r="R340" s="172"/>
      <c r="S340" s="172"/>
      <c r="T340" s="172"/>
      <c r="U340" s="173"/>
    </row>
    <row r="341" spans="1:21" ht="16.95" customHeight="1" x14ac:dyDescent="0.3">
      <c r="L341" s="95">
        <f t="shared" si="48"/>
        <v>0.87388831915758813</v>
      </c>
      <c r="P341" s="215" t="s">
        <v>394</v>
      </c>
      <c r="Q341" s="172"/>
      <c r="R341" s="172"/>
      <c r="S341" s="172"/>
      <c r="T341" s="172"/>
      <c r="U341" s="173"/>
    </row>
    <row r="342" spans="1:21" ht="16.95" customHeight="1" x14ac:dyDescent="0.3">
      <c r="L342" s="95">
        <f t="shared" si="48"/>
        <v>-7.6164464440764176E-2</v>
      </c>
      <c r="P342" s="215"/>
      <c r="Q342" s="172"/>
      <c r="R342" s="172"/>
      <c r="S342" s="172"/>
      <c r="T342" s="172"/>
      <c r="U342" s="173"/>
    </row>
    <row r="343" spans="1:21" ht="16.95" customHeight="1" x14ac:dyDescent="0.3">
      <c r="L343" s="95">
        <f t="shared" si="48"/>
        <v>0.86099149376076278</v>
      </c>
      <c r="P343" s="215"/>
      <c r="Q343" s="172"/>
      <c r="R343" s="172"/>
      <c r="S343" s="172"/>
      <c r="T343" s="172"/>
      <c r="U343" s="173"/>
    </row>
    <row r="344" spans="1:21" ht="16.95" customHeight="1" x14ac:dyDescent="0.3">
      <c r="L344" s="95">
        <f t="shared" si="48"/>
        <v>-0.14223197610672994</v>
      </c>
      <c r="P344" s="215"/>
      <c r="Q344" s="172"/>
      <c r="R344" s="172"/>
      <c r="S344" s="172"/>
      <c r="T344" s="172"/>
      <c r="U344" s="173"/>
    </row>
    <row r="345" spans="1:21" ht="16.95" customHeight="1" x14ac:dyDescent="0.3">
      <c r="P345" s="215"/>
      <c r="Q345" s="172"/>
      <c r="R345" s="172"/>
      <c r="S345" s="172"/>
      <c r="T345" s="172"/>
      <c r="U345" s="173"/>
    </row>
    <row r="346" spans="1:21" ht="16.95" customHeight="1" x14ac:dyDescent="0.3">
      <c r="A346" s="12" t="str">
        <f>A337</f>
        <v>C1X</v>
      </c>
      <c r="C346" s="17">
        <f t="array" ref="C346:C349">MMULT(C337:J340, L337:L344)</f>
        <v>-3082.3084117545523</v>
      </c>
      <c r="D346" s="12" t="s">
        <v>273</v>
      </c>
      <c r="P346" s="215"/>
      <c r="Q346" s="172"/>
      <c r="R346" s="172"/>
      <c r="S346" s="172"/>
      <c r="T346" s="172"/>
      <c r="U346" s="173"/>
    </row>
    <row r="347" spans="1:21" ht="16.95" customHeight="1" x14ac:dyDescent="0.3">
      <c r="A347" s="12" t="str">
        <f>A338</f>
        <v>C1Y</v>
      </c>
      <c r="C347" s="17">
        <v>-8499.9999999999854</v>
      </c>
      <c r="D347" s="12" t="s">
        <v>273</v>
      </c>
      <c r="P347" s="215"/>
      <c r="Q347" s="172"/>
      <c r="R347" s="172"/>
      <c r="S347" s="172"/>
      <c r="T347" s="172"/>
      <c r="U347" s="173"/>
    </row>
    <row r="348" spans="1:21" ht="16.95" customHeight="1" x14ac:dyDescent="0.3">
      <c r="A348" s="12" t="str">
        <f>A339</f>
        <v>C2X</v>
      </c>
      <c r="B348" s="13" t="s">
        <v>220</v>
      </c>
      <c r="C348" s="17">
        <v>-6917.6915882454414</v>
      </c>
      <c r="D348" s="12" t="s">
        <v>273</v>
      </c>
      <c r="P348" s="215"/>
      <c r="Q348" s="172"/>
      <c r="R348" s="172"/>
      <c r="S348" s="172"/>
      <c r="T348" s="172"/>
      <c r="U348" s="173"/>
    </row>
    <row r="349" spans="1:21" ht="16.95" customHeight="1" x14ac:dyDescent="0.3">
      <c r="A349" s="12" t="str">
        <f>A340</f>
        <v>C2Y</v>
      </c>
      <c r="C349" s="17">
        <v>15499.999999999991</v>
      </c>
      <c r="D349" s="12" t="s">
        <v>273</v>
      </c>
      <c r="P349" s="215"/>
      <c r="Q349" s="172"/>
      <c r="R349" s="172"/>
      <c r="S349" s="172"/>
      <c r="T349" s="172"/>
      <c r="U349" s="173"/>
    </row>
    <row r="352" spans="1:21" ht="19.95" customHeight="1" x14ac:dyDescent="0.35">
      <c r="A352" s="11" t="s">
        <v>274</v>
      </c>
    </row>
    <row r="354" spans="1:21" ht="19.05" customHeight="1" x14ac:dyDescent="0.3">
      <c r="A354" s="12" t="s">
        <v>228</v>
      </c>
      <c r="B354" s="12" t="s">
        <v>178</v>
      </c>
      <c r="D354" s="94">
        <f t="shared" ref="D354:D365" si="49">IFERROR(INDEX(C$325:C$332, MATCH(A354, A$325:A$332, 0)), 0)</f>
        <v>0</v>
      </c>
    </row>
    <row r="355" spans="1:21" ht="19.05" customHeight="1" x14ac:dyDescent="0.3">
      <c r="A355" s="12" t="s">
        <v>229</v>
      </c>
      <c r="B355" s="12" t="s">
        <v>179</v>
      </c>
      <c r="D355" s="94">
        <f t="shared" si="49"/>
        <v>0</v>
      </c>
    </row>
    <row r="356" spans="1:21" ht="19.05" customHeight="1" x14ac:dyDescent="0.3">
      <c r="A356" s="12" t="s">
        <v>230</v>
      </c>
      <c r="B356" s="12" t="s">
        <v>180</v>
      </c>
      <c r="D356" s="94">
        <f t="shared" si="49"/>
        <v>0</v>
      </c>
    </row>
    <row r="357" spans="1:21" ht="19.05" customHeight="1" x14ac:dyDescent="0.3">
      <c r="A357" s="12" t="s">
        <v>231</v>
      </c>
      <c r="B357" s="12" t="s">
        <v>181</v>
      </c>
      <c r="D357" s="94">
        <f t="shared" si="49"/>
        <v>0</v>
      </c>
    </row>
    <row r="358" spans="1:21" ht="19.05" customHeight="1" x14ac:dyDescent="0.3">
      <c r="A358" s="12" t="s">
        <v>232</v>
      </c>
      <c r="B358" s="12" t="s">
        <v>182</v>
      </c>
      <c r="D358" s="94">
        <f t="shared" si="49"/>
        <v>0.15131145990476511</v>
      </c>
    </row>
    <row r="359" spans="1:21" ht="19.05" customHeight="1" x14ac:dyDescent="0.3">
      <c r="A359" s="12" t="s">
        <v>234</v>
      </c>
      <c r="B359" s="12" t="s">
        <v>183</v>
      </c>
      <c r="D359" s="94">
        <f t="shared" si="49"/>
        <v>6.287134589940821E-2</v>
      </c>
    </row>
    <row r="360" spans="1:21" ht="19.05" customHeight="1" x14ac:dyDescent="0.3">
      <c r="A360" s="12" t="s">
        <v>235</v>
      </c>
      <c r="B360" s="12" t="s">
        <v>184</v>
      </c>
      <c r="D360" s="94">
        <f t="shared" si="49"/>
        <v>0.14405259622612135</v>
      </c>
    </row>
    <row r="361" spans="1:21" ht="19.05" customHeight="1" x14ac:dyDescent="0.3">
      <c r="A361" s="12" t="s">
        <v>236</v>
      </c>
      <c r="B361" s="12" t="s">
        <v>185</v>
      </c>
      <c r="D361" s="94">
        <f t="shared" si="49"/>
        <v>-0.13147745577625705</v>
      </c>
    </row>
    <row r="362" spans="1:21" ht="19.05" customHeight="1" x14ac:dyDescent="0.3">
      <c r="A362" s="12" t="s">
        <v>237</v>
      </c>
      <c r="B362" s="12" t="s">
        <v>186</v>
      </c>
      <c r="D362" s="94">
        <f t="shared" si="49"/>
        <v>0.87388831915758813</v>
      </c>
    </row>
    <row r="363" spans="1:21" ht="19.05" customHeight="1" x14ac:dyDescent="0.3">
      <c r="A363" s="12" t="s">
        <v>238</v>
      </c>
      <c r="B363" s="12" t="s">
        <v>187</v>
      </c>
      <c r="D363" s="94">
        <f t="shared" si="49"/>
        <v>-7.6164464440764176E-2</v>
      </c>
    </row>
    <row r="364" spans="1:21" ht="19.05" customHeight="1" x14ac:dyDescent="0.3">
      <c r="A364" s="12" t="s">
        <v>239</v>
      </c>
      <c r="B364" s="12" t="s">
        <v>188</v>
      </c>
      <c r="D364" s="94">
        <f t="shared" si="49"/>
        <v>0.86099149376076278</v>
      </c>
    </row>
    <row r="365" spans="1:21" ht="19.05" customHeight="1" x14ac:dyDescent="0.3">
      <c r="A365" s="12" t="s">
        <v>240</v>
      </c>
      <c r="B365" s="12" t="s">
        <v>189</v>
      </c>
      <c r="D365" s="94">
        <f t="shared" si="49"/>
        <v>-0.14223197610672994</v>
      </c>
    </row>
    <row r="368" spans="1:21" ht="19.95" customHeight="1" x14ac:dyDescent="0.35">
      <c r="A368" s="11" t="s">
        <v>275</v>
      </c>
      <c r="P368" s="216" t="s">
        <v>276</v>
      </c>
      <c r="Q368" s="172"/>
      <c r="R368" s="172"/>
      <c r="S368" s="172"/>
      <c r="T368" s="172"/>
      <c r="U368" s="173"/>
    </row>
    <row r="369" spans="1:21" ht="16.95" customHeight="1" x14ac:dyDescent="0.3">
      <c r="P369" s="215" t="s">
        <v>395</v>
      </c>
      <c r="Q369" s="172"/>
      <c r="R369" s="172"/>
      <c r="S369" s="172"/>
      <c r="T369" s="172"/>
      <c r="U369" s="173"/>
    </row>
    <row r="370" spans="1:21" ht="16.95" customHeight="1" x14ac:dyDescent="0.3">
      <c r="A370" s="19" t="s">
        <v>278</v>
      </c>
      <c r="C370" s="19" t="s">
        <v>279</v>
      </c>
      <c r="D370" s="19" t="s">
        <v>280</v>
      </c>
      <c r="E370" s="19" t="s">
        <v>279</v>
      </c>
      <c r="F370" s="19" t="s">
        <v>280</v>
      </c>
      <c r="G370" s="19" t="s">
        <v>249</v>
      </c>
      <c r="P370" s="215" t="s">
        <v>396</v>
      </c>
      <c r="Q370" s="172"/>
      <c r="R370" s="172"/>
      <c r="S370" s="172"/>
      <c r="T370" s="172"/>
      <c r="U370" s="173"/>
    </row>
    <row r="371" spans="1:21" ht="16.95" customHeight="1" x14ac:dyDescent="0.3">
      <c r="C371" s="19" t="s">
        <v>282</v>
      </c>
      <c r="D371" s="19" t="s">
        <v>282</v>
      </c>
      <c r="E371" s="19" t="s">
        <v>283</v>
      </c>
      <c r="F371" s="19" t="s">
        <v>283</v>
      </c>
      <c r="P371" s="215" t="s">
        <v>397</v>
      </c>
      <c r="Q371" s="172"/>
      <c r="R371" s="172"/>
      <c r="S371" s="172"/>
      <c r="T371" s="172"/>
      <c r="U371" s="173"/>
    </row>
    <row r="372" spans="1:21" ht="16.95" customHeight="1" x14ac:dyDescent="0.3">
      <c r="A372" s="17">
        <f>N6</f>
        <v>63000</v>
      </c>
      <c r="C372" s="92">
        <f>-J6</f>
        <v>-1</v>
      </c>
      <c r="D372" s="92">
        <f>-K6</f>
        <v>0</v>
      </c>
      <c r="E372" s="92">
        <f>J6</f>
        <v>1</v>
      </c>
      <c r="F372" s="92">
        <f>K6</f>
        <v>0</v>
      </c>
      <c r="G372" s="96">
        <f>IFERROR(VLOOKUP(H372, A$354:D$365, 4, FALSE), 0)</f>
        <v>0</v>
      </c>
      <c r="H372" s="12" t="str">
        <f>"D" &amp; C19 &amp; "X"</f>
        <v>D1X</v>
      </c>
      <c r="P372" s="215" t="s">
        <v>398</v>
      </c>
      <c r="Q372" s="172"/>
      <c r="R372" s="172"/>
      <c r="S372" s="172"/>
      <c r="T372" s="172"/>
      <c r="U372" s="173"/>
    </row>
    <row r="373" spans="1:21" ht="16.95" customHeight="1" x14ac:dyDescent="0.3">
      <c r="A373" s="99" t="s">
        <v>285</v>
      </c>
      <c r="B373" s="97">
        <f>(MMULT(C372:F372, G372:G375)*A372)</f>
        <v>0</v>
      </c>
      <c r="G373" s="96">
        <f>IFERROR(VLOOKUP(H373, A$354:D$365, 4, FALSE), 0)</f>
        <v>0</v>
      </c>
      <c r="H373" s="12" t="str">
        <f>"D" &amp; D19 &amp; "Y"</f>
        <v>D1Y</v>
      </c>
      <c r="P373" s="215" t="s">
        <v>399</v>
      </c>
      <c r="Q373" s="172"/>
      <c r="R373" s="172"/>
      <c r="S373" s="172"/>
      <c r="T373" s="172"/>
      <c r="U373" s="173"/>
    </row>
    <row r="374" spans="1:21" ht="16.95" customHeight="1" x14ac:dyDescent="0.3">
      <c r="G374" s="96">
        <f>IFERROR(VLOOKUP(H374, A$354:D$365, 4, FALSE), 0)</f>
        <v>0</v>
      </c>
      <c r="H374" s="12" t="str">
        <f>"D" &amp; E19 &amp; "X"</f>
        <v>D2X</v>
      </c>
      <c r="P374" s="215" t="s">
        <v>400</v>
      </c>
      <c r="Q374" s="172"/>
      <c r="R374" s="172"/>
      <c r="S374" s="172"/>
      <c r="T374" s="172"/>
      <c r="U374" s="173"/>
    </row>
    <row r="375" spans="1:21" ht="16.95" customHeight="1" x14ac:dyDescent="0.3">
      <c r="G375" s="96">
        <f>IFERROR(VLOOKUP(H375, A$354:D$365, 4, FALSE), 0)</f>
        <v>0</v>
      </c>
      <c r="H375" s="12" t="str">
        <f>"D" &amp; F19 &amp; "Y"</f>
        <v>D2Y</v>
      </c>
      <c r="P375" s="215" t="s">
        <v>401</v>
      </c>
      <c r="Q375" s="172"/>
      <c r="R375" s="172"/>
      <c r="S375" s="172"/>
      <c r="T375" s="172"/>
      <c r="U375" s="173"/>
    </row>
    <row r="376" spans="1:21" ht="16.95" customHeight="1" x14ac:dyDescent="0.3">
      <c r="B376" s="99" t="s">
        <v>273</v>
      </c>
      <c r="C376" s="178" t="str">
        <f>IF(B373&gt;0.001,"BARRA A TRACCIÓN (+)",IF(B373&lt;-0.001,"BARRA A COMPRESIÓN (-)","BARRA DE FUERZA NULA"))</f>
        <v>BARRA DE FUERZA NULA</v>
      </c>
      <c r="D376" s="172"/>
      <c r="E376" s="172"/>
      <c r="F376" s="173"/>
      <c r="P376" s="215" t="s">
        <v>402</v>
      </c>
      <c r="Q376" s="172"/>
      <c r="R376" s="172"/>
      <c r="S376" s="172"/>
      <c r="T376" s="172"/>
      <c r="U376" s="173"/>
    </row>
    <row r="377" spans="1:21" ht="16.95" customHeight="1" x14ac:dyDescent="0.3">
      <c r="P377" s="215" t="s">
        <v>403</v>
      </c>
      <c r="Q377" s="172"/>
      <c r="R377" s="172"/>
      <c r="S377" s="172"/>
      <c r="T377" s="172"/>
      <c r="U377" s="173"/>
    </row>
    <row r="378" spans="1:21" ht="16.95" customHeight="1" x14ac:dyDescent="0.3">
      <c r="A378" s="19" t="s">
        <v>278</v>
      </c>
      <c r="C378" s="19" t="s">
        <v>279</v>
      </c>
      <c r="D378" s="19" t="s">
        <v>280</v>
      </c>
      <c r="E378" s="19" t="s">
        <v>279</v>
      </c>
      <c r="F378" s="19" t="s">
        <v>280</v>
      </c>
      <c r="G378" s="19" t="s">
        <v>249</v>
      </c>
      <c r="P378" s="215"/>
      <c r="Q378" s="172"/>
      <c r="R378" s="172"/>
      <c r="S378" s="172"/>
      <c r="T378" s="172"/>
      <c r="U378" s="173"/>
    </row>
    <row r="379" spans="1:21" ht="16.95" customHeight="1" x14ac:dyDescent="0.3">
      <c r="C379" s="19" t="s">
        <v>282</v>
      </c>
      <c r="D379" s="19" t="s">
        <v>282</v>
      </c>
      <c r="E379" s="19" t="s">
        <v>283</v>
      </c>
      <c r="F379" s="19" t="s">
        <v>283</v>
      </c>
      <c r="P379" s="215"/>
      <c r="Q379" s="172"/>
      <c r="R379" s="172"/>
      <c r="S379" s="172"/>
      <c r="T379" s="172"/>
      <c r="U379" s="173"/>
    </row>
    <row r="380" spans="1:21" ht="16.95" customHeight="1" x14ac:dyDescent="0.3">
      <c r="A380" s="17">
        <f>N7</f>
        <v>79689.397036243157</v>
      </c>
      <c r="C380" s="92">
        <f>-J7</f>
        <v>-0.31622776601683789</v>
      </c>
      <c r="D380" s="92">
        <f>-K7</f>
        <v>-0.94868329805051377</v>
      </c>
      <c r="E380" s="92">
        <f>J7</f>
        <v>0.31622776601683789</v>
      </c>
      <c r="F380" s="92">
        <f>K7</f>
        <v>0.94868329805051377</v>
      </c>
      <c r="G380" s="96">
        <f>IFERROR(VLOOKUP(H380, A$354:D$365, 4, FALSE), 0)</f>
        <v>0</v>
      </c>
      <c r="H380" s="12" t="str">
        <f>"D" &amp; C20 &amp; "X"</f>
        <v>D1X</v>
      </c>
      <c r="P380" s="215"/>
      <c r="Q380" s="172"/>
      <c r="R380" s="172"/>
      <c r="S380" s="172"/>
      <c r="T380" s="172"/>
      <c r="U380" s="173"/>
    </row>
    <row r="381" spans="1:21" ht="16.95" customHeight="1" x14ac:dyDescent="0.3">
      <c r="A381" s="99" t="s">
        <v>286</v>
      </c>
      <c r="B381" s="97">
        <f>(MMULT(C380:F380, G380:G383)*A380)</f>
        <v>8566.1225395953406</v>
      </c>
      <c r="G381" s="96">
        <f>IFERROR(VLOOKUP(H381, A$354:D$365, 4, FALSE), 0)</f>
        <v>0</v>
      </c>
      <c r="H381" s="12" t="str">
        <f>"D" &amp; D20 &amp; "Y"</f>
        <v>D1Y</v>
      </c>
      <c r="P381" s="215"/>
      <c r="Q381" s="172"/>
      <c r="R381" s="172"/>
      <c r="S381" s="172"/>
      <c r="T381" s="172"/>
      <c r="U381" s="173"/>
    </row>
    <row r="382" spans="1:21" ht="16.95" customHeight="1" x14ac:dyDescent="0.3">
      <c r="G382" s="96">
        <f>IFERROR(VLOOKUP(H382, A$354:D$365, 4, FALSE), 0)</f>
        <v>0.15131145990476511</v>
      </c>
      <c r="H382" s="12" t="str">
        <f>"D" &amp; E20 &amp; "X"</f>
        <v>D3X</v>
      </c>
      <c r="P382" s="215"/>
      <c r="Q382" s="172"/>
      <c r="R382" s="172"/>
      <c r="S382" s="172"/>
      <c r="T382" s="172"/>
      <c r="U382" s="173"/>
    </row>
    <row r="383" spans="1:21" ht="16.95" customHeight="1" x14ac:dyDescent="0.3">
      <c r="G383" s="96">
        <f>IFERROR(VLOOKUP(H383, A$354:D$365, 4, FALSE), 0)</f>
        <v>6.287134589940821E-2</v>
      </c>
      <c r="H383" s="12" t="str">
        <f>"D" &amp; F20 &amp; "Y"</f>
        <v>D3Y</v>
      </c>
      <c r="P383" s="215"/>
      <c r="Q383" s="172"/>
      <c r="R383" s="172"/>
      <c r="S383" s="172"/>
      <c r="T383" s="172"/>
      <c r="U383" s="173"/>
    </row>
    <row r="384" spans="1:21" ht="16.95" customHeight="1" x14ac:dyDescent="0.3">
      <c r="B384" s="99" t="s">
        <v>273</v>
      </c>
      <c r="C384" s="178" t="str">
        <f>IF(B381&gt;0.001,"BARRA A TRACCIÓN (+)",IF(B381&lt;-0.001,"BARRA A COMPRESIÓN (-)","BARRA DE FUERZA NULA"))</f>
        <v>BARRA A TRACCIÓN (+)</v>
      </c>
      <c r="D384" s="172"/>
      <c r="E384" s="172"/>
      <c r="F384" s="173"/>
      <c r="P384" s="215"/>
      <c r="Q384" s="172"/>
      <c r="R384" s="172"/>
      <c r="S384" s="172"/>
      <c r="T384" s="172"/>
      <c r="U384" s="173"/>
    </row>
    <row r="385" spans="1:21" ht="16.95" customHeight="1" x14ac:dyDescent="0.3">
      <c r="P385" s="215"/>
      <c r="Q385" s="172"/>
      <c r="R385" s="172"/>
      <c r="S385" s="172"/>
      <c r="T385" s="172"/>
      <c r="U385" s="173"/>
    </row>
    <row r="386" spans="1:21" ht="16.95" customHeight="1" x14ac:dyDescent="0.3">
      <c r="A386" s="19" t="s">
        <v>278</v>
      </c>
      <c r="C386" s="19" t="s">
        <v>279</v>
      </c>
      <c r="D386" s="19" t="s">
        <v>280</v>
      </c>
      <c r="E386" s="19" t="s">
        <v>279</v>
      </c>
      <c r="F386" s="19" t="s">
        <v>280</v>
      </c>
      <c r="G386" s="19" t="s">
        <v>249</v>
      </c>
      <c r="P386" s="215"/>
      <c r="Q386" s="172"/>
      <c r="R386" s="172"/>
      <c r="S386" s="172"/>
      <c r="T386" s="172"/>
      <c r="U386" s="173"/>
    </row>
    <row r="387" spans="1:21" ht="16.95" customHeight="1" x14ac:dyDescent="0.3">
      <c r="C387" s="19" t="s">
        <v>282</v>
      </c>
      <c r="D387" s="19" t="s">
        <v>282</v>
      </c>
      <c r="E387" s="19" t="s">
        <v>283</v>
      </c>
      <c r="F387" s="19" t="s">
        <v>283</v>
      </c>
      <c r="P387" s="215"/>
      <c r="Q387" s="172"/>
      <c r="R387" s="172"/>
      <c r="S387" s="172"/>
      <c r="T387" s="172"/>
      <c r="U387" s="173"/>
    </row>
    <row r="388" spans="1:21" ht="16.95" customHeight="1" x14ac:dyDescent="0.3">
      <c r="A388" s="17">
        <f>N8</f>
        <v>79689.397036243157</v>
      </c>
      <c r="C388" s="92">
        <f>-J8</f>
        <v>0.31622776601683789</v>
      </c>
      <c r="D388" s="92">
        <f>-K8</f>
        <v>-0.94868329805051377</v>
      </c>
      <c r="E388" s="92">
        <f>J8</f>
        <v>-0.31622776601683789</v>
      </c>
      <c r="F388" s="92">
        <f>K8</f>
        <v>0.94868329805051377</v>
      </c>
      <c r="G388" s="96">
        <f>IFERROR(VLOOKUP(H388, A$354:D$365, 4, FALSE), 0)</f>
        <v>0</v>
      </c>
      <c r="H388" s="12" t="str">
        <f>"D" &amp; C21 &amp; "X"</f>
        <v>D2X</v>
      </c>
      <c r="P388" s="215"/>
      <c r="Q388" s="172"/>
      <c r="R388" s="172"/>
      <c r="S388" s="172"/>
      <c r="T388" s="172"/>
      <c r="U388" s="173"/>
    </row>
    <row r="389" spans="1:21" ht="16.95" customHeight="1" x14ac:dyDescent="0.3">
      <c r="A389" s="99" t="s">
        <v>287</v>
      </c>
      <c r="B389" s="97">
        <f>(MMULT(C388:F388, G388:G391)*A388)</f>
        <v>-13569.82108158329</v>
      </c>
      <c r="G389" s="96">
        <f>IFERROR(VLOOKUP(H389, A$354:D$365, 4, FALSE), 0)</f>
        <v>0</v>
      </c>
      <c r="H389" s="12" t="str">
        <f>"D" &amp; D21 &amp; "Y"</f>
        <v>D2Y</v>
      </c>
      <c r="P389" s="215"/>
      <c r="Q389" s="172"/>
      <c r="R389" s="172"/>
      <c r="S389" s="172"/>
      <c r="T389" s="172"/>
      <c r="U389" s="173"/>
    </row>
    <row r="390" spans="1:21" ht="16.95" customHeight="1" x14ac:dyDescent="0.3">
      <c r="G390" s="96">
        <f>IFERROR(VLOOKUP(H390, A$354:D$365, 4, FALSE), 0)</f>
        <v>0.14405259622612135</v>
      </c>
      <c r="H390" s="12" t="str">
        <f>"D" &amp; E21 &amp; "X"</f>
        <v>D4X</v>
      </c>
      <c r="P390" s="215"/>
      <c r="Q390" s="172"/>
      <c r="R390" s="172"/>
      <c r="S390" s="172"/>
      <c r="T390" s="172"/>
      <c r="U390" s="173"/>
    </row>
    <row r="391" spans="1:21" ht="16.95" customHeight="1" x14ac:dyDescent="0.3">
      <c r="G391" s="96">
        <f>IFERROR(VLOOKUP(H391, A$354:D$365, 4, FALSE), 0)</f>
        <v>-0.13147745577625705</v>
      </c>
      <c r="H391" s="12" t="str">
        <f>"D" &amp; F21 &amp; "Y"</f>
        <v>D4Y</v>
      </c>
      <c r="P391" s="215"/>
      <c r="Q391" s="172"/>
      <c r="R391" s="172"/>
      <c r="S391" s="172"/>
      <c r="T391" s="172"/>
      <c r="U391" s="173"/>
    </row>
    <row r="392" spans="1:21" ht="16.95" customHeight="1" x14ac:dyDescent="0.3">
      <c r="B392" s="99" t="s">
        <v>273</v>
      </c>
      <c r="C392" s="178" t="str">
        <f>IF(B389&gt;0.001,"BARRA A TRACCIÓN (+)",IF(B389&lt;-0.001,"BARRA A COMPRESIÓN (-)","BARRA DE FUERZA NULA"))</f>
        <v>BARRA A COMPRESIÓN (-)</v>
      </c>
      <c r="D392" s="172"/>
      <c r="E392" s="172"/>
      <c r="F392" s="173"/>
      <c r="P392" s="215"/>
      <c r="Q392" s="172"/>
      <c r="R392" s="172"/>
      <c r="S392" s="172"/>
      <c r="T392" s="172"/>
      <c r="U392" s="173"/>
    </row>
    <row r="393" spans="1:21" ht="16.95" customHeight="1" x14ac:dyDescent="0.3">
      <c r="P393" s="215"/>
      <c r="Q393" s="172"/>
      <c r="R393" s="172"/>
      <c r="S393" s="172"/>
      <c r="T393" s="172"/>
      <c r="U393" s="173"/>
    </row>
    <row r="394" spans="1:21" ht="18" customHeight="1" x14ac:dyDescent="0.3">
      <c r="A394" s="19" t="s">
        <v>278</v>
      </c>
      <c r="C394" s="19" t="s">
        <v>279</v>
      </c>
      <c r="D394" s="19" t="s">
        <v>280</v>
      </c>
      <c r="E394" s="19" t="s">
        <v>279</v>
      </c>
      <c r="F394" s="19" t="s">
        <v>280</v>
      </c>
      <c r="G394" s="19" t="s">
        <v>249</v>
      </c>
    </row>
    <row r="395" spans="1:21" ht="16.05" customHeight="1" x14ac:dyDescent="0.3">
      <c r="C395" s="19" t="s">
        <v>282</v>
      </c>
      <c r="D395" s="19" t="s">
        <v>282</v>
      </c>
      <c r="E395" s="19" t="s">
        <v>283</v>
      </c>
      <c r="F395" s="19" t="s">
        <v>283</v>
      </c>
    </row>
    <row r="396" spans="1:21" ht="19.95" customHeight="1" x14ac:dyDescent="0.3">
      <c r="A396" s="17">
        <f>N9</f>
        <v>126000</v>
      </c>
      <c r="C396" s="92">
        <f>-J9</f>
        <v>-1</v>
      </c>
      <c r="D396" s="92">
        <f>-K9</f>
        <v>0</v>
      </c>
      <c r="E396" s="92">
        <f>J9</f>
        <v>1</v>
      </c>
      <c r="F396" s="92">
        <f>K9</f>
        <v>0</v>
      </c>
      <c r="G396" s="96">
        <f>IFERROR(VLOOKUP(H396, A$354:D$365, 4, FALSE), 0)</f>
        <v>0.15131145990476511</v>
      </c>
      <c r="H396" s="12" t="str">
        <f>"D" &amp; C22 &amp; "X"</f>
        <v>D3X</v>
      </c>
    </row>
    <row r="397" spans="1:21" ht="19.95" customHeight="1" x14ac:dyDescent="0.3">
      <c r="A397" s="99" t="s">
        <v>288</v>
      </c>
      <c r="B397" s="97">
        <f>(MMULT(C396:F396, G396:G399)*A396)</f>
        <v>-914.61682350911337</v>
      </c>
      <c r="G397" s="96">
        <f>IFERROR(VLOOKUP(H397, A$354:D$365, 4, FALSE), 0)</f>
        <v>6.287134589940821E-2</v>
      </c>
      <c r="H397" s="12" t="str">
        <f>"D" &amp; D22 &amp; "Y"</f>
        <v>D3Y</v>
      </c>
    </row>
    <row r="398" spans="1:21" ht="19.95" customHeight="1" x14ac:dyDescent="0.3">
      <c r="G398" s="96">
        <f>IFERROR(VLOOKUP(H398, A$354:D$365, 4, FALSE), 0)</f>
        <v>0.14405259622612135</v>
      </c>
      <c r="H398" s="12" t="str">
        <f>"D" &amp; E22 &amp; "X"</f>
        <v>D4X</v>
      </c>
    </row>
    <row r="399" spans="1:21" ht="19.95" customHeight="1" x14ac:dyDescent="0.3">
      <c r="G399" s="96">
        <f>IFERROR(VLOOKUP(H399, A$354:D$365, 4, FALSE), 0)</f>
        <v>-0.13147745577625705</v>
      </c>
      <c r="H399" s="12" t="str">
        <f>"D" &amp; F22 &amp; "Y"</f>
        <v>D4Y</v>
      </c>
    </row>
    <row r="400" spans="1:21" ht="19.95" customHeight="1" x14ac:dyDescent="0.3">
      <c r="B400" s="99" t="s">
        <v>273</v>
      </c>
      <c r="C400" s="178" t="str">
        <f>IF(B397&gt;0.001,"BARRA A TRACCIÓN (+)",IF(B397&lt;-0.001,"BARRA A COMPRESIÓN (-)","BARRA DE FUERZA NULA"))</f>
        <v>BARRA A COMPRESIÓN (-)</v>
      </c>
      <c r="D400" s="172"/>
      <c r="E400" s="172"/>
      <c r="F400" s="173"/>
    </row>
    <row r="402" spans="1:8" ht="18" customHeight="1" x14ac:dyDescent="0.3">
      <c r="A402" s="19" t="s">
        <v>278</v>
      </c>
      <c r="C402" s="19" t="s">
        <v>279</v>
      </c>
      <c r="D402" s="19" t="s">
        <v>280</v>
      </c>
      <c r="E402" s="19" t="s">
        <v>279</v>
      </c>
      <c r="F402" s="19" t="s">
        <v>280</v>
      </c>
      <c r="G402" s="19" t="s">
        <v>249</v>
      </c>
    </row>
    <row r="403" spans="1:8" ht="16.05" customHeight="1" x14ac:dyDescent="0.3">
      <c r="C403" s="19" t="s">
        <v>282</v>
      </c>
      <c r="D403" s="19" t="s">
        <v>282</v>
      </c>
      <c r="E403" s="19" t="s">
        <v>283</v>
      </c>
      <c r="F403" s="19" t="s">
        <v>283</v>
      </c>
    </row>
    <row r="404" spans="1:8" ht="19.95" customHeight="1" x14ac:dyDescent="0.3">
      <c r="A404" s="17">
        <f>N10</f>
        <v>59396.969619669988</v>
      </c>
      <c r="C404" s="92">
        <f>-J10</f>
        <v>-0.70710678118654746</v>
      </c>
      <c r="D404" s="92">
        <f>-K10</f>
        <v>-0.70710678118654746</v>
      </c>
      <c r="E404" s="92">
        <f>J10</f>
        <v>0.70710678118654746</v>
      </c>
      <c r="F404" s="92">
        <f>K10</f>
        <v>0.70710678118654746</v>
      </c>
      <c r="G404" s="96">
        <f>IFERROR(VLOOKUP(H404, A$354:D$365, 4, FALSE), 0)</f>
        <v>0</v>
      </c>
      <c r="H404" s="12" t="str">
        <f>"D" &amp; C23 &amp; "X"</f>
        <v>D1X</v>
      </c>
    </row>
    <row r="405" spans="1:8" ht="19.95" customHeight="1" x14ac:dyDescent="0.3">
      <c r="A405" s="99" t="s">
        <v>289</v>
      </c>
      <c r="B405" s="97">
        <f>(MMULT(C404:F404, G404:G407)*A404)</f>
        <v>528.15589889429998</v>
      </c>
      <c r="G405" s="96">
        <f>IFERROR(VLOOKUP(H405, A$354:D$365, 4, FALSE), 0)</f>
        <v>0</v>
      </c>
      <c r="H405" s="12" t="str">
        <f>"D" &amp; D23 &amp; "Y"</f>
        <v>D1Y</v>
      </c>
    </row>
    <row r="406" spans="1:8" ht="19.95" customHeight="1" x14ac:dyDescent="0.3">
      <c r="G406" s="96">
        <f>IFERROR(VLOOKUP(H406, A$354:D$365, 4, FALSE), 0)</f>
        <v>0.14405259622612135</v>
      </c>
      <c r="H406" s="12" t="str">
        <f>"D" &amp; E23 &amp; "X"</f>
        <v>D4X</v>
      </c>
    </row>
    <row r="407" spans="1:8" ht="19.95" customHeight="1" x14ac:dyDescent="0.3">
      <c r="G407" s="96">
        <f>IFERROR(VLOOKUP(H407, A$354:D$365, 4, FALSE), 0)</f>
        <v>-0.13147745577625705</v>
      </c>
      <c r="H407" s="12" t="str">
        <f>"D" &amp; F23 &amp; "Y"</f>
        <v>D4Y</v>
      </c>
    </row>
    <row r="408" spans="1:8" ht="19.95" customHeight="1" x14ac:dyDescent="0.3">
      <c r="B408" s="99" t="s">
        <v>273</v>
      </c>
      <c r="C408" s="178" t="str">
        <f>IF(B405&gt;0.001,"BARRA A TRACCIÓN (+)",IF(B405&lt;-0.001,"BARRA A COMPRESIÓN (-)","BARRA DE FUERZA NULA"))</f>
        <v>BARRA A TRACCIÓN (+)</v>
      </c>
      <c r="D408" s="172"/>
      <c r="E408" s="172"/>
      <c r="F408" s="173"/>
    </row>
    <row r="410" spans="1:8" ht="18" customHeight="1" x14ac:dyDescent="0.3">
      <c r="A410" s="19" t="s">
        <v>278</v>
      </c>
      <c r="C410" s="19" t="s">
        <v>279</v>
      </c>
      <c r="D410" s="19" t="s">
        <v>280</v>
      </c>
      <c r="E410" s="19" t="s">
        <v>279</v>
      </c>
      <c r="F410" s="19" t="s">
        <v>280</v>
      </c>
      <c r="G410" s="19" t="s">
        <v>249</v>
      </c>
    </row>
    <row r="411" spans="1:8" ht="16.05" customHeight="1" x14ac:dyDescent="0.3">
      <c r="C411" s="19" t="s">
        <v>282</v>
      </c>
      <c r="D411" s="19" t="s">
        <v>282</v>
      </c>
      <c r="E411" s="19" t="s">
        <v>283</v>
      </c>
      <c r="F411" s="19" t="s">
        <v>283</v>
      </c>
    </row>
    <row r="412" spans="1:8" ht="19.95" customHeight="1" x14ac:dyDescent="0.3">
      <c r="A412" s="17">
        <f>N11</f>
        <v>59396.969619669988</v>
      </c>
      <c r="C412" s="92">
        <f>-J11</f>
        <v>0.70710678118654746</v>
      </c>
      <c r="D412" s="92">
        <f>-K11</f>
        <v>-0.70710678118654746</v>
      </c>
      <c r="E412" s="92">
        <f>J11</f>
        <v>-0.70710678118654746</v>
      </c>
      <c r="F412" s="92">
        <f>K11</f>
        <v>0.70710678118654746</v>
      </c>
      <c r="G412" s="96">
        <f>IFERROR(VLOOKUP(H412, A$354:D$365, 4, FALSE), 0)</f>
        <v>0</v>
      </c>
      <c r="H412" s="12" t="str">
        <f>"D" &amp; C24 &amp; "X"</f>
        <v>D2X</v>
      </c>
    </row>
    <row r="413" spans="1:8" ht="19.95" customHeight="1" x14ac:dyDescent="0.3">
      <c r="A413" s="99" t="s">
        <v>290</v>
      </c>
      <c r="B413" s="97">
        <f>(MMULT(C412:F412, G412:G415)*A412)</f>
        <v>-3714.4847882249887</v>
      </c>
      <c r="G413" s="96">
        <f>IFERROR(VLOOKUP(H413, A$354:D$365, 4, FALSE), 0)</f>
        <v>0</v>
      </c>
      <c r="H413" s="12" t="str">
        <f>"D" &amp; D24 &amp; "Y"</f>
        <v>D2Y</v>
      </c>
    </row>
    <row r="414" spans="1:8" ht="19.95" customHeight="1" x14ac:dyDescent="0.3">
      <c r="G414" s="96">
        <f>IFERROR(VLOOKUP(H414, A$354:D$365, 4, FALSE), 0)</f>
        <v>0.15131145990476511</v>
      </c>
      <c r="H414" s="12" t="str">
        <f>"D" &amp; E24 &amp; "X"</f>
        <v>D3X</v>
      </c>
    </row>
    <row r="415" spans="1:8" ht="19.95" customHeight="1" x14ac:dyDescent="0.3">
      <c r="G415" s="96">
        <f>IFERROR(VLOOKUP(H415, A$354:D$365, 4, FALSE), 0)</f>
        <v>6.287134589940821E-2</v>
      </c>
      <c r="H415" s="12" t="str">
        <f>"D" &amp; F24 &amp; "Y"</f>
        <v>D3Y</v>
      </c>
    </row>
    <row r="416" spans="1:8" ht="19.95" customHeight="1" x14ac:dyDescent="0.3">
      <c r="B416" s="99" t="s">
        <v>273</v>
      </c>
      <c r="C416" s="178" t="str">
        <f>IF(B413&gt;0.001,"BARRA A TRACCIÓN (+)",IF(B413&lt;-0.001,"BARRA A COMPRESIÓN (-)","BARRA DE FUERZA NULA"))</f>
        <v>BARRA A COMPRESIÓN (-)</v>
      </c>
      <c r="D416" s="172"/>
      <c r="E416" s="172"/>
      <c r="F416" s="173"/>
    </row>
    <row r="418" spans="1:8" ht="18" customHeight="1" x14ac:dyDescent="0.3">
      <c r="A418" s="19" t="s">
        <v>278</v>
      </c>
      <c r="C418" s="19" t="s">
        <v>279</v>
      </c>
      <c r="D418" s="19" t="s">
        <v>280</v>
      </c>
      <c r="E418" s="19" t="s">
        <v>279</v>
      </c>
      <c r="F418" s="19" t="s">
        <v>280</v>
      </c>
      <c r="G418" s="19" t="s">
        <v>249</v>
      </c>
    </row>
    <row r="419" spans="1:8" ht="16.05" customHeight="1" x14ac:dyDescent="0.3">
      <c r="C419" s="19" t="s">
        <v>282</v>
      </c>
      <c r="D419" s="19" t="s">
        <v>282</v>
      </c>
      <c r="E419" s="19" t="s">
        <v>283</v>
      </c>
      <c r="F419" s="19" t="s">
        <v>283</v>
      </c>
    </row>
    <row r="420" spans="1:8" ht="19.95" customHeight="1" x14ac:dyDescent="0.3">
      <c r="A420" s="17">
        <f>N12</f>
        <v>82857.089601900065</v>
      </c>
      <c r="C420" s="92">
        <f>-J12</f>
        <v>-0.16439898730535729</v>
      </c>
      <c r="D420" s="92">
        <f>-K12</f>
        <v>-0.98639392383214375</v>
      </c>
      <c r="E420" s="92">
        <f>J12</f>
        <v>0.16439898730535729</v>
      </c>
      <c r="F420" s="92">
        <f>K12</f>
        <v>0.98639392383214375</v>
      </c>
      <c r="G420" s="96">
        <f>IFERROR(VLOOKUP(H420, A$354:D$365, 4, FALSE), 0)</f>
        <v>0.15131145990476511</v>
      </c>
      <c r="H420" s="12" t="str">
        <f>"D" &amp; C25 &amp; "X"</f>
        <v>D3X</v>
      </c>
    </row>
    <row r="421" spans="1:8" ht="19.95" customHeight="1" x14ac:dyDescent="0.3">
      <c r="A421" s="99" t="s">
        <v>291</v>
      </c>
      <c r="B421" s="97">
        <f>(MMULT(C420:F420, G420:G423)*A420)</f>
        <v>-1520.6906325745551</v>
      </c>
      <c r="G421" s="96">
        <f>IFERROR(VLOOKUP(H421, A$354:D$365, 4, FALSE), 0)</f>
        <v>6.287134589940821E-2</v>
      </c>
      <c r="H421" s="12" t="str">
        <f>"D" &amp; D25 &amp; "Y"</f>
        <v>D3Y</v>
      </c>
    </row>
    <row r="422" spans="1:8" ht="19.95" customHeight="1" x14ac:dyDescent="0.3">
      <c r="G422" s="96">
        <f>IFERROR(VLOOKUP(H422, A$354:D$365, 4, FALSE), 0)</f>
        <v>0.87388831915758813</v>
      </c>
      <c r="H422" s="12" t="str">
        <f>"D" &amp; E25 &amp; "X"</f>
        <v>D5X</v>
      </c>
    </row>
    <row r="423" spans="1:8" ht="19.95" customHeight="1" x14ac:dyDescent="0.3">
      <c r="G423" s="96">
        <f>IFERROR(VLOOKUP(H423, A$354:D$365, 4, FALSE), 0)</f>
        <v>-7.6164464440764176E-2</v>
      </c>
      <c r="H423" s="12" t="str">
        <f>"D" &amp; F25 &amp; "Y"</f>
        <v>D5Y</v>
      </c>
    </row>
    <row r="424" spans="1:8" ht="19.95" customHeight="1" x14ac:dyDescent="0.3">
      <c r="B424" s="99" t="s">
        <v>273</v>
      </c>
      <c r="C424" s="178" t="str">
        <f>IF(B421&gt;0.001,"BARRA A TRACCIÓN (+)",IF(B421&lt;-0.001,"BARRA A COMPRESIÓN (-)","BARRA DE FUERZA NULA"))</f>
        <v>BARRA A COMPRESIÓN (-)</v>
      </c>
      <c r="D424" s="172"/>
      <c r="E424" s="172"/>
      <c r="F424" s="173"/>
    </row>
    <row r="426" spans="1:8" ht="18" customHeight="1" x14ac:dyDescent="0.3">
      <c r="A426" s="19" t="s">
        <v>278</v>
      </c>
      <c r="C426" s="19" t="s">
        <v>279</v>
      </c>
      <c r="D426" s="19" t="s">
        <v>280</v>
      </c>
      <c r="E426" s="19" t="s">
        <v>279</v>
      </c>
      <c r="F426" s="19" t="s">
        <v>280</v>
      </c>
      <c r="G426" s="19" t="s">
        <v>249</v>
      </c>
    </row>
    <row r="427" spans="1:8" ht="16.05" customHeight="1" x14ac:dyDescent="0.3">
      <c r="C427" s="19" t="s">
        <v>282</v>
      </c>
      <c r="D427" s="19" t="s">
        <v>282</v>
      </c>
      <c r="E427" s="19" t="s">
        <v>283</v>
      </c>
      <c r="F427" s="19" t="s">
        <v>283</v>
      </c>
    </row>
    <row r="428" spans="1:8" ht="19.95" customHeight="1" x14ac:dyDescent="0.3">
      <c r="A428" s="17">
        <f>N13</f>
        <v>82857.089601900065</v>
      </c>
      <c r="C428" s="92">
        <f>-J13</f>
        <v>0.16439898730535729</v>
      </c>
      <c r="D428" s="92">
        <f>-K13</f>
        <v>-0.98639392383214375</v>
      </c>
      <c r="E428" s="92">
        <f>J13</f>
        <v>-0.16439898730535729</v>
      </c>
      <c r="F428" s="92">
        <f>K13</f>
        <v>0.98639392383214375</v>
      </c>
      <c r="G428" s="96">
        <f>IFERROR(VLOOKUP(H428, A$354:D$365, 4, FALSE), 0)</f>
        <v>0.14405259622612135</v>
      </c>
      <c r="H428" s="12" t="str">
        <f>"D" &amp; C26 &amp; "X"</f>
        <v>D4X</v>
      </c>
    </row>
    <row r="429" spans="1:8" ht="19.95" customHeight="1" x14ac:dyDescent="0.3">
      <c r="A429" s="99" t="s">
        <v>292</v>
      </c>
      <c r="B429" s="97">
        <f>(MMULT(C428:F428, G428:G431)*A428)</f>
        <v>-10644.834428021872</v>
      </c>
      <c r="G429" s="96">
        <f>IFERROR(VLOOKUP(H429, A$354:D$365, 4, FALSE), 0)</f>
        <v>-0.13147745577625705</v>
      </c>
      <c r="H429" s="12" t="str">
        <f>"D" &amp; D26 &amp; "Y"</f>
        <v>D4Y</v>
      </c>
    </row>
    <row r="430" spans="1:8" ht="19.95" customHeight="1" x14ac:dyDescent="0.3">
      <c r="G430" s="96">
        <f>IFERROR(VLOOKUP(H430, A$354:D$365, 4, FALSE), 0)</f>
        <v>0.86099149376076278</v>
      </c>
      <c r="H430" s="12" t="str">
        <f>"D" &amp; E26 &amp; "X"</f>
        <v>D6X</v>
      </c>
    </row>
    <row r="431" spans="1:8" ht="19.95" customHeight="1" x14ac:dyDescent="0.3">
      <c r="G431" s="96">
        <f>IFERROR(VLOOKUP(H431, A$354:D$365, 4, FALSE), 0)</f>
        <v>-0.14223197610672994</v>
      </c>
      <c r="H431" s="12" t="str">
        <f>"D" &amp; F26 &amp; "Y"</f>
        <v>D6Y</v>
      </c>
    </row>
    <row r="432" spans="1:8" ht="19.95" customHeight="1" x14ac:dyDescent="0.3">
      <c r="B432" s="99" t="s">
        <v>273</v>
      </c>
      <c r="C432" s="178" t="str">
        <f>IF(B429&gt;0.001,"BARRA A TRACCIÓN (+)",IF(B429&lt;-0.001,"BARRA A COMPRESIÓN (-)","BARRA DE FUERZA NULA"))</f>
        <v>BARRA A COMPRESIÓN (-)</v>
      </c>
      <c r="D432" s="172"/>
      <c r="E432" s="172"/>
      <c r="F432" s="173"/>
    </row>
    <row r="434" spans="1:8" ht="18" customHeight="1" x14ac:dyDescent="0.3">
      <c r="A434" s="19" t="s">
        <v>278</v>
      </c>
      <c r="C434" s="19" t="s">
        <v>279</v>
      </c>
      <c r="D434" s="19" t="s">
        <v>280</v>
      </c>
      <c r="E434" s="19" t="s">
        <v>279</v>
      </c>
      <c r="F434" s="19" t="s">
        <v>280</v>
      </c>
      <c r="G434" s="19" t="s">
        <v>249</v>
      </c>
    </row>
    <row r="435" spans="1:8" ht="16.05" customHeight="1" x14ac:dyDescent="0.3">
      <c r="C435" s="19" t="s">
        <v>282</v>
      </c>
      <c r="D435" s="19" t="s">
        <v>282</v>
      </c>
      <c r="E435" s="19" t="s">
        <v>283</v>
      </c>
      <c r="F435" s="19" t="s">
        <v>283</v>
      </c>
    </row>
    <row r="436" spans="1:8" ht="19.95" customHeight="1" x14ac:dyDescent="0.3">
      <c r="A436" s="17">
        <f>N14</f>
        <v>252000</v>
      </c>
      <c r="C436" s="92">
        <f>-J14</f>
        <v>-1</v>
      </c>
      <c r="D436" s="92">
        <f>-K14</f>
        <v>0</v>
      </c>
      <c r="E436" s="92">
        <f>J14</f>
        <v>1</v>
      </c>
      <c r="F436" s="92">
        <f>K14</f>
        <v>0</v>
      </c>
      <c r="G436" s="96">
        <f>IFERROR(VLOOKUP(H436, A$354:D$365, 4, FALSE), 0)</f>
        <v>0.87388831915758813</v>
      </c>
      <c r="H436" s="12" t="str">
        <f>"D" &amp; C27 &amp; "X"</f>
        <v>D5X</v>
      </c>
    </row>
    <row r="437" spans="1:8" ht="19.95" customHeight="1" x14ac:dyDescent="0.3">
      <c r="A437" s="99" t="s">
        <v>530</v>
      </c>
      <c r="B437" s="97">
        <f>(MMULT(C436:F436, G436:G439)*A436)</f>
        <v>-3249.9999999999886</v>
      </c>
      <c r="G437" s="96">
        <f>IFERROR(VLOOKUP(H437, A$354:D$365, 4, FALSE), 0)</f>
        <v>-7.6164464440764176E-2</v>
      </c>
      <c r="H437" s="12" t="str">
        <f>"D" &amp; D27 &amp; "Y"</f>
        <v>D5Y</v>
      </c>
    </row>
    <row r="438" spans="1:8" ht="19.95" customHeight="1" x14ac:dyDescent="0.3">
      <c r="G438" s="96">
        <f>IFERROR(VLOOKUP(H438, A$354:D$365, 4, FALSE), 0)</f>
        <v>0.86099149376076278</v>
      </c>
      <c r="H438" s="12" t="str">
        <f>"D" &amp; E27 &amp; "X"</f>
        <v>D6X</v>
      </c>
    </row>
    <row r="439" spans="1:8" ht="19.95" customHeight="1" x14ac:dyDescent="0.3">
      <c r="G439" s="96">
        <f>IFERROR(VLOOKUP(H439, A$354:D$365, 4, FALSE), 0)</f>
        <v>-0.14223197610672994</v>
      </c>
      <c r="H439" s="12" t="str">
        <f>"D" &amp; F27 &amp; "Y"</f>
        <v>D6Y</v>
      </c>
    </row>
    <row r="440" spans="1:8" ht="19.95" customHeight="1" x14ac:dyDescent="0.3">
      <c r="B440" s="99" t="s">
        <v>273</v>
      </c>
      <c r="C440" s="178" t="str">
        <f>IF(B437&gt;0.001,"BARRA A TRACCIÓN (+)",IF(B437&lt;-0.001,"BARRA A COMPRESIÓN (-)","BARRA DE FUERZA NULA"))</f>
        <v>BARRA A COMPRESIÓN (-)</v>
      </c>
      <c r="D440" s="172"/>
      <c r="E440" s="172"/>
      <c r="F440" s="173"/>
    </row>
    <row r="442" spans="1:8" ht="18" customHeight="1" x14ac:dyDescent="0.3">
      <c r="A442" s="19" t="s">
        <v>278</v>
      </c>
      <c r="C442" s="19" t="s">
        <v>279</v>
      </c>
      <c r="D442" s="19" t="s">
        <v>280</v>
      </c>
      <c r="E442" s="19" t="s">
        <v>279</v>
      </c>
      <c r="F442" s="19" t="s">
        <v>280</v>
      </c>
      <c r="G442" s="19" t="s">
        <v>249</v>
      </c>
    </row>
    <row r="443" spans="1:8" ht="16.05" customHeight="1" x14ac:dyDescent="0.3">
      <c r="C443" s="19" t="s">
        <v>282</v>
      </c>
      <c r="D443" s="19" t="s">
        <v>282</v>
      </c>
      <c r="E443" s="19" t="s">
        <v>283</v>
      </c>
      <c r="F443" s="19" t="s">
        <v>283</v>
      </c>
    </row>
    <row r="444" spans="1:8" ht="19.95" customHeight="1" x14ac:dyDescent="0.3">
      <c r="A444" s="17">
        <f>N15</f>
        <v>75131.884043992934</v>
      </c>
      <c r="C444" s="92">
        <f>-J15</f>
        <v>-0.44721359549995793</v>
      </c>
      <c r="D444" s="92">
        <f>-K15</f>
        <v>-0.89442719099991586</v>
      </c>
      <c r="E444" s="92">
        <f>J15</f>
        <v>0.44721359549995793</v>
      </c>
      <c r="F444" s="92">
        <f>K15</f>
        <v>0.89442719099991586</v>
      </c>
      <c r="G444" s="96">
        <f>IFERROR(VLOOKUP(H444, A$354:D$365, 4, FALSE), 0)</f>
        <v>0.15131145990476511</v>
      </c>
      <c r="H444" s="12" t="str">
        <f>"D" &amp; C28 &amp; "X"</f>
        <v>D3X</v>
      </c>
    </row>
    <row r="445" spans="1:8" ht="19.95" customHeight="1" x14ac:dyDescent="0.3">
      <c r="A445" s="99" t="s">
        <v>589</v>
      </c>
      <c r="B445" s="97">
        <f>(MMULT(C444:F444, G444:G447)*A444)</f>
        <v>10062.305898749039</v>
      </c>
      <c r="G445" s="96">
        <f>IFERROR(VLOOKUP(H445, A$354:D$365, 4, FALSE), 0)</f>
        <v>6.287134589940821E-2</v>
      </c>
      <c r="H445" s="12" t="str">
        <f>"D" &amp; D28 &amp; "Y"</f>
        <v>D3Y</v>
      </c>
    </row>
    <row r="446" spans="1:8" ht="19.95" customHeight="1" x14ac:dyDescent="0.3">
      <c r="G446" s="96">
        <f>IFERROR(VLOOKUP(H446, A$354:D$365, 4, FALSE), 0)</f>
        <v>0.86099149376076278</v>
      </c>
      <c r="H446" s="12" t="str">
        <f>"D" &amp; E28 &amp; "X"</f>
        <v>D6X</v>
      </c>
    </row>
    <row r="447" spans="1:8" ht="19.95" customHeight="1" x14ac:dyDescent="0.3">
      <c r="G447" s="96">
        <f>IFERROR(VLOOKUP(H447, A$354:D$365, 4, FALSE), 0)</f>
        <v>-0.14223197610672994</v>
      </c>
      <c r="H447" s="12" t="str">
        <f>"D" &amp; F28 &amp; "Y"</f>
        <v>D6Y</v>
      </c>
    </row>
    <row r="448" spans="1:8" ht="19.95" customHeight="1" x14ac:dyDescent="0.3">
      <c r="B448" s="99" t="s">
        <v>273</v>
      </c>
      <c r="C448" s="178" t="str">
        <f>IF(B445&gt;0.001,"BARRA A TRACCIÓN (+)",IF(B445&lt;-0.001,"BARRA A COMPRESIÓN (-)","BARRA DE FUERZA NULA"))</f>
        <v>BARRA A TRACCIÓN (+)</v>
      </c>
      <c r="D448" s="172"/>
      <c r="E448" s="172"/>
      <c r="F448" s="173"/>
    </row>
    <row r="451" spans="2:8" ht="22.05" customHeight="1" x14ac:dyDescent="0.3">
      <c r="B451" s="217" t="s">
        <v>404</v>
      </c>
      <c r="C451" s="175"/>
      <c r="D451" s="175"/>
      <c r="E451" s="175"/>
      <c r="F451" s="175"/>
      <c r="G451" s="175"/>
      <c r="H451" s="175"/>
    </row>
    <row r="452" spans="2:8" ht="24" customHeight="1" x14ac:dyDescent="0.3">
      <c r="B452" s="87" t="s">
        <v>294</v>
      </c>
      <c r="C452" s="87" t="s">
        <v>295</v>
      </c>
      <c r="D452" s="87" t="s">
        <v>296</v>
      </c>
      <c r="E452" s="87" t="s">
        <v>297</v>
      </c>
      <c r="F452" s="87" t="s">
        <v>298</v>
      </c>
      <c r="G452" s="87" t="s">
        <v>299</v>
      </c>
      <c r="H452" s="87" t="s">
        <v>300</v>
      </c>
    </row>
    <row r="453" spans="2:8" ht="19.95" customHeight="1" x14ac:dyDescent="0.3">
      <c r="B453" s="85">
        <v>1</v>
      </c>
      <c r="C453" s="86">
        <f t="shared" ref="C453:C462" si="50">C19</f>
        <v>1</v>
      </c>
      <c r="D453" s="86">
        <f t="shared" ref="D453:D462" si="51">E19</f>
        <v>2</v>
      </c>
      <c r="E453" s="9">
        <f t="shared" ref="E453:E462" si="52">I6</f>
        <v>400</v>
      </c>
      <c r="F453" s="9">
        <f t="shared" ref="F453:F462" si="53">L6</f>
        <v>12</v>
      </c>
      <c r="G453" s="97">
        <f>B373</f>
        <v>0</v>
      </c>
      <c r="H453" s="84" t="str">
        <f>C376</f>
        <v>BARRA DE FUERZA NULA</v>
      </c>
    </row>
    <row r="454" spans="2:8" ht="19.95" customHeight="1" x14ac:dyDescent="0.3">
      <c r="B454" s="25">
        <v>2</v>
      </c>
      <c r="C454" s="86">
        <f t="shared" si="50"/>
        <v>1</v>
      </c>
      <c r="D454" s="86">
        <f t="shared" si="51"/>
        <v>3</v>
      </c>
      <c r="E454" s="9">
        <f t="shared" si="52"/>
        <v>316.22776601683796</v>
      </c>
      <c r="F454" s="9">
        <f t="shared" si="53"/>
        <v>12</v>
      </c>
      <c r="G454" s="97">
        <f>B381</f>
        <v>8566.1225395953406</v>
      </c>
      <c r="H454" s="84" t="str">
        <f>C384</f>
        <v>BARRA A TRACCIÓN (+)</v>
      </c>
    </row>
    <row r="455" spans="2:8" ht="19.95" customHeight="1" x14ac:dyDescent="0.3">
      <c r="B455" s="26">
        <v>3</v>
      </c>
      <c r="C455" s="86">
        <f t="shared" si="50"/>
        <v>2</v>
      </c>
      <c r="D455" s="86">
        <f t="shared" si="51"/>
        <v>4</v>
      </c>
      <c r="E455" s="9">
        <f t="shared" si="52"/>
        <v>316.22776601683796</v>
      </c>
      <c r="F455" s="9">
        <f t="shared" si="53"/>
        <v>12</v>
      </c>
      <c r="G455" s="97">
        <f>B389</f>
        <v>-13569.82108158329</v>
      </c>
      <c r="H455" s="84" t="str">
        <f>C392</f>
        <v>BARRA A COMPRESIÓN (-)</v>
      </c>
    </row>
    <row r="456" spans="2:8" ht="19.95" customHeight="1" x14ac:dyDescent="0.3">
      <c r="B456" s="43">
        <v>4</v>
      </c>
      <c r="C456" s="86">
        <f t="shared" si="50"/>
        <v>3</v>
      </c>
      <c r="D456" s="86">
        <f t="shared" si="51"/>
        <v>4</v>
      </c>
      <c r="E456" s="9">
        <f t="shared" si="52"/>
        <v>200</v>
      </c>
      <c r="F456" s="9">
        <f t="shared" si="53"/>
        <v>12</v>
      </c>
      <c r="G456" s="97">
        <f>B397</f>
        <v>-914.61682350911337</v>
      </c>
      <c r="H456" s="84" t="str">
        <f>C400</f>
        <v>BARRA A COMPRESIÓN (-)</v>
      </c>
    </row>
    <row r="457" spans="2:8" ht="19.95" customHeight="1" x14ac:dyDescent="0.3">
      <c r="B457" s="44">
        <v>5</v>
      </c>
      <c r="C457" s="86">
        <f t="shared" si="50"/>
        <v>1</v>
      </c>
      <c r="D457" s="86">
        <f t="shared" si="51"/>
        <v>4</v>
      </c>
      <c r="E457" s="9">
        <f t="shared" si="52"/>
        <v>424.26406871192853</v>
      </c>
      <c r="F457" s="9">
        <f t="shared" si="53"/>
        <v>12</v>
      </c>
      <c r="G457" s="97">
        <f>B405</f>
        <v>528.15589889429998</v>
      </c>
      <c r="H457" s="84" t="str">
        <f>C408</f>
        <v>BARRA A TRACCIÓN (+)</v>
      </c>
    </row>
    <row r="458" spans="2:8" ht="19.95" customHeight="1" x14ac:dyDescent="0.3">
      <c r="B458" s="51">
        <v>6</v>
      </c>
      <c r="C458" s="86">
        <f t="shared" si="50"/>
        <v>2</v>
      </c>
      <c r="D458" s="86">
        <f t="shared" si="51"/>
        <v>3</v>
      </c>
      <c r="E458" s="9">
        <f t="shared" si="52"/>
        <v>424.26406871192853</v>
      </c>
      <c r="F458" s="9">
        <f t="shared" si="53"/>
        <v>12</v>
      </c>
      <c r="G458" s="97">
        <f>B413</f>
        <v>-3714.4847882249887</v>
      </c>
      <c r="H458" s="84" t="str">
        <f>C416</f>
        <v>BARRA A COMPRESIÓN (-)</v>
      </c>
    </row>
    <row r="459" spans="2:8" ht="19.95" customHeight="1" x14ac:dyDescent="0.3">
      <c r="B459" s="52">
        <v>7</v>
      </c>
      <c r="C459" s="86">
        <f t="shared" si="50"/>
        <v>3</v>
      </c>
      <c r="D459" s="86">
        <f t="shared" si="51"/>
        <v>5</v>
      </c>
      <c r="E459" s="9">
        <f t="shared" si="52"/>
        <v>304.13812651491099</v>
      </c>
      <c r="F459" s="9">
        <f t="shared" si="53"/>
        <v>12</v>
      </c>
      <c r="G459" s="97">
        <f>B421</f>
        <v>-1520.6906325745551</v>
      </c>
      <c r="H459" s="84" t="str">
        <f>C424</f>
        <v>BARRA A COMPRESIÓN (-)</v>
      </c>
    </row>
    <row r="460" spans="2:8" ht="19.95" customHeight="1" x14ac:dyDescent="0.3">
      <c r="B460" s="59">
        <v>8</v>
      </c>
      <c r="C460" s="86">
        <f t="shared" si="50"/>
        <v>4</v>
      </c>
      <c r="D460" s="86">
        <f t="shared" si="51"/>
        <v>6</v>
      </c>
      <c r="E460" s="9">
        <f t="shared" si="52"/>
        <v>304.13812651491099</v>
      </c>
      <c r="F460" s="9">
        <f t="shared" si="53"/>
        <v>12</v>
      </c>
      <c r="G460" s="97">
        <f>B429</f>
        <v>-10644.834428021872</v>
      </c>
      <c r="H460" s="84" t="str">
        <f>C432</f>
        <v>BARRA A COMPRESIÓN (-)</v>
      </c>
    </row>
    <row r="461" spans="2:8" ht="19.95" customHeight="1" x14ac:dyDescent="0.3">
      <c r="B461" s="60">
        <v>9</v>
      </c>
      <c r="C461" s="86">
        <f t="shared" si="50"/>
        <v>5</v>
      </c>
      <c r="D461" s="86">
        <f t="shared" si="51"/>
        <v>6</v>
      </c>
      <c r="E461" s="9">
        <f t="shared" si="52"/>
        <v>100</v>
      </c>
      <c r="F461" s="9">
        <f t="shared" si="53"/>
        <v>12</v>
      </c>
      <c r="G461" s="97">
        <f>B437</f>
        <v>-3249.9999999999886</v>
      </c>
      <c r="H461" s="84" t="str">
        <f>C440</f>
        <v>BARRA A COMPRESIÓN (-)</v>
      </c>
    </row>
    <row r="462" spans="2:8" ht="19.95" customHeight="1" x14ac:dyDescent="0.3">
      <c r="B462" s="67">
        <v>10</v>
      </c>
      <c r="C462" s="86">
        <f t="shared" si="50"/>
        <v>3</v>
      </c>
      <c r="D462" s="86">
        <f t="shared" si="51"/>
        <v>6</v>
      </c>
      <c r="E462" s="9">
        <f t="shared" si="52"/>
        <v>335.41019662496848</v>
      </c>
      <c r="F462" s="9">
        <f t="shared" si="53"/>
        <v>12</v>
      </c>
      <c r="G462" s="97">
        <f>B445</f>
        <v>10062.305898749039</v>
      </c>
      <c r="H462" s="84" t="str">
        <f>C448</f>
        <v>BARRA A TRACCIÓN (+)</v>
      </c>
    </row>
  </sheetData>
  <mergeCells count="148">
    <mergeCell ref="J4:J5"/>
    <mergeCell ref="L4:L5"/>
    <mergeCell ref="P342:U342"/>
    <mergeCell ref="P294:U294"/>
    <mergeCell ref="P264:U264"/>
    <mergeCell ref="P335:U335"/>
    <mergeCell ref="P344:U344"/>
    <mergeCell ref="P346:U346"/>
    <mergeCell ref="C4:D4"/>
    <mergeCell ref="P293:U293"/>
    <mergeCell ref="E4:F4"/>
    <mergeCell ref="C17:D17"/>
    <mergeCell ref="P368:U368"/>
    <mergeCell ref="C448:F448"/>
    <mergeCell ref="P318:U318"/>
    <mergeCell ref="P256:U256"/>
    <mergeCell ref="P383:U383"/>
    <mergeCell ref="P373:U373"/>
    <mergeCell ref="P322:U322"/>
    <mergeCell ref="P260:U260"/>
    <mergeCell ref="P269:U269"/>
    <mergeCell ref="P309:U309"/>
    <mergeCell ref="P259:U259"/>
    <mergeCell ref="P372:U372"/>
    <mergeCell ref="P310:U310"/>
    <mergeCell ref="P324:U324"/>
    <mergeCell ref="P349:U349"/>
    <mergeCell ref="P343:U343"/>
    <mergeCell ref="P328:U328"/>
    <mergeCell ref="P316:U316"/>
    <mergeCell ref="P272:U272"/>
    <mergeCell ref="P381:U381"/>
    <mergeCell ref="P308:U308"/>
    <mergeCell ref="P390:U390"/>
    <mergeCell ref="P371:U371"/>
    <mergeCell ref="B1:N1"/>
    <mergeCell ref="P265:U265"/>
    <mergeCell ref="P305:U305"/>
    <mergeCell ref="P311:U311"/>
    <mergeCell ref="P262:U262"/>
    <mergeCell ref="P320:U320"/>
    <mergeCell ref="P314:U314"/>
    <mergeCell ref="P329:U329"/>
    <mergeCell ref="P385:U385"/>
    <mergeCell ref="P257:U257"/>
    <mergeCell ref="P282:U282"/>
    <mergeCell ref="P297:U297"/>
    <mergeCell ref="P291:U291"/>
    <mergeCell ref="C313:J313"/>
    <mergeCell ref="B17:B18"/>
    <mergeCell ref="P263:U263"/>
    <mergeCell ref="P307:U307"/>
    <mergeCell ref="P347:U347"/>
    <mergeCell ref="E3:H3"/>
    <mergeCell ref="P268:U268"/>
    <mergeCell ref="P277:U277"/>
    <mergeCell ref="P348:U348"/>
    <mergeCell ref="P338:U338"/>
    <mergeCell ref="P285:U285"/>
    <mergeCell ref="H4:H5"/>
    <mergeCell ref="P301:U301"/>
    <mergeCell ref="P295:U295"/>
    <mergeCell ref="P258:U258"/>
    <mergeCell ref="K4:K5"/>
    <mergeCell ref="P288:U288"/>
    <mergeCell ref="P340:U340"/>
    <mergeCell ref="B2:N2"/>
    <mergeCell ref="P275:U275"/>
    <mergeCell ref="P315:U315"/>
    <mergeCell ref="P284:U284"/>
    <mergeCell ref="P302:U302"/>
    <mergeCell ref="B4:B5"/>
    <mergeCell ref="P330:U330"/>
    <mergeCell ref="N4:N5"/>
    <mergeCell ref="E17:F17"/>
    <mergeCell ref="G4:G5"/>
    <mergeCell ref="I4:I5"/>
    <mergeCell ref="P267:U267"/>
    <mergeCell ref="C284:D284"/>
    <mergeCell ref="P273:U273"/>
    <mergeCell ref="P287:U287"/>
    <mergeCell ref="P281:U281"/>
    <mergeCell ref="P296:U296"/>
    <mergeCell ref="P261:U261"/>
    <mergeCell ref="P389:U389"/>
    <mergeCell ref="P332:U332"/>
    <mergeCell ref="P276:U276"/>
    <mergeCell ref="P270:U270"/>
    <mergeCell ref="P341:U341"/>
    <mergeCell ref="P325:U325"/>
    <mergeCell ref="P278:U278"/>
    <mergeCell ref="P375:U375"/>
    <mergeCell ref="P327:U327"/>
    <mergeCell ref="P336:U336"/>
    <mergeCell ref="P317:U317"/>
    <mergeCell ref="P377:U377"/>
    <mergeCell ref="P326:U326"/>
    <mergeCell ref="P289:U289"/>
    <mergeCell ref="P304:U304"/>
    <mergeCell ref="P266:U266"/>
    <mergeCell ref="P379:U379"/>
    <mergeCell ref="P388:U388"/>
    <mergeCell ref="P331:U331"/>
    <mergeCell ref="P319:U319"/>
    <mergeCell ref="P292:U292"/>
    <mergeCell ref="P387:U387"/>
    <mergeCell ref="P382:U382"/>
    <mergeCell ref="P290:U290"/>
    <mergeCell ref="C432:F432"/>
    <mergeCell ref="C312:J312"/>
    <mergeCell ref="P271:U271"/>
    <mergeCell ref="P337:U337"/>
    <mergeCell ref="P312:U312"/>
    <mergeCell ref="P321:U321"/>
    <mergeCell ref="C323:D323"/>
    <mergeCell ref="B451:H451"/>
    <mergeCell ref="P286:U286"/>
    <mergeCell ref="P380:U380"/>
    <mergeCell ref="C440:F440"/>
    <mergeCell ref="C416:F416"/>
    <mergeCell ref="C376:F376"/>
    <mergeCell ref="P374:U374"/>
    <mergeCell ref="P378:U378"/>
    <mergeCell ref="C384:F384"/>
    <mergeCell ref="B3:D3"/>
    <mergeCell ref="P280:U280"/>
    <mergeCell ref="M4:M5"/>
    <mergeCell ref="P274:U274"/>
    <mergeCell ref="P393:U393"/>
    <mergeCell ref="P345:U345"/>
    <mergeCell ref="C400:F400"/>
    <mergeCell ref="P370:U370"/>
    <mergeCell ref="C424:F424"/>
    <mergeCell ref="C408:F408"/>
    <mergeCell ref="P391:U391"/>
    <mergeCell ref="P384:U384"/>
    <mergeCell ref="P392:U392"/>
    <mergeCell ref="P386:U386"/>
    <mergeCell ref="P339:U339"/>
    <mergeCell ref="P376:U376"/>
    <mergeCell ref="P323:U323"/>
    <mergeCell ref="P298:U298"/>
    <mergeCell ref="P313:U313"/>
    <mergeCell ref="P279:U279"/>
    <mergeCell ref="P306:U306"/>
    <mergeCell ref="P303:U303"/>
    <mergeCell ref="P369:U369"/>
    <mergeCell ref="C392:F392"/>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723</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HYPERLINK("#'AUTOMATIZADA_69'!A1",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4</v>
      </c>
      <c r="G6" s="173"/>
      <c r="H6" s="206">
        <f>D6+F6-2*B6</f>
        <v>3</v>
      </c>
      <c r="I6" s="173"/>
      <c r="J6" s="220" t="str">
        <f>IF(H6=0,"✅ ISOSTÁTICA (Estable y Determinada)",IF(H6&gt;0,"🔷 HIPERESTÁTICA (Grado " &amp; H6 &amp; " - Resoluble por Rigidez)","⚠️ HIPOSTÁTICA (Mecanismo Inestable)"))</f>
        <v>🔷 HIPERESTÁTICA (Grado 3 - Resoluble por Rigidez)</v>
      </c>
      <c r="K6" s="172"/>
      <c r="L6" s="172"/>
      <c r="M6" s="172"/>
      <c r="N6" s="172"/>
      <c r="O6" s="173"/>
      <c r="AA6" s="20">
        <f>IF(G28="","",G28)</f>
        <v>0</v>
      </c>
      <c r="AB6" s="20">
        <f>IF(H28="","",H28)</f>
        <v>400</v>
      </c>
      <c r="AC6" t="s">
        <v>314</v>
      </c>
    </row>
    <row r="8" spans="2:29" ht="22.05" customHeight="1" x14ac:dyDescent="0.3">
      <c r="B8" s="181" t="s">
        <v>315</v>
      </c>
      <c r="C8" s="175"/>
      <c r="D8" s="175"/>
      <c r="E8" s="175"/>
      <c r="F8" s="175"/>
      <c r="G8" s="175"/>
      <c r="H8" s="175"/>
      <c r="I8" s="175"/>
      <c r="J8" s="175"/>
      <c r="K8" s="175"/>
      <c r="L8" s="175"/>
      <c r="M8" s="175"/>
      <c r="N8" s="175"/>
      <c r="O8" s="175"/>
      <c r="AA8" s="20">
        <f>IF(E29="","",E29)</f>
        <v>0</v>
      </c>
      <c r="AB8" s="20">
        <f>IF(F29="","",F29)</f>
        <v>0</v>
      </c>
      <c r="AC8" t="s">
        <v>316</v>
      </c>
    </row>
    <row r="9" spans="2:29" x14ac:dyDescent="0.3">
      <c r="AA9" s="20">
        <f>IF(G29="","",G29)</f>
        <v>400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400</v>
      </c>
      <c r="AC11" t="s">
        <v>324</v>
      </c>
    </row>
    <row r="12" spans="2:29" x14ac:dyDescent="0.3">
      <c r="AA12" s="20">
        <f>IF(G30="","",G30)</f>
        <v>400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513</v>
      </c>
      <c r="K14" s="172"/>
      <c r="L14" s="172"/>
      <c r="M14" s="172"/>
      <c r="N14" s="172"/>
      <c r="O14" s="173"/>
      <c r="AA14" s="20">
        <f>IF(E31="","",E31)</f>
        <v>400</v>
      </c>
      <c r="AB14" s="20">
        <f>IF(F31="","",F31)</f>
        <v>0</v>
      </c>
      <c r="AC14" t="s">
        <v>328</v>
      </c>
    </row>
    <row r="15" spans="2:29" ht="19.05" customHeight="1" x14ac:dyDescent="0.3">
      <c r="B15" s="89">
        <v>2</v>
      </c>
      <c r="C15" s="21">
        <v>0</v>
      </c>
      <c r="D15" s="21">
        <v>400</v>
      </c>
      <c r="E15" s="21" t="s">
        <v>332</v>
      </c>
      <c r="F15" s="88">
        <f t="shared" si="0"/>
        <v>1</v>
      </c>
      <c r="G15" s="88">
        <f t="shared" si="1"/>
        <v>1</v>
      </c>
      <c r="H15" s="22">
        <v>0</v>
      </c>
      <c r="I15" s="22">
        <v>0</v>
      </c>
      <c r="J15" s="205" t="s">
        <v>514</v>
      </c>
      <c r="K15" s="172"/>
      <c r="L15" s="172"/>
      <c r="M15" s="172"/>
      <c r="N15" s="172"/>
      <c r="O15" s="173"/>
      <c r="AA15" s="20">
        <f>IF(G31="","",G31)</f>
        <v>400</v>
      </c>
      <c r="AB15" s="20">
        <f>IF(H31="","",H31)</f>
        <v>200</v>
      </c>
      <c r="AC15" t="s">
        <v>331</v>
      </c>
    </row>
    <row r="16" spans="2:29" ht="19.05" customHeight="1" x14ac:dyDescent="0.3">
      <c r="B16" s="89">
        <v>3</v>
      </c>
      <c r="C16" s="21">
        <v>400</v>
      </c>
      <c r="D16" s="21">
        <v>200</v>
      </c>
      <c r="E16" s="21" t="s">
        <v>326</v>
      </c>
      <c r="F16" s="88">
        <f t="shared" si="0"/>
        <v>0</v>
      </c>
      <c r="G16" s="88">
        <f t="shared" si="1"/>
        <v>0</v>
      </c>
      <c r="H16" s="22">
        <v>0</v>
      </c>
      <c r="I16" s="22">
        <v>-4000</v>
      </c>
      <c r="J16" s="205" t="s">
        <v>541</v>
      </c>
      <c r="K16" s="172"/>
      <c r="L16" s="172"/>
      <c r="M16" s="172"/>
      <c r="N16" s="172"/>
      <c r="O16" s="173"/>
    </row>
    <row r="17" spans="2:29" ht="19.05" customHeight="1" x14ac:dyDescent="0.3">
      <c r="B17" s="89">
        <v>4</v>
      </c>
      <c r="C17" s="21">
        <v>400</v>
      </c>
      <c r="D17" s="21">
        <v>0</v>
      </c>
      <c r="E17" s="21" t="s">
        <v>326</v>
      </c>
      <c r="F17" s="88">
        <f t="shared" si="0"/>
        <v>0</v>
      </c>
      <c r="G17" s="88">
        <f t="shared" si="1"/>
        <v>0</v>
      </c>
      <c r="H17" s="22">
        <v>0</v>
      </c>
      <c r="I17" s="22">
        <v>-3500</v>
      </c>
      <c r="J17" s="205" t="s">
        <v>497</v>
      </c>
      <c r="K17" s="172"/>
      <c r="L17" s="172"/>
      <c r="M17" s="172"/>
      <c r="N17" s="172"/>
      <c r="O17" s="173"/>
      <c r="AA17" s="20">
        <f>IF(E32="","",E32)</f>
        <v>400</v>
      </c>
      <c r="AB17" s="20">
        <f>IF(F32="","",F32)</f>
        <v>400</v>
      </c>
      <c r="AC17" t="s">
        <v>334</v>
      </c>
    </row>
    <row r="18" spans="2:29" ht="19.05" customHeight="1" x14ac:dyDescent="0.3">
      <c r="B18" s="89">
        <v>5</v>
      </c>
      <c r="C18" s="21">
        <v>400</v>
      </c>
      <c r="D18" s="21">
        <v>400</v>
      </c>
      <c r="E18" s="21" t="s">
        <v>326</v>
      </c>
      <c r="F18" s="88">
        <f t="shared" si="0"/>
        <v>0</v>
      </c>
      <c r="G18" s="88">
        <f t="shared" si="1"/>
        <v>0</v>
      </c>
      <c r="H18" s="22">
        <v>0</v>
      </c>
      <c r="I18" s="22">
        <v>-3500</v>
      </c>
      <c r="J18" s="205" t="s">
        <v>496</v>
      </c>
      <c r="K18" s="172"/>
      <c r="L18" s="172"/>
      <c r="M18" s="172"/>
      <c r="N18" s="172"/>
      <c r="O18" s="173"/>
      <c r="AA18" s="20">
        <f>IF(G32="","",G32)</f>
        <v>400</v>
      </c>
      <c r="AB18" s="20">
        <f>IF(H32="","",H32)</f>
        <v>200</v>
      </c>
      <c r="AC18" t="s">
        <v>335</v>
      </c>
    </row>
    <row r="19" spans="2:29" ht="19.05" customHeight="1" x14ac:dyDescent="0.3">
      <c r="B19" s="89">
        <v>6</v>
      </c>
      <c r="C19" s="21">
        <v>800</v>
      </c>
      <c r="D19" s="21">
        <v>200</v>
      </c>
      <c r="E19" s="21" t="s">
        <v>326</v>
      </c>
      <c r="F19" s="88">
        <f t="shared" si="0"/>
        <v>0</v>
      </c>
      <c r="G19" s="88">
        <f t="shared" si="1"/>
        <v>0</v>
      </c>
      <c r="H19" s="22">
        <v>2500</v>
      </c>
      <c r="I19" s="22">
        <v>-6000</v>
      </c>
      <c r="J19" s="205" t="s">
        <v>724</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200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0</v>
      </c>
      <c r="AB23" s="20">
        <f>IF(F34="","",F34)</f>
        <v>400</v>
      </c>
      <c r="AC23" t="s">
        <v>338</v>
      </c>
    </row>
    <row r="24" spans="2:29" x14ac:dyDescent="0.3">
      <c r="AA24" s="20">
        <f>IF(G34="","",G34)</f>
        <v>400</v>
      </c>
      <c r="AB24" s="20">
        <f>IF(H34="","",H34)</f>
        <v>200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400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800</v>
      </c>
      <c r="AB27" s="20">
        <f>IF(H35="","",H35)</f>
        <v>200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1</v>
      </c>
      <c r="D29" s="23">
        <v>4</v>
      </c>
      <c r="E29" s="5">
        <f t="shared" si="2"/>
        <v>0</v>
      </c>
      <c r="F29" s="5">
        <f t="shared" si="3"/>
        <v>0</v>
      </c>
      <c r="G29" s="5">
        <f t="shared" si="4"/>
        <v>400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400</v>
      </c>
      <c r="AC29" t="s">
        <v>353</v>
      </c>
    </row>
    <row r="30" spans="2:29" ht="19.05" customHeight="1" x14ac:dyDescent="0.3">
      <c r="B30" s="89">
        <v>3</v>
      </c>
      <c r="C30" s="23">
        <v>2</v>
      </c>
      <c r="D30" s="23">
        <v>5</v>
      </c>
      <c r="E30" s="5">
        <f t="shared" si="2"/>
        <v>0</v>
      </c>
      <c r="F30" s="5">
        <f t="shared" si="3"/>
        <v>400</v>
      </c>
      <c r="G30" s="5">
        <f t="shared" si="4"/>
        <v>400</v>
      </c>
      <c r="H30" s="5">
        <f t="shared" si="5"/>
        <v>400</v>
      </c>
      <c r="I30" s="9">
        <f t="shared" si="6"/>
        <v>400</v>
      </c>
      <c r="J30" s="9">
        <f t="shared" si="7"/>
        <v>0</v>
      </c>
      <c r="K30" s="9">
        <f t="shared" si="8"/>
        <v>400</v>
      </c>
      <c r="L30" s="92">
        <f t="shared" si="9"/>
        <v>1</v>
      </c>
      <c r="M30" s="92">
        <f t="shared" si="10"/>
        <v>0</v>
      </c>
      <c r="N30" s="22">
        <v>12</v>
      </c>
      <c r="O30" s="24">
        <v>2100000</v>
      </c>
      <c r="AA30" s="20">
        <f>IF(G36="","",G36)</f>
        <v>800</v>
      </c>
      <c r="AB30" s="20">
        <f>IF(H36="","",H36)</f>
        <v>200</v>
      </c>
      <c r="AC30" t="s">
        <v>354</v>
      </c>
    </row>
    <row r="31" spans="2:29" ht="19.05" customHeight="1" x14ac:dyDescent="0.3">
      <c r="B31" s="89">
        <v>4</v>
      </c>
      <c r="C31" s="23">
        <v>4</v>
      </c>
      <c r="D31" s="23">
        <v>3</v>
      </c>
      <c r="E31" s="5">
        <f t="shared" si="2"/>
        <v>400</v>
      </c>
      <c r="F31" s="5">
        <f t="shared" si="3"/>
        <v>0</v>
      </c>
      <c r="G31" s="5">
        <f t="shared" si="4"/>
        <v>400</v>
      </c>
      <c r="H31" s="5">
        <f t="shared" si="5"/>
        <v>200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3</v>
      </c>
      <c r="E32" s="5">
        <f t="shared" si="2"/>
        <v>400</v>
      </c>
      <c r="F32" s="5">
        <f t="shared" si="3"/>
        <v>400</v>
      </c>
      <c r="G32" s="5">
        <f t="shared" si="4"/>
        <v>400</v>
      </c>
      <c r="H32" s="5">
        <f t="shared" si="5"/>
        <v>200</v>
      </c>
      <c r="I32" s="9">
        <f t="shared" si="6"/>
        <v>0</v>
      </c>
      <c r="J32" s="9">
        <f t="shared" si="7"/>
        <v>-200</v>
      </c>
      <c r="K32" s="9">
        <f t="shared" si="8"/>
        <v>200</v>
      </c>
      <c r="L32" s="92">
        <f t="shared" si="9"/>
        <v>0</v>
      </c>
      <c r="M32" s="92">
        <f t="shared" si="10"/>
        <v>-1</v>
      </c>
      <c r="N32" s="22">
        <v>12</v>
      </c>
      <c r="O32" s="24">
        <v>2100000</v>
      </c>
      <c r="AA32" s="20">
        <f>IF(E37="","",E37)</f>
        <v>400</v>
      </c>
      <c r="AB32" s="20">
        <f>IF(F37="","",F37)</f>
        <v>0</v>
      </c>
      <c r="AC32" t="s">
        <v>355</v>
      </c>
    </row>
    <row r="33" spans="2:29" ht="19.05" customHeight="1" x14ac:dyDescent="0.3">
      <c r="B33" s="89">
        <v>6</v>
      </c>
      <c r="C33" s="23">
        <v>1</v>
      </c>
      <c r="D33" s="23">
        <v>3</v>
      </c>
      <c r="E33" s="5">
        <f t="shared" si="2"/>
        <v>0</v>
      </c>
      <c r="F33" s="5">
        <f t="shared" si="3"/>
        <v>0</v>
      </c>
      <c r="G33" s="5">
        <f t="shared" si="4"/>
        <v>400</v>
      </c>
      <c r="H33" s="5">
        <f t="shared" si="5"/>
        <v>200</v>
      </c>
      <c r="I33" s="9">
        <f t="shared" si="6"/>
        <v>400</v>
      </c>
      <c r="J33" s="9">
        <f t="shared" si="7"/>
        <v>200</v>
      </c>
      <c r="K33" s="9">
        <f t="shared" si="8"/>
        <v>447.21359549995793</v>
      </c>
      <c r="L33" s="92">
        <f t="shared" si="9"/>
        <v>0.89442719099991586</v>
      </c>
      <c r="M33" s="92">
        <f t="shared" si="10"/>
        <v>0.44721359549995793</v>
      </c>
      <c r="N33" s="22">
        <v>12</v>
      </c>
      <c r="O33" s="24">
        <v>2100000</v>
      </c>
      <c r="AA33" s="20">
        <f>IF(G37="","",G37)</f>
        <v>400</v>
      </c>
      <c r="AB33" s="20">
        <f>IF(H37="","",H37)</f>
        <v>400</v>
      </c>
      <c r="AC33" t="s">
        <v>356</v>
      </c>
    </row>
    <row r="34" spans="2:29" ht="19.05" customHeight="1" x14ac:dyDescent="0.3">
      <c r="B34" s="89">
        <v>7</v>
      </c>
      <c r="C34" s="23">
        <v>2</v>
      </c>
      <c r="D34" s="23">
        <v>3</v>
      </c>
      <c r="E34" s="5">
        <f t="shared" si="2"/>
        <v>0</v>
      </c>
      <c r="F34" s="5">
        <f t="shared" si="3"/>
        <v>400</v>
      </c>
      <c r="G34" s="5">
        <f t="shared" si="4"/>
        <v>400</v>
      </c>
      <c r="H34" s="5">
        <f t="shared" si="5"/>
        <v>200</v>
      </c>
      <c r="I34" s="9">
        <f t="shared" si="6"/>
        <v>400</v>
      </c>
      <c r="J34" s="9">
        <f t="shared" si="7"/>
        <v>-200</v>
      </c>
      <c r="K34" s="9">
        <f t="shared" si="8"/>
        <v>447.21359549995793</v>
      </c>
      <c r="L34" s="92">
        <f t="shared" si="9"/>
        <v>0.89442719099991586</v>
      </c>
      <c r="M34" s="92">
        <f t="shared" si="10"/>
        <v>-0.44721359549995793</v>
      </c>
      <c r="N34" s="22">
        <v>12</v>
      </c>
      <c r="O34" s="24">
        <v>2100000</v>
      </c>
    </row>
    <row r="35" spans="2:29" ht="19.05" customHeight="1" x14ac:dyDescent="0.3">
      <c r="B35" s="89">
        <v>8</v>
      </c>
      <c r="C35" s="23">
        <v>4</v>
      </c>
      <c r="D35" s="23">
        <v>6</v>
      </c>
      <c r="E35" s="5">
        <f t="shared" si="2"/>
        <v>400</v>
      </c>
      <c r="F35" s="5">
        <f t="shared" si="3"/>
        <v>0</v>
      </c>
      <c r="G35" s="5">
        <f t="shared" si="4"/>
        <v>800</v>
      </c>
      <c r="H35" s="5">
        <f t="shared" si="5"/>
        <v>200</v>
      </c>
      <c r="I35" s="9">
        <f t="shared" si="6"/>
        <v>400</v>
      </c>
      <c r="J35" s="9">
        <f t="shared" si="7"/>
        <v>200</v>
      </c>
      <c r="K35" s="9">
        <f t="shared" si="8"/>
        <v>447.21359549995793</v>
      </c>
      <c r="L35" s="92">
        <f t="shared" si="9"/>
        <v>0.89442719099991586</v>
      </c>
      <c r="M35" s="92">
        <f t="shared" si="10"/>
        <v>0.44721359549995793</v>
      </c>
      <c r="N35" s="22">
        <v>12</v>
      </c>
      <c r="O35" s="24">
        <v>2100000</v>
      </c>
      <c r="AA35" s="20">
        <f>IF(E38="","",E38)</f>
        <v>400</v>
      </c>
      <c r="AB35" s="20">
        <f>IF(F38="","",F38)</f>
        <v>200</v>
      </c>
      <c r="AC35" t="s">
        <v>357</v>
      </c>
    </row>
    <row r="36" spans="2:29" ht="19.05" customHeight="1" x14ac:dyDescent="0.3">
      <c r="B36" s="89">
        <v>9</v>
      </c>
      <c r="C36" s="23">
        <v>5</v>
      </c>
      <c r="D36" s="23">
        <v>6</v>
      </c>
      <c r="E36" s="5">
        <f t="shared" si="2"/>
        <v>400</v>
      </c>
      <c r="F36" s="5">
        <f t="shared" si="3"/>
        <v>400</v>
      </c>
      <c r="G36" s="5">
        <f t="shared" si="4"/>
        <v>800</v>
      </c>
      <c r="H36" s="5">
        <f t="shared" si="5"/>
        <v>200</v>
      </c>
      <c r="I36" s="9">
        <f t="shared" si="6"/>
        <v>400</v>
      </c>
      <c r="J36" s="9">
        <f t="shared" si="7"/>
        <v>-200</v>
      </c>
      <c r="K36" s="9">
        <f t="shared" si="8"/>
        <v>447.21359549995793</v>
      </c>
      <c r="L36" s="92">
        <f t="shared" si="9"/>
        <v>0.89442719099991586</v>
      </c>
      <c r="M36" s="92">
        <f t="shared" si="10"/>
        <v>-0.44721359549995793</v>
      </c>
      <c r="N36" s="22">
        <v>12</v>
      </c>
      <c r="O36" s="24">
        <v>2100000</v>
      </c>
      <c r="AA36" s="20">
        <f>IF(G38="","",G38)</f>
        <v>800</v>
      </c>
      <c r="AB36" s="20">
        <f>IF(H38="","",H38)</f>
        <v>200</v>
      </c>
      <c r="AC36" t="s">
        <v>358</v>
      </c>
    </row>
    <row r="37" spans="2:29" ht="19.05" customHeight="1" x14ac:dyDescent="0.3">
      <c r="B37" s="89">
        <v>10</v>
      </c>
      <c r="C37" s="23">
        <v>4</v>
      </c>
      <c r="D37" s="23">
        <v>5</v>
      </c>
      <c r="E37" s="5">
        <f t="shared" si="2"/>
        <v>400</v>
      </c>
      <c r="F37" s="5">
        <f t="shared" si="3"/>
        <v>0</v>
      </c>
      <c r="G37" s="5">
        <f t="shared" si="4"/>
        <v>400</v>
      </c>
      <c r="H37" s="5">
        <f t="shared" si="5"/>
        <v>400</v>
      </c>
      <c r="I37" s="9">
        <f t="shared" si="6"/>
        <v>0</v>
      </c>
      <c r="J37" s="9">
        <f t="shared" si="7"/>
        <v>400</v>
      </c>
      <c r="K37" s="9">
        <f t="shared" si="8"/>
        <v>400</v>
      </c>
      <c r="L37" s="92">
        <f t="shared" si="9"/>
        <v>0</v>
      </c>
      <c r="M37" s="92">
        <f t="shared" si="10"/>
        <v>1</v>
      </c>
      <c r="N37" s="22">
        <v>12</v>
      </c>
      <c r="O37" s="24">
        <v>2100000</v>
      </c>
    </row>
    <row r="38" spans="2:29" ht="19.05" customHeight="1" x14ac:dyDescent="0.3">
      <c r="B38" s="89">
        <v>11</v>
      </c>
      <c r="C38" s="23">
        <v>3</v>
      </c>
      <c r="D38" s="23">
        <v>6</v>
      </c>
      <c r="E38" s="5">
        <f t="shared" si="2"/>
        <v>400</v>
      </c>
      <c r="F38" s="5">
        <f t="shared" si="3"/>
        <v>200</v>
      </c>
      <c r="G38" s="5">
        <f t="shared" si="4"/>
        <v>800</v>
      </c>
      <c r="H38" s="5">
        <f t="shared" si="5"/>
        <v>200</v>
      </c>
      <c r="I38" s="9">
        <f t="shared" si="6"/>
        <v>400</v>
      </c>
      <c r="J38" s="9">
        <f t="shared" si="7"/>
        <v>0</v>
      </c>
      <c r="K38" s="9">
        <f t="shared" si="8"/>
        <v>400</v>
      </c>
      <c r="L38" s="92">
        <f t="shared" si="9"/>
        <v>1</v>
      </c>
      <c r="M38" s="92">
        <f t="shared" si="10"/>
        <v>0</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B00-000000000000}">
      <formula1>"Fijo (articulado),Rodillo Y (despl. X libre),Rodillo X (despl. Y libre),Libre (0 reac.)"</formula1>
    </dataValidation>
  </dataValidations>
  <pageMargins left="0.75" right="0.75" top="1" bottom="1" header="0.5" footer="0.5"/>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725</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HYPERLINK("#'GRAFICA_69'!A1",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GRAFICA_69!E28</f>
        <v>0</v>
      </c>
      <c r="D6" s="22">
        <f>GRAFICA_69!F28</f>
        <v>0</v>
      </c>
      <c r="E6" s="22">
        <f>GRAFICA_69!G28</f>
        <v>0</v>
      </c>
      <c r="F6" s="22">
        <f>GRAFICA_69!H28</f>
        <v>400</v>
      </c>
      <c r="G6" s="9">
        <f t="shared" ref="G6:G16" si="0">E6-C6</f>
        <v>0</v>
      </c>
      <c r="H6" s="9">
        <f t="shared" ref="H6:H16" si="1">F6-D6</f>
        <v>400</v>
      </c>
      <c r="I6" s="9">
        <f t="shared" ref="I6:I16" si="2">SQRT(G6*G6+H6*H6)</f>
        <v>400</v>
      </c>
      <c r="J6" s="92">
        <f t="shared" ref="J6:J16" si="3">G6/I6</f>
        <v>0</v>
      </c>
      <c r="K6" s="92">
        <f t="shared" ref="K6:K16" si="4">H6/I6</f>
        <v>1</v>
      </c>
      <c r="L6" s="22">
        <f>GRAFICA_69!N28</f>
        <v>12</v>
      </c>
      <c r="M6" s="22">
        <f>GRAFICA_69!O28</f>
        <v>2100000</v>
      </c>
      <c r="N6" s="6">
        <f t="shared" ref="N6:N16" si="5">L6*M6/I6</f>
        <v>63000</v>
      </c>
    </row>
    <row r="7" spans="2:14" ht="19.05" customHeight="1" x14ac:dyDescent="0.3">
      <c r="B7" s="25">
        <v>2</v>
      </c>
      <c r="C7" s="22">
        <f>GRAFICA_69!E29</f>
        <v>0</v>
      </c>
      <c r="D7" s="22">
        <f>GRAFICA_69!F29</f>
        <v>0</v>
      </c>
      <c r="E7" s="22">
        <f>GRAFICA_69!G29</f>
        <v>400</v>
      </c>
      <c r="F7" s="22">
        <f>GRAFICA_69!H29</f>
        <v>0</v>
      </c>
      <c r="G7" s="9">
        <f t="shared" si="0"/>
        <v>400</v>
      </c>
      <c r="H7" s="9">
        <f t="shared" si="1"/>
        <v>0</v>
      </c>
      <c r="I7" s="9">
        <f t="shared" si="2"/>
        <v>400</v>
      </c>
      <c r="J7" s="92">
        <f t="shared" si="3"/>
        <v>1</v>
      </c>
      <c r="K7" s="92">
        <f t="shared" si="4"/>
        <v>0</v>
      </c>
      <c r="L7" s="22">
        <f>GRAFICA_69!N29</f>
        <v>12</v>
      </c>
      <c r="M7" s="22">
        <f>GRAFICA_69!O29</f>
        <v>2100000</v>
      </c>
      <c r="N7" s="6">
        <f t="shared" si="5"/>
        <v>63000</v>
      </c>
    </row>
    <row r="8" spans="2:14" ht="19.05" customHeight="1" x14ac:dyDescent="0.3">
      <c r="B8" s="26">
        <v>3</v>
      </c>
      <c r="C8" s="22">
        <f>GRAFICA_69!E30</f>
        <v>0</v>
      </c>
      <c r="D8" s="22">
        <f>GRAFICA_69!F30</f>
        <v>400</v>
      </c>
      <c r="E8" s="22">
        <f>GRAFICA_69!G30</f>
        <v>400</v>
      </c>
      <c r="F8" s="22">
        <f>GRAFICA_69!H30</f>
        <v>400</v>
      </c>
      <c r="G8" s="9">
        <f t="shared" si="0"/>
        <v>400</v>
      </c>
      <c r="H8" s="9">
        <f t="shared" si="1"/>
        <v>0</v>
      </c>
      <c r="I8" s="9">
        <f t="shared" si="2"/>
        <v>400</v>
      </c>
      <c r="J8" s="92">
        <f t="shared" si="3"/>
        <v>1</v>
      </c>
      <c r="K8" s="92">
        <f t="shared" si="4"/>
        <v>0</v>
      </c>
      <c r="L8" s="22">
        <f>GRAFICA_69!N30</f>
        <v>12</v>
      </c>
      <c r="M8" s="22">
        <f>GRAFICA_69!O30</f>
        <v>2100000</v>
      </c>
      <c r="N8" s="6">
        <f t="shared" si="5"/>
        <v>63000</v>
      </c>
    </row>
    <row r="9" spans="2:14" ht="19.05" customHeight="1" x14ac:dyDescent="0.3">
      <c r="B9" s="43">
        <v>4</v>
      </c>
      <c r="C9" s="22">
        <f>GRAFICA_69!E31</f>
        <v>400</v>
      </c>
      <c r="D9" s="22">
        <f>GRAFICA_69!F31</f>
        <v>0</v>
      </c>
      <c r="E9" s="22">
        <f>GRAFICA_69!G31</f>
        <v>400</v>
      </c>
      <c r="F9" s="22">
        <f>GRAFICA_69!H31</f>
        <v>200</v>
      </c>
      <c r="G9" s="9">
        <f t="shared" si="0"/>
        <v>0</v>
      </c>
      <c r="H9" s="9">
        <f t="shared" si="1"/>
        <v>200</v>
      </c>
      <c r="I9" s="9">
        <f t="shared" si="2"/>
        <v>200</v>
      </c>
      <c r="J9" s="92">
        <f t="shared" si="3"/>
        <v>0</v>
      </c>
      <c r="K9" s="92">
        <f t="shared" si="4"/>
        <v>1</v>
      </c>
      <c r="L9" s="22">
        <f>GRAFICA_69!N31</f>
        <v>12</v>
      </c>
      <c r="M9" s="22">
        <f>GRAFICA_69!O31</f>
        <v>2100000</v>
      </c>
      <c r="N9" s="6">
        <f t="shared" si="5"/>
        <v>126000</v>
      </c>
    </row>
    <row r="10" spans="2:14" ht="19.05" customHeight="1" x14ac:dyDescent="0.3">
      <c r="B10" s="44">
        <v>5</v>
      </c>
      <c r="C10" s="22">
        <f>GRAFICA_69!E32</f>
        <v>400</v>
      </c>
      <c r="D10" s="22">
        <f>GRAFICA_69!F32</f>
        <v>400</v>
      </c>
      <c r="E10" s="22">
        <f>GRAFICA_69!G32</f>
        <v>400</v>
      </c>
      <c r="F10" s="22">
        <f>GRAFICA_69!H32</f>
        <v>200</v>
      </c>
      <c r="G10" s="9">
        <f t="shared" si="0"/>
        <v>0</v>
      </c>
      <c r="H10" s="9">
        <f t="shared" si="1"/>
        <v>-200</v>
      </c>
      <c r="I10" s="9">
        <f t="shared" si="2"/>
        <v>200</v>
      </c>
      <c r="J10" s="92">
        <f t="shared" si="3"/>
        <v>0</v>
      </c>
      <c r="K10" s="92">
        <f t="shared" si="4"/>
        <v>-1</v>
      </c>
      <c r="L10" s="22">
        <f>GRAFICA_69!N32</f>
        <v>12</v>
      </c>
      <c r="M10" s="22">
        <f>GRAFICA_69!O32</f>
        <v>2100000</v>
      </c>
      <c r="N10" s="6">
        <f t="shared" si="5"/>
        <v>126000</v>
      </c>
    </row>
    <row r="11" spans="2:14" ht="19.05" customHeight="1" x14ac:dyDescent="0.3">
      <c r="B11" s="51">
        <v>6</v>
      </c>
      <c r="C11" s="22">
        <f>GRAFICA_69!E33</f>
        <v>0</v>
      </c>
      <c r="D11" s="22">
        <f>GRAFICA_69!F33</f>
        <v>0</v>
      </c>
      <c r="E11" s="22">
        <f>GRAFICA_69!G33</f>
        <v>400</v>
      </c>
      <c r="F11" s="22">
        <f>GRAFICA_69!H33</f>
        <v>200</v>
      </c>
      <c r="G11" s="9">
        <f t="shared" si="0"/>
        <v>400</v>
      </c>
      <c r="H11" s="9">
        <f t="shared" si="1"/>
        <v>200</v>
      </c>
      <c r="I11" s="9">
        <f t="shared" si="2"/>
        <v>447.21359549995793</v>
      </c>
      <c r="J11" s="92">
        <f t="shared" si="3"/>
        <v>0.89442719099991586</v>
      </c>
      <c r="K11" s="92">
        <f t="shared" si="4"/>
        <v>0.44721359549995793</v>
      </c>
      <c r="L11" s="22">
        <f>GRAFICA_69!N33</f>
        <v>12</v>
      </c>
      <c r="M11" s="22">
        <f>GRAFICA_69!O33</f>
        <v>2100000</v>
      </c>
      <c r="N11" s="6">
        <f t="shared" si="5"/>
        <v>56348.9130329947</v>
      </c>
    </row>
    <row r="12" spans="2:14" ht="19.05" customHeight="1" x14ac:dyDescent="0.3">
      <c r="B12" s="52">
        <v>7</v>
      </c>
      <c r="C12" s="22">
        <f>GRAFICA_69!E34</f>
        <v>0</v>
      </c>
      <c r="D12" s="22">
        <f>GRAFICA_69!F34</f>
        <v>400</v>
      </c>
      <c r="E12" s="22">
        <f>GRAFICA_69!G34</f>
        <v>400</v>
      </c>
      <c r="F12" s="22">
        <f>GRAFICA_69!H34</f>
        <v>200</v>
      </c>
      <c r="G12" s="9">
        <f t="shared" si="0"/>
        <v>400</v>
      </c>
      <c r="H12" s="9">
        <f t="shared" si="1"/>
        <v>-200</v>
      </c>
      <c r="I12" s="9">
        <f t="shared" si="2"/>
        <v>447.21359549995793</v>
      </c>
      <c r="J12" s="92">
        <f t="shared" si="3"/>
        <v>0.89442719099991586</v>
      </c>
      <c r="K12" s="92">
        <f t="shared" si="4"/>
        <v>-0.44721359549995793</v>
      </c>
      <c r="L12" s="22">
        <f>GRAFICA_69!N34</f>
        <v>12</v>
      </c>
      <c r="M12" s="22">
        <f>GRAFICA_69!O34</f>
        <v>2100000</v>
      </c>
      <c r="N12" s="6">
        <f t="shared" si="5"/>
        <v>56348.9130329947</v>
      </c>
    </row>
    <row r="13" spans="2:14" ht="19.05" customHeight="1" x14ac:dyDescent="0.3">
      <c r="B13" s="59">
        <v>8</v>
      </c>
      <c r="C13" s="22">
        <f>GRAFICA_69!E35</f>
        <v>400</v>
      </c>
      <c r="D13" s="22">
        <f>GRAFICA_69!F35</f>
        <v>0</v>
      </c>
      <c r="E13" s="22">
        <f>GRAFICA_69!G35</f>
        <v>800</v>
      </c>
      <c r="F13" s="22">
        <f>GRAFICA_69!H35</f>
        <v>200</v>
      </c>
      <c r="G13" s="9">
        <f t="shared" si="0"/>
        <v>400</v>
      </c>
      <c r="H13" s="9">
        <f t="shared" si="1"/>
        <v>200</v>
      </c>
      <c r="I13" s="9">
        <f t="shared" si="2"/>
        <v>447.21359549995793</v>
      </c>
      <c r="J13" s="92">
        <f t="shared" si="3"/>
        <v>0.89442719099991586</v>
      </c>
      <c r="K13" s="92">
        <f t="shared" si="4"/>
        <v>0.44721359549995793</v>
      </c>
      <c r="L13" s="22">
        <f>GRAFICA_69!N35</f>
        <v>12</v>
      </c>
      <c r="M13" s="22">
        <f>GRAFICA_69!O35</f>
        <v>2100000</v>
      </c>
      <c r="N13" s="6">
        <f t="shared" si="5"/>
        <v>56348.9130329947</v>
      </c>
    </row>
    <row r="14" spans="2:14" ht="19.05" customHeight="1" x14ac:dyDescent="0.3">
      <c r="B14" s="60">
        <v>9</v>
      </c>
      <c r="C14" s="22">
        <f>GRAFICA_69!E36</f>
        <v>400</v>
      </c>
      <c r="D14" s="22">
        <f>GRAFICA_69!F36</f>
        <v>400</v>
      </c>
      <c r="E14" s="22">
        <f>GRAFICA_69!G36</f>
        <v>800</v>
      </c>
      <c r="F14" s="22">
        <f>GRAFICA_69!H36</f>
        <v>200</v>
      </c>
      <c r="G14" s="9">
        <f t="shared" si="0"/>
        <v>400</v>
      </c>
      <c r="H14" s="9">
        <f t="shared" si="1"/>
        <v>-200</v>
      </c>
      <c r="I14" s="9">
        <f t="shared" si="2"/>
        <v>447.21359549995793</v>
      </c>
      <c r="J14" s="92">
        <f t="shared" si="3"/>
        <v>0.89442719099991586</v>
      </c>
      <c r="K14" s="92">
        <f t="shared" si="4"/>
        <v>-0.44721359549995793</v>
      </c>
      <c r="L14" s="22">
        <f>GRAFICA_69!N36</f>
        <v>12</v>
      </c>
      <c r="M14" s="22">
        <f>GRAFICA_69!O36</f>
        <v>2100000</v>
      </c>
      <c r="N14" s="6">
        <f t="shared" si="5"/>
        <v>56348.9130329947</v>
      </c>
    </row>
    <row r="15" spans="2:14" ht="19.05" customHeight="1" x14ac:dyDescent="0.3">
      <c r="B15" s="67">
        <v>10</v>
      </c>
      <c r="C15" s="22">
        <f>GRAFICA_69!E37</f>
        <v>400</v>
      </c>
      <c r="D15" s="22">
        <f>GRAFICA_69!F37</f>
        <v>0</v>
      </c>
      <c r="E15" s="22">
        <f>GRAFICA_69!G37</f>
        <v>400</v>
      </c>
      <c r="F15" s="22">
        <f>GRAFICA_69!H37</f>
        <v>400</v>
      </c>
      <c r="G15" s="9">
        <f t="shared" si="0"/>
        <v>0</v>
      </c>
      <c r="H15" s="9">
        <f t="shared" si="1"/>
        <v>400</v>
      </c>
      <c r="I15" s="9">
        <f t="shared" si="2"/>
        <v>400</v>
      </c>
      <c r="J15" s="92">
        <f t="shared" si="3"/>
        <v>0</v>
      </c>
      <c r="K15" s="92">
        <f t="shared" si="4"/>
        <v>1</v>
      </c>
      <c r="L15" s="22">
        <f>GRAFICA_69!N37</f>
        <v>12</v>
      </c>
      <c r="M15" s="22">
        <f>GRAFICA_69!O37</f>
        <v>2100000</v>
      </c>
      <c r="N15" s="6">
        <f t="shared" si="5"/>
        <v>63000</v>
      </c>
    </row>
    <row r="16" spans="2:14" ht="19.05" customHeight="1" x14ac:dyDescent="0.3">
      <c r="B16" s="68">
        <v>11</v>
      </c>
      <c r="C16" s="22">
        <f>GRAFICA_69!E38</f>
        <v>400</v>
      </c>
      <c r="D16" s="22">
        <f>GRAFICA_69!F38</f>
        <v>200</v>
      </c>
      <c r="E16" s="22">
        <f>GRAFICA_69!G38</f>
        <v>800</v>
      </c>
      <c r="F16" s="22">
        <f>GRAFICA_69!H38</f>
        <v>200</v>
      </c>
      <c r="G16" s="9">
        <f t="shared" si="0"/>
        <v>400</v>
      </c>
      <c r="H16" s="9">
        <f t="shared" si="1"/>
        <v>0</v>
      </c>
      <c r="I16" s="9">
        <f t="shared" si="2"/>
        <v>400</v>
      </c>
      <c r="J16" s="92">
        <f t="shared" si="3"/>
        <v>1</v>
      </c>
      <c r="K16" s="92">
        <f t="shared" si="4"/>
        <v>0</v>
      </c>
      <c r="L16" s="22">
        <f>GRAFICA_69!N38</f>
        <v>12</v>
      </c>
      <c r="M16" s="22">
        <f>GRAFICA_69!O38</f>
        <v>2100000</v>
      </c>
      <c r="N16" s="6">
        <f t="shared" si="5"/>
        <v>63000</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GRAFICA_69!C28</f>
        <v>1</v>
      </c>
      <c r="D20" s="23">
        <f>GRAFICA_69!C28</f>
        <v>1</v>
      </c>
      <c r="E20" s="23">
        <f>GRAFICA_69!D28</f>
        <v>2</v>
      </c>
      <c r="F20" s="23">
        <f>GRAFICA_69!D28</f>
        <v>2</v>
      </c>
    </row>
    <row r="21" spans="2:6" ht="19.05" customHeight="1" x14ac:dyDescent="0.3">
      <c r="B21" s="25">
        <v>2</v>
      </c>
      <c r="C21" s="23">
        <f>GRAFICA_69!C29</f>
        <v>1</v>
      </c>
      <c r="D21" s="23">
        <f>GRAFICA_69!C29</f>
        <v>1</v>
      </c>
      <c r="E21" s="23">
        <f>GRAFICA_69!D29</f>
        <v>4</v>
      </c>
      <c r="F21" s="23">
        <f>GRAFICA_69!D29</f>
        <v>4</v>
      </c>
    </row>
    <row r="22" spans="2:6" ht="19.05" customHeight="1" x14ac:dyDescent="0.3">
      <c r="B22" s="26">
        <v>3</v>
      </c>
      <c r="C22" s="23">
        <f>GRAFICA_69!C30</f>
        <v>2</v>
      </c>
      <c r="D22" s="23">
        <f>GRAFICA_69!C30</f>
        <v>2</v>
      </c>
      <c r="E22" s="23">
        <f>GRAFICA_69!D30</f>
        <v>5</v>
      </c>
      <c r="F22" s="23">
        <f>GRAFICA_69!D30</f>
        <v>5</v>
      </c>
    </row>
    <row r="23" spans="2:6" ht="19.05" customHeight="1" x14ac:dyDescent="0.3">
      <c r="B23" s="43">
        <v>4</v>
      </c>
      <c r="C23" s="23">
        <f>GRAFICA_69!C31</f>
        <v>4</v>
      </c>
      <c r="D23" s="23">
        <f>GRAFICA_69!C31</f>
        <v>4</v>
      </c>
      <c r="E23" s="23">
        <f>GRAFICA_69!D31</f>
        <v>3</v>
      </c>
      <c r="F23" s="23">
        <f>GRAFICA_69!D31</f>
        <v>3</v>
      </c>
    </row>
    <row r="24" spans="2:6" ht="19.05" customHeight="1" x14ac:dyDescent="0.3">
      <c r="B24" s="44">
        <v>5</v>
      </c>
      <c r="C24" s="23">
        <f>GRAFICA_69!C32</f>
        <v>5</v>
      </c>
      <c r="D24" s="23">
        <f>GRAFICA_69!C32</f>
        <v>5</v>
      </c>
      <c r="E24" s="23">
        <f>GRAFICA_69!D32</f>
        <v>3</v>
      </c>
      <c r="F24" s="23">
        <f>GRAFICA_69!D32</f>
        <v>3</v>
      </c>
    </row>
    <row r="25" spans="2:6" ht="19.05" customHeight="1" x14ac:dyDescent="0.3">
      <c r="B25" s="51">
        <v>6</v>
      </c>
      <c r="C25" s="23">
        <f>GRAFICA_69!C33</f>
        <v>1</v>
      </c>
      <c r="D25" s="23">
        <f>GRAFICA_69!C33</f>
        <v>1</v>
      </c>
      <c r="E25" s="23">
        <f>GRAFICA_69!D33</f>
        <v>3</v>
      </c>
      <c r="F25" s="23">
        <f>GRAFICA_69!D33</f>
        <v>3</v>
      </c>
    </row>
    <row r="26" spans="2:6" ht="19.05" customHeight="1" x14ac:dyDescent="0.3">
      <c r="B26" s="52">
        <v>7</v>
      </c>
      <c r="C26" s="23">
        <f>GRAFICA_69!C34</f>
        <v>2</v>
      </c>
      <c r="D26" s="23">
        <f>GRAFICA_69!C34</f>
        <v>2</v>
      </c>
      <c r="E26" s="23">
        <f>GRAFICA_69!D34</f>
        <v>3</v>
      </c>
      <c r="F26" s="23">
        <f>GRAFICA_69!D34</f>
        <v>3</v>
      </c>
    </row>
    <row r="27" spans="2:6" ht="19.05" customHeight="1" x14ac:dyDescent="0.3">
      <c r="B27" s="59">
        <v>8</v>
      </c>
      <c r="C27" s="23">
        <f>GRAFICA_69!C35</f>
        <v>4</v>
      </c>
      <c r="D27" s="23">
        <f>GRAFICA_69!C35</f>
        <v>4</v>
      </c>
      <c r="E27" s="23">
        <f>GRAFICA_69!D35</f>
        <v>6</v>
      </c>
      <c r="F27" s="23">
        <f>GRAFICA_69!D35</f>
        <v>6</v>
      </c>
    </row>
    <row r="28" spans="2:6" ht="19.05" customHeight="1" x14ac:dyDescent="0.3">
      <c r="B28" s="60">
        <v>9</v>
      </c>
      <c r="C28" s="23">
        <f>GRAFICA_69!C36</f>
        <v>5</v>
      </c>
      <c r="D28" s="23">
        <f>GRAFICA_69!C36</f>
        <v>5</v>
      </c>
      <c r="E28" s="23">
        <f>GRAFICA_69!D36</f>
        <v>6</v>
      </c>
      <c r="F28" s="23">
        <f>GRAFICA_69!D36</f>
        <v>6</v>
      </c>
    </row>
    <row r="29" spans="2:6" ht="19.05" customHeight="1" x14ac:dyDescent="0.3">
      <c r="B29" s="67">
        <v>10</v>
      </c>
      <c r="C29" s="23">
        <f>GRAFICA_69!C37</f>
        <v>4</v>
      </c>
      <c r="D29" s="23">
        <f>GRAFICA_69!C37</f>
        <v>4</v>
      </c>
      <c r="E29" s="23">
        <f>GRAFICA_69!D37</f>
        <v>5</v>
      </c>
      <c r="F29" s="23">
        <f>GRAFICA_69!D37</f>
        <v>5</v>
      </c>
    </row>
    <row r="30" spans="2:6" ht="19.05" customHeight="1" x14ac:dyDescent="0.3">
      <c r="B30" s="68">
        <v>11</v>
      </c>
      <c r="C30" s="23">
        <f>GRAFICA_69!C38</f>
        <v>3</v>
      </c>
      <c r="D30" s="23">
        <f>GRAFICA_69!C38</f>
        <v>3</v>
      </c>
      <c r="E30" s="23">
        <f>GRAFICA_69!D38</f>
        <v>6</v>
      </c>
      <c r="F30" s="23">
        <f>GRAFICA_69!D38</f>
        <v>6</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0</v>
      </c>
      <c r="C34" s="7">
        <f>J6*K6*N6</f>
        <v>0</v>
      </c>
      <c r="D34" s="7">
        <f>-B34</f>
        <v>0</v>
      </c>
      <c r="E34" s="7">
        <f>-C34</f>
        <v>0</v>
      </c>
      <c r="F34" s="27" t="str">
        <f>B33</f>
        <v>U1X</v>
      </c>
    </row>
    <row r="35" spans="1:14" ht="16.8" customHeight="1" x14ac:dyDescent="0.3">
      <c r="A35" s="28" t="s">
        <v>177</v>
      </c>
      <c r="B35" s="7">
        <f>C34</f>
        <v>0</v>
      </c>
      <c r="C35" s="7">
        <f>K6*K6*N6</f>
        <v>63000</v>
      </c>
      <c r="D35" s="7">
        <f>-B35</f>
        <v>0</v>
      </c>
      <c r="E35" s="7">
        <f>-C35</f>
        <v>-63000</v>
      </c>
      <c r="F35" s="27" t="str">
        <f>C33</f>
        <v>U1Y</v>
      </c>
    </row>
    <row r="36" spans="1:14" x14ac:dyDescent="0.3">
      <c r="B36" s="7">
        <f>D34</f>
        <v>0</v>
      </c>
      <c r="C36" s="7">
        <f>E34</f>
        <v>0</v>
      </c>
      <c r="D36" s="7">
        <f>B34</f>
        <v>0</v>
      </c>
      <c r="E36" s="7">
        <f>C34</f>
        <v>0</v>
      </c>
      <c r="F36" s="27" t="str">
        <f>D33</f>
        <v>U2X</v>
      </c>
    </row>
    <row r="37" spans="1:14" x14ac:dyDescent="0.3">
      <c r="B37" s="7">
        <f>D35</f>
        <v>0</v>
      </c>
      <c r="C37" s="7">
        <f>E35</f>
        <v>-63000</v>
      </c>
      <c r="D37" s="7">
        <f>B35</f>
        <v>0</v>
      </c>
      <c r="E37" s="7">
        <f>C35</f>
        <v>63000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0</v>
      </c>
      <c r="C40" s="8">
        <f t="shared" si="6"/>
        <v>0</v>
      </c>
      <c r="D40" s="8">
        <f t="shared" si="6"/>
        <v>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63000</v>
      </c>
      <c r="D41" s="8">
        <f t="shared" si="6"/>
        <v>0</v>
      </c>
      <c r="E41" s="8">
        <f t="shared" si="6"/>
        <v>-63000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0</v>
      </c>
      <c r="C42" s="8">
        <f t="shared" si="6"/>
        <v>0</v>
      </c>
      <c r="D42" s="8">
        <f t="shared" si="6"/>
        <v>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-63000</v>
      </c>
      <c r="D43" s="8">
        <f t="shared" si="6"/>
        <v>0</v>
      </c>
      <c r="E43" s="8">
        <f t="shared" si="6"/>
        <v>63000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U1X</v>
      </c>
      <c r="C54" s="29" t="str">
        <f>CONCATENATE("U",D21,D$19)</f>
        <v>U1Y</v>
      </c>
      <c r="D54" s="29" t="str">
        <f>CONCATENATE("U",E21,E$19)</f>
        <v>U4X</v>
      </c>
      <c r="E54" s="29" t="str">
        <f>CONCATENATE("U",F21,F$19)</f>
        <v>U4Y</v>
      </c>
    </row>
    <row r="55" spans="1:14" x14ac:dyDescent="0.3">
      <c r="B55" s="30">
        <f>J7*J7*N7</f>
        <v>63000</v>
      </c>
      <c r="C55" s="30">
        <f>J7*K7*N7</f>
        <v>0</v>
      </c>
      <c r="D55" s="30">
        <f>-B55</f>
        <v>-63000</v>
      </c>
      <c r="E55" s="30">
        <f>-C55</f>
        <v>0</v>
      </c>
      <c r="F55" s="29" t="str">
        <f>B54</f>
        <v>U1X</v>
      </c>
    </row>
    <row r="56" spans="1:14" ht="16.8" customHeight="1" x14ac:dyDescent="0.3">
      <c r="A56" s="28" t="s">
        <v>191</v>
      </c>
      <c r="B56" s="30">
        <f>C55</f>
        <v>0</v>
      </c>
      <c r="C56" s="30">
        <f>K7*K7*N7</f>
        <v>0</v>
      </c>
      <c r="D56" s="30">
        <f>-B56</f>
        <v>0</v>
      </c>
      <c r="E56" s="30">
        <f>-C56</f>
        <v>0</v>
      </c>
      <c r="F56" s="29" t="str">
        <f>C54</f>
        <v>U1Y</v>
      </c>
    </row>
    <row r="57" spans="1:14" x14ac:dyDescent="0.3">
      <c r="B57" s="30">
        <f>D55</f>
        <v>-63000</v>
      </c>
      <c r="C57" s="30">
        <f>E55</f>
        <v>0</v>
      </c>
      <c r="D57" s="30">
        <f>B55</f>
        <v>63000</v>
      </c>
      <c r="E57" s="30">
        <f>C55</f>
        <v>0</v>
      </c>
      <c r="F57" s="29" t="str">
        <f>D54</f>
        <v>U4X</v>
      </c>
    </row>
    <row r="58" spans="1:14" x14ac:dyDescent="0.3">
      <c r="B58" s="30">
        <f>D56</f>
        <v>0</v>
      </c>
      <c r="C58" s="30">
        <f>E56</f>
        <v>0</v>
      </c>
      <c r="D58" s="30">
        <f>B56</f>
        <v>0</v>
      </c>
      <c r="E58" s="30">
        <f>C56</f>
        <v>0</v>
      </c>
      <c r="F58" s="29" t="str">
        <f>E54</f>
        <v>U4Y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31">
        <f t="shared" ref="B61:M72" si="7">IFERROR(INDEX($B$55:$E$58, MATCH($N61, $B$54:$E$54, 0), MATCH(B$60, $B$54:$E$54, 0)), 0)</f>
        <v>63000</v>
      </c>
      <c r="C61" s="31">
        <f t="shared" si="7"/>
        <v>0</v>
      </c>
      <c r="D61" s="9">
        <f t="shared" si="7"/>
        <v>0</v>
      </c>
      <c r="E61" s="9">
        <f t="shared" si="7"/>
        <v>0</v>
      </c>
      <c r="F61" s="9">
        <f t="shared" si="7"/>
        <v>0</v>
      </c>
      <c r="G61" s="9">
        <f t="shared" si="7"/>
        <v>0</v>
      </c>
      <c r="H61" s="31">
        <f t="shared" si="7"/>
        <v>-63000</v>
      </c>
      <c r="I61" s="31">
        <f t="shared" si="7"/>
        <v>0</v>
      </c>
      <c r="J61" s="9">
        <f t="shared" si="7"/>
        <v>0</v>
      </c>
      <c r="K61" s="9">
        <f t="shared" si="7"/>
        <v>0</v>
      </c>
      <c r="L61" s="9">
        <f t="shared" si="7"/>
        <v>0</v>
      </c>
      <c r="M61" s="9">
        <f t="shared" si="7"/>
        <v>0</v>
      </c>
      <c r="N61" s="29" t="s">
        <v>178</v>
      </c>
    </row>
    <row r="62" spans="1:14" ht="19.05" customHeight="1" x14ac:dyDescent="0.3">
      <c r="B62" s="31">
        <f t="shared" si="7"/>
        <v>0</v>
      </c>
      <c r="C62" s="31">
        <f t="shared" si="7"/>
        <v>0</v>
      </c>
      <c r="D62" s="9">
        <f t="shared" si="7"/>
        <v>0</v>
      </c>
      <c r="E62" s="9">
        <f t="shared" si="7"/>
        <v>0</v>
      </c>
      <c r="F62" s="9">
        <f t="shared" si="7"/>
        <v>0</v>
      </c>
      <c r="G62" s="9">
        <f t="shared" si="7"/>
        <v>0</v>
      </c>
      <c r="H62" s="31">
        <f t="shared" si="7"/>
        <v>0</v>
      </c>
      <c r="I62" s="31">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31">
        <f t="shared" si="7"/>
        <v>-63000</v>
      </c>
      <c r="C67" s="31">
        <f t="shared" si="7"/>
        <v>0</v>
      </c>
      <c r="D67" s="9">
        <f t="shared" si="7"/>
        <v>0</v>
      </c>
      <c r="E67" s="9">
        <f t="shared" si="7"/>
        <v>0</v>
      </c>
      <c r="F67" s="9">
        <f t="shared" si="7"/>
        <v>0</v>
      </c>
      <c r="G67" s="9">
        <f t="shared" si="7"/>
        <v>0</v>
      </c>
      <c r="H67" s="31">
        <f t="shared" si="7"/>
        <v>63000</v>
      </c>
      <c r="I67" s="31">
        <f t="shared" si="7"/>
        <v>0</v>
      </c>
      <c r="J67" s="9">
        <f t="shared" si="7"/>
        <v>0</v>
      </c>
      <c r="K67" s="9">
        <f t="shared" si="7"/>
        <v>0</v>
      </c>
      <c r="L67" s="9">
        <f t="shared" si="7"/>
        <v>0</v>
      </c>
      <c r="M67" s="9">
        <f t="shared" si="7"/>
        <v>0</v>
      </c>
      <c r="N67" s="29" t="s">
        <v>184</v>
      </c>
    </row>
    <row r="68" spans="1:14" ht="19.05" customHeight="1" x14ac:dyDescent="0.3">
      <c r="B68" s="31">
        <f t="shared" si="7"/>
        <v>0</v>
      </c>
      <c r="C68" s="31">
        <f t="shared" si="7"/>
        <v>0</v>
      </c>
      <c r="D68" s="9">
        <f t="shared" si="7"/>
        <v>0</v>
      </c>
      <c r="E68" s="9">
        <f t="shared" si="7"/>
        <v>0</v>
      </c>
      <c r="F68" s="9">
        <f t="shared" si="7"/>
        <v>0</v>
      </c>
      <c r="G68" s="9">
        <f t="shared" si="7"/>
        <v>0</v>
      </c>
      <c r="H68" s="31">
        <f t="shared" si="7"/>
        <v>0</v>
      </c>
      <c r="I68" s="31">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U2X</v>
      </c>
      <c r="C75" s="32" t="str">
        <f>CONCATENATE("U",D22,D$19)</f>
        <v>U2Y</v>
      </c>
      <c r="D75" s="32" t="str">
        <f>CONCATENATE("U",E22,E$19)</f>
        <v>U5X</v>
      </c>
      <c r="E75" s="32" t="str">
        <f>CONCATENATE("U",F22,F$19)</f>
        <v>U5Y</v>
      </c>
    </row>
    <row r="76" spans="1:14" x14ac:dyDescent="0.3">
      <c r="B76" s="33">
        <f>J8*J8*N8</f>
        <v>63000</v>
      </c>
      <c r="C76" s="33">
        <f>J8*K8*N8</f>
        <v>0</v>
      </c>
      <c r="D76" s="33">
        <f>-B76</f>
        <v>-63000</v>
      </c>
      <c r="E76" s="33">
        <f>-C76</f>
        <v>0</v>
      </c>
      <c r="F76" s="32" t="str">
        <f>B75</f>
        <v>U2X</v>
      </c>
    </row>
    <row r="77" spans="1:14" ht="16.8" customHeight="1" x14ac:dyDescent="0.3">
      <c r="A77" s="28" t="s">
        <v>193</v>
      </c>
      <c r="B77" s="33">
        <f>C76</f>
        <v>0</v>
      </c>
      <c r="C77" s="33">
        <f>K8*K8*N8</f>
        <v>0</v>
      </c>
      <c r="D77" s="33">
        <f>-B77</f>
        <v>0</v>
      </c>
      <c r="E77" s="33">
        <f>-C77</f>
        <v>0</v>
      </c>
      <c r="F77" s="32" t="str">
        <f>C75</f>
        <v>U2Y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34">
        <f t="shared" si="8"/>
        <v>63000</v>
      </c>
      <c r="E84" s="34">
        <f t="shared" si="8"/>
        <v>0</v>
      </c>
      <c r="F84" s="9">
        <f t="shared" si="8"/>
        <v>0</v>
      </c>
      <c r="G84" s="9">
        <f t="shared" si="8"/>
        <v>0</v>
      </c>
      <c r="H84" s="9">
        <f t="shared" si="8"/>
        <v>0</v>
      </c>
      <c r="I84" s="9">
        <f t="shared" si="8"/>
        <v>0</v>
      </c>
      <c r="J84" s="34">
        <f t="shared" si="8"/>
        <v>-63000</v>
      </c>
      <c r="K84" s="34">
        <f t="shared" si="8"/>
        <v>0</v>
      </c>
      <c r="L84" s="9">
        <f t="shared" si="8"/>
        <v>0</v>
      </c>
      <c r="M84" s="9">
        <f t="shared" si="8"/>
        <v>0</v>
      </c>
      <c r="N84" s="32" t="s">
        <v>180</v>
      </c>
    </row>
    <row r="85" spans="1:14" ht="19.05" customHeight="1" x14ac:dyDescent="0.3">
      <c r="B85" s="9">
        <f t="shared" si="8"/>
        <v>0</v>
      </c>
      <c r="C85" s="9">
        <f t="shared" si="8"/>
        <v>0</v>
      </c>
      <c r="D85" s="34">
        <f t="shared" si="8"/>
        <v>0</v>
      </c>
      <c r="E85" s="34">
        <f t="shared" si="8"/>
        <v>0</v>
      </c>
      <c r="F85" s="9">
        <f t="shared" si="8"/>
        <v>0</v>
      </c>
      <c r="G85" s="9">
        <f t="shared" si="8"/>
        <v>0</v>
      </c>
      <c r="H85" s="9">
        <f t="shared" si="8"/>
        <v>0</v>
      </c>
      <c r="I85" s="9">
        <f t="shared" si="8"/>
        <v>0</v>
      </c>
      <c r="J85" s="34">
        <f t="shared" si="8"/>
        <v>0</v>
      </c>
      <c r="K85" s="34">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185</v>
      </c>
    </row>
    <row r="90" spans="1:14" ht="19.05" customHeight="1" x14ac:dyDescent="0.3">
      <c r="B90" s="9">
        <f t="shared" si="8"/>
        <v>0</v>
      </c>
      <c r="C90" s="9">
        <f t="shared" si="8"/>
        <v>0</v>
      </c>
      <c r="D90" s="34">
        <f t="shared" si="8"/>
        <v>-63000</v>
      </c>
      <c r="E90" s="34">
        <f t="shared" si="8"/>
        <v>0</v>
      </c>
      <c r="F90" s="9">
        <f t="shared" si="8"/>
        <v>0</v>
      </c>
      <c r="G90" s="9">
        <f t="shared" si="8"/>
        <v>0</v>
      </c>
      <c r="H90" s="9">
        <f t="shared" si="8"/>
        <v>0</v>
      </c>
      <c r="I90" s="9">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34">
        <f t="shared" si="8"/>
        <v>0</v>
      </c>
      <c r="E91" s="34">
        <f t="shared" si="8"/>
        <v>0</v>
      </c>
      <c r="F91" s="9">
        <f t="shared" si="8"/>
        <v>0</v>
      </c>
      <c r="G91" s="9">
        <f t="shared" si="8"/>
        <v>0</v>
      </c>
      <c r="H91" s="9">
        <f t="shared" si="8"/>
        <v>0</v>
      </c>
      <c r="I91" s="9">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U4X</v>
      </c>
      <c r="C96" s="45" t="str">
        <f>CONCATENATE("U",D23,D$19)</f>
        <v>U4Y</v>
      </c>
      <c r="D96" s="45" t="str">
        <f>CONCATENATE("U",E23,E$19)</f>
        <v>U3X</v>
      </c>
      <c r="E96" s="45" t="str">
        <f>CONCATENATE("U",F23,F$19)</f>
        <v>U3Y</v>
      </c>
    </row>
    <row r="97" spans="1:14" x14ac:dyDescent="0.3">
      <c r="B97" s="46">
        <f>J9*J9*N9</f>
        <v>0</v>
      </c>
      <c r="C97" s="46">
        <f>J9*K9*N9</f>
        <v>0</v>
      </c>
      <c r="D97" s="46">
        <f>-B97</f>
        <v>0</v>
      </c>
      <c r="E97" s="46">
        <f>-C97</f>
        <v>0</v>
      </c>
      <c r="F97" s="45" t="str">
        <f>B96</f>
        <v>U4X</v>
      </c>
    </row>
    <row r="98" spans="1:14" ht="16.8" customHeight="1" x14ac:dyDescent="0.3">
      <c r="A98" s="28" t="s">
        <v>195</v>
      </c>
      <c r="B98" s="46">
        <f>C97</f>
        <v>0</v>
      </c>
      <c r="C98" s="46">
        <f>K9*K9*N9</f>
        <v>126000</v>
      </c>
      <c r="D98" s="46">
        <f>-B98</f>
        <v>0</v>
      </c>
      <c r="E98" s="46">
        <f>-C98</f>
        <v>-126000</v>
      </c>
      <c r="F98" s="45" t="str">
        <f>C96</f>
        <v>U4Y</v>
      </c>
    </row>
    <row r="99" spans="1:14" x14ac:dyDescent="0.3">
      <c r="B99" s="46">
        <f>D97</f>
        <v>0</v>
      </c>
      <c r="C99" s="46">
        <f>E97</f>
        <v>0</v>
      </c>
      <c r="D99" s="46">
        <f>B97</f>
        <v>0</v>
      </c>
      <c r="E99" s="46">
        <f>C97</f>
        <v>0</v>
      </c>
      <c r="F99" s="45" t="str">
        <f>D96</f>
        <v>U3X</v>
      </c>
    </row>
    <row r="100" spans="1:14" x14ac:dyDescent="0.3">
      <c r="B100" s="46">
        <f>D98</f>
        <v>0</v>
      </c>
      <c r="C100" s="46">
        <f>E98</f>
        <v>-126000</v>
      </c>
      <c r="D100" s="46">
        <f>B98</f>
        <v>0</v>
      </c>
      <c r="E100" s="46">
        <f>C98</f>
        <v>126000</v>
      </c>
      <c r="F100" s="45" t="str">
        <f>E96</f>
        <v>U3Y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47">
        <f t="shared" si="9"/>
        <v>0</v>
      </c>
      <c r="G107" s="47">
        <f t="shared" si="9"/>
        <v>0</v>
      </c>
      <c r="H107" s="47">
        <f t="shared" si="9"/>
        <v>0</v>
      </c>
      <c r="I107" s="47">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47">
        <f t="shared" si="9"/>
        <v>0</v>
      </c>
      <c r="G108" s="47">
        <f t="shared" si="9"/>
        <v>126000</v>
      </c>
      <c r="H108" s="47">
        <f t="shared" si="9"/>
        <v>0</v>
      </c>
      <c r="I108" s="47">
        <f t="shared" si="9"/>
        <v>-126000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47">
        <f t="shared" si="9"/>
        <v>0</v>
      </c>
      <c r="G109" s="47">
        <f t="shared" si="9"/>
        <v>0</v>
      </c>
      <c r="H109" s="47">
        <f t="shared" si="9"/>
        <v>0</v>
      </c>
      <c r="I109" s="47">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47">
        <f t="shared" si="9"/>
        <v>0</v>
      </c>
      <c r="G110" s="47">
        <f t="shared" si="9"/>
        <v>-126000</v>
      </c>
      <c r="H110" s="47">
        <f t="shared" si="9"/>
        <v>0</v>
      </c>
      <c r="I110" s="47">
        <f t="shared" si="9"/>
        <v>126000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45" t="s">
        <v>189</v>
      </c>
    </row>
    <row r="117" spans="1:14" ht="18" customHeight="1" x14ac:dyDescent="0.3">
      <c r="B117" s="48" t="str">
        <f>CONCATENATE("U",C24,C$19)</f>
        <v>U5X</v>
      </c>
      <c r="C117" s="48" t="str">
        <f>CONCATENATE("U",D24,D$19)</f>
        <v>U5Y</v>
      </c>
      <c r="D117" s="48" t="str">
        <f>CONCATENATE("U",E24,E$19)</f>
        <v>U3X</v>
      </c>
      <c r="E117" s="48" t="str">
        <f>CONCATENATE("U",F24,F$19)</f>
        <v>U3Y</v>
      </c>
    </row>
    <row r="118" spans="1:14" x14ac:dyDescent="0.3">
      <c r="B118" s="49">
        <f>J10*J10*N10</f>
        <v>0</v>
      </c>
      <c r="C118" s="49">
        <f>J10*K10*N10</f>
        <v>0</v>
      </c>
      <c r="D118" s="49">
        <f>-B118</f>
        <v>0</v>
      </c>
      <c r="E118" s="49">
        <f>-C118</f>
        <v>0</v>
      </c>
      <c r="F118" s="48" t="str">
        <f>B117</f>
        <v>U5X</v>
      </c>
    </row>
    <row r="119" spans="1:14" ht="16.8" customHeight="1" x14ac:dyDescent="0.3">
      <c r="A119" s="28" t="s">
        <v>197</v>
      </c>
      <c r="B119" s="49">
        <f>C118</f>
        <v>0</v>
      </c>
      <c r="C119" s="49">
        <f>K10*K10*N10</f>
        <v>126000</v>
      </c>
      <c r="D119" s="49">
        <f>-B119</f>
        <v>0</v>
      </c>
      <c r="E119" s="49">
        <f>-C119</f>
        <v>-126000</v>
      </c>
      <c r="F119" s="48" t="str">
        <f>C117</f>
        <v>U5Y</v>
      </c>
    </row>
    <row r="120" spans="1:14" x14ac:dyDescent="0.3">
      <c r="B120" s="49">
        <f>D118</f>
        <v>0</v>
      </c>
      <c r="C120" s="49">
        <f>E118</f>
        <v>0</v>
      </c>
      <c r="D120" s="49">
        <f>B118</f>
        <v>0</v>
      </c>
      <c r="E120" s="49">
        <f>C118</f>
        <v>0</v>
      </c>
      <c r="F120" s="48" t="str">
        <f>D117</f>
        <v>U3X</v>
      </c>
    </row>
    <row r="121" spans="1:14" x14ac:dyDescent="0.3">
      <c r="B121" s="49">
        <f>D119</f>
        <v>0</v>
      </c>
      <c r="C121" s="49">
        <f>E119</f>
        <v>-126000</v>
      </c>
      <c r="D121" s="49">
        <f>B119</f>
        <v>0</v>
      </c>
      <c r="E121" s="49">
        <f>C119</f>
        <v>126000</v>
      </c>
      <c r="F121" s="48" t="str">
        <f>E117</f>
        <v>U3Y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9">
        <f t="shared" ref="B124:M135" si="10">IFERROR(INDEX($B$118:$E$121, MATCH($N124, $B$117:$E$117, 0), MATCH(B$123, $B$117:$E$117, 0)), 0)</f>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178</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50">
        <f t="shared" si="10"/>
        <v>0</v>
      </c>
      <c r="G128" s="50">
        <f t="shared" si="10"/>
        <v>0</v>
      </c>
      <c r="H128" s="9">
        <f t="shared" si="10"/>
        <v>0</v>
      </c>
      <c r="I128" s="9">
        <f t="shared" si="10"/>
        <v>0</v>
      </c>
      <c r="J128" s="50">
        <f t="shared" si="10"/>
        <v>0</v>
      </c>
      <c r="K128" s="50">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50">
        <f t="shared" si="10"/>
        <v>0</v>
      </c>
      <c r="G129" s="50">
        <f t="shared" si="10"/>
        <v>126000</v>
      </c>
      <c r="H129" s="9">
        <f t="shared" si="10"/>
        <v>0</v>
      </c>
      <c r="I129" s="9">
        <f t="shared" si="10"/>
        <v>0</v>
      </c>
      <c r="J129" s="50">
        <f t="shared" si="10"/>
        <v>0</v>
      </c>
      <c r="K129" s="50">
        <f t="shared" si="10"/>
        <v>-126000</v>
      </c>
      <c r="L129" s="9">
        <f t="shared" si="10"/>
        <v>0</v>
      </c>
      <c r="M129" s="9">
        <f t="shared" si="10"/>
        <v>0</v>
      </c>
      <c r="N129" s="48" t="s">
        <v>183</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184</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50">
        <f t="shared" si="10"/>
        <v>0</v>
      </c>
      <c r="G132" s="50">
        <f t="shared" si="10"/>
        <v>0</v>
      </c>
      <c r="H132" s="9">
        <f t="shared" si="10"/>
        <v>0</v>
      </c>
      <c r="I132" s="9">
        <f t="shared" si="10"/>
        <v>0</v>
      </c>
      <c r="J132" s="50">
        <f t="shared" si="10"/>
        <v>0</v>
      </c>
      <c r="K132" s="50">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50">
        <f t="shared" si="10"/>
        <v>0</v>
      </c>
      <c r="G133" s="50">
        <f t="shared" si="10"/>
        <v>-126000</v>
      </c>
      <c r="H133" s="9">
        <f t="shared" si="10"/>
        <v>0</v>
      </c>
      <c r="I133" s="9">
        <f t="shared" si="10"/>
        <v>0</v>
      </c>
      <c r="J133" s="50">
        <f t="shared" si="10"/>
        <v>0</v>
      </c>
      <c r="K133" s="50">
        <f t="shared" si="10"/>
        <v>126000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U1X</v>
      </c>
      <c r="C138" s="53" t="str">
        <f>CONCATENATE("U",D25,D$19)</f>
        <v>U1Y</v>
      </c>
      <c r="D138" s="53" t="str">
        <f>CONCATENATE("U",E25,E$19)</f>
        <v>U3X</v>
      </c>
      <c r="E138" s="53" t="str">
        <f>CONCATENATE("U",F25,F$19)</f>
        <v>U3Y</v>
      </c>
    </row>
    <row r="139" spans="1:14" x14ac:dyDescent="0.3">
      <c r="B139" s="54">
        <f>J11*J11*N11</f>
        <v>45079.130426395757</v>
      </c>
      <c r="C139" s="54">
        <f>J11*K11*N11</f>
        <v>22539.565213197879</v>
      </c>
      <c r="D139" s="54">
        <f>-B139</f>
        <v>-45079.130426395757</v>
      </c>
      <c r="E139" s="54">
        <f>-C139</f>
        <v>-22539.565213197879</v>
      </c>
      <c r="F139" s="53" t="str">
        <f>B138</f>
        <v>U1X</v>
      </c>
    </row>
    <row r="140" spans="1:14" ht="16.8" customHeight="1" x14ac:dyDescent="0.3">
      <c r="A140" s="28" t="s">
        <v>199</v>
      </c>
      <c r="B140" s="54">
        <f>C139</f>
        <v>22539.565213197879</v>
      </c>
      <c r="C140" s="54">
        <f>K11*K11*N11</f>
        <v>11269.782606598939</v>
      </c>
      <c r="D140" s="54">
        <f>-B140</f>
        <v>-22539.565213197879</v>
      </c>
      <c r="E140" s="54">
        <f>-C140</f>
        <v>-11269.782606598939</v>
      </c>
      <c r="F140" s="53" t="str">
        <f>C138</f>
        <v>U1Y</v>
      </c>
    </row>
    <row r="141" spans="1:14" x14ac:dyDescent="0.3">
      <c r="B141" s="54">
        <f>D139</f>
        <v>-45079.130426395757</v>
      </c>
      <c r="C141" s="54">
        <f>E139</f>
        <v>-22539.565213197879</v>
      </c>
      <c r="D141" s="54">
        <f>B139</f>
        <v>45079.130426395757</v>
      </c>
      <c r="E141" s="54">
        <f>C139</f>
        <v>22539.565213197879</v>
      </c>
      <c r="F141" s="53" t="str">
        <f>D138</f>
        <v>U3X</v>
      </c>
    </row>
    <row r="142" spans="1:14" x14ac:dyDescent="0.3">
      <c r="B142" s="54">
        <f>D140</f>
        <v>-22539.565213197879</v>
      </c>
      <c r="C142" s="54">
        <f>E140</f>
        <v>-11269.782606598939</v>
      </c>
      <c r="D142" s="54">
        <f>B140</f>
        <v>22539.565213197879</v>
      </c>
      <c r="E142" s="54">
        <f>C140</f>
        <v>11269.782606598939</v>
      </c>
      <c r="F142" s="53" t="str">
        <f>E138</f>
        <v>U3Y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55">
        <f t="shared" ref="B145:M156" si="11">IFERROR(INDEX($B$139:$E$142, MATCH($N145, $B$138:$E$138, 0), MATCH(B$144, $B$138:$E$138, 0)), 0)</f>
        <v>45079.130426395757</v>
      </c>
      <c r="C145" s="55">
        <f t="shared" si="11"/>
        <v>22539.565213197879</v>
      </c>
      <c r="D145" s="9">
        <f t="shared" si="11"/>
        <v>0</v>
      </c>
      <c r="E145" s="9">
        <f t="shared" si="11"/>
        <v>0</v>
      </c>
      <c r="F145" s="55">
        <f t="shared" si="11"/>
        <v>-45079.130426395757</v>
      </c>
      <c r="G145" s="55">
        <f t="shared" si="11"/>
        <v>-22539.565213197879</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55">
        <f t="shared" si="11"/>
        <v>22539.565213197879</v>
      </c>
      <c r="C146" s="55">
        <f t="shared" si="11"/>
        <v>11269.782606598939</v>
      </c>
      <c r="D146" s="9">
        <f t="shared" si="11"/>
        <v>0</v>
      </c>
      <c r="E146" s="9">
        <f t="shared" si="11"/>
        <v>0</v>
      </c>
      <c r="F146" s="55">
        <f t="shared" si="11"/>
        <v>-22539.565213197879</v>
      </c>
      <c r="G146" s="55">
        <f t="shared" si="11"/>
        <v>-11269.782606598939</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180</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181</v>
      </c>
    </row>
    <row r="149" spans="1:14" ht="19.05" customHeight="1" x14ac:dyDescent="0.3">
      <c r="B149" s="55">
        <f t="shared" si="11"/>
        <v>-45079.130426395757</v>
      </c>
      <c r="C149" s="55">
        <f t="shared" si="11"/>
        <v>-22539.565213197879</v>
      </c>
      <c r="D149" s="9">
        <f t="shared" si="11"/>
        <v>0</v>
      </c>
      <c r="E149" s="9">
        <f t="shared" si="11"/>
        <v>0</v>
      </c>
      <c r="F149" s="55">
        <f t="shared" si="11"/>
        <v>45079.130426395757</v>
      </c>
      <c r="G149" s="55">
        <f t="shared" si="11"/>
        <v>22539.565213197879</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55">
        <f t="shared" si="11"/>
        <v>-22539.565213197879</v>
      </c>
      <c r="C150" s="55">
        <f t="shared" si="11"/>
        <v>-11269.782606598939</v>
      </c>
      <c r="D150" s="9">
        <f t="shared" si="11"/>
        <v>0</v>
      </c>
      <c r="E150" s="9">
        <f t="shared" si="11"/>
        <v>0</v>
      </c>
      <c r="F150" s="55">
        <f t="shared" si="11"/>
        <v>22539.565213197879</v>
      </c>
      <c r="G150" s="55">
        <f t="shared" si="11"/>
        <v>11269.782606598939</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186</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U2X</v>
      </c>
      <c r="C159" s="56" t="str">
        <f>CONCATENATE("U",D26,D$19)</f>
        <v>U2Y</v>
      </c>
      <c r="D159" s="56" t="str">
        <f>CONCATENATE("U",E26,E$19)</f>
        <v>U3X</v>
      </c>
      <c r="E159" s="56" t="str">
        <f>CONCATENATE("U",F26,F$19)</f>
        <v>U3Y</v>
      </c>
    </row>
    <row r="160" spans="1:14" x14ac:dyDescent="0.3">
      <c r="B160" s="57">
        <f>J12*J12*N12</f>
        <v>45079.130426395757</v>
      </c>
      <c r="C160" s="57">
        <f>J12*K12*N12</f>
        <v>-22539.565213197879</v>
      </c>
      <c r="D160" s="57">
        <f>-B160</f>
        <v>-45079.130426395757</v>
      </c>
      <c r="E160" s="57">
        <f>-C160</f>
        <v>22539.565213197879</v>
      </c>
      <c r="F160" s="56" t="str">
        <f>B159</f>
        <v>U2X</v>
      </c>
    </row>
    <row r="161" spans="1:14" ht="16.8" customHeight="1" x14ac:dyDescent="0.3">
      <c r="A161" s="28" t="s">
        <v>201</v>
      </c>
      <c r="B161" s="57">
        <f>C160</f>
        <v>-22539.565213197879</v>
      </c>
      <c r="C161" s="57">
        <f>K12*K12*N12</f>
        <v>11269.782606598939</v>
      </c>
      <c r="D161" s="57">
        <f>-B161</f>
        <v>22539.565213197879</v>
      </c>
      <c r="E161" s="57">
        <f>-C161</f>
        <v>-11269.782606598939</v>
      </c>
      <c r="F161" s="56" t="str">
        <f>C159</f>
        <v>U2Y</v>
      </c>
    </row>
    <row r="162" spans="1:14" x14ac:dyDescent="0.3">
      <c r="B162" s="57">
        <f>D160</f>
        <v>-45079.130426395757</v>
      </c>
      <c r="C162" s="57">
        <f>E160</f>
        <v>22539.565213197879</v>
      </c>
      <c r="D162" s="57">
        <f>B160</f>
        <v>45079.130426395757</v>
      </c>
      <c r="E162" s="57">
        <f>C160</f>
        <v>-22539.565213197879</v>
      </c>
      <c r="F162" s="56" t="str">
        <f>D159</f>
        <v>U3X</v>
      </c>
    </row>
    <row r="163" spans="1:14" x14ac:dyDescent="0.3">
      <c r="B163" s="57">
        <f>D161</f>
        <v>22539.565213197879</v>
      </c>
      <c r="C163" s="57">
        <f>E161</f>
        <v>-11269.782606598939</v>
      </c>
      <c r="D163" s="57">
        <f>B161</f>
        <v>-22539.565213197879</v>
      </c>
      <c r="E163" s="57">
        <f>C161</f>
        <v>11269.782606598939</v>
      </c>
      <c r="F163" s="56" t="str">
        <f>E159</f>
        <v>U3Y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58">
        <f t="shared" si="12"/>
        <v>45079.130426395757</v>
      </c>
      <c r="E168" s="58">
        <f t="shared" si="12"/>
        <v>-22539.565213197879</v>
      </c>
      <c r="F168" s="58">
        <f t="shared" si="12"/>
        <v>-45079.130426395757</v>
      </c>
      <c r="G168" s="58">
        <f t="shared" si="12"/>
        <v>22539.565213197879</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58">
        <f t="shared" si="12"/>
        <v>-22539.565213197879</v>
      </c>
      <c r="E169" s="58">
        <f t="shared" si="12"/>
        <v>11269.782606598939</v>
      </c>
      <c r="F169" s="58">
        <f t="shared" si="12"/>
        <v>22539.565213197879</v>
      </c>
      <c r="G169" s="58">
        <f t="shared" si="12"/>
        <v>-11269.782606598939</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58">
        <f t="shared" si="12"/>
        <v>-45079.130426395757</v>
      </c>
      <c r="E170" s="58">
        <f t="shared" si="12"/>
        <v>22539.565213197879</v>
      </c>
      <c r="F170" s="58">
        <f t="shared" si="12"/>
        <v>45079.130426395757</v>
      </c>
      <c r="G170" s="58">
        <f t="shared" si="12"/>
        <v>-22539.565213197879</v>
      </c>
      <c r="H170" s="9">
        <f t="shared" si="12"/>
        <v>0</v>
      </c>
      <c r="I170" s="9">
        <f t="shared" si="12"/>
        <v>0</v>
      </c>
      <c r="J170" s="9">
        <f t="shared" si="12"/>
        <v>0</v>
      </c>
      <c r="K170" s="9">
        <f t="shared" si="12"/>
        <v>0</v>
      </c>
      <c r="L170" s="9">
        <f t="shared" si="12"/>
        <v>0</v>
      </c>
      <c r="M170" s="9">
        <f t="shared" si="12"/>
        <v>0</v>
      </c>
      <c r="N170" s="56" t="s">
        <v>182</v>
      </c>
    </row>
    <row r="171" spans="1:14" ht="19.05" customHeight="1" x14ac:dyDescent="0.3">
      <c r="A171" s="28" t="s">
        <v>202</v>
      </c>
      <c r="B171" s="9">
        <f t="shared" si="12"/>
        <v>0</v>
      </c>
      <c r="C171" s="9">
        <f t="shared" si="12"/>
        <v>0</v>
      </c>
      <c r="D171" s="58">
        <f t="shared" si="12"/>
        <v>22539.565213197879</v>
      </c>
      <c r="E171" s="58">
        <f t="shared" si="12"/>
        <v>-11269.782606598939</v>
      </c>
      <c r="F171" s="58">
        <f t="shared" si="12"/>
        <v>-22539.565213197879</v>
      </c>
      <c r="G171" s="58">
        <f t="shared" si="12"/>
        <v>11269.782606598939</v>
      </c>
      <c r="H171" s="9">
        <f t="shared" si="12"/>
        <v>0</v>
      </c>
      <c r="I171" s="9">
        <f t="shared" si="12"/>
        <v>0</v>
      </c>
      <c r="J171" s="9">
        <f t="shared" si="12"/>
        <v>0</v>
      </c>
      <c r="K171" s="9">
        <f t="shared" si="12"/>
        <v>0</v>
      </c>
      <c r="L171" s="9">
        <f t="shared" si="12"/>
        <v>0</v>
      </c>
      <c r="M171" s="9">
        <f t="shared" si="12"/>
        <v>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188</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189</v>
      </c>
    </row>
    <row r="180" spans="1:14" ht="18" customHeight="1" x14ac:dyDescent="0.3">
      <c r="B180" s="61" t="str">
        <f>CONCATENATE("U",C27,C$19)</f>
        <v>U4X</v>
      </c>
      <c r="C180" s="61" t="str">
        <f>CONCATENATE("U",D27,D$19)</f>
        <v>U4Y</v>
      </c>
      <c r="D180" s="61" t="str">
        <f>CONCATENATE("U",E27,E$19)</f>
        <v>U6X</v>
      </c>
      <c r="E180" s="61" t="str">
        <f>CONCATENATE("U",F27,F$19)</f>
        <v>U6Y</v>
      </c>
    </row>
    <row r="181" spans="1:14" x14ac:dyDescent="0.3">
      <c r="B181" s="62">
        <f>J13*J13*N13</f>
        <v>45079.130426395757</v>
      </c>
      <c r="C181" s="62">
        <f>J13*K13*N13</f>
        <v>22539.565213197879</v>
      </c>
      <c r="D181" s="62">
        <f>-B181</f>
        <v>-45079.130426395757</v>
      </c>
      <c r="E181" s="62">
        <f>-C181</f>
        <v>-22539.565213197879</v>
      </c>
      <c r="F181" s="61" t="str">
        <f>B180</f>
        <v>U4X</v>
      </c>
    </row>
    <row r="182" spans="1:14" ht="16.8" customHeight="1" x14ac:dyDescent="0.3">
      <c r="A182" s="28" t="s">
        <v>203</v>
      </c>
      <c r="B182" s="62">
        <f>C181</f>
        <v>22539.565213197879</v>
      </c>
      <c r="C182" s="62">
        <f>K13*K13*N13</f>
        <v>11269.782606598939</v>
      </c>
      <c r="D182" s="62">
        <f>-B182</f>
        <v>-22539.565213197879</v>
      </c>
      <c r="E182" s="62">
        <f>-C182</f>
        <v>-11269.782606598939</v>
      </c>
      <c r="F182" s="61" t="str">
        <f>C180</f>
        <v>U4Y</v>
      </c>
    </row>
    <row r="183" spans="1:14" x14ac:dyDescent="0.3">
      <c r="B183" s="62">
        <f>D181</f>
        <v>-45079.130426395757</v>
      </c>
      <c r="C183" s="62">
        <f>E181</f>
        <v>-22539.565213197879</v>
      </c>
      <c r="D183" s="62">
        <f>B181</f>
        <v>45079.130426395757</v>
      </c>
      <c r="E183" s="62">
        <f>C181</f>
        <v>22539.565213197879</v>
      </c>
      <c r="F183" s="61" t="str">
        <f>D180</f>
        <v>U6X</v>
      </c>
    </row>
    <row r="184" spans="1:14" x14ac:dyDescent="0.3">
      <c r="B184" s="62">
        <f>D182</f>
        <v>-22539.565213197879</v>
      </c>
      <c r="C184" s="62">
        <f>E182</f>
        <v>-11269.782606598939</v>
      </c>
      <c r="D184" s="62">
        <f>B182</f>
        <v>22539.565213197879</v>
      </c>
      <c r="E184" s="62">
        <f>C182</f>
        <v>11269.782606598939</v>
      </c>
      <c r="F184" s="61" t="str">
        <f>E180</f>
        <v>U6Y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9">
        <f t="shared" ref="B187:M198" si="13">IFERROR(INDEX($B$181:$E$184, MATCH($N187, $B$180:$E$180, 0), MATCH(B$186, $B$180:$E$180, 0)), 0)</f>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178</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45079.130426395757</v>
      </c>
      <c r="I193" s="63">
        <f t="shared" si="13"/>
        <v>22539.565213197879</v>
      </c>
      <c r="J193" s="9">
        <f t="shared" si="13"/>
        <v>0</v>
      </c>
      <c r="K193" s="9">
        <f t="shared" si="13"/>
        <v>0</v>
      </c>
      <c r="L193" s="63">
        <f t="shared" si="13"/>
        <v>-45079.130426395757</v>
      </c>
      <c r="M193" s="63">
        <f t="shared" si="13"/>
        <v>-22539.565213197879</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22539.565213197879</v>
      </c>
      <c r="I194" s="63">
        <f t="shared" si="13"/>
        <v>11269.782606598939</v>
      </c>
      <c r="J194" s="9">
        <f t="shared" si="13"/>
        <v>0</v>
      </c>
      <c r="K194" s="9">
        <f t="shared" si="13"/>
        <v>0</v>
      </c>
      <c r="L194" s="63">
        <f t="shared" si="13"/>
        <v>-22539.565213197879</v>
      </c>
      <c r="M194" s="63">
        <f t="shared" si="13"/>
        <v>-11269.782606598939</v>
      </c>
      <c r="N194" s="61" t="s">
        <v>185</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186</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63">
        <f t="shared" si="13"/>
        <v>-45079.130426395757</v>
      </c>
      <c r="I197" s="63">
        <f t="shared" si="13"/>
        <v>-22539.565213197879</v>
      </c>
      <c r="J197" s="9">
        <f t="shared" si="13"/>
        <v>0</v>
      </c>
      <c r="K197" s="9">
        <f t="shared" si="13"/>
        <v>0</v>
      </c>
      <c r="L197" s="63">
        <f t="shared" si="13"/>
        <v>45079.130426395757</v>
      </c>
      <c r="M197" s="63">
        <f t="shared" si="13"/>
        <v>22539.565213197879</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63">
        <f t="shared" si="13"/>
        <v>-22539.565213197879</v>
      </c>
      <c r="I198" s="63">
        <f t="shared" si="13"/>
        <v>-11269.782606598939</v>
      </c>
      <c r="J198" s="9">
        <f t="shared" si="13"/>
        <v>0</v>
      </c>
      <c r="K198" s="9">
        <f t="shared" si="13"/>
        <v>0</v>
      </c>
      <c r="L198" s="63">
        <f t="shared" si="13"/>
        <v>22539.565213197879</v>
      </c>
      <c r="M198" s="63">
        <f t="shared" si="13"/>
        <v>11269.782606598939</v>
      </c>
      <c r="N198" s="61" t="s">
        <v>189</v>
      </c>
    </row>
    <row r="201" spans="1:14" ht="18" customHeight="1" x14ac:dyDescent="0.3">
      <c r="B201" s="64" t="str">
        <f>CONCATENATE("U",C28,C$19)</f>
        <v>U5X</v>
      </c>
      <c r="C201" s="64" t="str">
        <f>CONCATENATE("U",D28,D$19)</f>
        <v>U5Y</v>
      </c>
      <c r="D201" s="64" t="str">
        <f>CONCATENATE("U",E28,E$19)</f>
        <v>U6X</v>
      </c>
      <c r="E201" s="64" t="str">
        <f>CONCATENATE("U",F28,F$19)</f>
        <v>U6Y</v>
      </c>
    </row>
    <row r="202" spans="1:14" x14ac:dyDescent="0.3">
      <c r="B202" s="65">
        <f>J14*J14*N14</f>
        <v>45079.130426395757</v>
      </c>
      <c r="C202" s="65">
        <f>J14*K14*N14</f>
        <v>-22539.565213197879</v>
      </c>
      <c r="D202" s="65">
        <f>-B202</f>
        <v>-45079.130426395757</v>
      </c>
      <c r="E202" s="65">
        <f>-C202</f>
        <v>22539.565213197879</v>
      </c>
      <c r="F202" s="64" t="str">
        <f>B201</f>
        <v>U5X</v>
      </c>
    </row>
    <row r="203" spans="1:14" ht="16.8" customHeight="1" x14ac:dyDescent="0.3">
      <c r="A203" s="28" t="s">
        <v>528</v>
      </c>
      <c r="B203" s="65">
        <f>C202</f>
        <v>-22539.565213197879</v>
      </c>
      <c r="C203" s="65">
        <f>K14*K14*N14</f>
        <v>11269.782606598939</v>
      </c>
      <c r="D203" s="65">
        <f>-B203</f>
        <v>22539.565213197879</v>
      </c>
      <c r="E203" s="65">
        <f>-C203</f>
        <v>-11269.782606598939</v>
      </c>
      <c r="F203" s="64" t="str">
        <f>C201</f>
        <v>U5Y</v>
      </c>
    </row>
    <row r="204" spans="1:14" x14ac:dyDescent="0.3">
      <c r="B204" s="65">
        <f>D202</f>
        <v>-45079.130426395757</v>
      </c>
      <c r="C204" s="65">
        <f>E202</f>
        <v>22539.565213197879</v>
      </c>
      <c r="D204" s="65">
        <f>B202</f>
        <v>45079.130426395757</v>
      </c>
      <c r="E204" s="65">
        <f>C202</f>
        <v>-22539.565213197879</v>
      </c>
      <c r="F204" s="64" t="str">
        <f>D201</f>
        <v>U6X</v>
      </c>
    </row>
    <row r="205" spans="1:14" x14ac:dyDescent="0.3">
      <c r="B205" s="65">
        <f>D203</f>
        <v>22539.565213197879</v>
      </c>
      <c r="C205" s="65">
        <f>E203</f>
        <v>-11269.782606598939</v>
      </c>
      <c r="D205" s="65">
        <f>B203</f>
        <v>-22539.565213197879</v>
      </c>
      <c r="E205" s="65">
        <f>C203</f>
        <v>11269.782606598939</v>
      </c>
      <c r="F205" s="64" t="str">
        <f>E201</f>
        <v>U6Y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66">
        <f t="shared" si="14"/>
        <v>45079.130426395757</v>
      </c>
      <c r="K216" s="66">
        <f t="shared" si="14"/>
        <v>-22539.565213197879</v>
      </c>
      <c r="L216" s="66">
        <f t="shared" si="14"/>
        <v>-45079.130426395757</v>
      </c>
      <c r="M216" s="66">
        <f t="shared" si="14"/>
        <v>22539.565213197879</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66">
        <f t="shared" si="14"/>
        <v>-22539.565213197879</v>
      </c>
      <c r="K217" s="66">
        <f t="shared" si="14"/>
        <v>11269.782606598939</v>
      </c>
      <c r="L217" s="66">
        <f t="shared" si="14"/>
        <v>22539.565213197879</v>
      </c>
      <c r="M217" s="66">
        <f t="shared" si="14"/>
        <v>-11269.782606598939</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66">
        <f t="shared" si="14"/>
        <v>-45079.130426395757</v>
      </c>
      <c r="K218" s="66">
        <f t="shared" si="14"/>
        <v>22539.565213197879</v>
      </c>
      <c r="L218" s="66">
        <f t="shared" si="14"/>
        <v>45079.130426395757</v>
      </c>
      <c r="M218" s="66">
        <f t="shared" si="14"/>
        <v>-22539.565213197879</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66">
        <f t="shared" si="14"/>
        <v>22539.565213197879</v>
      </c>
      <c r="K219" s="66">
        <f t="shared" si="14"/>
        <v>-11269.782606598939</v>
      </c>
      <c r="L219" s="66">
        <f t="shared" si="14"/>
        <v>-22539.565213197879</v>
      </c>
      <c r="M219" s="66">
        <f t="shared" si="14"/>
        <v>11269.782606598939</v>
      </c>
      <c r="N219" s="64" t="s">
        <v>189</v>
      </c>
    </row>
    <row r="222" spans="1:14" ht="18" customHeight="1" x14ac:dyDescent="0.3">
      <c r="B222" s="69" t="str">
        <f>CONCATENATE("U",C29,C$19)</f>
        <v>U4X</v>
      </c>
      <c r="C222" s="69" t="str">
        <f>CONCATENATE("U",D29,D$19)</f>
        <v>U4Y</v>
      </c>
      <c r="D222" s="69" t="str">
        <f>CONCATENATE("U",E29,E$19)</f>
        <v>U5X</v>
      </c>
      <c r="E222" s="69" t="str">
        <f>CONCATENATE("U",F29,F$19)</f>
        <v>U5Y</v>
      </c>
    </row>
    <row r="223" spans="1:14" x14ac:dyDescent="0.3">
      <c r="B223" s="70">
        <f>J15*J15*N15</f>
        <v>0</v>
      </c>
      <c r="C223" s="70">
        <f>J15*K15*N15</f>
        <v>0</v>
      </c>
      <c r="D223" s="70">
        <f>-B223</f>
        <v>0</v>
      </c>
      <c r="E223" s="70">
        <f>-C223</f>
        <v>0</v>
      </c>
      <c r="F223" s="69" t="str">
        <f>B222</f>
        <v>U4X</v>
      </c>
    </row>
    <row r="224" spans="1:14" ht="16.8" customHeight="1" x14ac:dyDescent="0.3">
      <c r="A224" s="28" t="s">
        <v>581</v>
      </c>
      <c r="B224" s="70">
        <f>C223</f>
        <v>0</v>
      </c>
      <c r="C224" s="70">
        <f>K15*K15*N15</f>
        <v>63000</v>
      </c>
      <c r="D224" s="70">
        <f>-B224</f>
        <v>0</v>
      </c>
      <c r="E224" s="70">
        <f>-C224</f>
        <v>-63000</v>
      </c>
      <c r="F224" s="69" t="str">
        <f>C222</f>
        <v>U4Y</v>
      </c>
    </row>
    <row r="225" spans="1:14" x14ac:dyDescent="0.3">
      <c r="B225" s="70">
        <f>D223</f>
        <v>0</v>
      </c>
      <c r="C225" s="70">
        <f>E223</f>
        <v>0</v>
      </c>
      <c r="D225" s="70">
        <f>B223</f>
        <v>0</v>
      </c>
      <c r="E225" s="70">
        <f>C223</f>
        <v>0</v>
      </c>
      <c r="F225" s="69" t="str">
        <f>D222</f>
        <v>U5X</v>
      </c>
    </row>
    <row r="226" spans="1:14" x14ac:dyDescent="0.3">
      <c r="B226" s="70">
        <f>D224</f>
        <v>0</v>
      </c>
      <c r="C226" s="70">
        <f>E224</f>
        <v>-63000</v>
      </c>
      <c r="D226" s="70">
        <f>B224</f>
        <v>0</v>
      </c>
      <c r="E226" s="70">
        <f>C224</f>
        <v>63000</v>
      </c>
      <c r="F226" s="69" t="str">
        <f>E222</f>
        <v>U5Y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180</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71">
        <f t="shared" si="15"/>
        <v>0</v>
      </c>
      <c r="I235" s="71">
        <f t="shared" si="15"/>
        <v>0</v>
      </c>
      <c r="J235" s="71">
        <f t="shared" si="15"/>
        <v>0</v>
      </c>
      <c r="K235" s="71">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71">
        <f t="shared" si="15"/>
        <v>0</v>
      </c>
      <c r="I236" s="71">
        <f t="shared" si="15"/>
        <v>63000</v>
      </c>
      <c r="J236" s="71">
        <f t="shared" si="15"/>
        <v>0</v>
      </c>
      <c r="K236" s="71">
        <f t="shared" si="15"/>
        <v>-63000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71">
        <f t="shared" si="15"/>
        <v>0</v>
      </c>
      <c r="I237" s="71">
        <f t="shared" si="15"/>
        <v>0</v>
      </c>
      <c r="J237" s="71">
        <f t="shared" si="15"/>
        <v>0</v>
      </c>
      <c r="K237" s="71">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71">
        <f t="shared" si="15"/>
        <v>0</v>
      </c>
      <c r="I238" s="71">
        <f t="shared" si="15"/>
        <v>-63000</v>
      </c>
      <c r="J238" s="71">
        <f t="shared" si="15"/>
        <v>0</v>
      </c>
      <c r="K238" s="71">
        <f t="shared" si="15"/>
        <v>63000</v>
      </c>
      <c r="L238" s="9">
        <f t="shared" si="15"/>
        <v>0</v>
      </c>
      <c r="M238" s="9">
        <f t="shared" si="15"/>
        <v>0</v>
      </c>
      <c r="N238" s="69" t="s">
        <v>187</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188</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189</v>
      </c>
    </row>
    <row r="243" spans="1:14" ht="18" customHeight="1" x14ac:dyDescent="0.3">
      <c r="B243" s="72" t="str">
        <f>CONCATENATE("U",C30,C$19)</f>
        <v>U3X</v>
      </c>
      <c r="C243" s="72" t="str">
        <f>CONCATENATE("U",D30,D$19)</f>
        <v>U3Y</v>
      </c>
      <c r="D243" s="72" t="str">
        <f>CONCATENATE("U",E30,E$19)</f>
        <v>U6X</v>
      </c>
      <c r="E243" s="72" t="str">
        <f>CONCATENATE("U",F30,F$19)</f>
        <v>U6Y</v>
      </c>
    </row>
    <row r="244" spans="1:14" x14ac:dyDescent="0.3">
      <c r="B244" s="73">
        <f>J16*J16*N16</f>
        <v>63000</v>
      </c>
      <c r="C244" s="73">
        <f>J16*K16*N16</f>
        <v>0</v>
      </c>
      <c r="D244" s="73">
        <f>-B244</f>
        <v>-63000</v>
      </c>
      <c r="E244" s="73">
        <f>-C244</f>
        <v>0</v>
      </c>
      <c r="F244" s="72" t="str">
        <f>B243</f>
        <v>U3X</v>
      </c>
    </row>
    <row r="245" spans="1:14" ht="16.8" customHeight="1" x14ac:dyDescent="0.3">
      <c r="A245" s="28" t="s">
        <v>583</v>
      </c>
      <c r="B245" s="73">
        <f>C244</f>
        <v>0</v>
      </c>
      <c r="C245" s="73">
        <f>K16*K16*N16</f>
        <v>0</v>
      </c>
      <c r="D245" s="73">
        <f>-B245</f>
        <v>0</v>
      </c>
      <c r="E245" s="73">
        <f>-C245</f>
        <v>0</v>
      </c>
      <c r="F245" s="72" t="str">
        <f>C243</f>
        <v>U3Y</v>
      </c>
    </row>
    <row r="246" spans="1:14" x14ac:dyDescent="0.3">
      <c r="B246" s="73">
        <f>D244</f>
        <v>-63000</v>
      </c>
      <c r="C246" s="73">
        <f>E244</f>
        <v>0</v>
      </c>
      <c r="D246" s="73">
        <f>B244</f>
        <v>63000</v>
      </c>
      <c r="E246" s="73">
        <f>C244</f>
        <v>0</v>
      </c>
      <c r="F246" s="72" t="str">
        <f>D243</f>
        <v>U6X</v>
      </c>
    </row>
    <row r="247" spans="1:14" x14ac:dyDescent="0.3">
      <c r="B247" s="73">
        <f>D245</f>
        <v>0</v>
      </c>
      <c r="C247" s="73">
        <f>E245</f>
        <v>0</v>
      </c>
      <c r="D247" s="73">
        <f>B245</f>
        <v>0</v>
      </c>
      <c r="E247" s="73">
        <f>C245</f>
        <v>0</v>
      </c>
      <c r="F247" s="72" t="str">
        <f>E243</f>
        <v>U6Y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63000</v>
      </c>
      <c r="G254" s="74">
        <f t="shared" si="16"/>
        <v>0</v>
      </c>
      <c r="H254" s="9">
        <f t="shared" si="16"/>
        <v>0</v>
      </c>
      <c r="I254" s="9">
        <f t="shared" si="16"/>
        <v>0</v>
      </c>
      <c r="J254" s="9">
        <f t="shared" si="16"/>
        <v>0</v>
      </c>
      <c r="K254" s="9">
        <f t="shared" si="16"/>
        <v>0</v>
      </c>
      <c r="L254" s="74">
        <f t="shared" si="16"/>
        <v>-63000</v>
      </c>
      <c r="M254" s="74">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0</v>
      </c>
      <c r="G255" s="74">
        <f t="shared" si="16"/>
        <v>0</v>
      </c>
      <c r="H255" s="9">
        <f t="shared" si="16"/>
        <v>0</v>
      </c>
      <c r="I255" s="9">
        <f t="shared" si="16"/>
        <v>0</v>
      </c>
      <c r="J255" s="9">
        <f t="shared" si="16"/>
        <v>0</v>
      </c>
      <c r="K255" s="9">
        <f t="shared" si="16"/>
        <v>0</v>
      </c>
      <c r="L255" s="74">
        <f t="shared" si="16"/>
        <v>0</v>
      </c>
      <c r="M255" s="74">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74">
        <f t="shared" si="16"/>
        <v>-63000</v>
      </c>
      <c r="G260" s="74">
        <f t="shared" si="16"/>
        <v>0</v>
      </c>
      <c r="H260" s="9">
        <f t="shared" si="16"/>
        <v>0</v>
      </c>
      <c r="I260" s="9">
        <f t="shared" si="16"/>
        <v>0</v>
      </c>
      <c r="J260" s="9">
        <f t="shared" si="16"/>
        <v>0</v>
      </c>
      <c r="K260" s="9">
        <f t="shared" si="16"/>
        <v>0</v>
      </c>
      <c r="L260" s="74">
        <f t="shared" si="16"/>
        <v>63000</v>
      </c>
      <c r="M260" s="74">
        <f t="shared" si="16"/>
        <v>0</v>
      </c>
      <c r="N260" s="72" t="s">
        <v>188</v>
      </c>
    </row>
    <row r="261" spans="1:14" ht="19.05" customHeight="1" x14ac:dyDescent="0.3">
      <c r="B261" s="9">
        <f t="shared" si="16"/>
        <v>0</v>
      </c>
      <c r="C261" s="9">
        <f t="shared" si="16"/>
        <v>0</v>
      </c>
      <c r="D261" s="9">
        <f t="shared" si="16"/>
        <v>0</v>
      </c>
      <c r="E261" s="9">
        <f t="shared" si="16"/>
        <v>0</v>
      </c>
      <c r="F261" s="74">
        <f t="shared" si="16"/>
        <v>0</v>
      </c>
      <c r="G261" s="74">
        <f t="shared" si="16"/>
        <v>0</v>
      </c>
      <c r="H261" s="9">
        <f t="shared" si="16"/>
        <v>0</v>
      </c>
      <c r="I261" s="9">
        <f t="shared" si="16"/>
        <v>0</v>
      </c>
      <c r="J261" s="9">
        <f t="shared" si="16"/>
        <v>0</v>
      </c>
      <c r="K261" s="9">
        <f t="shared" si="16"/>
        <v>0</v>
      </c>
      <c r="L261" s="74">
        <f t="shared" si="16"/>
        <v>0</v>
      </c>
      <c r="M261" s="74">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108079.13042639576</v>
      </c>
      <c r="C265" s="36">
        <f t="shared" si="17"/>
        <v>22539.565213197879</v>
      </c>
      <c r="D265" s="9">
        <f t="shared" si="17"/>
        <v>0</v>
      </c>
      <c r="E265" s="9">
        <f t="shared" si="17"/>
        <v>0</v>
      </c>
      <c r="F265" s="9">
        <f t="shared" si="17"/>
        <v>-45079.130426395757</v>
      </c>
      <c r="G265" s="9">
        <f t="shared" si="17"/>
        <v>-22539.565213197879</v>
      </c>
      <c r="H265" s="9">
        <f t="shared" si="17"/>
        <v>-63000</v>
      </c>
      <c r="I265" s="9">
        <f t="shared" si="17"/>
        <v>0</v>
      </c>
      <c r="J265" s="9">
        <f t="shared" si="17"/>
        <v>0</v>
      </c>
      <c r="K265" s="9">
        <f t="shared" si="17"/>
        <v>0</v>
      </c>
      <c r="L265" s="9">
        <f t="shared" si="17"/>
        <v>0</v>
      </c>
      <c r="M265" s="9">
        <f t="shared" si="17"/>
        <v>0</v>
      </c>
      <c r="N265" s="89" t="s">
        <v>178</v>
      </c>
    </row>
    <row r="266" spans="1:14" ht="19.95" customHeight="1" x14ac:dyDescent="0.3">
      <c r="B266" s="36">
        <f t="shared" ref="B266:M266" si="18">B41+B62+B83+B104+B125+B146+B167+B188+B209+B230+B251</f>
        <v>22539.565213197879</v>
      </c>
      <c r="C266" s="35">
        <f t="shared" si="18"/>
        <v>74269.782606598936</v>
      </c>
      <c r="D266" s="9">
        <f t="shared" si="18"/>
        <v>0</v>
      </c>
      <c r="E266" s="9">
        <f t="shared" si="18"/>
        <v>-63000</v>
      </c>
      <c r="F266" s="9">
        <f t="shared" si="18"/>
        <v>-22539.565213197879</v>
      </c>
      <c r="G266" s="9">
        <f t="shared" si="18"/>
        <v>-11269.782606598939</v>
      </c>
      <c r="H266" s="9">
        <f t="shared" si="18"/>
        <v>0</v>
      </c>
      <c r="I266" s="9">
        <f t="shared" si="18"/>
        <v>0</v>
      </c>
      <c r="J266" s="9">
        <f t="shared" si="18"/>
        <v>0</v>
      </c>
      <c r="K266" s="9">
        <f t="shared" si="18"/>
        <v>0</v>
      </c>
      <c r="L266" s="9">
        <f t="shared" si="18"/>
        <v>0</v>
      </c>
      <c r="M266" s="9">
        <f t="shared" si="18"/>
        <v>0</v>
      </c>
      <c r="N266" s="89" t="s">
        <v>179</v>
      </c>
    </row>
    <row r="267" spans="1:14" ht="19.95" customHeight="1" x14ac:dyDescent="0.3">
      <c r="B267" s="9">
        <f t="shared" ref="B267:M267" si="19">B42+B63+B84+B105+B126+B147+B168+B189+B210+B231+B252</f>
        <v>0</v>
      </c>
      <c r="C267" s="9">
        <f t="shared" si="19"/>
        <v>0</v>
      </c>
      <c r="D267" s="35">
        <f t="shared" si="19"/>
        <v>108079.13042639576</v>
      </c>
      <c r="E267" s="36">
        <f t="shared" si="19"/>
        <v>-22539.565213197879</v>
      </c>
      <c r="F267" s="9">
        <f t="shared" si="19"/>
        <v>-45079.130426395757</v>
      </c>
      <c r="G267" s="9">
        <f t="shared" si="19"/>
        <v>22539.565213197879</v>
      </c>
      <c r="H267" s="9">
        <f t="shared" si="19"/>
        <v>0</v>
      </c>
      <c r="I267" s="9">
        <f t="shared" si="19"/>
        <v>0</v>
      </c>
      <c r="J267" s="9">
        <f t="shared" si="19"/>
        <v>-63000</v>
      </c>
      <c r="K267" s="9">
        <f t="shared" si="19"/>
        <v>0</v>
      </c>
      <c r="L267" s="9">
        <f t="shared" si="19"/>
        <v>0</v>
      </c>
      <c r="M267" s="9">
        <f t="shared" si="19"/>
        <v>0</v>
      </c>
      <c r="N267" s="89" t="s">
        <v>180</v>
      </c>
    </row>
    <row r="268" spans="1:14" ht="19.95" customHeight="1" x14ac:dyDescent="0.3">
      <c r="B268" s="9">
        <f t="shared" ref="B268:M268" si="20">B43+B64+B85+B106+B127+B148+B169+B190+B211+B232+B253</f>
        <v>0</v>
      </c>
      <c r="C268" s="9">
        <f t="shared" si="20"/>
        <v>-63000</v>
      </c>
      <c r="D268" s="36">
        <f t="shared" si="20"/>
        <v>-22539.565213197879</v>
      </c>
      <c r="E268" s="35">
        <f t="shared" si="20"/>
        <v>74269.782606598936</v>
      </c>
      <c r="F268" s="9">
        <f t="shared" si="20"/>
        <v>22539.565213197879</v>
      </c>
      <c r="G268" s="9">
        <f t="shared" si="20"/>
        <v>-11269.782606598939</v>
      </c>
      <c r="H268" s="9">
        <f t="shared" si="20"/>
        <v>0</v>
      </c>
      <c r="I268" s="9">
        <f t="shared" si="20"/>
        <v>0</v>
      </c>
      <c r="J268" s="9">
        <f t="shared" si="20"/>
        <v>0</v>
      </c>
      <c r="K268" s="9">
        <f t="shared" si="20"/>
        <v>0</v>
      </c>
      <c r="L268" s="9">
        <f t="shared" si="20"/>
        <v>0</v>
      </c>
      <c r="M268" s="9">
        <f t="shared" si="20"/>
        <v>0</v>
      </c>
      <c r="N268" s="89" t="s">
        <v>181</v>
      </c>
    </row>
    <row r="269" spans="1:14" ht="19.95" customHeight="1" x14ac:dyDescent="0.3">
      <c r="B269" s="9">
        <f t="shared" ref="B269:M269" si="21">B44+B65+B86+B107+B128+B149+B170+B191+B212+B233+B254</f>
        <v>-45079.130426395757</v>
      </c>
      <c r="C269" s="9">
        <f t="shared" si="21"/>
        <v>-22539.565213197879</v>
      </c>
      <c r="D269" s="9">
        <f t="shared" si="21"/>
        <v>-45079.130426395757</v>
      </c>
      <c r="E269" s="9">
        <f t="shared" si="21"/>
        <v>22539.565213197879</v>
      </c>
      <c r="F269" s="35">
        <f t="shared" si="21"/>
        <v>153158.26085279151</v>
      </c>
      <c r="G269" s="36">
        <f t="shared" si="21"/>
        <v>0</v>
      </c>
      <c r="H269" s="9">
        <f t="shared" si="21"/>
        <v>0</v>
      </c>
      <c r="I269" s="9">
        <f t="shared" si="21"/>
        <v>0</v>
      </c>
      <c r="J269" s="9">
        <f t="shared" si="21"/>
        <v>0</v>
      </c>
      <c r="K269" s="9">
        <f t="shared" si="21"/>
        <v>0</v>
      </c>
      <c r="L269" s="9">
        <f t="shared" si="21"/>
        <v>-63000</v>
      </c>
      <c r="M269" s="9">
        <f t="shared" si="21"/>
        <v>0</v>
      </c>
      <c r="N269" s="89" t="s">
        <v>182</v>
      </c>
    </row>
    <row r="270" spans="1:14" ht="19.95" customHeight="1" x14ac:dyDescent="0.3">
      <c r="A270" s="28" t="s">
        <v>205</v>
      </c>
      <c r="B270" s="9">
        <f t="shared" ref="B270:M270" si="22">B45+B66+B87+B108+B129+B150+B171+B192+B213+B234+B255</f>
        <v>-22539.565213197879</v>
      </c>
      <c r="C270" s="9">
        <f t="shared" si="22"/>
        <v>-11269.782606598939</v>
      </c>
      <c r="D270" s="9">
        <f t="shared" si="22"/>
        <v>22539.565213197879</v>
      </c>
      <c r="E270" s="9">
        <f t="shared" si="22"/>
        <v>-11269.782606598939</v>
      </c>
      <c r="F270" s="36">
        <f t="shared" si="22"/>
        <v>0</v>
      </c>
      <c r="G270" s="35">
        <f t="shared" si="22"/>
        <v>274539.56521319784</v>
      </c>
      <c r="H270" s="9">
        <f t="shared" si="22"/>
        <v>0</v>
      </c>
      <c r="I270" s="9">
        <f t="shared" si="22"/>
        <v>-126000</v>
      </c>
      <c r="J270" s="9">
        <f t="shared" si="22"/>
        <v>0</v>
      </c>
      <c r="K270" s="9">
        <f t="shared" si="22"/>
        <v>-126000</v>
      </c>
      <c r="L270" s="9">
        <f t="shared" si="22"/>
        <v>0</v>
      </c>
      <c r="M270" s="9">
        <f t="shared" si="22"/>
        <v>0</v>
      </c>
      <c r="N270" s="89" t="s">
        <v>183</v>
      </c>
    </row>
    <row r="271" spans="1:14" ht="19.95" customHeight="1" x14ac:dyDescent="0.3">
      <c r="B271" s="9">
        <f t="shared" ref="B271:M271" si="23">B46+B67+B88+B109+B130+B151+B172+B193+B214+B235+B256</f>
        <v>-63000</v>
      </c>
      <c r="C271" s="9">
        <f t="shared" si="23"/>
        <v>0</v>
      </c>
      <c r="D271" s="9">
        <f t="shared" si="23"/>
        <v>0</v>
      </c>
      <c r="E271" s="9">
        <f t="shared" si="23"/>
        <v>0</v>
      </c>
      <c r="F271" s="9">
        <f t="shared" si="23"/>
        <v>0</v>
      </c>
      <c r="G271" s="9">
        <f t="shared" si="23"/>
        <v>0</v>
      </c>
      <c r="H271" s="35">
        <f t="shared" si="23"/>
        <v>108079.13042639576</v>
      </c>
      <c r="I271" s="36">
        <f t="shared" si="23"/>
        <v>22539.565213197879</v>
      </c>
      <c r="J271" s="9">
        <f t="shared" si="23"/>
        <v>0</v>
      </c>
      <c r="K271" s="9">
        <f t="shared" si="23"/>
        <v>0</v>
      </c>
      <c r="L271" s="9">
        <f t="shared" si="23"/>
        <v>-45079.130426395757</v>
      </c>
      <c r="M271" s="9">
        <f t="shared" si="23"/>
        <v>-22539.565213197879</v>
      </c>
      <c r="N271" s="89" t="s">
        <v>184</v>
      </c>
    </row>
    <row r="272" spans="1:14" ht="19.95" customHeight="1" x14ac:dyDescent="0.3">
      <c r="B272" s="9">
        <f t="shared" ref="B272:M272" si="24">B47+B68+B89+B110+B131+B152+B173+B194+B215+B236+B257</f>
        <v>0</v>
      </c>
      <c r="C272" s="9">
        <f t="shared" si="24"/>
        <v>0</v>
      </c>
      <c r="D272" s="9">
        <f t="shared" si="24"/>
        <v>0</v>
      </c>
      <c r="E272" s="9">
        <f t="shared" si="24"/>
        <v>0</v>
      </c>
      <c r="F272" s="9">
        <f t="shared" si="24"/>
        <v>0</v>
      </c>
      <c r="G272" s="9">
        <f t="shared" si="24"/>
        <v>-126000</v>
      </c>
      <c r="H272" s="36">
        <f t="shared" si="24"/>
        <v>22539.565213197879</v>
      </c>
      <c r="I272" s="35">
        <f t="shared" si="24"/>
        <v>200269.78260659895</v>
      </c>
      <c r="J272" s="9">
        <f t="shared" si="24"/>
        <v>0</v>
      </c>
      <c r="K272" s="9">
        <f t="shared" si="24"/>
        <v>-63000</v>
      </c>
      <c r="L272" s="9">
        <f t="shared" si="24"/>
        <v>-22539.565213197879</v>
      </c>
      <c r="M272" s="9">
        <f t="shared" si="24"/>
        <v>-11269.782606598939</v>
      </c>
      <c r="N272" s="89" t="s">
        <v>185</v>
      </c>
    </row>
    <row r="273" spans="1:21" ht="19.95" customHeight="1" x14ac:dyDescent="0.3">
      <c r="B273" s="9">
        <f t="shared" ref="B273:M273" si="25">B48+B69+B90+B111+B132+B153+B174+B195+B216+B237+B258</f>
        <v>0</v>
      </c>
      <c r="C273" s="9">
        <f t="shared" si="25"/>
        <v>0</v>
      </c>
      <c r="D273" s="9">
        <f t="shared" si="25"/>
        <v>-63000</v>
      </c>
      <c r="E273" s="9">
        <f t="shared" si="25"/>
        <v>0</v>
      </c>
      <c r="F273" s="9">
        <f t="shared" si="25"/>
        <v>0</v>
      </c>
      <c r="G273" s="9">
        <f t="shared" si="25"/>
        <v>0</v>
      </c>
      <c r="H273" s="9">
        <f t="shared" si="25"/>
        <v>0</v>
      </c>
      <c r="I273" s="9">
        <f t="shared" si="25"/>
        <v>0</v>
      </c>
      <c r="J273" s="35">
        <f t="shared" si="25"/>
        <v>108079.13042639576</v>
      </c>
      <c r="K273" s="36">
        <f t="shared" si="25"/>
        <v>-22539.565213197879</v>
      </c>
      <c r="L273" s="9">
        <f t="shared" si="25"/>
        <v>-45079.130426395757</v>
      </c>
      <c r="M273" s="9">
        <f t="shared" si="25"/>
        <v>22539.565213197879</v>
      </c>
      <c r="N273" s="89" t="s">
        <v>186</v>
      </c>
    </row>
    <row r="274" spans="1:21" ht="19.95" customHeight="1" x14ac:dyDescent="0.3">
      <c r="B274" s="9">
        <f t="shared" ref="B274:M274" si="26">B49+B70+B91+B112+B133+B154+B175+B196+B217+B238+B259</f>
        <v>0</v>
      </c>
      <c r="C274" s="9">
        <f t="shared" si="26"/>
        <v>0</v>
      </c>
      <c r="D274" s="9">
        <f t="shared" si="26"/>
        <v>0</v>
      </c>
      <c r="E274" s="9">
        <f t="shared" si="26"/>
        <v>0</v>
      </c>
      <c r="F274" s="9">
        <f t="shared" si="26"/>
        <v>0</v>
      </c>
      <c r="G274" s="9">
        <f t="shared" si="26"/>
        <v>-126000</v>
      </c>
      <c r="H274" s="9">
        <f t="shared" si="26"/>
        <v>0</v>
      </c>
      <c r="I274" s="9">
        <f t="shared" si="26"/>
        <v>-63000</v>
      </c>
      <c r="J274" s="36">
        <f t="shared" si="26"/>
        <v>-22539.565213197879</v>
      </c>
      <c r="K274" s="35">
        <f t="shared" si="26"/>
        <v>200269.78260659895</v>
      </c>
      <c r="L274" s="9">
        <f t="shared" si="26"/>
        <v>22539.565213197879</v>
      </c>
      <c r="M274" s="9">
        <f t="shared" si="26"/>
        <v>-11269.782606598939</v>
      </c>
      <c r="N274" s="89" t="s">
        <v>187</v>
      </c>
    </row>
    <row r="275" spans="1:21" ht="19.95" customHeight="1" x14ac:dyDescent="0.3">
      <c r="B275" s="9">
        <f t="shared" ref="B275:M275" si="27">B50+B71+B92+B113+B134+B155+B176+B197+B218+B239+B260</f>
        <v>0</v>
      </c>
      <c r="C275" s="9">
        <f t="shared" si="27"/>
        <v>0</v>
      </c>
      <c r="D275" s="9">
        <f t="shared" si="27"/>
        <v>0</v>
      </c>
      <c r="E275" s="9">
        <f t="shared" si="27"/>
        <v>0</v>
      </c>
      <c r="F275" s="9">
        <f t="shared" si="27"/>
        <v>-63000</v>
      </c>
      <c r="G275" s="9">
        <f t="shared" si="27"/>
        <v>0</v>
      </c>
      <c r="H275" s="9">
        <f t="shared" si="27"/>
        <v>-45079.130426395757</v>
      </c>
      <c r="I275" s="9">
        <f t="shared" si="27"/>
        <v>-22539.565213197879</v>
      </c>
      <c r="J275" s="9">
        <f t="shared" si="27"/>
        <v>-45079.130426395757</v>
      </c>
      <c r="K275" s="9">
        <f t="shared" si="27"/>
        <v>22539.565213197879</v>
      </c>
      <c r="L275" s="35">
        <f t="shared" si="27"/>
        <v>153158.26085279151</v>
      </c>
      <c r="M275" s="36">
        <f t="shared" si="27"/>
        <v>0</v>
      </c>
      <c r="N275" s="89" t="s">
        <v>188</v>
      </c>
    </row>
    <row r="276" spans="1:21" ht="19.95" customHeight="1" x14ac:dyDescent="0.3">
      <c r="B276" s="9">
        <f t="shared" ref="B276:M276" si="28">B51+B72+B93+B114+B135+B156+B177+B198+B219+B240+B261</f>
        <v>0</v>
      </c>
      <c r="C276" s="9">
        <f t="shared" si="28"/>
        <v>0</v>
      </c>
      <c r="D276" s="9">
        <f t="shared" si="28"/>
        <v>0</v>
      </c>
      <c r="E276" s="9">
        <f t="shared" si="28"/>
        <v>0</v>
      </c>
      <c r="F276" s="9">
        <f t="shared" si="28"/>
        <v>0</v>
      </c>
      <c r="G276" s="9">
        <f t="shared" si="28"/>
        <v>0</v>
      </c>
      <c r="H276" s="9">
        <f t="shared" si="28"/>
        <v>-22539.565213197879</v>
      </c>
      <c r="I276" s="9">
        <f t="shared" si="28"/>
        <v>-11269.782606598939</v>
      </c>
      <c r="J276" s="9">
        <f t="shared" si="28"/>
        <v>22539.565213197879</v>
      </c>
      <c r="K276" s="9">
        <f t="shared" si="28"/>
        <v>-11269.782606598939</v>
      </c>
      <c r="L276" s="36">
        <f t="shared" si="28"/>
        <v>0</v>
      </c>
      <c r="M276" s="35">
        <f t="shared" si="28"/>
        <v>22539.565213197879</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IF(GRAFICA_69!F14=1, B280, GRAFICA_69!H14)</f>
        <v>C1X</v>
      </c>
      <c r="P280" s="215" t="s">
        <v>376</v>
      </c>
      <c r="Q280" s="172"/>
      <c r="R280" s="172"/>
      <c r="S280" s="172"/>
      <c r="T280" s="172"/>
      <c r="U280" s="173"/>
    </row>
    <row r="281" spans="1:21" ht="16.95" customHeight="1" x14ac:dyDescent="0.3">
      <c r="B281" s="12" t="s">
        <v>210</v>
      </c>
      <c r="C281" s="12" t="s">
        <v>179</v>
      </c>
      <c r="E281" s="37" t="str">
        <f>IF(GRAFICA_69!G14=1, B281, GRAFICA_69!I14)</f>
        <v>C1Y</v>
      </c>
      <c r="P281" s="215" t="s">
        <v>211</v>
      </c>
      <c r="Q281" s="172"/>
      <c r="R281" s="172"/>
      <c r="S281" s="172"/>
      <c r="T281" s="172"/>
      <c r="U281" s="173"/>
    </row>
    <row r="282" spans="1:21" ht="16.95" customHeight="1" x14ac:dyDescent="0.3">
      <c r="B282" s="12" t="s">
        <v>212</v>
      </c>
      <c r="C282" s="12" t="s">
        <v>180</v>
      </c>
      <c r="E282" s="37" t="str">
        <f>IF(GRAFICA_69!F15=1, B282, GRAFICA_69!H15)</f>
        <v>C2X</v>
      </c>
      <c r="P282" s="215" t="s">
        <v>377</v>
      </c>
      <c r="Q282" s="172"/>
      <c r="R282" s="172"/>
      <c r="S282" s="172"/>
      <c r="T282" s="172"/>
      <c r="U282" s="173"/>
    </row>
    <row r="283" spans="1:21" ht="16.95" customHeight="1" x14ac:dyDescent="0.3">
      <c r="B283" s="12" t="s">
        <v>214</v>
      </c>
      <c r="C283" s="12" t="s">
        <v>181</v>
      </c>
      <c r="E283" s="37" t="str">
        <f>IF(GRAFICA_69!G15=1, B283, GRAFICA_69!I15)</f>
        <v>C2Y</v>
      </c>
      <c r="P283" s="215" t="s">
        <v>215</v>
      </c>
      <c r="Q283" s="172"/>
      <c r="R283" s="172"/>
      <c r="S283" s="172"/>
      <c r="T283" s="172"/>
      <c r="U283" s="173"/>
    </row>
    <row r="284" spans="1:21" ht="16.95" customHeight="1" x14ac:dyDescent="0.3">
      <c r="B284" s="12" t="s">
        <v>216</v>
      </c>
      <c r="C284" s="12" t="s">
        <v>182</v>
      </c>
      <c r="E284" s="37">
        <f>IF(GRAFICA_69!F16=1, B284, GRAFICA_69!H16)</f>
        <v>0</v>
      </c>
      <c r="P284" s="215" t="s">
        <v>378</v>
      </c>
      <c r="Q284" s="172"/>
      <c r="R284" s="172"/>
      <c r="S284" s="172"/>
      <c r="T284" s="172"/>
      <c r="U284" s="173"/>
    </row>
    <row r="285" spans="1:21" ht="16.95" customHeight="1" x14ac:dyDescent="0.3">
      <c r="A285" s="38" t="s">
        <v>218</v>
      </c>
      <c r="B285" s="12" t="s">
        <v>219</v>
      </c>
      <c r="C285" s="12" t="s">
        <v>183</v>
      </c>
      <c r="D285" s="13" t="s">
        <v>220</v>
      </c>
      <c r="E285" s="37">
        <f>IF(GRAFICA_69!G16=1, B285, GRAFICA_69!I16)</f>
        <v>-4000</v>
      </c>
      <c r="P285" s="215" t="s">
        <v>379</v>
      </c>
      <c r="Q285" s="172"/>
      <c r="R285" s="172"/>
      <c r="S285" s="172"/>
      <c r="T285" s="172"/>
      <c r="U285" s="173"/>
    </row>
    <row r="286" spans="1:21" ht="16.95" customHeight="1" x14ac:dyDescent="0.3">
      <c r="B286" s="12" t="s">
        <v>221</v>
      </c>
      <c r="C286" s="12" t="s">
        <v>184</v>
      </c>
      <c r="E286" s="37">
        <f>IF(GRAFICA_69!F17=1, B286, GRAFICA_69!H17)</f>
        <v>0</v>
      </c>
      <c r="P286" s="215"/>
      <c r="Q286" s="172"/>
      <c r="R286" s="172"/>
      <c r="S286" s="172"/>
      <c r="T286" s="172"/>
      <c r="U286" s="173"/>
    </row>
    <row r="287" spans="1:21" ht="16.95" customHeight="1" x14ac:dyDescent="0.3">
      <c r="B287" s="12" t="s">
        <v>222</v>
      </c>
      <c r="C287" s="12" t="s">
        <v>185</v>
      </c>
      <c r="E287" s="37">
        <f>IF(GRAFICA_69!G17=1, B287, GRAFICA_69!I17)</f>
        <v>-3500</v>
      </c>
      <c r="P287" s="215"/>
      <c r="Q287" s="172"/>
      <c r="R287" s="172"/>
      <c r="S287" s="172"/>
      <c r="T287" s="172"/>
      <c r="U287" s="173"/>
    </row>
    <row r="288" spans="1:21" ht="16.95" customHeight="1" x14ac:dyDescent="0.3">
      <c r="B288" s="12" t="s">
        <v>223</v>
      </c>
      <c r="C288" s="12" t="s">
        <v>186</v>
      </c>
      <c r="E288" s="37">
        <f>IF(GRAFICA_69!F18=1, B288, GRAFICA_69!H18)</f>
        <v>0</v>
      </c>
      <c r="P288" s="215"/>
      <c r="Q288" s="172"/>
      <c r="R288" s="172"/>
      <c r="S288" s="172"/>
      <c r="T288" s="172"/>
      <c r="U288" s="173"/>
    </row>
    <row r="289" spans="1:21" ht="16.95" customHeight="1" x14ac:dyDescent="0.3">
      <c r="B289" s="12" t="s">
        <v>224</v>
      </c>
      <c r="C289" s="12" t="s">
        <v>187</v>
      </c>
      <c r="E289" s="37">
        <f>IF(GRAFICA_69!G18=1, B289, GRAFICA_69!I18)</f>
        <v>-3500</v>
      </c>
      <c r="P289" s="215"/>
      <c r="Q289" s="172"/>
      <c r="R289" s="172"/>
      <c r="S289" s="172"/>
      <c r="T289" s="172"/>
      <c r="U289" s="173"/>
    </row>
    <row r="290" spans="1:21" ht="16.95" customHeight="1" x14ac:dyDescent="0.3">
      <c r="B290" s="12" t="s">
        <v>225</v>
      </c>
      <c r="C290" s="12" t="s">
        <v>188</v>
      </c>
      <c r="E290" s="37">
        <f>IF(GRAFICA_69!F19=1, B290, GRAFICA_69!H19)</f>
        <v>2500</v>
      </c>
      <c r="P290" s="215"/>
      <c r="Q290" s="172"/>
      <c r="R290" s="172"/>
      <c r="S290" s="172"/>
      <c r="T290" s="172"/>
      <c r="U290" s="173"/>
    </row>
    <row r="291" spans="1:21" ht="16.95" customHeight="1" x14ac:dyDescent="0.3">
      <c r="B291" s="12" t="s">
        <v>226</v>
      </c>
      <c r="C291" s="12" t="s">
        <v>189</v>
      </c>
      <c r="E291" s="37">
        <f>IF(GRAFICA_69!G19=1, B291, GRAFICA_69!I19)</f>
        <v>-6000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IF(GRAFICA_69!F14=1,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IF(GRAFICA_69!G14=1,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f>IF(GRAFICA_69!F15=1, 0, B296)</f>
        <v>0</v>
      </c>
      <c r="F296" s="14" t="str">
        <f>IF(E296&lt;&gt;0, COUNTIF(E$294:E296, "&lt;&gt;0"), "")</f>
        <v/>
      </c>
      <c r="G296" s="14">
        <f>IF(E296=0, COUNTIF(E$294:E296, 0), "")</f>
        <v>3</v>
      </c>
      <c r="P296" s="215"/>
      <c r="Q296" s="172"/>
      <c r="R296" s="172"/>
      <c r="S296" s="172"/>
      <c r="T296" s="172"/>
      <c r="U296" s="173"/>
    </row>
    <row r="297" spans="1:21" ht="16.95" customHeight="1" x14ac:dyDescent="0.3">
      <c r="B297" s="12" t="s">
        <v>231</v>
      </c>
      <c r="C297" s="12" t="s">
        <v>181</v>
      </c>
      <c r="E297" s="39">
        <f>IF(GRAFICA_69!G15=1, 0, B297)</f>
        <v>0</v>
      </c>
      <c r="F297" s="14" t="str">
        <f>IF(E297&lt;&gt;0, COUNTIF(E$294:E297, "&lt;&gt;0"), "")</f>
        <v/>
      </c>
      <c r="G297" s="14">
        <f>IF(E297=0, COUNTIF(E$294:E297, 0), "")</f>
        <v>4</v>
      </c>
      <c r="P297" s="215"/>
      <c r="Q297" s="172"/>
      <c r="R297" s="172"/>
      <c r="S297" s="172"/>
      <c r="T297" s="172"/>
      <c r="U297" s="173"/>
    </row>
    <row r="298" spans="1:21" ht="16.95" customHeight="1" x14ac:dyDescent="0.3">
      <c r="B298" s="12" t="s">
        <v>232</v>
      </c>
      <c r="C298" s="12" t="s">
        <v>182</v>
      </c>
      <c r="E298" s="39" t="str">
        <f>IF(GRAFICA_69!F16=1, 0, B298)</f>
        <v>D3X</v>
      </c>
      <c r="F298" s="14">
        <f>IF(E298&lt;&gt;0, COUNTIF(E$294:E298, "&lt;&gt;0"), "")</f>
        <v>1</v>
      </c>
      <c r="G298" s="14" t="str">
        <f>IF(E298=0, COUNTIF(E$294:E298, 0), "")</f>
        <v/>
      </c>
      <c r="P298" s="215"/>
      <c r="Q298" s="172"/>
      <c r="R298" s="172"/>
      <c r="S298" s="172"/>
      <c r="T298" s="172"/>
      <c r="U298" s="173"/>
    </row>
    <row r="299" spans="1:21" ht="16.95" customHeight="1" x14ac:dyDescent="0.3">
      <c r="A299" s="38" t="s">
        <v>233</v>
      </c>
      <c r="B299" s="12" t="s">
        <v>234</v>
      </c>
      <c r="C299" s="12" t="s">
        <v>183</v>
      </c>
      <c r="D299" s="13" t="s">
        <v>220</v>
      </c>
      <c r="E299" s="39" t="str">
        <f>IF(GRAFICA_69!G16=1, 0, B299)</f>
        <v>D3Y</v>
      </c>
      <c r="F299" s="14">
        <f>IF(E299&lt;&gt;0, COUNTIF(E$294:E299, "&lt;&gt;0"), "")</f>
        <v>2</v>
      </c>
      <c r="G299" s="14" t="str">
        <f>IF(E299=0, COUNTIF(E$294:E299, 0), "")</f>
        <v/>
      </c>
      <c r="P299" s="215"/>
      <c r="Q299" s="172"/>
      <c r="R299" s="172"/>
      <c r="S299" s="172"/>
      <c r="T299" s="172"/>
      <c r="U299" s="173"/>
    </row>
    <row r="300" spans="1:21" ht="16.95" customHeight="1" x14ac:dyDescent="0.3">
      <c r="B300" s="12" t="s">
        <v>235</v>
      </c>
      <c r="C300" s="12" t="s">
        <v>184</v>
      </c>
      <c r="E300" s="39" t="str">
        <f>IF(GRAFICA_69!F17=1, 0, B300)</f>
        <v>D4X</v>
      </c>
      <c r="F300" s="14">
        <f>IF(E300&lt;&gt;0, COUNTIF(E$294:E300, "&lt;&gt;0"), "")</f>
        <v>3</v>
      </c>
      <c r="G300" s="14" t="str">
        <f>IF(E300=0, COUNTIF(E$294:E300, 0), "")</f>
        <v/>
      </c>
      <c r="P300" s="215"/>
      <c r="Q300" s="172"/>
      <c r="R300" s="172"/>
      <c r="S300" s="172"/>
      <c r="T300" s="172"/>
      <c r="U300" s="173"/>
    </row>
    <row r="301" spans="1:21" ht="16.95" customHeight="1" x14ac:dyDescent="0.3">
      <c r="B301" s="12" t="s">
        <v>236</v>
      </c>
      <c r="C301" s="12" t="s">
        <v>185</v>
      </c>
      <c r="E301" s="39" t="str">
        <f>IF(GRAFICA_69!G17=1, 0, B301)</f>
        <v>D4Y</v>
      </c>
      <c r="F301" s="14">
        <f>IF(E301&lt;&gt;0, COUNTIF(E$294:E301, "&lt;&gt;0"), "")</f>
        <v>4</v>
      </c>
      <c r="G301" s="14" t="str">
        <f>IF(E301=0, COUNTIF(E$294:E301, 0), "")</f>
        <v/>
      </c>
      <c r="P301" s="215"/>
      <c r="Q301" s="172"/>
      <c r="R301" s="172"/>
      <c r="S301" s="172"/>
      <c r="T301" s="172"/>
      <c r="U301" s="173"/>
    </row>
    <row r="302" spans="1:21" ht="16.95" customHeight="1" x14ac:dyDescent="0.3">
      <c r="B302" s="12" t="s">
        <v>237</v>
      </c>
      <c r="C302" s="12" t="s">
        <v>186</v>
      </c>
      <c r="E302" s="39" t="str">
        <f>IF(GRAFICA_69!F18=1, 0, B302)</f>
        <v>D5X</v>
      </c>
      <c r="F302" s="14">
        <f>IF(E302&lt;&gt;0, COUNTIF(E$294:E302, "&lt;&gt;0"), "")</f>
        <v>5</v>
      </c>
      <c r="G302" s="14" t="str">
        <f>IF(E302=0, COUNTIF(E$294:E302, 0), "")</f>
        <v/>
      </c>
      <c r="P302" s="215"/>
      <c r="Q302" s="172"/>
      <c r="R302" s="172"/>
      <c r="S302" s="172"/>
      <c r="T302" s="172"/>
      <c r="U302" s="173"/>
    </row>
    <row r="303" spans="1:21" ht="16.95" customHeight="1" x14ac:dyDescent="0.3">
      <c r="B303" s="12" t="s">
        <v>238</v>
      </c>
      <c r="C303" s="12" t="s">
        <v>187</v>
      </c>
      <c r="E303" s="39" t="str">
        <f>IF(GRAFICA_69!G18=1, 0, B303)</f>
        <v>D5Y</v>
      </c>
      <c r="F303" s="14">
        <f>IF(E303&lt;&gt;0, COUNTIF(E$294:E303, "&lt;&gt;0"), "")</f>
        <v>6</v>
      </c>
      <c r="G303" s="14" t="str">
        <f>IF(E303=0, COUNTIF(E$294:E303, 0), "")</f>
        <v/>
      </c>
      <c r="P303" s="215"/>
      <c r="Q303" s="172"/>
      <c r="R303" s="172"/>
      <c r="S303" s="172"/>
      <c r="T303" s="172"/>
      <c r="U303" s="173"/>
    </row>
    <row r="304" spans="1:21" ht="16.95" customHeight="1" x14ac:dyDescent="0.3">
      <c r="B304" s="12" t="s">
        <v>239</v>
      </c>
      <c r="C304" s="12" t="s">
        <v>188</v>
      </c>
      <c r="E304" s="39" t="str">
        <f>IF(GRAFICA_69!F19=1, 0, B304)</f>
        <v>D6X</v>
      </c>
      <c r="F304" s="14">
        <f>IF(E304&lt;&gt;0, COUNTIF(E$294:E304, "&lt;&gt;0"), "")</f>
        <v>7</v>
      </c>
      <c r="G304" s="14" t="str">
        <f>IF(E304=0, COUNTIF(E$294:E304, 0), "")</f>
        <v/>
      </c>
      <c r="P304" s="215"/>
      <c r="Q304" s="172"/>
      <c r="R304" s="172"/>
      <c r="S304" s="172"/>
      <c r="T304" s="172"/>
      <c r="U304" s="173"/>
    </row>
    <row r="305" spans="1:21" ht="16.95" customHeight="1" x14ac:dyDescent="0.3">
      <c r="B305" s="12" t="s">
        <v>240</v>
      </c>
      <c r="C305" s="12" t="s">
        <v>189</v>
      </c>
      <c r="E305" s="39" t="str">
        <f>IF(GRAFICA_69!G19=1, 0, B305)</f>
        <v>D6Y</v>
      </c>
      <c r="F305" s="14">
        <f>IF(E305&lt;&gt;0, COUNTIF(E$294:E305, "&lt;&gt;0"), "")</f>
        <v>8</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108079.13042639576</v>
      </c>
      <c r="D310" s="9">
        <f t="shared" si="30"/>
        <v>22539.565213197879</v>
      </c>
      <c r="E310" s="9">
        <f t="shared" si="30"/>
        <v>0</v>
      </c>
      <c r="F310" s="9">
        <f t="shared" si="30"/>
        <v>0</v>
      </c>
      <c r="G310" s="9">
        <f t="shared" si="30"/>
        <v>-45079.130426395757</v>
      </c>
      <c r="H310" s="9">
        <f t="shared" si="30"/>
        <v>-22539.565213197879</v>
      </c>
      <c r="I310" s="9">
        <f t="shared" si="30"/>
        <v>-63000</v>
      </c>
      <c r="J310" s="9">
        <f t="shared" si="30"/>
        <v>0</v>
      </c>
      <c r="K310" s="9">
        <f t="shared" si="30"/>
        <v>0</v>
      </c>
      <c r="L310" s="9">
        <f t="shared" si="30"/>
        <v>0</v>
      </c>
      <c r="M310" s="9">
        <f t="shared" si="30"/>
        <v>0</v>
      </c>
      <c r="N310" s="9">
        <f t="shared" si="30"/>
        <v>0</v>
      </c>
      <c r="O310" s="13" t="s">
        <v>251</v>
      </c>
      <c r="P310" s="219" t="s">
        <v>380</v>
      </c>
      <c r="Q310" s="172"/>
      <c r="R310" s="172"/>
      <c r="S310" s="172"/>
      <c r="T310" s="172"/>
      <c r="U310" s="173"/>
    </row>
    <row r="311" spans="1:21" ht="16.95" customHeight="1" x14ac:dyDescent="0.3">
      <c r="A311" s="12" t="str">
        <f t="shared" si="29"/>
        <v>C1Y</v>
      </c>
      <c r="C311" s="9">
        <f t="shared" ref="C311:N311" si="31">B266</f>
        <v>22539.565213197879</v>
      </c>
      <c r="D311" s="9">
        <f t="shared" si="31"/>
        <v>74269.782606598936</v>
      </c>
      <c r="E311" s="9">
        <f t="shared" si="31"/>
        <v>0</v>
      </c>
      <c r="F311" s="9">
        <f t="shared" si="31"/>
        <v>-63000</v>
      </c>
      <c r="G311" s="9">
        <f t="shared" si="31"/>
        <v>-22539.565213197879</v>
      </c>
      <c r="H311" s="9">
        <f t="shared" si="31"/>
        <v>-11269.782606598939</v>
      </c>
      <c r="I311" s="9">
        <f t="shared" si="31"/>
        <v>0</v>
      </c>
      <c r="J311" s="9">
        <f t="shared" si="31"/>
        <v>0</v>
      </c>
      <c r="K311" s="9">
        <f t="shared" si="31"/>
        <v>0</v>
      </c>
      <c r="L311" s="9">
        <f t="shared" si="31"/>
        <v>0</v>
      </c>
      <c r="M311" s="9">
        <f t="shared" si="31"/>
        <v>0</v>
      </c>
      <c r="N311" s="9">
        <f t="shared" si="31"/>
        <v>0</v>
      </c>
      <c r="O311" s="13" t="s">
        <v>251</v>
      </c>
      <c r="P311" s="219" t="s">
        <v>253</v>
      </c>
      <c r="Q311" s="172"/>
      <c r="R311" s="172"/>
      <c r="S311" s="172"/>
      <c r="T311" s="172"/>
      <c r="U311" s="173"/>
    </row>
    <row r="312" spans="1:21" ht="16.95" customHeight="1" x14ac:dyDescent="0.3">
      <c r="A312" s="12" t="str">
        <f t="shared" si="29"/>
        <v>C2X</v>
      </c>
      <c r="C312" s="9">
        <f t="shared" ref="C312:N312" si="32">B267</f>
        <v>0</v>
      </c>
      <c r="D312" s="9">
        <f t="shared" si="32"/>
        <v>0</v>
      </c>
      <c r="E312" s="9">
        <f t="shared" si="32"/>
        <v>108079.13042639576</v>
      </c>
      <c r="F312" s="9">
        <f t="shared" si="32"/>
        <v>-22539.565213197879</v>
      </c>
      <c r="G312" s="9">
        <f t="shared" si="32"/>
        <v>-45079.130426395757</v>
      </c>
      <c r="H312" s="9">
        <f t="shared" si="32"/>
        <v>22539.565213197879</v>
      </c>
      <c r="I312" s="9">
        <f t="shared" si="32"/>
        <v>0</v>
      </c>
      <c r="J312" s="9">
        <f t="shared" si="32"/>
        <v>0</v>
      </c>
      <c r="K312" s="9">
        <f t="shared" si="32"/>
        <v>-63000</v>
      </c>
      <c r="L312" s="9">
        <f t="shared" si="32"/>
        <v>0</v>
      </c>
      <c r="M312" s="9">
        <f t="shared" si="32"/>
        <v>0</v>
      </c>
      <c r="N312" s="9">
        <f t="shared" si="32"/>
        <v>0</v>
      </c>
      <c r="O312" s="13" t="s">
        <v>251</v>
      </c>
      <c r="P312" s="219" t="s">
        <v>254</v>
      </c>
      <c r="Q312" s="172"/>
      <c r="R312" s="172"/>
      <c r="S312" s="172"/>
      <c r="T312" s="172"/>
      <c r="U312" s="173"/>
    </row>
    <row r="313" spans="1:21" ht="16.95" customHeight="1" x14ac:dyDescent="0.3">
      <c r="A313" s="12" t="str">
        <f t="shared" si="29"/>
        <v>C2Y</v>
      </c>
      <c r="C313" s="9">
        <f t="shared" ref="C313:N313" si="33">B268</f>
        <v>0</v>
      </c>
      <c r="D313" s="9">
        <f t="shared" si="33"/>
        <v>-63000</v>
      </c>
      <c r="E313" s="9">
        <f t="shared" si="33"/>
        <v>-22539.565213197879</v>
      </c>
      <c r="F313" s="9">
        <f t="shared" si="33"/>
        <v>74269.782606598936</v>
      </c>
      <c r="G313" s="9">
        <f t="shared" si="33"/>
        <v>22539.565213197879</v>
      </c>
      <c r="H313" s="9">
        <f t="shared" si="33"/>
        <v>-11269.782606598939</v>
      </c>
      <c r="I313" s="9">
        <f t="shared" si="33"/>
        <v>0</v>
      </c>
      <c r="J313" s="9">
        <f t="shared" si="33"/>
        <v>0</v>
      </c>
      <c r="K313" s="9">
        <f t="shared" si="33"/>
        <v>0</v>
      </c>
      <c r="L313" s="9">
        <f t="shared" si="33"/>
        <v>0</v>
      </c>
      <c r="M313" s="9">
        <f t="shared" si="33"/>
        <v>0</v>
      </c>
      <c r="N313" s="9">
        <f t="shared" si="33"/>
        <v>0</v>
      </c>
      <c r="O313" s="13" t="s">
        <v>251</v>
      </c>
      <c r="P313" s="219" t="s">
        <v>381</v>
      </c>
      <c r="Q313" s="172"/>
      <c r="R313" s="172"/>
      <c r="S313" s="172"/>
      <c r="T313" s="172"/>
      <c r="U313" s="173"/>
    </row>
    <row r="314" spans="1:21" ht="16.95" customHeight="1" x14ac:dyDescent="0.3">
      <c r="A314" s="41">
        <f t="shared" si="29"/>
        <v>0</v>
      </c>
      <c r="C314" s="9">
        <f t="shared" ref="C314:N314" si="34">B269</f>
        <v>-45079.130426395757</v>
      </c>
      <c r="D314" s="9">
        <f t="shared" si="34"/>
        <v>-22539.565213197879</v>
      </c>
      <c r="E314" s="9">
        <f t="shared" si="34"/>
        <v>-45079.130426395757</v>
      </c>
      <c r="F314" s="9">
        <f t="shared" si="34"/>
        <v>22539.565213197879</v>
      </c>
      <c r="G314" s="41">
        <f t="shared" si="34"/>
        <v>153158.26085279151</v>
      </c>
      <c r="H314" s="41">
        <f t="shared" si="34"/>
        <v>0</v>
      </c>
      <c r="I314" s="41">
        <f t="shared" si="34"/>
        <v>0</v>
      </c>
      <c r="J314" s="41">
        <f t="shared" si="34"/>
        <v>0</v>
      </c>
      <c r="K314" s="41">
        <f t="shared" si="34"/>
        <v>0</v>
      </c>
      <c r="L314" s="41">
        <f t="shared" si="34"/>
        <v>0</v>
      </c>
      <c r="M314" s="41">
        <f t="shared" si="34"/>
        <v>-63000</v>
      </c>
      <c r="N314" s="41">
        <f t="shared" si="34"/>
        <v>0</v>
      </c>
      <c r="O314" s="13" t="s">
        <v>251</v>
      </c>
      <c r="P314" s="215" t="s">
        <v>382</v>
      </c>
      <c r="Q314" s="172"/>
      <c r="R314" s="172"/>
      <c r="S314" s="172"/>
      <c r="T314" s="172"/>
      <c r="U314" s="173"/>
    </row>
    <row r="315" spans="1:21" ht="16.95" customHeight="1" x14ac:dyDescent="0.3">
      <c r="A315" s="41">
        <f t="shared" si="29"/>
        <v>-4000</v>
      </c>
      <c r="C315" s="9">
        <f t="shared" ref="C315:N315" si="35">B270</f>
        <v>-22539.565213197879</v>
      </c>
      <c r="D315" s="9">
        <f t="shared" si="35"/>
        <v>-11269.782606598939</v>
      </c>
      <c r="E315" s="9">
        <f t="shared" si="35"/>
        <v>22539.565213197879</v>
      </c>
      <c r="F315" s="9">
        <f t="shared" si="35"/>
        <v>-11269.782606598939</v>
      </c>
      <c r="G315" s="41">
        <f t="shared" si="35"/>
        <v>0</v>
      </c>
      <c r="H315" s="41">
        <f t="shared" si="35"/>
        <v>274539.56521319784</v>
      </c>
      <c r="I315" s="41">
        <f t="shared" si="35"/>
        <v>0</v>
      </c>
      <c r="J315" s="41">
        <f t="shared" si="35"/>
        <v>-126000</v>
      </c>
      <c r="K315" s="41">
        <f t="shared" si="35"/>
        <v>0</v>
      </c>
      <c r="L315" s="41">
        <f t="shared" si="35"/>
        <v>-126000</v>
      </c>
      <c r="M315" s="41">
        <f t="shared" si="35"/>
        <v>0</v>
      </c>
      <c r="N315" s="41">
        <f t="shared" si="35"/>
        <v>0</v>
      </c>
      <c r="O315" s="13" t="s">
        <v>251</v>
      </c>
      <c r="P315" s="215" t="str">
        <f t="shared" ref="P315:P321" si="36">E299</f>
        <v>D3Y</v>
      </c>
      <c r="Q315" s="172"/>
      <c r="R315" s="172"/>
      <c r="S315" s="172"/>
      <c r="T315" s="172"/>
      <c r="U315" s="173"/>
    </row>
    <row r="316" spans="1:21" ht="16.95" customHeight="1" x14ac:dyDescent="0.3">
      <c r="A316" s="41">
        <f t="shared" si="29"/>
        <v>0</v>
      </c>
      <c r="B316" s="13" t="s">
        <v>220</v>
      </c>
      <c r="C316" s="9">
        <f t="shared" ref="C316:N316" si="37">B271</f>
        <v>-63000</v>
      </c>
      <c r="D316" s="9">
        <f t="shared" si="37"/>
        <v>0</v>
      </c>
      <c r="E316" s="9">
        <f t="shared" si="37"/>
        <v>0</v>
      </c>
      <c r="F316" s="9">
        <f t="shared" si="37"/>
        <v>0</v>
      </c>
      <c r="G316" s="41">
        <f t="shared" si="37"/>
        <v>0</v>
      </c>
      <c r="H316" s="41">
        <f t="shared" si="37"/>
        <v>0</v>
      </c>
      <c r="I316" s="41">
        <f t="shared" si="37"/>
        <v>108079.13042639576</v>
      </c>
      <c r="J316" s="41">
        <f t="shared" si="37"/>
        <v>22539.565213197879</v>
      </c>
      <c r="K316" s="41">
        <f t="shared" si="37"/>
        <v>0</v>
      </c>
      <c r="L316" s="41">
        <f t="shared" si="37"/>
        <v>0</v>
      </c>
      <c r="M316" s="41">
        <f t="shared" si="37"/>
        <v>-45079.130426395757</v>
      </c>
      <c r="N316" s="41">
        <f t="shared" si="37"/>
        <v>-22539.565213197879</v>
      </c>
      <c r="O316" s="13" t="s">
        <v>251</v>
      </c>
      <c r="P316" s="215" t="str">
        <f t="shared" si="36"/>
        <v>D4X</v>
      </c>
      <c r="Q316" s="172"/>
      <c r="R316" s="172"/>
      <c r="S316" s="172"/>
      <c r="T316" s="172"/>
      <c r="U316" s="173"/>
    </row>
    <row r="317" spans="1:21" ht="16.95" customHeight="1" x14ac:dyDescent="0.3">
      <c r="A317" s="41">
        <f t="shared" si="29"/>
        <v>-3500</v>
      </c>
      <c r="C317" s="9">
        <f t="shared" ref="C317:N317" si="38">B272</f>
        <v>0</v>
      </c>
      <c r="D317" s="9">
        <f t="shared" si="38"/>
        <v>0</v>
      </c>
      <c r="E317" s="9">
        <f t="shared" si="38"/>
        <v>0</v>
      </c>
      <c r="F317" s="9">
        <f t="shared" si="38"/>
        <v>0</v>
      </c>
      <c r="G317" s="41">
        <f t="shared" si="38"/>
        <v>0</v>
      </c>
      <c r="H317" s="41">
        <f t="shared" si="38"/>
        <v>-126000</v>
      </c>
      <c r="I317" s="41">
        <f t="shared" si="38"/>
        <v>22539.565213197879</v>
      </c>
      <c r="J317" s="41">
        <f t="shared" si="38"/>
        <v>200269.78260659895</v>
      </c>
      <c r="K317" s="41">
        <f t="shared" si="38"/>
        <v>0</v>
      </c>
      <c r="L317" s="41">
        <f t="shared" si="38"/>
        <v>-63000</v>
      </c>
      <c r="M317" s="41">
        <f t="shared" si="38"/>
        <v>-22539.565213197879</v>
      </c>
      <c r="N317" s="41">
        <f t="shared" si="38"/>
        <v>-11269.782606598939</v>
      </c>
      <c r="O317" s="13" t="s">
        <v>251</v>
      </c>
      <c r="P317" s="215" t="str">
        <f t="shared" si="36"/>
        <v>D4Y</v>
      </c>
      <c r="Q317" s="172"/>
      <c r="R317" s="172"/>
      <c r="S317" s="172"/>
      <c r="T317" s="172"/>
      <c r="U317" s="173"/>
    </row>
    <row r="318" spans="1:21" ht="16.95" customHeight="1" x14ac:dyDescent="0.3">
      <c r="A318" s="41">
        <f t="shared" si="29"/>
        <v>0</v>
      </c>
      <c r="C318" s="9">
        <f t="shared" ref="C318:N318" si="39">B273</f>
        <v>0</v>
      </c>
      <c r="D318" s="9">
        <f t="shared" si="39"/>
        <v>0</v>
      </c>
      <c r="E318" s="9">
        <f t="shared" si="39"/>
        <v>-63000</v>
      </c>
      <c r="F318" s="9">
        <f t="shared" si="39"/>
        <v>0</v>
      </c>
      <c r="G318" s="41">
        <f t="shared" si="39"/>
        <v>0</v>
      </c>
      <c r="H318" s="41">
        <f t="shared" si="39"/>
        <v>0</v>
      </c>
      <c r="I318" s="41">
        <f t="shared" si="39"/>
        <v>0</v>
      </c>
      <c r="J318" s="41">
        <f t="shared" si="39"/>
        <v>0</v>
      </c>
      <c r="K318" s="41">
        <f t="shared" si="39"/>
        <v>108079.13042639576</v>
      </c>
      <c r="L318" s="41">
        <f t="shared" si="39"/>
        <v>-22539.565213197879</v>
      </c>
      <c r="M318" s="41">
        <f t="shared" si="39"/>
        <v>-45079.130426395757</v>
      </c>
      <c r="N318" s="41">
        <f t="shared" si="39"/>
        <v>22539.565213197879</v>
      </c>
      <c r="O318" s="13" t="s">
        <v>251</v>
      </c>
      <c r="P318" s="215" t="str">
        <f t="shared" si="36"/>
        <v>D5X</v>
      </c>
      <c r="Q318" s="172"/>
      <c r="R318" s="172"/>
      <c r="S318" s="172"/>
      <c r="T318" s="172"/>
      <c r="U318" s="173"/>
    </row>
    <row r="319" spans="1:21" ht="16.95" customHeight="1" x14ac:dyDescent="0.3">
      <c r="A319" s="41">
        <f t="shared" si="29"/>
        <v>-3500</v>
      </c>
      <c r="C319" s="9">
        <f t="shared" ref="C319:N319" si="40">B274</f>
        <v>0</v>
      </c>
      <c r="D319" s="9">
        <f t="shared" si="40"/>
        <v>0</v>
      </c>
      <c r="E319" s="9">
        <f t="shared" si="40"/>
        <v>0</v>
      </c>
      <c r="F319" s="9">
        <f t="shared" si="40"/>
        <v>0</v>
      </c>
      <c r="G319" s="41">
        <f t="shared" si="40"/>
        <v>0</v>
      </c>
      <c r="H319" s="41">
        <f t="shared" si="40"/>
        <v>-126000</v>
      </c>
      <c r="I319" s="41">
        <f t="shared" si="40"/>
        <v>0</v>
      </c>
      <c r="J319" s="41">
        <f t="shared" si="40"/>
        <v>-63000</v>
      </c>
      <c r="K319" s="41">
        <f t="shared" si="40"/>
        <v>-22539.565213197879</v>
      </c>
      <c r="L319" s="41">
        <f t="shared" si="40"/>
        <v>200269.78260659895</v>
      </c>
      <c r="M319" s="41">
        <f t="shared" si="40"/>
        <v>22539.565213197879</v>
      </c>
      <c r="N319" s="41">
        <f t="shared" si="40"/>
        <v>-11269.782606598939</v>
      </c>
      <c r="O319" s="13" t="s">
        <v>251</v>
      </c>
      <c r="P319" s="215" t="str">
        <f t="shared" si="36"/>
        <v>D5Y</v>
      </c>
      <c r="Q319" s="172"/>
      <c r="R319" s="172"/>
      <c r="S319" s="172"/>
      <c r="T319" s="172"/>
      <c r="U319" s="173"/>
    </row>
    <row r="320" spans="1:21" ht="16.95" customHeight="1" x14ac:dyDescent="0.3">
      <c r="A320" s="41">
        <f t="shared" si="29"/>
        <v>2500</v>
      </c>
      <c r="C320" s="9">
        <f t="shared" ref="C320:N320" si="41">B275</f>
        <v>0</v>
      </c>
      <c r="D320" s="9">
        <f t="shared" si="41"/>
        <v>0</v>
      </c>
      <c r="E320" s="9">
        <f t="shared" si="41"/>
        <v>0</v>
      </c>
      <c r="F320" s="9">
        <f t="shared" si="41"/>
        <v>0</v>
      </c>
      <c r="G320" s="41">
        <f t="shared" si="41"/>
        <v>-63000</v>
      </c>
      <c r="H320" s="41">
        <f t="shared" si="41"/>
        <v>0</v>
      </c>
      <c r="I320" s="41">
        <f t="shared" si="41"/>
        <v>-45079.130426395757</v>
      </c>
      <c r="J320" s="41">
        <f t="shared" si="41"/>
        <v>-22539.565213197879</v>
      </c>
      <c r="K320" s="41">
        <f t="shared" si="41"/>
        <v>-45079.130426395757</v>
      </c>
      <c r="L320" s="41">
        <f t="shared" si="41"/>
        <v>22539.565213197879</v>
      </c>
      <c r="M320" s="41">
        <f t="shared" si="41"/>
        <v>153158.26085279151</v>
      </c>
      <c r="N320" s="41">
        <f t="shared" si="41"/>
        <v>0</v>
      </c>
      <c r="O320" s="13" t="s">
        <v>251</v>
      </c>
      <c r="P320" s="215" t="str">
        <f t="shared" si="36"/>
        <v>D6X</v>
      </c>
      <c r="Q320" s="172"/>
      <c r="R320" s="172"/>
      <c r="S320" s="172"/>
      <c r="T320" s="172"/>
      <c r="U320" s="173"/>
    </row>
    <row r="321" spans="1:21" ht="16.95" customHeight="1" x14ac:dyDescent="0.3">
      <c r="A321" s="41">
        <f t="shared" si="29"/>
        <v>-6000</v>
      </c>
      <c r="C321" s="9">
        <f t="shared" ref="C321:N321" si="42">B276</f>
        <v>0</v>
      </c>
      <c r="D321" s="9">
        <f t="shared" si="42"/>
        <v>0</v>
      </c>
      <c r="E321" s="9">
        <f t="shared" si="42"/>
        <v>0</v>
      </c>
      <c r="F321" s="9">
        <f t="shared" si="42"/>
        <v>0</v>
      </c>
      <c r="G321" s="41">
        <f t="shared" si="42"/>
        <v>0</v>
      </c>
      <c r="H321" s="41">
        <f t="shared" si="42"/>
        <v>0</v>
      </c>
      <c r="I321" s="41">
        <f t="shared" si="42"/>
        <v>-22539.565213197879</v>
      </c>
      <c r="J321" s="41">
        <f t="shared" si="42"/>
        <v>-11269.782606598939</v>
      </c>
      <c r="K321" s="41">
        <f t="shared" si="42"/>
        <v>22539.565213197879</v>
      </c>
      <c r="L321" s="41">
        <f t="shared" si="42"/>
        <v>-11269.782606598939</v>
      </c>
      <c r="M321" s="41">
        <f t="shared" si="42"/>
        <v>0</v>
      </c>
      <c r="N321" s="41">
        <f t="shared" si="42"/>
        <v>22539.565213197879</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U3X</v>
      </c>
      <c r="D325" s="38" t="str">
        <f>INDEX(C$294:C$305, MATCH(2, F$294:F$305, 0))</f>
        <v>U3Y</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215" t="s">
        <v>383</v>
      </c>
      <c r="Q325" s="172"/>
      <c r="R325" s="172"/>
      <c r="S325" s="172"/>
      <c r="T325" s="172"/>
      <c r="U325" s="173"/>
    </row>
    <row r="326" spans="1:21" ht="16.95" customHeight="1" x14ac:dyDescent="0.3">
      <c r="A326" s="41">
        <f t="shared" ref="A326:A333" si="43">INDEX(E$280:E$291, MATCH(M326, C$280:C$291, 0))</f>
        <v>0</v>
      </c>
      <c r="C326" s="41">
        <f t="shared" ref="C326:J333" si="44">INDEX($B$265:$M$276, MATCH($M326, $N$265:$N$276, 0), MATCH(C$325, $B$264:$M$264, 0))</f>
        <v>153158.26085279151</v>
      </c>
      <c r="D326" s="41">
        <f t="shared" si="44"/>
        <v>0</v>
      </c>
      <c r="E326" s="41">
        <f t="shared" si="44"/>
        <v>0</v>
      </c>
      <c r="F326" s="41">
        <f t="shared" si="44"/>
        <v>0</v>
      </c>
      <c r="G326" s="41">
        <f t="shared" si="44"/>
        <v>0</v>
      </c>
      <c r="H326" s="41">
        <f t="shared" si="44"/>
        <v>0</v>
      </c>
      <c r="I326" s="41">
        <f t="shared" si="44"/>
        <v>-63000</v>
      </c>
      <c r="J326" s="41">
        <f t="shared" si="44"/>
        <v>0</v>
      </c>
      <c r="K326" s="13" t="s">
        <v>251</v>
      </c>
      <c r="L326" s="38" t="str">
        <f>INDEX(B$294:B$305, MATCH(1, F$294:F$305, 0))</f>
        <v>D3X</v>
      </c>
      <c r="M326" s="14" t="str">
        <f>INDEX(C$294:C$305, MATCH(1, F$294:F$305, 0))</f>
        <v>U3X</v>
      </c>
      <c r="P326" s="215" t="s">
        <v>384</v>
      </c>
      <c r="Q326" s="172"/>
      <c r="R326" s="172"/>
      <c r="S326" s="172"/>
      <c r="T326" s="172"/>
      <c r="U326" s="173"/>
    </row>
    <row r="327" spans="1:21" ht="16.95" customHeight="1" x14ac:dyDescent="0.3">
      <c r="A327" s="41">
        <f t="shared" si="43"/>
        <v>-4000</v>
      </c>
      <c r="C327" s="41">
        <f t="shared" si="44"/>
        <v>0</v>
      </c>
      <c r="D327" s="41">
        <f t="shared" si="44"/>
        <v>274539.56521319784</v>
      </c>
      <c r="E327" s="41">
        <f t="shared" si="44"/>
        <v>0</v>
      </c>
      <c r="F327" s="41">
        <f t="shared" si="44"/>
        <v>-126000</v>
      </c>
      <c r="G327" s="41">
        <f t="shared" si="44"/>
        <v>0</v>
      </c>
      <c r="H327" s="41">
        <f t="shared" si="44"/>
        <v>-126000</v>
      </c>
      <c r="I327" s="41">
        <f t="shared" si="44"/>
        <v>0</v>
      </c>
      <c r="J327" s="41">
        <f t="shared" si="44"/>
        <v>0</v>
      </c>
      <c r="K327" s="13" t="s">
        <v>251</v>
      </c>
      <c r="L327" s="38" t="str">
        <f>INDEX(B$294:B$305, MATCH(2, F$294:F$305, 0))</f>
        <v>D3Y</v>
      </c>
      <c r="M327" s="14" t="str">
        <f>INDEX(C$294:C$305, MATCH(2, F$294:F$305, 0))</f>
        <v>U3Y</v>
      </c>
      <c r="P327" s="215" t="s">
        <v>385</v>
      </c>
      <c r="Q327" s="172"/>
      <c r="R327" s="172"/>
      <c r="S327" s="172"/>
      <c r="T327" s="172"/>
      <c r="U327" s="173"/>
    </row>
    <row r="328" spans="1:21" ht="16.95" customHeight="1" x14ac:dyDescent="0.3">
      <c r="A328" s="41">
        <f t="shared" si="43"/>
        <v>0</v>
      </c>
      <c r="C328" s="41">
        <f t="shared" si="44"/>
        <v>0</v>
      </c>
      <c r="D328" s="41">
        <f t="shared" si="44"/>
        <v>0</v>
      </c>
      <c r="E328" s="41">
        <f t="shared" si="44"/>
        <v>108079.13042639576</v>
      </c>
      <c r="F328" s="41">
        <f t="shared" si="44"/>
        <v>22539.565213197879</v>
      </c>
      <c r="G328" s="41">
        <f t="shared" si="44"/>
        <v>0</v>
      </c>
      <c r="H328" s="41">
        <f t="shared" si="44"/>
        <v>0</v>
      </c>
      <c r="I328" s="41">
        <f t="shared" si="44"/>
        <v>-45079.130426395757</v>
      </c>
      <c r="J328" s="41">
        <f t="shared" si="44"/>
        <v>-22539.565213197879</v>
      </c>
      <c r="K328" s="13" t="s">
        <v>251</v>
      </c>
      <c r="L328" s="38" t="str">
        <f>INDEX(B$294:B$305, MATCH(3, F$294:F$305, 0))</f>
        <v>D4X</v>
      </c>
      <c r="M328" s="14" t="str">
        <f>INDEX(C$294:C$305, MATCH(3, F$294:F$305, 0))</f>
        <v>U4X</v>
      </c>
      <c r="P328" s="215" t="s">
        <v>386</v>
      </c>
      <c r="Q328" s="172"/>
      <c r="R328" s="172"/>
      <c r="S328" s="172"/>
      <c r="T328" s="172"/>
      <c r="U328" s="173"/>
    </row>
    <row r="329" spans="1:21" ht="16.95" customHeight="1" x14ac:dyDescent="0.3">
      <c r="A329" s="41">
        <f t="shared" si="43"/>
        <v>-3500</v>
      </c>
      <c r="C329" s="41">
        <f t="shared" si="44"/>
        <v>0</v>
      </c>
      <c r="D329" s="41">
        <f t="shared" si="44"/>
        <v>-126000</v>
      </c>
      <c r="E329" s="41">
        <f t="shared" si="44"/>
        <v>22539.565213197879</v>
      </c>
      <c r="F329" s="41">
        <f t="shared" si="44"/>
        <v>200269.78260659895</v>
      </c>
      <c r="G329" s="41">
        <f t="shared" si="44"/>
        <v>0</v>
      </c>
      <c r="H329" s="41">
        <f t="shared" si="44"/>
        <v>-63000</v>
      </c>
      <c r="I329" s="41">
        <f t="shared" si="44"/>
        <v>-22539.565213197879</v>
      </c>
      <c r="J329" s="41">
        <f t="shared" si="44"/>
        <v>-11269.782606598939</v>
      </c>
      <c r="K329" s="13" t="s">
        <v>251</v>
      </c>
      <c r="L329" s="38" t="str">
        <f>INDEX(B$294:B$305, MATCH(4, F$294:F$305, 0))</f>
        <v>D4Y</v>
      </c>
      <c r="M329" s="14" t="str">
        <f>INDEX(C$294:C$305, MATCH(4, F$294:F$305, 0))</f>
        <v>U4Y</v>
      </c>
      <c r="P329" s="215" t="s">
        <v>387</v>
      </c>
      <c r="Q329" s="172"/>
      <c r="R329" s="172"/>
      <c r="S329" s="172"/>
      <c r="T329" s="172"/>
      <c r="U329" s="173"/>
    </row>
    <row r="330" spans="1:21" ht="16.95" customHeight="1" x14ac:dyDescent="0.3">
      <c r="A330" s="41">
        <f t="shared" si="43"/>
        <v>0</v>
      </c>
      <c r="B330" s="13" t="s">
        <v>220</v>
      </c>
      <c r="C330" s="41">
        <f t="shared" si="44"/>
        <v>0</v>
      </c>
      <c r="D330" s="41">
        <f t="shared" si="44"/>
        <v>0</v>
      </c>
      <c r="E330" s="41">
        <f t="shared" si="44"/>
        <v>0</v>
      </c>
      <c r="F330" s="41">
        <f t="shared" si="44"/>
        <v>0</v>
      </c>
      <c r="G330" s="41">
        <f t="shared" si="44"/>
        <v>108079.13042639576</v>
      </c>
      <c r="H330" s="41">
        <f t="shared" si="44"/>
        <v>-22539.565213197879</v>
      </c>
      <c r="I330" s="41">
        <f t="shared" si="44"/>
        <v>-45079.130426395757</v>
      </c>
      <c r="J330" s="41">
        <f t="shared" si="44"/>
        <v>22539.565213197879</v>
      </c>
      <c r="K330" s="13" t="s">
        <v>251</v>
      </c>
      <c r="L330" s="38" t="str">
        <f>INDEX(B$294:B$305, MATCH(5, F$294:F$305, 0))</f>
        <v>D5X</v>
      </c>
      <c r="M330" s="14" t="str">
        <f>INDEX(C$294:C$305, MATCH(5, F$294:F$305, 0))</f>
        <v>U5X</v>
      </c>
      <c r="P330" s="215" t="s">
        <v>388</v>
      </c>
      <c r="Q330" s="172"/>
      <c r="R330" s="172"/>
      <c r="S330" s="172"/>
      <c r="T330" s="172"/>
      <c r="U330" s="173"/>
    </row>
    <row r="331" spans="1:21" ht="16.95" customHeight="1" x14ac:dyDescent="0.3">
      <c r="A331" s="41">
        <f t="shared" si="43"/>
        <v>-3500</v>
      </c>
      <c r="C331" s="41">
        <f t="shared" si="44"/>
        <v>0</v>
      </c>
      <c r="D331" s="41">
        <f t="shared" si="44"/>
        <v>-126000</v>
      </c>
      <c r="E331" s="41">
        <f t="shared" si="44"/>
        <v>0</v>
      </c>
      <c r="F331" s="41">
        <f t="shared" si="44"/>
        <v>-63000</v>
      </c>
      <c r="G331" s="41">
        <f t="shared" si="44"/>
        <v>-22539.565213197879</v>
      </c>
      <c r="H331" s="41">
        <f t="shared" si="44"/>
        <v>200269.78260659895</v>
      </c>
      <c r="I331" s="41">
        <f t="shared" si="44"/>
        <v>22539.565213197879</v>
      </c>
      <c r="J331" s="41">
        <f t="shared" si="44"/>
        <v>-11269.782606598939</v>
      </c>
      <c r="K331" s="13" t="s">
        <v>251</v>
      </c>
      <c r="L331" s="38" t="str">
        <f>INDEX(B$294:B$305, MATCH(6, F$294:F$305, 0))</f>
        <v>D5Y</v>
      </c>
      <c r="M331" s="14" t="str">
        <f>INDEX(C$294:C$305, MATCH(6, F$294:F$305, 0))</f>
        <v>U5Y</v>
      </c>
      <c r="P331" s="215"/>
      <c r="Q331" s="172"/>
      <c r="R331" s="172"/>
      <c r="S331" s="172"/>
      <c r="T331" s="172"/>
      <c r="U331" s="173"/>
    </row>
    <row r="332" spans="1:21" ht="16.95" customHeight="1" x14ac:dyDescent="0.3">
      <c r="A332" s="41">
        <f t="shared" si="43"/>
        <v>2500</v>
      </c>
      <c r="C332" s="41">
        <f t="shared" si="44"/>
        <v>-63000</v>
      </c>
      <c r="D332" s="41">
        <f t="shared" si="44"/>
        <v>0</v>
      </c>
      <c r="E332" s="41">
        <f t="shared" si="44"/>
        <v>-45079.130426395757</v>
      </c>
      <c r="F332" s="41">
        <f t="shared" si="44"/>
        <v>-22539.565213197879</v>
      </c>
      <c r="G332" s="41">
        <f t="shared" si="44"/>
        <v>-45079.130426395757</v>
      </c>
      <c r="H332" s="41">
        <f t="shared" si="44"/>
        <v>22539.565213197879</v>
      </c>
      <c r="I332" s="41">
        <f t="shared" si="44"/>
        <v>153158.26085279151</v>
      </c>
      <c r="J332" s="41">
        <f t="shared" si="44"/>
        <v>0</v>
      </c>
      <c r="K332" s="13" t="s">
        <v>251</v>
      </c>
      <c r="L332" s="38" t="str">
        <f>INDEX(B$294:B$305, MATCH(7, F$294:F$305, 0))</f>
        <v>D6X</v>
      </c>
      <c r="M332" s="14" t="str">
        <f>INDEX(C$294:C$305, MATCH(7, F$294:F$305, 0))</f>
        <v>U6X</v>
      </c>
      <c r="P332" s="215"/>
      <c r="Q332" s="172"/>
      <c r="R332" s="172"/>
      <c r="S332" s="172"/>
      <c r="T332" s="172"/>
      <c r="U332" s="173"/>
    </row>
    <row r="333" spans="1:21" ht="16.95" customHeight="1" x14ac:dyDescent="0.3">
      <c r="A333" s="41">
        <f t="shared" si="43"/>
        <v>-6000</v>
      </c>
      <c r="C333" s="41">
        <f t="shared" si="44"/>
        <v>0</v>
      </c>
      <c r="D333" s="41">
        <f t="shared" si="44"/>
        <v>0</v>
      </c>
      <c r="E333" s="41">
        <f t="shared" si="44"/>
        <v>-22539.565213197879</v>
      </c>
      <c r="F333" s="41">
        <f t="shared" si="44"/>
        <v>-11269.782606598939</v>
      </c>
      <c r="G333" s="41">
        <f t="shared" si="44"/>
        <v>22539.565213197879</v>
      </c>
      <c r="H333" s="41">
        <f t="shared" si="44"/>
        <v>-11269.782606598939</v>
      </c>
      <c r="I333" s="41">
        <f t="shared" si="44"/>
        <v>0</v>
      </c>
      <c r="J333" s="41">
        <f t="shared" si="44"/>
        <v>22539.565213197879</v>
      </c>
      <c r="K333" s="13" t="s">
        <v>251</v>
      </c>
      <c r="L333" s="38" t="str">
        <f>INDEX(B$294:B$305, MATCH(8, F$294:F$305, 0))</f>
        <v>D6Y</v>
      </c>
      <c r="M333" s="14" t="str">
        <f>INDEX(C$294:C$305, MATCH(8, F$294:F$305, 0))</f>
        <v>U6Y</v>
      </c>
      <c r="P333" s="215"/>
      <c r="Q333" s="172"/>
      <c r="R333" s="172"/>
      <c r="S333" s="172"/>
      <c r="T333" s="172"/>
      <c r="U333" s="173"/>
    </row>
    <row r="334" spans="1:21" ht="16.95" customHeight="1" x14ac:dyDescent="0.3">
      <c r="P334" s="215"/>
      <c r="Q334" s="172"/>
      <c r="R334" s="172"/>
      <c r="S334" s="172"/>
      <c r="T334" s="172"/>
      <c r="U334" s="173"/>
    </row>
    <row r="335" spans="1:21" ht="16.95" customHeight="1" x14ac:dyDescent="0.3">
      <c r="C335" s="218" t="s">
        <v>263</v>
      </c>
      <c r="D335" s="172"/>
      <c r="E335" s="172"/>
      <c r="F335" s="172"/>
      <c r="G335" s="172"/>
      <c r="H335" s="172"/>
      <c r="I335" s="172"/>
      <c r="J335" s="173"/>
      <c r="P335" s="215"/>
      <c r="Q335" s="172"/>
      <c r="R335" s="172"/>
      <c r="S335" s="172"/>
      <c r="T335" s="172"/>
      <c r="U335" s="173"/>
    </row>
    <row r="336" spans="1:21" ht="16.95" customHeight="1" x14ac:dyDescent="0.3">
      <c r="A336" s="99" t="s">
        <v>249</v>
      </c>
      <c r="C336" s="193" t="s">
        <v>264</v>
      </c>
      <c r="D336" s="175"/>
      <c r="E336" s="175"/>
      <c r="F336" s="175"/>
      <c r="G336" s="175"/>
      <c r="H336" s="175"/>
      <c r="I336" s="175"/>
      <c r="J336" s="175"/>
      <c r="L336" s="99" t="s">
        <v>247</v>
      </c>
      <c r="P336" s="215"/>
      <c r="Q336" s="172"/>
      <c r="R336" s="172"/>
      <c r="S336" s="172"/>
      <c r="T336" s="172"/>
      <c r="U336" s="173"/>
    </row>
    <row r="337" spans="1:21" ht="16.95" customHeight="1" x14ac:dyDescent="0.3">
      <c r="A337" s="12" t="str">
        <f t="shared" ref="A337:A344" si="45">L326</f>
        <v>D3X</v>
      </c>
      <c r="C337" s="93">
        <f t="array" ref="C337:J344">MINVERSE(C326:J333)</f>
        <v>8.4452959426484064E-6</v>
      </c>
      <c r="D337" s="93">
        <v>1.6745459338294E-22</v>
      </c>
      <c r="E337" s="93">
        <v>1.8935460747911364E-6</v>
      </c>
      <c r="F337" s="93">
        <v>2.3669325934889221E-7</v>
      </c>
      <c r="G337" s="93">
        <v>1.8935460747911364E-6</v>
      </c>
      <c r="H337" s="93">
        <v>-2.3669325934889184E-7</v>
      </c>
      <c r="I337" s="93">
        <v>4.658203793066134E-6</v>
      </c>
      <c r="J337" s="93">
        <v>1.9771283020903738E-22</v>
      </c>
      <c r="L337" s="17">
        <f t="shared" ref="L337:L344" si="46">A326</f>
        <v>0</v>
      </c>
      <c r="P337" s="215"/>
      <c r="Q337" s="172"/>
      <c r="R337" s="172"/>
      <c r="S337" s="172"/>
      <c r="T337" s="172"/>
      <c r="U337" s="173"/>
    </row>
    <row r="338" spans="1:21" ht="16.95" customHeight="1" x14ac:dyDescent="0.3">
      <c r="A338" s="12" t="str">
        <f t="shared" si="45"/>
        <v>D3Y</v>
      </c>
      <c r="C338" s="93">
        <v>-2.2747193136504216E-22</v>
      </c>
      <c r="D338" s="93">
        <v>4.4366428124995777E-5</v>
      </c>
      <c r="E338" s="93">
        <v>-8.7197573689932829E-22</v>
      </c>
      <c r="F338" s="93">
        <v>4.4366428124995757E-5</v>
      </c>
      <c r="G338" s="93">
        <v>1.478567553872774E-21</v>
      </c>
      <c r="H338" s="93">
        <v>4.436642812499577E-5</v>
      </c>
      <c r="I338" s="93">
        <v>-6.065918169734458E-22</v>
      </c>
      <c r="J338" s="93">
        <v>4.4366428124995764E-5</v>
      </c>
      <c r="L338" s="17">
        <f t="shared" si="46"/>
        <v>-4000</v>
      </c>
      <c r="P338" s="215"/>
      <c r="Q338" s="172"/>
      <c r="R338" s="172"/>
      <c r="S338" s="172"/>
      <c r="T338" s="172"/>
      <c r="U338" s="173"/>
    </row>
    <row r="339" spans="1:21" ht="16.95" customHeight="1" x14ac:dyDescent="0.3">
      <c r="A339" s="12" t="str">
        <f t="shared" si="45"/>
        <v>D4X</v>
      </c>
      <c r="C339" s="93">
        <v>1.8935460747911366E-6</v>
      </c>
      <c r="D339" s="93">
        <v>3.0816949217996603E-21</v>
      </c>
      <c r="E339" s="93">
        <v>1.4518104595652391E-5</v>
      </c>
      <c r="F339" s="93">
        <v>-1.693639096704311E-7</v>
      </c>
      <c r="G339" s="93">
        <v>-1.3549112773634818E-6</v>
      </c>
      <c r="H339" s="93">
        <v>1.6936390967043727E-7</v>
      </c>
      <c r="I339" s="93">
        <v>4.6033686295181007E-6</v>
      </c>
      <c r="J339" s="93">
        <v>1.5873015873015879E-5</v>
      </c>
      <c r="L339" s="17">
        <f t="shared" si="46"/>
        <v>0</v>
      </c>
      <c r="P339" s="215"/>
      <c r="Q339" s="172"/>
      <c r="R339" s="172"/>
      <c r="S339" s="172"/>
      <c r="T339" s="172"/>
      <c r="U339" s="173"/>
    </row>
    <row r="340" spans="1:21" ht="16.95" customHeight="1" x14ac:dyDescent="0.3">
      <c r="A340" s="12" t="str">
        <f t="shared" si="45"/>
        <v>D4Y</v>
      </c>
      <c r="C340" s="93">
        <v>2.3669325934889181E-7</v>
      </c>
      <c r="D340" s="93">
        <v>4.4366428124995764E-5</v>
      </c>
      <c r="E340" s="93">
        <v>-1.6936390967043623E-7</v>
      </c>
      <c r="F340" s="93">
        <v>5.0297638588667896E-5</v>
      </c>
      <c r="G340" s="93">
        <v>-1.6936390967043372E-7</v>
      </c>
      <c r="H340" s="93">
        <v>4.6371725597831548E-5</v>
      </c>
      <c r="I340" s="93">
        <v>5.7542107868976195E-7</v>
      </c>
      <c r="J340" s="93">
        <v>4.8334682093249722E-5</v>
      </c>
      <c r="L340" s="17">
        <f t="shared" si="46"/>
        <v>-3500</v>
      </c>
      <c r="P340" s="215"/>
      <c r="Q340" s="172"/>
      <c r="R340" s="172"/>
      <c r="S340" s="172"/>
      <c r="T340" s="172"/>
      <c r="U340" s="173"/>
    </row>
    <row r="341" spans="1:21" ht="16.95" customHeight="1" x14ac:dyDescent="0.3">
      <c r="A341" s="12" t="str">
        <f t="shared" si="45"/>
        <v>D5X</v>
      </c>
      <c r="B341" s="13" t="s">
        <v>220</v>
      </c>
      <c r="C341" s="93">
        <v>1.8935460747911366E-6</v>
      </c>
      <c r="D341" s="93">
        <v>-3.0816949217996603E-21</v>
      </c>
      <c r="E341" s="93">
        <v>-1.3549112773634818E-6</v>
      </c>
      <c r="F341" s="93">
        <v>-1.693639096704393E-7</v>
      </c>
      <c r="G341" s="93">
        <v>1.4518104595652391E-5</v>
      </c>
      <c r="H341" s="93">
        <v>1.6936390967043314E-7</v>
      </c>
      <c r="I341" s="93">
        <v>4.6033686295180998E-6</v>
      </c>
      <c r="J341" s="93">
        <v>-1.5873015873015879E-5</v>
      </c>
      <c r="L341" s="17">
        <f t="shared" si="46"/>
        <v>0</v>
      </c>
      <c r="P341" s="215"/>
      <c r="Q341" s="172"/>
      <c r="R341" s="172"/>
      <c r="S341" s="172"/>
      <c r="T341" s="172"/>
      <c r="U341" s="173"/>
    </row>
    <row r="342" spans="1:21" ht="16.95" customHeight="1" x14ac:dyDescent="0.3">
      <c r="A342" s="12" t="str">
        <f t="shared" si="45"/>
        <v>D5Y</v>
      </c>
      <c r="C342" s="93">
        <v>-2.3669325934889229E-7</v>
      </c>
      <c r="D342" s="93">
        <v>4.4366428124995764E-5</v>
      </c>
      <c r="E342" s="93">
        <v>1.6936390967043433E-7</v>
      </c>
      <c r="F342" s="93">
        <v>4.6371725597831541E-5</v>
      </c>
      <c r="G342" s="93">
        <v>1.6936390967043695E-7</v>
      </c>
      <c r="H342" s="93">
        <v>5.029763858866791E-5</v>
      </c>
      <c r="I342" s="93">
        <v>-5.7542107868976322E-7</v>
      </c>
      <c r="J342" s="93">
        <v>4.8334682093249722E-5</v>
      </c>
      <c r="L342" s="17">
        <f t="shared" si="46"/>
        <v>-3500</v>
      </c>
      <c r="P342" s="215"/>
      <c r="Q342" s="172"/>
      <c r="R342" s="172"/>
      <c r="S342" s="172"/>
      <c r="T342" s="172"/>
      <c r="U342" s="173"/>
    </row>
    <row r="343" spans="1:21" ht="16.95" customHeight="1" x14ac:dyDescent="0.3">
      <c r="A343" s="12" t="str">
        <f t="shared" si="45"/>
        <v>D6X</v>
      </c>
      <c r="C343" s="93">
        <v>4.658203793066134E-6</v>
      </c>
      <c r="D343" s="93">
        <v>4.0709609991019778E-22</v>
      </c>
      <c r="E343" s="93">
        <v>4.6033686295181007E-6</v>
      </c>
      <c r="F343" s="93">
        <v>5.754210786897629E-7</v>
      </c>
      <c r="G343" s="93">
        <v>4.6033686295181007E-6</v>
      </c>
      <c r="H343" s="93">
        <v>-5.7542107868976206E-7</v>
      </c>
      <c r="I343" s="93">
        <v>1.1324482407045807E-5</v>
      </c>
      <c r="J343" s="93">
        <v>4.8065640036665759E-22</v>
      </c>
      <c r="L343" s="17">
        <f t="shared" si="46"/>
        <v>2500</v>
      </c>
      <c r="P343" s="215"/>
      <c r="Q343" s="172"/>
      <c r="R343" s="172"/>
      <c r="S343" s="172"/>
      <c r="T343" s="172"/>
      <c r="U343" s="173"/>
    </row>
    <row r="344" spans="1:21" ht="16.95" customHeight="1" x14ac:dyDescent="0.3">
      <c r="A344" s="12" t="str">
        <f t="shared" si="45"/>
        <v>D6Y</v>
      </c>
      <c r="C344" s="93">
        <v>-3.2952138368172897E-22</v>
      </c>
      <c r="D344" s="93">
        <v>4.4366428124995777E-5</v>
      </c>
      <c r="E344" s="93">
        <v>1.5873015873015872E-5</v>
      </c>
      <c r="F344" s="93">
        <v>4.8334682093249736E-5</v>
      </c>
      <c r="G344" s="93">
        <v>-1.5873015873015872E-5</v>
      </c>
      <c r="H344" s="93">
        <v>4.8334682093249736E-5</v>
      </c>
      <c r="I344" s="93">
        <v>-8.0109400061109586E-22</v>
      </c>
      <c r="J344" s="93">
        <v>1.2444714196427733E-4</v>
      </c>
      <c r="L344" s="17">
        <f t="shared" si="46"/>
        <v>-6000</v>
      </c>
      <c r="P344" s="215"/>
      <c r="Q344" s="172"/>
      <c r="R344" s="172"/>
      <c r="S344" s="172"/>
      <c r="T344" s="172"/>
      <c r="U344" s="173"/>
    </row>
    <row r="345" spans="1:21" ht="16.95" customHeight="1" x14ac:dyDescent="0.3">
      <c r="P345" s="215"/>
      <c r="Q345" s="172"/>
      <c r="R345" s="172"/>
      <c r="S345" s="172"/>
      <c r="T345" s="172"/>
      <c r="U345" s="173"/>
    </row>
    <row r="346" spans="1:21" ht="16.95" customHeight="1" x14ac:dyDescent="0.3">
      <c r="C346" s="218" t="s">
        <v>265</v>
      </c>
      <c r="D346" s="173"/>
      <c r="P346" s="215"/>
      <c r="Q346" s="172"/>
      <c r="R346" s="172"/>
      <c r="S346" s="172"/>
      <c r="T346" s="172"/>
      <c r="U346" s="173"/>
    </row>
    <row r="347" spans="1:21" ht="16.95" customHeight="1" x14ac:dyDescent="0.3">
      <c r="A347" s="99" t="s">
        <v>249</v>
      </c>
      <c r="C347" s="99" t="s">
        <v>266</v>
      </c>
      <c r="P347" s="215"/>
      <c r="Q347" s="172"/>
      <c r="R347" s="172"/>
      <c r="S347" s="172"/>
      <c r="T347" s="172"/>
      <c r="U347" s="173"/>
    </row>
    <row r="348" spans="1:21" ht="16.95" customHeight="1" x14ac:dyDescent="0.3">
      <c r="A348" s="12" t="str">
        <f t="shared" ref="A348:A355" si="47">A337</f>
        <v>D3X</v>
      </c>
      <c r="C348" s="94">
        <f t="array" ref="C348:C355">MMULT(C337:J344, L337:L344)</f>
        <v>1.1645509482665331E-2</v>
      </c>
      <c r="D348" s="12" t="s">
        <v>267</v>
      </c>
      <c r="P348" s="215"/>
      <c r="Q348" s="172"/>
      <c r="R348" s="172"/>
      <c r="S348" s="172"/>
      <c r="T348" s="172"/>
      <c r="U348" s="173"/>
    </row>
    <row r="349" spans="1:21" ht="16.95" customHeight="1" x14ac:dyDescent="0.3">
      <c r="A349" s="12" t="str">
        <f t="shared" si="47"/>
        <v>D3Y</v>
      </c>
      <c r="C349" s="94">
        <v>-0.75422927812492802</v>
      </c>
      <c r="D349" s="12" t="s">
        <v>267</v>
      </c>
      <c r="P349" s="215"/>
      <c r="Q349" s="172"/>
      <c r="R349" s="172"/>
      <c r="S349" s="172"/>
      <c r="T349" s="172"/>
      <c r="U349" s="173"/>
    </row>
    <row r="350" spans="1:21" ht="16.95" customHeight="1" x14ac:dyDescent="0.3">
      <c r="A350" s="12" t="str">
        <f t="shared" si="47"/>
        <v>D4X</v>
      </c>
      <c r="C350" s="94">
        <v>-8.3729673664300064E-2</v>
      </c>
      <c r="D350" s="12" t="s">
        <v>267</v>
      </c>
      <c r="P350" s="215"/>
      <c r="Q350" s="172"/>
      <c r="R350" s="172"/>
      <c r="S350" s="172"/>
      <c r="T350" s="172"/>
      <c r="U350" s="173"/>
    </row>
    <row r="351" spans="1:21" ht="16.95" customHeight="1" x14ac:dyDescent="0.3">
      <c r="A351" s="12" t="str">
        <f t="shared" si="47"/>
        <v>D4Y</v>
      </c>
      <c r="C351" s="94">
        <v>-0.80437802701550498</v>
      </c>
      <c r="D351" s="12" t="s">
        <v>267</v>
      </c>
      <c r="P351" s="215"/>
      <c r="Q351" s="172"/>
      <c r="R351" s="172"/>
      <c r="S351" s="172"/>
      <c r="T351" s="172"/>
      <c r="U351" s="173"/>
    </row>
    <row r="352" spans="1:21" ht="16.95" customHeight="1" x14ac:dyDescent="0.3">
      <c r="A352" s="12" t="str">
        <f t="shared" si="47"/>
        <v>D5X</v>
      </c>
      <c r="B352" s="13" t="s">
        <v>220</v>
      </c>
      <c r="C352" s="94">
        <v>0.10674651681189055</v>
      </c>
      <c r="D352" s="12" t="s">
        <v>267</v>
      </c>
      <c r="P352" s="215"/>
      <c r="Q352" s="172"/>
      <c r="R352" s="172"/>
      <c r="S352" s="172"/>
      <c r="T352" s="172"/>
      <c r="U352" s="173"/>
    </row>
    <row r="353" spans="1:21" ht="16.95" customHeight="1" x14ac:dyDescent="0.3">
      <c r="A353" s="12" t="str">
        <f t="shared" si="47"/>
        <v>D5Y</v>
      </c>
      <c r="C353" s="94">
        <v>-0.80725513240895397</v>
      </c>
      <c r="D353" s="12" t="s">
        <v>267</v>
      </c>
      <c r="P353" s="215"/>
      <c r="Q353" s="172"/>
      <c r="R353" s="172"/>
      <c r="S353" s="172"/>
      <c r="T353" s="172"/>
      <c r="U353" s="173"/>
    </row>
    <row r="354" spans="1:21" ht="16.95" customHeight="1" x14ac:dyDescent="0.3">
      <c r="A354" s="12" t="str">
        <f t="shared" si="47"/>
        <v>D6X</v>
      </c>
      <c r="C354" s="94">
        <v>2.8311206017614509E-2</v>
      </c>
      <c r="D354" s="12" t="s">
        <v>267</v>
      </c>
      <c r="P354" s="215"/>
      <c r="Q354" s="172"/>
      <c r="R354" s="172"/>
      <c r="S354" s="172"/>
      <c r="T354" s="172"/>
      <c r="U354" s="173"/>
    </row>
    <row r="355" spans="1:21" ht="16.95" customHeight="1" x14ac:dyDescent="0.3">
      <c r="A355" s="12" t="str">
        <f t="shared" si="47"/>
        <v>D6Y</v>
      </c>
      <c r="C355" s="94">
        <v>-1.2624913389383952</v>
      </c>
      <c r="D355" s="12" t="s">
        <v>267</v>
      </c>
      <c r="P355" s="215"/>
      <c r="Q355" s="172"/>
      <c r="R355" s="172"/>
      <c r="S355" s="172"/>
      <c r="T355" s="172"/>
      <c r="U355" s="173"/>
    </row>
    <row r="358" spans="1:21" ht="19.95" customHeight="1" x14ac:dyDescent="0.35">
      <c r="A358" s="11" t="s">
        <v>268</v>
      </c>
      <c r="P358" s="216" t="s">
        <v>269</v>
      </c>
      <c r="Q358" s="172"/>
      <c r="R358" s="172"/>
      <c r="S358" s="172"/>
      <c r="T358" s="172"/>
      <c r="U358" s="173"/>
    </row>
    <row r="359" spans="1:21" ht="16.95" customHeight="1" x14ac:dyDescent="0.3">
      <c r="A359" s="99" t="s">
        <v>247</v>
      </c>
      <c r="L359" s="99" t="s">
        <v>249</v>
      </c>
      <c r="P359" s="215" t="s">
        <v>389</v>
      </c>
      <c r="Q359" s="172"/>
      <c r="R359" s="172"/>
      <c r="S359" s="172"/>
      <c r="T359" s="172"/>
      <c r="U359" s="173"/>
    </row>
    <row r="360" spans="1:21" ht="16.95" customHeight="1" x14ac:dyDescent="0.3">
      <c r="A360" s="18" t="str">
        <f>INDEX(B$280:B$291, MATCH(M360, C$280:C$291, 0))</f>
        <v>C1X</v>
      </c>
      <c r="C360" s="9">
        <f t="shared" ref="C360:J363" si="48">INDEX($B$265:$M$276, MATCH($M360, $N$265:$N$276, 0), MATCH(C$325, $B$264:$M$264, 0))</f>
        <v>-45079.130426395757</v>
      </c>
      <c r="D360" s="9">
        <f t="shared" si="48"/>
        <v>-22539.565213197879</v>
      </c>
      <c r="E360" s="9">
        <f t="shared" si="48"/>
        <v>-63000</v>
      </c>
      <c r="F360" s="9">
        <f t="shared" si="48"/>
        <v>0</v>
      </c>
      <c r="G360" s="9">
        <f t="shared" si="48"/>
        <v>0</v>
      </c>
      <c r="H360" s="9">
        <f t="shared" si="48"/>
        <v>0</v>
      </c>
      <c r="I360" s="9">
        <f t="shared" si="48"/>
        <v>0</v>
      </c>
      <c r="J360" s="9">
        <f t="shared" si="48"/>
        <v>0</v>
      </c>
      <c r="L360" s="95">
        <f t="shared" ref="L360:L367" si="49">C348</f>
        <v>1.1645509482665331E-2</v>
      </c>
      <c r="M360" s="14" t="str">
        <f>INDEX(C$294:C$305, MATCH(1, G$294:G$305, 0))</f>
        <v>U1X</v>
      </c>
      <c r="P360" s="215" t="s">
        <v>390</v>
      </c>
      <c r="Q360" s="172"/>
      <c r="R360" s="172"/>
      <c r="S360" s="172"/>
      <c r="T360" s="172"/>
      <c r="U360" s="173"/>
    </row>
    <row r="361" spans="1:21" ht="16.95" customHeight="1" x14ac:dyDescent="0.3">
      <c r="A361" s="18" t="str">
        <f>INDEX(B$280:B$291, MATCH(M361, C$280:C$291, 0))</f>
        <v>C1Y</v>
      </c>
      <c r="C361" s="9">
        <f t="shared" si="48"/>
        <v>-22539.565213197879</v>
      </c>
      <c r="D361" s="9">
        <f t="shared" si="48"/>
        <v>-11269.782606598939</v>
      </c>
      <c r="E361" s="9">
        <f t="shared" si="48"/>
        <v>0</v>
      </c>
      <c r="F361" s="9">
        <f t="shared" si="48"/>
        <v>0</v>
      </c>
      <c r="G361" s="9">
        <f t="shared" si="48"/>
        <v>0</v>
      </c>
      <c r="H361" s="9">
        <f t="shared" si="48"/>
        <v>0</v>
      </c>
      <c r="I361" s="9">
        <f t="shared" si="48"/>
        <v>0</v>
      </c>
      <c r="J361" s="9">
        <f t="shared" si="48"/>
        <v>0</v>
      </c>
      <c r="L361" s="95">
        <f t="shared" si="49"/>
        <v>-0.75422927812492802</v>
      </c>
      <c r="M361" s="14" t="str">
        <f>INDEX(C$294:C$305, MATCH(2, G$294:G$305, 0))</f>
        <v>U1Y</v>
      </c>
      <c r="P361" s="215" t="s">
        <v>391</v>
      </c>
      <c r="Q361" s="172"/>
      <c r="R361" s="172"/>
      <c r="S361" s="172"/>
      <c r="T361" s="172"/>
      <c r="U361" s="173"/>
    </row>
    <row r="362" spans="1:21" ht="16.95" customHeight="1" x14ac:dyDescent="0.3">
      <c r="A362" s="18" t="str">
        <f>INDEX(B$280:B$291, MATCH(M362, C$280:C$291, 0))</f>
        <v>C2X</v>
      </c>
      <c r="B362" s="13" t="s">
        <v>220</v>
      </c>
      <c r="C362" s="9">
        <f t="shared" si="48"/>
        <v>-45079.130426395757</v>
      </c>
      <c r="D362" s="9">
        <f t="shared" si="48"/>
        <v>22539.565213197879</v>
      </c>
      <c r="E362" s="9">
        <f t="shared" si="48"/>
        <v>0</v>
      </c>
      <c r="F362" s="9">
        <f t="shared" si="48"/>
        <v>0</v>
      </c>
      <c r="G362" s="9">
        <f t="shared" si="48"/>
        <v>-63000</v>
      </c>
      <c r="H362" s="9">
        <f t="shared" si="48"/>
        <v>0</v>
      </c>
      <c r="I362" s="9">
        <f t="shared" si="48"/>
        <v>0</v>
      </c>
      <c r="J362" s="9">
        <f t="shared" si="48"/>
        <v>0</v>
      </c>
      <c r="L362" s="95">
        <f t="shared" si="49"/>
        <v>-8.3729673664300064E-2</v>
      </c>
      <c r="M362" s="14" t="str">
        <f>INDEX(C$294:C$305, MATCH(3, G$294:G$305, 0))</f>
        <v>U2X</v>
      </c>
      <c r="P362" s="215" t="s">
        <v>392</v>
      </c>
      <c r="Q362" s="172"/>
      <c r="R362" s="172"/>
      <c r="S362" s="172"/>
      <c r="T362" s="172"/>
      <c r="U362" s="173"/>
    </row>
    <row r="363" spans="1:21" ht="16.95" customHeight="1" x14ac:dyDescent="0.3">
      <c r="A363" s="18" t="str">
        <f>INDEX(B$280:B$291, MATCH(M363, C$280:C$291, 0))</f>
        <v>C2Y</v>
      </c>
      <c r="C363" s="9">
        <f t="shared" si="48"/>
        <v>22539.565213197879</v>
      </c>
      <c r="D363" s="9">
        <f t="shared" si="48"/>
        <v>-11269.782606598939</v>
      </c>
      <c r="E363" s="9">
        <f t="shared" si="48"/>
        <v>0</v>
      </c>
      <c r="F363" s="9">
        <f t="shared" si="48"/>
        <v>0</v>
      </c>
      <c r="G363" s="9">
        <f t="shared" si="48"/>
        <v>0</v>
      </c>
      <c r="H363" s="9">
        <f t="shared" si="48"/>
        <v>0</v>
      </c>
      <c r="I363" s="9">
        <f t="shared" si="48"/>
        <v>0</v>
      </c>
      <c r="J363" s="9">
        <f t="shared" si="48"/>
        <v>0</v>
      </c>
      <c r="L363" s="95">
        <f t="shared" si="49"/>
        <v>-0.80437802701550498</v>
      </c>
      <c r="M363" s="14" t="str">
        <f>INDEX(C$294:C$305, MATCH(4, G$294:G$305, 0))</f>
        <v>U2Y</v>
      </c>
      <c r="P363" s="215" t="s">
        <v>393</v>
      </c>
      <c r="Q363" s="172"/>
      <c r="R363" s="172"/>
      <c r="S363" s="172"/>
      <c r="T363" s="172"/>
      <c r="U363" s="173"/>
    </row>
    <row r="364" spans="1:21" ht="16.95" customHeight="1" x14ac:dyDescent="0.3">
      <c r="L364" s="95">
        <f t="shared" si="49"/>
        <v>0.10674651681189055</v>
      </c>
      <c r="P364" s="215" t="s">
        <v>394</v>
      </c>
      <c r="Q364" s="172"/>
      <c r="R364" s="172"/>
      <c r="S364" s="172"/>
      <c r="T364" s="172"/>
      <c r="U364" s="173"/>
    </row>
    <row r="365" spans="1:21" ht="16.95" customHeight="1" x14ac:dyDescent="0.3">
      <c r="L365" s="95">
        <f t="shared" si="49"/>
        <v>-0.80725513240895397</v>
      </c>
      <c r="P365" s="215"/>
      <c r="Q365" s="172"/>
      <c r="R365" s="172"/>
      <c r="S365" s="172"/>
      <c r="T365" s="172"/>
      <c r="U365" s="173"/>
    </row>
    <row r="366" spans="1:21" ht="16.95" customHeight="1" x14ac:dyDescent="0.3">
      <c r="L366" s="95">
        <f t="shared" si="49"/>
        <v>2.8311206017614509E-2</v>
      </c>
      <c r="P366" s="215"/>
      <c r="Q366" s="172"/>
      <c r="R366" s="172"/>
      <c r="S366" s="172"/>
      <c r="T366" s="172"/>
      <c r="U366" s="173"/>
    </row>
    <row r="367" spans="1:21" ht="16.95" customHeight="1" x14ac:dyDescent="0.3">
      <c r="L367" s="95">
        <f t="shared" si="49"/>
        <v>-1.2624913389383952</v>
      </c>
      <c r="P367" s="215"/>
      <c r="Q367" s="172"/>
      <c r="R367" s="172"/>
      <c r="S367" s="172"/>
      <c r="T367" s="172"/>
      <c r="U367" s="173"/>
    </row>
    <row r="368" spans="1:21" ht="16.95" customHeight="1" x14ac:dyDescent="0.3">
      <c r="P368" s="215"/>
      <c r="Q368" s="172"/>
      <c r="R368" s="172"/>
      <c r="S368" s="172"/>
      <c r="T368" s="172"/>
      <c r="U368" s="173"/>
    </row>
    <row r="369" spans="1:21" ht="16.95" customHeight="1" x14ac:dyDescent="0.3">
      <c r="A369" s="12" t="str">
        <f>A360</f>
        <v>C1X</v>
      </c>
      <c r="C369" s="17">
        <f t="array" ref="C369:C372">MMULT(C360:J363, L360:L367)</f>
        <v>21749.999999999978</v>
      </c>
      <c r="D369" s="12" t="s">
        <v>273</v>
      </c>
      <c r="P369" s="215"/>
      <c r="Q369" s="172"/>
      <c r="R369" s="172"/>
      <c r="S369" s="172"/>
      <c r="T369" s="172"/>
      <c r="U369" s="173"/>
    </row>
    <row r="370" spans="1:21" ht="16.95" customHeight="1" x14ac:dyDescent="0.3">
      <c r="A370" s="12" t="str">
        <f>A361</f>
        <v>C1Y</v>
      </c>
      <c r="C370" s="17">
        <v>8237.515279574538</v>
      </c>
      <c r="D370" s="12" t="s">
        <v>273</v>
      </c>
      <c r="P370" s="215"/>
      <c r="Q370" s="172"/>
      <c r="R370" s="172"/>
      <c r="S370" s="172"/>
      <c r="T370" s="172"/>
      <c r="U370" s="173"/>
    </row>
    <row r="371" spans="1:21" ht="16.95" customHeight="1" x14ac:dyDescent="0.3">
      <c r="A371" s="12" t="str">
        <f>A362</f>
        <v>C2X</v>
      </c>
      <c r="B371" s="13" t="s">
        <v>220</v>
      </c>
      <c r="C371" s="17">
        <v>-24249.999999999978</v>
      </c>
      <c r="D371" s="12" t="s">
        <v>273</v>
      </c>
      <c r="P371" s="215"/>
      <c r="Q371" s="172"/>
      <c r="R371" s="172"/>
      <c r="S371" s="172"/>
      <c r="T371" s="172"/>
      <c r="U371" s="173"/>
    </row>
    <row r="372" spans="1:21" ht="16.95" customHeight="1" x14ac:dyDescent="0.3">
      <c r="A372" s="12" t="str">
        <f>A363</f>
        <v>C2Y</v>
      </c>
      <c r="C372" s="17">
        <v>8762.4847204254365</v>
      </c>
      <c r="D372" s="12" t="s">
        <v>273</v>
      </c>
      <c r="P372" s="215"/>
      <c r="Q372" s="172"/>
      <c r="R372" s="172"/>
      <c r="S372" s="172"/>
      <c r="T372" s="172"/>
      <c r="U372" s="173"/>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0</v>
      </c>
    </row>
    <row r="380" spans="1:21" ht="19.05" customHeight="1" x14ac:dyDescent="0.3">
      <c r="A380" s="12" t="s">
        <v>231</v>
      </c>
      <c r="B380" s="12" t="s">
        <v>181</v>
      </c>
      <c r="D380" s="94">
        <f t="shared" si="50"/>
        <v>0</v>
      </c>
    </row>
    <row r="381" spans="1:21" ht="19.05" customHeight="1" x14ac:dyDescent="0.3">
      <c r="A381" s="12" t="s">
        <v>232</v>
      </c>
      <c r="B381" s="12" t="s">
        <v>182</v>
      </c>
      <c r="D381" s="94">
        <f t="shared" si="50"/>
        <v>1.1645509482665331E-2</v>
      </c>
    </row>
    <row r="382" spans="1:21" ht="19.05" customHeight="1" x14ac:dyDescent="0.3">
      <c r="A382" s="12" t="s">
        <v>234</v>
      </c>
      <c r="B382" s="12" t="s">
        <v>183</v>
      </c>
      <c r="D382" s="94">
        <f t="shared" si="50"/>
        <v>-0.75422927812492802</v>
      </c>
    </row>
    <row r="383" spans="1:21" ht="19.05" customHeight="1" x14ac:dyDescent="0.3">
      <c r="A383" s="12" t="s">
        <v>235</v>
      </c>
      <c r="B383" s="12" t="s">
        <v>184</v>
      </c>
      <c r="D383" s="94">
        <f t="shared" si="50"/>
        <v>-8.3729673664300064E-2</v>
      </c>
    </row>
    <row r="384" spans="1:21" ht="19.05" customHeight="1" x14ac:dyDescent="0.3">
      <c r="A384" s="12" t="s">
        <v>236</v>
      </c>
      <c r="B384" s="12" t="s">
        <v>185</v>
      </c>
      <c r="D384" s="94">
        <f t="shared" si="50"/>
        <v>-0.80437802701550498</v>
      </c>
    </row>
    <row r="385" spans="1:21" ht="19.05" customHeight="1" x14ac:dyDescent="0.3">
      <c r="A385" s="12" t="s">
        <v>237</v>
      </c>
      <c r="B385" s="12" t="s">
        <v>186</v>
      </c>
      <c r="D385" s="94">
        <f t="shared" si="50"/>
        <v>0.10674651681189055</v>
      </c>
    </row>
    <row r="386" spans="1:21" ht="19.05" customHeight="1" x14ac:dyDescent="0.3">
      <c r="A386" s="12" t="s">
        <v>238</v>
      </c>
      <c r="B386" s="12" t="s">
        <v>187</v>
      </c>
      <c r="D386" s="94">
        <f t="shared" si="50"/>
        <v>-0.80725513240895397</v>
      </c>
    </row>
    <row r="387" spans="1:21" ht="19.05" customHeight="1" x14ac:dyDescent="0.3">
      <c r="A387" s="12" t="s">
        <v>239</v>
      </c>
      <c r="B387" s="12" t="s">
        <v>188</v>
      </c>
      <c r="D387" s="94">
        <f t="shared" si="50"/>
        <v>2.8311206017614509E-2</v>
      </c>
    </row>
    <row r="388" spans="1:21" ht="19.05" customHeight="1" x14ac:dyDescent="0.3">
      <c r="A388" s="12" t="s">
        <v>240</v>
      </c>
      <c r="B388" s="12" t="s">
        <v>189</v>
      </c>
      <c r="D388" s="94">
        <f t="shared" si="50"/>
        <v>-1.2624913389383952</v>
      </c>
    </row>
    <row r="391" spans="1:21" ht="19.95" customHeight="1" x14ac:dyDescent="0.35">
      <c r="A391" s="11" t="s">
        <v>275</v>
      </c>
      <c r="P391" s="216" t="s">
        <v>276</v>
      </c>
      <c r="Q391" s="172"/>
      <c r="R391" s="172"/>
      <c r="S391" s="172"/>
      <c r="T391" s="172"/>
      <c r="U391" s="173"/>
    </row>
    <row r="392" spans="1:21" ht="16.95" customHeight="1" x14ac:dyDescent="0.3">
      <c r="P392" s="215" t="s">
        <v>395</v>
      </c>
      <c r="Q392" s="172"/>
      <c r="R392" s="172"/>
      <c r="S392" s="172"/>
      <c r="T392" s="172"/>
      <c r="U392" s="173"/>
    </row>
    <row r="393" spans="1:21" ht="16.95" customHeight="1" x14ac:dyDescent="0.3">
      <c r="A393" s="19" t="s">
        <v>278</v>
      </c>
      <c r="C393" s="19" t="s">
        <v>279</v>
      </c>
      <c r="D393" s="19" t="s">
        <v>280</v>
      </c>
      <c r="E393" s="19" t="s">
        <v>279</v>
      </c>
      <c r="F393" s="19" t="s">
        <v>280</v>
      </c>
      <c r="G393" s="19" t="s">
        <v>249</v>
      </c>
      <c r="P393" s="215" t="s">
        <v>396</v>
      </c>
      <c r="Q393" s="172"/>
      <c r="R393" s="172"/>
      <c r="S393" s="172"/>
      <c r="T393" s="172"/>
      <c r="U393" s="173"/>
    </row>
    <row r="394" spans="1:21" ht="16.95" customHeight="1" x14ac:dyDescent="0.3">
      <c r="C394" s="19" t="s">
        <v>282</v>
      </c>
      <c r="D394" s="19" t="s">
        <v>282</v>
      </c>
      <c r="E394" s="19" t="s">
        <v>283</v>
      </c>
      <c r="F394" s="19" t="s">
        <v>283</v>
      </c>
      <c r="P394" s="215" t="s">
        <v>397</v>
      </c>
      <c r="Q394" s="172"/>
      <c r="R394" s="172"/>
      <c r="S394" s="172"/>
      <c r="T394" s="172"/>
      <c r="U394" s="173"/>
    </row>
    <row r="395" spans="1:21" ht="16.95" customHeight="1" x14ac:dyDescent="0.3">
      <c r="A395" s="17">
        <f>N6</f>
        <v>63000</v>
      </c>
      <c r="C395" s="92">
        <f>-J6</f>
        <v>0</v>
      </c>
      <c r="D395" s="92">
        <f>-K6</f>
        <v>-1</v>
      </c>
      <c r="E395" s="92">
        <f>J6</f>
        <v>0</v>
      </c>
      <c r="F395" s="92">
        <f>K6</f>
        <v>1</v>
      </c>
      <c r="G395" s="96">
        <f>IFERROR(VLOOKUP(H395, A$377:D$388, 4, FALSE), 0)</f>
        <v>0</v>
      </c>
      <c r="H395" s="12" t="str">
        <f>"D" &amp; C20 &amp; "X"</f>
        <v>D1X</v>
      </c>
      <c r="P395" s="215" t="s">
        <v>398</v>
      </c>
      <c r="Q395" s="172"/>
      <c r="R395" s="172"/>
      <c r="S395" s="172"/>
      <c r="T395" s="172"/>
      <c r="U395" s="173"/>
    </row>
    <row r="396" spans="1:21" ht="16.95" customHeight="1" x14ac:dyDescent="0.3">
      <c r="A396" s="99" t="s">
        <v>285</v>
      </c>
      <c r="B396" s="97">
        <f>(MMULT(C395:F395, G395:G398)*A395)</f>
        <v>0</v>
      </c>
      <c r="G396" s="96">
        <f>IFERROR(VLOOKUP(H396, A$377:D$388, 4, FALSE), 0)</f>
        <v>0</v>
      </c>
      <c r="H396" s="12" t="str">
        <f>"D" &amp; D20 &amp; "Y"</f>
        <v>D1Y</v>
      </c>
      <c r="P396" s="215" t="s">
        <v>399</v>
      </c>
      <c r="Q396" s="172"/>
      <c r="R396" s="172"/>
      <c r="S396" s="172"/>
      <c r="T396" s="172"/>
      <c r="U396" s="173"/>
    </row>
    <row r="397" spans="1:21" ht="16.95" customHeight="1" x14ac:dyDescent="0.3">
      <c r="G397" s="96">
        <f>IFERROR(VLOOKUP(H397, A$377:D$388, 4, FALSE), 0)</f>
        <v>0</v>
      </c>
      <c r="H397" s="12" t="str">
        <f>"D" &amp; E20 &amp; "X"</f>
        <v>D2X</v>
      </c>
      <c r="P397" s="215" t="s">
        <v>400</v>
      </c>
      <c r="Q397" s="172"/>
      <c r="R397" s="172"/>
      <c r="S397" s="172"/>
      <c r="T397" s="172"/>
      <c r="U397" s="173"/>
    </row>
    <row r="398" spans="1:21" ht="16.95" customHeight="1" x14ac:dyDescent="0.3">
      <c r="G398" s="96">
        <f>IFERROR(VLOOKUP(H398, A$377:D$388, 4, FALSE), 0)</f>
        <v>0</v>
      </c>
      <c r="H398" s="12" t="str">
        <f>"D" &amp; F20 &amp; "Y"</f>
        <v>D2Y</v>
      </c>
      <c r="P398" s="215" t="s">
        <v>401</v>
      </c>
      <c r="Q398" s="172"/>
      <c r="R398" s="172"/>
      <c r="S398" s="172"/>
      <c r="T398" s="172"/>
      <c r="U398" s="173"/>
    </row>
    <row r="399" spans="1:21" ht="16.95" customHeight="1" x14ac:dyDescent="0.3">
      <c r="B399" s="99" t="s">
        <v>273</v>
      </c>
      <c r="C399" s="178" t="str">
        <f>IF(B396&gt;0.001,"BARRA A TRACCIÓN (+)",IF(B396&lt;-0.001,"BARRA A COMPRESIÓN (-)","BARRA DE FUERZA NULA"))</f>
        <v>BARRA DE FUERZA NULA</v>
      </c>
      <c r="D399" s="172"/>
      <c r="E399" s="172"/>
      <c r="F399" s="173"/>
      <c r="P399" s="215" t="s">
        <v>402</v>
      </c>
      <c r="Q399" s="172"/>
      <c r="R399" s="172"/>
      <c r="S399" s="172"/>
      <c r="T399" s="172"/>
      <c r="U399" s="173"/>
    </row>
    <row r="400" spans="1:21" ht="16.95" customHeight="1" x14ac:dyDescent="0.3">
      <c r="P400" s="215" t="s">
        <v>403</v>
      </c>
      <c r="Q400" s="172"/>
      <c r="R400" s="172"/>
      <c r="S400" s="172"/>
      <c r="T400" s="172"/>
      <c r="U400" s="173"/>
    </row>
    <row r="401" spans="1:21" ht="16.95" customHeight="1" x14ac:dyDescent="0.3">
      <c r="A401" s="19" t="s">
        <v>278</v>
      </c>
      <c r="C401" s="19" t="s">
        <v>279</v>
      </c>
      <c r="D401" s="19" t="s">
        <v>280</v>
      </c>
      <c r="E401" s="19" t="s">
        <v>279</v>
      </c>
      <c r="F401" s="19" t="s">
        <v>280</v>
      </c>
      <c r="G401" s="19" t="s">
        <v>249</v>
      </c>
      <c r="P401" s="215"/>
      <c r="Q401" s="172"/>
      <c r="R401" s="172"/>
      <c r="S401" s="172"/>
      <c r="T401" s="172"/>
      <c r="U401" s="173"/>
    </row>
    <row r="402" spans="1:21" ht="16.95" customHeight="1" x14ac:dyDescent="0.3">
      <c r="C402" s="19" t="s">
        <v>282</v>
      </c>
      <c r="D402" s="19" t="s">
        <v>282</v>
      </c>
      <c r="E402" s="19" t="s">
        <v>283</v>
      </c>
      <c r="F402" s="19" t="s">
        <v>283</v>
      </c>
      <c r="P402" s="215"/>
      <c r="Q402" s="172"/>
      <c r="R402" s="172"/>
      <c r="S402" s="172"/>
      <c r="T402" s="172"/>
      <c r="U402" s="173"/>
    </row>
    <row r="403" spans="1:21" ht="16.95" customHeight="1" x14ac:dyDescent="0.3">
      <c r="A403" s="17">
        <f>N7</f>
        <v>63000</v>
      </c>
      <c r="C403" s="92">
        <f>-J7</f>
        <v>-1</v>
      </c>
      <c r="D403" s="92">
        <f>-K7</f>
        <v>0</v>
      </c>
      <c r="E403" s="92">
        <f>J7</f>
        <v>1</v>
      </c>
      <c r="F403" s="92">
        <f>K7</f>
        <v>0</v>
      </c>
      <c r="G403" s="96">
        <f>IFERROR(VLOOKUP(H403, A$377:D$388, 4, FALSE), 0)</f>
        <v>0</v>
      </c>
      <c r="H403" s="12" t="str">
        <f>"D" &amp; C21 &amp; "X"</f>
        <v>D1X</v>
      </c>
      <c r="P403" s="215"/>
      <c r="Q403" s="172"/>
      <c r="R403" s="172"/>
      <c r="S403" s="172"/>
      <c r="T403" s="172"/>
      <c r="U403" s="173"/>
    </row>
    <row r="404" spans="1:21" ht="16.95" customHeight="1" x14ac:dyDescent="0.3">
      <c r="A404" s="99" t="s">
        <v>286</v>
      </c>
      <c r="B404" s="97">
        <f>(MMULT(C403:F403, G403:G406)*A403)</f>
        <v>-5274.969440850904</v>
      </c>
      <c r="G404" s="96">
        <f>IFERROR(VLOOKUP(H404, A$377:D$388, 4, FALSE), 0)</f>
        <v>0</v>
      </c>
      <c r="H404" s="12" t="str">
        <f>"D" &amp; D21 &amp; "Y"</f>
        <v>D1Y</v>
      </c>
      <c r="P404" s="215"/>
      <c r="Q404" s="172"/>
      <c r="R404" s="172"/>
      <c r="S404" s="172"/>
      <c r="T404" s="172"/>
      <c r="U404" s="173"/>
    </row>
    <row r="405" spans="1:21" ht="16.95" customHeight="1" x14ac:dyDescent="0.3">
      <c r="G405" s="96">
        <f>IFERROR(VLOOKUP(H405, A$377:D$388, 4, FALSE), 0)</f>
        <v>-8.3729673664300064E-2</v>
      </c>
      <c r="H405" s="12" t="str">
        <f>"D" &amp; E21 &amp; "X"</f>
        <v>D4X</v>
      </c>
      <c r="P405" s="215"/>
      <c r="Q405" s="172"/>
      <c r="R405" s="172"/>
      <c r="S405" s="172"/>
      <c r="T405" s="172"/>
      <c r="U405" s="173"/>
    </row>
    <row r="406" spans="1:21" ht="16.95" customHeight="1" x14ac:dyDescent="0.3">
      <c r="G406" s="96">
        <f>IFERROR(VLOOKUP(H406, A$377:D$388, 4, FALSE), 0)</f>
        <v>-0.80437802701550498</v>
      </c>
      <c r="H406" s="12" t="str">
        <f>"D" &amp; F21 &amp; "Y"</f>
        <v>D4Y</v>
      </c>
      <c r="P406" s="215"/>
      <c r="Q406" s="172"/>
      <c r="R406" s="172"/>
      <c r="S406" s="172"/>
      <c r="T406" s="172"/>
      <c r="U406" s="173"/>
    </row>
    <row r="407" spans="1:21" ht="16.95" customHeight="1" x14ac:dyDescent="0.3">
      <c r="B407" s="99" t="s">
        <v>273</v>
      </c>
      <c r="C407" s="178" t="str">
        <f>IF(B404&gt;0.001,"BARRA A TRACCIÓN (+)",IF(B404&lt;-0.001,"BARRA A COMPRESIÓN (-)","BARRA DE FUERZA NULA"))</f>
        <v>BARRA A COMPRESIÓN (-)</v>
      </c>
      <c r="D407" s="172"/>
      <c r="E407" s="172"/>
      <c r="F407" s="173"/>
      <c r="P407" s="215"/>
      <c r="Q407" s="172"/>
      <c r="R407" s="172"/>
      <c r="S407" s="172"/>
      <c r="T407" s="172"/>
      <c r="U407" s="173"/>
    </row>
    <row r="408" spans="1:21" ht="16.95" customHeight="1" x14ac:dyDescent="0.3">
      <c r="P408" s="215"/>
      <c r="Q408" s="172"/>
      <c r="R408" s="172"/>
      <c r="S408" s="172"/>
      <c r="T408" s="172"/>
      <c r="U408" s="173"/>
    </row>
    <row r="409" spans="1:21" ht="16.95" customHeight="1" x14ac:dyDescent="0.3">
      <c r="A409" s="19" t="s">
        <v>278</v>
      </c>
      <c r="C409" s="19" t="s">
        <v>279</v>
      </c>
      <c r="D409" s="19" t="s">
        <v>280</v>
      </c>
      <c r="E409" s="19" t="s">
        <v>279</v>
      </c>
      <c r="F409" s="19" t="s">
        <v>280</v>
      </c>
      <c r="G409" s="19" t="s">
        <v>249</v>
      </c>
      <c r="P409" s="215"/>
      <c r="Q409" s="172"/>
      <c r="R409" s="172"/>
      <c r="S409" s="172"/>
      <c r="T409" s="172"/>
      <c r="U409" s="173"/>
    </row>
    <row r="410" spans="1:21" ht="16.95" customHeight="1" x14ac:dyDescent="0.3">
      <c r="C410" s="19" t="s">
        <v>282</v>
      </c>
      <c r="D410" s="19" t="s">
        <v>282</v>
      </c>
      <c r="E410" s="19" t="s">
        <v>283</v>
      </c>
      <c r="F410" s="19" t="s">
        <v>283</v>
      </c>
      <c r="P410" s="215"/>
      <c r="Q410" s="172"/>
      <c r="R410" s="172"/>
      <c r="S410" s="172"/>
      <c r="T410" s="172"/>
      <c r="U410" s="173"/>
    </row>
    <row r="411" spans="1:21" ht="16.95" customHeight="1" x14ac:dyDescent="0.3">
      <c r="A411" s="17">
        <f>N8</f>
        <v>63000</v>
      </c>
      <c r="C411" s="92">
        <f>-J8</f>
        <v>-1</v>
      </c>
      <c r="D411" s="92">
        <f>-K8</f>
        <v>0</v>
      </c>
      <c r="E411" s="92">
        <f>J8</f>
        <v>1</v>
      </c>
      <c r="F411" s="92">
        <f>K8</f>
        <v>0</v>
      </c>
      <c r="G411" s="96">
        <f>IFERROR(VLOOKUP(H411, A$377:D$388, 4, FALSE), 0)</f>
        <v>0</v>
      </c>
      <c r="H411" s="12" t="str">
        <f>"D" &amp; C22 &amp; "X"</f>
        <v>D2X</v>
      </c>
      <c r="P411" s="215"/>
      <c r="Q411" s="172"/>
      <c r="R411" s="172"/>
      <c r="S411" s="172"/>
      <c r="T411" s="172"/>
      <c r="U411" s="173"/>
    </row>
    <row r="412" spans="1:21" ht="16.95" customHeight="1" x14ac:dyDescent="0.3">
      <c r="A412" s="99" t="s">
        <v>287</v>
      </c>
      <c r="B412" s="97">
        <f>(MMULT(C411:F411, G411:G414)*A411)</f>
        <v>6725.0305591491051</v>
      </c>
      <c r="G412" s="96">
        <f>IFERROR(VLOOKUP(H412, A$377:D$388, 4, FALSE), 0)</f>
        <v>0</v>
      </c>
      <c r="H412" s="12" t="str">
        <f>"D" &amp; D22 &amp; "Y"</f>
        <v>D2Y</v>
      </c>
      <c r="P412" s="215"/>
      <c r="Q412" s="172"/>
      <c r="R412" s="172"/>
      <c r="S412" s="172"/>
      <c r="T412" s="172"/>
      <c r="U412" s="173"/>
    </row>
    <row r="413" spans="1:21" ht="16.95" customHeight="1" x14ac:dyDescent="0.3">
      <c r="G413" s="96">
        <f>IFERROR(VLOOKUP(H413, A$377:D$388, 4, FALSE), 0)</f>
        <v>0.10674651681189055</v>
      </c>
      <c r="H413" s="12" t="str">
        <f>"D" &amp; E22 &amp; "X"</f>
        <v>D5X</v>
      </c>
      <c r="P413" s="215"/>
      <c r="Q413" s="172"/>
      <c r="R413" s="172"/>
      <c r="S413" s="172"/>
      <c r="T413" s="172"/>
      <c r="U413" s="173"/>
    </row>
    <row r="414" spans="1:21" ht="16.95" customHeight="1" x14ac:dyDescent="0.3">
      <c r="G414" s="96">
        <f>IFERROR(VLOOKUP(H414, A$377:D$388, 4, FALSE), 0)</f>
        <v>-0.80725513240895397</v>
      </c>
      <c r="H414" s="12" t="str">
        <f>"D" &amp; F22 &amp; "Y"</f>
        <v>D5Y</v>
      </c>
      <c r="P414" s="215"/>
      <c r="Q414" s="172"/>
      <c r="R414" s="172"/>
      <c r="S414" s="172"/>
      <c r="T414" s="172"/>
      <c r="U414" s="173"/>
    </row>
    <row r="415" spans="1:21" ht="16.95" customHeight="1" x14ac:dyDescent="0.3">
      <c r="B415" s="99" t="s">
        <v>273</v>
      </c>
      <c r="C415" s="178" t="str">
        <f>IF(B412&gt;0.001,"BARRA A TRACCIÓN (+)",IF(B412&lt;-0.001,"BARRA A COMPRESIÓN (-)","BARRA DE FUERZA NULA"))</f>
        <v>BARRA A TRACCIÓN (+)</v>
      </c>
      <c r="D415" s="172"/>
      <c r="E415" s="172"/>
      <c r="F415" s="173"/>
      <c r="P415" s="215"/>
      <c r="Q415" s="172"/>
      <c r="R415" s="172"/>
      <c r="S415" s="172"/>
      <c r="T415" s="172"/>
      <c r="U415" s="173"/>
    </row>
    <row r="416" spans="1:21" ht="16.95" customHeight="1" x14ac:dyDescent="0.3">
      <c r="P416" s="215"/>
      <c r="Q416" s="172"/>
      <c r="R416" s="172"/>
      <c r="S416" s="172"/>
      <c r="T416" s="172"/>
      <c r="U416" s="173"/>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126000</v>
      </c>
      <c r="C419" s="92">
        <f>-J9</f>
        <v>0</v>
      </c>
      <c r="D419" s="92">
        <f>-K9</f>
        <v>-1</v>
      </c>
      <c r="E419" s="92">
        <f>J9</f>
        <v>0</v>
      </c>
      <c r="F419" s="92">
        <f>K9</f>
        <v>1</v>
      </c>
      <c r="G419" s="96">
        <f>IFERROR(VLOOKUP(H419, A$377:D$388, 4, FALSE), 0)</f>
        <v>-8.3729673664300064E-2</v>
      </c>
      <c r="H419" s="12" t="str">
        <f>"D" &amp; C23 &amp; "X"</f>
        <v>D4X</v>
      </c>
    </row>
    <row r="420" spans="1:8" ht="19.95" customHeight="1" x14ac:dyDescent="0.3">
      <c r="A420" s="99" t="s">
        <v>288</v>
      </c>
      <c r="B420" s="97">
        <f>(MMULT(C419:F419, G419:G422)*A419)</f>
        <v>6318.7423602126973</v>
      </c>
      <c r="G420" s="96">
        <f>IFERROR(VLOOKUP(H420, A$377:D$388, 4, FALSE), 0)</f>
        <v>-0.80437802701550498</v>
      </c>
      <c r="H420" s="12" t="str">
        <f>"D" &amp; D23 &amp; "Y"</f>
        <v>D4Y</v>
      </c>
    </row>
    <row r="421" spans="1:8" ht="19.95" customHeight="1" x14ac:dyDescent="0.3">
      <c r="G421" s="96">
        <f>IFERROR(VLOOKUP(H421, A$377:D$388, 4, FALSE), 0)</f>
        <v>1.1645509482665331E-2</v>
      </c>
      <c r="H421" s="12" t="str">
        <f>"D" &amp; E23 &amp; "X"</f>
        <v>D3X</v>
      </c>
    </row>
    <row r="422" spans="1:8" ht="19.95" customHeight="1" x14ac:dyDescent="0.3">
      <c r="G422" s="96">
        <f>IFERROR(VLOOKUP(H422, A$377:D$388, 4, FALSE), 0)</f>
        <v>-0.75422927812492802</v>
      </c>
      <c r="H422" s="12" t="str">
        <f>"D" &amp; F23 &amp; "Y"</f>
        <v>D3Y</v>
      </c>
    </row>
    <row r="423" spans="1:8" ht="19.95" customHeight="1" x14ac:dyDescent="0.3">
      <c r="B423" s="99" t="s">
        <v>273</v>
      </c>
      <c r="C423" s="178" t="str">
        <f>IF(B420&gt;0.001,"BARRA A TRACCIÓN (+)",IF(B420&lt;-0.001,"BARRA A COMPRESIÓN (-)","BARRA DE FUERZA NULA"))</f>
        <v>BARRA A TRACCIÓN (+)</v>
      </c>
      <c r="D423" s="172"/>
      <c r="E423" s="172"/>
      <c r="F423" s="173"/>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126000</v>
      </c>
      <c r="C427" s="92">
        <f>-J10</f>
        <v>0</v>
      </c>
      <c r="D427" s="92">
        <f>-K10</f>
        <v>1</v>
      </c>
      <c r="E427" s="92">
        <f>J10</f>
        <v>0</v>
      </c>
      <c r="F427" s="92">
        <f>K10</f>
        <v>-1</v>
      </c>
      <c r="G427" s="96">
        <f>IFERROR(VLOOKUP(H427, A$377:D$388, 4, FALSE), 0)</f>
        <v>0.10674651681189055</v>
      </c>
      <c r="H427" s="12" t="str">
        <f>"D" &amp; C24 &amp; "X"</f>
        <v>D5X</v>
      </c>
    </row>
    <row r="428" spans="1:8" ht="19.95" customHeight="1" x14ac:dyDescent="0.3">
      <c r="A428" s="99" t="s">
        <v>289</v>
      </c>
      <c r="B428" s="97">
        <f>(MMULT(C427:F427, G427:G430)*A427)</f>
        <v>-6681.2576397872699</v>
      </c>
      <c r="G428" s="96">
        <f>IFERROR(VLOOKUP(H428, A$377:D$388, 4, FALSE), 0)</f>
        <v>-0.80725513240895397</v>
      </c>
      <c r="H428" s="12" t="str">
        <f>"D" &amp; D24 &amp; "Y"</f>
        <v>D5Y</v>
      </c>
    </row>
    <row r="429" spans="1:8" ht="19.95" customHeight="1" x14ac:dyDescent="0.3">
      <c r="G429" s="96">
        <f>IFERROR(VLOOKUP(H429, A$377:D$388, 4, FALSE), 0)</f>
        <v>1.1645509482665331E-2</v>
      </c>
      <c r="H429" s="12" t="str">
        <f>"D" &amp; E24 &amp; "X"</f>
        <v>D3X</v>
      </c>
    </row>
    <row r="430" spans="1:8" ht="19.95" customHeight="1" x14ac:dyDescent="0.3">
      <c r="G430" s="96">
        <f>IFERROR(VLOOKUP(H430, A$377:D$388, 4, FALSE), 0)</f>
        <v>-0.75422927812492802</v>
      </c>
      <c r="H430" s="12" t="str">
        <f>"D" &amp; F24 &amp; "Y"</f>
        <v>D3Y</v>
      </c>
    </row>
    <row r="431" spans="1:8" ht="19.95" customHeight="1" x14ac:dyDescent="0.3">
      <c r="B431" s="99" t="s">
        <v>273</v>
      </c>
      <c r="C431" s="178" t="str">
        <f>IF(B428&gt;0.001,"BARRA A TRACCIÓN (+)",IF(B428&lt;-0.001,"BARRA A COMPRESIÓN (-)","BARRA DE FUERZA NULA"))</f>
        <v>BARRA A COMPRESIÓN (-)</v>
      </c>
      <c r="D431" s="172"/>
      <c r="E431" s="172"/>
      <c r="F431" s="173"/>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56348.9130329947</v>
      </c>
      <c r="C435" s="92">
        <f>-J11</f>
        <v>-0.89442719099991586</v>
      </c>
      <c r="D435" s="92">
        <f>-K11</f>
        <v>-0.44721359549995793</v>
      </c>
      <c r="E435" s="92">
        <f>J11</f>
        <v>0.89442719099991586</v>
      </c>
      <c r="F435" s="92">
        <f>K11</f>
        <v>0.44721359549995793</v>
      </c>
      <c r="G435" s="96">
        <f>IFERROR(VLOOKUP(H435, A$377:D$388, 4, FALSE), 0)</f>
        <v>0</v>
      </c>
      <c r="H435" s="12" t="str">
        <f>"D" &amp; C25 &amp; "X"</f>
        <v>D1X</v>
      </c>
    </row>
    <row r="436" spans="1:8" ht="19.95" customHeight="1" x14ac:dyDescent="0.3">
      <c r="A436" s="99" t="s">
        <v>290</v>
      </c>
      <c r="B436" s="97">
        <f>(MMULT(C435:F435, G435:G438)*A435)</f>
        <v>-18419.644130821853</v>
      </c>
      <c r="G436" s="96">
        <f>IFERROR(VLOOKUP(H436, A$377:D$388, 4, FALSE), 0)</f>
        <v>0</v>
      </c>
      <c r="H436" s="12" t="str">
        <f>"D" &amp; D25 &amp; "Y"</f>
        <v>D1Y</v>
      </c>
    </row>
    <row r="437" spans="1:8" ht="19.95" customHeight="1" x14ac:dyDescent="0.3">
      <c r="G437" s="96">
        <f>IFERROR(VLOOKUP(H437, A$377:D$388, 4, FALSE), 0)</f>
        <v>1.1645509482665331E-2</v>
      </c>
      <c r="H437" s="12" t="str">
        <f>"D" &amp; E25 &amp; "X"</f>
        <v>D3X</v>
      </c>
    </row>
    <row r="438" spans="1:8" ht="19.95" customHeight="1" x14ac:dyDescent="0.3">
      <c r="G438" s="96">
        <f>IFERROR(VLOOKUP(H438, A$377:D$388, 4, FALSE), 0)</f>
        <v>-0.75422927812492802</v>
      </c>
      <c r="H438" s="12" t="str">
        <f>"D" &amp; F25 &amp; "Y"</f>
        <v>D3Y</v>
      </c>
    </row>
    <row r="439" spans="1:8" ht="19.95" customHeight="1" x14ac:dyDescent="0.3">
      <c r="B439" s="99" t="s">
        <v>273</v>
      </c>
      <c r="C439" s="178" t="str">
        <f>IF(B436&gt;0.001,"BARRA A TRACCIÓN (+)",IF(B436&lt;-0.001,"BARRA A COMPRESIÓN (-)","BARRA DE FUERZA NULA"))</f>
        <v>BARRA A COMPRESIÓN (-)</v>
      </c>
      <c r="D439" s="172"/>
      <c r="E439" s="172"/>
      <c r="F439" s="173"/>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56348.9130329947</v>
      </c>
      <c r="C443" s="92">
        <f>-J12</f>
        <v>-0.89442719099991586</v>
      </c>
      <c r="D443" s="92">
        <f>-K12</f>
        <v>0.44721359549995793</v>
      </c>
      <c r="E443" s="92">
        <f>J12</f>
        <v>0.89442719099991586</v>
      </c>
      <c r="F443" s="92">
        <f>K12</f>
        <v>-0.44721359549995793</v>
      </c>
      <c r="G443" s="96">
        <f>IFERROR(VLOOKUP(H443, A$377:D$388, 4, FALSE), 0)</f>
        <v>0</v>
      </c>
      <c r="H443" s="12" t="str">
        <f>"D" &amp; C26 &amp; "X"</f>
        <v>D2X</v>
      </c>
    </row>
    <row r="444" spans="1:8" ht="19.95" customHeight="1" x14ac:dyDescent="0.3">
      <c r="A444" s="99" t="s">
        <v>291</v>
      </c>
      <c r="B444" s="97">
        <f>(MMULT(C443:F443, G443:G446)*A443)</f>
        <v>19593.511486674517</v>
      </c>
      <c r="G444" s="96">
        <f>IFERROR(VLOOKUP(H444, A$377:D$388, 4, FALSE), 0)</f>
        <v>0</v>
      </c>
      <c r="H444" s="12" t="str">
        <f>"D" &amp; D26 &amp; "Y"</f>
        <v>D2Y</v>
      </c>
    </row>
    <row r="445" spans="1:8" ht="19.95" customHeight="1" x14ac:dyDescent="0.3">
      <c r="G445" s="96">
        <f>IFERROR(VLOOKUP(H445, A$377:D$388, 4, FALSE), 0)</f>
        <v>1.1645509482665331E-2</v>
      </c>
      <c r="H445" s="12" t="str">
        <f>"D" &amp; E26 &amp; "X"</f>
        <v>D3X</v>
      </c>
    </row>
    <row r="446" spans="1:8" ht="19.95" customHeight="1" x14ac:dyDescent="0.3">
      <c r="G446" s="96">
        <f>IFERROR(VLOOKUP(H446, A$377:D$388, 4, FALSE), 0)</f>
        <v>-0.75422927812492802</v>
      </c>
      <c r="H446" s="12" t="str">
        <f>"D" &amp; F26 &amp; "Y"</f>
        <v>D3Y</v>
      </c>
    </row>
    <row r="447" spans="1:8" ht="19.95" customHeight="1" x14ac:dyDescent="0.3">
      <c r="B447" s="99" t="s">
        <v>273</v>
      </c>
      <c r="C447" s="178" t="str">
        <f>IF(B444&gt;0.001,"BARRA A TRACCIÓN (+)",IF(B444&lt;-0.001,"BARRA A COMPRESIÓN (-)","BARRA DE FUERZA NULA"))</f>
        <v>BARRA A TRACCIÓN (+)</v>
      </c>
      <c r="D447" s="172"/>
      <c r="E447" s="172"/>
      <c r="F447" s="173"/>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56348.9130329947</v>
      </c>
      <c r="C451" s="92">
        <f>-J13</f>
        <v>-0.89442719099991586</v>
      </c>
      <c r="D451" s="92">
        <f>-K13</f>
        <v>-0.44721359549995793</v>
      </c>
      <c r="E451" s="92">
        <f>J13</f>
        <v>0.89442719099991586</v>
      </c>
      <c r="F451" s="92">
        <f>K13</f>
        <v>0.44721359549995793</v>
      </c>
      <c r="G451" s="96">
        <f>IFERROR(VLOOKUP(H451, A$377:D$388, 4, FALSE), 0)</f>
        <v>-8.3729673664300064E-2</v>
      </c>
      <c r="H451" s="12" t="str">
        <f>"D" &amp; C27 &amp; "X"</f>
        <v>D4X</v>
      </c>
    </row>
    <row r="452" spans="1:8" ht="19.95" customHeight="1" x14ac:dyDescent="0.3">
      <c r="A452" s="99" t="s">
        <v>292</v>
      </c>
      <c r="B452" s="97">
        <f>(MMULT(C451:F451, G451:G454)*A451)</f>
        <v>-5897.5951244883354</v>
      </c>
      <c r="G452" s="96">
        <f>IFERROR(VLOOKUP(H452, A$377:D$388, 4, FALSE), 0)</f>
        <v>-0.80437802701550498</v>
      </c>
      <c r="H452" s="12" t="str">
        <f>"D" &amp; D27 &amp; "Y"</f>
        <v>D4Y</v>
      </c>
    </row>
    <row r="453" spans="1:8" ht="19.95" customHeight="1" x14ac:dyDescent="0.3">
      <c r="G453" s="96">
        <f>IFERROR(VLOOKUP(H453, A$377:D$388, 4, FALSE), 0)</f>
        <v>2.8311206017614509E-2</v>
      </c>
      <c r="H453" s="12" t="str">
        <f>"D" &amp; E27 &amp; "X"</f>
        <v>D6X</v>
      </c>
    </row>
    <row r="454" spans="1:8" ht="19.95" customHeight="1" x14ac:dyDescent="0.3">
      <c r="G454" s="96">
        <f>IFERROR(VLOOKUP(H454, A$377:D$388, 4, FALSE), 0)</f>
        <v>-1.2624913389383952</v>
      </c>
      <c r="H454" s="12" t="str">
        <f>"D" &amp; F27 &amp; "Y"</f>
        <v>D6Y</v>
      </c>
    </row>
    <row r="455" spans="1:8" ht="19.95" customHeight="1" x14ac:dyDescent="0.3">
      <c r="B455" s="99" t="s">
        <v>273</v>
      </c>
      <c r="C455" s="178" t="str">
        <f>IF(B452&gt;0.001,"BARRA A TRACCIÓN (+)",IF(B452&lt;-0.001,"BARRA A COMPRESIÓN (-)","BARRA DE FUERZA NULA"))</f>
        <v>BARRA A COMPRESIÓN (-)</v>
      </c>
      <c r="D455" s="172"/>
      <c r="E455" s="172"/>
      <c r="F455" s="173"/>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56348.9130329947</v>
      </c>
      <c r="C459" s="92">
        <f>-J14</f>
        <v>-0.89442719099991586</v>
      </c>
      <c r="D459" s="92">
        <f>-K14</f>
        <v>0.44721359549995793</v>
      </c>
      <c r="E459" s="92">
        <f>J14</f>
        <v>0.89442719099991586</v>
      </c>
      <c r="F459" s="92">
        <f>K14</f>
        <v>-0.44721359549995793</v>
      </c>
      <c r="G459" s="96">
        <f>IFERROR(VLOOKUP(H459, A$377:D$388, 4, FALSE), 0)</f>
        <v>0.10674651681189055</v>
      </c>
      <c r="H459" s="12" t="str">
        <f>"D" &amp; C28 &amp; "X"</f>
        <v>D5X</v>
      </c>
    </row>
    <row r="460" spans="1:8" ht="19.95" customHeight="1" x14ac:dyDescent="0.3">
      <c r="A460" s="99" t="s">
        <v>530</v>
      </c>
      <c r="B460" s="97">
        <f>(MMULT(C459:F459, G459:G462)*A459)</f>
        <v>7518.8127405104051</v>
      </c>
      <c r="G460" s="96">
        <f>IFERROR(VLOOKUP(H460, A$377:D$388, 4, FALSE), 0)</f>
        <v>-0.80725513240895397</v>
      </c>
      <c r="H460" s="12" t="str">
        <f>"D" &amp; D28 &amp; "Y"</f>
        <v>D5Y</v>
      </c>
    </row>
    <row r="461" spans="1:8" ht="19.95" customHeight="1" x14ac:dyDescent="0.3">
      <c r="G461" s="96">
        <f>IFERROR(VLOOKUP(H461, A$377:D$388, 4, FALSE), 0)</f>
        <v>2.8311206017614509E-2</v>
      </c>
      <c r="H461" s="12" t="str">
        <f>"D" &amp; E28 &amp; "X"</f>
        <v>D6X</v>
      </c>
    </row>
    <row r="462" spans="1:8" ht="19.95" customHeight="1" x14ac:dyDescent="0.3">
      <c r="G462" s="96">
        <f>IFERROR(VLOOKUP(H462, A$377:D$388, 4, FALSE), 0)</f>
        <v>-1.2624913389383952</v>
      </c>
      <c r="H462" s="12" t="str">
        <f>"D" &amp; F28 &amp; "Y"</f>
        <v>D6Y</v>
      </c>
    </row>
    <row r="463" spans="1:8" ht="19.95" customHeight="1" x14ac:dyDescent="0.3">
      <c r="B463" s="99" t="s">
        <v>273</v>
      </c>
      <c r="C463" s="178" t="str">
        <f>IF(B460&gt;0.001,"BARRA A TRACCIÓN (+)",IF(B460&lt;-0.001,"BARRA A COMPRESIÓN (-)","BARRA DE FUERZA NULA"))</f>
        <v>BARRA A TRACCIÓN (+)</v>
      </c>
      <c r="D463" s="172"/>
      <c r="E463" s="172"/>
      <c r="F463" s="173"/>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63000</v>
      </c>
      <c r="C467" s="92">
        <f>-J15</f>
        <v>0</v>
      </c>
      <c r="D467" s="92">
        <f>-K15</f>
        <v>-1</v>
      </c>
      <c r="E467" s="92">
        <f>J15</f>
        <v>0</v>
      </c>
      <c r="F467" s="92">
        <f>K15</f>
        <v>1</v>
      </c>
      <c r="G467" s="96">
        <f>IFERROR(VLOOKUP(H467, A$377:D$388, 4, FALSE), 0)</f>
        <v>-8.3729673664300064E-2</v>
      </c>
      <c r="H467" s="12" t="str">
        <f>"D" &amp; C29 &amp; "X"</f>
        <v>D4X</v>
      </c>
    </row>
    <row r="468" spans="1:8" ht="19.95" customHeight="1" x14ac:dyDescent="0.3">
      <c r="A468" s="99" t="s">
        <v>589</v>
      </c>
      <c r="B468" s="97">
        <f>(MMULT(C467:F467, G467:G470)*A467)</f>
        <v>-181.25763978728614</v>
      </c>
      <c r="G468" s="96">
        <f>IFERROR(VLOOKUP(H468, A$377:D$388, 4, FALSE), 0)</f>
        <v>-0.80437802701550498</v>
      </c>
      <c r="H468" s="12" t="str">
        <f>"D" &amp; D29 &amp; "Y"</f>
        <v>D4Y</v>
      </c>
    </row>
    <row r="469" spans="1:8" ht="19.95" customHeight="1" x14ac:dyDescent="0.3">
      <c r="G469" s="96">
        <f>IFERROR(VLOOKUP(H469, A$377:D$388, 4, FALSE), 0)</f>
        <v>0.10674651681189055</v>
      </c>
      <c r="H469" s="12" t="str">
        <f>"D" &amp; E29 &amp; "X"</f>
        <v>D5X</v>
      </c>
    </row>
    <row r="470" spans="1:8" ht="19.95" customHeight="1" x14ac:dyDescent="0.3">
      <c r="G470" s="96">
        <f>IFERROR(VLOOKUP(H470, A$377:D$388, 4, FALSE), 0)</f>
        <v>-0.80725513240895397</v>
      </c>
      <c r="H470" s="12" t="str">
        <f>"D" &amp; F29 &amp; "Y"</f>
        <v>D5Y</v>
      </c>
    </row>
    <row r="471" spans="1:8" ht="19.95" customHeight="1" x14ac:dyDescent="0.3">
      <c r="B471" s="99" t="s">
        <v>273</v>
      </c>
      <c r="C471" s="178" t="str">
        <f>IF(B468&gt;0.001,"BARRA A TRACCIÓN (+)",IF(B468&lt;-0.001,"BARRA A COMPRESIÓN (-)","BARRA DE FUERZA NULA"))</f>
        <v>BARRA A COMPRESIÓN (-)</v>
      </c>
      <c r="D471" s="172"/>
      <c r="E471" s="172"/>
      <c r="F471" s="173"/>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63000</v>
      </c>
      <c r="C475" s="92">
        <f>-J16</f>
        <v>-1</v>
      </c>
      <c r="D475" s="92">
        <f>-K16</f>
        <v>0</v>
      </c>
      <c r="E475" s="92">
        <f>J16</f>
        <v>1</v>
      </c>
      <c r="F475" s="92">
        <f>K16</f>
        <v>0</v>
      </c>
      <c r="G475" s="96">
        <f>IFERROR(VLOOKUP(H475, A$377:D$388, 4, FALSE), 0)</f>
        <v>1.1645509482665331E-2</v>
      </c>
      <c r="H475" s="12" t="str">
        <f>"D" &amp; C30 &amp; "X"</f>
        <v>D3X</v>
      </c>
    </row>
    <row r="476" spans="1:8" ht="19.95" customHeight="1" x14ac:dyDescent="0.3">
      <c r="A476" s="99" t="s">
        <v>590</v>
      </c>
      <c r="B476" s="97">
        <f>(MMULT(C475:F475, G475:G478)*A475)</f>
        <v>1049.938881701798</v>
      </c>
      <c r="G476" s="96">
        <f>IFERROR(VLOOKUP(H476, A$377:D$388, 4, FALSE), 0)</f>
        <v>-0.75422927812492802</v>
      </c>
      <c r="H476" s="12" t="str">
        <f>"D" &amp; D30 &amp; "Y"</f>
        <v>D3Y</v>
      </c>
    </row>
    <row r="477" spans="1:8" ht="19.95" customHeight="1" x14ac:dyDescent="0.3">
      <c r="G477" s="96">
        <f>IFERROR(VLOOKUP(H477, A$377:D$388, 4, FALSE), 0)</f>
        <v>2.8311206017614509E-2</v>
      </c>
      <c r="H477" s="12" t="str">
        <f>"D" &amp; E30 &amp; "X"</f>
        <v>D6X</v>
      </c>
    </row>
    <row r="478" spans="1:8" ht="19.95" customHeight="1" x14ac:dyDescent="0.3">
      <c r="G478" s="96">
        <f>IFERROR(VLOOKUP(H478, A$377:D$388, 4, FALSE), 0)</f>
        <v>-1.2624913389383952</v>
      </c>
      <c r="H478" s="12" t="str">
        <f>"D" &amp; F30 &amp; "Y"</f>
        <v>D6Y</v>
      </c>
    </row>
    <row r="479" spans="1:8" ht="19.95" customHeight="1" x14ac:dyDescent="0.3">
      <c r="B479" s="99" t="s">
        <v>273</v>
      </c>
      <c r="C479" s="178" t="str">
        <f>IF(B476&gt;0.001,"BARRA A TRACCIÓN (+)",IF(B476&lt;-0.001,"BARRA A COMPRESIÓN (-)","BARRA DE FUERZA NULA"))</f>
        <v>BARRA A TRACCIÓN (+)</v>
      </c>
      <c r="D479" s="172"/>
      <c r="E479" s="172"/>
      <c r="F479" s="173"/>
    </row>
    <row r="482" spans="2:8" ht="22.05" customHeight="1" x14ac:dyDescent="0.3">
      <c r="B482" s="217" t="s">
        <v>404</v>
      </c>
      <c r="C482" s="175"/>
      <c r="D482" s="175"/>
      <c r="E482" s="175"/>
      <c r="F482" s="175"/>
      <c r="G482" s="175"/>
      <c r="H482" s="175"/>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400</v>
      </c>
      <c r="F484" s="9">
        <f t="shared" ref="F484:F494" si="54">L6</f>
        <v>12</v>
      </c>
      <c r="G484" s="97">
        <f>B396</f>
        <v>0</v>
      </c>
      <c r="H484" s="84" t="str">
        <f>C399</f>
        <v>BARRA DE FUERZA NULA</v>
      </c>
    </row>
    <row r="485" spans="2:8" ht="19.95" customHeight="1" x14ac:dyDescent="0.3">
      <c r="B485" s="25">
        <v>2</v>
      </c>
      <c r="C485" s="86">
        <f t="shared" si="51"/>
        <v>1</v>
      </c>
      <c r="D485" s="86">
        <f t="shared" si="52"/>
        <v>4</v>
      </c>
      <c r="E485" s="9">
        <f t="shared" si="53"/>
        <v>400</v>
      </c>
      <c r="F485" s="9">
        <f t="shared" si="54"/>
        <v>12</v>
      </c>
      <c r="G485" s="97">
        <f>B404</f>
        <v>-5274.969440850904</v>
      </c>
      <c r="H485" s="84" t="str">
        <f>C407</f>
        <v>BARRA A COMPRESIÓN (-)</v>
      </c>
    </row>
    <row r="486" spans="2:8" ht="19.95" customHeight="1" x14ac:dyDescent="0.3">
      <c r="B486" s="26">
        <v>3</v>
      </c>
      <c r="C486" s="86">
        <f t="shared" si="51"/>
        <v>2</v>
      </c>
      <c r="D486" s="86">
        <f t="shared" si="52"/>
        <v>5</v>
      </c>
      <c r="E486" s="9">
        <f t="shared" si="53"/>
        <v>400</v>
      </c>
      <c r="F486" s="9">
        <f t="shared" si="54"/>
        <v>12</v>
      </c>
      <c r="G486" s="97">
        <f>B412</f>
        <v>6725.0305591491051</v>
      </c>
      <c r="H486" s="84" t="str">
        <f>C415</f>
        <v>BARRA A TRACCIÓN (+)</v>
      </c>
    </row>
    <row r="487" spans="2:8" ht="19.95" customHeight="1" x14ac:dyDescent="0.3">
      <c r="B487" s="43">
        <v>4</v>
      </c>
      <c r="C487" s="86">
        <f t="shared" si="51"/>
        <v>4</v>
      </c>
      <c r="D487" s="86">
        <f t="shared" si="52"/>
        <v>3</v>
      </c>
      <c r="E487" s="9">
        <f t="shared" si="53"/>
        <v>200</v>
      </c>
      <c r="F487" s="9">
        <f t="shared" si="54"/>
        <v>12</v>
      </c>
      <c r="G487" s="97">
        <f>B420</f>
        <v>6318.7423602126973</v>
      </c>
      <c r="H487" s="84" t="str">
        <f>C423</f>
        <v>BARRA A TRACCIÓN (+)</v>
      </c>
    </row>
    <row r="488" spans="2:8" ht="19.95" customHeight="1" x14ac:dyDescent="0.3">
      <c r="B488" s="44">
        <v>5</v>
      </c>
      <c r="C488" s="86">
        <f t="shared" si="51"/>
        <v>5</v>
      </c>
      <c r="D488" s="86">
        <f t="shared" si="52"/>
        <v>3</v>
      </c>
      <c r="E488" s="9">
        <f t="shared" si="53"/>
        <v>200</v>
      </c>
      <c r="F488" s="9">
        <f t="shared" si="54"/>
        <v>12</v>
      </c>
      <c r="G488" s="97">
        <f>B428</f>
        <v>-6681.2576397872699</v>
      </c>
      <c r="H488" s="84" t="str">
        <f>C431</f>
        <v>BARRA A COMPRESIÓN (-)</v>
      </c>
    </row>
    <row r="489" spans="2:8" ht="19.95" customHeight="1" x14ac:dyDescent="0.3">
      <c r="B489" s="51">
        <v>6</v>
      </c>
      <c r="C489" s="86">
        <f t="shared" si="51"/>
        <v>1</v>
      </c>
      <c r="D489" s="86">
        <f t="shared" si="52"/>
        <v>3</v>
      </c>
      <c r="E489" s="9">
        <f t="shared" si="53"/>
        <v>447.21359549995793</v>
      </c>
      <c r="F489" s="9">
        <f t="shared" si="54"/>
        <v>12</v>
      </c>
      <c r="G489" s="97">
        <f>B436</f>
        <v>-18419.644130821853</v>
      </c>
      <c r="H489" s="84" t="str">
        <f>C439</f>
        <v>BARRA A COMPRESIÓN (-)</v>
      </c>
    </row>
    <row r="490" spans="2:8" ht="19.95" customHeight="1" x14ac:dyDescent="0.3">
      <c r="B490" s="52">
        <v>7</v>
      </c>
      <c r="C490" s="86">
        <f t="shared" si="51"/>
        <v>2</v>
      </c>
      <c r="D490" s="86">
        <f t="shared" si="52"/>
        <v>3</v>
      </c>
      <c r="E490" s="9">
        <f t="shared" si="53"/>
        <v>447.21359549995793</v>
      </c>
      <c r="F490" s="9">
        <f t="shared" si="54"/>
        <v>12</v>
      </c>
      <c r="G490" s="97">
        <f>B444</f>
        <v>19593.511486674517</v>
      </c>
      <c r="H490" s="84" t="str">
        <f>C447</f>
        <v>BARRA A TRACCIÓN (+)</v>
      </c>
    </row>
    <row r="491" spans="2:8" ht="19.95" customHeight="1" x14ac:dyDescent="0.3">
      <c r="B491" s="59">
        <v>8</v>
      </c>
      <c r="C491" s="86">
        <f t="shared" si="51"/>
        <v>4</v>
      </c>
      <c r="D491" s="86">
        <f t="shared" si="52"/>
        <v>6</v>
      </c>
      <c r="E491" s="9">
        <f t="shared" si="53"/>
        <v>447.21359549995793</v>
      </c>
      <c r="F491" s="9">
        <f t="shared" si="54"/>
        <v>12</v>
      </c>
      <c r="G491" s="97">
        <f>B452</f>
        <v>-5897.5951244883354</v>
      </c>
      <c r="H491" s="84" t="str">
        <f>C455</f>
        <v>BARRA A COMPRESIÓN (-)</v>
      </c>
    </row>
    <row r="492" spans="2:8" ht="19.95" customHeight="1" x14ac:dyDescent="0.3">
      <c r="B492" s="60">
        <v>9</v>
      </c>
      <c r="C492" s="86">
        <f t="shared" si="51"/>
        <v>5</v>
      </c>
      <c r="D492" s="86">
        <f t="shared" si="52"/>
        <v>6</v>
      </c>
      <c r="E492" s="9">
        <f t="shared" si="53"/>
        <v>447.21359549995793</v>
      </c>
      <c r="F492" s="9">
        <f t="shared" si="54"/>
        <v>12</v>
      </c>
      <c r="G492" s="97">
        <f>B460</f>
        <v>7518.8127405104051</v>
      </c>
      <c r="H492" s="84" t="str">
        <f>C463</f>
        <v>BARRA A TRACCIÓN (+)</v>
      </c>
    </row>
    <row r="493" spans="2:8" ht="19.95" customHeight="1" x14ac:dyDescent="0.3">
      <c r="B493" s="67">
        <v>10</v>
      </c>
      <c r="C493" s="86">
        <f t="shared" si="51"/>
        <v>4</v>
      </c>
      <c r="D493" s="86">
        <f t="shared" si="52"/>
        <v>5</v>
      </c>
      <c r="E493" s="9">
        <f t="shared" si="53"/>
        <v>400</v>
      </c>
      <c r="F493" s="9">
        <f t="shared" si="54"/>
        <v>12</v>
      </c>
      <c r="G493" s="97">
        <f>B468</f>
        <v>-181.25763978728614</v>
      </c>
      <c r="H493" s="84" t="str">
        <f>C471</f>
        <v>BARRA A COMPRESIÓN (-)</v>
      </c>
    </row>
    <row r="494" spans="2:8" ht="19.95" customHeight="1" x14ac:dyDescent="0.3">
      <c r="B494" s="68">
        <v>11</v>
      </c>
      <c r="C494" s="86">
        <f t="shared" si="51"/>
        <v>3</v>
      </c>
      <c r="D494" s="86">
        <f t="shared" si="52"/>
        <v>6</v>
      </c>
      <c r="E494" s="9">
        <f t="shared" si="53"/>
        <v>400</v>
      </c>
      <c r="F494" s="9">
        <f t="shared" si="54"/>
        <v>12</v>
      </c>
      <c r="G494" s="97">
        <f>B476</f>
        <v>1049.938881701798</v>
      </c>
      <c r="H494" s="84" t="str">
        <f>C479</f>
        <v>BARRA A TRACCIÓN (+)</v>
      </c>
    </row>
  </sheetData>
  <mergeCells count="149">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 ref="C447:F447"/>
    <mergeCell ref="P311:U311"/>
    <mergeCell ref="C439:F439"/>
    <mergeCell ref="P320:U320"/>
    <mergeCell ref="P314:U314"/>
    <mergeCell ref="P329:U329"/>
    <mergeCell ref="P282:U282"/>
    <mergeCell ref="P297:U297"/>
    <mergeCell ref="P291:U291"/>
    <mergeCell ref="P359:U359"/>
    <mergeCell ref="P346:U346"/>
    <mergeCell ref="P355:U355"/>
    <mergeCell ref="P293:U293"/>
    <mergeCell ref="P283:U283"/>
    <mergeCell ref="P396:U396"/>
    <mergeCell ref="P348:U348"/>
    <mergeCell ref="C335:J335"/>
    <mergeCell ref="P338:U338"/>
    <mergeCell ref="P285:U285"/>
    <mergeCell ref="P288:U288"/>
    <mergeCell ref="P366:U366"/>
    <mergeCell ref="P340:U340"/>
    <mergeCell ref="P316:U316"/>
    <mergeCell ref="P308:U308"/>
    <mergeCell ref="P412:U412"/>
    <mergeCell ref="P365:U365"/>
    <mergeCell ref="P364:U364"/>
    <mergeCell ref="P404:U404"/>
    <mergeCell ref="P406:U406"/>
    <mergeCell ref="P414:U414"/>
    <mergeCell ref="P367:U367"/>
    <mergeCell ref="B1:N1"/>
    <mergeCell ref="P305:U305"/>
    <mergeCell ref="C4:D4"/>
    <mergeCell ref="E4:F4"/>
    <mergeCell ref="E3:H3"/>
    <mergeCell ref="J4:J5"/>
    <mergeCell ref="P300:U300"/>
    <mergeCell ref="P371:U371"/>
    <mergeCell ref="P405:U405"/>
    <mergeCell ref="P292:U292"/>
    <mergeCell ref="P358:U358"/>
    <mergeCell ref="P301:U301"/>
    <mergeCell ref="P361:U361"/>
    <mergeCell ref="P295:U295"/>
    <mergeCell ref="P401:U401"/>
    <mergeCell ref="P339:U339"/>
    <mergeCell ref="C415:F415"/>
    <mergeCell ref="C18:D18"/>
    <mergeCell ref="E18:F18"/>
    <mergeCell ref="C399:F399"/>
    <mergeCell ref="P410:U410"/>
    <mergeCell ref="P307:U307"/>
    <mergeCell ref="P347:U347"/>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K4:K5"/>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C455:F455"/>
    <mergeCell ref="P354:U354"/>
    <mergeCell ref="P363:U363"/>
    <mergeCell ref="P298:U298"/>
    <mergeCell ref="P313:U313"/>
    <mergeCell ref="P394:U394"/>
    <mergeCell ref="P369:U369"/>
    <mergeCell ref="P343:U343"/>
    <mergeCell ref="P290:U290"/>
    <mergeCell ref="H4:H5"/>
    <mergeCell ref="C336:J336"/>
    <mergeCell ref="P317:U317"/>
    <mergeCell ref="P351:U351"/>
    <mergeCell ref="P326:U326"/>
    <mergeCell ref="P289:U289"/>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4" t="s">
        <v>726</v>
      </c>
      <c r="C1" s="175"/>
      <c r="D1" s="175"/>
      <c r="E1" s="175"/>
      <c r="F1" s="175"/>
      <c r="G1" s="175"/>
      <c r="H1" s="175"/>
      <c r="I1" s="175"/>
      <c r="J1" s="175"/>
      <c r="K1" s="175"/>
      <c r="L1" s="175"/>
      <c r="M1" s="175"/>
      <c r="N1" s="175"/>
      <c r="O1" s="175"/>
    </row>
    <row r="2" spans="2:29" ht="18" customHeight="1" x14ac:dyDescent="0.3">
      <c r="B2" s="182" t="s">
        <v>303</v>
      </c>
      <c r="C2" s="175"/>
      <c r="D2" s="175"/>
      <c r="E2" s="175"/>
      <c r="F2" s="175"/>
      <c r="G2" s="175"/>
      <c r="H2" s="175"/>
      <c r="I2" s="175"/>
      <c r="J2" s="175"/>
      <c r="K2" s="175"/>
      <c r="L2" s="175"/>
      <c r="M2" s="175"/>
      <c r="N2" s="175"/>
      <c r="O2" s="175"/>
    </row>
    <row r="3" spans="2:29" ht="19.95" customHeight="1" x14ac:dyDescent="0.3">
      <c r="B3" s="207" t="str">
        <f>HYPERLINK("#'MANUAL_DE_USUARIO_Y_TEORIA'!A1", "⬅ Menú Principal / Teoría")</f>
        <v>⬅ Menú Principal / Teoría</v>
      </c>
      <c r="C3" s="172"/>
      <c r="D3" s="173"/>
      <c r="E3" s="208" t="str">
        <f>HYPERLINK("#'AUTOMATIZADA_70'!A1", "➡ Ver Solución Matricial Completa")</f>
        <v>➡ Ver Solución Matricial Completa</v>
      </c>
      <c r="F3" s="172"/>
      <c r="G3" s="172"/>
      <c r="H3" s="173"/>
    </row>
    <row r="4" spans="2:29" ht="22.05" customHeight="1" x14ac:dyDescent="0.3">
      <c r="B4" s="181" t="s">
        <v>304</v>
      </c>
      <c r="C4" s="175"/>
      <c r="D4" s="175"/>
      <c r="E4" s="175"/>
      <c r="F4" s="175"/>
      <c r="G4" s="175"/>
      <c r="H4" s="175"/>
      <c r="I4" s="175"/>
      <c r="J4" s="175"/>
      <c r="K4" s="175"/>
      <c r="L4" s="175"/>
      <c r="M4" s="175"/>
      <c r="N4" s="175"/>
      <c r="O4" s="175"/>
      <c r="AA4" s="87" t="s">
        <v>305</v>
      </c>
      <c r="AB4" s="87" t="s">
        <v>306</v>
      </c>
      <c r="AC4" s="87" t="s">
        <v>307</v>
      </c>
    </row>
    <row r="5" spans="2:29" ht="18" customHeight="1" x14ac:dyDescent="0.3">
      <c r="B5" s="204" t="s">
        <v>308</v>
      </c>
      <c r="C5" s="173"/>
      <c r="D5" s="204" t="s">
        <v>309</v>
      </c>
      <c r="E5" s="173"/>
      <c r="F5" s="204" t="s">
        <v>310</v>
      </c>
      <c r="G5" s="173"/>
      <c r="H5" s="204" t="s">
        <v>311</v>
      </c>
      <c r="I5" s="173"/>
      <c r="J5" s="204" t="s">
        <v>312</v>
      </c>
      <c r="K5" s="172"/>
      <c r="L5" s="172"/>
      <c r="M5" s="172"/>
      <c r="N5" s="172"/>
      <c r="O5" s="173"/>
      <c r="AA5" s="20">
        <f>IF(E28="","",E28)</f>
        <v>0</v>
      </c>
      <c r="AB5" s="20">
        <f>IF(F28="","",F28)</f>
        <v>0</v>
      </c>
      <c r="AC5" t="s">
        <v>313</v>
      </c>
    </row>
    <row r="6" spans="2:29" ht="24" customHeight="1" x14ac:dyDescent="0.3">
      <c r="B6" s="206">
        <f>COUNT(C14:C23)</f>
        <v>6</v>
      </c>
      <c r="C6" s="173"/>
      <c r="D6" s="206">
        <f>COUNT(C28:C42)</f>
        <v>11</v>
      </c>
      <c r="E6" s="173"/>
      <c r="F6" s="206">
        <f>SUM(F14:G23)</f>
        <v>6</v>
      </c>
      <c r="G6" s="173"/>
      <c r="H6" s="206">
        <f>D6+F6-2*B6</f>
        <v>5</v>
      </c>
      <c r="I6" s="173"/>
      <c r="J6" s="220" t="str">
        <f>IF(H6=0,"✅ ISOSTÁTICA (Estable y Determinada)",IF(H6&gt;0,"🔷 HIPERESTÁTICA (Grado " &amp; H6 &amp; " - Resoluble por Rigidez)","⚠️ HIPOSTÁTICA (Mecanismo Inestable)"))</f>
        <v>🔷 HIPERESTÁTICA (Grado 5 - Resoluble por Rigidez)</v>
      </c>
      <c r="K6" s="172"/>
      <c r="L6" s="172"/>
      <c r="M6" s="172"/>
      <c r="N6" s="172"/>
      <c r="O6" s="173"/>
      <c r="AA6" s="20">
        <f>IF(G28="","",G28)</f>
        <v>400</v>
      </c>
      <c r="AB6" s="20">
        <f>IF(H28="","",H28)</f>
        <v>0</v>
      </c>
      <c r="AC6" t="s">
        <v>314</v>
      </c>
    </row>
    <row r="8" spans="2:29" ht="22.05" customHeight="1" x14ac:dyDescent="0.3">
      <c r="B8" s="181" t="s">
        <v>315</v>
      </c>
      <c r="C8" s="175"/>
      <c r="D8" s="175"/>
      <c r="E8" s="175"/>
      <c r="F8" s="175"/>
      <c r="G8" s="175"/>
      <c r="H8" s="175"/>
      <c r="I8" s="175"/>
      <c r="J8" s="175"/>
      <c r="K8" s="175"/>
      <c r="L8" s="175"/>
      <c r="M8" s="175"/>
      <c r="N8" s="175"/>
      <c r="O8" s="175"/>
      <c r="AA8" s="20">
        <f>IF(E29="","",E29)</f>
        <v>400</v>
      </c>
      <c r="AB8" s="20">
        <f>IF(F29="","",F29)</f>
        <v>0</v>
      </c>
      <c r="AC8" t="s">
        <v>316</v>
      </c>
    </row>
    <row r="9" spans="2:29" x14ac:dyDescent="0.3">
      <c r="AA9" s="20">
        <f>IF(G29="","",G29)</f>
        <v>800</v>
      </c>
      <c r="AB9" s="20">
        <f>IF(H29="","",H29)</f>
        <v>0</v>
      </c>
      <c r="AC9" t="s">
        <v>317</v>
      </c>
    </row>
    <row r="10" spans="2:29" ht="18" customHeight="1" x14ac:dyDescent="0.3">
      <c r="B10" s="202" t="s">
        <v>318</v>
      </c>
      <c r="C10" s="202" t="s">
        <v>319</v>
      </c>
      <c r="D10" s="173"/>
      <c r="E10" s="202" t="s">
        <v>320</v>
      </c>
      <c r="F10" s="202" t="s">
        <v>321</v>
      </c>
      <c r="G10" s="173"/>
      <c r="H10" s="202" t="s">
        <v>322</v>
      </c>
      <c r="I10" s="173"/>
      <c r="J10" s="202" t="s">
        <v>323</v>
      </c>
      <c r="K10" s="209"/>
      <c r="L10" s="209"/>
      <c r="M10" s="209"/>
      <c r="N10" s="209"/>
      <c r="O10" s="210"/>
    </row>
    <row r="11" spans="2:29" ht="18" customHeight="1" x14ac:dyDescent="0.3">
      <c r="B11" s="203"/>
      <c r="C11" s="81" t="s">
        <v>160</v>
      </c>
      <c r="D11" s="81" t="s">
        <v>161</v>
      </c>
      <c r="E11" s="203"/>
      <c r="F11" s="81" t="s">
        <v>163</v>
      </c>
      <c r="G11" s="81" t="s">
        <v>164</v>
      </c>
      <c r="H11" s="81" t="s">
        <v>165</v>
      </c>
      <c r="I11" s="81" t="s">
        <v>166</v>
      </c>
      <c r="J11" s="211"/>
      <c r="K11" s="212"/>
      <c r="L11" s="212"/>
      <c r="M11" s="212"/>
      <c r="N11" s="212"/>
      <c r="O11" s="213"/>
      <c r="AA11" s="20">
        <f>IF(E30="","",E30)</f>
        <v>0</v>
      </c>
      <c r="AB11" s="20">
        <f>IF(F30="","",F30)</f>
        <v>300</v>
      </c>
      <c r="AC11" t="s">
        <v>324</v>
      </c>
    </row>
    <row r="12" spans="2:29" x14ac:dyDescent="0.3">
      <c r="AA12" s="20">
        <f>IF(G30="","",G30)</f>
        <v>400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205" t="s">
        <v>727</v>
      </c>
      <c r="K14" s="172"/>
      <c r="L14" s="172"/>
      <c r="M14" s="172"/>
      <c r="N14" s="172"/>
      <c r="O14" s="173"/>
      <c r="AA14" s="20">
        <f>IF(E31="","",E31)</f>
        <v>400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205" t="s">
        <v>728</v>
      </c>
      <c r="K15" s="172"/>
      <c r="L15" s="172"/>
      <c r="M15" s="172"/>
      <c r="N15" s="172"/>
      <c r="O15" s="173"/>
      <c r="AA15" s="20">
        <f>IF(G31="","",G31)</f>
        <v>800</v>
      </c>
      <c r="AB15" s="20">
        <f>IF(H31="","",H31)</f>
        <v>300</v>
      </c>
      <c r="AC15" t="s">
        <v>331</v>
      </c>
    </row>
    <row r="16" spans="2:29" ht="19.05" customHeight="1" x14ac:dyDescent="0.3">
      <c r="B16" s="89">
        <v>3</v>
      </c>
      <c r="C16" s="21">
        <v>800</v>
      </c>
      <c r="D16" s="21">
        <v>0</v>
      </c>
      <c r="E16" s="21" t="s">
        <v>332</v>
      </c>
      <c r="F16" s="88">
        <f t="shared" si="0"/>
        <v>1</v>
      </c>
      <c r="G16" s="88">
        <f t="shared" si="1"/>
        <v>1</v>
      </c>
      <c r="H16" s="22">
        <v>0</v>
      </c>
      <c r="I16" s="22">
        <v>0</v>
      </c>
      <c r="J16" s="205" t="s">
        <v>729</v>
      </c>
      <c r="K16" s="172"/>
      <c r="L16" s="172"/>
      <c r="M16" s="172"/>
      <c r="N16" s="172"/>
      <c r="O16" s="173"/>
    </row>
    <row r="17" spans="2:29" ht="19.05" customHeight="1" x14ac:dyDescent="0.3">
      <c r="B17" s="89">
        <v>4</v>
      </c>
      <c r="C17" s="21">
        <v>0</v>
      </c>
      <c r="D17" s="21">
        <v>300</v>
      </c>
      <c r="E17" s="21" t="s">
        <v>326</v>
      </c>
      <c r="F17" s="88">
        <f t="shared" si="0"/>
        <v>0</v>
      </c>
      <c r="G17" s="88">
        <f t="shared" si="1"/>
        <v>0</v>
      </c>
      <c r="H17" s="22">
        <v>3000</v>
      </c>
      <c r="I17" s="22">
        <v>0</v>
      </c>
      <c r="J17" s="205" t="s">
        <v>627</v>
      </c>
      <c r="K17" s="172"/>
      <c r="L17" s="172"/>
      <c r="M17" s="172"/>
      <c r="N17" s="172"/>
      <c r="O17" s="173"/>
      <c r="AA17" s="20">
        <f>IF(E32="","",E32)</f>
        <v>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-10000</v>
      </c>
      <c r="J18" s="205" t="s">
        <v>628</v>
      </c>
      <c r="K18" s="172"/>
      <c r="L18" s="172"/>
      <c r="M18" s="172"/>
      <c r="N18" s="172"/>
      <c r="O18" s="173"/>
      <c r="AA18" s="20">
        <f>IF(G32="","",G32)</f>
        <v>0</v>
      </c>
      <c r="AB18" s="20">
        <f>IF(H32="","",H32)</f>
        <v>300</v>
      </c>
      <c r="AC18" t="s">
        <v>335</v>
      </c>
    </row>
    <row r="19" spans="2:29" ht="19.05" customHeight="1" x14ac:dyDescent="0.3">
      <c r="B19" s="89">
        <v>6</v>
      </c>
      <c r="C19" s="21">
        <v>800</v>
      </c>
      <c r="D19" s="21">
        <v>300</v>
      </c>
      <c r="E19" s="21" t="s">
        <v>326</v>
      </c>
      <c r="F19" s="88">
        <f t="shared" si="0"/>
        <v>0</v>
      </c>
      <c r="G19" s="88">
        <f t="shared" si="1"/>
        <v>0</v>
      </c>
      <c r="H19" s="22">
        <v>0</v>
      </c>
      <c r="I19" s="22">
        <v>0</v>
      </c>
      <c r="J19" s="205" t="s">
        <v>632</v>
      </c>
      <c r="K19" s="172"/>
      <c r="L19" s="172"/>
      <c r="M19" s="172"/>
      <c r="N19" s="172"/>
      <c r="O19" s="173"/>
    </row>
    <row r="20" spans="2:29" ht="19.05" customHeight="1" x14ac:dyDescent="0.3">
      <c r="B20" s="89">
        <v>7</v>
      </c>
      <c r="C20" s="21"/>
      <c r="D20" s="21"/>
      <c r="E20" s="21"/>
      <c r="F20" s="88" t="str">
        <f t="shared" si="0"/>
        <v/>
      </c>
      <c r="G20" s="88" t="str">
        <f t="shared" si="1"/>
        <v/>
      </c>
      <c r="H20" s="22"/>
      <c r="I20" s="22"/>
      <c r="J20" s="205"/>
      <c r="K20" s="172"/>
      <c r="L20" s="172"/>
      <c r="M20" s="172"/>
      <c r="N20" s="172"/>
      <c r="O20" s="173"/>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205"/>
      <c r="K21" s="172"/>
      <c r="L21" s="172"/>
      <c r="M21" s="172"/>
      <c r="N21" s="172"/>
      <c r="O21" s="173"/>
      <c r="AA21" s="20">
        <f>IF(G33="","",G33)</f>
        <v>400</v>
      </c>
      <c r="AB21" s="20">
        <f>IF(H33="","",H33)</f>
        <v>300</v>
      </c>
      <c r="AC21" t="s">
        <v>337</v>
      </c>
    </row>
    <row r="22" spans="2:29" ht="19.05" customHeight="1" x14ac:dyDescent="0.3">
      <c r="B22" s="89">
        <v>9</v>
      </c>
      <c r="C22" s="21"/>
      <c r="D22" s="21"/>
      <c r="E22" s="21"/>
      <c r="F22" s="88" t="str">
        <f t="shared" si="0"/>
        <v/>
      </c>
      <c r="G22" s="88" t="str">
        <f t="shared" si="1"/>
        <v/>
      </c>
      <c r="H22" s="22"/>
      <c r="I22" s="22"/>
      <c r="J22" s="205"/>
      <c r="K22" s="172"/>
      <c r="L22" s="172"/>
      <c r="M22" s="172"/>
      <c r="N22" s="172"/>
      <c r="O22" s="173"/>
    </row>
    <row r="23" spans="2:29" ht="19.05" customHeight="1" x14ac:dyDescent="0.3">
      <c r="B23" s="89">
        <v>10</v>
      </c>
      <c r="C23" s="21"/>
      <c r="D23" s="21"/>
      <c r="E23" s="21"/>
      <c r="F23" s="88" t="str">
        <f t="shared" si="0"/>
        <v/>
      </c>
      <c r="G23" s="88" t="str">
        <f t="shared" si="1"/>
        <v/>
      </c>
      <c r="H23" s="22"/>
      <c r="I23" s="22"/>
      <c r="J23" s="205"/>
      <c r="K23" s="172"/>
      <c r="L23" s="172"/>
      <c r="M23" s="172"/>
      <c r="N23" s="172"/>
      <c r="O23" s="173"/>
      <c r="AA23" s="20">
        <f>IF(E34="","",E34)</f>
        <v>800</v>
      </c>
      <c r="AB23" s="20">
        <f>IF(F34="","",F34)</f>
        <v>0</v>
      </c>
      <c r="AC23" t="s">
        <v>338</v>
      </c>
    </row>
    <row r="24" spans="2:29" x14ac:dyDescent="0.3">
      <c r="AA24" s="20">
        <f>IF(G34="","",G34)</f>
        <v>800</v>
      </c>
      <c r="AB24" s="20">
        <f>IF(H34="","",H34)</f>
        <v>300</v>
      </c>
      <c r="AC24" t="s">
        <v>339</v>
      </c>
    </row>
    <row r="25" spans="2:29" ht="22.05" customHeight="1" x14ac:dyDescent="0.3">
      <c r="B25" s="181" t="s">
        <v>340</v>
      </c>
      <c r="C25" s="175"/>
      <c r="D25" s="175"/>
      <c r="E25" s="175"/>
      <c r="F25" s="175"/>
      <c r="G25" s="175"/>
      <c r="H25" s="175"/>
      <c r="I25" s="175"/>
      <c r="J25" s="175"/>
      <c r="K25" s="175"/>
      <c r="L25" s="175"/>
      <c r="M25" s="175"/>
      <c r="N25" s="175"/>
      <c r="O25" s="175"/>
    </row>
    <row r="26" spans="2:29" ht="18" customHeight="1" x14ac:dyDescent="0.3">
      <c r="B26" s="202" t="s">
        <v>294</v>
      </c>
      <c r="C26" s="202" t="s">
        <v>295</v>
      </c>
      <c r="D26" s="202" t="s">
        <v>296</v>
      </c>
      <c r="E26" s="202" t="s">
        <v>146</v>
      </c>
      <c r="F26" s="173"/>
      <c r="G26" s="202" t="s">
        <v>147</v>
      </c>
      <c r="H26" s="173"/>
      <c r="I26" s="202" t="s">
        <v>341</v>
      </c>
      <c r="J26" s="202" t="s">
        <v>342</v>
      </c>
      <c r="K26" s="202" t="s">
        <v>343</v>
      </c>
      <c r="L26" s="202" t="s">
        <v>344</v>
      </c>
      <c r="M26" s="202" t="s">
        <v>345</v>
      </c>
      <c r="N26" s="202" t="s">
        <v>298</v>
      </c>
      <c r="O26" s="202" t="s">
        <v>346</v>
      </c>
      <c r="AA26" s="20">
        <f>IF(E35="","",E35)</f>
        <v>0</v>
      </c>
      <c r="AB26" s="20">
        <f>IF(F35="","",F35)</f>
        <v>0</v>
      </c>
      <c r="AC26" t="s">
        <v>347</v>
      </c>
    </row>
    <row r="27" spans="2:29" ht="18" customHeight="1" x14ac:dyDescent="0.3">
      <c r="B27" s="203"/>
      <c r="C27" s="203"/>
      <c r="D27" s="203"/>
      <c r="E27" s="81" t="s">
        <v>348</v>
      </c>
      <c r="F27" s="81" t="s">
        <v>349</v>
      </c>
      <c r="G27" s="81" t="s">
        <v>350</v>
      </c>
      <c r="H27" s="81" t="s">
        <v>351</v>
      </c>
      <c r="I27" s="203"/>
      <c r="J27" s="203"/>
      <c r="K27" s="203"/>
      <c r="L27" s="203"/>
      <c r="M27" s="203"/>
      <c r="N27" s="203"/>
      <c r="O27" s="203"/>
      <c r="AA27" s="20">
        <f>IF(G35="","",G35)</f>
        <v>400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400</v>
      </c>
      <c r="H30" s="5">
        <f t="shared" si="5"/>
        <v>300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300</v>
      </c>
      <c r="G31" s="5">
        <f t="shared" si="4"/>
        <v>800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300</v>
      </c>
      <c r="I33" s="9">
        <f t="shared" si="6"/>
        <v>0</v>
      </c>
      <c r="J33" s="9">
        <f t="shared" si="7"/>
        <v>300</v>
      </c>
      <c r="K33" s="9">
        <f t="shared" si="8"/>
        <v>300</v>
      </c>
      <c r="L33" s="92">
        <f t="shared" si="9"/>
        <v>0</v>
      </c>
      <c r="M33" s="92">
        <f t="shared" si="10"/>
        <v>1</v>
      </c>
      <c r="N33" s="22">
        <v>12</v>
      </c>
      <c r="O33" s="24">
        <v>2100000</v>
      </c>
      <c r="AA33" s="20">
        <f>IF(G37="","",G37)</f>
        <v>800</v>
      </c>
      <c r="AB33" s="20">
        <f>IF(H37="","",H37)</f>
        <v>300</v>
      </c>
      <c r="AC33" t="s">
        <v>356</v>
      </c>
    </row>
    <row r="34" spans="2:29" ht="19.05" customHeight="1" x14ac:dyDescent="0.3">
      <c r="B34" s="89">
        <v>7</v>
      </c>
      <c r="C34" s="23">
        <v>3</v>
      </c>
      <c r="D34" s="23">
        <v>6</v>
      </c>
      <c r="E34" s="5">
        <f t="shared" si="2"/>
        <v>800</v>
      </c>
      <c r="F34" s="5">
        <f t="shared" si="3"/>
        <v>0</v>
      </c>
      <c r="G34" s="5">
        <f t="shared" si="4"/>
        <v>800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300</v>
      </c>
      <c r="I35" s="9">
        <f t="shared" si="6"/>
        <v>400</v>
      </c>
      <c r="J35" s="9">
        <f t="shared" si="7"/>
        <v>300</v>
      </c>
      <c r="K35" s="9">
        <f t="shared" si="8"/>
        <v>500</v>
      </c>
      <c r="L35" s="92">
        <f t="shared" si="9"/>
        <v>0.8</v>
      </c>
      <c r="M35" s="92">
        <f t="shared" si="10"/>
        <v>0.6</v>
      </c>
      <c r="N35" s="22">
        <v>12</v>
      </c>
      <c r="O35" s="24">
        <v>2100000</v>
      </c>
      <c r="AA35" s="20">
        <f>IF(E38="","",E38)</f>
        <v>400</v>
      </c>
      <c r="AB35" s="20">
        <f>IF(F38="","",F38)</f>
        <v>300</v>
      </c>
      <c r="AC35" t="s">
        <v>357</v>
      </c>
    </row>
    <row r="36" spans="2:29" ht="19.05" customHeight="1" x14ac:dyDescent="0.3">
      <c r="B36" s="89">
        <v>9</v>
      </c>
      <c r="C36" s="23">
        <v>4</v>
      </c>
      <c r="D36" s="23">
        <v>2</v>
      </c>
      <c r="E36" s="5">
        <f t="shared" si="2"/>
        <v>0</v>
      </c>
      <c r="F36" s="5">
        <f t="shared" si="3"/>
        <v>300</v>
      </c>
      <c r="G36" s="5">
        <f t="shared" si="4"/>
        <v>400</v>
      </c>
      <c r="H36" s="5">
        <f t="shared" si="5"/>
        <v>0</v>
      </c>
      <c r="I36" s="9">
        <f t="shared" si="6"/>
        <v>400</v>
      </c>
      <c r="J36" s="9">
        <f t="shared" si="7"/>
        <v>-300</v>
      </c>
      <c r="K36" s="9">
        <f t="shared" si="8"/>
        <v>500</v>
      </c>
      <c r="L36" s="92">
        <f t="shared" si="9"/>
        <v>0.8</v>
      </c>
      <c r="M36" s="92">
        <f t="shared" si="10"/>
        <v>-0.6</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300</v>
      </c>
      <c r="I37" s="9">
        <f t="shared" si="6"/>
        <v>400</v>
      </c>
      <c r="J37" s="9">
        <f t="shared" si="7"/>
        <v>300</v>
      </c>
      <c r="K37" s="9">
        <f t="shared" si="8"/>
        <v>500</v>
      </c>
      <c r="L37" s="92">
        <f t="shared" si="9"/>
        <v>0.8</v>
      </c>
      <c r="M37" s="92">
        <f t="shared" si="10"/>
        <v>0.6</v>
      </c>
      <c r="N37" s="22">
        <v>12</v>
      </c>
      <c r="O37" s="24">
        <v>2100000</v>
      </c>
    </row>
    <row r="38" spans="2:29" ht="19.05" customHeight="1" x14ac:dyDescent="0.3">
      <c r="B38" s="89">
        <v>11</v>
      </c>
      <c r="C38" s="23">
        <v>5</v>
      </c>
      <c r="D38" s="23">
        <v>3</v>
      </c>
      <c r="E38" s="5">
        <f t="shared" si="2"/>
        <v>400</v>
      </c>
      <c r="F38" s="5">
        <f t="shared" si="3"/>
        <v>300</v>
      </c>
      <c r="G38" s="5">
        <f t="shared" si="4"/>
        <v>800</v>
      </c>
      <c r="H38" s="5">
        <f t="shared" si="5"/>
        <v>0</v>
      </c>
      <c r="I38" s="9">
        <f t="shared" si="6"/>
        <v>400</v>
      </c>
      <c r="J38" s="9">
        <f t="shared" si="7"/>
        <v>-300</v>
      </c>
      <c r="K38" s="9">
        <f t="shared" si="8"/>
        <v>500</v>
      </c>
      <c r="L38" s="92">
        <f t="shared" si="9"/>
        <v>0.8</v>
      </c>
      <c r="M38" s="92">
        <f t="shared" si="10"/>
        <v>-0.6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 ref="E3:H3"/>
    <mergeCell ref="B2:O2"/>
    <mergeCell ref="F5:G5"/>
    <mergeCell ref="J22:O22"/>
    <mergeCell ref="J10:O11"/>
    <mergeCell ref="B10:B11"/>
    <mergeCell ref="J6:O6"/>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D26:D27"/>
    <mergeCell ref="B5:C5"/>
    <mergeCell ref="D5:E5"/>
    <mergeCell ref="H5:I5"/>
    <mergeCell ref="B26:B27"/>
    <mergeCell ref="C10:D10"/>
  </mergeCells>
  <dataValidations count="1">
    <dataValidation type="list" allowBlank="1" sqref="E14:E23" xr:uid="{00000000-0002-0000-8D00-000000000000}">
      <formula1>"Fijo (articulado),Rodillo Y (despl. X libre),Rodillo X (despl. Y libre),Libre (0 reac.)"</formula1>
    </dataValidation>
  </dataValidations>
  <pageMargins left="0.75" right="0.75" top="1" bottom="1" header="0.5" footer="0.5"/>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U488"/>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4" t="s">
        <v>730</v>
      </c>
      <c r="C1" s="175"/>
      <c r="D1" s="175"/>
      <c r="E1" s="175"/>
      <c r="F1" s="175"/>
      <c r="G1" s="175"/>
      <c r="H1" s="175"/>
      <c r="I1" s="175"/>
      <c r="J1" s="175"/>
      <c r="K1" s="175"/>
      <c r="L1" s="175"/>
      <c r="M1" s="175"/>
      <c r="N1" s="175"/>
    </row>
    <row r="2" spans="2:14" ht="18" customHeight="1" x14ac:dyDescent="0.3">
      <c r="B2" s="182" t="s">
        <v>368</v>
      </c>
      <c r="C2" s="175"/>
      <c r="D2" s="175"/>
      <c r="E2" s="175"/>
      <c r="F2" s="175"/>
      <c r="G2" s="175"/>
      <c r="H2" s="175"/>
      <c r="I2" s="175"/>
      <c r="J2" s="175"/>
      <c r="K2" s="175"/>
      <c r="L2" s="175"/>
      <c r="M2" s="175"/>
      <c r="N2" s="175"/>
    </row>
    <row r="3" spans="2:14" ht="19.95" customHeight="1" x14ac:dyDescent="0.3">
      <c r="B3" s="207" t="str">
        <f>HYPERLINK("#'MANUAL_DE_USUARIO_Y_TEORIA'!A1", "⬅ Menú Principal / Teoría")</f>
        <v>⬅ Menú Principal / Teoría</v>
      </c>
      <c r="C3" s="172"/>
      <c r="D3" s="173"/>
      <c r="E3" s="208" t="str">
        <f>HYPERLINK("#'GRAFICA_70'!A1", "⬅ Volver a Asistente / Gráfica")</f>
        <v>⬅ Volver a Asistente / Gráfica</v>
      </c>
      <c r="F3" s="172"/>
      <c r="G3" s="172"/>
      <c r="H3" s="173"/>
    </row>
    <row r="4" spans="2:14" ht="18" customHeight="1" x14ac:dyDescent="0.3">
      <c r="B4" s="202" t="s">
        <v>145</v>
      </c>
      <c r="C4" s="202" t="s">
        <v>369</v>
      </c>
      <c r="D4" s="173"/>
      <c r="E4" s="202" t="s">
        <v>370</v>
      </c>
      <c r="F4" s="173"/>
      <c r="G4" s="202" t="s">
        <v>371</v>
      </c>
      <c r="H4" s="202" t="s">
        <v>372</v>
      </c>
      <c r="I4" s="202" t="s">
        <v>373</v>
      </c>
      <c r="J4" s="202" t="s">
        <v>151</v>
      </c>
      <c r="K4" s="202" t="s">
        <v>152</v>
      </c>
      <c r="L4" s="202" t="s">
        <v>374</v>
      </c>
      <c r="M4" s="202" t="s">
        <v>375</v>
      </c>
      <c r="N4" s="202" t="s">
        <v>278</v>
      </c>
    </row>
    <row r="5" spans="2:14" ht="18" customHeight="1" x14ac:dyDescent="0.3">
      <c r="B5" s="203"/>
      <c r="C5" s="81" t="s">
        <v>157</v>
      </c>
      <c r="D5" s="81" t="s">
        <v>158</v>
      </c>
      <c r="E5" s="81" t="s">
        <v>157</v>
      </c>
      <c r="F5" s="81" t="s">
        <v>158</v>
      </c>
      <c r="G5" s="203"/>
      <c r="H5" s="203"/>
      <c r="I5" s="203"/>
      <c r="J5" s="203"/>
      <c r="K5" s="203"/>
      <c r="L5" s="203"/>
      <c r="M5" s="203"/>
      <c r="N5" s="203"/>
    </row>
    <row r="6" spans="2:14" ht="19.05" customHeight="1" x14ac:dyDescent="0.3">
      <c r="B6" s="85">
        <v>1</v>
      </c>
      <c r="C6" s="22">
        <f>GRAFICA_70!E28</f>
        <v>0</v>
      </c>
      <c r="D6" s="22">
        <f>GRAFICA_70!F28</f>
        <v>0</v>
      </c>
      <c r="E6" s="22">
        <f>GRAFICA_70!G28</f>
        <v>400</v>
      </c>
      <c r="F6" s="22">
        <f>GRAFICA_70!H28</f>
        <v>0</v>
      </c>
      <c r="G6" s="9">
        <f t="shared" ref="G6:G16" si="0">E6-C6</f>
        <v>400</v>
      </c>
      <c r="H6" s="9">
        <f t="shared" ref="H6:H16" si="1">F6-D6</f>
        <v>0</v>
      </c>
      <c r="I6" s="9">
        <f t="shared" ref="I6:I16" si="2">SQRT(G6*G6+H6*H6)</f>
        <v>400</v>
      </c>
      <c r="J6" s="92">
        <f t="shared" ref="J6:J16" si="3">G6/I6</f>
        <v>1</v>
      </c>
      <c r="K6" s="92">
        <f t="shared" ref="K6:K16" si="4">H6/I6</f>
        <v>0</v>
      </c>
      <c r="L6" s="22">
        <f>GRAFICA_70!N28</f>
        <v>12</v>
      </c>
      <c r="M6" s="22">
        <f>GRAFICA_70!O28</f>
        <v>2100000</v>
      </c>
      <c r="N6" s="6">
        <f t="shared" ref="N6:N16" si="5">L6*M6/I6</f>
        <v>63000</v>
      </c>
    </row>
    <row r="7" spans="2:14" ht="19.05" customHeight="1" x14ac:dyDescent="0.3">
      <c r="B7" s="25">
        <v>2</v>
      </c>
      <c r="C7" s="22">
        <f>GRAFICA_70!E29</f>
        <v>400</v>
      </c>
      <c r="D7" s="22">
        <f>GRAFICA_70!F29</f>
        <v>0</v>
      </c>
      <c r="E7" s="22">
        <f>GRAFICA_70!G29</f>
        <v>800</v>
      </c>
      <c r="F7" s="22">
        <f>GRAFICA_70!H29</f>
        <v>0</v>
      </c>
      <c r="G7" s="9">
        <f t="shared" si="0"/>
        <v>400</v>
      </c>
      <c r="H7" s="9">
        <f t="shared" si="1"/>
        <v>0</v>
      </c>
      <c r="I7" s="9">
        <f t="shared" si="2"/>
        <v>400</v>
      </c>
      <c r="J7" s="92">
        <f t="shared" si="3"/>
        <v>1</v>
      </c>
      <c r="K7" s="92">
        <f t="shared" si="4"/>
        <v>0</v>
      </c>
      <c r="L7" s="22">
        <f>GRAFICA_70!N29</f>
        <v>12</v>
      </c>
      <c r="M7" s="22">
        <f>GRAFICA_70!O29</f>
        <v>2100000</v>
      </c>
      <c r="N7" s="6">
        <f t="shared" si="5"/>
        <v>63000</v>
      </c>
    </row>
    <row r="8" spans="2:14" ht="19.05" customHeight="1" x14ac:dyDescent="0.3">
      <c r="B8" s="26">
        <v>3</v>
      </c>
      <c r="C8" s="22">
        <f>GRAFICA_70!E30</f>
        <v>0</v>
      </c>
      <c r="D8" s="22">
        <f>GRAFICA_70!F30</f>
        <v>300</v>
      </c>
      <c r="E8" s="22">
        <f>GRAFICA_70!G30</f>
        <v>400</v>
      </c>
      <c r="F8" s="22">
        <f>GRAFICA_70!H30</f>
        <v>300</v>
      </c>
      <c r="G8" s="9">
        <f t="shared" si="0"/>
        <v>400</v>
      </c>
      <c r="H8" s="9">
        <f t="shared" si="1"/>
        <v>0</v>
      </c>
      <c r="I8" s="9">
        <f t="shared" si="2"/>
        <v>400</v>
      </c>
      <c r="J8" s="92">
        <f t="shared" si="3"/>
        <v>1</v>
      </c>
      <c r="K8" s="92">
        <f t="shared" si="4"/>
        <v>0</v>
      </c>
      <c r="L8" s="22">
        <f>GRAFICA_70!N30</f>
        <v>12</v>
      </c>
      <c r="M8" s="22">
        <f>GRAFICA_70!O30</f>
        <v>2100000</v>
      </c>
      <c r="N8" s="6">
        <f t="shared" si="5"/>
        <v>63000</v>
      </c>
    </row>
    <row r="9" spans="2:14" ht="19.05" customHeight="1" x14ac:dyDescent="0.3">
      <c r="B9" s="43">
        <v>4</v>
      </c>
      <c r="C9" s="22">
        <f>GRAFICA_70!E31</f>
        <v>400</v>
      </c>
      <c r="D9" s="22">
        <f>GRAFICA_70!F31</f>
        <v>300</v>
      </c>
      <c r="E9" s="22">
        <f>GRAFICA_70!G31</f>
        <v>800</v>
      </c>
      <c r="F9" s="22">
        <f>GRAFICA_70!H31</f>
        <v>300</v>
      </c>
      <c r="G9" s="9">
        <f t="shared" si="0"/>
        <v>400</v>
      </c>
      <c r="H9" s="9">
        <f t="shared" si="1"/>
        <v>0</v>
      </c>
      <c r="I9" s="9">
        <f t="shared" si="2"/>
        <v>400</v>
      </c>
      <c r="J9" s="92">
        <f t="shared" si="3"/>
        <v>1</v>
      </c>
      <c r="K9" s="92">
        <f t="shared" si="4"/>
        <v>0</v>
      </c>
      <c r="L9" s="22">
        <f>GRAFICA_70!N31</f>
        <v>12</v>
      </c>
      <c r="M9" s="22">
        <f>GRAFICA_70!O31</f>
        <v>2100000</v>
      </c>
      <c r="N9" s="6">
        <f t="shared" si="5"/>
        <v>63000</v>
      </c>
    </row>
    <row r="10" spans="2:14" ht="19.05" customHeight="1" x14ac:dyDescent="0.3">
      <c r="B10" s="44">
        <v>5</v>
      </c>
      <c r="C10" s="22">
        <f>GRAFICA_70!E32</f>
        <v>0</v>
      </c>
      <c r="D10" s="22">
        <f>GRAFICA_70!F32</f>
        <v>0</v>
      </c>
      <c r="E10" s="22">
        <f>GRAFICA_70!G32</f>
        <v>0</v>
      </c>
      <c r="F10" s="22">
        <f>GRAFICA_70!H32</f>
        <v>300</v>
      </c>
      <c r="G10" s="9">
        <f t="shared" si="0"/>
        <v>0</v>
      </c>
      <c r="H10" s="9">
        <f t="shared" si="1"/>
        <v>300</v>
      </c>
      <c r="I10" s="9">
        <f t="shared" si="2"/>
        <v>300</v>
      </c>
      <c r="J10" s="92">
        <f t="shared" si="3"/>
        <v>0</v>
      </c>
      <c r="K10" s="92">
        <f t="shared" si="4"/>
        <v>1</v>
      </c>
      <c r="L10" s="22">
        <f>GRAFICA_70!N32</f>
        <v>12</v>
      </c>
      <c r="M10" s="22">
        <f>GRAFICA_70!O32</f>
        <v>2100000</v>
      </c>
      <c r="N10" s="6">
        <f t="shared" si="5"/>
        <v>84000</v>
      </c>
    </row>
    <row r="11" spans="2:14" ht="19.05" customHeight="1" x14ac:dyDescent="0.3">
      <c r="B11" s="51">
        <v>6</v>
      </c>
      <c r="C11" s="22">
        <f>GRAFICA_70!E33</f>
        <v>400</v>
      </c>
      <c r="D11" s="22">
        <f>GRAFICA_70!F33</f>
        <v>0</v>
      </c>
      <c r="E11" s="22">
        <f>GRAFICA_70!G33</f>
        <v>400</v>
      </c>
      <c r="F11" s="22">
        <f>GRAFICA_70!H33</f>
        <v>300</v>
      </c>
      <c r="G11" s="9">
        <f t="shared" si="0"/>
        <v>0</v>
      </c>
      <c r="H11" s="9">
        <f t="shared" si="1"/>
        <v>300</v>
      </c>
      <c r="I11" s="9">
        <f t="shared" si="2"/>
        <v>300</v>
      </c>
      <c r="J11" s="92">
        <f t="shared" si="3"/>
        <v>0</v>
      </c>
      <c r="K11" s="92">
        <f t="shared" si="4"/>
        <v>1</v>
      </c>
      <c r="L11" s="22">
        <f>GRAFICA_70!N33</f>
        <v>12</v>
      </c>
      <c r="M11" s="22">
        <f>GRAFICA_70!O33</f>
        <v>2100000</v>
      </c>
      <c r="N11" s="6">
        <f t="shared" si="5"/>
        <v>84000</v>
      </c>
    </row>
    <row r="12" spans="2:14" ht="19.05" customHeight="1" x14ac:dyDescent="0.3">
      <c r="B12" s="52">
        <v>7</v>
      </c>
      <c r="C12" s="22">
        <f>GRAFICA_70!E34</f>
        <v>800</v>
      </c>
      <c r="D12" s="22">
        <f>GRAFICA_70!F34</f>
        <v>0</v>
      </c>
      <c r="E12" s="22">
        <f>GRAFICA_70!G34</f>
        <v>800</v>
      </c>
      <c r="F12" s="22">
        <f>GRAFICA_70!H34</f>
        <v>300</v>
      </c>
      <c r="G12" s="9">
        <f t="shared" si="0"/>
        <v>0</v>
      </c>
      <c r="H12" s="9">
        <f t="shared" si="1"/>
        <v>300</v>
      </c>
      <c r="I12" s="9">
        <f t="shared" si="2"/>
        <v>300</v>
      </c>
      <c r="J12" s="92">
        <f t="shared" si="3"/>
        <v>0</v>
      </c>
      <c r="K12" s="92">
        <f t="shared" si="4"/>
        <v>1</v>
      </c>
      <c r="L12" s="22">
        <f>GRAFICA_70!N34</f>
        <v>12</v>
      </c>
      <c r="M12" s="22">
        <f>GRAFICA_70!O34</f>
        <v>2100000</v>
      </c>
      <c r="N12" s="6">
        <f t="shared" si="5"/>
        <v>84000</v>
      </c>
    </row>
    <row r="13" spans="2:14" ht="19.05" customHeight="1" x14ac:dyDescent="0.3">
      <c r="B13" s="59">
        <v>8</v>
      </c>
      <c r="C13" s="22">
        <f>GRAFICA_70!E35</f>
        <v>0</v>
      </c>
      <c r="D13" s="22">
        <f>GRAFICA_70!F35</f>
        <v>0</v>
      </c>
      <c r="E13" s="22">
        <f>GRAFICA_70!G35</f>
        <v>400</v>
      </c>
      <c r="F13" s="22">
        <f>GRAFICA_70!H35</f>
        <v>300</v>
      </c>
      <c r="G13" s="9">
        <f t="shared" si="0"/>
        <v>400</v>
      </c>
      <c r="H13" s="9">
        <f t="shared" si="1"/>
        <v>300</v>
      </c>
      <c r="I13" s="9">
        <f t="shared" si="2"/>
        <v>500</v>
      </c>
      <c r="J13" s="92">
        <f t="shared" si="3"/>
        <v>0.8</v>
      </c>
      <c r="K13" s="92">
        <f t="shared" si="4"/>
        <v>0.6</v>
      </c>
      <c r="L13" s="22">
        <f>GRAFICA_70!N35</f>
        <v>12</v>
      </c>
      <c r="M13" s="22">
        <f>GRAFICA_70!O35</f>
        <v>2100000</v>
      </c>
      <c r="N13" s="6">
        <f t="shared" si="5"/>
        <v>50400</v>
      </c>
    </row>
    <row r="14" spans="2:14" ht="19.05" customHeight="1" x14ac:dyDescent="0.3">
      <c r="B14" s="60">
        <v>9</v>
      </c>
      <c r="C14" s="22">
        <f>GRAFICA_70!E36</f>
        <v>0</v>
      </c>
      <c r="D14" s="22">
        <f>GRAFICA_70!F36</f>
        <v>300</v>
      </c>
      <c r="E14" s="22">
        <f>GRAFICA_70!G36</f>
        <v>400</v>
      </c>
      <c r="F14" s="22">
        <f>GRAFICA_70!H36</f>
        <v>0</v>
      </c>
      <c r="G14" s="9">
        <f t="shared" si="0"/>
        <v>400</v>
      </c>
      <c r="H14" s="9">
        <f t="shared" si="1"/>
        <v>-300</v>
      </c>
      <c r="I14" s="9">
        <f t="shared" si="2"/>
        <v>500</v>
      </c>
      <c r="J14" s="92">
        <f t="shared" si="3"/>
        <v>0.8</v>
      </c>
      <c r="K14" s="92">
        <f t="shared" si="4"/>
        <v>-0.6</v>
      </c>
      <c r="L14" s="22">
        <f>GRAFICA_70!N36</f>
        <v>12</v>
      </c>
      <c r="M14" s="22">
        <f>GRAFICA_70!O36</f>
        <v>2100000</v>
      </c>
      <c r="N14" s="6">
        <f t="shared" si="5"/>
        <v>50400</v>
      </c>
    </row>
    <row r="15" spans="2:14" ht="19.05" customHeight="1" x14ac:dyDescent="0.3">
      <c r="B15" s="67">
        <v>10</v>
      </c>
      <c r="C15" s="22">
        <f>GRAFICA_70!E37</f>
        <v>400</v>
      </c>
      <c r="D15" s="22">
        <f>GRAFICA_70!F37</f>
        <v>0</v>
      </c>
      <c r="E15" s="22">
        <f>GRAFICA_70!G37</f>
        <v>800</v>
      </c>
      <c r="F15" s="22">
        <f>GRAFICA_70!H37</f>
        <v>300</v>
      </c>
      <c r="G15" s="9">
        <f t="shared" si="0"/>
        <v>400</v>
      </c>
      <c r="H15" s="9">
        <f t="shared" si="1"/>
        <v>300</v>
      </c>
      <c r="I15" s="9">
        <f t="shared" si="2"/>
        <v>500</v>
      </c>
      <c r="J15" s="92">
        <f t="shared" si="3"/>
        <v>0.8</v>
      </c>
      <c r="K15" s="92">
        <f t="shared" si="4"/>
        <v>0.6</v>
      </c>
      <c r="L15" s="22">
        <f>GRAFICA_70!N37</f>
        <v>12</v>
      </c>
      <c r="M15" s="22">
        <f>GRAFICA_70!O37</f>
        <v>2100000</v>
      </c>
      <c r="N15" s="6">
        <f t="shared" si="5"/>
        <v>50400</v>
      </c>
    </row>
    <row r="16" spans="2:14" ht="19.05" customHeight="1" x14ac:dyDescent="0.3">
      <c r="B16" s="68">
        <v>11</v>
      </c>
      <c r="C16" s="22">
        <f>GRAFICA_70!E38</f>
        <v>400</v>
      </c>
      <c r="D16" s="22">
        <f>GRAFICA_70!F38</f>
        <v>300</v>
      </c>
      <c r="E16" s="22">
        <f>GRAFICA_70!G38</f>
        <v>800</v>
      </c>
      <c r="F16" s="22">
        <f>GRAFICA_70!H38</f>
        <v>0</v>
      </c>
      <c r="G16" s="9">
        <f t="shared" si="0"/>
        <v>400</v>
      </c>
      <c r="H16" s="9">
        <f t="shared" si="1"/>
        <v>-300</v>
      </c>
      <c r="I16" s="9">
        <f t="shared" si="2"/>
        <v>500</v>
      </c>
      <c r="J16" s="92">
        <f t="shared" si="3"/>
        <v>0.8</v>
      </c>
      <c r="K16" s="92">
        <f t="shared" si="4"/>
        <v>-0.6</v>
      </c>
      <c r="L16" s="22">
        <f>GRAFICA_70!N38</f>
        <v>12</v>
      </c>
      <c r="M16" s="22">
        <f>GRAFICA_70!O38</f>
        <v>2100000</v>
      </c>
      <c r="N16" s="6">
        <f t="shared" si="5"/>
        <v>50400</v>
      </c>
    </row>
    <row r="18" spans="2:6" ht="18" customHeight="1" x14ac:dyDescent="0.3">
      <c r="B18" s="202" t="s">
        <v>145</v>
      </c>
      <c r="C18" s="202" t="s">
        <v>369</v>
      </c>
      <c r="D18" s="173"/>
      <c r="E18" s="202" t="s">
        <v>370</v>
      </c>
      <c r="F18" s="173"/>
    </row>
    <row r="19" spans="2:6" ht="18" customHeight="1" x14ac:dyDescent="0.3">
      <c r="B19" s="203"/>
      <c r="C19" s="81" t="s">
        <v>157</v>
      </c>
      <c r="D19" s="81" t="s">
        <v>158</v>
      </c>
      <c r="E19" s="81" t="s">
        <v>157</v>
      </c>
      <c r="F19" s="81" t="s">
        <v>158</v>
      </c>
    </row>
    <row r="20" spans="2:6" ht="19.05" customHeight="1" x14ac:dyDescent="0.3">
      <c r="B20" s="85">
        <v>1</v>
      </c>
      <c r="C20" s="23">
        <f>GRAFICA_70!C28</f>
        <v>1</v>
      </c>
      <c r="D20" s="23">
        <f>GRAFICA_70!C28</f>
        <v>1</v>
      </c>
      <c r="E20" s="23">
        <f>GRAFICA_70!D28</f>
        <v>2</v>
      </c>
      <c r="F20" s="23">
        <f>GRAFICA_70!D28</f>
        <v>2</v>
      </c>
    </row>
    <row r="21" spans="2:6" ht="19.05" customHeight="1" x14ac:dyDescent="0.3">
      <c r="B21" s="25">
        <v>2</v>
      </c>
      <c r="C21" s="23">
        <f>GRAFICA_70!C29</f>
        <v>2</v>
      </c>
      <c r="D21" s="23">
        <f>GRAFICA_70!C29</f>
        <v>2</v>
      </c>
      <c r="E21" s="23">
        <f>GRAFICA_70!D29</f>
        <v>3</v>
      </c>
      <c r="F21" s="23">
        <f>GRAFICA_70!D29</f>
        <v>3</v>
      </c>
    </row>
    <row r="22" spans="2:6" ht="19.05" customHeight="1" x14ac:dyDescent="0.3">
      <c r="B22" s="26">
        <v>3</v>
      </c>
      <c r="C22" s="23">
        <f>GRAFICA_70!C30</f>
        <v>4</v>
      </c>
      <c r="D22" s="23">
        <f>GRAFICA_70!C30</f>
        <v>4</v>
      </c>
      <c r="E22" s="23">
        <f>GRAFICA_70!D30</f>
        <v>5</v>
      </c>
      <c r="F22" s="23">
        <f>GRAFICA_70!D30</f>
        <v>5</v>
      </c>
    </row>
    <row r="23" spans="2:6" ht="19.05" customHeight="1" x14ac:dyDescent="0.3">
      <c r="B23" s="43">
        <v>4</v>
      </c>
      <c r="C23" s="23">
        <f>GRAFICA_70!C31</f>
        <v>5</v>
      </c>
      <c r="D23" s="23">
        <f>GRAFICA_70!C31</f>
        <v>5</v>
      </c>
      <c r="E23" s="23">
        <f>GRAFICA_70!D31</f>
        <v>6</v>
      </c>
      <c r="F23" s="23">
        <f>GRAFICA_70!D31</f>
        <v>6</v>
      </c>
    </row>
    <row r="24" spans="2:6" ht="19.05" customHeight="1" x14ac:dyDescent="0.3">
      <c r="B24" s="44">
        <v>5</v>
      </c>
      <c r="C24" s="23">
        <f>GRAFICA_70!C32</f>
        <v>1</v>
      </c>
      <c r="D24" s="23">
        <f>GRAFICA_70!C32</f>
        <v>1</v>
      </c>
      <c r="E24" s="23">
        <f>GRAFICA_70!D32</f>
        <v>4</v>
      </c>
      <c r="F24" s="23">
        <f>GRAFICA_70!D32</f>
        <v>4</v>
      </c>
    </row>
    <row r="25" spans="2:6" ht="19.05" customHeight="1" x14ac:dyDescent="0.3">
      <c r="B25" s="51">
        <v>6</v>
      </c>
      <c r="C25" s="23">
        <f>GRAFICA_70!C33</f>
        <v>2</v>
      </c>
      <c r="D25" s="23">
        <f>GRAFICA_70!C33</f>
        <v>2</v>
      </c>
      <c r="E25" s="23">
        <f>GRAFICA_70!D33</f>
        <v>5</v>
      </c>
      <c r="F25" s="23">
        <f>GRAFICA_70!D33</f>
        <v>5</v>
      </c>
    </row>
    <row r="26" spans="2:6" ht="19.05" customHeight="1" x14ac:dyDescent="0.3">
      <c r="B26" s="52">
        <v>7</v>
      </c>
      <c r="C26" s="23">
        <f>GRAFICA_70!C34</f>
        <v>3</v>
      </c>
      <c r="D26" s="23">
        <f>GRAFICA_70!C34</f>
        <v>3</v>
      </c>
      <c r="E26" s="23">
        <f>GRAFICA_70!D34</f>
        <v>6</v>
      </c>
      <c r="F26" s="23">
        <f>GRAFICA_70!D34</f>
        <v>6</v>
      </c>
    </row>
    <row r="27" spans="2:6" ht="19.05" customHeight="1" x14ac:dyDescent="0.3">
      <c r="B27" s="59">
        <v>8</v>
      </c>
      <c r="C27" s="23">
        <f>GRAFICA_70!C35</f>
        <v>1</v>
      </c>
      <c r="D27" s="23">
        <f>GRAFICA_70!C35</f>
        <v>1</v>
      </c>
      <c r="E27" s="23">
        <f>GRAFICA_70!D35</f>
        <v>5</v>
      </c>
      <c r="F27" s="23">
        <f>GRAFICA_70!D35</f>
        <v>5</v>
      </c>
    </row>
    <row r="28" spans="2:6" ht="19.05" customHeight="1" x14ac:dyDescent="0.3">
      <c r="B28" s="60">
        <v>9</v>
      </c>
      <c r="C28" s="23">
        <f>GRAFICA_70!C36</f>
        <v>4</v>
      </c>
      <c r="D28" s="23">
        <f>GRAFICA_70!C36</f>
        <v>4</v>
      </c>
      <c r="E28" s="23">
        <f>GRAFICA_70!D36</f>
        <v>2</v>
      </c>
      <c r="F28" s="23">
        <f>GRAFICA_70!D36</f>
        <v>2</v>
      </c>
    </row>
    <row r="29" spans="2:6" ht="19.05" customHeight="1" x14ac:dyDescent="0.3">
      <c r="B29" s="67">
        <v>10</v>
      </c>
      <c r="C29" s="23">
        <f>GRAFICA_70!C37</f>
        <v>2</v>
      </c>
      <c r="D29" s="23">
        <f>GRAFICA_70!C37</f>
        <v>2</v>
      </c>
      <c r="E29" s="23">
        <f>GRAFICA_70!D37</f>
        <v>6</v>
      </c>
      <c r="F29" s="23">
        <f>GRAFICA_70!D37</f>
        <v>6</v>
      </c>
    </row>
    <row r="30" spans="2:6" ht="19.05" customHeight="1" x14ac:dyDescent="0.3">
      <c r="B30" s="68">
        <v>11</v>
      </c>
      <c r="C30" s="23">
        <f>GRAFICA_70!C38</f>
        <v>5</v>
      </c>
      <c r="D30" s="23">
        <f>GRAFICA_70!C38</f>
        <v>5</v>
      </c>
      <c r="E30" s="23">
        <f>GRAFICA_70!D38</f>
        <v>3</v>
      </c>
      <c r="F30" s="23">
        <f>GRAFICA_70!D38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32256.000000000007</v>
      </c>
      <c r="C181" s="62">
        <f>J13*K13*N13</f>
        <v>24192</v>
      </c>
      <c r="D181" s="62">
        <f>-B181</f>
        <v>-32256.000000000007</v>
      </c>
      <c r="E181" s="62">
        <f>-C181</f>
        <v>-24192</v>
      </c>
      <c r="F181" s="61" t="str">
        <f>B180</f>
        <v>U1X</v>
      </c>
    </row>
    <row r="182" spans="1:14" ht="16.8" customHeight="1" x14ac:dyDescent="0.3">
      <c r="A182" s="28" t="s">
        <v>203</v>
      </c>
      <c r="B182" s="62">
        <f>C181</f>
        <v>24192</v>
      </c>
      <c r="C182" s="62">
        <f>K13*K13*N13</f>
        <v>18144</v>
      </c>
      <c r="D182" s="62">
        <f>-B182</f>
        <v>-24192</v>
      </c>
      <c r="E182" s="62">
        <f>-C182</f>
        <v>-18144</v>
      </c>
      <c r="F182" s="61" t="str">
        <f>C180</f>
        <v>U1Y</v>
      </c>
    </row>
    <row r="183" spans="1:14" x14ac:dyDescent="0.3">
      <c r="B183" s="62">
        <f>D181</f>
        <v>-32256.000000000007</v>
      </c>
      <c r="C183" s="62">
        <f>E181</f>
        <v>-24192</v>
      </c>
      <c r="D183" s="62">
        <f>B181</f>
        <v>32256.000000000007</v>
      </c>
      <c r="E183" s="62">
        <f>C181</f>
        <v>24192</v>
      </c>
      <c r="F183" s="61" t="str">
        <f>D180</f>
        <v>U5X</v>
      </c>
    </row>
    <row r="184" spans="1:14" x14ac:dyDescent="0.3">
      <c r="B184" s="62">
        <f>D182</f>
        <v>-24192</v>
      </c>
      <c r="C184" s="62">
        <f>E182</f>
        <v>-18144</v>
      </c>
      <c r="D184" s="62">
        <f>B182</f>
        <v>24192</v>
      </c>
      <c r="E184" s="62">
        <f>C182</f>
        <v>18144</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32256.000000000007</v>
      </c>
      <c r="C187" s="63">
        <f t="shared" si="13"/>
        <v>24192</v>
      </c>
      <c r="D187" s="9">
        <f t="shared" si="13"/>
        <v>0</v>
      </c>
      <c r="E187" s="9">
        <f t="shared" si="13"/>
        <v>0</v>
      </c>
      <c r="F187" s="9">
        <f t="shared" si="13"/>
        <v>0</v>
      </c>
      <c r="G187" s="9">
        <f t="shared" si="13"/>
        <v>0</v>
      </c>
      <c r="H187" s="9">
        <f t="shared" si="13"/>
        <v>0</v>
      </c>
      <c r="I187" s="9">
        <f t="shared" si="13"/>
        <v>0</v>
      </c>
      <c r="J187" s="63">
        <f t="shared" si="13"/>
        <v>-32256.000000000007</v>
      </c>
      <c r="K187" s="63">
        <f t="shared" si="13"/>
        <v>-24192</v>
      </c>
      <c r="L187" s="9">
        <f t="shared" si="13"/>
        <v>0</v>
      </c>
      <c r="M187" s="9">
        <f t="shared" si="13"/>
        <v>0</v>
      </c>
      <c r="N187" s="61" t="s">
        <v>178</v>
      </c>
    </row>
    <row r="188" spans="1:14" ht="19.05" customHeight="1" x14ac:dyDescent="0.3">
      <c r="B188" s="63">
        <f t="shared" si="13"/>
        <v>24192</v>
      </c>
      <c r="C188" s="63">
        <f t="shared" si="13"/>
        <v>18144</v>
      </c>
      <c r="D188" s="9">
        <f t="shared" si="13"/>
        <v>0</v>
      </c>
      <c r="E188" s="9">
        <f t="shared" si="13"/>
        <v>0</v>
      </c>
      <c r="F188" s="9">
        <f t="shared" si="13"/>
        <v>0</v>
      </c>
      <c r="G188" s="9">
        <f t="shared" si="13"/>
        <v>0</v>
      </c>
      <c r="H188" s="9">
        <f t="shared" si="13"/>
        <v>0</v>
      </c>
      <c r="I188" s="9">
        <f t="shared" si="13"/>
        <v>0</v>
      </c>
      <c r="J188" s="63">
        <f t="shared" si="13"/>
        <v>-24192</v>
      </c>
      <c r="K188" s="63">
        <f t="shared" si="13"/>
        <v>-18144</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-32256.000000000007</v>
      </c>
      <c r="C195" s="63">
        <f t="shared" si="13"/>
        <v>-24192</v>
      </c>
      <c r="D195" s="9">
        <f t="shared" si="13"/>
        <v>0</v>
      </c>
      <c r="E195" s="9">
        <f t="shared" si="13"/>
        <v>0</v>
      </c>
      <c r="F195" s="9">
        <f t="shared" si="13"/>
        <v>0</v>
      </c>
      <c r="G195" s="9">
        <f t="shared" si="13"/>
        <v>0</v>
      </c>
      <c r="H195" s="9">
        <f t="shared" si="13"/>
        <v>0</v>
      </c>
      <c r="I195" s="9">
        <f t="shared" si="13"/>
        <v>0</v>
      </c>
      <c r="J195" s="63">
        <f t="shared" si="13"/>
        <v>32256.000000000007</v>
      </c>
      <c r="K195" s="63">
        <f t="shared" si="13"/>
        <v>24192</v>
      </c>
      <c r="L195" s="9">
        <f t="shared" si="13"/>
        <v>0</v>
      </c>
      <c r="M195" s="9">
        <f t="shared" si="13"/>
        <v>0</v>
      </c>
      <c r="N195" s="61" t="s">
        <v>186</v>
      </c>
    </row>
    <row r="196" spans="1:14" ht="19.05" customHeight="1" x14ac:dyDescent="0.3">
      <c r="B196" s="63">
        <f t="shared" si="13"/>
        <v>-24192</v>
      </c>
      <c r="C196" s="63">
        <f t="shared" si="13"/>
        <v>-18144</v>
      </c>
      <c r="D196" s="9">
        <f t="shared" si="13"/>
        <v>0</v>
      </c>
      <c r="E196" s="9">
        <f t="shared" si="13"/>
        <v>0</v>
      </c>
      <c r="F196" s="9">
        <f t="shared" si="13"/>
        <v>0</v>
      </c>
      <c r="G196" s="9">
        <f t="shared" si="13"/>
        <v>0</v>
      </c>
      <c r="H196" s="9">
        <f t="shared" si="13"/>
        <v>0</v>
      </c>
      <c r="I196" s="9">
        <f t="shared" si="13"/>
        <v>0</v>
      </c>
      <c r="J196" s="63">
        <f t="shared" si="13"/>
        <v>24192</v>
      </c>
      <c r="K196" s="63">
        <f t="shared" si="13"/>
        <v>18144</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32256.000000000007</v>
      </c>
      <c r="C202" s="65">
        <f>J14*K14*N14</f>
        <v>-24192</v>
      </c>
      <c r="D202" s="65">
        <f>-B202</f>
        <v>-32256.000000000007</v>
      </c>
      <c r="E202" s="65">
        <f>-C202</f>
        <v>24192</v>
      </c>
      <c r="F202" s="64" t="str">
        <f>B201</f>
        <v>U4X</v>
      </c>
    </row>
    <row r="203" spans="1:14" ht="16.8" customHeight="1" x14ac:dyDescent="0.3">
      <c r="A203" s="28" t="s">
        <v>528</v>
      </c>
      <c r="B203" s="65">
        <f>C202</f>
        <v>-24192</v>
      </c>
      <c r="C203" s="65">
        <f>K14*K14*N14</f>
        <v>18144</v>
      </c>
      <c r="D203" s="65">
        <f>-B203</f>
        <v>24192</v>
      </c>
      <c r="E203" s="65">
        <f>-C203</f>
        <v>-18144</v>
      </c>
      <c r="F203" s="64" t="str">
        <f>C201</f>
        <v>U4Y</v>
      </c>
    </row>
    <row r="204" spans="1:14" x14ac:dyDescent="0.3">
      <c r="B204" s="65">
        <f>D202</f>
        <v>-32256.000000000007</v>
      </c>
      <c r="C204" s="65">
        <f>E202</f>
        <v>24192</v>
      </c>
      <c r="D204" s="65">
        <f>B202</f>
        <v>32256.000000000007</v>
      </c>
      <c r="E204" s="65">
        <f>C202</f>
        <v>-24192</v>
      </c>
      <c r="F204" s="64" t="str">
        <f>D201</f>
        <v>U2X</v>
      </c>
    </row>
    <row r="205" spans="1:14" x14ac:dyDescent="0.3">
      <c r="B205" s="65">
        <f>D203</f>
        <v>24192</v>
      </c>
      <c r="C205" s="65">
        <f>E203</f>
        <v>-18144</v>
      </c>
      <c r="D205" s="65">
        <f>B203</f>
        <v>-24192</v>
      </c>
      <c r="E205" s="65">
        <f>C203</f>
        <v>18144</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32256.000000000007</v>
      </c>
      <c r="E210" s="66">
        <f t="shared" si="14"/>
        <v>-24192</v>
      </c>
      <c r="F210" s="9">
        <f t="shared" si="14"/>
        <v>0</v>
      </c>
      <c r="G210" s="9">
        <f t="shared" si="14"/>
        <v>0</v>
      </c>
      <c r="H210" s="66">
        <f t="shared" si="14"/>
        <v>-32256.000000000007</v>
      </c>
      <c r="I210" s="66">
        <f t="shared" si="14"/>
        <v>24192</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-24192</v>
      </c>
      <c r="E211" s="66">
        <f t="shared" si="14"/>
        <v>18144</v>
      </c>
      <c r="F211" s="9">
        <f t="shared" si="14"/>
        <v>0</v>
      </c>
      <c r="G211" s="9">
        <f t="shared" si="14"/>
        <v>0</v>
      </c>
      <c r="H211" s="66">
        <f t="shared" si="14"/>
        <v>24192</v>
      </c>
      <c r="I211" s="66">
        <f t="shared" si="14"/>
        <v>-18144</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-32256.000000000007</v>
      </c>
      <c r="E214" s="66">
        <f t="shared" si="14"/>
        <v>24192</v>
      </c>
      <c r="F214" s="9">
        <f t="shared" si="14"/>
        <v>0</v>
      </c>
      <c r="G214" s="9">
        <f t="shared" si="14"/>
        <v>0</v>
      </c>
      <c r="H214" s="66">
        <f t="shared" si="14"/>
        <v>32256.000000000007</v>
      </c>
      <c r="I214" s="66">
        <f t="shared" si="14"/>
        <v>-24192</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24192</v>
      </c>
      <c r="E215" s="66">
        <f t="shared" si="14"/>
        <v>-18144</v>
      </c>
      <c r="F215" s="9">
        <f t="shared" si="14"/>
        <v>0</v>
      </c>
      <c r="G215" s="9">
        <f t="shared" si="14"/>
        <v>0</v>
      </c>
      <c r="H215" s="66">
        <f t="shared" si="14"/>
        <v>-24192</v>
      </c>
      <c r="I215" s="66">
        <f t="shared" si="14"/>
        <v>18144</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32256.000000000007</v>
      </c>
      <c r="C223" s="70">
        <f>J15*K15*N15</f>
        <v>24192</v>
      </c>
      <c r="D223" s="70">
        <f>-B223</f>
        <v>-32256.000000000007</v>
      </c>
      <c r="E223" s="70">
        <f>-C223</f>
        <v>-24192</v>
      </c>
      <c r="F223" s="69" t="str">
        <f>B222</f>
        <v>U2X</v>
      </c>
    </row>
    <row r="224" spans="1:14" ht="16.8" customHeight="1" x14ac:dyDescent="0.3">
      <c r="A224" s="28" t="s">
        <v>581</v>
      </c>
      <c r="B224" s="70">
        <f>C223</f>
        <v>24192</v>
      </c>
      <c r="C224" s="70">
        <f>K15*K15*N15</f>
        <v>18144</v>
      </c>
      <c r="D224" s="70">
        <f>-B224</f>
        <v>-24192</v>
      </c>
      <c r="E224" s="70">
        <f>-C224</f>
        <v>-18144</v>
      </c>
      <c r="F224" s="69" t="str">
        <f>C222</f>
        <v>U2Y</v>
      </c>
    </row>
    <row r="225" spans="1:14" x14ac:dyDescent="0.3">
      <c r="B225" s="70">
        <f>D223</f>
        <v>-32256.000000000007</v>
      </c>
      <c r="C225" s="70">
        <f>E223</f>
        <v>-24192</v>
      </c>
      <c r="D225" s="70">
        <f>B223</f>
        <v>32256.000000000007</v>
      </c>
      <c r="E225" s="70">
        <f>C223</f>
        <v>24192</v>
      </c>
      <c r="F225" s="69" t="str">
        <f>D222</f>
        <v>U6X</v>
      </c>
    </row>
    <row r="226" spans="1:14" x14ac:dyDescent="0.3">
      <c r="B226" s="70">
        <f>D224</f>
        <v>-24192</v>
      </c>
      <c r="C226" s="70">
        <f>E224</f>
        <v>-18144</v>
      </c>
      <c r="D226" s="70">
        <f>B224</f>
        <v>24192</v>
      </c>
      <c r="E226" s="70">
        <f>C224</f>
        <v>18144</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32256.000000000007</v>
      </c>
      <c r="E231" s="71">
        <f t="shared" si="15"/>
        <v>24192</v>
      </c>
      <c r="F231" s="9">
        <f t="shared" si="15"/>
        <v>0</v>
      </c>
      <c r="G231" s="9">
        <f t="shared" si="15"/>
        <v>0</v>
      </c>
      <c r="H231" s="9">
        <f t="shared" si="15"/>
        <v>0</v>
      </c>
      <c r="I231" s="9">
        <f t="shared" si="15"/>
        <v>0</v>
      </c>
      <c r="J231" s="9">
        <f t="shared" si="15"/>
        <v>0</v>
      </c>
      <c r="K231" s="9">
        <f t="shared" si="15"/>
        <v>0</v>
      </c>
      <c r="L231" s="71">
        <f t="shared" si="15"/>
        <v>-32256.000000000007</v>
      </c>
      <c r="M231" s="71">
        <f t="shared" si="15"/>
        <v>-24192</v>
      </c>
      <c r="N231" s="69" t="s">
        <v>180</v>
      </c>
    </row>
    <row r="232" spans="1:14" ht="19.05" customHeight="1" x14ac:dyDescent="0.3">
      <c r="B232" s="9">
        <f t="shared" si="15"/>
        <v>0</v>
      </c>
      <c r="C232" s="9">
        <f t="shared" si="15"/>
        <v>0</v>
      </c>
      <c r="D232" s="71">
        <f t="shared" si="15"/>
        <v>24192</v>
      </c>
      <c r="E232" s="71">
        <f t="shared" si="15"/>
        <v>18144</v>
      </c>
      <c r="F232" s="9">
        <f t="shared" si="15"/>
        <v>0</v>
      </c>
      <c r="G232" s="9">
        <f t="shared" si="15"/>
        <v>0</v>
      </c>
      <c r="H232" s="9">
        <f t="shared" si="15"/>
        <v>0</v>
      </c>
      <c r="I232" s="9">
        <f t="shared" si="15"/>
        <v>0</v>
      </c>
      <c r="J232" s="9">
        <f t="shared" si="15"/>
        <v>0</v>
      </c>
      <c r="K232" s="9">
        <f t="shared" si="15"/>
        <v>0</v>
      </c>
      <c r="L232" s="71">
        <f t="shared" si="15"/>
        <v>-24192</v>
      </c>
      <c r="M232" s="71">
        <f t="shared" si="15"/>
        <v>-18144</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-32256.000000000007</v>
      </c>
      <c r="E239" s="71">
        <f t="shared" si="15"/>
        <v>-24192</v>
      </c>
      <c r="F239" s="9">
        <f t="shared" si="15"/>
        <v>0</v>
      </c>
      <c r="G239" s="9">
        <f t="shared" si="15"/>
        <v>0</v>
      </c>
      <c r="H239" s="9">
        <f t="shared" si="15"/>
        <v>0</v>
      </c>
      <c r="I239" s="9">
        <f t="shared" si="15"/>
        <v>0</v>
      </c>
      <c r="J239" s="9">
        <f t="shared" si="15"/>
        <v>0</v>
      </c>
      <c r="K239" s="9">
        <f t="shared" si="15"/>
        <v>0</v>
      </c>
      <c r="L239" s="71">
        <f t="shared" si="15"/>
        <v>32256.000000000007</v>
      </c>
      <c r="M239" s="71">
        <f t="shared" si="15"/>
        <v>24192</v>
      </c>
      <c r="N239" s="69" t="s">
        <v>188</v>
      </c>
    </row>
    <row r="240" spans="1:14" ht="19.05" customHeight="1" x14ac:dyDescent="0.3">
      <c r="B240" s="9">
        <f t="shared" si="15"/>
        <v>0</v>
      </c>
      <c r="C240" s="9">
        <f t="shared" si="15"/>
        <v>0</v>
      </c>
      <c r="D240" s="71">
        <f t="shared" si="15"/>
        <v>-24192</v>
      </c>
      <c r="E240" s="71">
        <f t="shared" si="15"/>
        <v>-18144</v>
      </c>
      <c r="F240" s="9">
        <f t="shared" si="15"/>
        <v>0</v>
      </c>
      <c r="G240" s="9">
        <f t="shared" si="15"/>
        <v>0</v>
      </c>
      <c r="H240" s="9">
        <f t="shared" si="15"/>
        <v>0</v>
      </c>
      <c r="I240" s="9">
        <f t="shared" si="15"/>
        <v>0</v>
      </c>
      <c r="J240" s="9">
        <f t="shared" si="15"/>
        <v>0</v>
      </c>
      <c r="K240" s="9">
        <f t="shared" si="15"/>
        <v>0</v>
      </c>
      <c r="L240" s="71">
        <f t="shared" si="15"/>
        <v>24192</v>
      </c>
      <c r="M240" s="71">
        <f t="shared" si="15"/>
        <v>18144</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32256.000000000007</v>
      </c>
      <c r="C244" s="73">
        <f>J16*K16*N16</f>
        <v>-24192</v>
      </c>
      <c r="D244" s="73">
        <f>-B244</f>
        <v>-32256.000000000007</v>
      </c>
      <c r="E244" s="73">
        <f>-C244</f>
        <v>24192</v>
      </c>
      <c r="F244" s="72" t="str">
        <f>B243</f>
        <v>U5X</v>
      </c>
    </row>
    <row r="245" spans="1:14" ht="16.8" customHeight="1" x14ac:dyDescent="0.3">
      <c r="A245" s="28" t="s">
        <v>583</v>
      </c>
      <c r="B245" s="73">
        <f>C244</f>
        <v>-24192</v>
      </c>
      <c r="C245" s="73">
        <f>K16*K16*N16</f>
        <v>18144</v>
      </c>
      <c r="D245" s="73">
        <f>-B245</f>
        <v>24192</v>
      </c>
      <c r="E245" s="73">
        <f>-C245</f>
        <v>-18144</v>
      </c>
      <c r="F245" s="72" t="str">
        <f>C243</f>
        <v>U5Y</v>
      </c>
    </row>
    <row r="246" spans="1:14" x14ac:dyDescent="0.3">
      <c r="B246" s="73">
        <f>D244</f>
        <v>-32256.000000000007</v>
      </c>
      <c r="C246" s="73">
        <f>E244</f>
        <v>24192</v>
      </c>
      <c r="D246" s="73">
        <f>B244</f>
        <v>32256.000000000007</v>
      </c>
      <c r="E246" s="73">
        <f>C244</f>
        <v>-24192</v>
      </c>
      <c r="F246" s="72" t="str">
        <f>D243</f>
        <v>U3X</v>
      </c>
    </row>
    <row r="247" spans="1:14" x14ac:dyDescent="0.3">
      <c r="B247" s="73">
        <f>D245</f>
        <v>24192</v>
      </c>
      <c r="C247" s="73">
        <f>E245</f>
        <v>-18144</v>
      </c>
      <c r="D247" s="73">
        <f>B245</f>
        <v>-24192</v>
      </c>
      <c r="E247" s="73">
        <f>C245</f>
        <v>18144</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32256.000000000007</v>
      </c>
      <c r="G254" s="74">
        <f t="shared" si="16"/>
        <v>-24192</v>
      </c>
      <c r="H254" s="9">
        <f t="shared" si="16"/>
        <v>0</v>
      </c>
      <c r="I254" s="9">
        <f t="shared" si="16"/>
        <v>0</v>
      </c>
      <c r="J254" s="74">
        <f t="shared" si="16"/>
        <v>-32256.000000000007</v>
      </c>
      <c r="K254" s="74">
        <f t="shared" si="16"/>
        <v>24192</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-24192</v>
      </c>
      <c r="G255" s="74">
        <f t="shared" si="16"/>
        <v>18144</v>
      </c>
      <c r="H255" s="9">
        <f t="shared" si="16"/>
        <v>0</v>
      </c>
      <c r="I255" s="9">
        <f t="shared" si="16"/>
        <v>0</v>
      </c>
      <c r="J255" s="74">
        <f t="shared" si="16"/>
        <v>24192</v>
      </c>
      <c r="K255" s="74">
        <f t="shared" si="16"/>
        <v>-18144</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-32256.000000000007</v>
      </c>
      <c r="G258" s="74">
        <f t="shared" si="16"/>
        <v>24192</v>
      </c>
      <c r="H258" s="9">
        <f t="shared" si="16"/>
        <v>0</v>
      </c>
      <c r="I258" s="9">
        <f t="shared" si="16"/>
        <v>0</v>
      </c>
      <c r="J258" s="74">
        <f t="shared" si="16"/>
        <v>32256.000000000007</v>
      </c>
      <c r="K258" s="74">
        <f t="shared" si="16"/>
        <v>-24192</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24192</v>
      </c>
      <c r="G259" s="74">
        <f t="shared" si="16"/>
        <v>-18144</v>
      </c>
      <c r="H259" s="9">
        <f t="shared" si="16"/>
        <v>0</v>
      </c>
      <c r="I259" s="9">
        <f t="shared" si="16"/>
        <v>0</v>
      </c>
      <c r="J259" s="74">
        <f t="shared" si="16"/>
        <v>-24192</v>
      </c>
      <c r="K259" s="74">
        <f t="shared" si="16"/>
        <v>18144</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95256</v>
      </c>
      <c r="C265" s="36">
        <f t="shared" si="17"/>
        <v>24192</v>
      </c>
      <c r="D265" s="9">
        <f t="shared" si="17"/>
        <v>-63000</v>
      </c>
      <c r="E265" s="9">
        <f t="shared" si="17"/>
        <v>0</v>
      </c>
      <c r="F265" s="9">
        <f t="shared" si="17"/>
        <v>0</v>
      </c>
      <c r="G265" s="9">
        <f t="shared" si="17"/>
        <v>0</v>
      </c>
      <c r="H265" s="9">
        <f t="shared" si="17"/>
        <v>0</v>
      </c>
      <c r="I265" s="9">
        <f t="shared" si="17"/>
        <v>0</v>
      </c>
      <c r="J265" s="9">
        <f t="shared" si="17"/>
        <v>-32256.000000000007</v>
      </c>
      <c r="K265" s="9">
        <f t="shared" si="17"/>
        <v>-24192</v>
      </c>
      <c r="L265" s="9">
        <f t="shared" si="17"/>
        <v>0</v>
      </c>
      <c r="M265" s="9">
        <f t="shared" si="17"/>
        <v>0</v>
      </c>
      <c r="N265" s="89" t="s">
        <v>178</v>
      </c>
    </row>
    <row r="266" spans="1:14" ht="19.95" customHeight="1" x14ac:dyDescent="0.3">
      <c r="B266" s="36">
        <f t="shared" ref="B266:M266" si="18">B41+B62+B83+B104+B125+B146+B167+B188+B209+B230+B251</f>
        <v>24192</v>
      </c>
      <c r="C266" s="35">
        <f t="shared" si="18"/>
        <v>102144</v>
      </c>
      <c r="D266" s="9">
        <f t="shared" si="18"/>
        <v>0</v>
      </c>
      <c r="E266" s="9">
        <f t="shared" si="18"/>
        <v>0</v>
      </c>
      <c r="F266" s="9">
        <f t="shared" si="18"/>
        <v>0</v>
      </c>
      <c r="G266" s="9">
        <f t="shared" si="18"/>
        <v>0</v>
      </c>
      <c r="H266" s="9">
        <f t="shared" si="18"/>
        <v>0</v>
      </c>
      <c r="I266" s="9">
        <f t="shared" si="18"/>
        <v>-84000</v>
      </c>
      <c r="J266" s="9">
        <f t="shared" si="18"/>
        <v>-24192</v>
      </c>
      <c r="K266" s="9">
        <f t="shared" si="18"/>
        <v>-18144</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190512</v>
      </c>
      <c r="E267" s="36">
        <f t="shared" si="19"/>
        <v>0</v>
      </c>
      <c r="F267" s="9">
        <f t="shared" si="19"/>
        <v>-63000</v>
      </c>
      <c r="G267" s="9">
        <f t="shared" si="19"/>
        <v>0</v>
      </c>
      <c r="H267" s="9">
        <f t="shared" si="19"/>
        <v>-32256.000000000007</v>
      </c>
      <c r="I267" s="9">
        <f t="shared" si="19"/>
        <v>24192</v>
      </c>
      <c r="J267" s="9">
        <f t="shared" si="19"/>
        <v>0</v>
      </c>
      <c r="K267" s="9">
        <f t="shared" si="19"/>
        <v>0</v>
      </c>
      <c r="L267" s="9">
        <f t="shared" si="19"/>
        <v>-32256.000000000007</v>
      </c>
      <c r="M267" s="9">
        <f t="shared" si="19"/>
        <v>-24192</v>
      </c>
      <c r="N267" s="89" t="s">
        <v>180</v>
      </c>
    </row>
    <row r="268" spans="1:14" ht="19.95" customHeight="1" x14ac:dyDescent="0.3">
      <c r="B268" s="9">
        <f t="shared" ref="B268:M268" si="20">B43+B64+B85+B106+B127+B148+B169+B190+B211+B232+B253</f>
        <v>0</v>
      </c>
      <c r="C268" s="9">
        <f t="shared" si="20"/>
        <v>0</v>
      </c>
      <c r="D268" s="36">
        <f t="shared" si="20"/>
        <v>0</v>
      </c>
      <c r="E268" s="35">
        <f t="shared" si="20"/>
        <v>120288</v>
      </c>
      <c r="F268" s="9">
        <f t="shared" si="20"/>
        <v>0</v>
      </c>
      <c r="G268" s="9">
        <f t="shared" si="20"/>
        <v>0</v>
      </c>
      <c r="H268" s="9">
        <f t="shared" si="20"/>
        <v>24192</v>
      </c>
      <c r="I268" s="9">
        <f t="shared" si="20"/>
        <v>-18144</v>
      </c>
      <c r="J268" s="9">
        <f t="shared" si="20"/>
        <v>0</v>
      </c>
      <c r="K268" s="9">
        <f t="shared" si="20"/>
        <v>-84000</v>
      </c>
      <c r="L268" s="9">
        <f t="shared" si="20"/>
        <v>-24192</v>
      </c>
      <c r="M268" s="9">
        <f t="shared" si="20"/>
        <v>-18144</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95256</v>
      </c>
      <c r="G269" s="36">
        <f t="shared" si="21"/>
        <v>-24192</v>
      </c>
      <c r="H269" s="9">
        <f t="shared" si="21"/>
        <v>0</v>
      </c>
      <c r="I269" s="9">
        <f t="shared" si="21"/>
        <v>0</v>
      </c>
      <c r="J269" s="9">
        <f t="shared" si="21"/>
        <v>-32256.000000000007</v>
      </c>
      <c r="K269" s="9">
        <f t="shared" si="21"/>
        <v>24192</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-24192</v>
      </c>
      <c r="G270" s="35">
        <f t="shared" si="22"/>
        <v>102144</v>
      </c>
      <c r="H270" s="9">
        <f t="shared" si="22"/>
        <v>0</v>
      </c>
      <c r="I270" s="9">
        <f t="shared" si="22"/>
        <v>0</v>
      </c>
      <c r="J270" s="9">
        <f t="shared" si="22"/>
        <v>24192</v>
      </c>
      <c r="K270" s="9">
        <f t="shared" si="22"/>
        <v>-18144</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-32256.000000000007</v>
      </c>
      <c r="E271" s="9">
        <f t="shared" si="23"/>
        <v>24192</v>
      </c>
      <c r="F271" s="9">
        <f t="shared" si="23"/>
        <v>0</v>
      </c>
      <c r="G271" s="9">
        <f t="shared" si="23"/>
        <v>0</v>
      </c>
      <c r="H271" s="35">
        <f t="shared" si="23"/>
        <v>95256</v>
      </c>
      <c r="I271" s="36">
        <f t="shared" si="23"/>
        <v>-24192</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24192</v>
      </c>
      <c r="E272" s="9">
        <f t="shared" si="24"/>
        <v>-18144</v>
      </c>
      <c r="F272" s="9">
        <f t="shared" si="24"/>
        <v>0</v>
      </c>
      <c r="G272" s="9">
        <f t="shared" si="24"/>
        <v>0</v>
      </c>
      <c r="H272" s="36">
        <f t="shared" si="24"/>
        <v>-24192</v>
      </c>
      <c r="I272" s="35">
        <f t="shared" si="24"/>
        <v>102144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-32256.000000000007</v>
      </c>
      <c r="C273" s="9">
        <f t="shared" si="25"/>
        <v>-24192</v>
      </c>
      <c r="D273" s="9">
        <f t="shared" si="25"/>
        <v>0</v>
      </c>
      <c r="E273" s="9">
        <f t="shared" si="25"/>
        <v>0</v>
      </c>
      <c r="F273" s="9">
        <f t="shared" si="25"/>
        <v>-32256.000000000007</v>
      </c>
      <c r="G273" s="9">
        <f t="shared" si="25"/>
        <v>24192</v>
      </c>
      <c r="H273" s="9">
        <f t="shared" si="25"/>
        <v>-63000</v>
      </c>
      <c r="I273" s="9">
        <f t="shared" si="25"/>
        <v>0</v>
      </c>
      <c r="J273" s="35">
        <f t="shared" si="25"/>
        <v>190512</v>
      </c>
      <c r="K273" s="36">
        <f t="shared" si="25"/>
        <v>0</v>
      </c>
      <c r="L273" s="9">
        <f t="shared" si="25"/>
        <v>-63000</v>
      </c>
      <c r="M273" s="9">
        <f t="shared" si="25"/>
        <v>0</v>
      </c>
      <c r="N273" s="89" t="s">
        <v>186</v>
      </c>
    </row>
    <row r="274" spans="1:21" ht="19.95" customHeight="1" x14ac:dyDescent="0.3">
      <c r="B274" s="9">
        <f t="shared" ref="B274:M274" si="26">B49+B70+B91+B112+B133+B154+B175+B196+B217+B238+B259</f>
        <v>-24192</v>
      </c>
      <c r="C274" s="9">
        <f t="shared" si="26"/>
        <v>-18144</v>
      </c>
      <c r="D274" s="9">
        <f t="shared" si="26"/>
        <v>0</v>
      </c>
      <c r="E274" s="9">
        <f t="shared" si="26"/>
        <v>-84000</v>
      </c>
      <c r="F274" s="9">
        <f t="shared" si="26"/>
        <v>24192</v>
      </c>
      <c r="G274" s="9">
        <f t="shared" si="26"/>
        <v>-18144</v>
      </c>
      <c r="H274" s="9">
        <f t="shared" si="26"/>
        <v>0</v>
      </c>
      <c r="I274" s="9">
        <f t="shared" si="26"/>
        <v>0</v>
      </c>
      <c r="J274" s="36">
        <f t="shared" si="26"/>
        <v>0</v>
      </c>
      <c r="K274" s="35">
        <f t="shared" si="26"/>
        <v>120288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-32256.000000000007</v>
      </c>
      <c r="E275" s="9">
        <f t="shared" si="27"/>
        <v>-24192</v>
      </c>
      <c r="F275" s="9">
        <f t="shared" si="27"/>
        <v>0</v>
      </c>
      <c r="G275" s="9">
        <f t="shared" si="27"/>
        <v>0</v>
      </c>
      <c r="H275" s="9">
        <f t="shared" si="27"/>
        <v>0</v>
      </c>
      <c r="I275" s="9">
        <f t="shared" si="27"/>
        <v>0</v>
      </c>
      <c r="J275" s="9">
        <f t="shared" si="27"/>
        <v>-63000</v>
      </c>
      <c r="K275" s="9">
        <f t="shared" si="27"/>
        <v>0</v>
      </c>
      <c r="L275" s="35">
        <f t="shared" si="27"/>
        <v>95256</v>
      </c>
      <c r="M275" s="36">
        <f t="shared" si="27"/>
        <v>24192</v>
      </c>
      <c r="N275" s="89" t="s">
        <v>188</v>
      </c>
    </row>
    <row r="276" spans="1:21" ht="19.95" customHeight="1" x14ac:dyDescent="0.3">
      <c r="B276" s="9">
        <f t="shared" ref="B276:M276" si="28">B51+B72+B93+B114+B135+B156+B177+B198+B219+B240+B261</f>
        <v>0</v>
      </c>
      <c r="C276" s="9">
        <f t="shared" si="28"/>
        <v>0</v>
      </c>
      <c r="D276" s="9">
        <f t="shared" si="28"/>
        <v>-24192</v>
      </c>
      <c r="E276" s="9">
        <f t="shared" si="28"/>
        <v>-18144</v>
      </c>
      <c r="F276" s="9">
        <f t="shared" si="28"/>
        <v>0</v>
      </c>
      <c r="G276" s="9">
        <f t="shared" si="28"/>
        <v>-84000</v>
      </c>
      <c r="H276" s="9">
        <f t="shared" si="28"/>
        <v>0</v>
      </c>
      <c r="I276" s="9">
        <f t="shared" si="28"/>
        <v>0</v>
      </c>
      <c r="J276" s="9">
        <f t="shared" si="28"/>
        <v>0</v>
      </c>
      <c r="K276" s="9">
        <f t="shared" si="28"/>
        <v>0</v>
      </c>
      <c r="L276" s="36">
        <f t="shared" si="28"/>
        <v>24192</v>
      </c>
      <c r="M276" s="35">
        <f t="shared" si="28"/>
        <v>102144</v>
      </c>
      <c r="N276" s="89" t="s">
        <v>189</v>
      </c>
    </row>
    <row r="279" spans="1:21" ht="19.95" customHeight="1" x14ac:dyDescent="0.35">
      <c r="A279" s="11" t="s">
        <v>206</v>
      </c>
      <c r="P279" s="216" t="s">
        <v>207</v>
      </c>
      <c r="Q279" s="172"/>
      <c r="R279" s="172"/>
      <c r="S279" s="172"/>
      <c r="T279" s="172"/>
      <c r="U279" s="173"/>
    </row>
    <row r="280" spans="1:21" ht="16.95" customHeight="1" x14ac:dyDescent="0.3">
      <c r="B280" s="12" t="s">
        <v>208</v>
      </c>
      <c r="C280" s="12" t="s">
        <v>178</v>
      </c>
      <c r="E280" s="37" t="str">
        <f>IF(GRAFICA_70!F14=1, B280, GRAFICA_70!H14)</f>
        <v>C1X</v>
      </c>
      <c r="P280" s="215" t="s">
        <v>376</v>
      </c>
      <c r="Q280" s="172"/>
      <c r="R280" s="172"/>
      <c r="S280" s="172"/>
      <c r="T280" s="172"/>
      <c r="U280" s="173"/>
    </row>
    <row r="281" spans="1:21" ht="16.95" customHeight="1" x14ac:dyDescent="0.3">
      <c r="B281" s="12" t="s">
        <v>210</v>
      </c>
      <c r="C281" s="12" t="s">
        <v>179</v>
      </c>
      <c r="E281" s="37" t="str">
        <f>IF(GRAFICA_70!G14=1, B281, GRAFICA_70!I14)</f>
        <v>C1Y</v>
      </c>
      <c r="P281" s="215" t="s">
        <v>211</v>
      </c>
      <c r="Q281" s="172"/>
      <c r="R281" s="172"/>
      <c r="S281" s="172"/>
      <c r="T281" s="172"/>
      <c r="U281" s="173"/>
    </row>
    <row r="282" spans="1:21" ht="16.95" customHeight="1" x14ac:dyDescent="0.3">
      <c r="B282" s="12" t="s">
        <v>212</v>
      </c>
      <c r="C282" s="12" t="s">
        <v>180</v>
      </c>
      <c r="E282" s="37" t="str">
        <f>IF(GRAFICA_70!F15=1, B282, GRAFICA_70!H15)</f>
        <v>C2X</v>
      </c>
      <c r="P282" s="215" t="s">
        <v>377</v>
      </c>
      <c r="Q282" s="172"/>
      <c r="R282" s="172"/>
      <c r="S282" s="172"/>
      <c r="T282" s="172"/>
      <c r="U282" s="173"/>
    </row>
    <row r="283" spans="1:21" ht="16.95" customHeight="1" x14ac:dyDescent="0.3">
      <c r="B283" s="12" t="s">
        <v>214</v>
      </c>
      <c r="C283" s="12" t="s">
        <v>181</v>
      </c>
      <c r="E283" s="37" t="str">
        <f>IF(GRAFICA_70!G15=1, B283, GRAFICA_70!I15)</f>
        <v>C2Y</v>
      </c>
      <c r="P283" s="215" t="s">
        <v>215</v>
      </c>
      <c r="Q283" s="172"/>
      <c r="R283" s="172"/>
      <c r="S283" s="172"/>
      <c r="T283" s="172"/>
      <c r="U283" s="173"/>
    </row>
    <row r="284" spans="1:21" ht="16.95" customHeight="1" x14ac:dyDescent="0.3">
      <c r="B284" s="12" t="s">
        <v>216</v>
      </c>
      <c r="C284" s="12" t="s">
        <v>182</v>
      </c>
      <c r="E284" s="37" t="str">
        <f>IF(GRAFICA_70!F16=1, B284, GRAFICA_70!H16)</f>
        <v>C3X</v>
      </c>
      <c r="P284" s="215" t="s">
        <v>378</v>
      </c>
      <c r="Q284" s="172"/>
      <c r="R284" s="172"/>
      <c r="S284" s="172"/>
      <c r="T284" s="172"/>
      <c r="U284" s="173"/>
    </row>
    <row r="285" spans="1:21" ht="16.95" customHeight="1" x14ac:dyDescent="0.3">
      <c r="A285" s="38" t="s">
        <v>218</v>
      </c>
      <c r="B285" s="12" t="s">
        <v>219</v>
      </c>
      <c r="C285" s="12" t="s">
        <v>183</v>
      </c>
      <c r="D285" s="13" t="s">
        <v>220</v>
      </c>
      <c r="E285" s="37" t="str">
        <f>IF(GRAFICA_70!G16=1, B285, GRAFICA_70!I16)</f>
        <v>C3Y</v>
      </c>
      <c r="P285" s="215" t="s">
        <v>379</v>
      </c>
      <c r="Q285" s="172"/>
      <c r="R285" s="172"/>
      <c r="S285" s="172"/>
      <c r="T285" s="172"/>
      <c r="U285" s="173"/>
    </row>
    <row r="286" spans="1:21" ht="16.95" customHeight="1" x14ac:dyDescent="0.3">
      <c r="B286" s="12" t="s">
        <v>221</v>
      </c>
      <c r="C286" s="12" t="s">
        <v>184</v>
      </c>
      <c r="E286" s="37">
        <f>IF(GRAFICA_70!F17=1, B286, GRAFICA_70!H17)</f>
        <v>3000</v>
      </c>
      <c r="P286" s="215"/>
      <c r="Q286" s="172"/>
      <c r="R286" s="172"/>
      <c r="S286" s="172"/>
      <c r="T286" s="172"/>
      <c r="U286" s="173"/>
    </row>
    <row r="287" spans="1:21" ht="16.95" customHeight="1" x14ac:dyDescent="0.3">
      <c r="B287" s="12" t="s">
        <v>222</v>
      </c>
      <c r="C287" s="12" t="s">
        <v>185</v>
      </c>
      <c r="E287" s="37">
        <f>IF(GRAFICA_70!G17=1, B287, GRAFICA_70!I17)</f>
        <v>0</v>
      </c>
      <c r="P287" s="215"/>
      <c r="Q287" s="172"/>
      <c r="R287" s="172"/>
      <c r="S287" s="172"/>
      <c r="T287" s="172"/>
      <c r="U287" s="173"/>
    </row>
    <row r="288" spans="1:21" ht="16.95" customHeight="1" x14ac:dyDescent="0.3">
      <c r="B288" s="12" t="s">
        <v>223</v>
      </c>
      <c r="C288" s="12" t="s">
        <v>186</v>
      </c>
      <c r="E288" s="37">
        <f>IF(GRAFICA_70!F18=1, B288, GRAFICA_70!H18)</f>
        <v>0</v>
      </c>
      <c r="P288" s="215"/>
      <c r="Q288" s="172"/>
      <c r="R288" s="172"/>
      <c r="S288" s="172"/>
      <c r="T288" s="172"/>
      <c r="U288" s="173"/>
    </row>
    <row r="289" spans="1:21" ht="16.95" customHeight="1" x14ac:dyDescent="0.3">
      <c r="B289" s="12" t="s">
        <v>224</v>
      </c>
      <c r="C289" s="12" t="s">
        <v>187</v>
      </c>
      <c r="E289" s="37">
        <f>IF(GRAFICA_70!G18=1, B289, GRAFICA_70!I18)</f>
        <v>-10000</v>
      </c>
      <c r="P289" s="215"/>
      <c r="Q289" s="172"/>
      <c r="R289" s="172"/>
      <c r="S289" s="172"/>
      <c r="T289" s="172"/>
      <c r="U289" s="173"/>
    </row>
    <row r="290" spans="1:21" ht="16.95" customHeight="1" x14ac:dyDescent="0.3">
      <c r="B290" s="12" t="s">
        <v>225</v>
      </c>
      <c r="C290" s="12" t="s">
        <v>188</v>
      </c>
      <c r="E290" s="37">
        <f>IF(GRAFICA_70!F19=1, B290, GRAFICA_70!H19)</f>
        <v>0</v>
      </c>
      <c r="P290" s="215"/>
      <c r="Q290" s="172"/>
      <c r="R290" s="172"/>
      <c r="S290" s="172"/>
      <c r="T290" s="172"/>
      <c r="U290" s="173"/>
    </row>
    <row r="291" spans="1:21" ht="16.95" customHeight="1" x14ac:dyDescent="0.3">
      <c r="B291" s="12" t="s">
        <v>226</v>
      </c>
      <c r="C291" s="12" t="s">
        <v>189</v>
      </c>
      <c r="E291" s="37">
        <f>IF(GRAFICA_70!G19=1, B291, GRAFICA_70!I19)</f>
        <v>0</v>
      </c>
      <c r="P291" s="215"/>
      <c r="Q291" s="172"/>
      <c r="R291" s="172"/>
      <c r="S291" s="172"/>
      <c r="T291" s="172"/>
      <c r="U291" s="173"/>
    </row>
    <row r="292" spans="1:21" ht="16.95" customHeight="1" x14ac:dyDescent="0.3">
      <c r="P292" s="215"/>
      <c r="Q292" s="172"/>
      <c r="R292" s="172"/>
      <c r="S292" s="172"/>
      <c r="T292" s="172"/>
      <c r="U292" s="173"/>
    </row>
    <row r="293" spans="1:21" ht="16.95" customHeight="1" x14ac:dyDescent="0.35">
      <c r="A293" s="11" t="s">
        <v>227</v>
      </c>
      <c r="P293" s="215"/>
      <c r="Q293" s="172"/>
      <c r="R293" s="172"/>
      <c r="S293" s="172"/>
      <c r="T293" s="172"/>
      <c r="U293" s="173"/>
    </row>
    <row r="294" spans="1:21" ht="16.95" customHeight="1" x14ac:dyDescent="0.3">
      <c r="B294" s="12" t="s">
        <v>228</v>
      </c>
      <c r="C294" s="12" t="s">
        <v>178</v>
      </c>
      <c r="E294" s="39">
        <f>IF(GRAFICA_70!F14=1, 0, B294)</f>
        <v>0</v>
      </c>
      <c r="F294" s="14" t="str">
        <f>IF(E294&lt;&gt;0, COUNTIF(E$294:E294, "&lt;&gt;0"), "")</f>
        <v/>
      </c>
      <c r="G294" s="14">
        <f>IF(E294=0, COUNTIF(E$294:E294, 0), "")</f>
        <v>1</v>
      </c>
      <c r="P294" s="215"/>
      <c r="Q294" s="172"/>
      <c r="R294" s="172"/>
      <c r="S294" s="172"/>
      <c r="T294" s="172"/>
      <c r="U294" s="173"/>
    </row>
    <row r="295" spans="1:21" ht="16.95" customHeight="1" x14ac:dyDescent="0.3">
      <c r="B295" s="12" t="s">
        <v>229</v>
      </c>
      <c r="C295" s="12" t="s">
        <v>179</v>
      </c>
      <c r="E295" s="39">
        <f>IF(GRAFICA_70!G14=1, 0, B295)</f>
        <v>0</v>
      </c>
      <c r="F295" s="14" t="str">
        <f>IF(E295&lt;&gt;0, COUNTIF(E$294:E295, "&lt;&gt;0"), "")</f>
        <v/>
      </c>
      <c r="G295" s="14">
        <f>IF(E295=0, COUNTIF(E$294:E295, 0), "")</f>
        <v>2</v>
      </c>
      <c r="P295" s="215"/>
      <c r="Q295" s="172"/>
      <c r="R295" s="172"/>
      <c r="S295" s="172"/>
      <c r="T295" s="172"/>
      <c r="U295" s="173"/>
    </row>
    <row r="296" spans="1:21" ht="16.95" customHeight="1" x14ac:dyDescent="0.3">
      <c r="B296" s="12" t="s">
        <v>230</v>
      </c>
      <c r="C296" s="12" t="s">
        <v>180</v>
      </c>
      <c r="E296" s="39">
        <f>IF(GRAFICA_70!F15=1, 0, B296)</f>
        <v>0</v>
      </c>
      <c r="F296" s="14" t="str">
        <f>IF(E296&lt;&gt;0, COUNTIF(E$294:E296, "&lt;&gt;0"), "")</f>
        <v/>
      </c>
      <c r="G296" s="14">
        <f>IF(E296=0, COUNTIF(E$294:E296, 0), "")</f>
        <v>3</v>
      </c>
      <c r="P296" s="215"/>
      <c r="Q296" s="172"/>
      <c r="R296" s="172"/>
      <c r="S296" s="172"/>
      <c r="T296" s="172"/>
      <c r="U296" s="173"/>
    </row>
    <row r="297" spans="1:21" ht="16.95" customHeight="1" x14ac:dyDescent="0.3">
      <c r="B297" s="12" t="s">
        <v>231</v>
      </c>
      <c r="C297" s="12" t="s">
        <v>181</v>
      </c>
      <c r="E297" s="39">
        <f>IF(GRAFICA_70!G15=1, 0, B297)</f>
        <v>0</v>
      </c>
      <c r="F297" s="14" t="str">
        <f>IF(E297&lt;&gt;0, COUNTIF(E$294:E297, "&lt;&gt;0"), "")</f>
        <v/>
      </c>
      <c r="G297" s="14">
        <f>IF(E297=0, COUNTIF(E$294:E297, 0), "")</f>
        <v>4</v>
      </c>
      <c r="P297" s="215"/>
      <c r="Q297" s="172"/>
      <c r="R297" s="172"/>
      <c r="S297" s="172"/>
      <c r="T297" s="172"/>
      <c r="U297" s="173"/>
    </row>
    <row r="298" spans="1:21" ht="16.95" customHeight="1" x14ac:dyDescent="0.3">
      <c r="B298" s="12" t="s">
        <v>232</v>
      </c>
      <c r="C298" s="12" t="s">
        <v>182</v>
      </c>
      <c r="E298" s="39">
        <f>IF(GRAFICA_70!F16=1, 0, B298)</f>
        <v>0</v>
      </c>
      <c r="F298" s="14" t="str">
        <f>IF(E298&lt;&gt;0, COUNTIF(E$294:E298, "&lt;&gt;0"), "")</f>
        <v/>
      </c>
      <c r="G298" s="14">
        <f>IF(E298=0, COUNTIF(E$294:E298, 0), "")</f>
        <v>5</v>
      </c>
      <c r="P298" s="215"/>
      <c r="Q298" s="172"/>
      <c r="R298" s="172"/>
      <c r="S298" s="172"/>
      <c r="T298" s="172"/>
      <c r="U298" s="173"/>
    </row>
    <row r="299" spans="1:21" ht="16.95" customHeight="1" x14ac:dyDescent="0.3">
      <c r="A299" s="38" t="s">
        <v>233</v>
      </c>
      <c r="B299" s="12" t="s">
        <v>234</v>
      </c>
      <c r="C299" s="12" t="s">
        <v>183</v>
      </c>
      <c r="D299" s="13" t="s">
        <v>220</v>
      </c>
      <c r="E299" s="39">
        <f>IF(GRAFICA_70!G16=1, 0, B299)</f>
        <v>0</v>
      </c>
      <c r="F299" s="14" t="str">
        <f>IF(E299&lt;&gt;0, COUNTIF(E$294:E299, "&lt;&gt;0"), "")</f>
        <v/>
      </c>
      <c r="G299" s="14">
        <f>IF(E299=0, COUNTIF(E$294:E299, 0), "")</f>
        <v>6</v>
      </c>
      <c r="P299" s="215"/>
      <c r="Q299" s="172"/>
      <c r="R299" s="172"/>
      <c r="S299" s="172"/>
      <c r="T299" s="172"/>
      <c r="U299" s="173"/>
    </row>
    <row r="300" spans="1:21" ht="16.95" customHeight="1" x14ac:dyDescent="0.3">
      <c r="B300" s="12" t="s">
        <v>235</v>
      </c>
      <c r="C300" s="12" t="s">
        <v>184</v>
      </c>
      <c r="E300" s="39" t="str">
        <f>IF(GRAFICA_70!F17=1, 0, B300)</f>
        <v>D4X</v>
      </c>
      <c r="F300" s="14">
        <f>IF(E300&lt;&gt;0, COUNTIF(E$294:E300, "&lt;&gt;0"), "")</f>
        <v>1</v>
      </c>
      <c r="G300" s="14" t="str">
        <f>IF(E300=0, COUNTIF(E$294:E300, 0), "")</f>
        <v/>
      </c>
      <c r="P300" s="215"/>
      <c r="Q300" s="172"/>
      <c r="R300" s="172"/>
      <c r="S300" s="172"/>
      <c r="T300" s="172"/>
      <c r="U300" s="173"/>
    </row>
    <row r="301" spans="1:21" ht="16.95" customHeight="1" x14ac:dyDescent="0.3">
      <c r="B301" s="12" t="s">
        <v>236</v>
      </c>
      <c r="C301" s="12" t="s">
        <v>185</v>
      </c>
      <c r="E301" s="39" t="str">
        <f>IF(GRAFICA_70!G17=1, 0, B301)</f>
        <v>D4Y</v>
      </c>
      <c r="F301" s="14">
        <f>IF(E301&lt;&gt;0, COUNTIF(E$294:E301, "&lt;&gt;0"), "")</f>
        <v>2</v>
      </c>
      <c r="G301" s="14" t="str">
        <f>IF(E301=0, COUNTIF(E$294:E301, 0), "")</f>
        <v/>
      </c>
      <c r="P301" s="215"/>
      <c r="Q301" s="172"/>
      <c r="R301" s="172"/>
      <c r="S301" s="172"/>
      <c r="T301" s="172"/>
      <c r="U301" s="173"/>
    </row>
    <row r="302" spans="1:21" ht="16.95" customHeight="1" x14ac:dyDescent="0.3">
      <c r="B302" s="12" t="s">
        <v>237</v>
      </c>
      <c r="C302" s="12" t="s">
        <v>186</v>
      </c>
      <c r="E302" s="39" t="str">
        <f>IF(GRAFICA_70!F18=1, 0, B302)</f>
        <v>D5X</v>
      </c>
      <c r="F302" s="14">
        <f>IF(E302&lt;&gt;0, COUNTIF(E$294:E302, "&lt;&gt;0"), "")</f>
        <v>3</v>
      </c>
      <c r="G302" s="14" t="str">
        <f>IF(E302=0, COUNTIF(E$294:E302, 0), "")</f>
        <v/>
      </c>
      <c r="P302" s="215"/>
      <c r="Q302" s="172"/>
      <c r="R302" s="172"/>
      <c r="S302" s="172"/>
      <c r="T302" s="172"/>
      <c r="U302" s="173"/>
    </row>
    <row r="303" spans="1:21" ht="16.95" customHeight="1" x14ac:dyDescent="0.3">
      <c r="B303" s="12" t="s">
        <v>238</v>
      </c>
      <c r="C303" s="12" t="s">
        <v>187</v>
      </c>
      <c r="E303" s="39" t="str">
        <f>IF(GRAFICA_70!G18=1, 0, B303)</f>
        <v>D5Y</v>
      </c>
      <c r="F303" s="14">
        <f>IF(E303&lt;&gt;0, COUNTIF(E$294:E303, "&lt;&gt;0"), "")</f>
        <v>4</v>
      </c>
      <c r="G303" s="14" t="str">
        <f>IF(E303=0, COUNTIF(E$294:E303, 0), "")</f>
        <v/>
      </c>
      <c r="P303" s="215"/>
      <c r="Q303" s="172"/>
      <c r="R303" s="172"/>
      <c r="S303" s="172"/>
      <c r="T303" s="172"/>
      <c r="U303" s="173"/>
    </row>
    <row r="304" spans="1:21" ht="16.95" customHeight="1" x14ac:dyDescent="0.3">
      <c r="B304" s="12" t="s">
        <v>239</v>
      </c>
      <c r="C304" s="12" t="s">
        <v>188</v>
      </c>
      <c r="E304" s="39" t="str">
        <f>IF(GRAFICA_70!F19=1, 0, B304)</f>
        <v>D6X</v>
      </c>
      <c r="F304" s="14">
        <f>IF(E304&lt;&gt;0, COUNTIF(E$294:E304, "&lt;&gt;0"), "")</f>
        <v>5</v>
      </c>
      <c r="G304" s="14" t="str">
        <f>IF(E304=0, COUNTIF(E$294:E304, 0), "")</f>
        <v/>
      </c>
      <c r="P304" s="215"/>
      <c r="Q304" s="172"/>
      <c r="R304" s="172"/>
      <c r="S304" s="172"/>
      <c r="T304" s="172"/>
      <c r="U304" s="173"/>
    </row>
    <row r="305" spans="1:21" ht="16.95" customHeight="1" x14ac:dyDescent="0.3">
      <c r="B305" s="12" t="s">
        <v>240</v>
      </c>
      <c r="C305" s="12" t="s">
        <v>189</v>
      </c>
      <c r="E305" s="39" t="str">
        <f>IF(GRAFICA_70!G19=1, 0, B305)</f>
        <v>D6Y</v>
      </c>
      <c r="F305" s="14">
        <f>IF(E305&lt;&gt;0, COUNTIF(E$294:E305, "&lt;&gt;0"), "")</f>
        <v>6</v>
      </c>
      <c r="G305" s="14" t="str">
        <f>IF(E305=0, COUNTIF(E$294:E305, 0), "")</f>
        <v/>
      </c>
      <c r="P305" s="215"/>
      <c r="Q305" s="172"/>
      <c r="R305" s="172"/>
      <c r="S305" s="172"/>
      <c r="T305" s="172"/>
      <c r="U305" s="173"/>
    </row>
    <row r="307" spans="1:21" ht="19.95" customHeight="1" x14ac:dyDescent="0.35">
      <c r="A307" s="15" t="s">
        <v>241</v>
      </c>
      <c r="C307" s="218" t="s">
        <v>242</v>
      </c>
      <c r="D307" s="173"/>
      <c r="E307" s="40" t="s">
        <v>243</v>
      </c>
      <c r="P307" s="216" t="s">
        <v>244</v>
      </c>
      <c r="Q307" s="172"/>
      <c r="R307" s="172"/>
      <c r="S307" s="172"/>
      <c r="T307" s="172"/>
      <c r="U307" s="173"/>
    </row>
    <row r="308" spans="1:21" ht="16.95" customHeight="1" x14ac:dyDescent="0.3">
      <c r="E308" s="40" t="s">
        <v>245</v>
      </c>
      <c r="P308" s="215" t="s">
        <v>246</v>
      </c>
      <c r="Q308" s="172"/>
      <c r="R308" s="172"/>
      <c r="S308" s="172"/>
      <c r="T308" s="172"/>
      <c r="U308" s="173"/>
    </row>
    <row r="309" spans="1:21" ht="16.95" customHeight="1" x14ac:dyDescent="0.3">
      <c r="A309" s="99" t="s">
        <v>247</v>
      </c>
      <c r="C309" s="99" t="s">
        <v>248</v>
      </c>
      <c r="P309" s="215" t="s">
        <v>250</v>
      </c>
      <c r="Q309" s="172"/>
      <c r="R309" s="172"/>
      <c r="S309" s="172"/>
      <c r="T309" s="172"/>
      <c r="U309" s="173"/>
    </row>
    <row r="310" spans="1:21" ht="16.95" customHeight="1" x14ac:dyDescent="0.3">
      <c r="A310" s="12" t="str">
        <f t="shared" ref="A310:A321" si="29">E280</f>
        <v>C1X</v>
      </c>
      <c r="C310" s="9">
        <f t="shared" ref="C310:N310" si="30">B265</f>
        <v>95256</v>
      </c>
      <c r="D310" s="9">
        <f t="shared" si="30"/>
        <v>24192</v>
      </c>
      <c r="E310" s="9">
        <f t="shared" si="30"/>
        <v>-63000</v>
      </c>
      <c r="F310" s="9">
        <f t="shared" si="30"/>
        <v>0</v>
      </c>
      <c r="G310" s="9">
        <f t="shared" si="30"/>
        <v>0</v>
      </c>
      <c r="H310" s="9">
        <f t="shared" si="30"/>
        <v>0</v>
      </c>
      <c r="I310" s="9">
        <f t="shared" si="30"/>
        <v>0</v>
      </c>
      <c r="J310" s="9">
        <f t="shared" si="30"/>
        <v>0</v>
      </c>
      <c r="K310" s="9">
        <f t="shared" si="30"/>
        <v>-32256.000000000007</v>
      </c>
      <c r="L310" s="9">
        <f t="shared" si="30"/>
        <v>-24192</v>
      </c>
      <c r="M310" s="9">
        <f t="shared" si="30"/>
        <v>0</v>
      </c>
      <c r="N310" s="9">
        <f t="shared" si="30"/>
        <v>0</v>
      </c>
      <c r="O310" s="13" t="s">
        <v>251</v>
      </c>
      <c r="P310" s="219" t="s">
        <v>380</v>
      </c>
      <c r="Q310" s="172"/>
      <c r="R310" s="172"/>
      <c r="S310" s="172"/>
      <c r="T310" s="172"/>
      <c r="U310" s="173"/>
    </row>
    <row r="311" spans="1:21" ht="16.95" customHeight="1" x14ac:dyDescent="0.3">
      <c r="A311" s="12" t="str">
        <f t="shared" si="29"/>
        <v>C1Y</v>
      </c>
      <c r="C311" s="9">
        <f t="shared" ref="C311:N311" si="31">B266</f>
        <v>24192</v>
      </c>
      <c r="D311" s="9">
        <f t="shared" si="31"/>
        <v>102144</v>
      </c>
      <c r="E311" s="9">
        <f t="shared" si="31"/>
        <v>0</v>
      </c>
      <c r="F311" s="9">
        <f t="shared" si="31"/>
        <v>0</v>
      </c>
      <c r="G311" s="9">
        <f t="shared" si="31"/>
        <v>0</v>
      </c>
      <c r="H311" s="9">
        <f t="shared" si="31"/>
        <v>0</v>
      </c>
      <c r="I311" s="9">
        <f t="shared" si="31"/>
        <v>0</v>
      </c>
      <c r="J311" s="9">
        <f t="shared" si="31"/>
        <v>-84000</v>
      </c>
      <c r="K311" s="9">
        <f t="shared" si="31"/>
        <v>-24192</v>
      </c>
      <c r="L311" s="9">
        <f t="shared" si="31"/>
        <v>-18144</v>
      </c>
      <c r="M311" s="9">
        <f t="shared" si="31"/>
        <v>0</v>
      </c>
      <c r="N311" s="9">
        <f t="shared" si="31"/>
        <v>0</v>
      </c>
      <c r="O311" s="13" t="s">
        <v>251</v>
      </c>
      <c r="P311" s="219" t="s">
        <v>253</v>
      </c>
      <c r="Q311" s="172"/>
      <c r="R311" s="172"/>
      <c r="S311" s="172"/>
      <c r="T311" s="172"/>
      <c r="U311" s="173"/>
    </row>
    <row r="312" spans="1:21" ht="16.95" customHeight="1" x14ac:dyDescent="0.3">
      <c r="A312" s="12" t="str">
        <f t="shared" si="29"/>
        <v>C2X</v>
      </c>
      <c r="C312" s="9">
        <f t="shared" ref="C312:N312" si="32">B267</f>
        <v>-63000</v>
      </c>
      <c r="D312" s="9">
        <f t="shared" si="32"/>
        <v>0</v>
      </c>
      <c r="E312" s="9">
        <f t="shared" si="32"/>
        <v>190512</v>
      </c>
      <c r="F312" s="9">
        <f t="shared" si="32"/>
        <v>0</v>
      </c>
      <c r="G312" s="9">
        <f t="shared" si="32"/>
        <v>-63000</v>
      </c>
      <c r="H312" s="9">
        <f t="shared" si="32"/>
        <v>0</v>
      </c>
      <c r="I312" s="9">
        <f t="shared" si="32"/>
        <v>-32256.000000000007</v>
      </c>
      <c r="J312" s="9">
        <f t="shared" si="32"/>
        <v>24192</v>
      </c>
      <c r="K312" s="9">
        <f t="shared" si="32"/>
        <v>0</v>
      </c>
      <c r="L312" s="9">
        <f t="shared" si="32"/>
        <v>0</v>
      </c>
      <c r="M312" s="9">
        <f t="shared" si="32"/>
        <v>-32256.000000000007</v>
      </c>
      <c r="N312" s="9">
        <f t="shared" si="32"/>
        <v>-24192</v>
      </c>
      <c r="O312" s="13" t="s">
        <v>251</v>
      </c>
      <c r="P312" s="219" t="s">
        <v>254</v>
      </c>
      <c r="Q312" s="172"/>
      <c r="R312" s="172"/>
      <c r="S312" s="172"/>
      <c r="T312" s="172"/>
      <c r="U312" s="173"/>
    </row>
    <row r="313" spans="1:21" ht="16.95" customHeight="1" x14ac:dyDescent="0.3">
      <c r="A313" s="12" t="str">
        <f t="shared" si="29"/>
        <v>C2Y</v>
      </c>
      <c r="C313" s="9">
        <f t="shared" ref="C313:N313" si="33">B268</f>
        <v>0</v>
      </c>
      <c r="D313" s="9">
        <f t="shared" si="33"/>
        <v>0</v>
      </c>
      <c r="E313" s="9">
        <f t="shared" si="33"/>
        <v>0</v>
      </c>
      <c r="F313" s="9">
        <f t="shared" si="33"/>
        <v>120288</v>
      </c>
      <c r="G313" s="9">
        <f t="shared" si="33"/>
        <v>0</v>
      </c>
      <c r="H313" s="9">
        <f t="shared" si="33"/>
        <v>0</v>
      </c>
      <c r="I313" s="9">
        <f t="shared" si="33"/>
        <v>24192</v>
      </c>
      <c r="J313" s="9">
        <f t="shared" si="33"/>
        <v>-18144</v>
      </c>
      <c r="K313" s="9">
        <f t="shared" si="33"/>
        <v>0</v>
      </c>
      <c r="L313" s="9">
        <f t="shared" si="33"/>
        <v>-84000</v>
      </c>
      <c r="M313" s="9">
        <f t="shared" si="33"/>
        <v>-24192</v>
      </c>
      <c r="N313" s="9">
        <f t="shared" si="33"/>
        <v>-18144</v>
      </c>
      <c r="O313" s="13" t="s">
        <v>251</v>
      </c>
      <c r="P313" s="219" t="s">
        <v>381</v>
      </c>
      <c r="Q313" s="172"/>
      <c r="R313" s="172"/>
      <c r="S313" s="172"/>
      <c r="T313" s="172"/>
      <c r="U313" s="173"/>
    </row>
    <row r="314" spans="1:21" ht="16.95" customHeight="1" x14ac:dyDescent="0.3">
      <c r="A314" s="12" t="str">
        <f t="shared" si="29"/>
        <v>C3X</v>
      </c>
      <c r="C314" s="9">
        <f t="shared" ref="C314:N314" si="34">B269</f>
        <v>0</v>
      </c>
      <c r="D314" s="9">
        <f t="shared" si="34"/>
        <v>0</v>
      </c>
      <c r="E314" s="9">
        <f t="shared" si="34"/>
        <v>-63000</v>
      </c>
      <c r="F314" s="9">
        <f t="shared" si="34"/>
        <v>0</v>
      </c>
      <c r="G314" s="9">
        <f t="shared" si="34"/>
        <v>95256</v>
      </c>
      <c r="H314" s="9">
        <f t="shared" si="34"/>
        <v>-24192</v>
      </c>
      <c r="I314" s="9">
        <f t="shared" si="34"/>
        <v>0</v>
      </c>
      <c r="J314" s="9">
        <f t="shared" si="34"/>
        <v>0</v>
      </c>
      <c r="K314" s="9">
        <f t="shared" si="34"/>
        <v>-32256.000000000007</v>
      </c>
      <c r="L314" s="9">
        <f t="shared" si="34"/>
        <v>24192</v>
      </c>
      <c r="M314" s="9">
        <f t="shared" si="34"/>
        <v>0</v>
      </c>
      <c r="N314" s="9">
        <f t="shared" si="34"/>
        <v>0</v>
      </c>
      <c r="O314" s="13" t="s">
        <v>251</v>
      </c>
      <c r="P314" s="219" t="s">
        <v>382</v>
      </c>
      <c r="Q314" s="172"/>
      <c r="R314" s="172"/>
      <c r="S314" s="172"/>
      <c r="T314" s="172"/>
      <c r="U314" s="173"/>
    </row>
    <row r="315" spans="1:21" ht="16.95" customHeight="1" x14ac:dyDescent="0.3">
      <c r="A315" s="12" t="str">
        <f t="shared" si="29"/>
        <v>C3Y</v>
      </c>
      <c r="C315" s="9">
        <f t="shared" ref="C315:N315" si="35">B270</f>
        <v>0</v>
      </c>
      <c r="D315" s="9">
        <f t="shared" si="35"/>
        <v>0</v>
      </c>
      <c r="E315" s="9">
        <f t="shared" si="35"/>
        <v>0</v>
      </c>
      <c r="F315" s="9">
        <f t="shared" si="35"/>
        <v>0</v>
      </c>
      <c r="G315" s="9">
        <f t="shared" si="35"/>
        <v>-24192</v>
      </c>
      <c r="H315" s="9">
        <f t="shared" si="35"/>
        <v>102144</v>
      </c>
      <c r="I315" s="9">
        <f t="shared" si="35"/>
        <v>0</v>
      </c>
      <c r="J315" s="9">
        <f t="shared" si="35"/>
        <v>0</v>
      </c>
      <c r="K315" s="9">
        <f t="shared" si="35"/>
        <v>24192</v>
      </c>
      <c r="L315" s="9">
        <f t="shared" si="35"/>
        <v>-18144</v>
      </c>
      <c r="M315" s="9">
        <f t="shared" si="35"/>
        <v>0</v>
      </c>
      <c r="N315" s="9">
        <f t="shared" si="35"/>
        <v>-84000</v>
      </c>
      <c r="O315" s="13" t="s">
        <v>251</v>
      </c>
      <c r="P315" s="219">
        <f t="shared" ref="P315:P321" si="36">E299</f>
        <v>0</v>
      </c>
      <c r="Q315" s="172"/>
      <c r="R315" s="172"/>
      <c r="S315" s="172"/>
      <c r="T315" s="172"/>
      <c r="U315" s="173"/>
    </row>
    <row r="316" spans="1:21" ht="16.95" customHeight="1" x14ac:dyDescent="0.3">
      <c r="A316" s="41">
        <f t="shared" si="29"/>
        <v>3000</v>
      </c>
      <c r="B316" s="13" t="s">
        <v>220</v>
      </c>
      <c r="C316" s="9">
        <f t="shared" ref="C316:N316" si="37">B271</f>
        <v>0</v>
      </c>
      <c r="D316" s="9">
        <f t="shared" si="37"/>
        <v>0</v>
      </c>
      <c r="E316" s="9">
        <f t="shared" si="37"/>
        <v>-32256.000000000007</v>
      </c>
      <c r="F316" s="9">
        <f t="shared" si="37"/>
        <v>24192</v>
      </c>
      <c r="G316" s="9">
        <f t="shared" si="37"/>
        <v>0</v>
      </c>
      <c r="H316" s="9">
        <f t="shared" si="37"/>
        <v>0</v>
      </c>
      <c r="I316" s="41">
        <f t="shared" si="37"/>
        <v>95256</v>
      </c>
      <c r="J316" s="41">
        <f t="shared" si="37"/>
        <v>-24192</v>
      </c>
      <c r="K316" s="41">
        <f t="shared" si="37"/>
        <v>-63000</v>
      </c>
      <c r="L316" s="41">
        <f t="shared" si="37"/>
        <v>0</v>
      </c>
      <c r="M316" s="41">
        <f t="shared" si="37"/>
        <v>0</v>
      </c>
      <c r="N316" s="41">
        <f t="shared" si="37"/>
        <v>0</v>
      </c>
      <c r="O316" s="13" t="s">
        <v>251</v>
      </c>
      <c r="P316" s="215" t="str">
        <f t="shared" si="36"/>
        <v>D4X</v>
      </c>
      <c r="Q316" s="172"/>
      <c r="R316" s="172"/>
      <c r="S316" s="172"/>
      <c r="T316" s="172"/>
      <c r="U316" s="173"/>
    </row>
    <row r="317" spans="1:21" ht="16.95" customHeight="1" x14ac:dyDescent="0.3">
      <c r="A317" s="41">
        <f t="shared" si="29"/>
        <v>0</v>
      </c>
      <c r="C317" s="9">
        <f t="shared" ref="C317:N317" si="38">B272</f>
        <v>0</v>
      </c>
      <c r="D317" s="9">
        <f t="shared" si="38"/>
        <v>-84000</v>
      </c>
      <c r="E317" s="9">
        <f t="shared" si="38"/>
        <v>24192</v>
      </c>
      <c r="F317" s="9">
        <f t="shared" si="38"/>
        <v>-18144</v>
      </c>
      <c r="G317" s="9">
        <f t="shared" si="38"/>
        <v>0</v>
      </c>
      <c r="H317" s="9">
        <f t="shared" si="38"/>
        <v>0</v>
      </c>
      <c r="I317" s="41">
        <f t="shared" si="38"/>
        <v>-24192</v>
      </c>
      <c r="J317" s="41">
        <f t="shared" si="38"/>
        <v>102144</v>
      </c>
      <c r="K317" s="41">
        <f t="shared" si="38"/>
        <v>0</v>
      </c>
      <c r="L317" s="41">
        <f t="shared" si="38"/>
        <v>0</v>
      </c>
      <c r="M317" s="41">
        <f t="shared" si="38"/>
        <v>0</v>
      </c>
      <c r="N317" s="41">
        <f t="shared" si="38"/>
        <v>0</v>
      </c>
      <c r="O317" s="13" t="s">
        <v>251</v>
      </c>
      <c r="P317" s="215" t="str">
        <f t="shared" si="36"/>
        <v>D4Y</v>
      </c>
      <c r="Q317" s="172"/>
      <c r="R317" s="172"/>
      <c r="S317" s="172"/>
      <c r="T317" s="172"/>
      <c r="U317" s="173"/>
    </row>
    <row r="318" spans="1:21" ht="16.95" customHeight="1" x14ac:dyDescent="0.3">
      <c r="A318" s="41">
        <f t="shared" si="29"/>
        <v>0</v>
      </c>
      <c r="C318" s="9">
        <f t="shared" ref="C318:N318" si="39">B273</f>
        <v>-32256.000000000007</v>
      </c>
      <c r="D318" s="9">
        <f t="shared" si="39"/>
        <v>-24192</v>
      </c>
      <c r="E318" s="9">
        <f t="shared" si="39"/>
        <v>0</v>
      </c>
      <c r="F318" s="9">
        <f t="shared" si="39"/>
        <v>0</v>
      </c>
      <c r="G318" s="9">
        <f t="shared" si="39"/>
        <v>-32256.000000000007</v>
      </c>
      <c r="H318" s="9">
        <f t="shared" si="39"/>
        <v>24192</v>
      </c>
      <c r="I318" s="41">
        <f t="shared" si="39"/>
        <v>-63000</v>
      </c>
      <c r="J318" s="41">
        <f t="shared" si="39"/>
        <v>0</v>
      </c>
      <c r="K318" s="41">
        <f t="shared" si="39"/>
        <v>190512</v>
      </c>
      <c r="L318" s="41">
        <f t="shared" si="39"/>
        <v>0</v>
      </c>
      <c r="M318" s="41">
        <f t="shared" si="39"/>
        <v>-63000</v>
      </c>
      <c r="N318" s="41">
        <f t="shared" si="39"/>
        <v>0</v>
      </c>
      <c r="O318" s="13" t="s">
        <v>251</v>
      </c>
      <c r="P318" s="215" t="str">
        <f t="shared" si="36"/>
        <v>D5X</v>
      </c>
      <c r="Q318" s="172"/>
      <c r="R318" s="172"/>
      <c r="S318" s="172"/>
      <c r="T318" s="172"/>
      <c r="U318" s="173"/>
    </row>
    <row r="319" spans="1:21" ht="16.95" customHeight="1" x14ac:dyDescent="0.3">
      <c r="A319" s="41">
        <f t="shared" si="29"/>
        <v>-10000</v>
      </c>
      <c r="C319" s="9">
        <f t="shared" ref="C319:N319" si="40">B274</f>
        <v>-24192</v>
      </c>
      <c r="D319" s="9">
        <f t="shared" si="40"/>
        <v>-18144</v>
      </c>
      <c r="E319" s="9">
        <f t="shared" si="40"/>
        <v>0</v>
      </c>
      <c r="F319" s="9">
        <f t="shared" si="40"/>
        <v>-84000</v>
      </c>
      <c r="G319" s="9">
        <f t="shared" si="40"/>
        <v>24192</v>
      </c>
      <c r="H319" s="9">
        <f t="shared" si="40"/>
        <v>-18144</v>
      </c>
      <c r="I319" s="41">
        <f t="shared" si="40"/>
        <v>0</v>
      </c>
      <c r="J319" s="41">
        <f t="shared" si="40"/>
        <v>0</v>
      </c>
      <c r="K319" s="41">
        <f t="shared" si="40"/>
        <v>0</v>
      </c>
      <c r="L319" s="41">
        <f t="shared" si="40"/>
        <v>120288</v>
      </c>
      <c r="M319" s="41">
        <f t="shared" si="40"/>
        <v>0</v>
      </c>
      <c r="N319" s="41">
        <f t="shared" si="40"/>
        <v>0</v>
      </c>
      <c r="O319" s="13" t="s">
        <v>251</v>
      </c>
      <c r="P319" s="215" t="str">
        <f t="shared" si="36"/>
        <v>D5Y</v>
      </c>
      <c r="Q319" s="172"/>
      <c r="R319" s="172"/>
      <c r="S319" s="172"/>
      <c r="T319" s="172"/>
      <c r="U319" s="173"/>
    </row>
    <row r="320" spans="1:21" ht="16.95" customHeight="1" x14ac:dyDescent="0.3">
      <c r="A320" s="41">
        <f t="shared" si="29"/>
        <v>0</v>
      </c>
      <c r="C320" s="9">
        <f t="shared" ref="C320:N320" si="41">B275</f>
        <v>0</v>
      </c>
      <c r="D320" s="9">
        <f t="shared" si="41"/>
        <v>0</v>
      </c>
      <c r="E320" s="9">
        <f t="shared" si="41"/>
        <v>-32256.000000000007</v>
      </c>
      <c r="F320" s="9">
        <f t="shared" si="41"/>
        <v>-24192</v>
      </c>
      <c r="G320" s="9">
        <f t="shared" si="41"/>
        <v>0</v>
      </c>
      <c r="H320" s="9">
        <f t="shared" si="41"/>
        <v>0</v>
      </c>
      <c r="I320" s="41">
        <f t="shared" si="41"/>
        <v>0</v>
      </c>
      <c r="J320" s="41">
        <f t="shared" si="41"/>
        <v>0</v>
      </c>
      <c r="K320" s="41">
        <f t="shared" si="41"/>
        <v>-63000</v>
      </c>
      <c r="L320" s="41">
        <f t="shared" si="41"/>
        <v>0</v>
      </c>
      <c r="M320" s="41">
        <f t="shared" si="41"/>
        <v>95256</v>
      </c>
      <c r="N320" s="41">
        <f t="shared" si="41"/>
        <v>24192</v>
      </c>
      <c r="O320" s="13" t="s">
        <v>251</v>
      </c>
      <c r="P320" s="215" t="str">
        <f t="shared" si="36"/>
        <v>D6X</v>
      </c>
      <c r="Q320" s="172"/>
      <c r="R320" s="172"/>
      <c r="S320" s="172"/>
      <c r="T320" s="172"/>
      <c r="U320" s="173"/>
    </row>
    <row r="321" spans="1:21" ht="16.95" customHeight="1" x14ac:dyDescent="0.3">
      <c r="A321" s="41">
        <f t="shared" si="29"/>
        <v>0</v>
      </c>
      <c r="C321" s="9">
        <f t="shared" ref="C321:N321" si="42">B276</f>
        <v>0</v>
      </c>
      <c r="D321" s="9">
        <f t="shared" si="42"/>
        <v>0</v>
      </c>
      <c r="E321" s="9">
        <f t="shared" si="42"/>
        <v>-24192</v>
      </c>
      <c r="F321" s="9">
        <f t="shared" si="42"/>
        <v>-18144</v>
      </c>
      <c r="G321" s="9">
        <f t="shared" si="42"/>
        <v>0</v>
      </c>
      <c r="H321" s="9">
        <f t="shared" si="42"/>
        <v>-84000</v>
      </c>
      <c r="I321" s="41">
        <f t="shared" si="42"/>
        <v>0</v>
      </c>
      <c r="J321" s="41">
        <f t="shared" si="42"/>
        <v>0</v>
      </c>
      <c r="K321" s="41">
        <f t="shared" si="42"/>
        <v>0</v>
      </c>
      <c r="L321" s="41">
        <f t="shared" si="42"/>
        <v>0</v>
      </c>
      <c r="M321" s="41">
        <f t="shared" si="42"/>
        <v>24192</v>
      </c>
      <c r="N321" s="41">
        <f t="shared" si="42"/>
        <v>102144</v>
      </c>
      <c r="O321" s="13" t="s">
        <v>251</v>
      </c>
      <c r="P321" s="215" t="str">
        <f t="shared" si="36"/>
        <v>D6Y</v>
      </c>
      <c r="Q321" s="172"/>
      <c r="R321" s="172"/>
      <c r="S321" s="172"/>
      <c r="T321" s="172"/>
      <c r="U321" s="173"/>
    </row>
    <row r="324" spans="1:21" ht="19.95" customHeight="1" x14ac:dyDescent="0.35">
      <c r="A324" s="15" t="s">
        <v>257</v>
      </c>
      <c r="P324" s="216" t="s">
        <v>258</v>
      </c>
      <c r="Q324" s="172"/>
      <c r="R324" s="172"/>
      <c r="S324" s="172"/>
      <c r="T324" s="172"/>
      <c r="U324" s="173"/>
    </row>
    <row r="325" spans="1:21" ht="16.95" customHeight="1" x14ac:dyDescent="0.3">
      <c r="C325" s="38" t="str">
        <f>INDEX(C$294:C$305, MATCH(1, F$294:F$305, 0))</f>
        <v>U4X</v>
      </c>
      <c r="D325" s="38" t="str">
        <f>INDEX(C$294:C$305, MATCH(2, F$294:F$305, 0))</f>
        <v>U4Y</v>
      </c>
      <c r="E325" s="38" t="str">
        <f>INDEX(C$294:C$305, MATCH(3, F$294:F$305, 0))</f>
        <v>U5X</v>
      </c>
      <c r="F325" s="38" t="str">
        <f>INDEX(C$294:C$305, MATCH(4, F$294:F$305, 0))</f>
        <v>U5Y</v>
      </c>
      <c r="G325" s="38" t="str">
        <f>INDEX(C$294:C$305, MATCH(5, F$294:F$305, 0))</f>
        <v>U6X</v>
      </c>
      <c r="H325" s="38" t="str">
        <f>INDEX(C$294:C$305, MATCH(6, F$294:F$305, 0))</f>
        <v>U6Y</v>
      </c>
      <c r="P325" s="215" t="s">
        <v>383</v>
      </c>
      <c r="Q325" s="172"/>
      <c r="R325" s="172"/>
      <c r="S325" s="172"/>
      <c r="T325" s="172"/>
      <c r="U325" s="173"/>
    </row>
    <row r="326" spans="1:21" ht="16.95" customHeight="1" x14ac:dyDescent="0.3">
      <c r="A326" s="41">
        <f t="shared" ref="A326:A331" si="43">INDEX(E$280:E$291, MATCH(K326, C$280:C$291, 0))</f>
        <v>3000</v>
      </c>
      <c r="C326" s="41">
        <f t="shared" ref="C326:H331" si="44">INDEX($B$265:$M$276, MATCH($K326, $N$265:$N$276, 0), MATCH(C$325, $B$264:$M$264, 0))</f>
        <v>95256</v>
      </c>
      <c r="D326" s="41">
        <f t="shared" si="44"/>
        <v>-24192</v>
      </c>
      <c r="E326" s="41">
        <f t="shared" si="44"/>
        <v>-63000</v>
      </c>
      <c r="F326" s="41">
        <f t="shared" si="44"/>
        <v>0</v>
      </c>
      <c r="G326" s="41">
        <f t="shared" si="44"/>
        <v>0</v>
      </c>
      <c r="H326" s="41">
        <f t="shared" si="44"/>
        <v>0</v>
      </c>
      <c r="I326" s="13" t="s">
        <v>251</v>
      </c>
      <c r="J326" s="38" t="str">
        <f>INDEX(B$294:B$305, MATCH(1, F$294:F$305, 0))</f>
        <v>D4X</v>
      </c>
      <c r="K326" s="14" t="str">
        <f>INDEX(C$294:C$305, MATCH(1, F$294:F$305, 0))</f>
        <v>U4X</v>
      </c>
      <c r="P326" s="215" t="s">
        <v>384</v>
      </c>
      <c r="Q326" s="172"/>
      <c r="R326" s="172"/>
      <c r="S326" s="172"/>
      <c r="T326" s="172"/>
      <c r="U326" s="173"/>
    </row>
    <row r="327" spans="1:21" ht="16.95" customHeight="1" x14ac:dyDescent="0.3">
      <c r="A327" s="41">
        <f t="shared" si="43"/>
        <v>0</v>
      </c>
      <c r="C327" s="41">
        <f t="shared" si="44"/>
        <v>-24192</v>
      </c>
      <c r="D327" s="41">
        <f t="shared" si="44"/>
        <v>102144</v>
      </c>
      <c r="E327" s="41">
        <f t="shared" si="44"/>
        <v>0</v>
      </c>
      <c r="F327" s="41">
        <f t="shared" si="44"/>
        <v>0</v>
      </c>
      <c r="G327" s="41">
        <f t="shared" si="44"/>
        <v>0</v>
      </c>
      <c r="H327" s="41">
        <f t="shared" si="44"/>
        <v>0</v>
      </c>
      <c r="I327" s="13" t="s">
        <v>251</v>
      </c>
      <c r="J327" s="38" t="str">
        <f>INDEX(B$294:B$305, MATCH(2, F$294:F$305, 0))</f>
        <v>D4Y</v>
      </c>
      <c r="K327" s="14" t="str">
        <f>INDEX(C$294:C$305, MATCH(2, F$294:F$305, 0))</f>
        <v>U4Y</v>
      </c>
      <c r="P327" s="215" t="s">
        <v>385</v>
      </c>
      <c r="Q327" s="172"/>
      <c r="R327" s="172"/>
      <c r="S327" s="172"/>
      <c r="T327" s="172"/>
      <c r="U327" s="173"/>
    </row>
    <row r="328" spans="1:21" ht="16.95" customHeight="1" x14ac:dyDescent="0.3">
      <c r="A328" s="41">
        <f t="shared" si="43"/>
        <v>0</v>
      </c>
      <c r="C328" s="41">
        <f t="shared" si="44"/>
        <v>-63000</v>
      </c>
      <c r="D328" s="41">
        <f t="shared" si="44"/>
        <v>0</v>
      </c>
      <c r="E328" s="41">
        <f t="shared" si="44"/>
        <v>190512</v>
      </c>
      <c r="F328" s="41">
        <f t="shared" si="44"/>
        <v>0</v>
      </c>
      <c r="G328" s="41">
        <f t="shared" si="44"/>
        <v>-63000</v>
      </c>
      <c r="H328" s="41">
        <f t="shared" si="44"/>
        <v>0</v>
      </c>
      <c r="I328" s="13" t="s">
        <v>251</v>
      </c>
      <c r="J328" s="38" t="str">
        <f>INDEX(B$294:B$305, MATCH(3, F$294:F$305, 0))</f>
        <v>D5X</v>
      </c>
      <c r="K328" s="14" t="str">
        <f>INDEX(C$294:C$305, MATCH(3, F$294:F$305, 0))</f>
        <v>U5X</v>
      </c>
      <c r="P328" s="215" t="s">
        <v>386</v>
      </c>
      <c r="Q328" s="172"/>
      <c r="R328" s="172"/>
      <c r="S328" s="172"/>
      <c r="T328" s="172"/>
      <c r="U328" s="173"/>
    </row>
    <row r="329" spans="1:21" ht="16.95" customHeight="1" x14ac:dyDescent="0.3">
      <c r="A329" s="41">
        <f t="shared" si="43"/>
        <v>-10000</v>
      </c>
      <c r="B329" s="13" t="s">
        <v>220</v>
      </c>
      <c r="C329" s="41">
        <f t="shared" si="44"/>
        <v>0</v>
      </c>
      <c r="D329" s="41">
        <f t="shared" si="44"/>
        <v>0</v>
      </c>
      <c r="E329" s="41">
        <f t="shared" si="44"/>
        <v>0</v>
      </c>
      <c r="F329" s="41">
        <f t="shared" si="44"/>
        <v>120288</v>
      </c>
      <c r="G329" s="41">
        <f t="shared" si="44"/>
        <v>0</v>
      </c>
      <c r="H329" s="41">
        <f t="shared" si="44"/>
        <v>0</v>
      </c>
      <c r="I329" s="13" t="s">
        <v>251</v>
      </c>
      <c r="J329" s="38" t="str">
        <f>INDEX(B$294:B$305, MATCH(4, F$294:F$305, 0))</f>
        <v>D5Y</v>
      </c>
      <c r="K329" s="14" t="str">
        <f>INDEX(C$294:C$305, MATCH(4, F$294:F$305, 0))</f>
        <v>U5Y</v>
      </c>
      <c r="P329" s="215" t="s">
        <v>387</v>
      </c>
      <c r="Q329" s="172"/>
      <c r="R329" s="172"/>
      <c r="S329" s="172"/>
      <c r="T329" s="172"/>
      <c r="U329" s="173"/>
    </row>
    <row r="330" spans="1:21" ht="16.95" customHeight="1" x14ac:dyDescent="0.3">
      <c r="A330" s="41">
        <f t="shared" si="43"/>
        <v>0</v>
      </c>
      <c r="C330" s="41">
        <f t="shared" si="44"/>
        <v>0</v>
      </c>
      <c r="D330" s="41">
        <f t="shared" si="44"/>
        <v>0</v>
      </c>
      <c r="E330" s="41">
        <f t="shared" si="44"/>
        <v>-63000</v>
      </c>
      <c r="F330" s="41">
        <f t="shared" si="44"/>
        <v>0</v>
      </c>
      <c r="G330" s="41">
        <f t="shared" si="44"/>
        <v>95256</v>
      </c>
      <c r="H330" s="41">
        <f t="shared" si="44"/>
        <v>24192</v>
      </c>
      <c r="I330" s="13" t="s">
        <v>251</v>
      </c>
      <c r="J330" s="38" t="str">
        <f>INDEX(B$294:B$305, MATCH(5, F$294:F$305, 0))</f>
        <v>D6X</v>
      </c>
      <c r="K330" s="14" t="str">
        <f>INDEX(C$294:C$305, MATCH(5, F$294:F$305, 0))</f>
        <v>U6X</v>
      </c>
      <c r="P330" s="215" t="s">
        <v>388</v>
      </c>
      <c r="Q330" s="172"/>
      <c r="R330" s="172"/>
      <c r="S330" s="172"/>
      <c r="T330" s="172"/>
      <c r="U330" s="173"/>
    </row>
    <row r="331" spans="1:21" ht="16.95" customHeight="1" x14ac:dyDescent="0.3">
      <c r="A331" s="41">
        <f t="shared" si="43"/>
        <v>0</v>
      </c>
      <c r="C331" s="41">
        <f t="shared" si="44"/>
        <v>0</v>
      </c>
      <c r="D331" s="41">
        <f t="shared" si="44"/>
        <v>0</v>
      </c>
      <c r="E331" s="41">
        <f t="shared" si="44"/>
        <v>0</v>
      </c>
      <c r="F331" s="41">
        <f t="shared" si="44"/>
        <v>0</v>
      </c>
      <c r="G331" s="41">
        <f t="shared" si="44"/>
        <v>24192</v>
      </c>
      <c r="H331" s="41">
        <f t="shared" si="44"/>
        <v>102144</v>
      </c>
      <c r="I331" s="13" t="s">
        <v>251</v>
      </c>
      <c r="J331" s="38" t="str">
        <f>INDEX(B$294:B$305, MATCH(6, F$294:F$305, 0))</f>
        <v>D6Y</v>
      </c>
      <c r="K331" s="14" t="str">
        <f>INDEX(C$294:C$305, MATCH(6, F$294:F$305, 0))</f>
        <v>U6Y</v>
      </c>
      <c r="P331" s="215"/>
      <c r="Q331" s="172"/>
      <c r="R331" s="172"/>
      <c r="S331" s="172"/>
      <c r="T331" s="172"/>
      <c r="U331" s="173"/>
    </row>
    <row r="332" spans="1:21" ht="16.95" customHeight="1" x14ac:dyDescent="0.3">
      <c r="P332" s="215"/>
      <c r="Q332" s="172"/>
      <c r="R332" s="172"/>
      <c r="S332" s="172"/>
      <c r="T332" s="172"/>
      <c r="U332" s="173"/>
    </row>
    <row r="333" spans="1:21" ht="16.95" customHeight="1" x14ac:dyDescent="0.3">
      <c r="C333" s="218" t="s">
        <v>263</v>
      </c>
      <c r="D333" s="172"/>
      <c r="E333" s="172"/>
      <c r="F333" s="172"/>
      <c r="G333" s="172"/>
      <c r="H333" s="173"/>
      <c r="P333" s="215"/>
      <c r="Q333" s="172"/>
      <c r="R333" s="172"/>
      <c r="S333" s="172"/>
      <c r="T333" s="172"/>
      <c r="U333" s="173"/>
    </row>
    <row r="334" spans="1:21" ht="16.95" customHeight="1" x14ac:dyDescent="0.3">
      <c r="A334" s="99" t="s">
        <v>249</v>
      </c>
      <c r="C334" s="193" t="s">
        <v>264</v>
      </c>
      <c r="D334" s="175"/>
      <c r="E334" s="175"/>
      <c r="F334" s="175"/>
      <c r="G334" s="175"/>
      <c r="H334" s="175"/>
      <c r="J334" s="99" t="s">
        <v>247</v>
      </c>
      <c r="P334" s="215"/>
      <c r="Q334" s="172"/>
      <c r="R334" s="172"/>
      <c r="S334" s="172"/>
      <c r="T334" s="172"/>
      <c r="U334" s="173"/>
    </row>
    <row r="335" spans="1:21" ht="16.95" customHeight="1" x14ac:dyDescent="0.3">
      <c r="A335" s="12" t="str">
        <f t="shared" ref="A335:A340" si="45">J326</f>
        <v>D4X</v>
      </c>
      <c r="C335" s="93">
        <f t="array" ref="C335:H340">MINVERSE(C326:H331)</f>
        <v>1.6032164105640808E-5</v>
      </c>
      <c r="D335" s="93">
        <v>3.7970914987044022E-6</v>
      </c>
      <c r="E335" s="93">
        <v>6.9095331192105369E-6</v>
      </c>
      <c r="F335" s="93">
        <v>0</v>
      </c>
      <c r="G335" s="93">
        <v>4.8622640468518596E-6</v>
      </c>
      <c r="H335" s="93">
        <v>-1.1515888532017561E-6</v>
      </c>
      <c r="J335" s="17">
        <f t="shared" ref="J335:J340" si="46">A326</f>
        <v>3000</v>
      </c>
      <c r="P335" s="215"/>
      <c r="Q335" s="172"/>
      <c r="R335" s="172"/>
      <c r="S335" s="172"/>
      <c r="T335" s="172"/>
      <c r="U335" s="173"/>
    </row>
    <row r="336" spans="1:21" ht="16.95" customHeight="1" x14ac:dyDescent="0.3">
      <c r="A336" s="12" t="str">
        <f t="shared" si="45"/>
        <v>D4Y</v>
      </c>
      <c r="C336" s="93">
        <v>3.7970914987044018E-6</v>
      </c>
      <c r="D336" s="93">
        <v>1.0689411395056558E-5</v>
      </c>
      <c r="E336" s="93">
        <v>1.6364683703393377E-6</v>
      </c>
      <c r="F336" s="93">
        <v>0</v>
      </c>
      <c r="G336" s="93">
        <v>1.1515888532017563E-6</v>
      </c>
      <c r="H336" s="93">
        <v>-2.7274472838988963E-7</v>
      </c>
      <c r="J336" s="17">
        <f t="shared" si="46"/>
        <v>0</v>
      </c>
      <c r="P336" s="215"/>
      <c r="Q336" s="172"/>
      <c r="R336" s="172"/>
      <c r="S336" s="172"/>
      <c r="T336" s="172"/>
      <c r="U336" s="173"/>
    </row>
    <row r="337" spans="1:21" ht="16.95" customHeight="1" x14ac:dyDescent="0.3">
      <c r="A337" s="12" t="str">
        <f t="shared" si="45"/>
        <v>D5X</v>
      </c>
      <c r="C337" s="93">
        <v>6.9095331192105377E-6</v>
      </c>
      <c r="D337" s="93">
        <v>1.6364683703393377E-6</v>
      </c>
      <c r="E337" s="93">
        <v>9.8188102220360251E-6</v>
      </c>
      <c r="F337" s="93">
        <v>0</v>
      </c>
      <c r="G337" s="93">
        <v>6.9095331192105377E-6</v>
      </c>
      <c r="H337" s="93">
        <v>-1.6364683703393377E-6</v>
      </c>
      <c r="J337" s="17">
        <f t="shared" si="46"/>
        <v>0</v>
      </c>
      <c r="P337" s="215"/>
      <c r="Q337" s="172"/>
      <c r="R337" s="172"/>
      <c r="S337" s="172"/>
      <c r="T337" s="172"/>
      <c r="U337" s="173"/>
    </row>
    <row r="338" spans="1:21" ht="16.95" customHeight="1" x14ac:dyDescent="0.3">
      <c r="A338" s="12" t="str">
        <f t="shared" si="45"/>
        <v>D5Y</v>
      </c>
      <c r="B338" s="13" t="s">
        <v>220</v>
      </c>
      <c r="C338" s="93">
        <v>0</v>
      </c>
      <c r="D338" s="93">
        <v>0</v>
      </c>
      <c r="E338" s="93">
        <v>0</v>
      </c>
      <c r="F338" s="93">
        <v>8.3133812184091518E-6</v>
      </c>
      <c r="G338" s="93">
        <v>0</v>
      </c>
      <c r="H338" s="93">
        <v>0</v>
      </c>
      <c r="J338" s="17">
        <f t="shared" si="46"/>
        <v>-10000</v>
      </c>
      <c r="P338" s="215"/>
      <c r="Q338" s="172"/>
      <c r="R338" s="172"/>
      <c r="S338" s="172"/>
      <c r="T338" s="172"/>
      <c r="U338" s="173"/>
    </row>
    <row r="339" spans="1:21" ht="16.95" customHeight="1" x14ac:dyDescent="0.3">
      <c r="A339" s="12" t="str">
        <f t="shared" si="45"/>
        <v>D6X</v>
      </c>
      <c r="C339" s="93">
        <v>4.8622640468518596E-6</v>
      </c>
      <c r="D339" s="93">
        <v>1.1515888532017563E-6</v>
      </c>
      <c r="E339" s="93">
        <v>6.9095331192105369E-6</v>
      </c>
      <c r="F339" s="93">
        <v>0</v>
      </c>
      <c r="G339" s="93">
        <v>1.6032164105640808E-5</v>
      </c>
      <c r="H339" s="93">
        <v>-3.7970914987044018E-6</v>
      </c>
      <c r="J339" s="17">
        <f t="shared" si="46"/>
        <v>0</v>
      </c>
      <c r="P339" s="215"/>
      <c r="Q339" s="172"/>
      <c r="R339" s="172"/>
      <c r="S339" s="172"/>
      <c r="T339" s="172"/>
      <c r="U339" s="173"/>
    </row>
    <row r="340" spans="1:21" ht="16.95" customHeight="1" x14ac:dyDescent="0.3">
      <c r="A340" s="12" t="str">
        <f t="shared" si="45"/>
        <v>D6Y</v>
      </c>
      <c r="C340" s="93">
        <v>-1.1515888532017561E-6</v>
      </c>
      <c r="D340" s="93">
        <v>-2.7274472838988963E-7</v>
      </c>
      <c r="E340" s="93">
        <v>-1.6364683703393379E-6</v>
      </c>
      <c r="F340" s="93">
        <v>0</v>
      </c>
      <c r="G340" s="93">
        <v>-3.7970914987044014E-6</v>
      </c>
      <c r="H340" s="93">
        <v>1.0689411395056556E-5</v>
      </c>
      <c r="J340" s="17">
        <f t="shared" si="46"/>
        <v>0</v>
      </c>
      <c r="P340" s="215"/>
      <c r="Q340" s="172"/>
      <c r="R340" s="172"/>
      <c r="S340" s="172"/>
      <c r="T340" s="172"/>
      <c r="U340" s="173"/>
    </row>
    <row r="341" spans="1:21" ht="16.95" customHeight="1" x14ac:dyDescent="0.3">
      <c r="P341" s="215"/>
      <c r="Q341" s="172"/>
      <c r="R341" s="172"/>
      <c r="S341" s="172"/>
      <c r="T341" s="172"/>
      <c r="U341" s="173"/>
    </row>
    <row r="342" spans="1:21" ht="16.95" customHeight="1" x14ac:dyDescent="0.3">
      <c r="C342" s="218" t="s">
        <v>265</v>
      </c>
      <c r="D342" s="173"/>
      <c r="P342" s="215"/>
      <c r="Q342" s="172"/>
      <c r="R342" s="172"/>
      <c r="S342" s="172"/>
      <c r="T342" s="172"/>
      <c r="U342" s="173"/>
    </row>
    <row r="343" spans="1:21" ht="16.95" customHeight="1" x14ac:dyDescent="0.3">
      <c r="A343" s="99" t="s">
        <v>249</v>
      </c>
      <c r="C343" s="99" t="s">
        <v>266</v>
      </c>
      <c r="P343" s="215"/>
      <c r="Q343" s="172"/>
      <c r="R343" s="172"/>
      <c r="S343" s="172"/>
      <c r="T343" s="172"/>
      <c r="U343" s="173"/>
    </row>
    <row r="344" spans="1:21" ht="16.95" customHeight="1" x14ac:dyDescent="0.3">
      <c r="A344" s="12" t="str">
        <f t="shared" ref="A344:A349" si="47">A335</f>
        <v>D4X</v>
      </c>
      <c r="C344" s="94">
        <f t="array" ref="C344:C349">MMULT(C335:H340, J335:J340)</f>
        <v>4.8096492316922423E-2</v>
      </c>
      <c r="D344" s="12" t="s">
        <v>267</v>
      </c>
      <c r="P344" s="215"/>
      <c r="Q344" s="172"/>
      <c r="R344" s="172"/>
      <c r="S344" s="172"/>
      <c r="T344" s="172"/>
      <c r="U344" s="173"/>
    </row>
    <row r="345" spans="1:21" ht="16.95" customHeight="1" x14ac:dyDescent="0.3">
      <c r="A345" s="12" t="str">
        <f t="shared" si="47"/>
        <v>D4Y</v>
      </c>
      <c r="C345" s="94">
        <v>1.1391274496113206E-2</v>
      </c>
      <c r="D345" s="12" t="s">
        <v>267</v>
      </c>
      <c r="P345" s="215"/>
      <c r="Q345" s="172"/>
      <c r="R345" s="172"/>
      <c r="S345" s="172"/>
      <c r="T345" s="172"/>
      <c r="U345" s="173"/>
    </row>
    <row r="346" spans="1:21" ht="16.95" customHeight="1" x14ac:dyDescent="0.3">
      <c r="A346" s="12" t="str">
        <f t="shared" si="47"/>
        <v>D5X</v>
      </c>
      <c r="C346" s="94">
        <v>2.0728599357631612E-2</v>
      </c>
      <c r="D346" s="12" t="s">
        <v>267</v>
      </c>
      <c r="P346" s="215"/>
      <c r="Q346" s="172"/>
      <c r="R346" s="172"/>
      <c r="S346" s="172"/>
      <c r="T346" s="172"/>
      <c r="U346" s="173"/>
    </row>
    <row r="347" spans="1:21" ht="16.95" customHeight="1" x14ac:dyDescent="0.3">
      <c r="A347" s="12" t="str">
        <f t="shared" si="47"/>
        <v>D5Y</v>
      </c>
      <c r="B347" s="13" t="s">
        <v>220</v>
      </c>
      <c r="C347" s="94">
        <v>-8.3133812184091521E-2</v>
      </c>
      <c r="D347" s="12" t="s">
        <v>267</v>
      </c>
      <c r="P347" s="215"/>
      <c r="Q347" s="172"/>
      <c r="R347" s="172"/>
      <c r="S347" s="172"/>
      <c r="T347" s="172"/>
      <c r="U347" s="173"/>
    </row>
    <row r="348" spans="1:21" ht="16.95" customHeight="1" x14ac:dyDescent="0.3">
      <c r="A348" s="12" t="str">
        <f t="shared" si="47"/>
        <v>D6X</v>
      </c>
      <c r="C348" s="94">
        <v>1.4586792140555579E-2</v>
      </c>
      <c r="D348" s="12" t="s">
        <v>267</v>
      </c>
      <c r="P348" s="215"/>
      <c r="Q348" s="172"/>
      <c r="R348" s="172"/>
      <c r="S348" s="172"/>
      <c r="T348" s="172"/>
      <c r="U348" s="173"/>
    </row>
    <row r="349" spans="1:21" ht="16.95" customHeight="1" x14ac:dyDescent="0.3">
      <c r="A349" s="12" t="str">
        <f t="shared" si="47"/>
        <v>D6Y</v>
      </c>
      <c r="C349" s="94">
        <v>-3.4547665596052681E-3</v>
      </c>
      <c r="D349" s="12" t="s">
        <v>267</v>
      </c>
      <c r="P349" s="215"/>
      <c r="Q349" s="172"/>
      <c r="R349" s="172"/>
      <c r="S349" s="172"/>
      <c r="T349" s="172"/>
      <c r="U349" s="173"/>
    </row>
    <row r="352" spans="1:21" ht="19.95" customHeight="1" x14ac:dyDescent="0.35">
      <c r="A352" s="11" t="s">
        <v>268</v>
      </c>
      <c r="P352" s="216" t="s">
        <v>269</v>
      </c>
      <c r="Q352" s="172"/>
      <c r="R352" s="172"/>
      <c r="S352" s="172"/>
      <c r="T352" s="172"/>
      <c r="U352" s="173"/>
    </row>
    <row r="353" spans="1:21" ht="16.95" customHeight="1" x14ac:dyDescent="0.3">
      <c r="A353" s="99" t="s">
        <v>247</v>
      </c>
      <c r="J353" s="99" t="s">
        <v>249</v>
      </c>
      <c r="P353" s="215" t="s">
        <v>389</v>
      </c>
      <c r="Q353" s="172"/>
      <c r="R353" s="172"/>
      <c r="S353" s="172"/>
      <c r="T353" s="172"/>
      <c r="U353" s="173"/>
    </row>
    <row r="354" spans="1:21" ht="16.95" customHeight="1" x14ac:dyDescent="0.3">
      <c r="A354" s="18" t="str">
        <f t="shared" ref="A354:A359" si="48">INDEX(B$280:B$291, MATCH(K354, C$280:C$291, 0))</f>
        <v>C1X</v>
      </c>
      <c r="C354" s="9">
        <f t="shared" ref="C354:H359" si="49">INDEX($B$265:$M$276, MATCH($K354, $N$265:$N$276, 0), MATCH(C$325, $B$264:$M$264, 0))</f>
        <v>0</v>
      </c>
      <c r="D354" s="9">
        <f t="shared" si="49"/>
        <v>0</v>
      </c>
      <c r="E354" s="9">
        <f t="shared" si="49"/>
        <v>-32256.000000000007</v>
      </c>
      <c r="F354" s="9">
        <f t="shared" si="49"/>
        <v>-24192</v>
      </c>
      <c r="G354" s="9">
        <f t="shared" si="49"/>
        <v>0</v>
      </c>
      <c r="H354" s="9">
        <f t="shared" si="49"/>
        <v>0</v>
      </c>
      <c r="J354" s="95">
        <f t="shared" ref="J354:J359" si="50">C344</f>
        <v>4.8096492316922423E-2</v>
      </c>
      <c r="K354" s="14" t="str">
        <f>INDEX(C$294:C$305, MATCH(1, G$294:G$305, 0))</f>
        <v>U1X</v>
      </c>
      <c r="P354" s="215" t="s">
        <v>390</v>
      </c>
      <c r="Q354" s="172"/>
      <c r="R354" s="172"/>
      <c r="S354" s="172"/>
      <c r="T354" s="172"/>
      <c r="U354" s="173"/>
    </row>
    <row r="355" spans="1:21" ht="16.95" customHeight="1" x14ac:dyDescent="0.3">
      <c r="A355" s="18" t="str">
        <f t="shared" si="48"/>
        <v>C1Y</v>
      </c>
      <c r="C355" s="9">
        <f t="shared" si="49"/>
        <v>0</v>
      </c>
      <c r="D355" s="9">
        <f t="shared" si="49"/>
        <v>-84000</v>
      </c>
      <c r="E355" s="9">
        <f t="shared" si="49"/>
        <v>-24192</v>
      </c>
      <c r="F355" s="9">
        <f t="shared" si="49"/>
        <v>-18144</v>
      </c>
      <c r="G355" s="9">
        <f t="shared" si="49"/>
        <v>0</v>
      </c>
      <c r="H355" s="9">
        <f t="shared" si="49"/>
        <v>0</v>
      </c>
      <c r="J355" s="95">
        <f t="shared" si="50"/>
        <v>1.1391274496113206E-2</v>
      </c>
      <c r="K355" s="14" t="str">
        <f>INDEX(C$294:C$305, MATCH(2, G$294:G$305, 0))</f>
        <v>U1Y</v>
      </c>
      <c r="P355" s="215" t="s">
        <v>391</v>
      </c>
      <c r="Q355" s="172"/>
      <c r="R355" s="172"/>
      <c r="S355" s="172"/>
      <c r="T355" s="172"/>
      <c r="U355" s="173"/>
    </row>
    <row r="356" spans="1:21" ht="16.95" customHeight="1" x14ac:dyDescent="0.3">
      <c r="A356" s="18" t="str">
        <f t="shared" si="48"/>
        <v>C2X</v>
      </c>
      <c r="C356" s="9">
        <f t="shared" si="49"/>
        <v>-32256.000000000007</v>
      </c>
      <c r="D356" s="9">
        <f t="shared" si="49"/>
        <v>24192</v>
      </c>
      <c r="E356" s="9">
        <f t="shared" si="49"/>
        <v>0</v>
      </c>
      <c r="F356" s="9">
        <f t="shared" si="49"/>
        <v>0</v>
      </c>
      <c r="G356" s="9">
        <f t="shared" si="49"/>
        <v>-32256.000000000007</v>
      </c>
      <c r="H356" s="9">
        <f t="shared" si="49"/>
        <v>-24192</v>
      </c>
      <c r="J356" s="95">
        <f t="shared" si="50"/>
        <v>2.0728599357631612E-2</v>
      </c>
      <c r="K356" s="14" t="str">
        <f>INDEX(C$294:C$305, MATCH(3, G$294:G$305, 0))</f>
        <v>U2X</v>
      </c>
      <c r="P356" s="215" t="s">
        <v>392</v>
      </c>
      <c r="Q356" s="172"/>
      <c r="R356" s="172"/>
      <c r="S356" s="172"/>
      <c r="T356" s="172"/>
      <c r="U356" s="173"/>
    </row>
    <row r="357" spans="1:21" ht="16.95" customHeight="1" x14ac:dyDescent="0.3">
      <c r="A357" s="18" t="str">
        <f t="shared" si="48"/>
        <v>C2Y</v>
      </c>
      <c r="B357" s="13" t="s">
        <v>220</v>
      </c>
      <c r="C357" s="9">
        <f t="shared" si="49"/>
        <v>24192</v>
      </c>
      <c r="D357" s="9">
        <f t="shared" si="49"/>
        <v>-18144</v>
      </c>
      <c r="E357" s="9">
        <f t="shared" si="49"/>
        <v>0</v>
      </c>
      <c r="F357" s="9">
        <f t="shared" si="49"/>
        <v>-84000</v>
      </c>
      <c r="G357" s="9">
        <f t="shared" si="49"/>
        <v>-24192</v>
      </c>
      <c r="H357" s="9">
        <f t="shared" si="49"/>
        <v>-18144</v>
      </c>
      <c r="J357" s="95">
        <f t="shared" si="50"/>
        <v>-8.3133812184091521E-2</v>
      </c>
      <c r="K357" s="14" t="str">
        <f>INDEX(C$294:C$305, MATCH(4, G$294:G$305, 0))</f>
        <v>U2Y</v>
      </c>
      <c r="P357" s="215" t="s">
        <v>393</v>
      </c>
      <c r="Q357" s="172"/>
      <c r="R357" s="172"/>
      <c r="S357" s="172"/>
      <c r="T357" s="172"/>
      <c r="U357" s="173"/>
    </row>
    <row r="358" spans="1:21" ht="16.95" customHeight="1" x14ac:dyDescent="0.3">
      <c r="A358" s="18" t="str">
        <f t="shared" si="48"/>
        <v>C3X</v>
      </c>
      <c r="C358" s="9">
        <f t="shared" si="49"/>
        <v>0</v>
      </c>
      <c r="D358" s="9">
        <f t="shared" si="49"/>
        <v>0</v>
      </c>
      <c r="E358" s="9">
        <f t="shared" si="49"/>
        <v>-32256.000000000007</v>
      </c>
      <c r="F358" s="9">
        <f t="shared" si="49"/>
        <v>24192</v>
      </c>
      <c r="G358" s="9">
        <f t="shared" si="49"/>
        <v>0</v>
      </c>
      <c r="H358" s="9">
        <f t="shared" si="49"/>
        <v>0</v>
      </c>
      <c r="J358" s="95">
        <f t="shared" si="50"/>
        <v>1.4586792140555579E-2</v>
      </c>
      <c r="K358" s="14" t="str">
        <f>INDEX(C$294:C$305, MATCH(5, G$294:G$305, 0))</f>
        <v>U3X</v>
      </c>
      <c r="P358" s="215" t="s">
        <v>394</v>
      </c>
      <c r="Q358" s="172"/>
      <c r="R358" s="172"/>
      <c r="S358" s="172"/>
      <c r="T358" s="172"/>
      <c r="U358" s="173"/>
    </row>
    <row r="359" spans="1:21" ht="16.95" customHeight="1" x14ac:dyDescent="0.3">
      <c r="A359" s="18" t="str">
        <f t="shared" si="48"/>
        <v>C3Y</v>
      </c>
      <c r="C359" s="9">
        <f t="shared" si="49"/>
        <v>0</v>
      </c>
      <c r="D359" s="9">
        <f t="shared" si="49"/>
        <v>0</v>
      </c>
      <c r="E359" s="9">
        <f t="shared" si="49"/>
        <v>24192</v>
      </c>
      <c r="F359" s="9">
        <f t="shared" si="49"/>
        <v>-18144</v>
      </c>
      <c r="G359" s="9">
        <f t="shared" si="49"/>
        <v>0</v>
      </c>
      <c r="H359" s="9">
        <f t="shared" si="49"/>
        <v>-84000</v>
      </c>
      <c r="J359" s="95">
        <f t="shared" si="50"/>
        <v>-3.4547665596052681E-3</v>
      </c>
      <c r="K359" s="14" t="str">
        <f>INDEX(C$294:C$305, MATCH(6, G$294:G$305, 0))</f>
        <v>U3Y</v>
      </c>
      <c r="P359" s="215"/>
      <c r="Q359" s="172"/>
      <c r="R359" s="172"/>
      <c r="S359" s="172"/>
      <c r="T359" s="172"/>
      <c r="U359" s="173"/>
    </row>
    <row r="360" spans="1:21" ht="16.95" customHeight="1" x14ac:dyDescent="0.3">
      <c r="P360" s="215"/>
      <c r="Q360" s="172"/>
      <c r="R360" s="172"/>
      <c r="S360" s="172"/>
      <c r="T360" s="172"/>
      <c r="U360" s="173"/>
    </row>
    <row r="361" spans="1:21" ht="16.95" customHeight="1" x14ac:dyDescent="0.3">
      <c r="A361" s="12" t="str">
        <f t="shared" ref="A361:A366" si="51">A354</f>
        <v>C1X</v>
      </c>
      <c r="C361" s="17">
        <f t="array" ref="C361:C366">MMULT(C354:H359, J354:J359)</f>
        <v>1342.5514834777769</v>
      </c>
      <c r="D361" s="12" t="s">
        <v>273</v>
      </c>
      <c r="P361" s="215"/>
      <c r="Q361" s="172"/>
      <c r="R361" s="172"/>
      <c r="S361" s="172"/>
      <c r="T361" s="172"/>
      <c r="U361" s="173"/>
    </row>
    <row r="362" spans="1:21" ht="16.95" customHeight="1" x14ac:dyDescent="0.3">
      <c r="A362" s="12" t="str">
        <f t="shared" si="51"/>
        <v>C1Y</v>
      </c>
      <c r="C362" s="17">
        <v>50.046554934823234</v>
      </c>
      <c r="D362" s="12" t="s">
        <v>273</v>
      </c>
      <c r="P362" s="215"/>
      <c r="Q362" s="172"/>
      <c r="R362" s="172"/>
      <c r="S362" s="172"/>
      <c r="T362" s="172"/>
      <c r="U362" s="173"/>
    </row>
    <row r="363" spans="1:21" ht="16.95" customHeight="1" x14ac:dyDescent="0.3">
      <c r="A363" s="12" t="str">
        <f t="shared" si="51"/>
        <v>C2X</v>
      </c>
      <c r="C363" s="17">
        <v>-1662.7565982404699</v>
      </c>
      <c r="D363" s="12" t="s">
        <v>273</v>
      </c>
      <c r="P363" s="215"/>
      <c r="Q363" s="172"/>
      <c r="R363" s="172"/>
      <c r="S363" s="172"/>
      <c r="T363" s="172"/>
      <c r="U363" s="173"/>
    </row>
    <row r="364" spans="1:21" ht="16.95" customHeight="1" x14ac:dyDescent="0.3">
      <c r="A364" s="12" t="str">
        <f t="shared" si="51"/>
        <v>C2Y</v>
      </c>
      <c r="B364" s="13" t="s">
        <v>220</v>
      </c>
      <c r="C364" s="17">
        <v>7649.9068901303544</v>
      </c>
      <c r="D364" s="12" t="s">
        <v>273</v>
      </c>
      <c r="P364" s="215"/>
      <c r="Q364" s="172"/>
      <c r="R364" s="172"/>
      <c r="S364" s="172"/>
      <c r="T364" s="172"/>
      <c r="U364" s="173"/>
    </row>
    <row r="365" spans="1:21" ht="16.95" customHeight="1" x14ac:dyDescent="0.3">
      <c r="A365" s="12" t="str">
        <f t="shared" si="51"/>
        <v>C3X</v>
      </c>
      <c r="C365" s="17">
        <v>-2679.7948852373074</v>
      </c>
      <c r="D365" s="12" t="s">
        <v>273</v>
      </c>
      <c r="P365" s="215"/>
      <c r="Q365" s="172"/>
      <c r="R365" s="172"/>
      <c r="S365" s="172"/>
      <c r="T365" s="172"/>
      <c r="U365" s="173"/>
    </row>
    <row r="366" spans="1:21" ht="16.95" customHeight="1" x14ac:dyDescent="0.3">
      <c r="A366" s="12" t="str">
        <f t="shared" si="51"/>
        <v>C3Y</v>
      </c>
      <c r="C366" s="17">
        <v>2300.0465549348228</v>
      </c>
      <c r="D366" s="12" t="s">
        <v>273</v>
      </c>
      <c r="P366" s="215"/>
      <c r="Q366" s="172"/>
      <c r="R366" s="172"/>
      <c r="S366" s="172"/>
      <c r="T366" s="172"/>
      <c r="U366" s="173"/>
    </row>
    <row r="369" spans="1:4" ht="19.95" customHeight="1" x14ac:dyDescent="0.35">
      <c r="A369" s="11" t="s">
        <v>274</v>
      </c>
    </row>
    <row r="371" spans="1:4" ht="19.05" customHeight="1" x14ac:dyDescent="0.3">
      <c r="A371" s="12" t="s">
        <v>228</v>
      </c>
      <c r="B371" s="12" t="s">
        <v>178</v>
      </c>
      <c r="D371" s="94">
        <f t="shared" ref="D371:D382" si="52">IFERROR(INDEX(C$344:C$349, MATCH(A371, A$344:A$349, 0)), 0)</f>
        <v>0</v>
      </c>
    </row>
    <row r="372" spans="1:4" ht="19.05" customHeight="1" x14ac:dyDescent="0.3">
      <c r="A372" s="12" t="s">
        <v>229</v>
      </c>
      <c r="B372" s="12" t="s">
        <v>179</v>
      </c>
      <c r="D372" s="94">
        <f t="shared" si="52"/>
        <v>0</v>
      </c>
    </row>
    <row r="373" spans="1:4" ht="19.05" customHeight="1" x14ac:dyDescent="0.3">
      <c r="A373" s="12" t="s">
        <v>230</v>
      </c>
      <c r="B373" s="12" t="s">
        <v>180</v>
      </c>
      <c r="D373" s="94">
        <f t="shared" si="52"/>
        <v>0</v>
      </c>
    </row>
    <row r="374" spans="1:4" ht="19.05" customHeight="1" x14ac:dyDescent="0.3">
      <c r="A374" s="12" t="s">
        <v>231</v>
      </c>
      <c r="B374" s="12" t="s">
        <v>181</v>
      </c>
      <c r="D374" s="94">
        <f t="shared" si="52"/>
        <v>0</v>
      </c>
    </row>
    <row r="375" spans="1:4" ht="19.05" customHeight="1" x14ac:dyDescent="0.3">
      <c r="A375" s="12" t="s">
        <v>232</v>
      </c>
      <c r="B375" s="12" t="s">
        <v>182</v>
      </c>
      <c r="D375" s="94">
        <f t="shared" si="52"/>
        <v>0</v>
      </c>
    </row>
    <row r="376" spans="1:4" ht="19.05" customHeight="1" x14ac:dyDescent="0.3">
      <c r="A376" s="12" t="s">
        <v>234</v>
      </c>
      <c r="B376" s="12" t="s">
        <v>183</v>
      </c>
      <c r="D376" s="94">
        <f t="shared" si="52"/>
        <v>0</v>
      </c>
    </row>
    <row r="377" spans="1:4" ht="19.05" customHeight="1" x14ac:dyDescent="0.3">
      <c r="A377" s="12" t="s">
        <v>235</v>
      </c>
      <c r="B377" s="12" t="s">
        <v>184</v>
      </c>
      <c r="D377" s="94">
        <f t="shared" si="52"/>
        <v>4.8096492316922423E-2</v>
      </c>
    </row>
    <row r="378" spans="1:4" ht="19.05" customHeight="1" x14ac:dyDescent="0.3">
      <c r="A378" s="12" t="s">
        <v>236</v>
      </c>
      <c r="B378" s="12" t="s">
        <v>185</v>
      </c>
      <c r="D378" s="94">
        <f t="shared" si="52"/>
        <v>1.1391274496113206E-2</v>
      </c>
    </row>
    <row r="379" spans="1:4" ht="19.05" customHeight="1" x14ac:dyDescent="0.3">
      <c r="A379" s="12" t="s">
        <v>237</v>
      </c>
      <c r="B379" s="12" t="s">
        <v>186</v>
      </c>
      <c r="D379" s="94">
        <f t="shared" si="52"/>
        <v>2.0728599357631612E-2</v>
      </c>
    </row>
    <row r="380" spans="1:4" ht="19.05" customHeight="1" x14ac:dyDescent="0.3">
      <c r="A380" s="12" t="s">
        <v>238</v>
      </c>
      <c r="B380" s="12" t="s">
        <v>187</v>
      </c>
      <c r="D380" s="94">
        <f t="shared" si="52"/>
        <v>-8.3133812184091521E-2</v>
      </c>
    </row>
    <row r="381" spans="1:4" ht="19.05" customHeight="1" x14ac:dyDescent="0.3">
      <c r="A381" s="12" t="s">
        <v>239</v>
      </c>
      <c r="B381" s="12" t="s">
        <v>188</v>
      </c>
      <c r="D381" s="94">
        <f t="shared" si="52"/>
        <v>1.4586792140555579E-2</v>
      </c>
    </row>
    <row r="382" spans="1:4" ht="19.05" customHeight="1" x14ac:dyDescent="0.3">
      <c r="A382" s="12" t="s">
        <v>240</v>
      </c>
      <c r="B382" s="12" t="s">
        <v>189</v>
      </c>
      <c r="D382" s="94">
        <f t="shared" si="52"/>
        <v>-3.4547665596052681E-3</v>
      </c>
    </row>
    <row r="385" spans="1:21" ht="19.95" customHeight="1" x14ac:dyDescent="0.35">
      <c r="A385" s="11" t="s">
        <v>275</v>
      </c>
      <c r="P385" s="216" t="s">
        <v>276</v>
      </c>
      <c r="Q385" s="172"/>
      <c r="R385" s="172"/>
      <c r="S385" s="172"/>
      <c r="T385" s="172"/>
      <c r="U385" s="173"/>
    </row>
    <row r="386" spans="1:21" ht="16.95" customHeight="1" x14ac:dyDescent="0.3">
      <c r="P386" s="215" t="s">
        <v>395</v>
      </c>
      <c r="Q386" s="172"/>
      <c r="R386" s="172"/>
      <c r="S386" s="172"/>
      <c r="T386" s="172"/>
      <c r="U386" s="173"/>
    </row>
    <row r="387" spans="1:21" ht="16.95" customHeight="1" x14ac:dyDescent="0.3">
      <c r="A387" s="19" t="s">
        <v>278</v>
      </c>
      <c r="C387" s="19" t="s">
        <v>279</v>
      </c>
      <c r="D387" s="19" t="s">
        <v>280</v>
      </c>
      <c r="E387" s="19" t="s">
        <v>279</v>
      </c>
      <c r="F387" s="19" t="s">
        <v>280</v>
      </c>
      <c r="G387" s="19" t="s">
        <v>249</v>
      </c>
      <c r="P387" s="215" t="s">
        <v>396</v>
      </c>
      <c r="Q387" s="172"/>
      <c r="R387" s="172"/>
      <c r="S387" s="172"/>
      <c r="T387" s="172"/>
      <c r="U387" s="173"/>
    </row>
    <row r="388" spans="1:21" ht="16.95" customHeight="1" x14ac:dyDescent="0.3">
      <c r="C388" s="19" t="s">
        <v>282</v>
      </c>
      <c r="D388" s="19" t="s">
        <v>282</v>
      </c>
      <c r="E388" s="19" t="s">
        <v>283</v>
      </c>
      <c r="F388" s="19" t="s">
        <v>283</v>
      </c>
      <c r="P388" s="215" t="s">
        <v>397</v>
      </c>
      <c r="Q388" s="172"/>
      <c r="R388" s="172"/>
      <c r="S388" s="172"/>
      <c r="T388" s="172"/>
      <c r="U388" s="173"/>
    </row>
    <row r="389" spans="1:21" ht="16.95" customHeight="1" x14ac:dyDescent="0.3">
      <c r="A389" s="17">
        <f>N6</f>
        <v>63000</v>
      </c>
      <c r="C389" s="92">
        <f>-J6</f>
        <v>-1</v>
      </c>
      <c r="D389" s="92">
        <f>-K6</f>
        <v>0</v>
      </c>
      <c r="E389" s="92">
        <f>J6</f>
        <v>1</v>
      </c>
      <c r="F389" s="92">
        <f>K6</f>
        <v>0</v>
      </c>
      <c r="G389" s="96">
        <f>IFERROR(VLOOKUP(H389, A$371:D$382, 4, FALSE), 0)</f>
        <v>0</v>
      </c>
      <c r="H389" s="12" t="str">
        <f>"D" &amp; C20 &amp; "X"</f>
        <v>D1X</v>
      </c>
      <c r="P389" s="215" t="s">
        <v>398</v>
      </c>
      <c r="Q389" s="172"/>
      <c r="R389" s="172"/>
      <c r="S389" s="172"/>
      <c r="T389" s="172"/>
      <c r="U389" s="173"/>
    </row>
    <row r="390" spans="1:21" ht="16.95" customHeight="1" x14ac:dyDescent="0.3">
      <c r="A390" s="99" t="s">
        <v>285</v>
      </c>
      <c r="B390" s="97">
        <f>(MMULT(C389:F389, G389:G392)*A389)</f>
        <v>0</v>
      </c>
      <c r="G390" s="96">
        <f>IFERROR(VLOOKUP(H390, A$371:D$382, 4, FALSE), 0)</f>
        <v>0</v>
      </c>
      <c r="H390" s="12" t="str">
        <f>"D" &amp; D20 &amp; "Y"</f>
        <v>D1Y</v>
      </c>
      <c r="P390" s="215" t="s">
        <v>399</v>
      </c>
      <c r="Q390" s="172"/>
      <c r="R390" s="172"/>
      <c r="S390" s="172"/>
      <c r="T390" s="172"/>
      <c r="U390" s="173"/>
    </row>
    <row r="391" spans="1:21" ht="16.95" customHeight="1" x14ac:dyDescent="0.3">
      <c r="G391" s="96">
        <f>IFERROR(VLOOKUP(H391, A$371:D$382, 4, FALSE), 0)</f>
        <v>0</v>
      </c>
      <c r="H391" s="12" t="str">
        <f>"D" &amp; E20 &amp; "X"</f>
        <v>D2X</v>
      </c>
      <c r="P391" s="215" t="s">
        <v>400</v>
      </c>
      <c r="Q391" s="172"/>
      <c r="R391" s="172"/>
      <c r="S391" s="172"/>
      <c r="T391" s="172"/>
      <c r="U391" s="173"/>
    </row>
    <row r="392" spans="1:21" ht="16.95" customHeight="1" x14ac:dyDescent="0.3">
      <c r="G392" s="96">
        <f>IFERROR(VLOOKUP(H392, A$371:D$382, 4, FALSE), 0)</f>
        <v>0</v>
      </c>
      <c r="H392" s="12" t="str">
        <f>"D" &amp; F20 &amp; "Y"</f>
        <v>D2Y</v>
      </c>
      <c r="P392" s="215" t="s">
        <v>401</v>
      </c>
      <c r="Q392" s="172"/>
      <c r="R392" s="172"/>
      <c r="S392" s="172"/>
      <c r="T392" s="172"/>
      <c r="U392" s="173"/>
    </row>
    <row r="393" spans="1:21" ht="16.95" customHeight="1" x14ac:dyDescent="0.3">
      <c r="B393" s="99" t="s">
        <v>273</v>
      </c>
      <c r="C393" s="178" t="str">
        <f>IF(B390&gt;0.001,"BARRA A TRACCIÓN (+)",IF(B390&lt;-0.001,"BARRA A COMPRESIÓN (-)","BARRA DE FUERZA NULA"))</f>
        <v>BARRA DE FUERZA NULA</v>
      </c>
      <c r="D393" s="172"/>
      <c r="E393" s="172"/>
      <c r="F393" s="173"/>
      <c r="P393" s="215" t="s">
        <v>402</v>
      </c>
      <c r="Q393" s="172"/>
      <c r="R393" s="172"/>
      <c r="S393" s="172"/>
      <c r="T393" s="172"/>
      <c r="U393" s="173"/>
    </row>
    <row r="394" spans="1:21" ht="16.95" customHeight="1" x14ac:dyDescent="0.3">
      <c r="P394" s="215" t="s">
        <v>403</v>
      </c>
      <c r="Q394" s="172"/>
      <c r="R394" s="172"/>
      <c r="S394" s="172"/>
      <c r="T394" s="172"/>
      <c r="U394" s="173"/>
    </row>
    <row r="395" spans="1:21" ht="16.95" customHeight="1" x14ac:dyDescent="0.3">
      <c r="A395" s="19" t="s">
        <v>278</v>
      </c>
      <c r="C395" s="19" t="s">
        <v>279</v>
      </c>
      <c r="D395" s="19" t="s">
        <v>280</v>
      </c>
      <c r="E395" s="19" t="s">
        <v>279</v>
      </c>
      <c r="F395" s="19" t="s">
        <v>280</v>
      </c>
      <c r="G395" s="19" t="s">
        <v>249</v>
      </c>
      <c r="P395" s="215"/>
      <c r="Q395" s="172"/>
      <c r="R395" s="172"/>
      <c r="S395" s="172"/>
      <c r="T395" s="172"/>
      <c r="U395" s="173"/>
    </row>
    <row r="396" spans="1:21" ht="16.95" customHeight="1" x14ac:dyDescent="0.3">
      <c r="C396" s="19" t="s">
        <v>282</v>
      </c>
      <c r="D396" s="19" t="s">
        <v>282</v>
      </c>
      <c r="E396" s="19" t="s">
        <v>283</v>
      </c>
      <c r="F396" s="19" t="s">
        <v>283</v>
      </c>
      <c r="P396" s="215"/>
      <c r="Q396" s="172"/>
      <c r="R396" s="172"/>
      <c r="S396" s="172"/>
      <c r="T396" s="172"/>
      <c r="U396" s="173"/>
    </row>
    <row r="397" spans="1:21" ht="16.95" customHeight="1" x14ac:dyDescent="0.3">
      <c r="A397" s="17">
        <f>N7</f>
        <v>63000</v>
      </c>
      <c r="C397" s="92">
        <f>-J7</f>
        <v>-1</v>
      </c>
      <c r="D397" s="92">
        <f>-K7</f>
        <v>0</v>
      </c>
      <c r="E397" s="92">
        <f>J7</f>
        <v>1</v>
      </c>
      <c r="F397" s="92">
        <f>K7</f>
        <v>0</v>
      </c>
      <c r="G397" s="96">
        <f>IFERROR(VLOOKUP(H397, A$371:D$382, 4, FALSE), 0)</f>
        <v>0</v>
      </c>
      <c r="H397" s="12" t="str">
        <f>"D" &amp; C21 &amp; "X"</f>
        <v>D2X</v>
      </c>
      <c r="P397" s="215"/>
      <c r="Q397" s="172"/>
      <c r="R397" s="172"/>
      <c r="S397" s="172"/>
      <c r="T397" s="172"/>
      <c r="U397" s="173"/>
    </row>
    <row r="398" spans="1:21" ht="16.95" customHeight="1" x14ac:dyDescent="0.3">
      <c r="A398" s="99" t="s">
        <v>286</v>
      </c>
      <c r="B398" s="97">
        <f>(MMULT(C397:F397, G397:G400)*A397)</f>
        <v>0</v>
      </c>
      <c r="G398" s="96">
        <f>IFERROR(VLOOKUP(H398, A$371:D$382, 4, FALSE), 0)</f>
        <v>0</v>
      </c>
      <c r="H398" s="12" t="str">
        <f>"D" &amp; D21 &amp; "Y"</f>
        <v>D2Y</v>
      </c>
      <c r="P398" s="215"/>
      <c r="Q398" s="172"/>
      <c r="R398" s="172"/>
      <c r="S398" s="172"/>
      <c r="T398" s="172"/>
      <c r="U398" s="173"/>
    </row>
    <row r="399" spans="1:21" ht="16.95" customHeight="1" x14ac:dyDescent="0.3">
      <c r="G399" s="96">
        <f>IFERROR(VLOOKUP(H399, A$371:D$382, 4, FALSE), 0)</f>
        <v>0</v>
      </c>
      <c r="H399" s="12" t="str">
        <f>"D" &amp; E21 &amp; "X"</f>
        <v>D3X</v>
      </c>
      <c r="P399" s="215"/>
      <c r="Q399" s="172"/>
      <c r="R399" s="172"/>
      <c r="S399" s="172"/>
      <c r="T399" s="172"/>
      <c r="U399" s="173"/>
    </row>
    <row r="400" spans="1:21" ht="16.95" customHeight="1" x14ac:dyDescent="0.3">
      <c r="G400" s="96">
        <f>IFERROR(VLOOKUP(H400, A$371:D$382, 4, FALSE), 0)</f>
        <v>0</v>
      </c>
      <c r="H400" s="12" t="str">
        <f>"D" &amp; F21 &amp; "Y"</f>
        <v>D3Y</v>
      </c>
      <c r="P400" s="215"/>
      <c r="Q400" s="172"/>
      <c r="R400" s="172"/>
      <c r="S400" s="172"/>
      <c r="T400" s="172"/>
      <c r="U400" s="173"/>
    </row>
    <row r="401" spans="1:21" ht="16.95" customHeight="1" x14ac:dyDescent="0.3">
      <c r="B401" s="99" t="s">
        <v>273</v>
      </c>
      <c r="C401" s="178" t="str">
        <f>IF(B398&gt;0.001,"BARRA A TRACCIÓN (+)",IF(B398&lt;-0.001,"BARRA A COMPRESIÓN (-)","BARRA DE FUERZA NULA"))</f>
        <v>BARRA DE FUERZA NULA</v>
      </c>
      <c r="D401" s="172"/>
      <c r="E401" s="172"/>
      <c r="F401" s="173"/>
      <c r="P401" s="215"/>
      <c r="Q401" s="172"/>
      <c r="R401" s="172"/>
      <c r="S401" s="172"/>
      <c r="T401" s="172"/>
      <c r="U401" s="173"/>
    </row>
    <row r="402" spans="1:21" ht="16.95" customHeight="1" x14ac:dyDescent="0.3">
      <c r="P402" s="215"/>
      <c r="Q402" s="172"/>
      <c r="R402" s="172"/>
      <c r="S402" s="172"/>
      <c r="T402" s="172"/>
      <c r="U402" s="173"/>
    </row>
    <row r="403" spans="1:21" ht="16.95" customHeight="1" x14ac:dyDescent="0.3">
      <c r="A403" s="19" t="s">
        <v>278</v>
      </c>
      <c r="C403" s="19" t="s">
        <v>279</v>
      </c>
      <c r="D403" s="19" t="s">
        <v>280</v>
      </c>
      <c r="E403" s="19" t="s">
        <v>279</v>
      </c>
      <c r="F403" s="19" t="s">
        <v>280</v>
      </c>
      <c r="G403" s="19" t="s">
        <v>249</v>
      </c>
      <c r="P403" s="215"/>
      <c r="Q403" s="172"/>
      <c r="R403" s="172"/>
      <c r="S403" s="172"/>
      <c r="T403" s="172"/>
      <c r="U403" s="173"/>
    </row>
    <row r="404" spans="1:21" ht="16.95" customHeight="1" x14ac:dyDescent="0.3">
      <c r="C404" s="19" t="s">
        <v>282</v>
      </c>
      <c r="D404" s="19" t="s">
        <v>282</v>
      </c>
      <c r="E404" s="19" t="s">
        <v>283</v>
      </c>
      <c r="F404" s="19" t="s">
        <v>283</v>
      </c>
      <c r="P404" s="215"/>
      <c r="Q404" s="172"/>
      <c r="R404" s="172"/>
      <c r="S404" s="172"/>
      <c r="T404" s="172"/>
      <c r="U404" s="173"/>
    </row>
    <row r="405" spans="1:21" ht="16.95" customHeight="1" x14ac:dyDescent="0.3">
      <c r="A405" s="17">
        <f>N8</f>
        <v>63000</v>
      </c>
      <c r="C405" s="92">
        <f>-J8</f>
        <v>-1</v>
      </c>
      <c r="D405" s="92">
        <f>-K8</f>
        <v>0</v>
      </c>
      <c r="E405" s="92">
        <f>J8</f>
        <v>1</v>
      </c>
      <c r="F405" s="92">
        <f>K8</f>
        <v>0</v>
      </c>
      <c r="G405" s="96">
        <f>IFERROR(VLOOKUP(H405, A$371:D$382, 4, FALSE), 0)</f>
        <v>4.8096492316922423E-2</v>
      </c>
      <c r="H405" s="12" t="str">
        <f>"D" &amp; C22 &amp; "X"</f>
        <v>D4X</v>
      </c>
      <c r="P405" s="215"/>
      <c r="Q405" s="172"/>
      <c r="R405" s="172"/>
      <c r="S405" s="172"/>
      <c r="T405" s="172"/>
      <c r="U405" s="173"/>
    </row>
    <row r="406" spans="1:21" ht="16.95" customHeight="1" x14ac:dyDescent="0.3">
      <c r="A406" s="99" t="s">
        <v>287</v>
      </c>
      <c r="B406" s="97">
        <f>(MMULT(C405:F405, G405:G408)*A405)</f>
        <v>-1724.1772564353212</v>
      </c>
      <c r="G406" s="96">
        <f>IFERROR(VLOOKUP(H406, A$371:D$382, 4, FALSE), 0)</f>
        <v>1.1391274496113206E-2</v>
      </c>
      <c r="H406" s="12" t="str">
        <f>"D" &amp; D22 &amp; "Y"</f>
        <v>D4Y</v>
      </c>
      <c r="P406" s="215"/>
      <c r="Q406" s="172"/>
      <c r="R406" s="172"/>
      <c r="S406" s="172"/>
      <c r="T406" s="172"/>
      <c r="U406" s="173"/>
    </row>
    <row r="407" spans="1:21" ht="16.95" customHeight="1" x14ac:dyDescent="0.3">
      <c r="G407" s="96">
        <f>IFERROR(VLOOKUP(H407, A$371:D$382, 4, FALSE), 0)</f>
        <v>2.0728599357631612E-2</v>
      </c>
      <c r="H407" s="12" t="str">
        <f>"D" &amp; E22 &amp; "X"</f>
        <v>D5X</v>
      </c>
      <c r="P407" s="215"/>
      <c r="Q407" s="172"/>
      <c r="R407" s="172"/>
      <c r="S407" s="172"/>
      <c r="T407" s="172"/>
      <c r="U407" s="173"/>
    </row>
    <row r="408" spans="1:21" ht="16.95" customHeight="1" x14ac:dyDescent="0.3">
      <c r="G408" s="96">
        <f>IFERROR(VLOOKUP(H408, A$371:D$382, 4, FALSE), 0)</f>
        <v>-8.3133812184091521E-2</v>
      </c>
      <c r="H408" s="12" t="str">
        <f>"D" &amp; F22 &amp; "Y"</f>
        <v>D5Y</v>
      </c>
      <c r="P408" s="215"/>
      <c r="Q408" s="172"/>
      <c r="R408" s="172"/>
      <c r="S408" s="172"/>
      <c r="T408" s="172"/>
      <c r="U408" s="173"/>
    </row>
    <row r="409" spans="1:21" ht="16.95" customHeight="1" x14ac:dyDescent="0.3">
      <c r="B409" s="99" t="s">
        <v>273</v>
      </c>
      <c r="C409" s="178" t="str">
        <f>IF(B406&gt;0.001,"BARRA A TRACCIÓN (+)",IF(B406&lt;-0.001,"BARRA A COMPRESIÓN (-)","BARRA DE FUERZA NULA"))</f>
        <v>BARRA A COMPRESIÓN (-)</v>
      </c>
      <c r="D409" s="172"/>
      <c r="E409" s="172"/>
      <c r="F409" s="173"/>
      <c r="P409" s="215"/>
      <c r="Q409" s="172"/>
      <c r="R409" s="172"/>
      <c r="S409" s="172"/>
      <c r="T409" s="172"/>
      <c r="U409" s="173"/>
    </row>
    <row r="410" spans="1:21" ht="16.95" customHeight="1" x14ac:dyDescent="0.3">
      <c r="P410" s="215"/>
      <c r="Q410" s="172"/>
      <c r="R410" s="172"/>
      <c r="S410" s="172"/>
      <c r="T410" s="172"/>
      <c r="U410" s="173"/>
    </row>
    <row r="411" spans="1:21" ht="18" customHeight="1" x14ac:dyDescent="0.3">
      <c r="A411" s="19" t="s">
        <v>278</v>
      </c>
      <c r="C411" s="19" t="s">
        <v>279</v>
      </c>
      <c r="D411" s="19" t="s">
        <v>280</v>
      </c>
      <c r="E411" s="19" t="s">
        <v>279</v>
      </c>
      <c r="F411" s="19" t="s">
        <v>280</v>
      </c>
      <c r="G411" s="19" t="s">
        <v>249</v>
      </c>
    </row>
    <row r="412" spans="1:21" ht="16.05" customHeight="1" x14ac:dyDescent="0.3">
      <c r="C412" s="19" t="s">
        <v>282</v>
      </c>
      <c r="D412" s="19" t="s">
        <v>282</v>
      </c>
      <c r="E412" s="19" t="s">
        <v>283</v>
      </c>
      <c r="F412" s="19" t="s">
        <v>283</v>
      </c>
    </row>
    <row r="413" spans="1:21" ht="19.95" customHeight="1" x14ac:dyDescent="0.3">
      <c r="A413" s="17">
        <f>N9</f>
        <v>63000</v>
      </c>
      <c r="C413" s="92">
        <f>-J9</f>
        <v>-1</v>
      </c>
      <c r="D413" s="92">
        <f>-K9</f>
        <v>0</v>
      </c>
      <c r="E413" s="92">
        <f>J9</f>
        <v>1</v>
      </c>
      <c r="F413" s="92">
        <f>K9</f>
        <v>0</v>
      </c>
      <c r="G413" s="96">
        <f>IFERROR(VLOOKUP(H413, A$371:D$382, 4, FALSE), 0)</f>
        <v>2.0728599357631612E-2</v>
      </c>
      <c r="H413" s="12" t="str">
        <f>"D" &amp; C23 &amp; "X"</f>
        <v>D5X</v>
      </c>
    </row>
    <row r="414" spans="1:21" ht="19.95" customHeight="1" x14ac:dyDescent="0.3">
      <c r="A414" s="99" t="s">
        <v>288</v>
      </c>
      <c r="B414" s="97">
        <f>(MMULT(C413:F413, G413:G416)*A413)</f>
        <v>-386.93385467579009</v>
      </c>
      <c r="G414" s="96">
        <f>IFERROR(VLOOKUP(H414, A$371:D$382, 4, FALSE), 0)</f>
        <v>-8.3133812184091521E-2</v>
      </c>
      <c r="H414" s="12" t="str">
        <f>"D" &amp; D23 &amp; "Y"</f>
        <v>D5Y</v>
      </c>
    </row>
    <row r="415" spans="1:21" ht="19.95" customHeight="1" x14ac:dyDescent="0.3">
      <c r="G415" s="96">
        <f>IFERROR(VLOOKUP(H415, A$371:D$382, 4, FALSE), 0)</f>
        <v>1.4586792140555579E-2</v>
      </c>
      <c r="H415" s="12" t="str">
        <f>"D" &amp; E23 &amp; "X"</f>
        <v>D6X</v>
      </c>
    </row>
    <row r="416" spans="1:21" ht="19.95" customHeight="1" x14ac:dyDescent="0.3">
      <c r="G416" s="96">
        <f>IFERROR(VLOOKUP(H416, A$371:D$382, 4, FALSE), 0)</f>
        <v>-3.4547665596052681E-3</v>
      </c>
      <c r="H416" s="12" t="str">
        <f>"D" &amp; F23 &amp; "Y"</f>
        <v>D6Y</v>
      </c>
    </row>
    <row r="417" spans="1:8" ht="19.95" customHeight="1" x14ac:dyDescent="0.3">
      <c r="B417" s="99" t="s">
        <v>273</v>
      </c>
      <c r="C417" s="178" t="str">
        <f>IF(B414&gt;0.001,"BARRA A TRACCIÓN (+)",IF(B414&lt;-0.001,"BARRA A COMPRESIÓN (-)","BARRA DE FUERZA NULA"))</f>
        <v>BARRA A COMPRESIÓN (-)</v>
      </c>
      <c r="D417" s="172"/>
      <c r="E417" s="172"/>
      <c r="F417" s="173"/>
    </row>
    <row r="419" spans="1:8" ht="18" customHeight="1" x14ac:dyDescent="0.3">
      <c r="A419" s="19" t="s">
        <v>278</v>
      </c>
      <c r="C419" s="19" t="s">
        <v>279</v>
      </c>
      <c r="D419" s="19" t="s">
        <v>280</v>
      </c>
      <c r="E419" s="19" t="s">
        <v>279</v>
      </c>
      <c r="F419" s="19" t="s">
        <v>280</v>
      </c>
      <c r="G419" s="19" t="s">
        <v>249</v>
      </c>
    </row>
    <row r="420" spans="1:8" ht="16.05" customHeight="1" x14ac:dyDescent="0.3">
      <c r="C420" s="19" t="s">
        <v>282</v>
      </c>
      <c r="D420" s="19" t="s">
        <v>282</v>
      </c>
      <c r="E420" s="19" t="s">
        <v>283</v>
      </c>
      <c r="F420" s="19" t="s">
        <v>283</v>
      </c>
    </row>
    <row r="421" spans="1:8" ht="19.95" customHeight="1" x14ac:dyDescent="0.3">
      <c r="A421" s="17">
        <f>N10</f>
        <v>84000</v>
      </c>
      <c r="C421" s="92">
        <f>-J10</f>
        <v>0</v>
      </c>
      <c r="D421" s="92">
        <f>-K10</f>
        <v>-1</v>
      </c>
      <c r="E421" s="92">
        <f>J10</f>
        <v>0</v>
      </c>
      <c r="F421" s="92">
        <f>K10</f>
        <v>1</v>
      </c>
      <c r="G421" s="96">
        <f>IFERROR(VLOOKUP(H421, A$371:D$382, 4, FALSE), 0)</f>
        <v>0</v>
      </c>
      <c r="H421" s="12" t="str">
        <f>"D" &amp; C24 &amp; "X"</f>
        <v>D1X</v>
      </c>
    </row>
    <row r="422" spans="1:8" ht="19.95" customHeight="1" x14ac:dyDescent="0.3">
      <c r="A422" s="99" t="s">
        <v>289</v>
      </c>
      <c r="B422" s="97">
        <f>(MMULT(C421:F421, G421:G424)*A421)</f>
        <v>956.86705767350929</v>
      </c>
      <c r="G422" s="96">
        <f>IFERROR(VLOOKUP(H422, A$371:D$382, 4, FALSE), 0)</f>
        <v>0</v>
      </c>
      <c r="H422" s="12" t="str">
        <f>"D" &amp; D24 &amp; "Y"</f>
        <v>D1Y</v>
      </c>
    </row>
    <row r="423" spans="1:8" ht="19.95" customHeight="1" x14ac:dyDescent="0.3">
      <c r="G423" s="96">
        <f>IFERROR(VLOOKUP(H423, A$371:D$382, 4, FALSE), 0)</f>
        <v>4.8096492316922423E-2</v>
      </c>
      <c r="H423" s="12" t="str">
        <f>"D" &amp; E24 &amp; "X"</f>
        <v>D4X</v>
      </c>
    </row>
    <row r="424" spans="1:8" ht="19.95" customHeight="1" x14ac:dyDescent="0.3">
      <c r="G424" s="96">
        <f>IFERROR(VLOOKUP(H424, A$371:D$382, 4, FALSE), 0)</f>
        <v>1.1391274496113206E-2</v>
      </c>
      <c r="H424" s="12" t="str">
        <f>"D" &amp; F24 &amp; "Y"</f>
        <v>D4Y</v>
      </c>
    </row>
    <row r="425" spans="1:8" ht="19.95" customHeight="1" x14ac:dyDescent="0.3">
      <c r="B425" s="99" t="s">
        <v>273</v>
      </c>
      <c r="C425" s="178" t="str">
        <f>IF(B422&gt;0.001,"BARRA A TRACCIÓN (+)",IF(B422&lt;-0.001,"BARRA A COMPRESIÓN (-)","BARRA DE FUERZA NULA"))</f>
        <v>BARRA A TRACCIÓN (+)</v>
      </c>
      <c r="D425" s="172"/>
      <c r="E425" s="172"/>
      <c r="F425" s="173"/>
    </row>
    <row r="427" spans="1:8" ht="18" customHeight="1" x14ac:dyDescent="0.3">
      <c r="A427" s="19" t="s">
        <v>278</v>
      </c>
      <c r="C427" s="19" t="s">
        <v>279</v>
      </c>
      <c r="D427" s="19" t="s">
        <v>280</v>
      </c>
      <c r="E427" s="19" t="s">
        <v>279</v>
      </c>
      <c r="F427" s="19" t="s">
        <v>280</v>
      </c>
      <c r="G427" s="19" t="s">
        <v>249</v>
      </c>
    </row>
    <row r="428" spans="1:8" ht="16.05" customHeight="1" x14ac:dyDescent="0.3">
      <c r="C428" s="19" t="s">
        <v>282</v>
      </c>
      <c r="D428" s="19" t="s">
        <v>282</v>
      </c>
      <c r="E428" s="19" t="s">
        <v>283</v>
      </c>
      <c r="F428" s="19" t="s">
        <v>283</v>
      </c>
    </row>
    <row r="429" spans="1:8" ht="19.95" customHeight="1" x14ac:dyDescent="0.3">
      <c r="A429" s="17">
        <f>N11</f>
        <v>84000</v>
      </c>
      <c r="C429" s="92">
        <f>-J11</f>
        <v>0</v>
      </c>
      <c r="D429" s="92">
        <f>-K11</f>
        <v>-1</v>
      </c>
      <c r="E429" s="92">
        <f>J11</f>
        <v>0</v>
      </c>
      <c r="F429" s="92">
        <f>K11</f>
        <v>1</v>
      </c>
      <c r="G429" s="96">
        <f>IFERROR(VLOOKUP(H429, A$371:D$382, 4, FALSE), 0)</f>
        <v>0</v>
      </c>
      <c r="H429" s="12" t="str">
        <f>"D" &amp; C25 &amp; "X"</f>
        <v>D2X</v>
      </c>
    </row>
    <row r="430" spans="1:8" ht="19.95" customHeight="1" x14ac:dyDescent="0.3">
      <c r="A430" s="99" t="s">
        <v>290</v>
      </c>
      <c r="B430" s="97">
        <f>(MMULT(C429:F429, G429:G432)*A429)</f>
        <v>-6983.2402234636875</v>
      </c>
      <c r="G430" s="96">
        <f>IFERROR(VLOOKUP(H430, A$371:D$382, 4, FALSE), 0)</f>
        <v>0</v>
      </c>
      <c r="H430" s="12" t="str">
        <f>"D" &amp; D25 &amp; "Y"</f>
        <v>D2Y</v>
      </c>
    </row>
    <row r="431" spans="1:8" ht="19.95" customHeight="1" x14ac:dyDescent="0.3">
      <c r="G431" s="96">
        <f>IFERROR(VLOOKUP(H431, A$371:D$382, 4, FALSE), 0)</f>
        <v>2.0728599357631612E-2</v>
      </c>
      <c r="H431" s="12" t="str">
        <f>"D" &amp; E25 &amp; "X"</f>
        <v>D5X</v>
      </c>
    </row>
    <row r="432" spans="1:8" ht="19.95" customHeight="1" x14ac:dyDescent="0.3">
      <c r="G432" s="96">
        <f>IFERROR(VLOOKUP(H432, A$371:D$382, 4, FALSE), 0)</f>
        <v>-8.3133812184091521E-2</v>
      </c>
      <c r="H432" s="12" t="str">
        <f>"D" &amp; F25 &amp; "Y"</f>
        <v>D5Y</v>
      </c>
    </row>
    <row r="433" spans="1:8" ht="19.95" customHeight="1" x14ac:dyDescent="0.3">
      <c r="B433" s="99" t="s">
        <v>273</v>
      </c>
      <c r="C433" s="178" t="str">
        <f>IF(B430&gt;0.001,"BARRA A TRACCIÓN (+)",IF(B430&lt;-0.001,"BARRA A COMPRESIÓN (-)","BARRA DE FUERZA NULA"))</f>
        <v>BARRA A COMPRESIÓN (-)</v>
      </c>
      <c r="D433" s="172"/>
      <c r="E433" s="172"/>
      <c r="F433" s="173"/>
    </row>
    <row r="435" spans="1:8" ht="18" customHeight="1" x14ac:dyDescent="0.3">
      <c r="A435" s="19" t="s">
        <v>278</v>
      </c>
      <c r="C435" s="19" t="s">
        <v>279</v>
      </c>
      <c r="D435" s="19" t="s">
        <v>280</v>
      </c>
      <c r="E435" s="19" t="s">
        <v>279</v>
      </c>
      <c r="F435" s="19" t="s">
        <v>280</v>
      </c>
      <c r="G435" s="19" t="s">
        <v>249</v>
      </c>
    </row>
    <row r="436" spans="1:8" ht="16.05" customHeight="1" x14ac:dyDescent="0.3">
      <c r="C436" s="19" t="s">
        <v>282</v>
      </c>
      <c r="D436" s="19" t="s">
        <v>282</v>
      </c>
      <c r="E436" s="19" t="s">
        <v>283</v>
      </c>
      <c r="F436" s="19" t="s">
        <v>283</v>
      </c>
    </row>
    <row r="437" spans="1:8" ht="19.95" customHeight="1" x14ac:dyDescent="0.3">
      <c r="A437" s="17">
        <f>N12</f>
        <v>84000</v>
      </c>
      <c r="C437" s="92">
        <f>-J12</f>
        <v>0</v>
      </c>
      <c r="D437" s="92">
        <f>-K12</f>
        <v>-1</v>
      </c>
      <c r="E437" s="92">
        <f>J12</f>
        <v>0</v>
      </c>
      <c r="F437" s="92">
        <f>K12</f>
        <v>1</v>
      </c>
      <c r="G437" s="96">
        <f>IFERROR(VLOOKUP(H437, A$371:D$382, 4, FALSE), 0)</f>
        <v>0</v>
      </c>
      <c r="H437" s="12" t="str">
        <f>"D" &amp; C26 &amp; "X"</f>
        <v>D3X</v>
      </c>
    </row>
    <row r="438" spans="1:8" ht="19.95" customHeight="1" x14ac:dyDescent="0.3">
      <c r="A438" s="99" t="s">
        <v>291</v>
      </c>
      <c r="B438" s="97">
        <f>(MMULT(C437:F437, G437:G440)*A437)</f>
        <v>-290.20039100684249</v>
      </c>
      <c r="G438" s="96">
        <f>IFERROR(VLOOKUP(H438, A$371:D$382, 4, FALSE), 0)</f>
        <v>0</v>
      </c>
      <c r="H438" s="12" t="str">
        <f>"D" &amp; D26 &amp; "Y"</f>
        <v>D3Y</v>
      </c>
    </row>
    <row r="439" spans="1:8" ht="19.95" customHeight="1" x14ac:dyDescent="0.3">
      <c r="G439" s="96">
        <f>IFERROR(VLOOKUP(H439, A$371:D$382, 4, FALSE), 0)</f>
        <v>1.4586792140555579E-2</v>
      </c>
      <c r="H439" s="12" t="str">
        <f>"D" &amp; E26 &amp; "X"</f>
        <v>D6X</v>
      </c>
    </row>
    <row r="440" spans="1:8" ht="19.95" customHeight="1" x14ac:dyDescent="0.3">
      <c r="G440" s="96">
        <f>IFERROR(VLOOKUP(H440, A$371:D$382, 4, FALSE), 0)</f>
        <v>-3.4547665596052681E-3</v>
      </c>
      <c r="H440" s="12" t="str">
        <f>"D" &amp; F26 &amp; "Y"</f>
        <v>D6Y</v>
      </c>
    </row>
    <row r="441" spans="1:8" ht="19.95" customHeight="1" x14ac:dyDescent="0.3">
      <c r="B441" s="99" t="s">
        <v>273</v>
      </c>
      <c r="C441" s="178" t="str">
        <f>IF(B438&gt;0.001,"BARRA A TRACCIÓN (+)",IF(B438&lt;-0.001,"BARRA A COMPRESIÓN (-)","BARRA DE FUERZA NULA"))</f>
        <v>BARRA A COMPRESIÓN (-)</v>
      </c>
      <c r="D441" s="172"/>
      <c r="E441" s="172"/>
      <c r="F441" s="173"/>
    </row>
    <row r="443" spans="1:8" ht="18" customHeight="1" x14ac:dyDescent="0.3">
      <c r="A443" s="19" t="s">
        <v>278</v>
      </c>
      <c r="C443" s="19" t="s">
        <v>279</v>
      </c>
      <c r="D443" s="19" t="s">
        <v>280</v>
      </c>
      <c r="E443" s="19" t="s">
        <v>279</v>
      </c>
      <c r="F443" s="19" t="s">
        <v>280</v>
      </c>
      <c r="G443" s="19" t="s">
        <v>249</v>
      </c>
    </row>
    <row r="444" spans="1:8" ht="16.05" customHeight="1" x14ac:dyDescent="0.3">
      <c r="C444" s="19" t="s">
        <v>282</v>
      </c>
      <c r="D444" s="19" t="s">
        <v>282</v>
      </c>
      <c r="E444" s="19" t="s">
        <v>283</v>
      </c>
      <c r="F444" s="19" t="s">
        <v>283</v>
      </c>
    </row>
    <row r="445" spans="1:8" ht="19.95" customHeight="1" x14ac:dyDescent="0.3">
      <c r="A445" s="17">
        <f>N13</f>
        <v>50400</v>
      </c>
      <c r="C445" s="92">
        <f>-J13</f>
        <v>-0.8</v>
      </c>
      <c r="D445" s="92">
        <f>-K13</f>
        <v>-0.6</v>
      </c>
      <c r="E445" s="92">
        <f>J13</f>
        <v>0.8</v>
      </c>
      <c r="F445" s="92">
        <f>K13</f>
        <v>0.6</v>
      </c>
      <c r="G445" s="96">
        <f>IFERROR(VLOOKUP(H445, A$371:D$382, 4, FALSE), 0)</f>
        <v>0</v>
      </c>
      <c r="H445" s="12" t="str">
        <f>"D" &amp; C27 &amp; "X"</f>
        <v>D1X</v>
      </c>
    </row>
    <row r="446" spans="1:8" ht="19.95" customHeight="1" x14ac:dyDescent="0.3">
      <c r="A446" s="99" t="s">
        <v>292</v>
      </c>
      <c r="B446" s="97">
        <f>(MMULT(C445:F445, G445:G448)*A445)</f>
        <v>-1678.1893543472211</v>
      </c>
      <c r="G446" s="96">
        <f>IFERROR(VLOOKUP(H446, A$371:D$382, 4, FALSE), 0)</f>
        <v>0</v>
      </c>
      <c r="H446" s="12" t="str">
        <f>"D" &amp; D27 &amp; "Y"</f>
        <v>D1Y</v>
      </c>
    </row>
    <row r="447" spans="1:8" ht="19.95" customHeight="1" x14ac:dyDescent="0.3">
      <c r="G447" s="96">
        <f>IFERROR(VLOOKUP(H447, A$371:D$382, 4, FALSE), 0)</f>
        <v>2.0728599357631612E-2</v>
      </c>
      <c r="H447" s="12" t="str">
        <f>"D" &amp; E27 &amp; "X"</f>
        <v>D5X</v>
      </c>
    </row>
    <row r="448" spans="1:8" ht="19.95" customHeight="1" x14ac:dyDescent="0.3">
      <c r="G448" s="96">
        <f>IFERROR(VLOOKUP(H448, A$371:D$382, 4, FALSE), 0)</f>
        <v>-8.3133812184091521E-2</v>
      </c>
      <c r="H448" s="12" t="str">
        <f>"D" &amp; F27 &amp; "Y"</f>
        <v>D5Y</v>
      </c>
    </row>
    <row r="449" spans="1:8" ht="19.95" customHeight="1" x14ac:dyDescent="0.3">
      <c r="B449" s="99" t="s">
        <v>273</v>
      </c>
      <c r="C449" s="178" t="str">
        <f>IF(B446&gt;0.001,"BARRA A TRACCIÓN (+)",IF(B446&lt;-0.001,"BARRA A COMPRESIÓN (-)","BARRA DE FUERZA NULA"))</f>
        <v>BARRA A COMPRESIÓN (-)</v>
      </c>
      <c r="D449" s="172"/>
      <c r="E449" s="172"/>
      <c r="F449" s="173"/>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N14</f>
        <v>50400</v>
      </c>
      <c r="C453" s="92">
        <f>-J14</f>
        <v>-0.8</v>
      </c>
      <c r="D453" s="92">
        <f>-K14</f>
        <v>0.6</v>
      </c>
      <c r="E453" s="92">
        <f>J14</f>
        <v>0.8</v>
      </c>
      <c r="F453" s="92">
        <f>K14</f>
        <v>-0.6</v>
      </c>
      <c r="G453" s="96">
        <f>IFERROR(VLOOKUP(H453, A$371:D$382, 4, FALSE), 0)</f>
        <v>4.8096492316922423E-2</v>
      </c>
      <c r="H453" s="12" t="str">
        <f>"D" &amp; C28 &amp; "X"</f>
        <v>D4X</v>
      </c>
    </row>
    <row r="454" spans="1:8" ht="19.95" customHeight="1" x14ac:dyDescent="0.3">
      <c r="A454" s="99" t="s">
        <v>530</v>
      </c>
      <c r="B454" s="97">
        <f>(MMULT(C453:F453, G453:G456)*A453)</f>
        <v>-1594.7784294558489</v>
      </c>
      <c r="G454" s="96">
        <f>IFERROR(VLOOKUP(H454, A$371:D$382, 4, FALSE), 0)</f>
        <v>1.1391274496113206E-2</v>
      </c>
      <c r="H454" s="12" t="str">
        <f>"D" &amp; D28 &amp; "Y"</f>
        <v>D4Y</v>
      </c>
    </row>
    <row r="455" spans="1:8" ht="19.95" customHeight="1" x14ac:dyDescent="0.3">
      <c r="G455" s="96">
        <f>IFERROR(VLOOKUP(H455, A$371:D$382, 4, FALSE), 0)</f>
        <v>0</v>
      </c>
      <c r="H455" s="12" t="str">
        <f>"D" &amp; E28 &amp; "X"</f>
        <v>D2X</v>
      </c>
    </row>
    <row r="456" spans="1:8" ht="19.95" customHeight="1" x14ac:dyDescent="0.3">
      <c r="G456" s="96">
        <f>IFERROR(VLOOKUP(H456, A$371:D$382, 4, FALSE), 0)</f>
        <v>0</v>
      </c>
      <c r="H456" s="12" t="str">
        <f>"D" &amp; F28 &amp; "Y"</f>
        <v>D2Y</v>
      </c>
    </row>
    <row r="457" spans="1:8" ht="19.95" customHeight="1" x14ac:dyDescent="0.3">
      <c r="B457" s="99" t="s">
        <v>273</v>
      </c>
      <c r="C457" s="178" t="str">
        <f>IF(B454&gt;0.001,"BARRA A TRACCIÓN (+)",IF(B454&lt;-0.001,"BARRA A COMPRESIÓN (-)","BARRA DE FUERZA NULA"))</f>
        <v>BARRA A COMPRESIÓN (-)</v>
      </c>
      <c r="D457" s="172"/>
      <c r="E457" s="172"/>
      <c r="F457" s="173"/>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N15</f>
        <v>50400</v>
      </c>
      <c r="C461" s="92">
        <f>-J15</f>
        <v>-0.8</v>
      </c>
      <c r="D461" s="92">
        <f>-K15</f>
        <v>-0.6</v>
      </c>
      <c r="E461" s="92">
        <f>J15</f>
        <v>0.8</v>
      </c>
      <c r="F461" s="92">
        <f>K15</f>
        <v>0.6</v>
      </c>
      <c r="G461" s="96">
        <f>IFERROR(VLOOKUP(H461, A$371:D$382, 4, FALSE), 0)</f>
        <v>0</v>
      </c>
      <c r="H461" s="12" t="str">
        <f>"D" &amp; C29 &amp; "X"</f>
        <v>D2X</v>
      </c>
    </row>
    <row r="462" spans="1:8" ht="19.95" customHeight="1" x14ac:dyDescent="0.3">
      <c r="A462" s="99" t="s">
        <v>589</v>
      </c>
      <c r="B462" s="97">
        <f>(MMULT(C461:F461, G461:G464)*A461)</f>
        <v>483.66731834473768</v>
      </c>
      <c r="G462" s="96">
        <f>IFERROR(VLOOKUP(H462, A$371:D$382, 4, FALSE), 0)</f>
        <v>0</v>
      </c>
      <c r="H462" s="12" t="str">
        <f>"D" &amp; D29 &amp; "Y"</f>
        <v>D2Y</v>
      </c>
    </row>
    <row r="463" spans="1:8" ht="19.95" customHeight="1" x14ac:dyDescent="0.3">
      <c r="G463" s="96">
        <f>IFERROR(VLOOKUP(H463, A$371:D$382, 4, FALSE), 0)</f>
        <v>1.4586792140555579E-2</v>
      </c>
      <c r="H463" s="12" t="str">
        <f>"D" &amp; E29 &amp; "X"</f>
        <v>D6X</v>
      </c>
    </row>
    <row r="464" spans="1:8" ht="19.95" customHeight="1" x14ac:dyDescent="0.3">
      <c r="G464" s="96">
        <f>IFERROR(VLOOKUP(H464, A$371:D$382, 4, FALSE), 0)</f>
        <v>-3.4547665596052681E-3</v>
      </c>
      <c r="H464" s="12" t="str">
        <f>"D" &amp; F29 &amp; "Y"</f>
        <v>D6Y</v>
      </c>
    </row>
    <row r="465" spans="1:8" ht="19.95" customHeight="1" x14ac:dyDescent="0.3">
      <c r="B465" s="99" t="s">
        <v>273</v>
      </c>
      <c r="C465" s="178" t="str">
        <f>IF(B462&gt;0.001,"BARRA A TRACCIÓN (+)",IF(B462&lt;-0.001,"BARRA A COMPRESIÓN (-)","BARRA DE FUERZA NULA"))</f>
        <v>BARRA A TRACCIÓN (+)</v>
      </c>
      <c r="D465" s="172"/>
      <c r="E465" s="172"/>
      <c r="F465" s="173"/>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N16</f>
        <v>50400</v>
      </c>
      <c r="C469" s="92">
        <f>-J16</f>
        <v>-0.8</v>
      </c>
      <c r="D469" s="92">
        <f>-K16</f>
        <v>0.6</v>
      </c>
      <c r="E469" s="92">
        <f>J16</f>
        <v>0.8</v>
      </c>
      <c r="F469" s="92">
        <f>K16</f>
        <v>-0.6</v>
      </c>
      <c r="G469" s="96">
        <f>IFERROR(VLOOKUP(H469, A$371:D$382, 4, FALSE), 0)</f>
        <v>2.0728599357631612E-2</v>
      </c>
      <c r="H469" s="12" t="str">
        <f>"D" &amp; C30 &amp; "X"</f>
        <v>D5X</v>
      </c>
    </row>
    <row r="470" spans="1:8" ht="19.95" customHeight="1" x14ac:dyDescent="0.3">
      <c r="A470" s="99" t="s">
        <v>590</v>
      </c>
      <c r="B470" s="97">
        <f>(MMULT(C469:F469, G469:G472)*A469)</f>
        <v>-3349.7436065466341</v>
      </c>
      <c r="G470" s="96">
        <f>IFERROR(VLOOKUP(H470, A$371:D$382, 4, FALSE), 0)</f>
        <v>-8.3133812184091521E-2</v>
      </c>
      <c r="H470" s="12" t="str">
        <f>"D" &amp; D30 &amp; "Y"</f>
        <v>D5Y</v>
      </c>
    </row>
    <row r="471" spans="1:8" ht="19.95" customHeight="1" x14ac:dyDescent="0.3">
      <c r="G471" s="96">
        <f>IFERROR(VLOOKUP(H471, A$371:D$382, 4, FALSE), 0)</f>
        <v>0</v>
      </c>
      <c r="H471" s="12" t="str">
        <f>"D" &amp; E30 &amp; "X"</f>
        <v>D3X</v>
      </c>
    </row>
    <row r="472" spans="1:8" ht="19.95" customHeight="1" x14ac:dyDescent="0.3">
      <c r="G472" s="96">
        <f>IFERROR(VLOOKUP(H472, A$371:D$382, 4, FALSE), 0)</f>
        <v>0</v>
      </c>
      <c r="H472" s="12" t="str">
        <f>"D" &amp; F30 &amp; "Y"</f>
        <v>D3Y</v>
      </c>
    </row>
    <row r="473" spans="1:8" ht="19.95" customHeight="1" x14ac:dyDescent="0.3">
      <c r="B473" s="99" t="s">
        <v>273</v>
      </c>
      <c r="C473" s="178" t="str">
        <f>IF(B470&gt;0.001,"BARRA A TRACCIÓN (+)",IF(B470&lt;-0.001,"BARRA A COMPRESIÓN (-)","BARRA DE FUERZA NULA"))</f>
        <v>BARRA A COMPRESIÓN (-)</v>
      </c>
      <c r="D473" s="172"/>
      <c r="E473" s="172"/>
      <c r="F473" s="173"/>
    </row>
    <row r="476" spans="1:8" ht="22.05" customHeight="1" x14ac:dyDescent="0.3">
      <c r="B476" s="217" t="s">
        <v>404</v>
      </c>
      <c r="C476" s="175"/>
      <c r="D476" s="175"/>
      <c r="E476" s="175"/>
      <c r="F476" s="175"/>
      <c r="G476" s="175"/>
      <c r="H476" s="175"/>
    </row>
    <row r="477" spans="1:8" ht="24" customHeight="1" x14ac:dyDescent="0.3">
      <c r="B477" s="87" t="s">
        <v>294</v>
      </c>
      <c r="C477" s="87" t="s">
        <v>295</v>
      </c>
      <c r="D477" s="87" t="s">
        <v>296</v>
      </c>
      <c r="E477" s="87" t="s">
        <v>297</v>
      </c>
      <c r="F477" s="87" t="s">
        <v>298</v>
      </c>
      <c r="G477" s="87" t="s">
        <v>299</v>
      </c>
      <c r="H477" s="87" t="s">
        <v>300</v>
      </c>
    </row>
    <row r="478" spans="1:8" ht="19.95" customHeight="1" x14ac:dyDescent="0.3">
      <c r="B478" s="85">
        <v>1</v>
      </c>
      <c r="C478" s="86">
        <f t="shared" ref="C478:C488" si="53">C20</f>
        <v>1</v>
      </c>
      <c r="D478" s="86">
        <f t="shared" ref="D478:D488" si="54">E20</f>
        <v>2</v>
      </c>
      <c r="E478" s="9">
        <f t="shared" ref="E478:E488" si="55">I6</f>
        <v>400</v>
      </c>
      <c r="F478" s="9">
        <f t="shared" ref="F478:F488" si="56">L6</f>
        <v>12</v>
      </c>
      <c r="G478" s="97">
        <f>B390</f>
        <v>0</v>
      </c>
      <c r="H478" s="84" t="str">
        <f>C393</f>
        <v>BARRA DE FUERZA NULA</v>
      </c>
    </row>
    <row r="479" spans="1:8" ht="19.95" customHeight="1" x14ac:dyDescent="0.3">
      <c r="B479" s="25">
        <v>2</v>
      </c>
      <c r="C479" s="86">
        <f t="shared" si="53"/>
        <v>2</v>
      </c>
      <c r="D479" s="86">
        <f t="shared" si="54"/>
        <v>3</v>
      </c>
      <c r="E479" s="9">
        <f t="shared" si="55"/>
        <v>400</v>
      </c>
      <c r="F479" s="9">
        <f t="shared" si="56"/>
        <v>12</v>
      </c>
      <c r="G479" s="97">
        <f>B398</f>
        <v>0</v>
      </c>
      <c r="H479" s="84" t="str">
        <f>C401</f>
        <v>BARRA DE FUERZA NULA</v>
      </c>
    </row>
    <row r="480" spans="1:8" ht="19.95" customHeight="1" x14ac:dyDescent="0.3">
      <c r="B480" s="26">
        <v>3</v>
      </c>
      <c r="C480" s="86">
        <f t="shared" si="53"/>
        <v>4</v>
      </c>
      <c r="D480" s="86">
        <f t="shared" si="54"/>
        <v>5</v>
      </c>
      <c r="E480" s="9">
        <f t="shared" si="55"/>
        <v>400</v>
      </c>
      <c r="F480" s="9">
        <f t="shared" si="56"/>
        <v>12</v>
      </c>
      <c r="G480" s="97">
        <f>B406</f>
        <v>-1724.1772564353212</v>
      </c>
      <c r="H480" s="84" t="str">
        <f>C409</f>
        <v>BARRA A COMPRESIÓN (-)</v>
      </c>
    </row>
    <row r="481" spans="2:8" ht="19.95" customHeight="1" x14ac:dyDescent="0.3">
      <c r="B481" s="43">
        <v>4</v>
      </c>
      <c r="C481" s="86">
        <f t="shared" si="53"/>
        <v>5</v>
      </c>
      <c r="D481" s="86">
        <f t="shared" si="54"/>
        <v>6</v>
      </c>
      <c r="E481" s="9">
        <f t="shared" si="55"/>
        <v>400</v>
      </c>
      <c r="F481" s="9">
        <f t="shared" si="56"/>
        <v>12</v>
      </c>
      <c r="G481" s="97">
        <f>B414</f>
        <v>-386.93385467579009</v>
      </c>
      <c r="H481" s="84" t="str">
        <f>C417</f>
        <v>BARRA A COMPRESIÓN (-)</v>
      </c>
    </row>
    <row r="482" spans="2:8" ht="19.95" customHeight="1" x14ac:dyDescent="0.3">
      <c r="B482" s="44">
        <v>5</v>
      </c>
      <c r="C482" s="86">
        <f t="shared" si="53"/>
        <v>1</v>
      </c>
      <c r="D482" s="86">
        <f t="shared" si="54"/>
        <v>4</v>
      </c>
      <c r="E482" s="9">
        <f t="shared" si="55"/>
        <v>300</v>
      </c>
      <c r="F482" s="9">
        <f t="shared" si="56"/>
        <v>12</v>
      </c>
      <c r="G482" s="97">
        <f>B422</f>
        <v>956.86705767350929</v>
      </c>
      <c r="H482" s="84" t="str">
        <f>C425</f>
        <v>BARRA A TRACCIÓN (+)</v>
      </c>
    </row>
    <row r="483" spans="2:8" ht="19.95" customHeight="1" x14ac:dyDescent="0.3">
      <c r="B483" s="51">
        <v>6</v>
      </c>
      <c r="C483" s="86">
        <f t="shared" si="53"/>
        <v>2</v>
      </c>
      <c r="D483" s="86">
        <f t="shared" si="54"/>
        <v>5</v>
      </c>
      <c r="E483" s="9">
        <f t="shared" si="55"/>
        <v>300</v>
      </c>
      <c r="F483" s="9">
        <f t="shared" si="56"/>
        <v>12</v>
      </c>
      <c r="G483" s="97">
        <f>B430</f>
        <v>-6983.2402234636875</v>
      </c>
      <c r="H483" s="84" t="str">
        <f>C433</f>
        <v>BARRA A COMPRESIÓN (-)</v>
      </c>
    </row>
    <row r="484" spans="2:8" ht="19.95" customHeight="1" x14ac:dyDescent="0.3">
      <c r="B484" s="52">
        <v>7</v>
      </c>
      <c r="C484" s="86">
        <f t="shared" si="53"/>
        <v>3</v>
      </c>
      <c r="D484" s="86">
        <f t="shared" si="54"/>
        <v>6</v>
      </c>
      <c r="E484" s="9">
        <f t="shared" si="55"/>
        <v>300</v>
      </c>
      <c r="F484" s="9">
        <f t="shared" si="56"/>
        <v>12</v>
      </c>
      <c r="G484" s="97">
        <f>B438</f>
        <v>-290.20039100684249</v>
      </c>
      <c r="H484" s="84" t="str">
        <f>C441</f>
        <v>BARRA A COMPRESIÓN (-)</v>
      </c>
    </row>
    <row r="485" spans="2:8" ht="19.95" customHeight="1" x14ac:dyDescent="0.3">
      <c r="B485" s="59">
        <v>8</v>
      </c>
      <c r="C485" s="86">
        <f t="shared" si="53"/>
        <v>1</v>
      </c>
      <c r="D485" s="86">
        <f t="shared" si="54"/>
        <v>5</v>
      </c>
      <c r="E485" s="9">
        <f t="shared" si="55"/>
        <v>500</v>
      </c>
      <c r="F485" s="9">
        <f t="shared" si="56"/>
        <v>12</v>
      </c>
      <c r="G485" s="97">
        <f>B446</f>
        <v>-1678.1893543472211</v>
      </c>
      <c r="H485" s="84" t="str">
        <f>C449</f>
        <v>BARRA A COMPRESIÓN (-)</v>
      </c>
    </row>
    <row r="486" spans="2:8" ht="19.95" customHeight="1" x14ac:dyDescent="0.3">
      <c r="B486" s="60">
        <v>9</v>
      </c>
      <c r="C486" s="86">
        <f t="shared" si="53"/>
        <v>4</v>
      </c>
      <c r="D486" s="86">
        <f t="shared" si="54"/>
        <v>2</v>
      </c>
      <c r="E486" s="9">
        <f t="shared" si="55"/>
        <v>500</v>
      </c>
      <c r="F486" s="9">
        <f t="shared" si="56"/>
        <v>12</v>
      </c>
      <c r="G486" s="97">
        <f>B454</f>
        <v>-1594.7784294558489</v>
      </c>
      <c r="H486" s="84" t="str">
        <f>C457</f>
        <v>BARRA A COMPRESIÓN (-)</v>
      </c>
    </row>
    <row r="487" spans="2:8" ht="19.95" customHeight="1" x14ac:dyDescent="0.3">
      <c r="B487" s="67">
        <v>10</v>
      </c>
      <c r="C487" s="86">
        <f t="shared" si="53"/>
        <v>2</v>
      </c>
      <c r="D487" s="86">
        <f t="shared" si="54"/>
        <v>6</v>
      </c>
      <c r="E487" s="9">
        <f t="shared" si="55"/>
        <v>500</v>
      </c>
      <c r="F487" s="9">
        <f t="shared" si="56"/>
        <v>12</v>
      </c>
      <c r="G487" s="97">
        <f>B462</f>
        <v>483.66731834473768</v>
      </c>
      <c r="H487" s="84" t="str">
        <f>C465</f>
        <v>BARRA A TRACCIÓN (+)</v>
      </c>
    </row>
    <row r="488" spans="2:8" ht="19.95" customHeight="1" x14ac:dyDescent="0.3">
      <c r="B488" s="68">
        <v>11</v>
      </c>
      <c r="C488" s="86">
        <f t="shared" si="53"/>
        <v>5</v>
      </c>
      <c r="D488" s="86">
        <f t="shared" si="54"/>
        <v>3</v>
      </c>
      <c r="E488" s="9">
        <f t="shared" si="55"/>
        <v>500</v>
      </c>
      <c r="F488" s="9">
        <f t="shared" si="56"/>
        <v>12</v>
      </c>
      <c r="G488" s="97">
        <f>B470</f>
        <v>-3349.7436065466341</v>
      </c>
      <c r="H488" s="84" t="str">
        <f>C473</f>
        <v>BARRA A COMPRESIÓN (-)</v>
      </c>
    </row>
  </sheetData>
  <mergeCells count="143">
    <mergeCell ref="P405:U405"/>
    <mergeCell ref="P292:U292"/>
    <mergeCell ref="P358:U358"/>
    <mergeCell ref="J4:J5"/>
    <mergeCell ref="L4:L5"/>
    <mergeCell ref="P395:U395"/>
    <mergeCell ref="P342:U342"/>
    <mergeCell ref="P294:U294"/>
    <mergeCell ref="P407:U407"/>
    <mergeCell ref="P357:U357"/>
    <mergeCell ref="P335:U335"/>
    <mergeCell ref="P397:U397"/>
    <mergeCell ref="P344:U344"/>
    <mergeCell ref="P319:U319"/>
    <mergeCell ref="P334:U334"/>
    <mergeCell ref="P399:U399"/>
    <mergeCell ref="P283:U283"/>
    <mergeCell ref="P396:U396"/>
    <mergeCell ref="P348:U348"/>
    <mergeCell ref="P338:U338"/>
    <mergeCell ref="P285:U285"/>
    <mergeCell ref="P398:U398"/>
    <mergeCell ref="P309:U309"/>
    <mergeCell ref="P388:U388"/>
    <mergeCell ref="P408:U408"/>
    <mergeCell ref="C457:F457"/>
    <mergeCell ref="P318:U318"/>
    <mergeCell ref="B1:N1"/>
    <mergeCell ref="P305:U305"/>
    <mergeCell ref="P311:U311"/>
    <mergeCell ref="P320:U320"/>
    <mergeCell ref="P314:U314"/>
    <mergeCell ref="P329:U329"/>
    <mergeCell ref="P385:U385"/>
    <mergeCell ref="P282:U282"/>
    <mergeCell ref="P297:U297"/>
    <mergeCell ref="P291:U291"/>
    <mergeCell ref="P356:U356"/>
    <mergeCell ref="C433:F433"/>
    <mergeCell ref="C425:F425"/>
    <mergeCell ref="P359:U359"/>
    <mergeCell ref="P346:U346"/>
    <mergeCell ref="C4:D4"/>
    <mergeCell ref="P355:U355"/>
    <mergeCell ref="P293:U293"/>
    <mergeCell ref="E4:F4"/>
    <mergeCell ref="P387:U387"/>
    <mergeCell ref="E3:H3"/>
    <mergeCell ref="C393:F393"/>
    <mergeCell ref="P310:U310"/>
    <mergeCell ref="P324:U324"/>
    <mergeCell ref="P333:U333"/>
    <mergeCell ref="H4:H5"/>
    <mergeCell ref="P301:U301"/>
    <mergeCell ref="P361:U361"/>
    <mergeCell ref="P295:U295"/>
    <mergeCell ref="C18:D18"/>
    <mergeCell ref="C342:D342"/>
    <mergeCell ref="E18:F18"/>
    <mergeCell ref="P313:U313"/>
    <mergeCell ref="P307:U307"/>
    <mergeCell ref="P347:U347"/>
    <mergeCell ref="K4:K5"/>
    <mergeCell ref="P280:U280"/>
    <mergeCell ref="M4:M5"/>
    <mergeCell ref="P331:U331"/>
    <mergeCell ref="P288:U288"/>
    <mergeCell ref="P366:U366"/>
    <mergeCell ref="P340:U340"/>
    <mergeCell ref="P316:U316"/>
    <mergeCell ref="P308:U308"/>
    <mergeCell ref="P390:U390"/>
    <mergeCell ref="P410:U410"/>
    <mergeCell ref="B18:B19"/>
    <mergeCell ref="C473:F473"/>
    <mergeCell ref="P360:U360"/>
    <mergeCell ref="P391:U391"/>
    <mergeCell ref="P287:U287"/>
    <mergeCell ref="P400:U400"/>
    <mergeCell ref="P281:U281"/>
    <mergeCell ref="P296:U296"/>
    <mergeCell ref="P409:U409"/>
    <mergeCell ref="P328:U328"/>
    <mergeCell ref="P337:U337"/>
    <mergeCell ref="P402:U402"/>
    <mergeCell ref="C465:F465"/>
    <mergeCell ref="P312:U312"/>
    <mergeCell ref="P321:U321"/>
    <mergeCell ref="P392:U392"/>
    <mergeCell ref="P386:U386"/>
    <mergeCell ref="P401:U401"/>
    <mergeCell ref="P339:U339"/>
    <mergeCell ref="C449:F449"/>
    <mergeCell ref="P354:U354"/>
    <mergeCell ref="P363:U363"/>
    <mergeCell ref="P298:U298"/>
    <mergeCell ref="P364:U364"/>
    <mergeCell ref="P404:U404"/>
    <mergeCell ref="P286:U286"/>
    <mergeCell ref="P289:U289"/>
    <mergeCell ref="P304:U304"/>
    <mergeCell ref="P279:U279"/>
    <mergeCell ref="G4:G5"/>
    <mergeCell ref="I4:I5"/>
    <mergeCell ref="P303:U303"/>
    <mergeCell ref="P290:U290"/>
    <mergeCell ref="P299:U299"/>
    <mergeCell ref="P300:U300"/>
    <mergeCell ref="B2:N2"/>
    <mergeCell ref="P362:U362"/>
    <mergeCell ref="P315:U315"/>
    <mergeCell ref="P284:U284"/>
    <mergeCell ref="P349:U349"/>
    <mergeCell ref="P302:U302"/>
    <mergeCell ref="B4:B5"/>
    <mergeCell ref="P330:U330"/>
    <mergeCell ref="C334:H334"/>
    <mergeCell ref="N4:N5"/>
    <mergeCell ref="B3:D3"/>
    <mergeCell ref="B476:H476"/>
    <mergeCell ref="C307:D307"/>
    <mergeCell ref="P389:U389"/>
    <mergeCell ref="P332:U332"/>
    <mergeCell ref="P341:U341"/>
    <mergeCell ref="P406:U406"/>
    <mergeCell ref="P325:U325"/>
    <mergeCell ref="P352:U352"/>
    <mergeCell ref="P327:U327"/>
    <mergeCell ref="P336:U336"/>
    <mergeCell ref="P317:U317"/>
    <mergeCell ref="P326:U326"/>
    <mergeCell ref="P353:U353"/>
    <mergeCell ref="C417:F417"/>
    <mergeCell ref="P394:U394"/>
    <mergeCell ref="P343:U343"/>
    <mergeCell ref="P403:U403"/>
    <mergeCell ref="C401:F401"/>
    <mergeCell ref="P393:U393"/>
    <mergeCell ref="P345:U345"/>
    <mergeCell ref="C333:H333"/>
    <mergeCell ref="C409:F409"/>
    <mergeCell ref="C441:F441"/>
    <mergeCell ref="P365:U36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146</vt:i4>
      </vt:variant>
    </vt:vector>
  </HeadingPairs>
  <TitlesOfParts>
    <vt:vector size="146" baseType="lpstr">
      <vt:lpstr>MANUAL_DE_USUARIO_Y_TEORIA</vt:lpstr>
      <vt:lpstr>MANUAL_ISOSTATICA_3R</vt:lpstr>
      <vt:lpstr>MANUAL_ISOSTATICA_3R (4)</vt:lpstr>
      <vt:lpstr>MANUAL_ISOSTATICA_3R (3)</vt:lpstr>
      <vt:lpstr>MANUAL_ISOSTATICA_3R (2)</vt:lpstr>
      <vt:lpstr>MANUAL_HIPERESTATICA_4R</vt:lpstr>
      <vt:lpstr>GRAFICA_01</vt:lpstr>
      <vt:lpstr>AUTOMATIZADA_01</vt:lpstr>
      <vt:lpstr>GRAFICA_02</vt:lpstr>
      <vt:lpstr>AUTOMATIZADA_02</vt:lpstr>
      <vt:lpstr>GRAFICA_03</vt:lpstr>
      <vt:lpstr>AUTOMATIZADA_03</vt:lpstr>
      <vt:lpstr>GRAFICA_04</vt:lpstr>
      <vt:lpstr>AUTOMATIZADA_04</vt:lpstr>
      <vt:lpstr>GRAFICA_05</vt:lpstr>
      <vt:lpstr>AUTOMATIZADA_05</vt:lpstr>
      <vt:lpstr>GRAFICA_06</vt:lpstr>
      <vt:lpstr>AUTOMATIZADA_06</vt:lpstr>
      <vt:lpstr>GRAFICA_07</vt:lpstr>
      <vt:lpstr>AUTOMATIZADA_07</vt:lpstr>
      <vt:lpstr>GRAFICA_08</vt:lpstr>
      <vt:lpstr>AUTOMATIZADA_08</vt:lpstr>
      <vt:lpstr>GRAFICA_09</vt:lpstr>
      <vt:lpstr>AUTOMATIZADA_09</vt:lpstr>
      <vt:lpstr>GRAFICA_10</vt:lpstr>
      <vt:lpstr>AUTOMATIZADA_10</vt:lpstr>
      <vt:lpstr>GRAFICA_11</vt:lpstr>
      <vt:lpstr>AUTOMATIZADA_11</vt:lpstr>
      <vt:lpstr>GRAFICA_12</vt:lpstr>
      <vt:lpstr>AUTOMATIZADA_12</vt:lpstr>
      <vt:lpstr>GRAFICA_13</vt:lpstr>
      <vt:lpstr>AUTOMATIZADA_13</vt:lpstr>
      <vt:lpstr>GRAFICA_14</vt:lpstr>
      <vt:lpstr>AUTOMATIZADA_14</vt:lpstr>
      <vt:lpstr>GRAFICA_15</vt:lpstr>
      <vt:lpstr>AUTOMATIZADA_15</vt:lpstr>
      <vt:lpstr>GRAFICA_16</vt:lpstr>
      <vt:lpstr>AUTOMATIZADA_16</vt:lpstr>
      <vt:lpstr>GRAFICA_17</vt:lpstr>
      <vt:lpstr>AUTOMATIZADA_17</vt:lpstr>
      <vt:lpstr>GRAFICA_18</vt:lpstr>
      <vt:lpstr>AUTOMATIZADA_18</vt:lpstr>
      <vt:lpstr>GRAFICA_19</vt:lpstr>
      <vt:lpstr>AUTOMATIZADA_19</vt:lpstr>
      <vt:lpstr>GRAFICA_20</vt:lpstr>
      <vt:lpstr>AUTOMATIZADA_20</vt:lpstr>
      <vt:lpstr>GRAFICA_21</vt:lpstr>
      <vt:lpstr>AUTOMATIZADA_21</vt:lpstr>
      <vt:lpstr>GRAFICA_22</vt:lpstr>
      <vt:lpstr>AUTOMATIZADA_22</vt:lpstr>
      <vt:lpstr>GRAFICA_23</vt:lpstr>
      <vt:lpstr>AUTOMATIZADA_23</vt:lpstr>
      <vt:lpstr>GRAFICA_24</vt:lpstr>
      <vt:lpstr>AUTOMATIZADA_24</vt:lpstr>
      <vt:lpstr>GRAFICA_25</vt:lpstr>
      <vt:lpstr>AUTOMATIZADA_25</vt:lpstr>
      <vt:lpstr>GRAFICA_26</vt:lpstr>
      <vt:lpstr>AUTOMATIZADA_26</vt:lpstr>
      <vt:lpstr>GRAFICA_27</vt:lpstr>
      <vt:lpstr>AUTOMATIZADA_27</vt:lpstr>
      <vt:lpstr>GRAFICA_28</vt:lpstr>
      <vt:lpstr>AUTOMATIZADA_28</vt:lpstr>
      <vt:lpstr>GRAFICA_29</vt:lpstr>
      <vt:lpstr>AUTOMATIZADA_29</vt:lpstr>
      <vt:lpstr>GRAFICA_30</vt:lpstr>
      <vt:lpstr>AUTOMATIZADA_30</vt:lpstr>
      <vt:lpstr>GRAFICA_31</vt:lpstr>
      <vt:lpstr>AUTOMATIZADA_31</vt:lpstr>
      <vt:lpstr>GRAFICA_32</vt:lpstr>
      <vt:lpstr>AUTOMATIZADA_32</vt:lpstr>
      <vt:lpstr>GRAFICA_33</vt:lpstr>
      <vt:lpstr>AUTOMATIZADA_33</vt:lpstr>
      <vt:lpstr>GRAFICA_34</vt:lpstr>
      <vt:lpstr>AUTOMATIZADA_34</vt:lpstr>
      <vt:lpstr>GRAFICA_35</vt:lpstr>
      <vt:lpstr>AUTOMATIZADA_35</vt:lpstr>
      <vt:lpstr>GRAFICA_36</vt:lpstr>
      <vt:lpstr>AUTOMATIZADA_36</vt:lpstr>
      <vt:lpstr>GRAFICA_37</vt:lpstr>
      <vt:lpstr>AUTOMATIZADA_37</vt:lpstr>
      <vt:lpstr>GRAFICA_38</vt:lpstr>
      <vt:lpstr>AUTOMATIZADA_38</vt:lpstr>
      <vt:lpstr>GRAFICA_39</vt:lpstr>
      <vt:lpstr>AUTOMATIZADA_39</vt:lpstr>
      <vt:lpstr>GRAFICA_40</vt:lpstr>
      <vt:lpstr>AUTOMATIZADA_40</vt:lpstr>
      <vt:lpstr>GRAFICA_41</vt:lpstr>
      <vt:lpstr>AUTOMATIZADA_41</vt:lpstr>
      <vt:lpstr>GRAFICA_42</vt:lpstr>
      <vt:lpstr>AUTOMATIZADA_42</vt:lpstr>
      <vt:lpstr>GRAFICA_43</vt:lpstr>
      <vt:lpstr>AUTOMATIZADA_43</vt:lpstr>
      <vt:lpstr>GRAFICA_44</vt:lpstr>
      <vt:lpstr>AUTOMATIZADA_44</vt:lpstr>
      <vt:lpstr>GRAFICA_45</vt:lpstr>
      <vt:lpstr>AUTOMATIZADA_45</vt:lpstr>
      <vt:lpstr>GRAFICA_46</vt:lpstr>
      <vt:lpstr>AUTOMATIZADA_46</vt:lpstr>
      <vt:lpstr>GRAFICA_47</vt:lpstr>
      <vt:lpstr>AUTOMATIZADA_47</vt:lpstr>
      <vt:lpstr>GRAFICA_48</vt:lpstr>
      <vt:lpstr>AUTOMATIZADA_48</vt:lpstr>
      <vt:lpstr>GRAFICA_49</vt:lpstr>
      <vt:lpstr>AUTOMATIZADA_49</vt:lpstr>
      <vt:lpstr>GRAFICA_50</vt:lpstr>
      <vt:lpstr>AUTOMATIZADA_50</vt:lpstr>
      <vt:lpstr>GRAFICA_51</vt:lpstr>
      <vt:lpstr>AUTOMATIZADA_51</vt:lpstr>
      <vt:lpstr>GRAFICA_52</vt:lpstr>
      <vt:lpstr>AUTOMATIZADA_52</vt:lpstr>
      <vt:lpstr>GRAFICA_53</vt:lpstr>
      <vt:lpstr>AUTOMATIZADA_53</vt:lpstr>
      <vt:lpstr>GRAFICA_54</vt:lpstr>
      <vt:lpstr>AUTOMATIZADA_54</vt:lpstr>
      <vt:lpstr>GRAFICA_55</vt:lpstr>
      <vt:lpstr>AUTOMATIZADA_55</vt:lpstr>
      <vt:lpstr>GRAFICA_56</vt:lpstr>
      <vt:lpstr>AUTOMATIZADA_56</vt:lpstr>
      <vt:lpstr>GRAFICA_57</vt:lpstr>
      <vt:lpstr>AUTOMATIZADA_57</vt:lpstr>
      <vt:lpstr>GRAFICA_58</vt:lpstr>
      <vt:lpstr>AUTOMATIZADA_58</vt:lpstr>
      <vt:lpstr>GRAFICA_59</vt:lpstr>
      <vt:lpstr>AUTOMATIZADA_59</vt:lpstr>
      <vt:lpstr>GRAFICA_60</vt:lpstr>
      <vt:lpstr>AUTOMATIZADA_60</vt:lpstr>
      <vt:lpstr>GRAFICA_61</vt:lpstr>
      <vt:lpstr>AUTOMATIZADA_61</vt:lpstr>
      <vt:lpstr>GRAFICA_62</vt:lpstr>
      <vt:lpstr>AUTOMATIZADA_62</vt:lpstr>
      <vt:lpstr>GRAFICA_63</vt:lpstr>
      <vt:lpstr>AUTOMATIZADA_63</vt:lpstr>
      <vt:lpstr>GRAFICA_64</vt:lpstr>
      <vt:lpstr>AUTOMATIZADA_64</vt:lpstr>
      <vt:lpstr>GRAFICA_65</vt:lpstr>
      <vt:lpstr>AUTOMATIZADA_65</vt:lpstr>
      <vt:lpstr>GRAFICA_66</vt:lpstr>
      <vt:lpstr>AUTOMATIZADA_66</vt:lpstr>
      <vt:lpstr>GRAFICA_67</vt:lpstr>
      <vt:lpstr>AUTOMATIZADA_67</vt:lpstr>
      <vt:lpstr>GRAFICA_68</vt:lpstr>
      <vt:lpstr>AUTOMATIZADA_68</vt:lpstr>
      <vt:lpstr>GRAFICA_69</vt:lpstr>
      <vt:lpstr>AUTOMATIZADA_69</vt:lpstr>
      <vt:lpstr>GRAFICA_70</vt:lpstr>
      <vt:lpstr>AUTOMATIZADA_70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ULIANOV SABATH CUBA VALENCIA</cp:lastModifiedBy>
  <dcterms:created xsi:type="dcterms:W3CDTF">2026-10-01T08:48:47Z</dcterms:created>
  <dcterms:modified xsi:type="dcterms:W3CDTF">2026-10-05T05:18:14Z</dcterms:modified>
</cp:coreProperties>
</file>